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ink/ink1.xml" ContentType="application/inkml+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oaconsulting-my.sharepoint.com/personal/kdiazcorro_olsson_com/Documents/ODOT MAIP_MPDG Rural Grant App (2023)/Submittal Pieces/C_BCA Technical Memo and Model/"/>
    </mc:Choice>
  </mc:AlternateContent>
  <xr:revisionPtr revIDLastSave="124" documentId="8_{06EEC153-A6EC-4FC0-A0B3-575CBDD77DE6}" xr6:coauthVersionLast="47" xr6:coauthVersionMax="47" xr10:uidLastSave="{23B9366E-178B-49F2-A910-E14524088FC1}"/>
  <bookViews>
    <workbookView xWindow="28680" yWindow="-210" windowWidth="29040" windowHeight="17640" tabRatio="611" activeTab="1" xr2:uid="{55CCC5A9-49D4-4B00-99D2-E2A194F54F9C}"/>
  </bookViews>
  <sheets>
    <sheet name="READ ME" sheetId="53" r:id="rId1"/>
    <sheet name="Results Summary" sheetId="40" r:id="rId2"/>
    <sheet name="Reporting Tables" sheetId="48" r:id="rId3"/>
    <sheet name="Inputs" sheetId="1" r:id="rId4"/>
    <sheet name="Safety" sheetId="16" r:id="rId5"/>
    <sheet name="Travel Time" sheetId="68" r:id="rId6"/>
    <sheet name="Emissions" sheetId="18" r:id="rId7"/>
    <sheet name="O&amp;M" sheetId="65" r:id="rId8"/>
    <sheet name="Residual Value" sheetId="29" r:id="rId9"/>
    <sheet name="Project Costs" sheetId="61" r:id="rId10"/>
    <sheet name="Volume and Speed" sheetId="72" r:id="rId11"/>
    <sheet name="Project Cost Data" sheetId="62" r:id="rId12"/>
    <sheet name="Price Deflators" sheetId="64" r:id="rId13"/>
    <sheet name="Crash Data" sheetId="24" r:id="rId14"/>
    <sheet name="Traffic Data" sheetId="67" r:id="rId15"/>
    <sheet name="Trip Gen" sheetId="73" r:id="rId16"/>
    <sheet name="Speed" sheetId="59" r:id="rId17"/>
    <sheet name="Emissions Data" sheetId="20" r:id="rId18"/>
  </sheets>
  <externalReferences>
    <externalReference r:id="rId19"/>
  </externalReferences>
  <definedNames>
    <definedName name="adjust2023to2021">Inputs!$E$17</definedName>
    <definedName name="annualizationFactor">Inputs!$E$14</definedName>
    <definedName name="baseYear">Inputs!$E$6</definedName>
    <definedName name="Client.Name">'READ ME'!$B$4</definedName>
    <definedName name="constructionDuration">Inputs!$E$9</definedName>
    <definedName name="costInjury">Inputs!$E$28</definedName>
    <definedName name="costLife">Inputs!$E$27</definedName>
    <definedName name="costPDO">Inputs!$E$29</definedName>
    <definedName name="discount">Inputs!$E$12</definedName>
    <definedName name="discountAnnual">_xlfn.ANCHORARRAY('Results Summary'!$F$133)</definedName>
    <definedName name="discountannual2023">'Results Summary'!$H$133:$AG$133</definedName>
    <definedName name="discountAnnualCO2">_xlfn.ANCHORARRAY('Results Summary'!$F$134)</definedName>
    <definedName name="discountCO2">Inputs!$E$13</definedName>
    <definedName name="endYear">Inputs!$E$8</definedName>
    <definedName name="feetToMiles">Inputs!$E$16</definedName>
    <definedName name="foottomile">Inputs!$E$16</definedName>
    <definedName name="Grant.Name">'READ ME'!$B$6</definedName>
    <definedName name="nonpeakHours">Inputs!$E$20</definedName>
    <definedName name="occupancyAutos">Inputs!$E$25</definedName>
    <definedName name="occupancyTrucks">Inputs!$E$26</definedName>
    <definedName name="peakHoursAM">Inputs!$E$18</definedName>
    <definedName name="peakHoursPM">Inputs!$E$19</definedName>
    <definedName name="percentAutos">Inputs!#REF!</definedName>
    <definedName name="percentPeak">Inputs!$E$21</definedName>
    <definedName name="percentTrucks">Inputs!#REF!</definedName>
    <definedName name="Project.Name">'READ ME'!$B$5</definedName>
    <definedName name="proxySpeed">Inputs!$E$31</definedName>
    <definedName name="startYear">Inputs!$E$7</definedName>
    <definedName name="studyDuration">Inputs!$E$11</definedName>
    <definedName name="tonsToGrams">Inputs!$E$15</definedName>
    <definedName name="usefulLife">Inputs!$E$32</definedName>
    <definedName name="VTTSAutos">Inputs!$E$23</definedName>
    <definedName name="VTTSTrucks">Inputs!$E$24</definedName>
    <definedName name="year">_xlfn.ANCHORARRAY('Results Summary'!$F$73)</definedName>
    <definedName name="yearsOfBenefits">Inputs!$E$10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0" i="40" l="1"/>
  <c r="P9" i="40"/>
  <c r="F132" i="40" a="1"/>
  <c r="F132" i="40" s="1"/>
  <c r="J23" i="73" l="1"/>
  <c r="P15" i="73"/>
  <c r="H17" i="73"/>
  <c r="G17" i="73"/>
  <c r="F17" i="73"/>
  <c r="E17" i="73"/>
  <c r="E15" i="73"/>
  <c r="N21" i="59"/>
  <c r="O21" i="59"/>
  <c r="N22" i="59"/>
  <c r="O22" i="59"/>
  <c r="N23" i="59"/>
  <c r="O23" i="59"/>
  <c r="N24" i="59"/>
  <c r="O24" i="59"/>
  <c r="N25" i="59"/>
  <c r="O25" i="59"/>
  <c r="N26" i="59"/>
  <c r="O26" i="59"/>
  <c r="N27" i="59"/>
  <c r="O27" i="59"/>
  <c r="N28" i="59"/>
  <c r="O28" i="59"/>
  <c r="N29" i="59"/>
  <c r="O29" i="59"/>
  <c r="N30" i="59"/>
  <c r="O30" i="59"/>
  <c r="O20" i="59"/>
  <c r="N20" i="59"/>
  <c r="X148" i="73"/>
  <c r="Y148" i="73"/>
  <c r="Z148" i="73"/>
  <c r="AA148" i="73"/>
  <c r="AB148" i="73"/>
  <c r="AC148" i="73"/>
  <c r="AD148" i="73"/>
  <c r="AE148" i="73"/>
  <c r="R65" i="67" s="1"/>
  <c r="AF148" i="73"/>
  <c r="AG148" i="73"/>
  <c r="AH148" i="73"/>
  <c r="AI148" i="73"/>
  <c r="AJ148" i="73"/>
  <c r="AK148" i="73"/>
  <c r="AL148" i="73"/>
  <c r="AM148" i="73"/>
  <c r="Z65" i="67" s="1"/>
  <c r="AN148" i="73"/>
  <c r="AO148" i="73"/>
  <c r="AP148" i="73"/>
  <c r="AQ148" i="73"/>
  <c r="AR148" i="73"/>
  <c r="AS148" i="73"/>
  <c r="AT148" i="73"/>
  <c r="AU148" i="73"/>
  <c r="AH65" i="67" s="1"/>
  <c r="AV148" i="73"/>
  <c r="X149" i="73"/>
  <c r="Y149" i="73"/>
  <c r="Z149" i="73"/>
  <c r="AA149" i="73"/>
  <c r="AB149" i="73"/>
  <c r="AC149" i="73"/>
  <c r="AD149" i="73"/>
  <c r="AE149" i="73"/>
  <c r="AF149" i="73"/>
  <c r="AG149" i="73"/>
  <c r="AH149" i="73"/>
  <c r="AI149" i="73"/>
  <c r="AJ149" i="73"/>
  <c r="AK149" i="73"/>
  <c r="AL149" i="73"/>
  <c r="AM149" i="73"/>
  <c r="AN149" i="73"/>
  <c r="AO149" i="73"/>
  <c r="AP149" i="73"/>
  <c r="AQ149" i="73"/>
  <c r="AR149" i="73"/>
  <c r="AS149" i="73"/>
  <c r="AT149" i="73"/>
  <c r="AU149" i="73"/>
  <c r="AV149" i="73"/>
  <c r="X150" i="73"/>
  <c r="Y150" i="73"/>
  <c r="Z150" i="73"/>
  <c r="AA150" i="73"/>
  <c r="AB150" i="73"/>
  <c r="AC150" i="73"/>
  <c r="AD150" i="73"/>
  <c r="AE150" i="73"/>
  <c r="AF150" i="73"/>
  <c r="AG150" i="73"/>
  <c r="AH150" i="73"/>
  <c r="AI150" i="73"/>
  <c r="AJ150" i="73"/>
  <c r="AK150" i="73"/>
  <c r="AL150" i="73"/>
  <c r="AM150" i="73"/>
  <c r="AN150" i="73"/>
  <c r="AO150" i="73"/>
  <c r="AP150" i="73"/>
  <c r="AQ150" i="73"/>
  <c r="AR150" i="73"/>
  <c r="AS150" i="73"/>
  <c r="AT150" i="73"/>
  <c r="AU150" i="73"/>
  <c r="AV150" i="73"/>
  <c r="X151" i="73"/>
  <c r="Y151" i="73"/>
  <c r="Z151" i="73"/>
  <c r="AA151" i="73"/>
  <c r="AB151" i="73"/>
  <c r="O76" i="67" s="1"/>
  <c r="AC151" i="73"/>
  <c r="AD151" i="73"/>
  <c r="AE151" i="73"/>
  <c r="AF151" i="73"/>
  <c r="AG151" i="73"/>
  <c r="AH151" i="73"/>
  <c r="AI151" i="73"/>
  <c r="AJ151" i="73"/>
  <c r="W76" i="67" s="1"/>
  <c r="AK151" i="73"/>
  <c r="AL151" i="73"/>
  <c r="AM151" i="73"/>
  <c r="AN151" i="73"/>
  <c r="AO151" i="73"/>
  <c r="AP151" i="73"/>
  <c r="AQ151" i="73"/>
  <c r="AR151" i="73"/>
  <c r="AE76" i="67" s="1"/>
  <c r="AS151" i="73"/>
  <c r="AT151" i="73"/>
  <c r="AU151" i="73"/>
  <c r="AV151" i="73"/>
  <c r="X152" i="73"/>
  <c r="Y152" i="73"/>
  <c r="Z152" i="73"/>
  <c r="AA152" i="73"/>
  <c r="N81" i="67" s="1"/>
  <c r="AB152" i="73"/>
  <c r="AC152" i="73"/>
  <c r="AD152" i="73"/>
  <c r="AE152" i="73"/>
  <c r="AF152" i="73"/>
  <c r="AG152" i="73"/>
  <c r="AH152" i="73"/>
  <c r="AI152" i="73"/>
  <c r="V81" i="67" s="1"/>
  <c r="AJ152" i="73"/>
  <c r="AK152" i="73"/>
  <c r="AL152" i="73"/>
  <c r="AM152" i="73"/>
  <c r="AN152" i="73"/>
  <c r="AO152" i="73"/>
  <c r="AP152" i="73"/>
  <c r="AQ152" i="73"/>
  <c r="AD81" i="67" s="1"/>
  <c r="AR152" i="73"/>
  <c r="AS152" i="73"/>
  <c r="AT152" i="73"/>
  <c r="AU152" i="73"/>
  <c r="AV152" i="73"/>
  <c r="X153" i="73"/>
  <c r="Y153" i="73"/>
  <c r="Z153" i="73"/>
  <c r="M82" i="67" s="1"/>
  <c r="AA153" i="73"/>
  <c r="AB153" i="73"/>
  <c r="AC153" i="73"/>
  <c r="AD153" i="73"/>
  <c r="AE153" i="73"/>
  <c r="AF153" i="73"/>
  <c r="AG153" i="73"/>
  <c r="AH153" i="73"/>
  <c r="U82" i="67" s="1"/>
  <c r="AI153" i="73"/>
  <c r="AJ153" i="73"/>
  <c r="AK153" i="73"/>
  <c r="AL153" i="73"/>
  <c r="AM153" i="73"/>
  <c r="AN153" i="73"/>
  <c r="AO153" i="73"/>
  <c r="AP153" i="73"/>
  <c r="AC82" i="67" s="1"/>
  <c r="AQ153" i="73"/>
  <c r="AR153" i="73"/>
  <c r="AS153" i="73"/>
  <c r="AT153" i="73"/>
  <c r="AU153" i="73"/>
  <c r="AV153" i="73"/>
  <c r="X154" i="73"/>
  <c r="Y154" i="73"/>
  <c r="L83" i="67" s="1"/>
  <c r="Z154" i="73"/>
  <c r="AA154" i="73"/>
  <c r="AB154" i="73"/>
  <c r="AC154" i="73"/>
  <c r="AD154" i="73"/>
  <c r="AE154" i="73"/>
  <c r="AF154" i="73"/>
  <c r="AG154" i="73"/>
  <c r="T83" i="67" s="1"/>
  <c r="AH154" i="73"/>
  <c r="AI154" i="73"/>
  <c r="AJ154" i="73"/>
  <c r="AK154" i="73"/>
  <c r="AL154" i="73"/>
  <c r="AM154" i="73"/>
  <c r="AN154" i="73"/>
  <c r="AO154" i="73"/>
  <c r="AB83" i="67" s="1"/>
  <c r="AP154" i="73"/>
  <c r="AQ154" i="73"/>
  <c r="AR154" i="73"/>
  <c r="AS154" i="73"/>
  <c r="AT154" i="73"/>
  <c r="AU154" i="73"/>
  <c r="AV154" i="73"/>
  <c r="X155" i="73"/>
  <c r="Y155" i="73"/>
  <c r="Z155" i="73"/>
  <c r="AA155" i="73"/>
  <c r="AB155" i="73"/>
  <c r="AC155" i="73"/>
  <c r="AD155" i="73"/>
  <c r="AE155" i="73"/>
  <c r="AF155" i="73"/>
  <c r="S84" i="67" s="1"/>
  <c r="AG155" i="73"/>
  <c r="AH155" i="73"/>
  <c r="AI155" i="73"/>
  <c r="AJ155" i="73"/>
  <c r="AK155" i="73"/>
  <c r="AL155" i="73"/>
  <c r="AM155" i="73"/>
  <c r="AN155" i="73"/>
  <c r="AA84" i="67" s="1"/>
  <c r="AO155" i="73"/>
  <c r="AP155" i="73"/>
  <c r="AQ155" i="73"/>
  <c r="AR155" i="73"/>
  <c r="AS155" i="73"/>
  <c r="AT155" i="73"/>
  <c r="AU155" i="73"/>
  <c r="AV155" i="73"/>
  <c r="AI84" i="67" s="1"/>
  <c r="X156" i="73"/>
  <c r="Y156" i="73"/>
  <c r="Z156" i="73"/>
  <c r="AA156" i="73"/>
  <c r="AB156" i="73"/>
  <c r="AC156" i="73"/>
  <c r="AD156" i="73"/>
  <c r="AE156" i="73"/>
  <c r="AF156" i="73"/>
  <c r="AG156" i="73"/>
  <c r="AH156" i="73"/>
  <c r="AI156" i="73"/>
  <c r="AJ156" i="73"/>
  <c r="AK156" i="73"/>
  <c r="AL156" i="73"/>
  <c r="AM156" i="73"/>
  <c r="AN156" i="73"/>
  <c r="AO156" i="73"/>
  <c r="AP156" i="73"/>
  <c r="AQ156" i="73"/>
  <c r="AR156" i="73"/>
  <c r="AS156" i="73"/>
  <c r="AT156" i="73"/>
  <c r="AU156" i="73"/>
  <c r="AV156" i="73"/>
  <c r="X157" i="73"/>
  <c r="Y157" i="73"/>
  <c r="Z157" i="73"/>
  <c r="AA157" i="73"/>
  <c r="AB157" i="73"/>
  <c r="AC157" i="73"/>
  <c r="AD157" i="73"/>
  <c r="Q89" i="67" s="1"/>
  <c r="Q90" i="67" s="1"/>
  <c r="AE157" i="73"/>
  <c r="AF157" i="73"/>
  <c r="AG157" i="73"/>
  <c r="AH157" i="73"/>
  <c r="AI157" i="73"/>
  <c r="AJ157" i="73"/>
  <c r="AK157" i="73"/>
  <c r="AL157" i="73"/>
  <c r="Y89" i="67" s="1"/>
  <c r="Y90" i="67" s="1"/>
  <c r="AM157" i="73"/>
  <c r="AN157" i="73"/>
  <c r="AO157" i="73"/>
  <c r="AP157" i="73"/>
  <c r="AQ157" i="73"/>
  <c r="AR157" i="73"/>
  <c r="AS157" i="73"/>
  <c r="AT157" i="73"/>
  <c r="AG89" i="67" s="1"/>
  <c r="AG90" i="67" s="1"/>
  <c r="AU157" i="73"/>
  <c r="AV157" i="73"/>
  <c r="X158" i="73"/>
  <c r="Y158" i="73"/>
  <c r="Z158" i="73"/>
  <c r="AA158" i="73"/>
  <c r="AB158" i="73"/>
  <c r="AC158" i="73"/>
  <c r="P91" i="67" s="1"/>
  <c r="P92" i="67" s="1"/>
  <c r="AD158" i="73"/>
  <c r="AE158" i="73"/>
  <c r="AF158" i="73"/>
  <c r="AG158" i="73"/>
  <c r="AH158" i="73"/>
  <c r="AI158" i="73"/>
  <c r="AJ158" i="73"/>
  <c r="AK158" i="73"/>
  <c r="X91" i="67" s="1"/>
  <c r="X92" i="67" s="1"/>
  <c r="AL158" i="73"/>
  <c r="AM158" i="73"/>
  <c r="AN158" i="73"/>
  <c r="AO158" i="73"/>
  <c r="AP158" i="73"/>
  <c r="AQ158" i="73"/>
  <c r="AR158" i="73"/>
  <c r="AS158" i="73"/>
  <c r="AF91" i="67" s="1"/>
  <c r="AF92" i="67" s="1"/>
  <c r="AT158" i="73"/>
  <c r="AU158" i="73"/>
  <c r="AV158" i="73"/>
  <c r="X159" i="73"/>
  <c r="Y159" i="73"/>
  <c r="Z159" i="73"/>
  <c r="AA159" i="73"/>
  <c r="AB159" i="73"/>
  <c r="O68" i="67" s="1"/>
  <c r="AC159" i="73"/>
  <c r="AD159" i="73"/>
  <c r="AE159" i="73"/>
  <c r="AF159" i="73"/>
  <c r="AG159" i="73"/>
  <c r="AH159" i="73"/>
  <c r="AI159" i="73"/>
  <c r="AJ159" i="73"/>
  <c r="W68" i="67" s="1"/>
  <c r="AK159" i="73"/>
  <c r="AL159" i="73"/>
  <c r="AM159" i="73"/>
  <c r="AN159" i="73"/>
  <c r="AO159" i="73"/>
  <c r="AP159" i="73"/>
  <c r="AQ159" i="73"/>
  <c r="AR159" i="73"/>
  <c r="AE68" i="67" s="1"/>
  <c r="AS159" i="73"/>
  <c r="AT159" i="73"/>
  <c r="AU159" i="73"/>
  <c r="AV159" i="73"/>
  <c r="X160" i="73"/>
  <c r="Y160" i="73"/>
  <c r="Z160" i="73"/>
  <c r="AA160" i="73"/>
  <c r="N69" i="67" s="1"/>
  <c r="AB160" i="73"/>
  <c r="AC160" i="73"/>
  <c r="AD160" i="73"/>
  <c r="AE160" i="73"/>
  <c r="AF160" i="73"/>
  <c r="AG160" i="73"/>
  <c r="AH160" i="73"/>
  <c r="AI160" i="73"/>
  <c r="V69" i="67" s="1"/>
  <c r="AJ160" i="73"/>
  <c r="AK160" i="73"/>
  <c r="AL160" i="73"/>
  <c r="AM160" i="73"/>
  <c r="AN160" i="73"/>
  <c r="AO160" i="73"/>
  <c r="AP160" i="73"/>
  <c r="AQ160" i="73"/>
  <c r="AD69" i="67" s="1"/>
  <c r="AR160" i="73"/>
  <c r="AS160" i="73"/>
  <c r="AT160" i="73"/>
  <c r="AU160" i="73"/>
  <c r="AV160" i="73"/>
  <c r="X161" i="73"/>
  <c r="Y161" i="73"/>
  <c r="Z161" i="73"/>
  <c r="M70" i="67" s="1"/>
  <c r="AA161" i="73"/>
  <c r="AB161" i="73"/>
  <c r="AC161" i="73"/>
  <c r="AD161" i="73"/>
  <c r="AE161" i="73"/>
  <c r="AF161" i="73"/>
  <c r="AG161" i="73"/>
  <c r="AH161" i="73"/>
  <c r="U70" i="67" s="1"/>
  <c r="AI161" i="73"/>
  <c r="AJ161" i="73"/>
  <c r="AK161" i="73"/>
  <c r="AL161" i="73"/>
  <c r="AM161" i="73"/>
  <c r="AN161" i="73"/>
  <c r="AO161" i="73"/>
  <c r="AP161" i="73"/>
  <c r="AC70" i="67" s="1"/>
  <c r="AQ161" i="73"/>
  <c r="AR161" i="73"/>
  <c r="AS161" i="73"/>
  <c r="AT161" i="73"/>
  <c r="AU161" i="73"/>
  <c r="AV161" i="73"/>
  <c r="X162" i="73"/>
  <c r="Y162" i="73"/>
  <c r="L72" i="67" s="1"/>
  <c r="Z162" i="73"/>
  <c r="AA162" i="73"/>
  <c r="AB162" i="73"/>
  <c r="AC162" i="73"/>
  <c r="AD162" i="73"/>
  <c r="AE162" i="73"/>
  <c r="AF162" i="73"/>
  <c r="AG162" i="73"/>
  <c r="T72" i="67" s="1"/>
  <c r="AH162" i="73"/>
  <c r="AI162" i="73"/>
  <c r="AJ162" i="73"/>
  <c r="AK162" i="73"/>
  <c r="AL162" i="73"/>
  <c r="AM162" i="73"/>
  <c r="AN162" i="73"/>
  <c r="AO162" i="73"/>
  <c r="AB72" i="67" s="1"/>
  <c r="AP162" i="73"/>
  <c r="AQ162" i="73"/>
  <c r="AR162" i="73"/>
  <c r="AS162" i="73"/>
  <c r="AT162" i="73"/>
  <c r="AU162" i="73"/>
  <c r="AV162" i="73"/>
  <c r="X163" i="73"/>
  <c r="K87" i="67" s="1"/>
  <c r="Y163" i="73"/>
  <c r="Z163" i="73"/>
  <c r="M87" i="67" s="1"/>
  <c r="AA163" i="73"/>
  <c r="AB163" i="73"/>
  <c r="AC163" i="73"/>
  <c r="AD163" i="73"/>
  <c r="Q87" i="67" s="1"/>
  <c r="AE163" i="73"/>
  <c r="AF163" i="73"/>
  <c r="S87" i="67" s="1"/>
  <c r="AG163" i="73"/>
  <c r="AH163" i="73"/>
  <c r="U87" i="67" s="1"/>
  <c r="AI163" i="73"/>
  <c r="AJ163" i="73"/>
  <c r="AK163" i="73"/>
  <c r="AL163" i="73"/>
  <c r="Y87" i="67" s="1"/>
  <c r="AM163" i="73"/>
  <c r="AN163" i="73"/>
  <c r="AA87" i="67" s="1"/>
  <c r="AO163" i="73"/>
  <c r="AP163" i="73"/>
  <c r="AC87" i="67" s="1"/>
  <c r="AQ163" i="73"/>
  <c r="AR163" i="73"/>
  <c r="AS163" i="73"/>
  <c r="AT163" i="73"/>
  <c r="AG87" i="67" s="1"/>
  <c r="AU163" i="73"/>
  <c r="AV163" i="73"/>
  <c r="AI87" i="67" s="1"/>
  <c r="X164" i="73"/>
  <c r="K85" i="67" s="1"/>
  <c r="Y164" i="73"/>
  <c r="Z164" i="73"/>
  <c r="AA164" i="73"/>
  <c r="AB164" i="73"/>
  <c r="AC164" i="73"/>
  <c r="AD164" i="73"/>
  <c r="AE164" i="73"/>
  <c r="AF164" i="73"/>
  <c r="AG164" i="73"/>
  <c r="AH164" i="73"/>
  <c r="AI164" i="73"/>
  <c r="AJ164" i="73"/>
  <c r="AK164" i="73"/>
  <c r="AL164" i="73"/>
  <c r="AM164" i="73"/>
  <c r="AN164" i="73"/>
  <c r="AO164" i="73"/>
  <c r="AP164" i="73"/>
  <c r="AQ164" i="73"/>
  <c r="AR164" i="73"/>
  <c r="AS164" i="73"/>
  <c r="AT164" i="73"/>
  <c r="AU164" i="73"/>
  <c r="AV164" i="73"/>
  <c r="X165" i="73"/>
  <c r="K71" i="67" s="1"/>
  <c r="Y165" i="73"/>
  <c r="Z165" i="73"/>
  <c r="AA165" i="73"/>
  <c r="N71" i="67" s="1"/>
  <c r="AB165" i="73"/>
  <c r="AC165" i="73"/>
  <c r="AD165" i="73"/>
  <c r="AE165" i="73"/>
  <c r="R71" i="67" s="1"/>
  <c r="AF165" i="73"/>
  <c r="AG165" i="73"/>
  <c r="AH165" i="73"/>
  <c r="AI165" i="73"/>
  <c r="V71" i="67" s="1"/>
  <c r="AJ165" i="73"/>
  <c r="AK165" i="73"/>
  <c r="AL165" i="73"/>
  <c r="AM165" i="73"/>
  <c r="Z71" i="67" s="1"/>
  <c r="AN165" i="73"/>
  <c r="AO165" i="73"/>
  <c r="AP165" i="73"/>
  <c r="AQ165" i="73"/>
  <c r="AD71" i="67" s="1"/>
  <c r="AR165" i="73"/>
  <c r="AS165" i="73"/>
  <c r="AT165" i="73"/>
  <c r="AU165" i="73"/>
  <c r="AH71" i="67" s="1"/>
  <c r="AV165" i="73"/>
  <c r="X166" i="73"/>
  <c r="Y166" i="73"/>
  <c r="Z166" i="73"/>
  <c r="AA166" i="73"/>
  <c r="AB166" i="73"/>
  <c r="AC166" i="73"/>
  <c r="AD166" i="73"/>
  <c r="AE166" i="73"/>
  <c r="AF166" i="73"/>
  <c r="AG166" i="73"/>
  <c r="AH166" i="73"/>
  <c r="AI166" i="73"/>
  <c r="AJ166" i="73"/>
  <c r="AK166" i="73"/>
  <c r="AL166" i="73"/>
  <c r="AM166" i="73"/>
  <c r="AN166" i="73"/>
  <c r="AO166" i="73"/>
  <c r="AP166" i="73"/>
  <c r="AQ166" i="73"/>
  <c r="AR166" i="73"/>
  <c r="AS166" i="73"/>
  <c r="AT166" i="73"/>
  <c r="AU166" i="73"/>
  <c r="AV166" i="73"/>
  <c r="X167" i="73"/>
  <c r="Y167" i="73"/>
  <c r="Z167" i="73"/>
  <c r="AA167" i="73"/>
  <c r="AB167" i="73"/>
  <c r="AC167" i="73"/>
  <c r="AD167" i="73"/>
  <c r="AE167" i="73"/>
  <c r="AF167" i="73"/>
  <c r="AG167" i="73"/>
  <c r="AH167" i="73"/>
  <c r="AI167" i="73"/>
  <c r="AJ167" i="73"/>
  <c r="AK167" i="73"/>
  <c r="AL167" i="73"/>
  <c r="AM167" i="73"/>
  <c r="AN167" i="73"/>
  <c r="AO167" i="73"/>
  <c r="AP167" i="73"/>
  <c r="AQ167" i="73"/>
  <c r="AR167" i="73"/>
  <c r="AS167" i="73"/>
  <c r="AT167" i="73"/>
  <c r="AU167" i="73"/>
  <c r="AV167" i="73"/>
  <c r="W150" i="73"/>
  <c r="W151" i="73"/>
  <c r="W152" i="73"/>
  <c r="W153" i="73"/>
  <c r="W154" i="73"/>
  <c r="W155" i="73"/>
  <c r="W156" i="73"/>
  <c r="J88" i="67" s="1"/>
  <c r="W157" i="73"/>
  <c r="W158" i="73"/>
  <c r="W159" i="73"/>
  <c r="W160" i="73"/>
  <c r="W161" i="73"/>
  <c r="W162" i="73"/>
  <c r="W163" i="73"/>
  <c r="W164" i="73"/>
  <c r="W165" i="73"/>
  <c r="W166" i="73"/>
  <c r="W167" i="73"/>
  <c r="W149" i="73"/>
  <c r="W148" i="73"/>
  <c r="AY130" i="73"/>
  <c r="AY128" i="73"/>
  <c r="AY126" i="73"/>
  <c r="X104" i="73"/>
  <c r="Y104" i="73"/>
  <c r="Z104" i="73"/>
  <c r="AA104" i="73"/>
  <c r="AB104" i="73"/>
  <c r="AC104" i="73"/>
  <c r="AD104" i="73"/>
  <c r="AE104" i="73"/>
  <c r="AF104" i="73"/>
  <c r="AG104" i="73"/>
  <c r="AH104" i="73"/>
  <c r="AI104" i="73"/>
  <c r="AJ104" i="73"/>
  <c r="AK104" i="73"/>
  <c r="AL104" i="73"/>
  <c r="AM104" i="73"/>
  <c r="AN104" i="73"/>
  <c r="AO104" i="73"/>
  <c r="AP104" i="73"/>
  <c r="AQ104" i="73"/>
  <c r="AR104" i="73"/>
  <c r="AS104" i="73"/>
  <c r="AT104" i="73"/>
  <c r="AU104" i="73"/>
  <c r="AV104" i="73"/>
  <c r="X105" i="73"/>
  <c r="Y105" i="73"/>
  <c r="Z105" i="73"/>
  <c r="AA105" i="73"/>
  <c r="AB105" i="73"/>
  <c r="AC105" i="73"/>
  <c r="AD105" i="73"/>
  <c r="AE105" i="73"/>
  <c r="AF105" i="73"/>
  <c r="AG105" i="73"/>
  <c r="AH105" i="73"/>
  <c r="AI105" i="73"/>
  <c r="AJ105" i="73"/>
  <c r="AK105" i="73"/>
  <c r="AL105" i="73"/>
  <c r="AM105" i="73"/>
  <c r="AN105" i="73"/>
  <c r="AO105" i="73"/>
  <c r="AP105" i="73"/>
  <c r="AQ105" i="73"/>
  <c r="AR105" i="73"/>
  <c r="AS105" i="73"/>
  <c r="AT105" i="73"/>
  <c r="AU105" i="73"/>
  <c r="AV105" i="73"/>
  <c r="X106" i="73"/>
  <c r="Y106" i="73"/>
  <c r="Z106" i="73"/>
  <c r="AA106" i="73"/>
  <c r="AB106" i="73"/>
  <c r="AC106" i="73"/>
  <c r="AD106" i="73"/>
  <c r="AE106" i="73"/>
  <c r="AF106" i="73"/>
  <c r="AG106" i="73"/>
  <c r="AH106" i="73"/>
  <c r="AI106" i="73"/>
  <c r="AJ106" i="73"/>
  <c r="AK106" i="73"/>
  <c r="AL106" i="73"/>
  <c r="AM106" i="73"/>
  <c r="AN106" i="73"/>
  <c r="AO106" i="73"/>
  <c r="AP106" i="73"/>
  <c r="AQ106" i="73"/>
  <c r="AR106" i="73"/>
  <c r="AS106" i="73"/>
  <c r="AT106" i="73"/>
  <c r="AU106" i="73"/>
  <c r="AV106" i="73"/>
  <c r="X107" i="73"/>
  <c r="Y107" i="73"/>
  <c r="Z107" i="73"/>
  <c r="AA107" i="73"/>
  <c r="N47" i="67" s="1"/>
  <c r="AB107" i="73"/>
  <c r="AC107" i="73"/>
  <c r="AD107" i="73"/>
  <c r="AE107" i="73"/>
  <c r="AF107" i="73"/>
  <c r="AG107" i="73"/>
  <c r="AH107" i="73"/>
  <c r="AI107" i="73"/>
  <c r="V47" i="67" s="1"/>
  <c r="AJ107" i="73"/>
  <c r="AK107" i="73"/>
  <c r="AL107" i="73"/>
  <c r="AM107" i="73"/>
  <c r="AN107" i="73"/>
  <c r="AO107" i="73"/>
  <c r="AP107" i="73"/>
  <c r="AQ107" i="73"/>
  <c r="AD47" i="67" s="1"/>
  <c r="AR107" i="73"/>
  <c r="AS107" i="73"/>
  <c r="AT107" i="73"/>
  <c r="AU107" i="73"/>
  <c r="AV107" i="73"/>
  <c r="X108" i="73"/>
  <c r="Y108" i="73"/>
  <c r="Z108" i="73"/>
  <c r="M52" i="67" s="1"/>
  <c r="AA108" i="73"/>
  <c r="AB108" i="73"/>
  <c r="AC108" i="73"/>
  <c r="AD108" i="73"/>
  <c r="AE108" i="73"/>
  <c r="AF108" i="73"/>
  <c r="AG108" i="73"/>
  <c r="AH108" i="73"/>
  <c r="U52" i="67" s="1"/>
  <c r="AI108" i="73"/>
  <c r="AJ108" i="73"/>
  <c r="AK108" i="73"/>
  <c r="AL108" i="73"/>
  <c r="AM108" i="73"/>
  <c r="AN108" i="73"/>
  <c r="AO108" i="73"/>
  <c r="AP108" i="73"/>
  <c r="AC52" i="67" s="1"/>
  <c r="AQ108" i="73"/>
  <c r="AR108" i="73"/>
  <c r="AS108" i="73"/>
  <c r="AT108" i="73"/>
  <c r="AU108" i="73"/>
  <c r="AV108" i="73"/>
  <c r="X109" i="73"/>
  <c r="Y109" i="73"/>
  <c r="L53" i="67" s="1"/>
  <c r="Z109" i="73"/>
  <c r="AA109" i="73"/>
  <c r="AB109" i="73"/>
  <c r="AC109" i="73"/>
  <c r="AD109" i="73"/>
  <c r="AE109" i="73"/>
  <c r="AF109" i="73"/>
  <c r="AG109" i="73"/>
  <c r="T54" i="67" s="1"/>
  <c r="AH109" i="73"/>
  <c r="AI109" i="73"/>
  <c r="AJ109" i="73"/>
  <c r="AK109" i="73"/>
  <c r="AL109" i="73"/>
  <c r="AM109" i="73"/>
  <c r="AN109" i="73"/>
  <c r="AO109" i="73"/>
  <c r="AB54" i="67" s="1"/>
  <c r="AP109" i="73"/>
  <c r="AQ109" i="73"/>
  <c r="AR109" i="73"/>
  <c r="AS109" i="73"/>
  <c r="AT109" i="73"/>
  <c r="AU109" i="73"/>
  <c r="AV109" i="73"/>
  <c r="X110" i="73"/>
  <c r="Y110" i="73"/>
  <c r="Z110" i="73"/>
  <c r="AA110" i="73"/>
  <c r="AB110" i="73"/>
  <c r="AC110" i="73"/>
  <c r="AD110" i="73"/>
  <c r="AE110" i="73"/>
  <c r="AF110" i="73"/>
  <c r="AG110" i="73"/>
  <c r="AH110" i="73"/>
  <c r="AI110" i="73"/>
  <c r="AJ110" i="73"/>
  <c r="AK110" i="73"/>
  <c r="AL110" i="73"/>
  <c r="AM110" i="73"/>
  <c r="AN110" i="73"/>
  <c r="AO110" i="73"/>
  <c r="AP110" i="73"/>
  <c r="AQ110" i="73"/>
  <c r="AR110" i="73"/>
  <c r="AS110" i="73"/>
  <c r="AT110" i="73"/>
  <c r="AU110" i="73"/>
  <c r="AV110" i="73"/>
  <c r="AI54" i="67" s="1"/>
  <c r="X111" i="73"/>
  <c r="Y111" i="73"/>
  <c r="Z111" i="73"/>
  <c r="AA111" i="73"/>
  <c r="AB111" i="73"/>
  <c r="AC111" i="73"/>
  <c r="AD111" i="73"/>
  <c r="AE111" i="73"/>
  <c r="R55" i="67" s="1"/>
  <c r="AF111" i="73"/>
  <c r="AG111" i="73"/>
  <c r="AH111" i="73"/>
  <c r="AI111" i="73"/>
  <c r="AJ111" i="73"/>
  <c r="AK111" i="73"/>
  <c r="AL111" i="73"/>
  <c r="AM111" i="73"/>
  <c r="Z55" i="67" s="1"/>
  <c r="AN111" i="73"/>
  <c r="AO111" i="73"/>
  <c r="AP111" i="73"/>
  <c r="AQ111" i="73"/>
  <c r="AR111" i="73"/>
  <c r="AS111" i="73"/>
  <c r="AT111" i="73"/>
  <c r="AU111" i="73"/>
  <c r="AH55" i="67" s="1"/>
  <c r="AV111" i="73"/>
  <c r="X112" i="73"/>
  <c r="Y112" i="73"/>
  <c r="Z112" i="73"/>
  <c r="AA112" i="73"/>
  <c r="AB112" i="73"/>
  <c r="AC112" i="73"/>
  <c r="AD112" i="73"/>
  <c r="Q59" i="67" s="1"/>
  <c r="AE112" i="73"/>
  <c r="AF112" i="73"/>
  <c r="AG112" i="73"/>
  <c r="AH112" i="73"/>
  <c r="AI112" i="73"/>
  <c r="AJ112" i="73"/>
  <c r="AK112" i="73"/>
  <c r="AL112" i="73"/>
  <c r="Y59" i="67" s="1"/>
  <c r="AM112" i="73"/>
  <c r="AN112" i="73"/>
  <c r="AO112" i="73"/>
  <c r="AP112" i="73"/>
  <c r="AQ112" i="73"/>
  <c r="AR112" i="73"/>
  <c r="AS112" i="73"/>
  <c r="AT112" i="73"/>
  <c r="AG59" i="67" s="1"/>
  <c r="AU112" i="73"/>
  <c r="AV112" i="73"/>
  <c r="X113" i="73"/>
  <c r="Y113" i="73"/>
  <c r="Z113" i="73"/>
  <c r="AA113" i="73"/>
  <c r="AB113" i="73"/>
  <c r="AC113" i="73"/>
  <c r="P60" i="67" s="1"/>
  <c r="P61" i="67" s="1"/>
  <c r="AD113" i="73"/>
  <c r="AE113" i="73"/>
  <c r="AF113" i="73"/>
  <c r="AG113" i="73"/>
  <c r="AH113" i="73"/>
  <c r="AI113" i="73"/>
  <c r="AJ113" i="73"/>
  <c r="AK113" i="73"/>
  <c r="X60" i="67" s="1"/>
  <c r="X61" i="67" s="1"/>
  <c r="AL113" i="73"/>
  <c r="AM113" i="73"/>
  <c r="AN113" i="73"/>
  <c r="AO113" i="73"/>
  <c r="AP113" i="73"/>
  <c r="AQ113" i="73"/>
  <c r="AR113" i="73"/>
  <c r="AS113" i="73"/>
  <c r="AF60" i="67" s="1"/>
  <c r="AF61" i="67" s="1"/>
  <c r="AT113" i="73"/>
  <c r="AU113" i="73"/>
  <c r="AV113" i="73"/>
  <c r="X114" i="73"/>
  <c r="Y114" i="73"/>
  <c r="Z114" i="73"/>
  <c r="AA114" i="73"/>
  <c r="AB114" i="73"/>
  <c r="O62" i="67" s="1"/>
  <c r="O63" i="67" s="1"/>
  <c r="AC114" i="73"/>
  <c r="AD114" i="73"/>
  <c r="AE114" i="73"/>
  <c r="AF114" i="73"/>
  <c r="AG114" i="73"/>
  <c r="AH114" i="73"/>
  <c r="AI114" i="73"/>
  <c r="AJ114" i="73"/>
  <c r="W62" i="67" s="1"/>
  <c r="W63" i="67" s="1"/>
  <c r="AK114" i="73"/>
  <c r="AL114" i="73"/>
  <c r="AM114" i="73"/>
  <c r="AN114" i="73"/>
  <c r="AO114" i="73"/>
  <c r="AP114" i="73"/>
  <c r="AQ114" i="73"/>
  <c r="AR114" i="73"/>
  <c r="AE62" i="67" s="1"/>
  <c r="AE63" i="67" s="1"/>
  <c r="AS114" i="73"/>
  <c r="AT114" i="73"/>
  <c r="AU114" i="73"/>
  <c r="AV114" i="73"/>
  <c r="X115" i="73"/>
  <c r="Y115" i="73"/>
  <c r="Z115" i="73"/>
  <c r="AA115" i="73"/>
  <c r="N39" i="67" s="1"/>
  <c r="AB115" i="73"/>
  <c r="AC115" i="73"/>
  <c r="AD115" i="73"/>
  <c r="AE115" i="73"/>
  <c r="AF115" i="73"/>
  <c r="AG115" i="73"/>
  <c r="AH115" i="73"/>
  <c r="AI115" i="73"/>
  <c r="V39" i="67" s="1"/>
  <c r="AJ115" i="73"/>
  <c r="AK115" i="73"/>
  <c r="AL115" i="73"/>
  <c r="AM115" i="73"/>
  <c r="AN115" i="73"/>
  <c r="AO115" i="73"/>
  <c r="AP115" i="73"/>
  <c r="AQ115" i="73"/>
  <c r="AD39" i="67" s="1"/>
  <c r="AR115" i="73"/>
  <c r="AS115" i="73"/>
  <c r="AT115" i="73"/>
  <c r="AU115" i="73"/>
  <c r="AV115" i="73"/>
  <c r="X116" i="73"/>
  <c r="Y116" i="73"/>
  <c r="Z116" i="73"/>
  <c r="AA116" i="73"/>
  <c r="AB116" i="73"/>
  <c r="AC116" i="73"/>
  <c r="AD116" i="73"/>
  <c r="AE116" i="73"/>
  <c r="AF116" i="73"/>
  <c r="AG116" i="73"/>
  <c r="AH116" i="73"/>
  <c r="AI116" i="73"/>
  <c r="AJ116" i="73"/>
  <c r="AK116" i="73"/>
  <c r="AL116" i="73"/>
  <c r="AM116" i="73"/>
  <c r="AN116" i="73"/>
  <c r="AO116" i="73"/>
  <c r="AP116" i="73"/>
  <c r="AQ116" i="73"/>
  <c r="AR116" i="73"/>
  <c r="AS116" i="73"/>
  <c r="AT116" i="73"/>
  <c r="AU116" i="73"/>
  <c r="AV116" i="73"/>
  <c r="X117" i="73"/>
  <c r="Y117" i="73"/>
  <c r="L41" i="67" s="1"/>
  <c r="Z117" i="73"/>
  <c r="AA117" i="73"/>
  <c r="AB117" i="73"/>
  <c r="AC117" i="73"/>
  <c r="AD117" i="73"/>
  <c r="AE117" i="73"/>
  <c r="AF117" i="73"/>
  <c r="AG117" i="73"/>
  <c r="T41" i="67" s="1"/>
  <c r="AH117" i="73"/>
  <c r="AI117" i="73"/>
  <c r="AJ117" i="73"/>
  <c r="AK117" i="73"/>
  <c r="AL117" i="73"/>
  <c r="AM117" i="73"/>
  <c r="AN117" i="73"/>
  <c r="AO117" i="73"/>
  <c r="AB41" i="67" s="1"/>
  <c r="AP117" i="73"/>
  <c r="AQ117" i="73"/>
  <c r="AR117" i="73"/>
  <c r="AS117" i="73"/>
  <c r="AT117" i="73"/>
  <c r="AU117" i="73"/>
  <c r="AV117" i="73"/>
  <c r="X118" i="73"/>
  <c r="K43" i="67" s="1"/>
  <c r="Y118" i="73"/>
  <c r="Z118" i="73"/>
  <c r="AA118" i="73"/>
  <c r="AB118" i="73"/>
  <c r="AC118" i="73"/>
  <c r="AD118" i="73"/>
  <c r="AE118" i="73"/>
  <c r="AF118" i="73"/>
  <c r="S43" i="67" s="1"/>
  <c r="AG118" i="73"/>
  <c r="AH118" i="73"/>
  <c r="AI118" i="73"/>
  <c r="AJ118" i="73"/>
  <c r="AK118" i="73"/>
  <c r="AL118" i="73"/>
  <c r="AM118" i="73"/>
  <c r="AN118" i="73"/>
  <c r="AA43" i="67" s="1"/>
  <c r="AO118" i="73"/>
  <c r="AP118" i="73"/>
  <c r="AQ118" i="73"/>
  <c r="AR118" i="73"/>
  <c r="AS118" i="73"/>
  <c r="AT118" i="73"/>
  <c r="AU118" i="73"/>
  <c r="AV118" i="73"/>
  <c r="AI43" i="67" s="1"/>
  <c r="X119" i="73"/>
  <c r="Y119" i="73"/>
  <c r="Z119" i="73"/>
  <c r="AA119" i="73"/>
  <c r="AB119" i="73"/>
  <c r="AC119" i="73"/>
  <c r="AD119" i="73"/>
  <c r="AE119" i="73"/>
  <c r="R58" i="67" s="1"/>
  <c r="AF119" i="73"/>
  <c r="AG119" i="73"/>
  <c r="AH119" i="73"/>
  <c r="AI119" i="73"/>
  <c r="AJ119" i="73"/>
  <c r="AK119" i="73"/>
  <c r="AL119" i="73"/>
  <c r="AM119" i="73"/>
  <c r="Z58" i="67" s="1"/>
  <c r="AN119" i="73"/>
  <c r="AO119" i="73"/>
  <c r="AP119" i="73"/>
  <c r="AQ119" i="73"/>
  <c r="AR119" i="73"/>
  <c r="AS119" i="73"/>
  <c r="AT119" i="73"/>
  <c r="AU119" i="73"/>
  <c r="AH58" i="67" s="1"/>
  <c r="AV119" i="73"/>
  <c r="X120" i="73"/>
  <c r="Y120" i="73"/>
  <c r="Z120" i="73"/>
  <c r="AA120" i="73"/>
  <c r="N56" i="67" s="1"/>
  <c r="AB120" i="73"/>
  <c r="AC120" i="73"/>
  <c r="AD120" i="73"/>
  <c r="Q56" i="67" s="1"/>
  <c r="AE120" i="73"/>
  <c r="AF120" i="73"/>
  <c r="AG120" i="73"/>
  <c r="AH120" i="73"/>
  <c r="AI120" i="73"/>
  <c r="V56" i="67" s="1"/>
  <c r="AJ120" i="73"/>
  <c r="AK120" i="73"/>
  <c r="AL120" i="73"/>
  <c r="Y56" i="67" s="1"/>
  <c r="AM120" i="73"/>
  <c r="AN120" i="73"/>
  <c r="AO120" i="73"/>
  <c r="AP120" i="73"/>
  <c r="AQ120" i="73"/>
  <c r="AD56" i="67" s="1"/>
  <c r="AR120" i="73"/>
  <c r="AS120" i="73"/>
  <c r="AT120" i="73"/>
  <c r="AG56" i="67" s="1"/>
  <c r="AU120" i="73"/>
  <c r="AV120" i="73"/>
  <c r="X121" i="73"/>
  <c r="Y121" i="73"/>
  <c r="Z121" i="73"/>
  <c r="M42" i="67" s="1"/>
  <c r="AA121" i="73"/>
  <c r="AB121" i="73"/>
  <c r="AC121" i="73"/>
  <c r="P42" i="67" s="1"/>
  <c r="AD121" i="73"/>
  <c r="AE121" i="73"/>
  <c r="AF121" i="73"/>
  <c r="AG121" i="73"/>
  <c r="AH121" i="73"/>
  <c r="U42" i="67" s="1"/>
  <c r="AI121" i="73"/>
  <c r="AJ121" i="73"/>
  <c r="AK121" i="73"/>
  <c r="X42" i="67" s="1"/>
  <c r="AL121" i="73"/>
  <c r="AM121" i="73"/>
  <c r="AN121" i="73"/>
  <c r="AO121" i="73"/>
  <c r="AP121" i="73"/>
  <c r="AC42" i="67" s="1"/>
  <c r="AQ121" i="73"/>
  <c r="AR121" i="73"/>
  <c r="AS121" i="73"/>
  <c r="AF42" i="67" s="1"/>
  <c r="AT121" i="73"/>
  <c r="AU121" i="73"/>
  <c r="AV121" i="73"/>
  <c r="X122" i="73"/>
  <c r="Y122" i="73"/>
  <c r="Z122" i="73"/>
  <c r="AA122" i="73"/>
  <c r="AB122" i="73"/>
  <c r="AC122" i="73"/>
  <c r="AD122" i="73"/>
  <c r="AE122" i="73"/>
  <c r="AF122" i="73"/>
  <c r="AG122" i="73"/>
  <c r="AH122" i="73"/>
  <c r="AI122" i="73"/>
  <c r="AJ122" i="73"/>
  <c r="AK122" i="73"/>
  <c r="AL122" i="73"/>
  <c r="AM122" i="73"/>
  <c r="AN122" i="73"/>
  <c r="AO122" i="73"/>
  <c r="AP122" i="73"/>
  <c r="AQ122" i="73"/>
  <c r="AR122" i="73"/>
  <c r="AS122" i="73"/>
  <c r="AT122" i="73"/>
  <c r="AU122" i="73"/>
  <c r="AV122" i="73"/>
  <c r="X123" i="73"/>
  <c r="K57" i="67" s="1"/>
  <c r="Y123" i="73"/>
  <c r="Z123" i="73"/>
  <c r="AA123" i="73"/>
  <c r="N57" i="67" s="1"/>
  <c r="AB123" i="73"/>
  <c r="O57" i="67" s="1"/>
  <c r="AC123" i="73"/>
  <c r="P57" i="67" s="1"/>
  <c r="AD123" i="73"/>
  <c r="AE123" i="73"/>
  <c r="AF123" i="73"/>
  <c r="S57" i="67" s="1"/>
  <c r="AG123" i="73"/>
  <c r="AH123" i="73"/>
  <c r="AI123" i="73"/>
  <c r="V57" i="67" s="1"/>
  <c r="AJ123" i="73"/>
  <c r="W57" i="67" s="1"/>
  <c r="AK123" i="73"/>
  <c r="X57" i="67" s="1"/>
  <c r="AL123" i="73"/>
  <c r="AM123" i="73"/>
  <c r="AN123" i="73"/>
  <c r="AA57" i="67" s="1"/>
  <c r="AO123" i="73"/>
  <c r="AP123" i="73"/>
  <c r="AQ123" i="73"/>
  <c r="AD57" i="67" s="1"/>
  <c r="AR123" i="73"/>
  <c r="AE57" i="67" s="1"/>
  <c r="AS123" i="73"/>
  <c r="AF57" i="67" s="1"/>
  <c r="AT123" i="73"/>
  <c r="AU123" i="73"/>
  <c r="AV123" i="73"/>
  <c r="AI57" i="67" s="1"/>
  <c r="W106" i="73"/>
  <c r="W107" i="73"/>
  <c r="W108" i="73"/>
  <c r="W109" i="73"/>
  <c r="W110" i="73"/>
  <c r="W111" i="73"/>
  <c r="W112" i="73"/>
  <c r="W113" i="73"/>
  <c r="J60" i="67" s="1"/>
  <c r="J61" i="67" s="1"/>
  <c r="W114" i="73"/>
  <c r="W115" i="73"/>
  <c r="W116" i="73"/>
  <c r="W117" i="73"/>
  <c r="W118" i="73"/>
  <c r="W119" i="73"/>
  <c r="W120" i="73"/>
  <c r="J56" i="67" s="1"/>
  <c r="W121" i="73"/>
  <c r="W122" i="73"/>
  <c r="W123" i="73"/>
  <c r="W105" i="73"/>
  <c r="W104" i="73"/>
  <c r="R84" i="73"/>
  <c r="AG60" i="73"/>
  <c r="AH60" i="73"/>
  <c r="AI60" i="73"/>
  <c r="AJ60" i="73"/>
  <c r="AK60" i="73"/>
  <c r="AL60" i="73"/>
  <c r="AM60" i="73"/>
  <c r="AN60" i="73"/>
  <c r="AA7" i="67" s="1"/>
  <c r="AO60" i="73"/>
  <c r="AP60" i="73"/>
  <c r="AQ60" i="73"/>
  <c r="AR60" i="73"/>
  <c r="AS60" i="73"/>
  <c r="AT60" i="73"/>
  <c r="AU60" i="73"/>
  <c r="AV60" i="73"/>
  <c r="AI7" i="67" s="1"/>
  <c r="AG61" i="73"/>
  <c r="AH61" i="73"/>
  <c r="AI61" i="73"/>
  <c r="AJ61" i="73"/>
  <c r="AK61" i="73"/>
  <c r="AL61" i="73"/>
  <c r="AM61" i="73"/>
  <c r="AN61" i="73"/>
  <c r="AA8" i="67" s="1"/>
  <c r="AO61" i="73"/>
  <c r="AP61" i="73"/>
  <c r="AQ61" i="73"/>
  <c r="AR61" i="73"/>
  <c r="AS61" i="73"/>
  <c r="AT61" i="73"/>
  <c r="AU61" i="73"/>
  <c r="AV61" i="73"/>
  <c r="AI8" i="67" s="1"/>
  <c r="AG62" i="73"/>
  <c r="AH62" i="73"/>
  <c r="AI62" i="73"/>
  <c r="AJ62" i="73"/>
  <c r="AK62" i="73"/>
  <c r="AL62" i="73"/>
  <c r="AM62" i="73"/>
  <c r="AN62" i="73"/>
  <c r="AA9" i="67" s="1"/>
  <c r="AO62" i="73"/>
  <c r="AP62" i="73"/>
  <c r="AQ62" i="73"/>
  <c r="AR62" i="73"/>
  <c r="AS62" i="73"/>
  <c r="AT62" i="73"/>
  <c r="AU62" i="73"/>
  <c r="AV62" i="73"/>
  <c r="AG63" i="73"/>
  <c r="AH63" i="73"/>
  <c r="AI63" i="73"/>
  <c r="AJ63" i="73"/>
  <c r="AK63" i="73"/>
  <c r="AL63" i="73"/>
  <c r="AM63" i="73"/>
  <c r="AN63" i="73"/>
  <c r="AO63" i="73"/>
  <c r="AP63" i="73"/>
  <c r="AQ63" i="73"/>
  <c r="AR63" i="73"/>
  <c r="AS63" i="73"/>
  <c r="AT63" i="73"/>
  <c r="AU63" i="73"/>
  <c r="AV63" i="73"/>
  <c r="AI18" i="67" s="1"/>
  <c r="AG64" i="73"/>
  <c r="AH64" i="73"/>
  <c r="AI64" i="73"/>
  <c r="AJ64" i="73"/>
  <c r="AK64" i="73"/>
  <c r="AL64" i="73"/>
  <c r="AM64" i="73"/>
  <c r="AN64" i="73"/>
  <c r="AA23" i="67" s="1"/>
  <c r="AO64" i="73"/>
  <c r="AP64" i="73"/>
  <c r="AQ64" i="73"/>
  <c r="AR64" i="73"/>
  <c r="AS64" i="73"/>
  <c r="AT64" i="73"/>
  <c r="AU64" i="73"/>
  <c r="AV64" i="73"/>
  <c r="AG65" i="73"/>
  <c r="AH65" i="73"/>
  <c r="AI65" i="73"/>
  <c r="AJ65" i="73"/>
  <c r="AK65" i="73"/>
  <c r="AL65" i="73"/>
  <c r="AM65" i="73"/>
  <c r="AN65" i="73"/>
  <c r="AA24" i="67" s="1"/>
  <c r="AO65" i="73"/>
  <c r="AP65" i="73"/>
  <c r="AQ65" i="73"/>
  <c r="AR65" i="73"/>
  <c r="AS65" i="73"/>
  <c r="AT65" i="73"/>
  <c r="AU65" i="73"/>
  <c r="AV65" i="73"/>
  <c r="AI24" i="67" s="1"/>
  <c r="AG66" i="73"/>
  <c r="AH66" i="73"/>
  <c r="AI66" i="73"/>
  <c r="AJ66" i="73"/>
  <c r="AK66" i="73"/>
  <c r="AL66" i="73"/>
  <c r="AM66" i="73"/>
  <c r="AN66" i="73"/>
  <c r="AA25" i="67" s="1"/>
  <c r="AO66" i="73"/>
  <c r="AP66" i="73"/>
  <c r="AQ66" i="73"/>
  <c r="AR66" i="73"/>
  <c r="AS66" i="73"/>
  <c r="AT66" i="73"/>
  <c r="AU66" i="73"/>
  <c r="AV66" i="73"/>
  <c r="AI25" i="67" s="1"/>
  <c r="AG67" i="73"/>
  <c r="AH67" i="73"/>
  <c r="AI67" i="73"/>
  <c r="AJ67" i="73"/>
  <c r="AK67" i="73"/>
  <c r="AL67" i="73"/>
  <c r="AM67" i="73"/>
  <c r="AN67" i="73"/>
  <c r="AA26" i="67" s="1"/>
  <c r="AO67" i="73"/>
  <c r="AP67" i="73"/>
  <c r="AQ67" i="73"/>
  <c r="AR67" i="73"/>
  <c r="AS67" i="73"/>
  <c r="AT67" i="73"/>
  <c r="AU67" i="73"/>
  <c r="AV67" i="73"/>
  <c r="AI26" i="67" s="1"/>
  <c r="AG68" i="73"/>
  <c r="AH68" i="73"/>
  <c r="AI68" i="73"/>
  <c r="AJ68" i="73"/>
  <c r="AK68" i="73"/>
  <c r="X30" i="67" s="1"/>
  <c r="AL68" i="73"/>
  <c r="AM68" i="73"/>
  <c r="AN68" i="73"/>
  <c r="AA30" i="67" s="1"/>
  <c r="AO68" i="73"/>
  <c r="AP68" i="73"/>
  <c r="AQ68" i="73"/>
  <c r="AR68" i="73"/>
  <c r="AS68" i="73"/>
  <c r="AF30" i="67" s="1"/>
  <c r="AT68" i="73"/>
  <c r="AU68" i="73"/>
  <c r="AV68" i="73"/>
  <c r="AI30" i="67" s="1"/>
  <c r="AG69" i="73"/>
  <c r="AH69" i="73"/>
  <c r="AI69" i="73"/>
  <c r="AJ69" i="73"/>
  <c r="AK69" i="73"/>
  <c r="X31" i="67" s="1"/>
  <c r="X32" i="67" s="1"/>
  <c r="AL69" i="73"/>
  <c r="AM69" i="73"/>
  <c r="AN69" i="73"/>
  <c r="AO69" i="73"/>
  <c r="AP69" i="73"/>
  <c r="AQ69" i="73"/>
  <c r="AR69" i="73"/>
  <c r="AS69" i="73"/>
  <c r="AF31" i="67" s="1"/>
  <c r="AF32" i="67" s="1"/>
  <c r="AT69" i="73"/>
  <c r="AU69" i="73"/>
  <c r="AV69" i="73"/>
  <c r="AG70" i="73"/>
  <c r="AH70" i="73"/>
  <c r="AI70" i="73"/>
  <c r="AJ70" i="73"/>
  <c r="AK70" i="73"/>
  <c r="X33" i="67" s="1"/>
  <c r="X34" i="67" s="1"/>
  <c r="AL70" i="73"/>
  <c r="AM70" i="73"/>
  <c r="AN70" i="73"/>
  <c r="AA33" i="67" s="1"/>
  <c r="AA34" i="67" s="1"/>
  <c r="AO70" i="73"/>
  <c r="AP70" i="73"/>
  <c r="AQ70" i="73"/>
  <c r="AR70" i="73"/>
  <c r="AS70" i="73"/>
  <c r="AF33" i="67" s="1"/>
  <c r="AF34" i="67" s="1"/>
  <c r="AT70" i="73"/>
  <c r="AU70" i="73"/>
  <c r="AV70" i="73"/>
  <c r="AI33" i="67" s="1"/>
  <c r="AI34" i="67" s="1"/>
  <c r="AG71" i="73"/>
  <c r="AH71" i="73"/>
  <c r="AI71" i="73"/>
  <c r="AJ71" i="73"/>
  <c r="AK71" i="73"/>
  <c r="AL71" i="73"/>
  <c r="AM71" i="73"/>
  <c r="AN71" i="73"/>
  <c r="AA10" i="67" s="1"/>
  <c r="AO71" i="73"/>
  <c r="AP71" i="73"/>
  <c r="AQ71" i="73"/>
  <c r="AR71" i="73"/>
  <c r="AS71" i="73"/>
  <c r="AT71" i="73"/>
  <c r="AU71" i="73"/>
  <c r="AV71" i="73"/>
  <c r="AI10" i="67" s="1"/>
  <c r="AG72" i="73"/>
  <c r="AH72" i="73"/>
  <c r="AI72" i="73"/>
  <c r="AJ72" i="73"/>
  <c r="AK72" i="73"/>
  <c r="X11" i="67" s="1"/>
  <c r="AL72" i="73"/>
  <c r="AM72" i="73"/>
  <c r="AN72" i="73"/>
  <c r="AA11" i="67" s="1"/>
  <c r="AO72" i="73"/>
  <c r="AP72" i="73"/>
  <c r="AQ72" i="73"/>
  <c r="AR72" i="73"/>
  <c r="AS72" i="73"/>
  <c r="AF11" i="67" s="1"/>
  <c r="AT72" i="73"/>
  <c r="AU72" i="73"/>
  <c r="AV72" i="73"/>
  <c r="AI11" i="67" s="1"/>
  <c r="AG73" i="73"/>
  <c r="AH73" i="73"/>
  <c r="AI73" i="73"/>
  <c r="AJ73" i="73"/>
  <c r="AK73" i="73"/>
  <c r="X12" i="67" s="1"/>
  <c r="AL73" i="73"/>
  <c r="AM73" i="73"/>
  <c r="AN73" i="73"/>
  <c r="AA12" i="67" s="1"/>
  <c r="AO73" i="73"/>
  <c r="AP73" i="73"/>
  <c r="AQ73" i="73"/>
  <c r="AR73" i="73"/>
  <c r="AS73" i="73"/>
  <c r="AF12" i="67" s="1"/>
  <c r="AT73" i="73"/>
  <c r="AU73" i="73"/>
  <c r="AV73" i="73"/>
  <c r="AI12" i="67" s="1"/>
  <c r="AG74" i="73"/>
  <c r="AH74" i="73"/>
  <c r="AI74" i="73"/>
  <c r="AJ74" i="73"/>
  <c r="AK74" i="73"/>
  <c r="AL74" i="73"/>
  <c r="AM74" i="73"/>
  <c r="AN74" i="73"/>
  <c r="AA14" i="67" s="1"/>
  <c r="AO74" i="73"/>
  <c r="AP74" i="73"/>
  <c r="AQ74" i="73"/>
  <c r="AR74" i="73"/>
  <c r="AS74" i="73"/>
  <c r="AT74" i="73"/>
  <c r="AU74" i="73"/>
  <c r="AV74" i="73"/>
  <c r="AI14" i="67" s="1"/>
  <c r="AG75" i="73"/>
  <c r="AH75" i="73"/>
  <c r="AI75" i="73"/>
  <c r="AJ75" i="73"/>
  <c r="AK75" i="73"/>
  <c r="X29" i="67" s="1"/>
  <c r="AL75" i="73"/>
  <c r="AM75" i="73"/>
  <c r="AN75" i="73"/>
  <c r="AA29" i="67" s="1"/>
  <c r="AO75" i="73"/>
  <c r="AP75" i="73"/>
  <c r="AQ75" i="73"/>
  <c r="AR75" i="73"/>
  <c r="AS75" i="73"/>
  <c r="AF29" i="67" s="1"/>
  <c r="AT75" i="73"/>
  <c r="AU75" i="73"/>
  <c r="AV75" i="73"/>
  <c r="AI29" i="67" s="1"/>
  <c r="AG76" i="73"/>
  <c r="AH76" i="73"/>
  <c r="AI76" i="73"/>
  <c r="AJ76" i="73"/>
  <c r="AK76" i="73"/>
  <c r="X27" i="67" s="1"/>
  <c r="AL76" i="73"/>
  <c r="AM76" i="73"/>
  <c r="AN76" i="73"/>
  <c r="AA27" i="67" s="1"/>
  <c r="AO76" i="73"/>
  <c r="AP76" i="73"/>
  <c r="AQ76" i="73"/>
  <c r="AR76" i="73"/>
  <c r="AS76" i="73"/>
  <c r="AF27" i="67" s="1"/>
  <c r="AT76" i="73"/>
  <c r="AU76" i="73"/>
  <c r="AV76" i="73"/>
  <c r="AI27" i="67" s="1"/>
  <c r="AG77" i="73"/>
  <c r="AH77" i="73"/>
  <c r="AI77" i="73"/>
  <c r="AJ77" i="73"/>
  <c r="AK77" i="73"/>
  <c r="X13" i="67" s="1"/>
  <c r="AL77" i="73"/>
  <c r="AM77" i="73"/>
  <c r="AN77" i="73"/>
  <c r="AA13" i="67" s="1"/>
  <c r="AO77" i="73"/>
  <c r="AP77" i="73"/>
  <c r="AQ77" i="73"/>
  <c r="AR77" i="73"/>
  <c r="AS77" i="73"/>
  <c r="AF13" i="67" s="1"/>
  <c r="AT77" i="73"/>
  <c r="AU77" i="73"/>
  <c r="AV77" i="73"/>
  <c r="AI13" i="67" s="1"/>
  <c r="AG78" i="73"/>
  <c r="AH78" i="73"/>
  <c r="AI78" i="73"/>
  <c r="AJ78" i="73"/>
  <c r="W17" i="67" s="1"/>
  <c r="AK78" i="73"/>
  <c r="X17" i="67" s="1"/>
  <c r="AL78" i="73"/>
  <c r="AM78" i="73"/>
  <c r="AN78" i="73"/>
  <c r="AA17" i="67" s="1"/>
  <c r="AO78" i="73"/>
  <c r="AP78" i="73"/>
  <c r="AQ78" i="73"/>
  <c r="AR78" i="73"/>
  <c r="AE17" i="67" s="1"/>
  <c r="AS78" i="73"/>
  <c r="AF17" i="67" s="1"/>
  <c r="AT78" i="73"/>
  <c r="AU78" i="73"/>
  <c r="AV78" i="73"/>
  <c r="AI16" i="67" s="1"/>
  <c r="AG79" i="73"/>
  <c r="AH79" i="73"/>
  <c r="AI79" i="73"/>
  <c r="AJ79" i="73"/>
  <c r="AK79" i="73"/>
  <c r="AL79" i="73"/>
  <c r="AM79" i="73"/>
  <c r="Z28" i="67" s="1"/>
  <c r="AN79" i="73"/>
  <c r="AA28" i="67" s="1"/>
  <c r="AO79" i="73"/>
  <c r="AP79" i="73"/>
  <c r="AQ79" i="73"/>
  <c r="AR79" i="73"/>
  <c r="AS79" i="73"/>
  <c r="AT79" i="73"/>
  <c r="AU79" i="73"/>
  <c r="AH28" i="67" s="1"/>
  <c r="AV79" i="73"/>
  <c r="AI28" i="67" s="1"/>
  <c r="Y60" i="73"/>
  <c r="Z60" i="73"/>
  <c r="AA60" i="73"/>
  <c r="AB60" i="73"/>
  <c r="AC60" i="73"/>
  <c r="AD60" i="73"/>
  <c r="AE60" i="73"/>
  <c r="R7" i="67" s="1"/>
  <c r="AF60" i="73"/>
  <c r="Y61" i="73"/>
  <c r="Z61" i="73"/>
  <c r="AA61" i="73"/>
  <c r="AB61" i="73"/>
  <c r="AC61" i="73"/>
  <c r="AD61" i="73"/>
  <c r="AE61" i="73"/>
  <c r="R8" i="67" s="1"/>
  <c r="AF61" i="73"/>
  <c r="Y62" i="73"/>
  <c r="Z62" i="73"/>
  <c r="AA62" i="73"/>
  <c r="AB62" i="73"/>
  <c r="AC62" i="73"/>
  <c r="AD62" i="73"/>
  <c r="AE62" i="73"/>
  <c r="R9" i="67" s="1"/>
  <c r="AF62" i="73"/>
  <c r="Y63" i="73"/>
  <c r="Z63" i="73"/>
  <c r="AA63" i="73"/>
  <c r="AB63" i="73"/>
  <c r="AC63" i="73"/>
  <c r="AD63" i="73"/>
  <c r="AE63" i="73"/>
  <c r="R18" i="67" s="1"/>
  <c r="AF63" i="73"/>
  <c r="Y64" i="73"/>
  <c r="Z64" i="73"/>
  <c r="AA64" i="73"/>
  <c r="AB64" i="73"/>
  <c r="AC64" i="73"/>
  <c r="AD64" i="73"/>
  <c r="AE64" i="73"/>
  <c r="R23" i="67" s="1"/>
  <c r="AF64" i="73"/>
  <c r="Y65" i="73"/>
  <c r="Z65" i="73"/>
  <c r="AA65" i="73"/>
  <c r="AB65" i="73"/>
  <c r="AC65" i="73"/>
  <c r="AD65" i="73"/>
  <c r="AE65" i="73"/>
  <c r="AF65" i="73"/>
  <c r="Y66" i="73"/>
  <c r="Z66" i="73"/>
  <c r="AA66" i="73"/>
  <c r="AB66" i="73"/>
  <c r="AC66" i="73"/>
  <c r="AD66" i="73"/>
  <c r="AE66" i="73"/>
  <c r="R25" i="67" s="1"/>
  <c r="AF66" i="73"/>
  <c r="Y67" i="73"/>
  <c r="Z67" i="73"/>
  <c r="AA67" i="73"/>
  <c r="AB67" i="73"/>
  <c r="AC67" i="73"/>
  <c r="AD67" i="73"/>
  <c r="AE67" i="73"/>
  <c r="R26" i="67" s="1"/>
  <c r="AF67" i="73"/>
  <c r="Y68" i="73"/>
  <c r="Z68" i="73"/>
  <c r="AA68" i="73"/>
  <c r="AB68" i="73"/>
  <c r="AC68" i="73"/>
  <c r="AD68" i="73"/>
  <c r="AE68" i="73"/>
  <c r="R30" i="67" s="1"/>
  <c r="AF68" i="73"/>
  <c r="Y69" i="73"/>
  <c r="Z69" i="73"/>
  <c r="AA69" i="73"/>
  <c r="AB69" i="73"/>
  <c r="AC69" i="73"/>
  <c r="AD69" i="73"/>
  <c r="AE69" i="73"/>
  <c r="R31" i="67" s="1"/>
  <c r="R32" i="67" s="1"/>
  <c r="AF69" i="73"/>
  <c r="Y70" i="73"/>
  <c r="Z70" i="73"/>
  <c r="AA70" i="73"/>
  <c r="AB70" i="73"/>
  <c r="AC70" i="73"/>
  <c r="AD70" i="73"/>
  <c r="AE70" i="73"/>
  <c r="R33" i="67" s="1"/>
  <c r="R34" i="67" s="1"/>
  <c r="AF70" i="73"/>
  <c r="Y71" i="73"/>
  <c r="Z71" i="73"/>
  <c r="AA71" i="73"/>
  <c r="AB71" i="73"/>
  <c r="AC71" i="73"/>
  <c r="AD71" i="73"/>
  <c r="AE71" i="73"/>
  <c r="R10" i="67" s="1"/>
  <c r="AF71" i="73"/>
  <c r="Y72" i="73"/>
  <c r="Z72" i="73"/>
  <c r="AA72" i="73"/>
  <c r="AB72" i="73"/>
  <c r="AC72" i="73"/>
  <c r="AD72" i="73"/>
  <c r="AE72" i="73"/>
  <c r="R11" i="67" s="1"/>
  <c r="AF72" i="73"/>
  <c r="Y73" i="73"/>
  <c r="Z73" i="73"/>
  <c r="AA73" i="73"/>
  <c r="AB73" i="73"/>
  <c r="AC73" i="73"/>
  <c r="AD73" i="73"/>
  <c r="AE73" i="73"/>
  <c r="R12" i="67" s="1"/>
  <c r="AF73" i="73"/>
  <c r="Y74" i="73"/>
  <c r="Z74" i="73"/>
  <c r="AA74" i="73"/>
  <c r="AB74" i="73"/>
  <c r="AC74" i="73"/>
  <c r="AD74" i="73"/>
  <c r="AE74" i="73"/>
  <c r="R14" i="67" s="1"/>
  <c r="AF74" i="73"/>
  <c r="Y75" i="73"/>
  <c r="Z75" i="73"/>
  <c r="AA75" i="73"/>
  <c r="AB75" i="73"/>
  <c r="AC75" i="73"/>
  <c r="AD75" i="73"/>
  <c r="AE75" i="73"/>
  <c r="R29" i="67" s="1"/>
  <c r="AF75" i="73"/>
  <c r="Y76" i="73"/>
  <c r="Z76" i="73"/>
  <c r="AA76" i="73"/>
  <c r="AB76" i="73"/>
  <c r="AC76" i="73"/>
  <c r="AD76" i="73"/>
  <c r="AE76" i="73"/>
  <c r="R27" i="67" s="1"/>
  <c r="AF76" i="73"/>
  <c r="Y77" i="73"/>
  <c r="Z77" i="73"/>
  <c r="AA77" i="73"/>
  <c r="AB77" i="73"/>
  <c r="AC77" i="73"/>
  <c r="AD77" i="73"/>
  <c r="AE77" i="73"/>
  <c r="R13" i="67" s="1"/>
  <c r="AF77" i="73"/>
  <c r="Y78" i="73"/>
  <c r="Z78" i="73"/>
  <c r="AA78" i="73"/>
  <c r="AB78" i="73"/>
  <c r="AC78" i="73"/>
  <c r="AD78" i="73"/>
  <c r="AE78" i="73"/>
  <c r="R17" i="67" s="1"/>
  <c r="AF78" i="73"/>
  <c r="Y79" i="73"/>
  <c r="Z79" i="73"/>
  <c r="AA79" i="73"/>
  <c r="AB79" i="73"/>
  <c r="AC79" i="73"/>
  <c r="AD79" i="73"/>
  <c r="AE79" i="73"/>
  <c r="R28" i="67" s="1"/>
  <c r="AF79" i="73"/>
  <c r="X60" i="73"/>
  <c r="X61" i="73"/>
  <c r="X62" i="73"/>
  <c r="X63" i="73"/>
  <c r="X64" i="73"/>
  <c r="X65" i="73"/>
  <c r="X66" i="73"/>
  <c r="K25" i="67" s="1"/>
  <c r="X67" i="73"/>
  <c r="X68" i="73"/>
  <c r="X69" i="73"/>
  <c r="X70" i="73"/>
  <c r="X71" i="73"/>
  <c r="X72" i="73"/>
  <c r="X73" i="73"/>
  <c r="X74" i="73"/>
  <c r="K14" i="67" s="1"/>
  <c r="X75" i="73"/>
  <c r="X76" i="73"/>
  <c r="X77" i="73"/>
  <c r="X78" i="73"/>
  <c r="X79" i="73"/>
  <c r="W62" i="73"/>
  <c r="W63" i="73"/>
  <c r="W64" i="73"/>
  <c r="W65" i="73"/>
  <c r="W66" i="73"/>
  <c r="W67" i="73"/>
  <c r="W68" i="73"/>
  <c r="W69" i="73"/>
  <c r="J31" i="67" s="1"/>
  <c r="J32" i="67" s="1"/>
  <c r="W70" i="73"/>
  <c r="W71" i="73"/>
  <c r="W72" i="73"/>
  <c r="W73" i="73"/>
  <c r="W74" i="73"/>
  <c r="W75" i="73"/>
  <c r="W76" i="73"/>
  <c r="W77" i="73"/>
  <c r="J13" i="67" s="1"/>
  <c r="W78" i="73"/>
  <c r="W79" i="73"/>
  <c r="W61" i="73"/>
  <c r="J30" i="67"/>
  <c r="J27" i="67"/>
  <c r="W60" i="73"/>
  <c r="Y17" i="73"/>
  <c r="Z17" i="73"/>
  <c r="AA17" i="73"/>
  <c r="AB17" i="73"/>
  <c r="AC17" i="73"/>
  <c r="AD17" i="73"/>
  <c r="AE17" i="73"/>
  <c r="AF17" i="73"/>
  <c r="AG17" i="73"/>
  <c r="AH17" i="73"/>
  <c r="AI17" i="73"/>
  <c r="AJ17" i="73"/>
  <c r="AK17" i="73"/>
  <c r="AL17" i="73"/>
  <c r="AM17" i="73"/>
  <c r="AN17" i="73"/>
  <c r="AO17" i="73"/>
  <c r="AP17" i="73"/>
  <c r="AQ17" i="73"/>
  <c r="AR17" i="73"/>
  <c r="AS17" i="73"/>
  <c r="AT17" i="73"/>
  <c r="AU17" i="73"/>
  <c r="AV17" i="73"/>
  <c r="Y18" i="73"/>
  <c r="Z18" i="73"/>
  <c r="AA18" i="73"/>
  <c r="AB18" i="73"/>
  <c r="AC18" i="73"/>
  <c r="AD18" i="73"/>
  <c r="AE18" i="73"/>
  <c r="AF18" i="73"/>
  <c r="AG18" i="73"/>
  <c r="AH18" i="73"/>
  <c r="AI18" i="73"/>
  <c r="AJ18" i="73"/>
  <c r="AK18" i="73"/>
  <c r="AL18" i="73"/>
  <c r="AM18" i="73"/>
  <c r="AN18" i="73"/>
  <c r="AO18" i="73"/>
  <c r="AP18" i="73"/>
  <c r="AQ18" i="73"/>
  <c r="AR18" i="73"/>
  <c r="AS18" i="73"/>
  <c r="AT18" i="73"/>
  <c r="AU18" i="73"/>
  <c r="AV18" i="73"/>
  <c r="Y19" i="73"/>
  <c r="Z19" i="73"/>
  <c r="AA19" i="73"/>
  <c r="AB19" i="73"/>
  <c r="AC19" i="73"/>
  <c r="AD19" i="73"/>
  <c r="AE19" i="73"/>
  <c r="AF19" i="73"/>
  <c r="AG19" i="73"/>
  <c r="AH19" i="73"/>
  <c r="AI19" i="73"/>
  <c r="AJ19" i="73"/>
  <c r="AK19" i="73"/>
  <c r="AL19" i="73"/>
  <c r="AM19" i="73"/>
  <c r="AN19" i="73"/>
  <c r="AO19" i="73"/>
  <c r="AP19" i="73"/>
  <c r="AQ19" i="73"/>
  <c r="AR19" i="73"/>
  <c r="AS19" i="73"/>
  <c r="AT19" i="73"/>
  <c r="AU19" i="73"/>
  <c r="AV19" i="73"/>
  <c r="Y20" i="73"/>
  <c r="Z20" i="73"/>
  <c r="AA20" i="73"/>
  <c r="AB20" i="73"/>
  <c r="AC20" i="73"/>
  <c r="AD20" i="73"/>
  <c r="AE20" i="73"/>
  <c r="AF20" i="73"/>
  <c r="AG20" i="73"/>
  <c r="AH20" i="73"/>
  <c r="AI20" i="73"/>
  <c r="AJ20" i="73"/>
  <c r="AK20" i="73"/>
  <c r="AL20" i="73"/>
  <c r="AM20" i="73"/>
  <c r="AN20" i="73"/>
  <c r="AO20" i="73"/>
  <c r="AP20" i="73"/>
  <c r="AQ20" i="73"/>
  <c r="AR20" i="73"/>
  <c r="AS20" i="73"/>
  <c r="AT20" i="73"/>
  <c r="AU20" i="73"/>
  <c r="AV20" i="73"/>
  <c r="Y21" i="73"/>
  <c r="Z21" i="73"/>
  <c r="AA21" i="73"/>
  <c r="AB21" i="73"/>
  <c r="AC21" i="73"/>
  <c r="AD21" i="73"/>
  <c r="AE21" i="73"/>
  <c r="AF21" i="73"/>
  <c r="AG21" i="73"/>
  <c r="AH21" i="73"/>
  <c r="AI21" i="73"/>
  <c r="AJ21" i="73"/>
  <c r="AK21" i="73"/>
  <c r="AL21" i="73"/>
  <c r="AM21" i="73"/>
  <c r="AN21" i="73"/>
  <c r="AO21" i="73"/>
  <c r="AP21" i="73"/>
  <c r="AQ21" i="73"/>
  <c r="AR21" i="73"/>
  <c r="AS21" i="73"/>
  <c r="AT21" i="73"/>
  <c r="AU21" i="73"/>
  <c r="AV21" i="73"/>
  <c r="Y22" i="73"/>
  <c r="Z22" i="73"/>
  <c r="AA22" i="73"/>
  <c r="AB22" i="73"/>
  <c r="AC22" i="73"/>
  <c r="AD22" i="73"/>
  <c r="AE22" i="73"/>
  <c r="AF22" i="73"/>
  <c r="AG22" i="73"/>
  <c r="AH22" i="73"/>
  <c r="AI22" i="73"/>
  <c r="AJ22" i="73"/>
  <c r="AK22" i="73"/>
  <c r="AL22" i="73"/>
  <c r="AM22" i="73"/>
  <c r="AN22" i="73"/>
  <c r="AO22" i="73"/>
  <c r="AP22" i="73"/>
  <c r="AQ22" i="73"/>
  <c r="AR22" i="73"/>
  <c r="AS22" i="73"/>
  <c r="AT22" i="73"/>
  <c r="AU22" i="73"/>
  <c r="AV22" i="73"/>
  <c r="Y23" i="73"/>
  <c r="Z23" i="73"/>
  <c r="AA23" i="73"/>
  <c r="AB23" i="73"/>
  <c r="AC23" i="73"/>
  <c r="AD23" i="73"/>
  <c r="AE23" i="73"/>
  <c r="AF23" i="73"/>
  <c r="AG23" i="73"/>
  <c r="AH23" i="73"/>
  <c r="AI23" i="73"/>
  <c r="AJ23" i="73"/>
  <c r="AK23" i="73"/>
  <c r="AL23" i="73"/>
  <c r="AM23" i="73"/>
  <c r="AN23" i="73"/>
  <c r="AO23" i="73"/>
  <c r="AP23" i="73"/>
  <c r="AQ23" i="73"/>
  <c r="AR23" i="73"/>
  <c r="AS23" i="73"/>
  <c r="AT23" i="73"/>
  <c r="AU23" i="73"/>
  <c r="AV23" i="73"/>
  <c r="Y24" i="73"/>
  <c r="Z24" i="73"/>
  <c r="AA24" i="73"/>
  <c r="AB24" i="73"/>
  <c r="AC24" i="73"/>
  <c r="AD24" i="73"/>
  <c r="AE24" i="73"/>
  <c r="AF24" i="73"/>
  <c r="AG24" i="73"/>
  <c r="AH24" i="73"/>
  <c r="AI24" i="73"/>
  <c r="AJ24" i="73"/>
  <c r="AK24" i="73"/>
  <c r="AL24" i="73"/>
  <c r="AM24" i="73"/>
  <c r="AN24" i="73"/>
  <c r="AO24" i="73"/>
  <c r="AP24" i="73"/>
  <c r="AQ24" i="73"/>
  <c r="AR24" i="73"/>
  <c r="AS24" i="73"/>
  <c r="AT24" i="73"/>
  <c r="AU24" i="73"/>
  <c r="AV24" i="73"/>
  <c r="Y25" i="73"/>
  <c r="Z25" i="73"/>
  <c r="AA25" i="73"/>
  <c r="AB25" i="73"/>
  <c r="AC25" i="73"/>
  <c r="AD25" i="73"/>
  <c r="AE25" i="73"/>
  <c r="AF25" i="73"/>
  <c r="AG25" i="73"/>
  <c r="AH25" i="73"/>
  <c r="AI25" i="73"/>
  <c r="AJ25" i="73"/>
  <c r="AK25" i="73"/>
  <c r="AL25" i="73"/>
  <c r="AM25" i="73"/>
  <c r="AN25" i="73"/>
  <c r="AO25" i="73"/>
  <c r="AP25" i="73"/>
  <c r="AQ25" i="73"/>
  <c r="AR25" i="73"/>
  <c r="AS25" i="73"/>
  <c r="AT25" i="73"/>
  <c r="AU25" i="73"/>
  <c r="AV25" i="73"/>
  <c r="Y26" i="73"/>
  <c r="Z26" i="73"/>
  <c r="AA26" i="73"/>
  <c r="AB26" i="73"/>
  <c r="AC26" i="73"/>
  <c r="AD26" i="73"/>
  <c r="AE26" i="73"/>
  <c r="AF26" i="73"/>
  <c r="AG26" i="73"/>
  <c r="AH26" i="73"/>
  <c r="AI26" i="73"/>
  <c r="AJ26" i="73"/>
  <c r="AK26" i="73"/>
  <c r="AL26" i="73"/>
  <c r="AM26" i="73"/>
  <c r="AN26" i="73"/>
  <c r="AO26" i="73"/>
  <c r="AP26" i="73"/>
  <c r="AQ26" i="73"/>
  <c r="AR26" i="73"/>
  <c r="AS26" i="73"/>
  <c r="AT26" i="73"/>
  <c r="AU26" i="73"/>
  <c r="AV26" i="73"/>
  <c r="Y27" i="73"/>
  <c r="Z27" i="73"/>
  <c r="AA27" i="73"/>
  <c r="AB27" i="73"/>
  <c r="AC27" i="73"/>
  <c r="AD27" i="73"/>
  <c r="AE27" i="73"/>
  <c r="AF27" i="73"/>
  <c r="AG27" i="73"/>
  <c r="AH27" i="73"/>
  <c r="AI27" i="73"/>
  <c r="AJ27" i="73"/>
  <c r="AK27" i="73"/>
  <c r="AL27" i="73"/>
  <c r="AM27" i="73"/>
  <c r="AN27" i="73"/>
  <c r="AO27" i="73"/>
  <c r="AP27" i="73"/>
  <c r="AQ27" i="73"/>
  <c r="AR27" i="73"/>
  <c r="AS27" i="73"/>
  <c r="AT27" i="73"/>
  <c r="AU27" i="73"/>
  <c r="AV27" i="73"/>
  <c r="Y28" i="73"/>
  <c r="Z28" i="73"/>
  <c r="AA28" i="73"/>
  <c r="AB28" i="73"/>
  <c r="AC28" i="73"/>
  <c r="AD28" i="73"/>
  <c r="AE28" i="73"/>
  <c r="AF28" i="73"/>
  <c r="AG28" i="73"/>
  <c r="AH28" i="73"/>
  <c r="AI28" i="73"/>
  <c r="AJ28" i="73"/>
  <c r="AK28" i="73"/>
  <c r="AL28" i="73"/>
  <c r="AM28" i="73"/>
  <c r="AN28" i="73"/>
  <c r="AO28" i="73"/>
  <c r="AP28" i="73"/>
  <c r="AQ28" i="73"/>
  <c r="AR28" i="73"/>
  <c r="AS28" i="73"/>
  <c r="AT28" i="73"/>
  <c r="AU28" i="73"/>
  <c r="AV28" i="73"/>
  <c r="Y29" i="73"/>
  <c r="Z29" i="73"/>
  <c r="AA29" i="73"/>
  <c r="AB29" i="73"/>
  <c r="AC29" i="73"/>
  <c r="AD29" i="73"/>
  <c r="AE29" i="73"/>
  <c r="AF29" i="73"/>
  <c r="AG29" i="73"/>
  <c r="AH29" i="73"/>
  <c r="AI29" i="73"/>
  <c r="AJ29" i="73"/>
  <c r="AK29" i="73"/>
  <c r="AL29" i="73"/>
  <c r="AM29" i="73"/>
  <c r="AN29" i="73"/>
  <c r="AO29" i="73"/>
  <c r="AP29" i="73"/>
  <c r="AQ29" i="73"/>
  <c r="AR29" i="73"/>
  <c r="AS29" i="73"/>
  <c r="AT29" i="73"/>
  <c r="AU29" i="73"/>
  <c r="AV29" i="73"/>
  <c r="Y30" i="73"/>
  <c r="Z30" i="73"/>
  <c r="AA30" i="73"/>
  <c r="AB30" i="73"/>
  <c r="AC30" i="73"/>
  <c r="AD30" i="73"/>
  <c r="AE30" i="73"/>
  <c r="AF30" i="73"/>
  <c r="AG30" i="73"/>
  <c r="AH30" i="73"/>
  <c r="AI30" i="73"/>
  <c r="AJ30" i="73"/>
  <c r="AK30" i="73"/>
  <c r="AL30" i="73"/>
  <c r="AM30" i="73"/>
  <c r="AN30" i="73"/>
  <c r="AO30" i="73"/>
  <c r="AP30" i="73"/>
  <c r="AQ30" i="73"/>
  <c r="AR30" i="73"/>
  <c r="AS30" i="73"/>
  <c r="AT30" i="73"/>
  <c r="AU30" i="73"/>
  <c r="AV30" i="73"/>
  <c r="Y31" i="73"/>
  <c r="Z31" i="73"/>
  <c r="AA31" i="73"/>
  <c r="AB31" i="73"/>
  <c r="AC31" i="73"/>
  <c r="AD31" i="73"/>
  <c r="AE31" i="73"/>
  <c r="AF31" i="73"/>
  <c r="AG31" i="73"/>
  <c r="AH31" i="73"/>
  <c r="AI31" i="73"/>
  <c r="AJ31" i="73"/>
  <c r="AK31" i="73"/>
  <c r="AL31" i="73"/>
  <c r="AM31" i="73"/>
  <c r="AN31" i="73"/>
  <c r="AO31" i="73"/>
  <c r="AP31" i="73"/>
  <c r="AQ31" i="73"/>
  <c r="AR31" i="73"/>
  <c r="AS31" i="73"/>
  <c r="AT31" i="73"/>
  <c r="AU31" i="73"/>
  <c r="AV31" i="73"/>
  <c r="Y32" i="73"/>
  <c r="Z32" i="73"/>
  <c r="AA32" i="73"/>
  <c r="AB32" i="73"/>
  <c r="AC32" i="73"/>
  <c r="AD32" i="73"/>
  <c r="AE32" i="73"/>
  <c r="AF32" i="73"/>
  <c r="AG32" i="73"/>
  <c r="AH32" i="73"/>
  <c r="AI32" i="73"/>
  <c r="AJ32" i="73"/>
  <c r="AK32" i="73"/>
  <c r="AL32" i="73"/>
  <c r="AM32" i="73"/>
  <c r="AN32" i="73"/>
  <c r="AO32" i="73"/>
  <c r="AP32" i="73"/>
  <c r="AQ32" i="73"/>
  <c r="AR32" i="73"/>
  <c r="AS32" i="73"/>
  <c r="AT32" i="73"/>
  <c r="AU32" i="73"/>
  <c r="AV32" i="73"/>
  <c r="Y33" i="73"/>
  <c r="Z33" i="73"/>
  <c r="AA33" i="73"/>
  <c r="AB33" i="73"/>
  <c r="AC33" i="73"/>
  <c r="AD33" i="73"/>
  <c r="AE33" i="73"/>
  <c r="AF33" i="73"/>
  <c r="AG33" i="73"/>
  <c r="AH33" i="73"/>
  <c r="AI33" i="73"/>
  <c r="AJ33" i="73"/>
  <c r="AK33" i="73"/>
  <c r="AL33" i="73"/>
  <c r="AM33" i="73"/>
  <c r="AN33" i="73"/>
  <c r="AO33" i="73"/>
  <c r="AP33" i="73"/>
  <c r="AQ33" i="73"/>
  <c r="AR33" i="73"/>
  <c r="AS33" i="73"/>
  <c r="AT33" i="73"/>
  <c r="AU33" i="73"/>
  <c r="AV33" i="73"/>
  <c r="Y34" i="73"/>
  <c r="Z34" i="73"/>
  <c r="AA34" i="73"/>
  <c r="AB34" i="73"/>
  <c r="AC34" i="73"/>
  <c r="AD34" i="73"/>
  <c r="AE34" i="73"/>
  <c r="AF34" i="73"/>
  <c r="AG34" i="73"/>
  <c r="AH34" i="73"/>
  <c r="AI34" i="73"/>
  <c r="AJ34" i="73"/>
  <c r="AK34" i="73"/>
  <c r="AL34" i="73"/>
  <c r="AM34" i="73"/>
  <c r="AN34" i="73"/>
  <c r="AO34" i="73"/>
  <c r="AP34" i="73"/>
  <c r="AQ34" i="73"/>
  <c r="AR34" i="73"/>
  <c r="AS34" i="73"/>
  <c r="AT34" i="73"/>
  <c r="AU34" i="73"/>
  <c r="AV34" i="73"/>
  <c r="Y35" i="73"/>
  <c r="Z35" i="73"/>
  <c r="AA35" i="73"/>
  <c r="AB35" i="73"/>
  <c r="AC35" i="73"/>
  <c r="AD35" i="73"/>
  <c r="AE35" i="73"/>
  <c r="AF35" i="73"/>
  <c r="AG35" i="73"/>
  <c r="AH35" i="73"/>
  <c r="AI35" i="73"/>
  <c r="AJ35" i="73"/>
  <c r="AK35" i="73"/>
  <c r="AL35" i="73"/>
  <c r="AM35" i="73"/>
  <c r="AN35" i="73"/>
  <c r="AO35" i="73"/>
  <c r="AP35" i="73"/>
  <c r="AQ35" i="73"/>
  <c r="AR35" i="73"/>
  <c r="AS35" i="73"/>
  <c r="AT35" i="73"/>
  <c r="AU35" i="73"/>
  <c r="AV35" i="73"/>
  <c r="Y36" i="73"/>
  <c r="Z36" i="73"/>
  <c r="AA36" i="73"/>
  <c r="AB36" i="73"/>
  <c r="AC36" i="73"/>
  <c r="AD36" i="73"/>
  <c r="AE36" i="73"/>
  <c r="AF36" i="73"/>
  <c r="AG36" i="73"/>
  <c r="AH36" i="73"/>
  <c r="AI36" i="73"/>
  <c r="AJ36" i="73"/>
  <c r="AK36" i="73"/>
  <c r="AL36" i="73"/>
  <c r="AM36" i="73"/>
  <c r="AN36" i="73"/>
  <c r="AO36" i="73"/>
  <c r="AP36" i="73"/>
  <c r="AQ36" i="73"/>
  <c r="AR36" i="73"/>
  <c r="AS36" i="73"/>
  <c r="AT36" i="73"/>
  <c r="AU36" i="73"/>
  <c r="AV36" i="73"/>
  <c r="X32" i="73"/>
  <c r="X33" i="73"/>
  <c r="X34" i="73"/>
  <c r="X35" i="73"/>
  <c r="X36" i="73"/>
  <c r="X31" i="73"/>
  <c r="X25" i="73"/>
  <c r="X26" i="73"/>
  <c r="X27" i="73"/>
  <c r="X28" i="73"/>
  <c r="X29" i="73"/>
  <c r="X30" i="73"/>
  <c r="X21" i="73"/>
  <c r="X22" i="73"/>
  <c r="X23" i="73"/>
  <c r="X24" i="73"/>
  <c r="X20" i="73"/>
  <c r="X19" i="73"/>
  <c r="X18" i="73"/>
  <c r="X17" i="73"/>
  <c r="Q29" i="73"/>
  <c r="P29" i="73"/>
  <c r="L6" i="73" s="1"/>
  <c r="O29" i="73"/>
  <c r="M29" i="73"/>
  <c r="L29" i="73"/>
  <c r="K29" i="73"/>
  <c r="H9" i="73" s="1"/>
  <c r="J29" i="73"/>
  <c r="J24" i="73"/>
  <c r="J25" i="73"/>
  <c r="J26" i="73"/>
  <c r="J27" i="73"/>
  <c r="J28" i="73"/>
  <c r="H29" i="73"/>
  <c r="D22" i="73"/>
  <c r="C21" i="73"/>
  <c r="AK12" i="73"/>
  <c r="AL12" i="73" s="1"/>
  <c r="AM12" i="73" s="1"/>
  <c r="AN12" i="73" s="1"/>
  <c r="AO12" i="73" s="1"/>
  <c r="AP12" i="73" s="1"/>
  <c r="AQ12" i="73" s="1"/>
  <c r="AR12" i="73" s="1"/>
  <c r="AS12" i="73" s="1"/>
  <c r="AT12" i="73" s="1"/>
  <c r="AU12" i="73" s="1"/>
  <c r="AV12" i="73" s="1"/>
  <c r="AJ12" i="73"/>
  <c r="AI12" i="73"/>
  <c r="AF12" i="73"/>
  <c r="AD12" i="73"/>
  <c r="AC12" i="73"/>
  <c r="AB12" i="73"/>
  <c r="AA12" i="73"/>
  <c r="AL8" i="73"/>
  <c r="AM8" i="73" s="1"/>
  <c r="AN8" i="73" s="1"/>
  <c r="AO8" i="73" s="1"/>
  <c r="AP8" i="73" s="1"/>
  <c r="AQ8" i="73" s="1"/>
  <c r="AR8" i="73" s="1"/>
  <c r="AS8" i="73" s="1"/>
  <c r="AT8" i="73" s="1"/>
  <c r="AU8" i="73" s="1"/>
  <c r="AV8" i="73" s="1"/>
  <c r="AK8" i="73"/>
  <c r="AJ8" i="73"/>
  <c r="AG8" i="73"/>
  <c r="AH8" i="73"/>
  <c r="AI8" i="73" s="1"/>
  <c r="AF8" i="73"/>
  <c r="AE8" i="73"/>
  <c r="AK7" i="73"/>
  <c r="AL7" i="73" s="1"/>
  <c r="AM7" i="73" s="1"/>
  <c r="AN7" i="73" s="1"/>
  <c r="AO7" i="73" s="1"/>
  <c r="AP7" i="73" s="1"/>
  <c r="AQ7" i="73" s="1"/>
  <c r="AR7" i="73" s="1"/>
  <c r="AS7" i="73" s="1"/>
  <c r="AT7" i="73" s="1"/>
  <c r="AU7" i="73" s="1"/>
  <c r="AV7" i="73" s="1"/>
  <c r="AJ7" i="73"/>
  <c r="AH7" i="73"/>
  <c r="AI7" i="73"/>
  <c r="AG7" i="73"/>
  <c r="AD7" i="73"/>
  <c r="AB7" i="73"/>
  <c r="AC7" i="73" s="1"/>
  <c r="AA7" i="73"/>
  <c r="AE6" i="73"/>
  <c r="AD6" i="73"/>
  <c r="AC6" i="73"/>
  <c r="AB6" i="73"/>
  <c r="AA6" i="73"/>
  <c r="Z12" i="73"/>
  <c r="Z7" i="73"/>
  <c r="Z6" i="73"/>
  <c r="Y13" i="73"/>
  <c r="Z13" i="73" s="1"/>
  <c r="AA13" i="73" s="1"/>
  <c r="AB13" i="73" s="1"/>
  <c r="AC13" i="73" s="1"/>
  <c r="AD13" i="73" s="1"/>
  <c r="Y6" i="73"/>
  <c r="X13" i="73"/>
  <c r="X11" i="73"/>
  <c r="Y11" i="73" s="1"/>
  <c r="Z11" i="73" s="1"/>
  <c r="AA11" i="73" s="1"/>
  <c r="AB11" i="73" s="1"/>
  <c r="AC11" i="73" s="1"/>
  <c r="X10" i="73"/>
  <c r="Y10" i="73" s="1"/>
  <c r="Z10" i="73" s="1"/>
  <c r="AA10" i="73" s="1"/>
  <c r="AB10" i="73" s="1"/>
  <c r="AC10" i="73" s="1"/>
  <c r="AD10" i="73" s="1"/>
  <c r="AE10" i="73" s="1"/>
  <c r="AF10" i="73" s="1"/>
  <c r="AG10" i="73" s="1"/>
  <c r="AH10" i="73" s="1"/>
  <c r="X9" i="73"/>
  <c r="Y9" i="73" s="1"/>
  <c r="Z9" i="73" s="1"/>
  <c r="AA9" i="73" s="1"/>
  <c r="AB9" i="73" s="1"/>
  <c r="AC9" i="73" s="1"/>
  <c r="W15" i="73"/>
  <c r="N17" i="73"/>
  <c r="O17" i="73" s="1"/>
  <c r="M17" i="73"/>
  <c r="L17" i="73"/>
  <c r="K17" i="73"/>
  <c r="K7" i="73"/>
  <c r="K8" i="73"/>
  <c r="K9" i="73"/>
  <c r="K10" i="73"/>
  <c r="L10" i="73" s="1"/>
  <c r="K11" i="73"/>
  <c r="L11" i="73" s="1"/>
  <c r="K12" i="73"/>
  <c r="K13" i="73"/>
  <c r="L13" i="73" s="1"/>
  <c r="K6" i="73"/>
  <c r="I17" i="73"/>
  <c r="J17" i="73" s="1"/>
  <c r="H7" i="73"/>
  <c r="H8" i="73"/>
  <c r="I8" i="73" s="1"/>
  <c r="J8" i="73" s="1"/>
  <c r="H10" i="73"/>
  <c r="I10" i="73" s="1"/>
  <c r="J10" i="73" s="1"/>
  <c r="G8" i="73"/>
  <c r="G9" i="73"/>
  <c r="G10" i="73"/>
  <c r="G11" i="73"/>
  <c r="G12" i="73"/>
  <c r="G13" i="73"/>
  <c r="G7" i="73"/>
  <c r="G6" i="73"/>
  <c r="F7" i="73"/>
  <c r="F8" i="73"/>
  <c r="F9" i="73"/>
  <c r="F10" i="73"/>
  <c r="F11" i="73"/>
  <c r="F12" i="73"/>
  <c r="F13" i="73"/>
  <c r="F6" i="73"/>
  <c r="F15" i="73" s="1"/>
  <c r="E7" i="73"/>
  <c r="E8" i="73"/>
  <c r="E9" i="73"/>
  <c r="E10" i="73"/>
  <c r="E11" i="73"/>
  <c r="E12" i="73"/>
  <c r="E13" i="73"/>
  <c r="E6" i="73"/>
  <c r="D15" i="73"/>
  <c r="C15" i="73"/>
  <c r="D7" i="73"/>
  <c r="D8" i="73"/>
  <c r="D9" i="73"/>
  <c r="D10" i="73"/>
  <c r="D11" i="73"/>
  <c r="D12" i="73"/>
  <c r="D13" i="73"/>
  <c r="D6" i="73"/>
  <c r="L91" i="67"/>
  <c r="M91" i="67"/>
  <c r="N91" i="67"/>
  <c r="N92" i="67" s="1"/>
  <c r="O91" i="67"/>
  <c r="O92" i="67" s="1"/>
  <c r="Q91" i="67"/>
  <c r="Q92" i="67" s="1"/>
  <c r="R91" i="67"/>
  <c r="R92" i="67" s="1"/>
  <c r="S91" i="67"/>
  <c r="T91" i="67"/>
  <c r="T92" i="67" s="1"/>
  <c r="U91" i="67"/>
  <c r="V91" i="67"/>
  <c r="V92" i="67" s="1"/>
  <c r="W91" i="67"/>
  <c r="Y91" i="67"/>
  <c r="Y92" i="67" s="1"/>
  <c r="Z91" i="67"/>
  <c r="Z92" i="67" s="1"/>
  <c r="AA91" i="67"/>
  <c r="AA92" i="67" s="1"/>
  <c r="AB91" i="67"/>
  <c r="AC91" i="67"/>
  <c r="AD91" i="67"/>
  <c r="AD92" i="67" s="1"/>
  <c r="AE91" i="67"/>
  <c r="AE92" i="67" s="1"/>
  <c r="AG91" i="67"/>
  <c r="AG92" i="67" s="1"/>
  <c r="AH91" i="67"/>
  <c r="AH92" i="67" s="1"/>
  <c r="AI91" i="67"/>
  <c r="L81" i="67"/>
  <c r="M81" i="67"/>
  <c r="O81" i="67"/>
  <c r="P81" i="67"/>
  <c r="Q81" i="67"/>
  <c r="R81" i="67"/>
  <c r="S81" i="67"/>
  <c r="T81" i="67"/>
  <c r="U81" i="67"/>
  <c r="W81" i="67"/>
  <c r="X81" i="67"/>
  <c r="Y81" i="67"/>
  <c r="Z81" i="67"/>
  <c r="AA81" i="67"/>
  <c r="AB81" i="67"/>
  <c r="AC81" i="67"/>
  <c r="AE81" i="67"/>
  <c r="AF81" i="67"/>
  <c r="AG81" i="67"/>
  <c r="AH81" i="67"/>
  <c r="AI81" i="67"/>
  <c r="L82" i="67"/>
  <c r="N82" i="67"/>
  <c r="O82" i="67"/>
  <c r="P82" i="67"/>
  <c r="Q82" i="67"/>
  <c r="R82" i="67"/>
  <c r="S82" i="67"/>
  <c r="T82" i="67"/>
  <c r="V82" i="67"/>
  <c r="W82" i="67"/>
  <c r="X82" i="67"/>
  <c r="Y82" i="67"/>
  <c r="Z82" i="67"/>
  <c r="AA82" i="67"/>
  <c r="AB82" i="67"/>
  <c r="AD82" i="67"/>
  <c r="AE82" i="67"/>
  <c r="AF82" i="67"/>
  <c r="AG82" i="67"/>
  <c r="AH82" i="67"/>
  <c r="AI82" i="67"/>
  <c r="M83" i="67"/>
  <c r="N83" i="67"/>
  <c r="O83" i="67"/>
  <c r="P83" i="67"/>
  <c r="Q83" i="67"/>
  <c r="R83" i="67"/>
  <c r="S83" i="67"/>
  <c r="U83" i="67"/>
  <c r="V83" i="67"/>
  <c r="W83" i="67"/>
  <c r="X83" i="67"/>
  <c r="Y83" i="67"/>
  <c r="Z83" i="67"/>
  <c r="AA83" i="67"/>
  <c r="AC83" i="67"/>
  <c r="AD83" i="67"/>
  <c r="AE83" i="67"/>
  <c r="AF83" i="67"/>
  <c r="AG83" i="67"/>
  <c r="AH83" i="67"/>
  <c r="AI83" i="67"/>
  <c r="L84" i="67"/>
  <c r="M84" i="67"/>
  <c r="N84" i="67"/>
  <c r="O84" i="67"/>
  <c r="P84" i="67"/>
  <c r="Q84" i="67"/>
  <c r="R84" i="67"/>
  <c r="T84" i="67"/>
  <c r="U84" i="67"/>
  <c r="V84" i="67"/>
  <c r="W84" i="67"/>
  <c r="X84" i="67"/>
  <c r="Y84" i="67"/>
  <c r="Z84" i="67"/>
  <c r="AB84" i="67"/>
  <c r="AC84" i="67"/>
  <c r="AD84" i="67"/>
  <c r="AE84" i="67"/>
  <c r="AF84" i="67"/>
  <c r="AG84" i="67"/>
  <c r="AH84" i="67"/>
  <c r="L85" i="67"/>
  <c r="M85" i="67"/>
  <c r="N85" i="67"/>
  <c r="O85" i="67"/>
  <c r="P85" i="67"/>
  <c r="Q85" i="67"/>
  <c r="R85" i="67"/>
  <c r="S85" i="67"/>
  <c r="T85" i="67"/>
  <c r="U85" i="67"/>
  <c r="V85" i="67"/>
  <c r="W85" i="67"/>
  <c r="X85" i="67"/>
  <c r="Y85" i="67"/>
  <c r="Z85" i="67"/>
  <c r="AA85" i="67"/>
  <c r="AB85" i="67"/>
  <c r="AC85" i="67"/>
  <c r="AD85" i="67"/>
  <c r="AE85" i="67"/>
  <c r="AF85" i="67"/>
  <c r="AG85" i="67"/>
  <c r="AH85" i="67"/>
  <c r="AI85" i="67"/>
  <c r="L86" i="67"/>
  <c r="M86" i="67"/>
  <c r="N86" i="67"/>
  <c r="O86" i="67"/>
  <c r="P86" i="67"/>
  <c r="Q86" i="67"/>
  <c r="R86" i="67"/>
  <c r="S86" i="67"/>
  <c r="T86" i="67"/>
  <c r="U86" i="67"/>
  <c r="V86" i="67"/>
  <c r="W86" i="67"/>
  <c r="X86" i="67"/>
  <c r="Y86" i="67"/>
  <c r="Z86" i="67"/>
  <c r="AA86" i="67"/>
  <c r="AB86" i="67"/>
  <c r="AC86" i="67"/>
  <c r="AD86" i="67"/>
  <c r="AE86" i="67"/>
  <c r="AF86" i="67"/>
  <c r="AG86" i="67"/>
  <c r="AH86" i="67"/>
  <c r="AI86" i="67"/>
  <c r="L87" i="67"/>
  <c r="N87" i="67"/>
  <c r="O87" i="67"/>
  <c r="P87" i="67"/>
  <c r="R87" i="67"/>
  <c r="T87" i="67"/>
  <c r="V87" i="67"/>
  <c r="W87" i="67"/>
  <c r="X87" i="67"/>
  <c r="Z87" i="67"/>
  <c r="AB87" i="67"/>
  <c r="AD87" i="67"/>
  <c r="AE87" i="67"/>
  <c r="AF87" i="67"/>
  <c r="AH87" i="67"/>
  <c r="L88" i="67"/>
  <c r="M88" i="67"/>
  <c r="N88" i="67"/>
  <c r="O88" i="67"/>
  <c r="P88" i="67"/>
  <c r="Q88" i="67"/>
  <c r="R88" i="67"/>
  <c r="S88" i="67"/>
  <c r="T88" i="67"/>
  <c r="U88" i="67"/>
  <c r="V88" i="67"/>
  <c r="W88" i="67"/>
  <c r="X88" i="67"/>
  <c r="Y88" i="67"/>
  <c r="Z88" i="67"/>
  <c r="AA88" i="67"/>
  <c r="AB88" i="67"/>
  <c r="AC88" i="67"/>
  <c r="AD88" i="67"/>
  <c r="AE88" i="67"/>
  <c r="AF88" i="67"/>
  <c r="AG88" i="67"/>
  <c r="AH88" i="67"/>
  <c r="AI88" i="67"/>
  <c r="L89" i="67"/>
  <c r="M89" i="67"/>
  <c r="M90" i="67" s="1"/>
  <c r="N89" i="67"/>
  <c r="N90" i="67" s="1"/>
  <c r="O89" i="67"/>
  <c r="O90" i="67" s="1"/>
  <c r="P89" i="67"/>
  <c r="P90" i="67" s="1"/>
  <c r="R89" i="67"/>
  <c r="R90" i="67" s="1"/>
  <c r="S89" i="67"/>
  <c r="T89" i="67"/>
  <c r="U89" i="67"/>
  <c r="U90" i="67" s="1"/>
  <c r="V89" i="67"/>
  <c r="W89" i="67"/>
  <c r="W90" i="67" s="1"/>
  <c r="X89" i="67"/>
  <c r="Z89" i="67"/>
  <c r="Z90" i="67" s="1"/>
  <c r="AA89" i="67"/>
  <c r="AB89" i="67"/>
  <c r="AB90" i="67" s="1"/>
  <c r="AC89" i="67"/>
  <c r="AC90" i="67" s="1"/>
  <c r="AD89" i="67"/>
  <c r="AD90" i="67" s="1"/>
  <c r="AE89" i="67"/>
  <c r="AE90" i="67" s="1"/>
  <c r="AF89" i="67"/>
  <c r="AF90" i="67" s="1"/>
  <c r="AH89" i="67"/>
  <c r="AH90" i="67" s="1"/>
  <c r="AI89" i="67"/>
  <c r="AI90" i="67" s="1"/>
  <c r="K91" i="67"/>
  <c r="K92" i="67" s="1"/>
  <c r="K89" i="67"/>
  <c r="K90" i="67" s="1"/>
  <c r="K88" i="67"/>
  <c r="K86" i="67"/>
  <c r="K84" i="67"/>
  <c r="K83" i="67"/>
  <c r="K82" i="67"/>
  <c r="K81" i="67"/>
  <c r="L75" i="67"/>
  <c r="M75" i="67"/>
  <c r="N75" i="67"/>
  <c r="O75" i="67"/>
  <c r="P75" i="67"/>
  <c r="Q75" i="67"/>
  <c r="R75" i="67"/>
  <c r="S75" i="67"/>
  <c r="T75" i="67"/>
  <c r="U75" i="67"/>
  <c r="V75" i="67"/>
  <c r="W75" i="67"/>
  <c r="X75" i="67"/>
  <c r="Y75" i="67"/>
  <c r="Z75" i="67"/>
  <c r="AA75" i="67"/>
  <c r="AB75" i="67"/>
  <c r="AC75" i="67"/>
  <c r="AD75" i="67"/>
  <c r="AE75" i="67"/>
  <c r="AF75" i="67"/>
  <c r="AG75" i="67"/>
  <c r="AH75" i="67"/>
  <c r="AI75" i="67"/>
  <c r="L76" i="67"/>
  <c r="M76" i="67"/>
  <c r="N76" i="67"/>
  <c r="P76" i="67"/>
  <c r="Q76" i="67"/>
  <c r="R76" i="67"/>
  <c r="S76" i="67"/>
  <c r="T76" i="67"/>
  <c r="U76" i="67"/>
  <c r="V76" i="67"/>
  <c r="X76" i="67"/>
  <c r="Y76" i="67"/>
  <c r="Z76" i="67"/>
  <c r="AA76" i="67"/>
  <c r="AB76" i="67"/>
  <c r="AC76" i="67"/>
  <c r="AD76" i="67"/>
  <c r="AF76" i="67"/>
  <c r="AG76" i="67"/>
  <c r="AH76" i="67"/>
  <c r="AI76" i="67"/>
  <c r="K76" i="67"/>
  <c r="K75" i="67"/>
  <c r="AI72" i="67"/>
  <c r="AH72" i="67"/>
  <c r="AG72" i="67"/>
  <c r="AF72" i="67"/>
  <c r="AE72" i="67"/>
  <c r="AD72" i="67"/>
  <c r="AC72" i="67"/>
  <c r="AA72" i="67"/>
  <c r="Z72" i="67"/>
  <c r="Y72" i="67"/>
  <c r="X72" i="67"/>
  <c r="W72" i="67"/>
  <c r="V72" i="67"/>
  <c r="U72" i="67"/>
  <c r="S72" i="67"/>
  <c r="R72" i="67"/>
  <c r="Q72" i="67"/>
  <c r="P72" i="67"/>
  <c r="O72" i="67"/>
  <c r="N72" i="67"/>
  <c r="M72" i="67"/>
  <c r="AI71" i="67"/>
  <c r="AG71" i="67"/>
  <c r="AF71" i="67"/>
  <c r="AE71" i="67"/>
  <c r="AC71" i="67"/>
  <c r="AB71" i="67"/>
  <c r="AA71" i="67"/>
  <c r="Y71" i="67"/>
  <c r="X71" i="67"/>
  <c r="W71" i="67"/>
  <c r="U71" i="67"/>
  <c r="T71" i="67"/>
  <c r="S71" i="67"/>
  <c r="Q71" i="67"/>
  <c r="P71" i="67"/>
  <c r="O71" i="67"/>
  <c r="M71" i="67"/>
  <c r="L71" i="67"/>
  <c r="AI70" i="67"/>
  <c r="AH70" i="67"/>
  <c r="AG70" i="67"/>
  <c r="AF70" i="67"/>
  <c r="AE70" i="67"/>
  <c r="AD70" i="67"/>
  <c r="AB70" i="67"/>
  <c r="AA70" i="67"/>
  <c r="Z70" i="67"/>
  <c r="Y70" i="67"/>
  <c r="X70" i="67"/>
  <c r="W70" i="67"/>
  <c r="V70" i="67"/>
  <c r="T70" i="67"/>
  <c r="S70" i="67"/>
  <c r="R70" i="67"/>
  <c r="Q70" i="67"/>
  <c r="P70" i="67"/>
  <c r="O70" i="67"/>
  <c r="N70" i="67"/>
  <c r="L70" i="67"/>
  <c r="AI69" i="67"/>
  <c r="AH69" i="67"/>
  <c r="AG69" i="67"/>
  <c r="AF69" i="67"/>
  <c r="AE69" i="67"/>
  <c r="AC69" i="67"/>
  <c r="AB69" i="67"/>
  <c r="AA69" i="67"/>
  <c r="Z69" i="67"/>
  <c r="Y69" i="67"/>
  <c r="X69" i="67"/>
  <c r="W69" i="67"/>
  <c r="U69" i="67"/>
  <c r="T69" i="67"/>
  <c r="S69" i="67"/>
  <c r="R69" i="67"/>
  <c r="Q69" i="67"/>
  <c r="P69" i="67"/>
  <c r="O69" i="67"/>
  <c r="M69" i="67"/>
  <c r="L69" i="67"/>
  <c r="AI68" i="67"/>
  <c r="AH68" i="67"/>
  <c r="AG68" i="67"/>
  <c r="AF68" i="67"/>
  <c r="AD68" i="67"/>
  <c r="AC68" i="67"/>
  <c r="AB68" i="67"/>
  <c r="AA68" i="67"/>
  <c r="Z68" i="67"/>
  <c r="Y68" i="67"/>
  <c r="X68" i="67"/>
  <c r="V68" i="67"/>
  <c r="U68" i="67"/>
  <c r="T68" i="67"/>
  <c r="S68" i="67"/>
  <c r="R68" i="67"/>
  <c r="Q68" i="67"/>
  <c r="P68" i="67"/>
  <c r="N68" i="67"/>
  <c r="M68" i="67"/>
  <c r="L68" i="67"/>
  <c r="AI67" i="67"/>
  <c r="AH67" i="67"/>
  <c r="AG67" i="67"/>
  <c r="AF67" i="67"/>
  <c r="AE67" i="67"/>
  <c r="AD67" i="67"/>
  <c r="AC67" i="67"/>
  <c r="AB67" i="67"/>
  <c r="AA67" i="67"/>
  <c r="Z67" i="67"/>
  <c r="Y67" i="67"/>
  <c r="X67" i="67"/>
  <c r="W67" i="67"/>
  <c r="V67" i="67"/>
  <c r="U67" i="67"/>
  <c r="T67" i="67"/>
  <c r="S67" i="67"/>
  <c r="R67" i="67"/>
  <c r="Q67" i="67"/>
  <c r="P67" i="67"/>
  <c r="O67" i="67"/>
  <c r="N67" i="67"/>
  <c r="M67" i="67"/>
  <c r="L67" i="67"/>
  <c r="AI66" i="67"/>
  <c r="AH66" i="67"/>
  <c r="AG66" i="67"/>
  <c r="AF66" i="67"/>
  <c r="AE66" i="67"/>
  <c r="AD66" i="67"/>
  <c r="AC66" i="67"/>
  <c r="AB66" i="67"/>
  <c r="AA66" i="67"/>
  <c r="Z66" i="67"/>
  <c r="Y66" i="67"/>
  <c r="X66" i="67"/>
  <c r="W66" i="67"/>
  <c r="V66" i="67"/>
  <c r="U66" i="67"/>
  <c r="T66" i="67"/>
  <c r="S66" i="67"/>
  <c r="R66" i="67"/>
  <c r="Q66" i="67"/>
  <c r="P66" i="67"/>
  <c r="O66" i="67"/>
  <c r="N66" i="67"/>
  <c r="M66" i="67"/>
  <c r="L66" i="67"/>
  <c r="AI65" i="67"/>
  <c r="AG65" i="67"/>
  <c r="AF65" i="67"/>
  <c r="AE65" i="67"/>
  <c r="AD65" i="67"/>
  <c r="AC65" i="67"/>
  <c r="AB65" i="67"/>
  <c r="AA65" i="67"/>
  <c r="Y65" i="67"/>
  <c r="X65" i="67"/>
  <c r="W65" i="67"/>
  <c r="V65" i="67"/>
  <c r="U65" i="67"/>
  <c r="T65" i="67"/>
  <c r="S65" i="67"/>
  <c r="Q65" i="67"/>
  <c r="P65" i="67"/>
  <c r="O65" i="67"/>
  <c r="N65" i="67"/>
  <c r="M65" i="67"/>
  <c r="L65" i="67"/>
  <c r="K72" i="67"/>
  <c r="K70" i="67"/>
  <c r="K69" i="67"/>
  <c r="K68" i="67"/>
  <c r="K67" i="67"/>
  <c r="K66" i="67"/>
  <c r="K65" i="67"/>
  <c r="J91" i="67"/>
  <c r="J92" i="67" s="1"/>
  <c r="J89" i="67"/>
  <c r="J90" i="67" s="1"/>
  <c r="J87" i="67"/>
  <c r="J86" i="67"/>
  <c r="J85" i="67"/>
  <c r="J84" i="67"/>
  <c r="J83" i="67"/>
  <c r="J82" i="67"/>
  <c r="J81" i="67"/>
  <c r="J76" i="67"/>
  <c r="J75" i="67"/>
  <c r="J72" i="67"/>
  <c r="J71" i="67"/>
  <c r="J70" i="67"/>
  <c r="J69" i="67"/>
  <c r="J68" i="67"/>
  <c r="J67" i="67"/>
  <c r="J66" i="67"/>
  <c r="J65" i="67"/>
  <c r="AI62" i="67"/>
  <c r="AI63" i="67" s="1"/>
  <c r="AI60" i="67"/>
  <c r="AI61" i="67" s="1"/>
  <c r="L62" i="67"/>
  <c r="L63" i="67" s="1"/>
  <c r="M62" i="67"/>
  <c r="M63" i="67" s="1"/>
  <c r="N62" i="67"/>
  <c r="N63" i="67" s="1"/>
  <c r="P62" i="67"/>
  <c r="Q62" i="67"/>
  <c r="R62" i="67"/>
  <c r="R63" i="67" s="1"/>
  <c r="S62" i="67"/>
  <c r="S63" i="67" s="1"/>
  <c r="T62" i="67"/>
  <c r="T63" i="67" s="1"/>
  <c r="U62" i="67"/>
  <c r="U63" i="67" s="1"/>
  <c r="V62" i="67"/>
  <c r="V63" i="67" s="1"/>
  <c r="X62" i="67"/>
  <c r="Y62" i="67"/>
  <c r="Z62" i="67"/>
  <c r="Z63" i="67" s="1"/>
  <c r="AA62" i="67"/>
  <c r="AA63" i="67" s="1"/>
  <c r="AB62" i="67"/>
  <c r="AB63" i="67" s="1"/>
  <c r="AC62" i="67"/>
  <c r="AC63" i="67" s="1"/>
  <c r="AD62" i="67"/>
  <c r="AD63" i="67" s="1"/>
  <c r="AF62" i="67"/>
  <c r="AF63" i="67" s="1"/>
  <c r="AG62" i="67"/>
  <c r="AH62" i="67"/>
  <c r="AH63" i="67" s="1"/>
  <c r="L60" i="67"/>
  <c r="M60" i="67"/>
  <c r="M61" i="67" s="1"/>
  <c r="N60" i="67"/>
  <c r="N61" i="67" s="1"/>
  <c r="O60" i="67"/>
  <c r="O61" i="67" s="1"/>
  <c r="Q60" i="67"/>
  <c r="R60" i="67"/>
  <c r="R61" i="67" s="1"/>
  <c r="S60" i="67"/>
  <c r="S61" i="67" s="1"/>
  <c r="T60" i="67"/>
  <c r="T61" i="67" s="1"/>
  <c r="U60" i="67"/>
  <c r="U61" i="67" s="1"/>
  <c r="V60" i="67"/>
  <c r="V61" i="67" s="1"/>
  <c r="W60" i="67"/>
  <c r="W61" i="67" s="1"/>
  <c r="Y60" i="67"/>
  <c r="Y61" i="67" s="1"/>
  <c r="Z60" i="67"/>
  <c r="Z61" i="67" s="1"/>
  <c r="AA60" i="67"/>
  <c r="AA61" i="67" s="1"/>
  <c r="AB60" i="67"/>
  <c r="AB61" i="67" s="1"/>
  <c r="AC60" i="67"/>
  <c r="AC61" i="67" s="1"/>
  <c r="AD60" i="67"/>
  <c r="AE60" i="67"/>
  <c r="AG60" i="67"/>
  <c r="AH60" i="67"/>
  <c r="AH61" i="67" s="1"/>
  <c r="K62" i="67"/>
  <c r="K63" i="67" s="1"/>
  <c r="K60" i="67"/>
  <c r="K61" i="67" s="1"/>
  <c r="J62" i="67"/>
  <c r="J63" i="67" s="1"/>
  <c r="AI59" i="67"/>
  <c r="L59" i="67"/>
  <c r="M59" i="67"/>
  <c r="N59" i="67"/>
  <c r="O59" i="67"/>
  <c r="P59" i="67"/>
  <c r="R59" i="67"/>
  <c r="S59" i="67"/>
  <c r="T59" i="67"/>
  <c r="U59" i="67"/>
  <c r="V59" i="67"/>
  <c r="W59" i="67"/>
  <c r="X59" i="67"/>
  <c r="Z59" i="67"/>
  <c r="AA59" i="67"/>
  <c r="AB59" i="67"/>
  <c r="AC59" i="67"/>
  <c r="AD59" i="67"/>
  <c r="AE59" i="67"/>
  <c r="AF59" i="67"/>
  <c r="AH59" i="67"/>
  <c r="K59" i="67"/>
  <c r="J59" i="67"/>
  <c r="AI58" i="67"/>
  <c r="L58" i="67"/>
  <c r="M58" i="67"/>
  <c r="N58" i="67"/>
  <c r="O58" i="67"/>
  <c r="P58" i="67"/>
  <c r="Q58" i="67"/>
  <c r="S58" i="67"/>
  <c r="T58" i="67"/>
  <c r="U58" i="67"/>
  <c r="V58" i="67"/>
  <c r="W58" i="67"/>
  <c r="X58" i="67"/>
  <c r="Y58" i="67"/>
  <c r="AA58" i="67"/>
  <c r="AB58" i="67"/>
  <c r="AC58" i="67"/>
  <c r="AD58" i="67"/>
  <c r="AE58" i="67"/>
  <c r="AF58" i="67"/>
  <c r="AG58" i="67"/>
  <c r="K58" i="67"/>
  <c r="J58" i="67"/>
  <c r="L57" i="67"/>
  <c r="M57" i="67"/>
  <c r="Q57" i="67"/>
  <c r="R57" i="67"/>
  <c r="T57" i="67"/>
  <c r="U57" i="67"/>
  <c r="Y57" i="67"/>
  <c r="Z57" i="67"/>
  <c r="AB57" i="67"/>
  <c r="AC57" i="67"/>
  <c r="AG57" i="67"/>
  <c r="AH57" i="67"/>
  <c r="J57" i="67"/>
  <c r="AI56" i="67"/>
  <c r="L56" i="67"/>
  <c r="M56" i="67"/>
  <c r="O56" i="67"/>
  <c r="P56" i="67"/>
  <c r="R56" i="67"/>
  <c r="S56" i="67"/>
  <c r="T56" i="67"/>
  <c r="U56" i="67"/>
  <c r="W56" i="67"/>
  <c r="X56" i="67"/>
  <c r="Z56" i="67"/>
  <c r="AA56" i="67"/>
  <c r="AB56" i="67"/>
  <c r="AC56" i="67"/>
  <c r="AE56" i="67"/>
  <c r="AF56" i="67"/>
  <c r="AH56" i="67"/>
  <c r="K56" i="67"/>
  <c r="AI53" i="67"/>
  <c r="AI55" i="67"/>
  <c r="AI52" i="67"/>
  <c r="L52" i="67"/>
  <c r="N52" i="67"/>
  <c r="O52" i="67"/>
  <c r="P52" i="67"/>
  <c r="Q52" i="67"/>
  <c r="R52" i="67"/>
  <c r="S52" i="67"/>
  <c r="T52" i="67"/>
  <c r="V52" i="67"/>
  <c r="W52" i="67"/>
  <c r="X52" i="67"/>
  <c r="Y52" i="67"/>
  <c r="Z52" i="67"/>
  <c r="AA52" i="67"/>
  <c r="AB52" i="67"/>
  <c r="AD52" i="67"/>
  <c r="AE52" i="67"/>
  <c r="AF52" i="67"/>
  <c r="AG52" i="67"/>
  <c r="AH52" i="67"/>
  <c r="M53" i="67"/>
  <c r="N53" i="67"/>
  <c r="O53" i="67"/>
  <c r="P53" i="67"/>
  <c r="Q53" i="67"/>
  <c r="R53" i="67"/>
  <c r="S53" i="67"/>
  <c r="U53" i="67"/>
  <c r="V53" i="67"/>
  <c r="W53" i="67"/>
  <c r="X53" i="67"/>
  <c r="Y53" i="67"/>
  <c r="Z53" i="67"/>
  <c r="AA53" i="67"/>
  <c r="AC53" i="67"/>
  <c r="AD53" i="67"/>
  <c r="AE53" i="67"/>
  <c r="AF53" i="67"/>
  <c r="AG53" i="67"/>
  <c r="AH53" i="67"/>
  <c r="M54" i="67"/>
  <c r="N54" i="67"/>
  <c r="O54" i="67"/>
  <c r="P54" i="67"/>
  <c r="Q54" i="67"/>
  <c r="R54" i="67"/>
  <c r="S54" i="67"/>
  <c r="U54" i="67"/>
  <c r="V54" i="67"/>
  <c r="W54" i="67"/>
  <c r="X54" i="67"/>
  <c r="Y54" i="67"/>
  <c r="Z54" i="67"/>
  <c r="AA54" i="67"/>
  <c r="AC54" i="67"/>
  <c r="AD54" i="67"/>
  <c r="AE54" i="67"/>
  <c r="AF54" i="67"/>
  <c r="AG54" i="67"/>
  <c r="AH54" i="67"/>
  <c r="L55" i="67"/>
  <c r="M55" i="67"/>
  <c r="N55" i="67"/>
  <c r="O55" i="67"/>
  <c r="P55" i="67"/>
  <c r="Q55" i="67"/>
  <c r="S55" i="67"/>
  <c r="T55" i="67"/>
  <c r="U55" i="67"/>
  <c r="V55" i="67"/>
  <c r="W55" i="67"/>
  <c r="X55" i="67"/>
  <c r="Y55" i="67"/>
  <c r="AA55" i="67"/>
  <c r="AB55" i="67"/>
  <c r="AC55" i="67"/>
  <c r="AD55" i="67"/>
  <c r="AE55" i="67"/>
  <c r="AF55" i="67"/>
  <c r="AG55" i="67"/>
  <c r="K55" i="67"/>
  <c r="K54" i="67"/>
  <c r="K53" i="67"/>
  <c r="K52" i="67"/>
  <c r="J52" i="67"/>
  <c r="J55" i="67"/>
  <c r="J54" i="67"/>
  <c r="J53" i="67"/>
  <c r="AI47" i="67"/>
  <c r="L47" i="67"/>
  <c r="M47" i="67"/>
  <c r="O47" i="67"/>
  <c r="P47" i="67"/>
  <c r="Q47" i="67"/>
  <c r="R47" i="67"/>
  <c r="S47" i="67"/>
  <c r="T47" i="67"/>
  <c r="U47" i="67"/>
  <c r="W47" i="67"/>
  <c r="X47" i="67"/>
  <c r="Y47" i="67"/>
  <c r="Z47" i="67"/>
  <c r="AA47" i="67"/>
  <c r="AB47" i="67"/>
  <c r="AC47" i="67"/>
  <c r="AE47" i="67"/>
  <c r="AF47" i="67"/>
  <c r="AG47" i="67"/>
  <c r="AH47" i="67"/>
  <c r="K47" i="67"/>
  <c r="J47" i="67"/>
  <c r="AI46" i="67"/>
  <c r="L46" i="67"/>
  <c r="M46" i="67"/>
  <c r="N46" i="67"/>
  <c r="O46" i="67"/>
  <c r="P46" i="67"/>
  <c r="Q46" i="67"/>
  <c r="R46" i="67"/>
  <c r="S46" i="67"/>
  <c r="T46" i="67"/>
  <c r="U46" i="67"/>
  <c r="V46" i="67"/>
  <c r="W46" i="67"/>
  <c r="X46" i="67"/>
  <c r="Y46" i="67"/>
  <c r="Z46" i="67"/>
  <c r="AA46" i="67"/>
  <c r="AB46" i="67"/>
  <c r="AC46" i="67"/>
  <c r="AD46" i="67"/>
  <c r="AE46" i="67"/>
  <c r="AF46" i="67"/>
  <c r="AG46" i="67"/>
  <c r="AH46" i="67"/>
  <c r="K46" i="67"/>
  <c r="J46" i="67"/>
  <c r="L43" i="67"/>
  <c r="M43" i="67"/>
  <c r="N43" i="67"/>
  <c r="O43" i="67"/>
  <c r="P43" i="67"/>
  <c r="Q43" i="67"/>
  <c r="R43" i="67"/>
  <c r="T43" i="67"/>
  <c r="U43" i="67"/>
  <c r="V43" i="67"/>
  <c r="W43" i="67"/>
  <c r="X43" i="67"/>
  <c r="Y43" i="67"/>
  <c r="Z43" i="67"/>
  <c r="AB43" i="67"/>
  <c r="AC43" i="67"/>
  <c r="AD43" i="67"/>
  <c r="AE43" i="67"/>
  <c r="AF43" i="67"/>
  <c r="AG43" i="67"/>
  <c r="AH43" i="67"/>
  <c r="J43" i="67"/>
  <c r="L61" i="67"/>
  <c r="Q61" i="67"/>
  <c r="AD61" i="67"/>
  <c r="AE61" i="67"/>
  <c r="AG61" i="67"/>
  <c r="P63" i="67"/>
  <c r="Q63" i="67"/>
  <c r="X63" i="67"/>
  <c r="Y63" i="67"/>
  <c r="AG63" i="67"/>
  <c r="AI92" i="67"/>
  <c r="L92" i="67"/>
  <c r="M92" i="67"/>
  <c r="S92" i="67"/>
  <c r="U92" i="67"/>
  <c r="W92" i="67"/>
  <c r="AB92" i="67"/>
  <c r="AC92" i="67"/>
  <c r="L90" i="67"/>
  <c r="S90" i="67"/>
  <c r="T90" i="67"/>
  <c r="V90" i="67"/>
  <c r="X90" i="67"/>
  <c r="AA90" i="67"/>
  <c r="AI42" i="67"/>
  <c r="L42" i="67"/>
  <c r="N42" i="67"/>
  <c r="O42" i="67"/>
  <c r="Q42" i="67"/>
  <c r="R42" i="67"/>
  <c r="S42" i="67"/>
  <c r="T42" i="67"/>
  <c r="V42" i="67"/>
  <c r="W42" i="67"/>
  <c r="Y42" i="67"/>
  <c r="Z42" i="67"/>
  <c r="AA42" i="67"/>
  <c r="AB42" i="67"/>
  <c r="AD42" i="67"/>
  <c r="AE42" i="67"/>
  <c r="AG42" i="67"/>
  <c r="AH42" i="67"/>
  <c r="K42" i="67"/>
  <c r="J42" i="67"/>
  <c r="AI41" i="67"/>
  <c r="AI40" i="67"/>
  <c r="AI39" i="67"/>
  <c r="AH40" i="67"/>
  <c r="L39" i="67"/>
  <c r="M39" i="67"/>
  <c r="O39" i="67"/>
  <c r="P39" i="67"/>
  <c r="Q39" i="67"/>
  <c r="R39" i="67"/>
  <c r="S39" i="67"/>
  <c r="T39" i="67"/>
  <c r="U39" i="67"/>
  <c r="W39" i="67"/>
  <c r="X39" i="67"/>
  <c r="Y39" i="67"/>
  <c r="Z39" i="67"/>
  <c r="AA39" i="67"/>
  <c r="AB39" i="67"/>
  <c r="AC39" i="67"/>
  <c r="AE39" i="67"/>
  <c r="AF39" i="67"/>
  <c r="AG39" i="67"/>
  <c r="AH39" i="67"/>
  <c r="L40" i="67"/>
  <c r="M40" i="67"/>
  <c r="N40" i="67"/>
  <c r="O40" i="67"/>
  <c r="P40" i="67"/>
  <c r="Q40" i="67"/>
  <c r="R40" i="67"/>
  <c r="S40" i="67"/>
  <c r="T40" i="67"/>
  <c r="U40" i="67"/>
  <c r="V40" i="67"/>
  <c r="W40" i="67"/>
  <c r="X40" i="67"/>
  <c r="Y40" i="67"/>
  <c r="Z40" i="67"/>
  <c r="AA40" i="67"/>
  <c r="AB40" i="67"/>
  <c r="AC40" i="67"/>
  <c r="AD40" i="67"/>
  <c r="AE40" i="67"/>
  <c r="AF40" i="67"/>
  <c r="AG40" i="67"/>
  <c r="M41" i="67"/>
  <c r="N41" i="67"/>
  <c r="O41" i="67"/>
  <c r="P41" i="67"/>
  <c r="Q41" i="67"/>
  <c r="R41" i="67"/>
  <c r="S41" i="67"/>
  <c r="U41" i="67"/>
  <c r="V41" i="67"/>
  <c r="W41" i="67"/>
  <c r="X41" i="67"/>
  <c r="Y41" i="67"/>
  <c r="Z41" i="67"/>
  <c r="AA41" i="67"/>
  <c r="AC41" i="67"/>
  <c r="AD41" i="67"/>
  <c r="AE41" i="67"/>
  <c r="AF41" i="67"/>
  <c r="AG41" i="67"/>
  <c r="AH41" i="67"/>
  <c r="K41" i="67"/>
  <c r="K40" i="67"/>
  <c r="K39" i="67"/>
  <c r="J41" i="67"/>
  <c r="J40" i="67"/>
  <c r="J39" i="67"/>
  <c r="AI38" i="67"/>
  <c r="AI37" i="67"/>
  <c r="AI36" i="67"/>
  <c r="L36" i="67"/>
  <c r="M36" i="67"/>
  <c r="N36" i="67"/>
  <c r="O36" i="67"/>
  <c r="P36" i="67"/>
  <c r="Q36" i="67"/>
  <c r="R36" i="67"/>
  <c r="S36" i="67"/>
  <c r="T36" i="67"/>
  <c r="U36" i="67"/>
  <c r="V36" i="67"/>
  <c r="W36" i="67"/>
  <c r="X36" i="67"/>
  <c r="Y36" i="67"/>
  <c r="Z36" i="67"/>
  <c r="AA36" i="67"/>
  <c r="AB36" i="67"/>
  <c r="AC36" i="67"/>
  <c r="AD36" i="67"/>
  <c r="AE36" i="67"/>
  <c r="AF36" i="67"/>
  <c r="AG36" i="67"/>
  <c r="AH36" i="67"/>
  <c r="L37" i="67"/>
  <c r="M37" i="67"/>
  <c r="N37" i="67"/>
  <c r="O37" i="67"/>
  <c r="P37" i="67"/>
  <c r="Q37" i="67"/>
  <c r="R37" i="67"/>
  <c r="S37" i="67"/>
  <c r="T37" i="67"/>
  <c r="U37" i="67"/>
  <c r="V37" i="67"/>
  <c r="W37" i="67"/>
  <c r="X37" i="67"/>
  <c r="Y37" i="67"/>
  <c r="Z37" i="67"/>
  <c r="AA37" i="67"/>
  <c r="AB37" i="67"/>
  <c r="AC37" i="67"/>
  <c r="AD37" i="67"/>
  <c r="AE37" i="67"/>
  <c r="AF37" i="67"/>
  <c r="AG37" i="67"/>
  <c r="AH37" i="67"/>
  <c r="L38" i="67"/>
  <c r="M38" i="67"/>
  <c r="N38" i="67"/>
  <c r="O38" i="67"/>
  <c r="P38" i="67"/>
  <c r="Q38" i="67"/>
  <c r="R38" i="67"/>
  <c r="S38" i="67"/>
  <c r="T38" i="67"/>
  <c r="U38" i="67"/>
  <c r="V38" i="67"/>
  <c r="W38" i="67"/>
  <c r="X38" i="67"/>
  <c r="Y38" i="67"/>
  <c r="Z38" i="67"/>
  <c r="AA38" i="67"/>
  <c r="AB38" i="67"/>
  <c r="AC38" i="67"/>
  <c r="AD38" i="67"/>
  <c r="AE38" i="67"/>
  <c r="AF38" i="67"/>
  <c r="AG38" i="67"/>
  <c r="AH38" i="67"/>
  <c r="K38" i="67"/>
  <c r="K37" i="67"/>
  <c r="K36" i="67"/>
  <c r="J38" i="67"/>
  <c r="J37" i="67"/>
  <c r="J36" i="67"/>
  <c r="L30" i="67"/>
  <c r="M30" i="67"/>
  <c r="N30" i="67"/>
  <c r="O30" i="67"/>
  <c r="P30" i="67"/>
  <c r="Q30" i="67"/>
  <c r="S30" i="67"/>
  <c r="T30" i="67"/>
  <c r="U30" i="67"/>
  <c r="V30" i="67"/>
  <c r="W30" i="67"/>
  <c r="Y30" i="67"/>
  <c r="Z30" i="67"/>
  <c r="AB30" i="67"/>
  <c r="AC30" i="67"/>
  <c r="AD30" i="67"/>
  <c r="AE30" i="67"/>
  <c r="AG30" i="67"/>
  <c r="AH30" i="67"/>
  <c r="L31" i="67"/>
  <c r="M31" i="67"/>
  <c r="N31" i="67"/>
  <c r="O31" i="67"/>
  <c r="P31" i="67"/>
  <c r="Q31" i="67"/>
  <c r="S31" i="67"/>
  <c r="S32" i="67" s="1"/>
  <c r="T31" i="67"/>
  <c r="U31" i="67"/>
  <c r="V31" i="67"/>
  <c r="V32" i="67" s="1"/>
  <c r="W31" i="67"/>
  <c r="Y31" i="67"/>
  <c r="Z31" i="67"/>
  <c r="Z32" i="67" s="1"/>
  <c r="AA31" i="67"/>
  <c r="AA32" i="67" s="1"/>
  <c r="AB31" i="67"/>
  <c r="AB32" i="67" s="1"/>
  <c r="AC31" i="67"/>
  <c r="AC32" i="67" s="1"/>
  <c r="AD31" i="67"/>
  <c r="AD32" i="67" s="1"/>
  <c r="AE31" i="67"/>
  <c r="AE32" i="67" s="1"/>
  <c r="AG31" i="67"/>
  <c r="AH31" i="67"/>
  <c r="AH32" i="67" s="1"/>
  <c r="AI31" i="67"/>
  <c r="L32" i="67"/>
  <c r="M32" i="67"/>
  <c r="N32" i="67"/>
  <c r="O32" i="67"/>
  <c r="P32" i="67"/>
  <c r="Q32" i="67"/>
  <c r="T32" i="67"/>
  <c r="U32" i="67"/>
  <c r="W32" i="67"/>
  <c r="Y32" i="67"/>
  <c r="AG32" i="67"/>
  <c r="AI32" i="67"/>
  <c r="L33" i="67"/>
  <c r="M33" i="67"/>
  <c r="N33" i="67"/>
  <c r="O33" i="67"/>
  <c r="P33" i="67"/>
  <c r="Q33" i="67"/>
  <c r="Q34" i="67" s="1"/>
  <c r="S33" i="67"/>
  <c r="T33" i="67"/>
  <c r="T34" i="67" s="1"/>
  <c r="U33" i="67"/>
  <c r="V33" i="67"/>
  <c r="W33" i="67"/>
  <c r="W34" i="67" s="1"/>
  <c r="Y33" i="67"/>
  <c r="Z33" i="67"/>
  <c r="AB33" i="67"/>
  <c r="AB34" i="67" s="1"/>
  <c r="AC33" i="67"/>
  <c r="AD33" i="67"/>
  <c r="AD34" i="67" s="1"/>
  <c r="AE33" i="67"/>
  <c r="AE34" i="67" s="1"/>
  <c r="AG33" i="67"/>
  <c r="AG34" i="67" s="1"/>
  <c r="AH33" i="67"/>
  <c r="L34" i="67"/>
  <c r="M34" i="67"/>
  <c r="N34" i="67"/>
  <c r="O34" i="67"/>
  <c r="P34" i="67"/>
  <c r="S34" i="67"/>
  <c r="U34" i="67"/>
  <c r="V34" i="67"/>
  <c r="Y34" i="67"/>
  <c r="Z34" i="67"/>
  <c r="AC34" i="67"/>
  <c r="AH34" i="67"/>
  <c r="K33" i="67"/>
  <c r="K34" i="67" s="1"/>
  <c r="K31" i="67"/>
  <c r="K32" i="67" s="1"/>
  <c r="K30" i="67"/>
  <c r="J33" i="67"/>
  <c r="J34" i="67" s="1"/>
  <c r="L29" i="67"/>
  <c r="M29" i="67"/>
  <c r="N29" i="67"/>
  <c r="O29" i="67"/>
  <c r="P29" i="67"/>
  <c r="Q29" i="67"/>
  <c r="S29" i="67"/>
  <c r="T29" i="67"/>
  <c r="U29" i="67"/>
  <c r="V29" i="67"/>
  <c r="W29" i="67"/>
  <c r="Y29" i="67"/>
  <c r="Z29" i="67"/>
  <c r="AB29" i="67"/>
  <c r="AC29" i="67"/>
  <c r="AD29" i="67"/>
  <c r="AE29" i="67"/>
  <c r="AG29" i="67"/>
  <c r="AH29" i="67"/>
  <c r="K29" i="67"/>
  <c r="J29" i="67"/>
  <c r="L28" i="67"/>
  <c r="M28" i="67"/>
  <c r="N28" i="67"/>
  <c r="O28" i="67"/>
  <c r="P28" i="67"/>
  <c r="Q28" i="67"/>
  <c r="S28" i="67"/>
  <c r="T28" i="67"/>
  <c r="U28" i="67"/>
  <c r="V28" i="67"/>
  <c r="W28" i="67"/>
  <c r="X28" i="67"/>
  <c r="Y28" i="67"/>
  <c r="AB28" i="67"/>
  <c r="AC28" i="67"/>
  <c r="AD28" i="67"/>
  <c r="AE28" i="67"/>
  <c r="AF28" i="67"/>
  <c r="AG28" i="67"/>
  <c r="K28" i="67"/>
  <c r="J28" i="67"/>
  <c r="L27" i="67"/>
  <c r="M27" i="67"/>
  <c r="N27" i="67"/>
  <c r="O27" i="67"/>
  <c r="P27" i="67"/>
  <c r="Q27" i="67"/>
  <c r="S27" i="67"/>
  <c r="T27" i="67"/>
  <c r="U27" i="67"/>
  <c r="V27" i="67"/>
  <c r="W27" i="67"/>
  <c r="Y27" i="67"/>
  <c r="Z27" i="67"/>
  <c r="AB27" i="67"/>
  <c r="AC27" i="67"/>
  <c r="AD27" i="67"/>
  <c r="AE27" i="67"/>
  <c r="AG27" i="67"/>
  <c r="AH27" i="67"/>
  <c r="K27" i="67"/>
  <c r="J24" i="67"/>
  <c r="K24" i="67"/>
  <c r="L24" i="67"/>
  <c r="M24" i="67"/>
  <c r="N24" i="67"/>
  <c r="O24" i="67"/>
  <c r="P24" i="67"/>
  <c r="Q24" i="67"/>
  <c r="R24" i="67"/>
  <c r="S24" i="67"/>
  <c r="T24" i="67"/>
  <c r="U24" i="67"/>
  <c r="V24" i="67"/>
  <c r="W24" i="67"/>
  <c r="X24" i="67"/>
  <c r="Y24" i="67"/>
  <c r="Z24" i="67"/>
  <c r="AB24" i="67"/>
  <c r="AC24" i="67"/>
  <c r="AD24" i="67"/>
  <c r="AE24" i="67"/>
  <c r="AF24" i="67"/>
  <c r="AG24" i="67"/>
  <c r="AH24" i="67"/>
  <c r="J25" i="67"/>
  <c r="L25" i="67"/>
  <c r="M25" i="67"/>
  <c r="N25" i="67"/>
  <c r="O25" i="67"/>
  <c r="P25" i="67"/>
  <c r="Q25" i="67"/>
  <c r="S25" i="67"/>
  <c r="T25" i="67"/>
  <c r="U25" i="67"/>
  <c r="V25" i="67"/>
  <c r="W25" i="67"/>
  <c r="X25" i="67"/>
  <c r="Y25" i="67"/>
  <c r="Z25" i="67"/>
  <c r="AB25" i="67"/>
  <c r="AC25" i="67"/>
  <c r="AD25" i="67"/>
  <c r="AE25" i="67"/>
  <c r="AF25" i="67"/>
  <c r="AG25" i="67"/>
  <c r="AH25" i="67"/>
  <c r="J26" i="67"/>
  <c r="K26" i="67"/>
  <c r="L26" i="67"/>
  <c r="M26" i="67"/>
  <c r="N26" i="67"/>
  <c r="O26" i="67"/>
  <c r="P26" i="67"/>
  <c r="Q26" i="67"/>
  <c r="S26" i="67"/>
  <c r="T26" i="67"/>
  <c r="U26" i="67"/>
  <c r="V26" i="67"/>
  <c r="W26" i="67"/>
  <c r="X26" i="67"/>
  <c r="Y26" i="67"/>
  <c r="Z26" i="67"/>
  <c r="AB26" i="67"/>
  <c r="AC26" i="67"/>
  <c r="AD26" i="67"/>
  <c r="AE26" i="67"/>
  <c r="AF26" i="67"/>
  <c r="AG26" i="67"/>
  <c r="AH26" i="67"/>
  <c r="AI23" i="67"/>
  <c r="L23" i="67"/>
  <c r="M23" i="67"/>
  <c r="N23" i="67"/>
  <c r="O23" i="67"/>
  <c r="P23" i="67"/>
  <c r="Q23" i="67"/>
  <c r="S23" i="67"/>
  <c r="T23" i="67"/>
  <c r="U23" i="67"/>
  <c r="V23" i="67"/>
  <c r="W23" i="67"/>
  <c r="X23" i="67"/>
  <c r="Y23" i="67"/>
  <c r="Z23" i="67"/>
  <c r="AB23" i="67"/>
  <c r="AC23" i="67"/>
  <c r="AD23" i="67"/>
  <c r="AE23" i="67"/>
  <c r="AF23" i="67"/>
  <c r="AG23" i="67"/>
  <c r="AH23" i="67"/>
  <c r="K23" i="67"/>
  <c r="J23" i="67"/>
  <c r="L18" i="67"/>
  <c r="M18" i="67"/>
  <c r="N18" i="67"/>
  <c r="O18" i="67"/>
  <c r="P18" i="67"/>
  <c r="Q18" i="67"/>
  <c r="S18" i="67"/>
  <c r="T18" i="67"/>
  <c r="U18" i="67"/>
  <c r="V18" i="67"/>
  <c r="W18" i="67"/>
  <c r="X18" i="67"/>
  <c r="Y18" i="67"/>
  <c r="Z18" i="67"/>
  <c r="AA18" i="67"/>
  <c r="AB18" i="67"/>
  <c r="AC18" i="67"/>
  <c r="AD18" i="67"/>
  <c r="AE18" i="67"/>
  <c r="AF18" i="67"/>
  <c r="AG18" i="67"/>
  <c r="AH18" i="67"/>
  <c r="K18" i="67"/>
  <c r="J18" i="67"/>
  <c r="CL88" i="67"/>
  <c r="CK88" i="67"/>
  <c r="CM88" i="67" s="1"/>
  <c r="CM87" i="67"/>
  <c r="CL87" i="67"/>
  <c r="CK87" i="67"/>
  <c r="CM86" i="67"/>
  <c r="CL86" i="67"/>
  <c r="CK86" i="67"/>
  <c r="CL85" i="67"/>
  <c r="CK85" i="67"/>
  <c r="CM85" i="67" s="1"/>
  <c r="CL76" i="67"/>
  <c r="CK76" i="67"/>
  <c r="CM76" i="67" s="1"/>
  <c r="CM72" i="67"/>
  <c r="CL72" i="67"/>
  <c r="CK72" i="67"/>
  <c r="CL71" i="67"/>
  <c r="CK71" i="67"/>
  <c r="CM71" i="67" s="1"/>
  <c r="CL68" i="67"/>
  <c r="CK68" i="67"/>
  <c r="CM68" i="67" s="1"/>
  <c r="CL65" i="67"/>
  <c r="CK65" i="67"/>
  <c r="CM65" i="67" s="1"/>
  <c r="CM59" i="67"/>
  <c r="CL59" i="67"/>
  <c r="CK59" i="67"/>
  <c r="CM58" i="67"/>
  <c r="CL58" i="67"/>
  <c r="CK58" i="67"/>
  <c r="CL57" i="67"/>
  <c r="CK57" i="67"/>
  <c r="CM57" i="67" s="1"/>
  <c r="CL56" i="67"/>
  <c r="CK56" i="67"/>
  <c r="CM56" i="67" s="1"/>
  <c r="CM47" i="67"/>
  <c r="CL47" i="67"/>
  <c r="CK47" i="67"/>
  <c r="CM43" i="67"/>
  <c r="CL43" i="67"/>
  <c r="CK43" i="67"/>
  <c r="CL42" i="67"/>
  <c r="CK42" i="67"/>
  <c r="CM42" i="67" s="1"/>
  <c r="CL39" i="67"/>
  <c r="CK39" i="67"/>
  <c r="CM39" i="67" s="1"/>
  <c r="CM36" i="67"/>
  <c r="CL36" i="67"/>
  <c r="CK36" i="67"/>
  <c r="CK13" i="67"/>
  <c r="CL30" i="67"/>
  <c r="CL29" i="67"/>
  <c r="CL28" i="67"/>
  <c r="CL27" i="67"/>
  <c r="CL18" i="67"/>
  <c r="CL14" i="67"/>
  <c r="CL13" i="67"/>
  <c r="CL10" i="67"/>
  <c r="CL7" i="67"/>
  <c r="CK30" i="67"/>
  <c r="CK29" i="67"/>
  <c r="CK28" i="67"/>
  <c r="CK27" i="67"/>
  <c r="CK18" i="67"/>
  <c r="CK14" i="67"/>
  <c r="CK10" i="67"/>
  <c r="CK7" i="67"/>
  <c r="AI17" i="67"/>
  <c r="L16" i="67"/>
  <c r="M16" i="67"/>
  <c r="N16" i="67"/>
  <c r="O16" i="67"/>
  <c r="P16" i="67"/>
  <c r="Q16" i="67"/>
  <c r="S16" i="67"/>
  <c r="T16" i="67"/>
  <c r="U16" i="67"/>
  <c r="V16" i="67"/>
  <c r="W16" i="67"/>
  <c r="X16" i="67"/>
  <c r="Y16" i="67"/>
  <c r="Z16" i="67"/>
  <c r="AA16" i="67"/>
  <c r="AB16" i="67"/>
  <c r="AC16" i="67"/>
  <c r="AD16" i="67"/>
  <c r="AE16" i="67"/>
  <c r="AF16" i="67"/>
  <c r="AG16" i="67"/>
  <c r="AH16" i="67"/>
  <c r="L17" i="67"/>
  <c r="M17" i="67"/>
  <c r="N17" i="67"/>
  <c r="O17" i="67"/>
  <c r="P17" i="67"/>
  <c r="Q17" i="67"/>
  <c r="S17" i="67"/>
  <c r="T17" i="67"/>
  <c r="U17" i="67"/>
  <c r="V17" i="67"/>
  <c r="Y17" i="67"/>
  <c r="Z17" i="67"/>
  <c r="AB17" i="67"/>
  <c r="AC17" i="67"/>
  <c r="AD17" i="67"/>
  <c r="AG17" i="67"/>
  <c r="AH17" i="67"/>
  <c r="K17" i="67"/>
  <c r="K16" i="67"/>
  <c r="J17" i="67"/>
  <c r="J16" i="67"/>
  <c r="AH14" i="67"/>
  <c r="AG14" i="67"/>
  <c r="AF14" i="67"/>
  <c r="AE14" i="67"/>
  <c r="AD14" i="67"/>
  <c r="AC14" i="67"/>
  <c r="AB14" i="67"/>
  <c r="Z14" i="67"/>
  <c r="Y14" i="67"/>
  <c r="X14" i="67"/>
  <c r="W14" i="67"/>
  <c r="V14" i="67"/>
  <c r="U14" i="67"/>
  <c r="T14" i="67"/>
  <c r="S14" i="67"/>
  <c r="Q14" i="67"/>
  <c r="P14" i="67"/>
  <c r="O14" i="67"/>
  <c r="N14" i="67"/>
  <c r="M14" i="67"/>
  <c r="L14" i="67"/>
  <c r="J14" i="67"/>
  <c r="Q13" i="67"/>
  <c r="S13" i="67"/>
  <c r="T13" i="67"/>
  <c r="U13" i="67"/>
  <c r="V13" i="67"/>
  <c r="W13" i="67"/>
  <c r="Y13" i="67"/>
  <c r="Z13" i="67"/>
  <c r="AB13" i="67"/>
  <c r="AC13" i="67"/>
  <c r="AD13" i="67"/>
  <c r="AE13" i="67"/>
  <c r="AG13" i="67"/>
  <c r="AH13" i="67"/>
  <c r="L13" i="67"/>
  <c r="M13" i="67"/>
  <c r="N13" i="67"/>
  <c r="O13" i="67"/>
  <c r="P13" i="67"/>
  <c r="K13" i="67"/>
  <c r="L10" i="67"/>
  <c r="M10" i="67"/>
  <c r="N10" i="67"/>
  <c r="O10" i="67"/>
  <c r="P10" i="67"/>
  <c r="Q10" i="67"/>
  <c r="S10" i="67"/>
  <c r="T10" i="67"/>
  <c r="U10" i="67"/>
  <c r="V10" i="67"/>
  <c r="W10" i="67"/>
  <c r="X10" i="67"/>
  <c r="Y10" i="67"/>
  <c r="Z10" i="67"/>
  <c r="AB10" i="67"/>
  <c r="AC10" i="67"/>
  <c r="AD10" i="67"/>
  <c r="AE10" i="67"/>
  <c r="AF10" i="67"/>
  <c r="AG10" i="67"/>
  <c r="AH10" i="67"/>
  <c r="L11" i="67"/>
  <c r="M11" i="67"/>
  <c r="N11" i="67"/>
  <c r="O11" i="67"/>
  <c r="P11" i="67"/>
  <c r="Q11" i="67"/>
  <c r="S11" i="67"/>
  <c r="T11" i="67"/>
  <c r="U11" i="67"/>
  <c r="V11" i="67"/>
  <c r="W11" i="67"/>
  <c r="Y11" i="67"/>
  <c r="Z11" i="67"/>
  <c r="AB11" i="67"/>
  <c r="AC11" i="67"/>
  <c r="AD11" i="67"/>
  <c r="AE11" i="67"/>
  <c r="AG11" i="67"/>
  <c r="AH11" i="67"/>
  <c r="L12" i="67"/>
  <c r="M12" i="67"/>
  <c r="N12" i="67"/>
  <c r="O12" i="67"/>
  <c r="P12" i="67"/>
  <c r="Q12" i="67"/>
  <c r="S12" i="67"/>
  <c r="T12" i="67"/>
  <c r="U12" i="67"/>
  <c r="V12" i="67"/>
  <c r="W12" i="67"/>
  <c r="Y12" i="67"/>
  <c r="Z12" i="67"/>
  <c r="AB12" i="67"/>
  <c r="AC12" i="67"/>
  <c r="AD12" i="67"/>
  <c r="AE12" i="67"/>
  <c r="AG12" i="67"/>
  <c r="AH12" i="67"/>
  <c r="K12" i="67"/>
  <c r="K11" i="67"/>
  <c r="J12" i="67"/>
  <c r="J11" i="67"/>
  <c r="K10" i="67"/>
  <c r="J10" i="67"/>
  <c r="AI9" i="67"/>
  <c r="L7" i="67"/>
  <c r="M7" i="67"/>
  <c r="N7" i="67"/>
  <c r="O7" i="67"/>
  <c r="P7" i="67"/>
  <c r="Q7" i="67"/>
  <c r="S7" i="67"/>
  <c r="T7" i="67"/>
  <c r="U7" i="67"/>
  <c r="V7" i="67"/>
  <c r="W7" i="67"/>
  <c r="X7" i="67"/>
  <c r="Y7" i="67"/>
  <c r="Z7" i="67"/>
  <c r="AB7" i="67"/>
  <c r="AC7" i="67"/>
  <c r="AD7" i="67"/>
  <c r="AE7" i="67"/>
  <c r="AF7" i="67"/>
  <c r="AG7" i="67"/>
  <c r="AH7" i="67"/>
  <c r="L8" i="67"/>
  <c r="M8" i="67"/>
  <c r="N8" i="67"/>
  <c r="O8" i="67"/>
  <c r="P8" i="67"/>
  <c r="Q8" i="67"/>
  <c r="S8" i="67"/>
  <c r="T8" i="67"/>
  <c r="U8" i="67"/>
  <c r="V8" i="67"/>
  <c r="W8" i="67"/>
  <c r="X8" i="67"/>
  <c r="Y8" i="67"/>
  <c r="Z8" i="67"/>
  <c r="AB8" i="67"/>
  <c r="AC8" i="67"/>
  <c r="AD8" i="67"/>
  <c r="AE8" i="67"/>
  <c r="AF8" i="67"/>
  <c r="AG8" i="67"/>
  <c r="AH8" i="67"/>
  <c r="L9" i="67"/>
  <c r="M9" i="67"/>
  <c r="N9" i="67"/>
  <c r="O9" i="67"/>
  <c r="P9" i="67"/>
  <c r="Q9" i="67"/>
  <c r="S9" i="67"/>
  <c r="T9" i="67"/>
  <c r="U9" i="67"/>
  <c r="V9" i="67"/>
  <c r="W9" i="67"/>
  <c r="X9" i="67"/>
  <c r="Y9" i="67"/>
  <c r="Z9" i="67"/>
  <c r="AB9" i="67"/>
  <c r="AC9" i="67"/>
  <c r="AD9" i="67"/>
  <c r="AE9" i="67"/>
  <c r="AF9" i="67"/>
  <c r="AG9" i="67"/>
  <c r="AH9" i="67"/>
  <c r="K9" i="67"/>
  <c r="K8" i="67"/>
  <c r="K7" i="67"/>
  <c r="J7" i="67"/>
  <c r="J9" i="67"/>
  <c r="J8" i="67"/>
  <c r="I305" i="48"/>
  <c r="I306" i="48"/>
  <c r="I307" i="48"/>
  <c r="I308" i="48"/>
  <c r="I309" i="48"/>
  <c r="I310" i="48"/>
  <c r="I311" i="48"/>
  <c r="I312" i="48"/>
  <c r="I313" i="48"/>
  <c r="I314" i="48"/>
  <c r="I315" i="48"/>
  <c r="I316" i="48"/>
  <c r="I317" i="48"/>
  <c r="I318" i="48"/>
  <c r="I319" i="48"/>
  <c r="I320" i="48"/>
  <c r="I321" i="48"/>
  <c r="I322" i="48"/>
  <c r="I323" i="48"/>
  <c r="I324" i="48"/>
  <c r="I304" i="48"/>
  <c r="G305" i="48"/>
  <c r="G306" i="48"/>
  <c r="G307" i="48"/>
  <c r="G308" i="48"/>
  <c r="G309" i="48"/>
  <c r="G310" i="48"/>
  <c r="G311" i="48"/>
  <c r="G312" i="48"/>
  <c r="G313" i="48"/>
  <c r="G314" i="48"/>
  <c r="G315" i="48"/>
  <c r="G316" i="48"/>
  <c r="G317" i="48"/>
  <c r="G318" i="48"/>
  <c r="G319" i="48"/>
  <c r="G320" i="48"/>
  <c r="G321" i="48"/>
  <c r="G322" i="48"/>
  <c r="G323" i="48"/>
  <c r="G324" i="48"/>
  <c r="G304" i="48"/>
  <c r="E305" i="48"/>
  <c r="E306" i="48"/>
  <c r="E307" i="48"/>
  <c r="E308" i="48"/>
  <c r="E309" i="48"/>
  <c r="E310" i="48"/>
  <c r="E311" i="48"/>
  <c r="E312" i="48"/>
  <c r="E313" i="48"/>
  <c r="E314" i="48"/>
  <c r="E315" i="48"/>
  <c r="E316" i="48"/>
  <c r="E317" i="48"/>
  <c r="E318" i="48"/>
  <c r="E319" i="48"/>
  <c r="E320" i="48"/>
  <c r="E321" i="48"/>
  <c r="E322" i="48"/>
  <c r="E323" i="48"/>
  <c r="E324" i="48"/>
  <c r="E304" i="48"/>
  <c r="H267" i="48"/>
  <c r="H258" i="48"/>
  <c r="H259" i="48"/>
  <c r="H260" i="48"/>
  <c r="H261" i="48"/>
  <c r="H262" i="48"/>
  <c r="H263" i="48"/>
  <c r="H264" i="48"/>
  <c r="H265" i="48"/>
  <c r="H266" i="48"/>
  <c r="H257" i="48"/>
  <c r="F267" i="48"/>
  <c r="F258" i="48"/>
  <c r="F259" i="48"/>
  <c r="F260" i="48"/>
  <c r="F261" i="48"/>
  <c r="F262" i="48"/>
  <c r="F263" i="48"/>
  <c r="F264" i="48"/>
  <c r="F265" i="48"/>
  <c r="F266" i="48"/>
  <c r="F257" i="48"/>
  <c r="E268" i="48"/>
  <c r="E267" i="48"/>
  <c r="C268" i="48"/>
  <c r="C267" i="48"/>
  <c r="D258" i="48"/>
  <c r="E258" i="48"/>
  <c r="D259" i="48"/>
  <c r="E259" i="48"/>
  <c r="D260" i="48"/>
  <c r="E260" i="48"/>
  <c r="D261" i="48"/>
  <c r="E261" i="48"/>
  <c r="D262" i="48"/>
  <c r="E262" i="48"/>
  <c r="D263" i="48"/>
  <c r="E263" i="48"/>
  <c r="D264" i="48"/>
  <c r="E264" i="48"/>
  <c r="D265" i="48"/>
  <c r="E265" i="48"/>
  <c r="D266" i="48"/>
  <c r="E266" i="48"/>
  <c r="D257" i="48"/>
  <c r="E257" i="48"/>
  <c r="C258" i="48"/>
  <c r="C259" i="48"/>
  <c r="C260" i="48"/>
  <c r="C261" i="48"/>
  <c r="C262" i="48"/>
  <c r="C263" i="48"/>
  <c r="C264" i="48"/>
  <c r="C265" i="48"/>
  <c r="C266" i="48"/>
  <c r="C257" i="48"/>
  <c r="G955" i="68"/>
  <c r="E149" i="48" a="1"/>
  <c r="E149" i="48" s="1"/>
  <c r="D149" i="48" a="1"/>
  <c r="D149" i="48" s="1"/>
  <c r="F14" i="72"/>
  <c r="F13" i="72"/>
  <c r="C20" i="68"/>
  <c r="D20" i="68"/>
  <c r="E20" i="68"/>
  <c r="F20" i="68"/>
  <c r="G20" i="68"/>
  <c r="H20" i="68"/>
  <c r="I20" i="68"/>
  <c r="J20" i="68"/>
  <c r="K20" i="68"/>
  <c r="G21" i="68"/>
  <c r="H21" i="68"/>
  <c r="D19" i="68"/>
  <c r="E19" i="68"/>
  <c r="F19" i="68"/>
  <c r="G19" i="68"/>
  <c r="H19" i="68"/>
  <c r="I19" i="68"/>
  <c r="J19" i="68"/>
  <c r="K19" i="68"/>
  <c r="C19" i="68"/>
  <c r="E8" i="18"/>
  <c r="F8" i="18"/>
  <c r="G8" i="18"/>
  <c r="H8" i="18"/>
  <c r="I8" i="18"/>
  <c r="J8" i="18"/>
  <c r="K8" i="18"/>
  <c r="L8" i="18"/>
  <c r="M8" i="18"/>
  <c r="F7" i="18"/>
  <c r="G7" i="18"/>
  <c r="H7" i="18"/>
  <c r="I7" i="18"/>
  <c r="J7" i="18"/>
  <c r="K7" i="18"/>
  <c r="L7" i="18"/>
  <c r="M7" i="18"/>
  <c r="E7" i="18"/>
  <c r="L36" i="1"/>
  <c r="M9" i="18" s="1"/>
  <c r="K36" i="1"/>
  <c r="L9" i="18" s="1"/>
  <c r="J36" i="1"/>
  <c r="K9" i="18" s="1"/>
  <c r="I36" i="1"/>
  <c r="J9" i="18" s="1"/>
  <c r="H36" i="1"/>
  <c r="I9" i="18" s="1"/>
  <c r="G36" i="1"/>
  <c r="H9" i="18" s="1"/>
  <c r="F36" i="1"/>
  <c r="G9" i="18" s="1"/>
  <c r="E36" i="1"/>
  <c r="F9" i="18" s="1"/>
  <c r="D36" i="1"/>
  <c r="E9" i="18" s="1"/>
  <c r="P17" i="73" l="1"/>
  <c r="T53" i="67"/>
  <c r="AB53" i="67"/>
  <c r="L54" i="67"/>
  <c r="R16" i="67"/>
  <c r="L9" i="73"/>
  <c r="M9" i="73" s="1"/>
  <c r="M6" i="73"/>
  <c r="L7" i="73"/>
  <c r="M7" i="73" s="1"/>
  <c r="I9" i="73"/>
  <c r="J9" i="73" s="1"/>
  <c r="H6" i="73"/>
  <c r="I7" i="73"/>
  <c r="J7" i="73" s="1"/>
  <c r="H13" i="73"/>
  <c r="H12" i="73"/>
  <c r="I12" i="73" s="1"/>
  <c r="J12" i="73" s="1"/>
  <c r="H11" i="73"/>
  <c r="AJ10" i="73"/>
  <c r="AK10" i="73" s="1"/>
  <c r="AL10" i="73" s="1"/>
  <c r="AM10" i="73" s="1"/>
  <c r="AN10" i="73" s="1"/>
  <c r="AO10" i="73" s="1"/>
  <c r="AI10" i="73"/>
  <c r="AD9" i="73"/>
  <c r="AE9" i="73" s="1"/>
  <c r="AF9" i="73" s="1"/>
  <c r="AG9" i="73" s="1"/>
  <c r="AH9" i="73" s="1"/>
  <c r="AI9" i="73" s="1"/>
  <c r="AJ9" i="73" s="1"/>
  <c r="AK9" i="73" s="1"/>
  <c r="AL9" i="73" s="1"/>
  <c r="AM9" i="73" s="1"/>
  <c r="AF13" i="73"/>
  <c r="AD11" i="73"/>
  <c r="AE13" i="73"/>
  <c r="AE12" i="73"/>
  <c r="AG12" i="73" s="1"/>
  <c r="AH12" i="73" s="1"/>
  <c r="AE11" i="73"/>
  <c r="AA15" i="73"/>
  <c r="AG3" i="73"/>
  <c r="AB15" i="73"/>
  <c r="AE7" i="73"/>
  <c r="AD3" i="73"/>
  <c r="AC15" i="73"/>
  <c r="AD15" i="73"/>
  <c r="Z15" i="73"/>
  <c r="Y15" i="73"/>
  <c r="X15" i="73"/>
  <c r="M13" i="73"/>
  <c r="M10" i="73"/>
  <c r="L12" i="73"/>
  <c r="N9" i="73"/>
  <c r="O9" i="73" s="1"/>
  <c r="L8" i="73"/>
  <c r="N10" i="73"/>
  <c r="K15" i="73"/>
  <c r="N7" i="73"/>
  <c r="M11" i="73"/>
  <c r="N8" i="73"/>
  <c r="O8" i="73" s="1"/>
  <c r="G15" i="73"/>
  <c r="I21" i="68"/>
  <c r="F21" i="68"/>
  <c r="E21" i="68"/>
  <c r="D21" i="68"/>
  <c r="K21" i="68"/>
  <c r="C21" i="68"/>
  <c r="J21" i="68"/>
  <c r="E16" i="64"/>
  <c r="D16" i="64"/>
  <c r="I11" i="73" l="1"/>
  <c r="J11" i="73" s="1"/>
  <c r="N12" i="73"/>
  <c r="O12" i="73" s="1"/>
  <c r="I13" i="73"/>
  <c r="J13" i="73" s="1"/>
  <c r="H15" i="73"/>
  <c r="N6" i="73"/>
  <c r="I6" i="73"/>
  <c r="J6" i="73" s="1"/>
  <c r="J15" i="73" s="1"/>
  <c r="O7" i="73"/>
  <c r="P7" i="73" s="1"/>
  <c r="N13" i="73"/>
  <c r="N11" i="73"/>
  <c r="O10" i="73"/>
  <c r="P10" i="73" s="1"/>
  <c r="AO9" i="73"/>
  <c r="AP9" i="73" s="1"/>
  <c r="AQ9" i="73" s="1"/>
  <c r="AR9" i="73" s="1"/>
  <c r="AN9" i="73"/>
  <c r="AF11" i="73"/>
  <c r="AG11" i="73" s="1"/>
  <c r="AG13" i="73"/>
  <c r="AH13" i="73" s="1"/>
  <c r="AP10" i="73"/>
  <c r="AQ10" i="73" s="1"/>
  <c r="AR10" i="73" s="1"/>
  <c r="AS10" i="73" s="1"/>
  <c r="AT10" i="73" s="1"/>
  <c r="AU10" i="73" s="1"/>
  <c r="AV10" i="73" s="1"/>
  <c r="AE15" i="73"/>
  <c r="AF7" i="73"/>
  <c r="AF15" i="73" s="1"/>
  <c r="M8" i="73"/>
  <c r="M15" i="73" s="1"/>
  <c r="P9" i="73"/>
  <c r="M12" i="73"/>
  <c r="L15" i="73"/>
  <c r="P8" i="73"/>
  <c r="H22" i="72"/>
  <c r="AG534" i="72"/>
  <c r="AG533" i="72"/>
  <c r="AG532" i="72"/>
  <c r="AG531" i="72"/>
  <c r="AG530" i="72"/>
  <c r="AG529" i="72"/>
  <c r="AG524" i="72"/>
  <c r="AG523" i="72"/>
  <c r="AG520" i="72"/>
  <c r="AG519" i="72"/>
  <c r="AG518" i="72"/>
  <c r="AG517" i="72"/>
  <c r="AG516" i="72"/>
  <c r="AG515" i="72"/>
  <c r="AG513" i="72"/>
  <c r="AG289" i="72"/>
  <c r="AG288" i="72"/>
  <c r="AG287" i="72"/>
  <c r="AG286" i="72"/>
  <c r="AG285" i="72"/>
  <c r="AG284" i="72"/>
  <c r="AG279" i="72"/>
  <c r="AG278" i="72"/>
  <c r="AG275" i="72"/>
  <c r="AG274" i="72"/>
  <c r="AG273" i="72"/>
  <c r="AG272" i="72"/>
  <c r="AG271" i="72"/>
  <c r="AG270" i="72"/>
  <c r="AG268" i="72"/>
  <c r="AG43" i="72"/>
  <c r="AG42" i="72"/>
  <c r="AG41" i="72"/>
  <c r="AG40" i="72"/>
  <c r="AG39" i="72"/>
  <c r="AG38" i="72"/>
  <c r="AG33" i="72"/>
  <c r="AG32" i="72"/>
  <c r="AG31" i="72"/>
  <c r="AG29" i="72"/>
  <c r="AG28" i="72"/>
  <c r="AG27" i="72"/>
  <c r="AG26" i="72"/>
  <c r="AG25" i="72"/>
  <c r="AG24" i="72"/>
  <c r="AG22" i="72"/>
  <c r="AF534" i="72"/>
  <c r="AF533" i="72"/>
  <c r="AF532" i="72"/>
  <c r="AF531" i="72"/>
  <c r="AF530" i="72"/>
  <c r="AF529" i="72"/>
  <c r="AF524" i="72"/>
  <c r="AF523" i="72"/>
  <c r="AF520" i="72"/>
  <c r="AF519" i="72"/>
  <c r="AF518" i="72"/>
  <c r="AF517" i="72"/>
  <c r="AF516" i="72"/>
  <c r="AF515" i="72"/>
  <c r="AF513" i="72"/>
  <c r="AF289" i="72"/>
  <c r="AF288" i="72"/>
  <c r="AF287" i="72"/>
  <c r="AF286" i="72"/>
  <c r="AF285" i="72"/>
  <c r="AF284" i="72"/>
  <c r="AF279" i="72"/>
  <c r="AF278" i="72"/>
  <c r="AF275" i="72"/>
  <c r="AF274" i="72"/>
  <c r="AF273" i="72"/>
  <c r="AF272" i="72"/>
  <c r="AF271" i="72"/>
  <c r="AF270" i="72"/>
  <c r="AF268" i="72"/>
  <c r="AF43" i="72"/>
  <c r="AF42" i="72"/>
  <c r="AF41" i="72"/>
  <c r="AF40" i="72"/>
  <c r="AF39" i="72"/>
  <c r="AF38" i="72"/>
  <c r="AF33" i="72"/>
  <c r="AF32" i="72"/>
  <c r="AF31" i="72"/>
  <c r="AF29" i="72"/>
  <c r="AF28" i="72"/>
  <c r="AF27" i="72"/>
  <c r="AF26" i="72"/>
  <c r="AF25" i="72"/>
  <c r="AF24" i="72"/>
  <c r="AF22" i="72"/>
  <c r="AE534" i="72"/>
  <c r="AE533" i="72"/>
  <c r="AE532" i="72"/>
  <c r="AE531" i="72"/>
  <c r="AE530" i="72"/>
  <c r="AE529" i="72"/>
  <c r="AE524" i="72"/>
  <c r="AE523" i="72"/>
  <c r="AE520" i="72"/>
  <c r="AE519" i="72"/>
  <c r="AE518" i="72"/>
  <c r="AE517" i="72"/>
  <c r="AE516" i="72"/>
  <c r="AE515" i="72"/>
  <c r="AE513" i="72"/>
  <c r="AE289" i="72"/>
  <c r="AE288" i="72"/>
  <c r="AE287" i="72"/>
  <c r="AE286" i="72"/>
  <c r="AE285" i="72"/>
  <c r="AE284" i="72"/>
  <c r="AE279" i="72"/>
  <c r="AE278" i="72"/>
  <c r="AE275" i="72"/>
  <c r="AE274" i="72"/>
  <c r="AE273" i="72"/>
  <c r="AE272" i="72"/>
  <c r="AE271" i="72"/>
  <c r="AE270" i="72"/>
  <c r="AE268" i="72"/>
  <c r="AE43" i="72"/>
  <c r="AE42" i="72"/>
  <c r="AE41" i="72"/>
  <c r="AE40" i="72"/>
  <c r="AE39" i="72"/>
  <c r="AE38" i="72"/>
  <c r="AE33" i="72"/>
  <c r="AE32" i="72"/>
  <c r="AE31" i="72"/>
  <c r="AE29" i="72"/>
  <c r="AE28" i="72"/>
  <c r="AE27" i="72"/>
  <c r="AE26" i="72"/>
  <c r="AE25" i="72"/>
  <c r="AE24" i="72"/>
  <c r="AE22" i="72"/>
  <c r="AD534" i="72"/>
  <c r="AD533" i="72"/>
  <c r="AD532" i="72"/>
  <c r="AD531" i="72"/>
  <c r="AD530" i="72"/>
  <c r="AD529" i="72"/>
  <c r="AD524" i="72"/>
  <c r="AD523" i="72"/>
  <c r="AD520" i="72"/>
  <c r="AD519" i="72"/>
  <c r="AD518" i="72"/>
  <c r="AD517" i="72"/>
  <c r="AD516" i="72"/>
  <c r="AD515" i="72"/>
  <c r="AD513" i="72"/>
  <c r="AD289" i="72"/>
  <c r="AD288" i="72"/>
  <c r="AD287" i="72"/>
  <c r="AD286" i="72"/>
  <c r="AD285" i="72"/>
  <c r="AD284" i="72"/>
  <c r="AD279" i="72"/>
  <c r="AD278" i="72"/>
  <c r="AD275" i="72"/>
  <c r="AD274" i="72"/>
  <c r="AD273" i="72"/>
  <c r="AD272" i="72"/>
  <c r="AD271" i="72"/>
  <c r="AD270" i="72"/>
  <c r="AD268" i="72"/>
  <c r="AD43" i="72"/>
  <c r="AD42" i="72"/>
  <c r="AD41" i="72"/>
  <c r="AD40" i="72"/>
  <c r="AD39" i="72"/>
  <c r="AD38" i="72"/>
  <c r="AD33" i="72"/>
  <c r="AD32" i="72"/>
  <c r="AD31" i="72"/>
  <c r="AD29" i="72"/>
  <c r="AD28" i="72"/>
  <c r="AD27" i="72"/>
  <c r="AD26" i="72"/>
  <c r="AD25" i="72"/>
  <c r="AD24" i="72"/>
  <c r="AD22" i="72"/>
  <c r="AC534" i="72"/>
  <c r="AC533" i="72"/>
  <c r="AC532" i="72"/>
  <c r="AC531" i="72"/>
  <c r="AC530" i="72"/>
  <c r="AC529" i="72"/>
  <c r="AC524" i="72"/>
  <c r="AC523" i="72"/>
  <c r="AC520" i="72"/>
  <c r="AC519" i="72"/>
  <c r="AC518" i="72"/>
  <c r="AC517" i="72"/>
  <c r="AC516" i="72"/>
  <c r="AC515" i="72"/>
  <c r="AC513" i="72"/>
  <c r="AC289" i="72"/>
  <c r="AC288" i="72"/>
  <c r="AC287" i="72"/>
  <c r="AC286" i="72"/>
  <c r="AC285" i="72"/>
  <c r="AC284" i="72"/>
  <c r="AC279" i="72"/>
  <c r="AC278" i="72"/>
  <c r="AC275" i="72"/>
  <c r="AC274" i="72"/>
  <c r="AC273" i="72"/>
  <c r="AC272" i="72"/>
  <c r="AC271" i="72"/>
  <c r="AC270" i="72"/>
  <c r="AC268" i="72"/>
  <c r="AC43" i="72"/>
  <c r="AC42" i="72"/>
  <c r="AC41" i="72"/>
  <c r="AC40" i="72"/>
  <c r="AC39" i="72"/>
  <c r="AC38" i="72"/>
  <c r="AC33" i="72"/>
  <c r="AC32" i="72"/>
  <c r="AC31" i="72"/>
  <c r="AC29" i="72"/>
  <c r="AC28" i="72"/>
  <c r="AC27" i="72"/>
  <c r="AC26" i="72"/>
  <c r="AC25" i="72"/>
  <c r="AC24" i="72"/>
  <c r="AC22" i="72"/>
  <c r="AB534" i="72"/>
  <c r="AB533" i="72"/>
  <c r="AB532" i="72"/>
  <c r="AB531" i="72"/>
  <c r="AB530" i="72"/>
  <c r="AB529" i="72"/>
  <c r="AB524" i="72"/>
  <c r="AB523" i="72"/>
  <c r="AB520" i="72"/>
  <c r="AB519" i="72"/>
  <c r="AB518" i="72"/>
  <c r="AB517" i="72"/>
  <c r="AB516" i="72"/>
  <c r="AB515" i="72"/>
  <c r="AB513" i="72"/>
  <c r="AB289" i="72"/>
  <c r="AB288" i="72"/>
  <c r="AB287" i="72"/>
  <c r="AB286" i="72"/>
  <c r="AB285" i="72"/>
  <c r="AB284" i="72"/>
  <c r="AB279" i="72"/>
  <c r="AB278" i="72"/>
  <c r="AB275" i="72"/>
  <c r="AB274" i="72"/>
  <c r="AB273" i="72"/>
  <c r="AB272" i="72"/>
  <c r="AB271" i="72"/>
  <c r="AB270" i="72"/>
  <c r="AB268" i="72"/>
  <c r="AB43" i="72"/>
  <c r="AB42" i="72"/>
  <c r="AB41" i="72"/>
  <c r="AB40" i="72"/>
  <c r="AB39" i="72"/>
  <c r="AB38" i="72"/>
  <c r="AB33" i="72"/>
  <c r="AB32" i="72"/>
  <c r="AB31" i="72"/>
  <c r="AB29" i="72"/>
  <c r="AB28" i="72"/>
  <c r="AB27" i="72"/>
  <c r="AB26" i="72"/>
  <c r="AB25" i="72"/>
  <c r="AB24" i="72"/>
  <c r="AB22" i="72"/>
  <c r="AA534" i="72"/>
  <c r="AA533" i="72"/>
  <c r="AA532" i="72"/>
  <c r="AA531" i="72"/>
  <c r="AA530" i="72"/>
  <c r="AA529" i="72"/>
  <c r="AA524" i="72"/>
  <c r="AA523" i="72"/>
  <c r="AA520" i="72"/>
  <c r="AA519" i="72"/>
  <c r="AA518" i="72"/>
  <c r="AA517" i="72"/>
  <c r="AA516" i="72"/>
  <c r="AA515" i="72"/>
  <c r="AA513" i="72"/>
  <c r="AA289" i="72"/>
  <c r="AA288" i="72"/>
  <c r="AA287" i="72"/>
  <c r="AA286" i="72"/>
  <c r="AA285" i="72"/>
  <c r="AA284" i="72"/>
  <c r="AA279" i="72"/>
  <c r="AA278" i="72"/>
  <c r="AA275" i="72"/>
  <c r="AA274" i="72"/>
  <c r="AA273" i="72"/>
  <c r="AA272" i="72"/>
  <c r="AA271" i="72"/>
  <c r="AA270" i="72"/>
  <c r="AA268" i="72"/>
  <c r="AA43" i="72"/>
  <c r="AA42" i="72"/>
  <c r="AA41" i="72"/>
  <c r="AA40" i="72"/>
  <c r="AA39" i="72"/>
  <c r="AA38" i="72"/>
  <c r="AA33" i="72"/>
  <c r="AA32" i="72"/>
  <c r="AA31" i="72"/>
  <c r="AA29" i="72"/>
  <c r="AA28" i="72"/>
  <c r="AA27" i="72"/>
  <c r="AA26" i="72"/>
  <c r="AA25" i="72"/>
  <c r="AA24" i="72"/>
  <c r="AA22" i="72"/>
  <c r="Z534" i="72"/>
  <c r="Z533" i="72"/>
  <c r="Z532" i="72"/>
  <c r="Z531" i="72"/>
  <c r="Z530" i="72"/>
  <c r="Z529" i="72"/>
  <c r="Z524" i="72"/>
  <c r="Z523" i="72"/>
  <c r="Z520" i="72"/>
  <c r="Z519" i="72"/>
  <c r="Z518" i="72"/>
  <c r="Z517" i="72"/>
  <c r="Z516" i="72"/>
  <c r="Z515" i="72"/>
  <c r="Z513" i="72"/>
  <c r="Z289" i="72"/>
  <c r="Z288" i="72"/>
  <c r="Z287" i="72"/>
  <c r="Z286" i="72"/>
  <c r="Z285" i="72"/>
  <c r="Z284" i="72"/>
  <c r="Z279" i="72"/>
  <c r="Z278" i="72"/>
  <c r="Z275" i="72"/>
  <c r="Z274" i="72"/>
  <c r="Z273" i="72"/>
  <c r="Z272" i="72"/>
  <c r="Z271" i="72"/>
  <c r="Z270" i="72"/>
  <c r="Z268" i="72"/>
  <c r="Z43" i="72"/>
  <c r="Z42" i="72"/>
  <c r="Z41" i="72"/>
  <c r="Z40" i="72"/>
  <c r="Z39" i="72"/>
  <c r="Z38" i="72"/>
  <c r="Z33" i="72"/>
  <c r="Z32" i="72"/>
  <c r="Z31" i="72"/>
  <c r="Z29" i="72"/>
  <c r="Z28" i="72"/>
  <c r="Z27" i="72"/>
  <c r="Z26" i="72"/>
  <c r="Z25" i="72"/>
  <c r="Z24" i="72"/>
  <c r="Z22" i="72"/>
  <c r="Y534" i="72"/>
  <c r="Y533" i="72"/>
  <c r="Y532" i="72"/>
  <c r="Y531" i="72"/>
  <c r="Y530" i="72"/>
  <c r="Y529" i="72"/>
  <c r="Y528" i="72"/>
  <c r="Y527" i="72"/>
  <c r="Y524" i="72"/>
  <c r="Y523" i="72"/>
  <c r="Y520" i="72"/>
  <c r="Y519" i="72"/>
  <c r="Y518" i="72"/>
  <c r="Y517" i="72"/>
  <c r="Y516" i="72"/>
  <c r="Y515" i="72"/>
  <c r="Y513" i="72"/>
  <c r="Y289" i="72"/>
  <c r="Y288" i="72"/>
  <c r="Y287" i="72"/>
  <c r="Y286" i="72"/>
  <c r="Y285" i="72"/>
  <c r="Y284" i="72"/>
  <c r="Y279" i="72"/>
  <c r="Y278" i="72"/>
  <c r="Y275" i="72"/>
  <c r="Y274" i="72"/>
  <c r="Y273" i="72"/>
  <c r="Y272" i="72"/>
  <c r="Y271" i="72"/>
  <c r="Y270" i="72"/>
  <c r="Y268" i="72"/>
  <c r="Y43" i="72"/>
  <c r="Y42" i="72"/>
  <c r="Y41" i="72"/>
  <c r="Y40" i="72"/>
  <c r="Y39" i="72"/>
  <c r="Y38" i="72"/>
  <c r="Y33" i="72"/>
  <c r="Y32" i="72"/>
  <c r="Y31" i="72"/>
  <c r="Y29" i="72"/>
  <c r="Y28" i="72"/>
  <c r="Y27" i="72"/>
  <c r="Y26" i="72"/>
  <c r="Y25" i="72"/>
  <c r="Y24" i="72"/>
  <c r="Y22" i="72"/>
  <c r="X534" i="72"/>
  <c r="X533" i="72"/>
  <c r="X532" i="72"/>
  <c r="X531" i="72"/>
  <c r="X530" i="72"/>
  <c r="X529" i="72"/>
  <c r="X528" i="72"/>
  <c r="X527" i="72"/>
  <c r="X524" i="72"/>
  <c r="X523" i="72"/>
  <c r="X520" i="72"/>
  <c r="X519" i="72"/>
  <c r="X518" i="72"/>
  <c r="X517" i="72"/>
  <c r="X516" i="72"/>
  <c r="X515" i="72"/>
  <c r="X513" i="72"/>
  <c r="X289" i="72"/>
  <c r="X288" i="72"/>
  <c r="X287" i="72"/>
  <c r="X286" i="72"/>
  <c r="X285" i="72"/>
  <c r="X284" i="72"/>
  <c r="X279" i="72"/>
  <c r="X278" i="72"/>
  <c r="X275" i="72"/>
  <c r="X274" i="72"/>
  <c r="X273" i="72"/>
  <c r="X272" i="72"/>
  <c r="X271" i="72"/>
  <c r="X270" i="72"/>
  <c r="X268" i="72"/>
  <c r="X43" i="72"/>
  <c r="X42" i="72"/>
  <c r="X41" i="72"/>
  <c r="X40" i="72"/>
  <c r="X39" i="72"/>
  <c r="X38" i="72"/>
  <c r="X33" i="72"/>
  <c r="X32" i="72"/>
  <c r="X31" i="72"/>
  <c r="X29" i="72"/>
  <c r="X28" i="72"/>
  <c r="X27" i="72"/>
  <c r="X26" i="72"/>
  <c r="X25" i="72"/>
  <c r="X24" i="72"/>
  <c r="X22" i="72"/>
  <c r="W534" i="72"/>
  <c r="W533" i="72"/>
  <c r="W532" i="72"/>
  <c r="W531" i="72"/>
  <c r="W530" i="72"/>
  <c r="W529" i="72"/>
  <c r="W528" i="72"/>
  <c r="W527" i="72"/>
  <c r="W524" i="72"/>
  <c r="W523" i="72"/>
  <c r="W520" i="72"/>
  <c r="W519" i="72"/>
  <c r="W518" i="72"/>
  <c r="W517" i="72"/>
  <c r="W516" i="72"/>
  <c r="W515" i="72"/>
  <c r="W513" i="72"/>
  <c r="W289" i="72"/>
  <c r="W288" i="72"/>
  <c r="W287" i="72"/>
  <c r="W286" i="72"/>
  <c r="W285" i="72"/>
  <c r="W284" i="72"/>
  <c r="W279" i="72"/>
  <c r="W278" i="72"/>
  <c r="W275" i="72"/>
  <c r="W274" i="72"/>
  <c r="W273" i="72"/>
  <c r="W272" i="72"/>
  <c r="W271" i="72"/>
  <c r="W270" i="72"/>
  <c r="W268" i="72"/>
  <c r="W43" i="72"/>
  <c r="W42" i="72"/>
  <c r="W41" i="72"/>
  <c r="W40" i="72"/>
  <c r="W39" i="72"/>
  <c r="W38" i="72"/>
  <c r="W33" i="72"/>
  <c r="W32" i="72"/>
  <c r="W31" i="72"/>
  <c r="W29" i="72"/>
  <c r="W28" i="72"/>
  <c r="W27" i="72"/>
  <c r="W26" i="72"/>
  <c r="W25" i="72"/>
  <c r="W24" i="72"/>
  <c r="W22" i="72"/>
  <c r="V534" i="72"/>
  <c r="V533" i="72"/>
  <c r="V532" i="72"/>
  <c r="V531" i="72"/>
  <c r="V530" i="72"/>
  <c r="V529" i="72"/>
  <c r="V528" i="72"/>
  <c r="V527" i="72"/>
  <c r="V524" i="72"/>
  <c r="V523" i="72"/>
  <c r="V520" i="72"/>
  <c r="V519" i="72"/>
  <c r="V518" i="72"/>
  <c r="V517" i="72"/>
  <c r="V516" i="72"/>
  <c r="V515" i="72"/>
  <c r="V513" i="72"/>
  <c r="V289" i="72"/>
  <c r="V288" i="72"/>
  <c r="V287" i="72"/>
  <c r="V286" i="72"/>
  <c r="V285" i="72"/>
  <c r="V284" i="72"/>
  <c r="V279" i="72"/>
  <c r="V278" i="72"/>
  <c r="V275" i="72"/>
  <c r="V274" i="72"/>
  <c r="V273" i="72"/>
  <c r="V272" i="72"/>
  <c r="V271" i="72"/>
  <c r="V270" i="72"/>
  <c r="V268" i="72"/>
  <c r="V43" i="72"/>
  <c r="V42" i="72"/>
  <c r="V41" i="72"/>
  <c r="V40" i="72"/>
  <c r="V39" i="72"/>
  <c r="V38" i="72"/>
  <c r="V33" i="72"/>
  <c r="V32" i="72"/>
  <c r="V31" i="72"/>
  <c r="V29" i="72"/>
  <c r="V28" i="72"/>
  <c r="V27" i="72"/>
  <c r="V26" i="72"/>
  <c r="V25" i="72"/>
  <c r="V24" i="72"/>
  <c r="V22" i="72"/>
  <c r="U534" i="72"/>
  <c r="U533" i="72"/>
  <c r="U532" i="72"/>
  <c r="U531" i="72"/>
  <c r="U530" i="72"/>
  <c r="U529" i="72"/>
  <c r="U528" i="72"/>
  <c r="U527" i="72"/>
  <c r="U526" i="72"/>
  <c r="U525" i="72"/>
  <c r="U524" i="72"/>
  <c r="U523" i="72"/>
  <c r="U520" i="72"/>
  <c r="U519" i="72"/>
  <c r="U518" i="72"/>
  <c r="U517" i="72"/>
  <c r="U516" i="72"/>
  <c r="U515" i="72"/>
  <c r="U513" i="72"/>
  <c r="U289" i="72"/>
  <c r="U288" i="72"/>
  <c r="U287" i="72"/>
  <c r="U286" i="72"/>
  <c r="U285" i="72"/>
  <c r="U284" i="72"/>
  <c r="U279" i="72"/>
  <c r="U278" i="72"/>
  <c r="U275" i="72"/>
  <c r="U274" i="72"/>
  <c r="U273" i="72"/>
  <c r="U272" i="72"/>
  <c r="U271" i="72"/>
  <c r="U270" i="72"/>
  <c r="U268" i="72"/>
  <c r="U43" i="72"/>
  <c r="U42" i="72"/>
  <c r="U41" i="72"/>
  <c r="U40" i="72"/>
  <c r="U39" i="72"/>
  <c r="U38" i="72"/>
  <c r="U33" i="72"/>
  <c r="U32" i="72"/>
  <c r="U31" i="72"/>
  <c r="U29" i="72"/>
  <c r="U28" i="72"/>
  <c r="U27" i="72"/>
  <c r="U26" i="72"/>
  <c r="U25" i="72"/>
  <c r="U24" i="72"/>
  <c r="U22" i="72"/>
  <c r="T534" i="72"/>
  <c r="T533" i="72"/>
  <c r="T532" i="72"/>
  <c r="T531" i="72"/>
  <c r="T530" i="72"/>
  <c r="T529" i="72"/>
  <c r="T528" i="72"/>
  <c r="T527" i="72"/>
  <c r="T526" i="72"/>
  <c r="T525" i="72"/>
  <c r="T524" i="72"/>
  <c r="T523" i="72"/>
  <c r="T520" i="72"/>
  <c r="T519" i="72"/>
  <c r="T518" i="72"/>
  <c r="T517" i="72"/>
  <c r="T516" i="72"/>
  <c r="T515" i="72"/>
  <c r="T513" i="72"/>
  <c r="T289" i="72"/>
  <c r="T288" i="72"/>
  <c r="T287" i="72"/>
  <c r="T286" i="72"/>
  <c r="T285" i="72"/>
  <c r="T284" i="72"/>
  <c r="T279" i="72"/>
  <c r="T278" i="72"/>
  <c r="T275" i="72"/>
  <c r="T274" i="72"/>
  <c r="T273" i="72"/>
  <c r="T272" i="72"/>
  <c r="T271" i="72"/>
  <c r="T270" i="72"/>
  <c r="T268" i="72"/>
  <c r="T43" i="72"/>
  <c r="T42" i="72"/>
  <c r="T41" i="72"/>
  <c r="T40" i="72"/>
  <c r="T39" i="72"/>
  <c r="T38" i="72"/>
  <c r="T33" i="72"/>
  <c r="T32" i="72"/>
  <c r="T31" i="72"/>
  <c r="T29" i="72"/>
  <c r="T28" i="72"/>
  <c r="T27" i="72"/>
  <c r="T26" i="72"/>
  <c r="T25" i="72"/>
  <c r="T24" i="72"/>
  <c r="T22" i="72"/>
  <c r="S534" i="72"/>
  <c r="S533" i="72"/>
  <c r="S532" i="72"/>
  <c r="S531" i="72"/>
  <c r="S530" i="72"/>
  <c r="S529" i="72"/>
  <c r="S528" i="72"/>
  <c r="S527" i="72"/>
  <c r="S526" i="72"/>
  <c r="S525" i="72"/>
  <c r="S524" i="72"/>
  <c r="S523" i="72"/>
  <c r="S520" i="72"/>
  <c r="S519" i="72"/>
  <c r="S518" i="72"/>
  <c r="S517" i="72"/>
  <c r="S516" i="72"/>
  <c r="S515" i="72"/>
  <c r="S513" i="72"/>
  <c r="S289" i="72"/>
  <c r="S288" i="72"/>
  <c r="S287" i="72"/>
  <c r="S286" i="72"/>
  <c r="S285" i="72"/>
  <c r="S284" i="72"/>
  <c r="S279" i="72"/>
  <c r="S278" i="72"/>
  <c r="S275" i="72"/>
  <c r="S274" i="72"/>
  <c r="S273" i="72"/>
  <c r="S272" i="72"/>
  <c r="S271" i="72"/>
  <c r="S270" i="72"/>
  <c r="S268" i="72"/>
  <c r="S43" i="72"/>
  <c r="S42" i="72"/>
  <c r="S41" i="72"/>
  <c r="S40" i="72"/>
  <c r="S39" i="72"/>
  <c r="S38" i="72"/>
  <c r="S33" i="72"/>
  <c r="S32" i="72"/>
  <c r="S31" i="72"/>
  <c r="S29" i="72"/>
  <c r="S28" i="72"/>
  <c r="S27" i="72"/>
  <c r="S26" i="72"/>
  <c r="S25" i="72"/>
  <c r="S24" i="72"/>
  <c r="S22" i="72"/>
  <c r="R534" i="72"/>
  <c r="R533" i="72"/>
  <c r="R532" i="72"/>
  <c r="R531" i="72"/>
  <c r="R530" i="72"/>
  <c r="R529" i="72"/>
  <c r="R528" i="72"/>
  <c r="R527" i="72"/>
  <c r="R526" i="72"/>
  <c r="R525" i="72"/>
  <c r="R524" i="72"/>
  <c r="R523" i="72"/>
  <c r="R520" i="72"/>
  <c r="R519" i="72"/>
  <c r="R518" i="72"/>
  <c r="R517" i="72"/>
  <c r="R516" i="72"/>
  <c r="R515" i="72"/>
  <c r="R513" i="72"/>
  <c r="R289" i="72"/>
  <c r="R288" i="72"/>
  <c r="R287" i="72"/>
  <c r="R286" i="72"/>
  <c r="R285" i="72"/>
  <c r="R284" i="72"/>
  <c r="R279" i="72"/>
  <c r="R278" i="72"/>
  <c r="R275" i="72"/>
  <c r="R274" i="72"/>
  <c r="R273" i="72"/>
  <c r="R272" i="72"/>
  <c r="R271" i="72"/>
  <c r="R270" i="72"/>
  <c r="R268" i="72"/>
  <c r="R43" i="72"/>
  <c r="R42" i="72"/>
  <c r="R41" i="72"/>
  <c r="R40" i="72"/>
  <c r="R39" i="72"/>
  <c r="R38" i="72"/>
  <c r="R33" i="72"/>
  <c r="R32" i="72"/>
  <c r="R31" i="72"/>
  <c r="R29" i="72"/>
  <c r="R28" i="72"/>
  <c r="R27" i="72"/>
  <c r="R26" i="72"/>
  <c r="R25" i="72"/>
  <c r="R24" i="72"/>
  <c r="R22" i="72"/>
  <c r="Q534" i="72"/>
  <c r="Q533" i="72"/>
  <c r="Q532" i="72"/>
  <c r="Q531" i="72"/>
  <c r="Q530" i="72"/>
  <c r="Q529" i="72"/>
  <c r="Q528" i="72"/>
  <c r="Q527" i="72"/>
  <c r="Q526" i="72"/>
  <c r="Q525" i="72"/>
  <c r="Q524" i="72"/>
  <c r="Q523" i="72"/>
  <c r="Q520" i="72"/>
  <c r="Q519" i="72"/>
  <c r="Q518" i="72"/>
  <c r="Q517" i="72"/>
  <c r="Q516" i="72"/>
  <c r="Q515" i="72"/>
  <c r="Q513" i="72"/>
  <c r="Q289" i="72"/>
  <c r="Q288" i="72"/>
  <c r="Q287" i="72"/>
  <c r="Q286" i="72"/>
  <c r="Q285" i="72"/>
  <c r="Q284" i="72"/>
  <c r="Q283" i="72"/>
  <c r="Q282" i="72"/>
  <c r="Q281" i="72"/>
  <c r="Q280" i="72"/>
  <c r="Q279" i="72"/>
  <c r="Q278" i="72"/>
  <c r="Q275" i="72"/>
  <c r="Q274" i="72"/>
  <c r="Q273" i="72"/>
  <c r="Q272" i="72"/>
  <c r="Q271" i="72"/>
  <c r="Q270" i="72"/>
  <c r="Q268" i="72"/>
  <c r="Q43" i="72"/>
  <c r="Q42" i="72"/>
  <c r="Q41" i="72"/>
  <c r="Q40" i="72"/>
  <c r="Q39" i="72"/>
  <c r="Q38" i="72"/>
  <c r="Q33" i="72"/>
  <c r="Q32" i="72"/>
  <c r="Q31" i="72"/>
  <c r="Q29" i="72"/>
  <c r="Q28" i="72"/>
  <c r="Q27" i="72"/>
  <c r="Q26" i="72"/>
  <c r="Q25" i="72"/>
  <c r="Q24" i="72"/>
  <c r="Q22" i="72"/>
  <c r="P534" i="72"/>
  <c r="P533" i="72"/>
  <c r="P532" i="72"/>
  <c r="P531" i="72"/>
  <c r="P530" i="72"/>
  <c r="P529" i="72"/>
  <c r="P528" i="72"/>
  <c r="P527" i="72"/>
  <c r="P526" i="72"/>
  <c r="P525" i="72"/>
  <c r="P524" i="72"/>
  <c r="P523" i="72"/>
  <c r="P520" i="72"/>
  <c r="P519" i="72"/>
  <c r="P518" i="72"/>
  <c r="P517" i="72"/>
  <c r="P516" i="72"/>
  <c r="P515" i="72"/>
  <c r="P513" i="72"/>
  <c r="P289" i="72"/>
  <c r="P288" i="72"/>
  <c r="P287" i="72"/>
  <c r="P286" i="72"/>
  <c r="P285" i="72"/>
  <c r="P284" i="72"/>
  <c r="P279" i="72"/>
  <c r="P278" i="72"/>
  <c r="P275" i="72"/>
  <c r="P274" i="72"/>
  <c r="P273" i="72"/>
  <c r="P272" i="72"/>
  <c r="P271" i="72"/>
  <c r="P270" i="72"/>
  <c r="P268" i="72"/>
  <c r="P43" i="72"/>
  <c r="P42" i="72"/>
  <c r="P41" i="72"/>
  <c r="P40" i="72"/>
  <c r="P39" i="72"/>
  <c r="P38" i="72"/>
  <c r="P33" i="72"/>
  <c r="P32" i="72"/>
  <c r="P31" i="72"/>
  <c r="P29" i="72"/>
  <c r="P28" i="72"/>
  <c r="P27" i="72"/>
  <c r="P26" i="72"/>
  <c r="P25" i="72"/>
  <c r="P24" i="72"/>
  <c r="P22" i="72"/>
  <c r="O534" i="72"/>
  <c r="O533" i="72"/>
  <c r="O532" i="72"/>
  <c r="O531" i="72"/>
  <c r="O530" i="72"/>
  <c r="O529" i="72"/>
  <c r="O528" i="72"/>
  <c r="O527" i="72"/>
  <c r="O526" i="72"/>
  <c r="O525" i="72"/>
  <c r="O524" i="72"/>
  <c r="O523" i="72"/>
  <c r="O520" i="72"/>
  <c r="O519" i="72"/>
  <c r="O518" i="72"/>
  <c r="O517" i="72"/>
  <c r="O516" i="72"/>
  <c r="O515" i="72"/>
  <c r="O513" i="72"/>
  <c r="O289" i="72"/>
  <c r="O288" i="72"/>
  <c r="O287" i="72"/>
  <c r="O286" i="72"/>
  <c r="O285" i="72"/>
  <c r="O284" i="72"/>
  <c r="O279" i="72"/>
  <c r="O278" i="72"/>
  <c r="O275" i="72"/>
  <c r="O274" i="72"/>
  <c r="O273" i="72"/>
  <c r="O272" i="72"/>
  <c r="O271" i="72"/>
  <c r="O270" i="72"/>
  <c r="O268" i="72"/>
  <c r="O43" i="72"/>
  <c r="O42" i="72"/>
  <c r="O41" i="72"/>
  <c r="O40" i="72"/>
  <c r="O39" i="72"/>
  <c r="O38" i="72"/>
  <c r="O33" i="72"/>
  <c r="O32" i="72"/>
  <c r="O31" i="72"/>
  <c r="O29" i="72"/>
  <c r="O28" i="72"/>
  <c r="O27" i="72"/>
  <c r="O26" i="72"/>
  <c r="O25" i="72"/>
  <c r="O24" i="72"/>
  <c r="O22" i="72"/>
  <c r="N534" i="72"/>
  <c r="N533" i="72"/>
  <c r="N532" i="72"/>
  <c r="N531" i="72"/>
  <c r="N530" i="72"/>
  <c r="N529" i="72"/>
  <c r="N528" i="72"/>
  <c r="N527" i="72"/>
  <c r="N526" i="72"/>
  <c r="N525" i="72"/>
  <c r="N524" i="72"/>
  <c r="N523" i="72"/>
  <c r="N520" i="72"/>
  <c r="N519" i="72"/>
  <c r="N518" i="72"/>
  <c r="N517" i="72"/>
  <c r="N516" i="72"/>
  <c r="N515" i="72"/>
  <c r="N513" i="72"/>
  <c r="N289" i="72"/>
  <c r="N288" i="72"/>
  <c r="N287" i="72"/>
  <c r="N286" i="72"/>
  <c r="N285" i="72"/>
  <c r="N284" i="72"/>
  <c r="N279" i="72"/>
  <c r="N278" i="72"/>
  <c r="N275" i="72"/>
  <c r="N274" i="72"/>
  <c r="N273" i="72"/>
  <c r="N272" i="72"/>
  <c r="N271" i="72"/>
  <c r="N270" i="72"/>
  <c r="N268" i="72"/>
  <c r="N43" i="72"/>
  <c r="N42" i="72"/>
  <c r="N41" i="72"/>
  <c r="N40" i="72"/>
  <c r="N39" i="72"/>
  <c r="N38" i="72"/>
  <c r="N33" i="72"/>
  <c r="N32" i="72"/>
  <c r="N31" i="72"/>
  <c r="N29" i="72"/>
  <c r="N28" i="72"/>
  <c r="N27" i="72"/>
  <c r="N26" i="72"/>
  <c r="N25" i="72"/>
  <c r="N24" i="72"/>
  <c r="N22" i="72"/>
  <c r="M534" i="72"/>
  <c r="M533" i="72"/>
  <c r="M532" i="72"/>
  <c r="M531" i="72"/>
  <c r="M530" i="72"/>
  <c r="M529" i="72"/>
  <c r="M528" i="72"/>
  <c r="M527" i="72"/>
  <c r="M526" i="72"/>
  <c r="M525" i="72"/>
  <c r="M524" i="72"/>
  <c r="M523" i="72"/>
  <c r="M520" i="72"/>
  <c r="M519" i="72"/>
  <c r="M518" i="72"/>
  <c r="M517" i="72"/>
  <c r="M516" i="72"/>
  <c r="M515" i="72"/>
  <c r="M513" i="72"/>
  <c r="M289" i="72"/>
  <c r="M288" i="72"/>
  <c r="M287" i="72"/>
  <c r="M286" i="72"/>
  <c r="M285" i="72"/>
  <c r="M284" i="72"/>
  <c r="M279" i="72"/>
  <c r="M278" i="72"/>
  <c r="M275" i="72"/>
  <c r="M274" i="72"/>
  <c r="M273" i="72"/>
  <c r="M272" i="72"/>
  <c r="M271" i="72"/>
  <c r="M270" i="72"/>
  <c r="M268" i="72"/>
  <c r="M43" i="72"/>
  <c r="M42" i="72"/>
  <c r="M41" i="72"/>
  <c r="M40" i="72"/>
  <c r="M39" i="72"/>
  <c r="M38" i="72"/>
  <c r="M33" i="72"/>
  <c r="M32" i="72"/>
  <c r="M31" i="72"/>
  <c r="M29" i="72"/>
  <c r="M28" i="72"/>
  <c r="M27" i="72"/>
  <c r="M26" i="72"/>
  <c r="M25" i="72"/>
  <c r="M24" i="72"/>
  <c r="M22" i="72"/>
  <c r="L534" i="72"/>
  <c r="L533" i="72"/>
  <c r="L532" i="72"/>
  <c r="L531" i="72"/>
  <c r="L530" i="72"/>
  <c r="L529" i="72"/>
  <c r="L528" i="72"/>
  <c r="L527" i="72"/>
  <c r="L526" i="72"/>
  <c r="L525" i="72"/>
  <c r="L524" i="72"/>
  <c r="L523" i="72"/>
  <c r="L520" i="72"/>
  <c r="L519" i="72"/>
  <c r="L518" i="72"/>
  <c r="L517" i="72"/>
  <c r="L516" i="72"/>
  <c r="L515" i="72"/>
  <c r="L513" i="72"/>
  <c r="L289" i="72"/>
  <c r="L288" i="72"/>
  <c r="L287" i="72"/>
  <c r="L286" i="72"/>
  <c r="L285" i="72"/>
  <c r="L284" i="72"/>
  <c r="L279" i="72"/>
  <c r="L278" i="72"/>
  <c r="L275" i="72"/>
  <c r="L274" i="72"/>
  <c r="L273" i="72"/>
  <c r="L272" i="72"/>
  <c r="L271" i="72"/>
  <c r="L270" i="72"/>
  <c r="L268" i="72"/>
  <c r="L43" i="72"/>
  <c r="L42" i="72"/>
  <c r="L41" i="72"/>
  <c r="L40" i="72"/>
  <c r="L39" i="72"/>
  <c r="L38" i="72"/>
  <c r="L33" i="72"/>
  <c r="L32" i="72"/>
  <c r="L31" i="72"/>
  <c r="L29" i="72"/>
  <c r="L28" i="72"/>
  <c r="L27" i="72"/>
  <c r="L26" i="72"/>
  <c r="L25" i="72"/>
  <c r="L24" i="72"/>
  <c r="L22" i="72"/>
  <c r="K534" i="72"/>
  <c r="K533" i="72"/>
  <c r="K532" i="72"/>
  <c r="K531" i="72"/>
  <c r="K530" i="72"/>
  <c r="K529" i="72"/>
  <c r="K528" i="72"/>
  <c r="K527" i="72"/>
  <c r="K526" i="72"/>
  <c r="K525" i="72"/>
  <c r="K524" i="72"/>
  <c r="K523" i="72"/>
  <c r="K520" i="72"/>
  <c r="K519" i="72"/>
  <c r="K518" i="72"/>
  <c r="K517" i="72"/>
  <c r="K516" i="72"/>
  <c r="K515" i="72"/>
  <c r="K513" i="72"/>
  <c r="K289" i="72"/>
  <c r="K288" i="72"/>
  <c r="K287" i="72"/>
  <c r="K286" i="72"/>
  <c r="K285" i="72"/>
  <c r="K284" i="72"/>
  <c r="K279" i="72"/>
  <c r="K278" i="72"/>
  <c r="K275" i="72"/>
  <c r="K274" i="72"/>
  <c r="K273" i="72"/>
  <c r="K272" i="72"/>
  <c r="K271" i="72"/>
  <c r="K270" i="72"/>
  <c r="K268" i="72"/>
  <c r="K43" i="72"/>
  <c r="K42" i="72"/>
  <c r="K41" i="72"/>
  <c r="K40" i="72"/>
  <c r="K39" i="72"/>
  <c r="K38" i="72"/>
  <c r="K33" i="72"/>
  <c r="K32" i="72"/>
  <c r="K31" i="72"/>
  <c r="K29" i="72"/>
  <c r="K28" i="72"/>
  <c r="K27" i="72"/>
  <c r="K26" i="72"/>
  <c r="K25" i="72"/>
  <c r="K24" i="72"/>
  <c r="K22" i="72"/>
  <c r="J534" i="72"/>
  <c r="J533" i="72"/>
  <c r="J532" i="72"/>
  <c r="J531" i="72"/>
  <c r="J530" i="72"/>
  <c r="J529" i="72"/>
  <c r="J528" i="72"/>
  <c r="J527" i="72"/>
  <c r="J526" i="72"/>
  <c r="J525" i="72"/>
  <c r="J524" i="72"/>
  <c r="J523" i="72"/>
  <c r="J520" i="72"/>
  <c r="J519" i="72"/>
  <c r="J518" i="72"/>
  <c r="J517" i="72"/>
  <c r="J516" i="72"/>
  <c r="J515" i="72"/>
  <c r="J513" i="72"/>
  <c r="J289" i="72"/>
  <c r="J288" i="72"/>
  <c r="J287" i="72"/>
  <c r="J286" i="72"/>
  <c r="J285" i="72"/>
  <c r="J284" i="72"/>
  <c r="J279" i="72"/>
  <c r="J278" i="72"/>
  <c r="J275" i="72"/>
  <c r="J274" i="72"/>
  <c r="J273" i="72"/>
  <c r="J272" i="72"/>
  <c r="J271" i="72"/>
  <c r="J270" i="72"/>
  <c r="J268" i="72"/>
  <c r="J43" i="72"/>
  <c r="J42" i="72"/>
  <c r="J41" i="72"/>
  <c r="J40" i="72"/>
  <c r="J39" i="72"/>
  <c r="J38" i="72"/>
  <c r="J33" i="72"/>
  <c r="J32" i="72"/>
  <c r="J31" i="72"/>
  <c r="J29" i="72"/>
  <c r="J28" i="72"/>
  <c r="J27" i="72"/>
  <c r="J26" i="72"/>
  <c r="J25" i="72"/>
  <c r="J24" i="72"/>
  <c r="J22" i="72"/>
  <c r="I534" i="72"/>
  <c r="I533" i="72"/>
  <c r="I532" i="72"/>
  <c r="I531" i="72"/>
  <c r="I530" i="72"/>
  <c r="I529" i="72"/>
  <c r="I528" i="72"/>
  <c r="I527" i="72"/>
  <c r="I526" i="72"/>
  <c r="I525" i="72"/>
  <c r="I524" i="72"/>
  <c r="I523" i="72"/>
  <c r="I520" i="72"/>
  <c r="I519" i="72"/>
  <c r="I518" i="72"/>
  <c r="I517" i="72"/>
  <c r="I516" i="72"/>
  <c r="I515" i="72"/>
  <c r="I513" i="72"/>
  <c r="I289" i="72"/>
  <c r="I288" i="72"/>
  <c r="I287" i="72"/>
  <c r="I286" i="72"/>
  <c r="I285" i="72"/>
  <c r="I284" i="72"/>
  <c r="I279" i="72"/>
  <c r="I278" i="72"/>
  <c r="I275" i="72"/>
  <c r="I274" i="72"/>
  <c r="I273" i="72"/>
  <c r="I272" i="72"/>
  <c r="I271" i="72"/>
  <c r="I270" i="72"/>
  <c r="I268" i="72"/>
  <c r="I43" i="72"/>
  <c r="I42" i="72"/>
  <c r="I41" i="72"/>
  <c r="I40" i="72"/>
  <c r="I39" i="72"/>
  <c r="I38" i="72"/>
  <c r="I33" i="72"/>
  <c r="I32" i="72"/>
  <c r="I31" i="72"/>
  <c r="I29" i="72"/>
  <c r="I28" i="72"/>
  <c r="I27" i="72"/>
  <c r="I26" i="72"/>
  <c r="I25" i="72"/>
  <c r="I24" i="72"/>
  <c r="I22" i="72"/>
  <c r="H534" i="72"/>
  <c r="H533" i="72"/>
  <c r="H532" i="72"/>
  <c r="H531" i="72"/>
  <c r="H530" i="72"/>
  <c r="H529" i="72"/>
  <c r="H528" i="72"/>
  <c r="H527" i="72"/>
  <c r="H526" i="72"/>
  <c r="H525" i="72"/>
  <c r="H524" i="72"/>
  <c r="H523" i="72"/>
  <c r="H522" i="72"/>
  <c r="H521" i="72"/>
  <c r="H520" i="72"/>
  <c r="H519" i="72"/>
  <c r="H518" i="72"/>
  <c r="H517" i="72"/>
  <c r="H516" i="72"/>
  <c r="H515" i="72"/>
  <c r="H513" i="72"/>
  <c r="H289" i="72"/>
  <c r="H288" i="72"/>
  <c r="H287" i="72"/>
  <c r="H286" i="72"/>
  <c r="H285" i="72"/>
  <c r="H284" i="72"/>
  <c r="H283" i="72"/>
  <c r="H282" i="72"/>
  <c r="H281" i="72"/>
  <c r="H280" i="72"/>
  <c r="H279" i="72"/>
  <c r="H278" i="72"/>
  <c r="H277" i="72"/>
  <c r="H276" i="72"/>
  <c r="H275" i="72"/>
  <c r="H274" i="72"/>
  <c r="H273" i="72"/>
  <c r="H272" i="72"/>
  <c r="H271" i="72"/>
  <c r="H270" i="72"/>
  <c r="H268" i="72"/>
  <c r="H43" i="72"/>
  <c r="H42" i="72"/>
  <c r="H41" i="72"/>
  <c r="H40" i="72"/>
  <c r="H39" i="72"/>
  <c r="H38" i="72"/>
  <c r="H37" i="72"/>
  <c r="H36" i="72"/>
  <c r="H35" i="72"/>
  <c r="H34" i="72"/>
  <c r="H33" i="72"/>
  <c r="H32" i="72"/>
  <c r="H31" i="72"/>
  <c r="H30" i="72"/>
  <c r="H29" i="72"/>
  <c r="H28" i="72"/>
  <c r="H27" i="72"/>
  <c r="H26" i="72"/>
  <c r="H25" i="72"/>
  <c r="H24" i="72"/>
  <c r="Z835" i="18"/>
  <c r="Y835" i="18"/>
  <c r="X835" i="18"/>
  <c r="W835" i="18"/>
  <c r="V835" i="18"/>
  <c r="U835" i="18"/>
  <c r="T835" i="18"/>
  <c r="S835" i="18"/>
  <c r="R835" i="18"/>
  <c r="Q835" i="18"/>
  <c r="P835" i="18"/>
  <c r="O835" i="18"/>
  <c r="N835" i="18"/>
  <c r="M835" i="18"/>
  <c r="L835" i="18"/>
  <c r="K835" i="18"/>
  <c r="J835" i="18"/>
  <c r="I835" i="18"/>
  <c r="Z834" i="18"/>
  <c r="Y834" i="18"/>
  <c r="X834" i="18"/>
  <c r="W834" i="18"/>
  <c r="V834" i="18"/>
  <c r="U834" i="18"/>
  <c r="T834" i="18"/>
  <c r="S834" i="18"/>
  <c r="R834" i="18"/>
  <c r="Q834" i="18"/>
  <c r="P834" i="18"/>
  <c r="O834" i="18"/>
  <c r="N834" i="18"/>
  <c r="M834" i="18"/>
  <c r="L834" i="18"/>
  <c r="K834" i="18"/>
  <c r="J834" i="18"/>
  <c r="I834" i="18"/>
  <c r="V833" i="18"/>
  <c r="U833" i="18"/>
  <c r="T833" i="18"/>
  <c r="S833" i="18"/>
  <c r="R833" i="18"/>
  <c r="Q833" i="18"/>
  <c r="P833" i="18"/>
  <c r="O833" i="18"/>
  <c r="N833" i="18"/>
  <c r="M833" i="18"/>
  <c r="L833" i="18"/>
  <c r="K833" i="18"/>
  <c r="J833" i="18"/>
  <c r="I833" i="18"/>
  <c r="V832" i="18"/>
  <c r="U832" i="18"/>
  <c r="T832" i="18"/>
  <c r="S832" i="18"/>
  <c r="R832" i="18"/>
  <c r="Q832" i="18"/>
  <c r="P832" i="18"/>
  <c r="O832" i="18"/>
  <c r="N832" i="18"/>
  <c r="M832" i="18"/>
  <c r="L832" i="18"/>
  <c r="K832" i="18"/>
  <c r="J832" i="18"/>
  <c r="I832" i="18"/>
  <c r="I829" i="18"/>
  <c r="I828" i="18"/>
  <c r="Z804" i="18"/>
  <c r="Y804" i="18"/>
  <c r="X804" i="18"/>
  <c r="W804" i="18"/>
  <c r="V804" i="18"/>
  <c r="U804" i="18"/>
  <c r="T804" i="18"/>
  <c r="S804" i="18"/>
  <c r="R804" i="18"/>
  <c r="Q804" i="18"/>
  <c r="P804" i="18"/>
  <c r="O804" i="18"/>
  <c r="N804" i="18"/>
  <c r="M804" i="18"/>
  <c r="L804" i="18"/>
  <c r="K804" i="18"/>
  <c r="J804" i="18"/>
  <c r="I804" i="18"/>
  <c r="Z803" i="18"/>
  <c r="Y803" i="18"/>
  <c r="X803" i="18"/>
  <c r="W803" i="18"/>
  <c r="V803" i="18"/>
  <c r="U803" i="18"/>
  <c r="T803" i="18"/>
  <c r="S803" i="18"/>
  <c r="R803" i="18"/>
  <c r="Q803" i="18"/>
  <c r="P803" i="18"/>
  <c r="O803" i="18"/>
  <c r="N803" i="18"/>
  <c r="M803" i="18"/>
  <c r="L803" i="18"/>
  <c r="K803" i="18"/>
  <c r="J803" i="18"/>
  <c r="I803" i="18"/>
  <c r="V802" i="18"/>
  <c r="U802" i="18"/>
  <c r="T802" i="18"/>
  <c r="S802" i="18"/>
  <c r="R802" i="18"/>
  <c r="Q802" i="18"/>
  <c r="P802" i="18"/>
  <c r="O802" i="18"/>
  <c r="N802" i="18"/>
  <c r="M802" i="18"/>
  <c r="L802" i="18"/>
  <c r="K802" i="18"/>
  <c r="J802" i="18"/>
  <c r="I802" i="18"/>
  <c r="V801" i="18"/>
  <c r="U801" i="18"/>
  <c r="T801" i="18"/>
  <c r="S801" i="18"/>
  <c r="R801" i="18"/>
  <c r="Q801" i="18"/>
  <c r="P801" i="18"/>
  <c r="O801" i="18"/>
  <c r="N801" i="18"/>
  <c r="M801" i="18"/>
  <c r="L801" i="18"/>
  <c r="K801" i="18"/>
  <c r="J801" i="18"/>
  <c r="I801" i="18"/>
  <c r="I798" i="18"/>
  <c r="I797" i="18"/>
  <c r="Z773" i="18"/>
  <c r="Y773" i="18"/>
  <c r="X773" i="18"/>
  <c r="W773" i="18"/>
  <c r="V773" i="18"/>
  <c r="U773" i="18"/>
  <c r="T773" i="18"/>
  <c r="S773" i="18"/>
  <c r="R773" i="18"/>
  <c r="Q773" i="18"/>
  <c r="P773" i="18"/>
  <c r="O773" i="18"/>
  <c r="N773" i="18"/>
  <c r="M773" i="18"/>
  <c r="L773" i="18"/>
  <c r="K773" i="18"/>
  <c r="J773" i="18"/>
  <c r="I773" i="18"/>
  <c r="Z772" i="18"/>
  <c r="Y772" i="18"/>
  <c r="X772" i="18"/>
  <c r="W772" i="18"/>
  <c r="V772" i="18"/>
  <c r="U772" i="18"/>
  <c r="T772" i="18"/>
  <c r="S772" i="18"/>
  <c r="R772" i="18"/>
  <c r="Q772" i="18"/>
  <c r="P772" i="18"/>
  <c r="O772" i="18"/>
  <c r="N772" i="18"/>
  <c r="M772" i="18"/>
  <c r="L772" i="18"/>
  <c r="K772" i="18"/>
  <c r="J772" i="18"/>
  <c r="I772" i="18"/>
  <c r="V771" i="18"/>
  <c r="U771" i="18"/>
  <c r="T771" i="18"/>
  <c r="S771" i="18"/>
  <c r="R771" i="18"/>
  <c r="Q771" i="18"/>
  <c r="P771" i="18"/>
  <c r="O771" i="18"/>
  <c r="N771" i="18"/>
  <c r="M771" i="18"/>
  <c r="L771" i="18"/>
  <c r="K771" i="18"/>
  <c r="J771" i="18"/>
  <c r="I771" i="18"/>
  <c r="V770" i="18"/>
  <c r="U770" i="18"/>
  <c r="T770" i="18"/>
  <c r="S770" i="18"/>
  <c r="R770" i="18"/>
  <c r="Q770" i="18"/>
  <c r="P770" i="18"/>
  <c r="O770" i="18"/>
  <c r="N770" i="18"/>
  <c r="M770" i="18"/>
  <c r="L770" i="18"/>
  <c r="K770" i="18"/>
  <c r="J770" i="18"/>
  <c r="I770" i="18"/>
  <c r="I767" i="18"/>
  <c r="I766" i="18"/>
  <c r="Z742" i="18"/>
  <c r="Y742" i="18"/>
  <c r="X742" i="18"/>
  <c r="W742" i="18"/>
  <c r="V742" i="18"/>
  <c r="U742" i="18"/>
  <c r="T742" i="18"/>
  <c r="S742" i="18"/>
  <c r="R742" i="18"/>
  <c r="Q742" i="18"/>
  <c r="P742" i="18"/>
  <c r="O742" i="18"/>
  <c r="N742" i="18"/>
  <c r="M742" i="18"/>
  <c r="L742" i="18"/>
  <c r="K742" i="18"/>
  <c r="J742" i="18"/>
  <c r="I742" i="18"/>
  <c r="Z741" i="18"/>
  <c r="Y741" i="18"/>
  <c r="X741" i="18"/>
  <c r="W741" i="18"/>
  <c r="V741" i="18"/>
  <c r="U741" i="18"/>
  <c r="T741" i="18"/>
  <c r="S741" i="18"/>
  <c r="R741" i="18"/>
  <c r="Q741" i="18"/>
  <c r="P741" i="18"/>
  <c r="O741" i="18"/>
  <c r="N741" i="18"/>
  <c r="M741" i="18"/>
  <c r="L741" i="18"/>
  <c r="K741" i="18"/>
  <c r="J741" i="18"/>
  <c r="I741" i="18"/>
  <c r="V740" i="18"/>
  <c r="U740" i="18"/>
  <c r="T740" i="18"/>
  <c r="S740" i="18"/>
  <c r="R740" i="18"/>
  <c r="Q740" i="18"/>
  <c r="P740" i="18"/>
  <c r="O740" i="18"/>
  <c r="N740" i="18"/>
  <c r="M740" i="18"/>
  <c r="L740" i="18"/>
  <c r="K740" i="18"/>
  <c r="J740" i="18"/>
  <c r="I740" i="18"/>
  <c r="V739" i="18"/>
  <c r="U739" i="18"/>
  <c r="T739" i="18"/>
  <c r="S739" i="18"/>
  <c r="R739" i="18"/>
  <c r="Q739" i="18"/>
  <c r="P739" i="18"/>
  <c r="O739" i="18"/>
  <c r="N739" i="18"/>
  <c r="M739" i="18"/>
  <c r="L739" i="18"/>
  <c r="K739" i="18"/>
  <c r="J739" i="18"/>
  <c r="I739" i="18"/>
  <c r="I736" i="18"/>
  <c r="I735" i="18"/>
  <c r="Z711" i="18"/>
  <c r="Y711" i="18"/>
  <c r="X711" i="18"/>
  <c r="W711" i="18"/>
  <c r="V711" i="18"/>
  <c r="U711" i="18"/>
  <c r="T711" i="18"/>
  <c r="S711" i="18"/>
  <c r="R711" i="18"/>
  <c r="Q711" i="18"/>
  <c r="P711" i="18"/>
  <c r="O711" i="18"/>
  <c r="N711" i="18"/>
  <c r="M711" i="18"/>
  <c r="L711" i="18"/>
  <c r="K711" i="18"/>
  <c r="J711" i="18"/>
  <c r="I711" i="18"/>
  <c r="Z710" i="18"/>
  <c r="Y710" i="18"/>
  <c r="X710" i="18"/>
  <c r="W710" i="18"/>
  <c r="V710" i="18"/>
  <c r="U710" i="18"/>
  <c r="T710" i="18"/>
  <c r="S710" i="18"/>
  <c r="R710" i="18"/>
  <c r="Q710" i="18"/>
  <c r="P710" i="18"/>
  <c r="O710" i="18"/>
  <c r="N710" i="18"/>
  <c r="M710" i="18"/>
  <c r="L710" i="18"/>
  <c r="K710" i="18"/>
  <c r="J710" i="18"/>
  <c r="I710" i="18"/>
  <c r="V709" i="18"/>
  <c r="U709" i="18"/>
  <c r="T709" i="18"/>
  <c r="S709" i="18"/>
  <c r="R709" i="18"/>
  <c r="Q709" i="18"/>
  <c r="P709" i="18"/>
  <c r="O709" i="18"/>
  <c r="N709" i="18"/>
  <c r="M709" i="18"/>
  <c r="L709" i="18"/>
  <c r="K709" i="18"/>
  <c r="J709" i="18"/>
  <c r="I709" i="18"/>
  <c r="V708" i="18"/>
  <c r="U708" i="18"/>
  <c r="T708" i="18"/>
  <c r="S708" i="18"/>
  <c r="R708" i="18"/>
  <c r="Q708" i="18"/>
  <c r="P708" i="18"/>
  <c r="O708" i="18"/>
  <c r="N708" i="18"/>
  <c r="M708" i="18"/>
  <c r="L708" i="18"/>
  <c r="K708" i="18"/>
  <c r="J708" i="18"/>
  <c r="I708" i="18"/>
  <c r="I705" i="18"/>
  <c r="I704" i="18"/>
  <c r="Z680" i="18"/>
  <c r="Y680" i="18"/>
  <c r="X680" i="18"/>
  <c r="W680" i="18"/>
  <c r="V680" i="18"/>
  <c r="U680" i="18"/>
  <c r="T680" i="18"/>
  <c r="S680" i="18"/>
  <c r="R680" i="18"/>
  <c r="Q680" i="18"/>
  <c r="P680" i="18"/>
  <c r="O680" i="18"/>
  <c r="N680" i="18"/>
  <c r="M680" i="18"/>
  <c r="L680" i="18"/>
  <c r="K680" i="18"/>
  <c r="J680" i="18"/>
  <c r="I680" i="18"/>
  <c r="Z679" i="18"/>
  <c r="Y679" i="18"/>
  <c r="X679" i="18"/>
  <c r="W679" i="18"/>
  <c r="V679" i="18"/>
  <c r="U679" i="18"/>
  <c r="T679" i="18"/>
  <c r="S679" i="18"/>
  <c r="R679" i="18"/>
  <c r="Q679" i="18"/>
  <c r="P679" i="18"/>
  <c r="O679" i="18"/>
  <c r="N679" i="18"/>
  <c r="M679" i="18"/>
  <c r="L679" i="18"/>
  <c r="K679" i="18"/>
  <c r="J679" i="18"/>
  <c r="I679" i="18"/>
  <c r="V678" i="18"/>
  <c r="U678" i="18"/>
  <c r="T678" i="18"/>
  <c r="S678" i="18"/>
  <c r="R678" i="18"/>
  <c r="Q678" i="18"/>
  <c r="P678" i="18"/>
  <c r="O678" i="18"/>
  <c r="N678" i="18"/>
  <c r="M678" i="18"/>
  <c r="L678" i="18"/>
  <c r="K678" i="18"/>
  <c r="J678" i="18"/>
  <c r="I678" i="18"/>
  <c r="V677" i="18"/>
  <c r="U677" i="18"/>
  <c r="T677" i="18"/>
  <c r="S677" i="18"/>
  <c r="R677" i="18"/>
  <c r="Q677" i="18"/>
  <c r="P677" i="18"/>
  <c r="O677" i="18"/>
  <c r="N677" i="18"/>
  <c r="M677" i="18"/>
  <c r="L677" i="18"/>
  <c r="K677" i="18"/>
  <c r="J677" i="18"/>
  <c r="I677" i="18"/>
  <c r="I674" i="18"/>
  <c r="I673" i="18"/>
  <c r="Z649" i="18"/>
  <c r="Y649" i="18"/>
  <c r="X649" i="18"/>
  <c r="W649" i="18"/>
  <c r="V649" i="18"/>
  <c r="U649" i="18"/>
  <c r="T649" i="18"/>
  <c r="S649" i="18"/>
  <c r="R649" i="18"/>
  <c r="Q649" i="18"/>
  <c r="P649" i="18"/>
  <c r="O649" i="18"/>
  <c r="N649" i="18"/>
  <c r="M649" i="18"/>
  <c r="L649" i="18"/>
  <c r="K649" i="18"/>
  <c r="J649" i="18"/>
  <c r="I649" i="18"/>
  <c r="Z648" i="18"/>
  <c r="Y648" i="18"/>
  <c r="X648" i="18"/>
  <c r="W648" i="18"/>
  <c r="V648" i="18"/>
  <c r="U648" i="18"/>
  <c r="T648" i="18"/>
  <c r="S648" i="18"/>
  <c r="R648" i="18"/>
  <c r="Q648" i="18"/>
  <c r="P648" i="18"/>
  <c r="O648" i="18"/>
  <c r="N648" i="18"/>
  <c r="M648" i="18"/>
  <c r="L648" i="18"/>
  <c r="K648" i="18"/>
  <c r="J648" i="18"/>
  <c r="I648" i="18"/>
  <c r="V647" i="18"/>
  <c r="U647" i="18"/>
  <c r="T647" i="18"/>
  <c r="S647" i="18"/>
  <c r="R647" i="18"/>
  <c r="Q647" i="18"/>
  <c r="P647" i="18"/>
  <c r="O647" i="18"/>
  <c r="N647" i="18"/>
  <c r="M647" i="18"/>
  <c r="L647" i="18"/>
  <c r="K647" i="18"/>
  <c r="J647" i="18"/>
  <c r="I647" i="18"/>
  <c r="V646" i="18"/>
  <c r="U646" i="18"/>
  <c r="T646" i="18"/>
  <c r="S646" i="18"/>
  <c r="R646" i="18"/>
  <c r="Q646" i="18"/>
  <c r="P646" i="18"/>
  <c r="O646" i="18"/>
  <c r="N646" i="18"/>
  <c r="M646" i="18"/>
  <c r="L646" i="18"/>
  <c r="K646" i="18"/>
  <c r="J646" i="18"/>
  <c r="I646" i="18"/>
  <c r="I643" i="18"/>
  <c r="I642" i="18"/>
  <c r="Z618" i="18"/>
  <c r="Y618" i="18"/>
  <c r="X618" i="18"/>
  <c r="W618" i="18"/>
  <c r="V618" i="18"/>
  <c r="U618" i="18"/>
  <c r="T618" i="18"/>
  <c r="S618" i="18"/>
  <c r="R618" i="18"/>
  <c r="Q618" i="18"/>
  <c r="P618" i="18"/>
  <c r="O618" i="18"/>
  <c r="N618" i="18"/>
  <c r="M618" i="18"/>
  <c r="L618" i="18"/>
  <c r="K618" i="18"/>
  <c r="J618" i="18"/>
  <c r="I618" i="18"/>
  <c r="Z617" i="18"/>
  <c r="Y617" i="18"/>
  <c r="X617" i="18"/>
  <c r="W617" i="18"/>
  <c r="V617" i="18"/>
  <c r="U617" i="18"/>
  <c r="T617" i="18"/>
  <c r="S617" i="18"/>
  <c r="R617" i="18"/>
  <c r="Q617" i="18"/>
  <c r="P617" i="18"/>
  <c r="O617" i="18"/>
  <c r="N617" i="18"/>
  <c r="M617" i="18"/>
  <c r="L617" i="18"/>
  <c r="K617" i="18"/>
  <c r="J617" i="18"/>
  <c r="I617" i="18"/>
  <c r="V616" i="18"/>
  <c r="U616" i="18"/>
  <c r="T616" i="18"/>
  <c r="S616" i="18"/>
  <c r="R616" i="18"/>
  <c r="Q616" i="18"/>
  <c r="P616" i="18"/>
  <c r="O616" i="18"/>
  <c r="N616" i="18"/>
  <c r="M616" i="18"/>
  <c r="L616" i="18"/>
  <c r="K616" i="18"/>
  <c r="J616" i="18"/>
  <c r="I616" i="18"/>
  <c r="V615" i="18"/>
  <c r="U615" i="18"/>
  <c r="T615" i="18"/>
  <c r="S615" i="18"/>
  <c r="R615" i="18"/>
  <c r="Q615" i="18"/>
  <c r="P615" i="18"/>
  <c r="O615" i="18"/>
  <c r="N615" i="18"/>
  <c r="M615" i="18"/>
  <c r="L615" i="18"/>
  <c r="K615" i="18"/>
  <c r="J615" i="18"/>
  <c r="I615" i="18"/>
  <c r="I612" i="18"/>
  <c r="I611" i="18"/>
  <c r="R549" i="18"/>
  <c r="R548" i="18"/>
  <c r="R547" i="18"/>
  <c r="R546" i="18"/>
  <c r="R518" i="18"/>
  <c r="R517" i="18"/>
  <c r="R516" i="18"/>
  <c r="R515" i="18"/>
  <c r="R487" i="18"/>
  <c r="R486" i="18"/>
  <c r="R485" i="18"/>
  <c r="R484" i="18"/>
  <c r="R456" i="18"/>
  <c r="R455" i="18"/>
  <c r="R454" i="18"/>
  <c r="R453" i="18"/>
  <c r="R425" i="18"/>
  <c r="R424" i="18"/>
  <c r="R423" i="18"/>
  <c r="R422" i="18"/>
  <c r="R394" i="18"/>
  <c r="R393" i="18"/>
  <c r="R392" i="18"/>
  <c r="R391" i="18"/>
  <c r="R363" i="18"/>
  <c r="R362" i="18"/>
  <c r="R361" i="18"/>
  <c r="R360" i="18"/>
  <c r="R332" i="18"/>
  <c r="R331" i="18"/>
  <c r="R330" i="18"/>
  <c r="R329" i="18"/>
  <c r="I263" i="18"/>
  <c r="I262" i="18"/>
  <c r="I261" i="18"/>
  <c r="I260" i="18"/>
  <c r="I256" i="18"/>
  <c r="I232" i="18"/>
  <c r="I231" i="18"/>
  <c r="I230" i="18"/>
  <c r="I229" i="18"/>
  <c r="I225" i="18"/>
  <c r="I201" i="18"/>
  <c r="I200" i="18"/>
  <c r="I199" i="18"/>
  <c r="I198" i="18"/>
  <c r="I194" i="18"/>
  <c r="I170" i="18"/>
  <c r="I169" i="18"/>
  <c r="I168" i="18"/>
  <c r="I167" i="18"/>
  <c r="I163" i="18"/>
  <c r="I139" i="18"/>
  <c r="I138" i="18"/>
  <c r="I137" i="18"/>
  <c r="I136" i="18"/>
  <c r="I132" i="18"/>
  <c r="I108" i="18"/>
  <c r="I107" i="18"/>
  <c r="I106" i="18"/>
  <c r="I105" i="18"/>
  <c r="I101" i="18"/>
  <c r="I77" i="18"/>
  <c r="I76" i="18"/>
  <c r="I75" i="18"/>
  <c r="I74" i="18"/>
  <c r="I70" i="18"/>
  <c r="I46" i="18"/>
  <c r="I45" i="18"/>
  <c r="I44" i="18"/>
  <c r="I43" i="18"/>
  <c r="I39" i="18"/>
  <c r="AM7" i="67"/>
  <c r="K186" i="18" s="1"/>
  <c r="C339" i="48"/>
  <c r="C340" i="48"/>
  <c r="C341" i="48"/>
  <c r="C343" i="48"/>
  <c r="C338" i="48"/>
  <c r="D342" i="48"/>
  <c r="D343" i="48"/>
  <c r="D340" i="48"/>
  <c r="D341" i="48"/>
  <c r="D338" i="48"/>
  <c r="C77" i="61"/>
  <c r="C78" i="61"/>
  <c r="C79" i="61"/>
  <c r="C76" i="61"/>
  <c r="C75" i="61"/>
  <c r="C72" i="61"/>
  <c r="C73" i="61"/>
  <c r="C74" i="61"/>
  <c r="C71" i="61"/>
  <c r="C70" i="61"/>
  <c r="C68" i="61"/>
  <c r="C69" i="61"/>
  <c r="C67" i="61"/>
  <c r="C86" i="61"/>
  <c r="C66" i="61"/>
  <c r="C85" i="61"/>
  <c r="C65" i="61"/>
  <c r="E64" i="61"/>
  <c r="F64" i="61" s="1"/>
  <c r="G64" i="61" s="1"/>
  <c r="H64" i="61" s="1"/>
  <c r="I64" i="61" s="1"/>
  <c r="J64" i="61" s="1"/>
  <c r="K64" i="61" s="1"/>
  <c r="L64" i="61" s="1"/>
  <c r="M64" i="61" s="1"/>
  <c r="N64" i="61" s="1"/>
  <c r="O64" i="61" s="1"/>
  <c r="P64" i="61" s="1"/>
  <c r="Q64" i="61" s="1"/>
  <c r="R64" i="61" s="1"/>
  <c r="S64" i="61" s="1"/>
  <c r="T64" i="61" s="1"/>
  <c r="U64" i="61" s="1"/>
  <c r="V64" i="61" s="1"/>
  <c r="W64" i="61" s="1"/>
  <c r="X64" i="61" s="1"/>
  <c r="Y64" i="61" s="1"/>
  <c r="Z64" i="61" s="1"/>
  <c r="AA64" i="61" s="1"/>
  <c r="AB64" i="61" s="1"/>
  <c r="AC64" i="61" s="1"/>
  <c r="AD64" i="61" s="1"/>
  <c r="AE64" i="61" s="1"/>
  <c r="F40" i="48"/>
  <c r="G40" i="48"/>
  <c r="H40" i="48"/>
  <c r="I40" i="48"/>
  <c r="J40" i="48"/>
  <c r="K40" i="48"/>
  <c r="F41" i="48"/>
  <c r="G41" i="48"/>
  <c r="H41" i="48"/>
  <c r="I41" i="48"/>
  <c r="J41" i="48"/>
  <c r="K41" i="48"/>
  <c r="F42" i="48"/>
  <c r="G42" i="48"/>
  <c r="H42" i="48"/>
  <c r="I42" i="48"/>
  <c r="J42" i="48"/>
  <c r="K42" i="48"/>
  <c r="F43" i="48"/>
  <c r="G43" i="48"/>
  <c r="H43" i="48"/>
  <c r="I43" i="48"/>
  <c r="J43" i="48"/>
  <c r="K43" i="48"/>
  <c r="F44" i="48"/>
  <c r="G44" i="48"/>
  <c r="H44" i="48"/>
  <c r="I44" i="48"/>
  <c r="J44" i="48"/>
  <c r="K44" i="48"/>
  <c r="F45" i="48"/>
  <c r="G45" i="48"/>
  <c r="H45" i="48"/>
  <c r="I45" i="48"/>
  <c r="J45" i="48"/>
  <c r="K45" i="48"/>
  <c r="F46" i="48"/>
  <c r="G46" i="48"/>
  <c r="H46" i="48"/>
  <c r="I46" i="48"/>
  <c r="J46" i="48"/>
  <c r="K46" i="48"/>
  <c r="F47" i="48"/>
  <c r="H47" i="48"/>
  <c r="J47" i="48"/>
  <c r="F48" i="48"/>
  <c r="G48" i="48"/>
  <c r="H48" i="48"/>
  <c r="J48" i="48"/>
  <c r="F49" i="48"/>
  <c r="G49" i="48"/>
  <c r="H49" i="48"/>
  <c r="I49" i="48"/>
  <c r="J49" i="48"/>
  <c r="K49" i="48"/>
  <c r="F50" i="48"/>
  <c r="G50" i="48"/>
  <c r="H50" i="48"/>
  <c r="I50" i="48"/>
  <c r="J50" i="48"/>
  <c r="K50" i="48"/>
  <c r="F51" i="48"/>
  <c r="H51" i="48"/>
  <c r="J51" i="48"/>
  <c r="F52" i="48"/>
  <c r="H52" i="48"/>
  <c r="J52" i="48"/>
  <c r="F53" i="48"/>
  <c r="H53" i="48"/>
  <c r="J53" i="48"/>
  <c r="F54" i="48"/>
  <c r="H54" i="48"/>
  <c r="J54" i="48"/>
  <c r="F55" i="48"/>
  <c r="G55" i="48"/>
  <c r="H55" i="48"/>
  <c r="I55" i="48"/>
  <c r="J55" i="48"/>
  <c r="K55" i="48"/>
  <c r="F56" i="48"/>
  <c r="G56" i="48"/>
  <c r="H56" i="48"/>
  <c r="I56" i="48"/>
  <c r="J56" i="48"/>
  <c r="K56" i="48"/>
  <c r="F57" i="48"/>
  <c r="G57" i="48"/>
  <c r="H57" i="48"/>
  <c r="I57" i="48"/>
  <c r="J57" i="48"/>
  <c r="K57" i="48"/>
  <c r="F58" i="48"/>
  <c r="G58" i="48"/>
  <c r="H58" i="48"/>
  <c r="I58" i="48"/>
  <c r="J58" i="48"/>
  <c r="K58" i="48"/>
  <c r="F59" i="48"/>
  <c r="G59" i="48"/>
  <c r="H59" i="48"/>
  <c r="I59" i="48"/>
  <c r="J59" i="48"/>
  <c r="K59" i="48"/>
  <c r="F60" i="48"/>
  <c r="G60" i="48"/>
  <c r="H60" i="48"/>
  <c r="I60" i="48"/>
  <c r="J60" i="48"/>
  <c r="K60" i="48"/>
  <c r="F61" i="48"/>
  <c r="G61" i="48"/>
  <c r="H61" i="48"/>
  <c r="I61" i="48"/>
  <c r="J61" i="48"/>
  <c r="K61" i="48"/>
  <c r="F62" i="48"/>
  <c r="G62" i="48"/>
  <c r="H62" i="48"/>
  <c r="I62" i="48"/>
  <c r="J62" i="48"/>
  <c r="K62" i="48"/>
  <c r="F63" i="48"/>
  <c r="G63" i="48"/>
  <c r="H63" i="48"/>
  <c r="I63" i="48"/>
  <c r="J63" i="48"/>
  <c r="K63" i="48"/>
  <c r="F64" i="48"/>
  <c r="G64" i="48"/>
  <c r="H64" i="48"/>
  <c r="I64" i="48"/>
  <c r="J64" i="48"/>
  <c r="K64" i="48"/>
  <c r="F65" i="48"/>
  <c r="G65" i="48"/>
  <c r="H65" i="48"/>
  <c r="I65" i="48"/>
  <c r="J65" i="48"/>
  <c r="K65" i="48"/>
  <c r="F66" i="48"/>
  <c r="G66" i="48"/>
  <c r="H66" i="48"/>
  <c r="I66" i="48"/>
  <c r="J66" i="48"/>
  <c r="K66" i="48"/>
  <c r="F67" i="48"/>
  <c r="H67" i="48"/>
  <c r="J67" i="48"/>
  <c r="K39" i="48"/>
  <c r="I39" i="48"/>
  <c r="G39" i="48"/>
  <c r="J39" i="48"/>
  <c r="H39" i="48"/>
  <c r="F39" i="48"/>
  <c r="C120" i="40"/>
  <c r="C119" i="40"/>
  <c r="C91" i="40"/>
  <c r="C90" i="40"/>
  <c r="H956" i="68"/>
  <c r="G89" i="40" s="1" a="1"/>
  <c r="G89" i="40" s="1"/>
  <c r="H955" i="68"/>
  <c r="G76" i="40" s="1" a="1"/>
  <c r="G76" i="40" s="1"/>
  <c r="G956" i="68"/>
  <c r="F89" i="40" s="1" a="1"/>
  <c r="F89" i="40" s="1"/>
  <c r="F76" i="40" a="1"/>
  <c r="F76" i="40" s="1"/>
  <c r="C157" i="48"/>
  <c r="C156" i="48"/>
  <c r="C155" i="48"/>
  <c r="C154" i="48"/>
  <c r="C153" i="48"/>
  <c r="C152" i="48"/>
  <c r="C151" i="48"/>
  <c r="C150" i="48"/>
  <c r="C149" i="48"/>
  <c r="C97" i="40"/>
  <c r="C95" i="40"/>
  <c r="C93" i="40"/>
  <c r="C92" i="40"/>
  <c r="C89" i="40"/>
  <c r="C88" i="40"/>
  <c r="C87" i="40"/>
  <c r="G346" i="18"/>
  <c r="G568" i="18" s="1"/>
  <c r="H346" i="18"/>
  <c r="H568" i="18" s="1"/>
  <c r="G377" i="18"/>
  <c r="G569" i="18" s="1"/>
  <c r="H377" i="18"/>
  <c r="H569" i="18" s="1"/>
  <c r="G408" i="18"/>
  <c r="G571" i="18" s="1"/>
  <c r="H408" i="18"/>
  <c r="H571" i="18" s="1"/>
  <c r="G439" i="18"/>
  <c r="G572" i="18" s="1"/>
  <c r="G588" i="18" s="1"/>
  <c r="H439" i="18"/>
  <c r="H572" i="18" s="1"/>
  <c r="H588" i="18" s="1"/>
  <c r="G470" i="18"/>
  <c r="G574" i="18" s="1"/>
  <c r="H470" i="18"/>
  <c r="H574" i="18" s="1"/>
  <c r="G501" i="18"/>
  <c r="G575" i="18" s="1"/>
  <c r="H501" i="18"/>
  <c r="H575" i="18" s="1"/>
  <c r="G532" i="18"/>
  <c r="G577" i="18" s="1"/>
  <c r="H532" i="18"/>
  <c r="H577" i="18" s="1"/>
  <c r="G563" i="18"/>
  <c r="G578" i="18" s="1"/>
  <c r="H563" i="18"/>
  <c r="H578" i="18" s="1"/>
  <c r="G632" i="18"/>
  <c r="G854" i="18" s="1"/>
  <c r="H632" i="18"/>
  <c r="H854" i="18" s="1"/>
  <c r="G663" i="18"/>
  <c r="G855" i="18" s="1"/>
  <c r="G856" i="18" s="1"/>
  <c r="G897" i="18" s="1"/>
  <c r="H663" i="18"/>
  <c r="H855" i="18" s="1"/>
  <c r="G694" i="18"/>
  <c r="G857" i="18" s="1"/>
  <c r="H694" i="18"/>
  <c r="H857" i="18" s="1"/>
  <c r="G725" i="18"/>
  <c r="G858" i="18" s="1"/>
  <c r="H725" i="18"/>
  <c r="H858" i="18" s="1"/>
  <c r="G756" i="18"/>
  <c r="G860" i="18" s="1"/>
  <c r="H756" i="18"/>
  <c r="H860" i="18" s="1"/>
  <c r="G787" i="18"/>
  <c r="G861" i="18" s="1"/>
  <c r="H787" i="18"/>
  <c r="H861" i="18" s="1"/>
  <c r="G818" i="18"/>
  <c r="G863" i="18" s="1"/>
  <c r="H818" i="18"/>
  <c r="H863" i="18" s="1"/>
  <c r="G849" i="18"/>
  <c r="G864" i="18" s="1"/>
  <c r="H849" i="18"/>
  <c r="H864" i="18" s="1"/>
  <c r="G277" i="18"/>
  <c r="G292" i="18" s="1"/>
  <c r="H277" i="18"/>
  <c r="H292" i="18" s="1"/>
  <c r="G246" i="18"/>
  <c r="G291" i="18" s="1"/>
  <c r="H246" i="18"/>
  <c r="H291" i="18" s="1"/>
  <c r="G215" i="18"/>
  <c r="G289" i="18" s="1"/>
  <c r="H215" i="18"/>
  <c r="H289" i="18" s="1"/>
  <c r="G184" i="18"/>
  <c r="G288" i="18" s="1"/>
  <c r="H184" i="18"/>
  <c r="H288" i="18" s="1"/>
  <c r="G153" i="18"/>
  <c r="G286" i="18" s="1"/>
  <c r="H153" i="18"/>
  <c r="H286" i="18" s="1"/>
  <c r="G122" i="18"/>
  <c r="G285" i="18" s="1"/>
  <c r="H122" i="18"/>
  <c r="H285" i="18" s="1"/>
  <c r="G91" i="18"/>
  <c r="G283" i="18" s="1"/>
  <c r="H91" i="18"/>
  <c r="H283" i="18" s="1"/>
  <c r="G60" i="18"/>
  <c r="G282" i="18" s="1"/>
  <c r="H60" i="18"/>
  <c r="H282" i="18" s="1"/>
  <c r="H12" i="24"/>
  <c r="H11" i="24"/>
  <c r="M20" i="16"/>
  <c r="C301" i="48"/>
  <c r="C302" i="48" s="1"/>
  <c r="C303" i="48" s="1"/>
  <c r="C304" i="48" s="1"/>
  <c r="C305" i="48" s="1"/>
  <c r="C306" i="48" s="1"/>
  <c r="C307" i="48" s="1"/>
  <c r="C308" i="48" s="1"/>
  <c r="C309" i="48" s="1"/>
  <c r="C310" i="48" s="1"/>
  <c r="C311" i="48" s="1"/>
  <c r="C312" i="48" s="1"/>
  <c r="C313" i="48" s="1"/>
  <c r="C314" i="48" s="1"/>
  <c r="C315" i="48" s="1"/>
  <c r="C316" i="48" s="1"/>
  <c r="C317" i="48" s="1"/>
  <c r="C318" i="48" s="1"/>
  <c r="C319" i="48" s="1"/>
  <c r="C320" i="48" s="1"/>
  <c r="C321" i="48" s="1"/>
  <c r="C322" i="48" s="1"/>
  <c r="C323" i="48" s="1"/>
  <c r="C324" i="48" s="1"/>
  <c r="E291" i="48"/>
  <c r="E290" i="48"/>
  <c r="E289" i="48"/>
  <c r="E249" i="48"/>
  <c r="E253" i="48"/>
  <c r="E252" i="48"/>
  <c r="E248" i="48"/>
  <c r="E251" i="48"/>
  <c r="E247" i="48"/>
  <c r="E250" i="48"/>
  <c r="E246" i="48"/>
  <c r="C861" i="68"/>
  <c r="C552" i="68"/>
  <c r="P12" i="73" l="1"/>
  <c r="N15" i="73"/>
  <c r="O11" i="73"/>
  <c r="P11" i="73" s="1"/>
  <c r="O13" i="73"/>
  <c r="P13" i="73" s="1"/>
  <c r="O6" i="73"/>
  <c r="O15" i="73" s="1"/>
  <c r="I15" i="73"/>
  <c r="AH11" i="73"/>
  <c r="AG15" i="73"/>
  <c r="AI13" i="73"/>
  <c r="AJ13" i="73" s="1"/>
  <c r="AK13" i="73" s="1"/>
  <c r="AL13" i="73" s="1"/>
  <c r="AM13" i="73" s="1"/>
  <c r="AT9" i="73"/>
  <c r="AU9" i="73" s="1"/>
  <c r="AV9" i="73" s="1"/>
  <c r="AS9" i="73"/>
  <c r="K217" i="18"/>
  <c r="K31" i="18"/>
  <c r="K62" i="18"/>
  <c r="K93" i="18"/>
  <c r="K124" i="18"/>
  <c r="K155" i="18"/>
  <c r="K248" i="18"/>
  <c r="H856" i="18"/>
  <c r="H897" i="18" s="1"/>
  <c r="G290" i="18"/>
  <c r="G891" i="18" s="1"/>
  <c r="H290" i="18"/>
  <c r="H891" i="18" s="1"/>
  <c r="G862" i="18"/>
  <c r="G899" i="18" s="1"/>
  <c r="G911" i="18" s="1"/>
  <c r="G284" i="18"/>
  <c r="G889" i="18" s="1"/>
  <c r="G576" i="18"/>
  <c r="G895" i="18" s="1"/>
  <c r="G907" i="18" s="1"/>
  <c r="H859" i="18"/>
  <c r="H898" i="18" s="1"/>
  <c r="G859" i="18"/>
  <c r="G898" i="18" s="1"/>
  <c r="H573" i="18"/>
  <c r="H894" i="18" s="1"/>
  <c r="H579" i="18"/>
  <c r="H896" i="18" s="1"/>
  <c r="G579" i="18"/>
  <c r="G896" i="18" s="1"/>
  <c r="H293" i="18"/>
  <c r="H892" i="18" s="1"/>
  <c r="G293" i="18"/>
  <c r="G892" i="18" s="1"/>
  <c r="H865" i="18"/>
  <c r="H900" i="18" s="1"/>
  <c r="G865" i="18"/>
  <c r="G900" i="18" s="1"/>
  <c r="G573" i="18"/>
  <c r="G894" i="18" s="1"/>
  <c r="H862" i="18"/>
  <c r="H899" i="18" s="1"/>
  <c r="H911" i="18" s="1"/>
  <c r="H284" i="18"/>
  <c r="H889" i="18" s="1"/>
  <c r="H576" i="18"/>
  <c r="H895" i="18" s="1"/>
  <c r="H907" i="18" s="1"/>
  <c r="H570" i="18"/>
  <c r="H893" i="18" s="1"/>
  <c r="G570" i="18"/>
  <c r="G893" i="18" s="1"/>
  <c r="H287" i="18"/>
  <c r="H890" i="18" s="1"/>
  <c r="G287" i="18"/>
  <c r="G890" i="18" s="1"/>
  <c r="BH99" i="67"/>
  <c r="BH98" i="67"/>
  <c r="BH97" i="67"/>
  <c r="CI97" i="67"/>
  <c r="CI98" i="67"/>
  <c r="CI100" i="67"/>
  <c r="AK7" i="67"/>
  <c r="P6" i="73" l="1"/>
  <c r="AO13" i="73"/>
  <c r="AN13" i="73"/>
  <c r="AI11" i="73"/>
  <c r="AI15" i="73" s="1"/>
  <c r="AH15" i="73"/>
  <c r="F72" i="48"/>
  <c r="I248" i="18"/>
  <c r="I124" i="18"/>
  <c r="I217" i="18"/>
  <c r="I93" i="18"/>
  <c r="I62" i="18"/>
  <c r="I186" i="18"/>
  <c r="I31" i="18"/>
  <c r="I155" i="18"/>
  <c r="G910" i="18"/>
  <c r="G906" i="18"/>
  <c r="H910" i="18"/>
  <c r="H906" i="18"/>
  <c r="G908" i="18"/>
  <c r="G912" i="18"/>
  <c r="G909" i="18"/>
  <c r="G905" i="18"/>
  <c r="H912" i="18"/>
  <c r="H908" i="18"/>
  <c r="H909" i="18"/>
  <c r="H905" i="18"/>
  <c r="AP13" i="73" l="1"/>
  <c r="AQ13" i="73" s="1"/>
  <c r="AR13" i="73" s="1"/>
  <c r="AJ11" i="73"/>
  <c r="F22" i="18"/>
  <c r="F21" i="18"/>
  <c r="H21" i="18"/>
  <c r="H22" i="18"/>
  <c r="G21" i="18"/>
  <c r="G22" i="18"/>
  <c r="E22" i="18"/>
  <c r="E21" i="18"/>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V166" i="59"/>
  <c r="V165" i="59"/>
  <c r="V159" i="59"/>
  <c r="V160" i="59"/>
  <c r="V161" i="59"/>
  <c r="V162" i="59"/>
  <c r="V163" i="59"/>
  <c r="V164" i="59"/>
  <c r="V158" i="59"/>
  <c r="V136" i="59"/>
  <c r="V130" i="59"/>
  <c r="V131" i="59"/>
  <c r="V132" i="59"/>
  <c r="V133" i="59"/>
  <c r="V134" i="59"/>
  <c r="V135" i="59"/>
  <c r="V129" i="59"/>
  <c r="V107" i="59"/>
  <c r="V101" i="59"/>
  <c r="V102" i="59"/>
  <c r="V103" i="59"/>
  <c r="V104" i="59"/>
  <c r="V105" i="59"/>
  <c r="V106" i="59"/>
  <c r="V100" i="59"/>
  <c r="V90" i="59"/>
  <c r="V91" i="59"/>
  <c r="V92" i="59"/>
  <c r="V93" i="59"/>
  <c r="V94" i="59"/>
  <c r="V95" i="59"/>
  <c r="V96" i="59"/>
  <c r="V97" i="59"/>
  <c r="V98" i="59"/>
  <c r="V99" i="59"/>
  <c r="V108" i="59"/>
  <c r="V109" i="59"/>
  <c r="V110" i="59"/>
  <c r="V111" i="59"/>
  <c r="V112" i="59"/>
  <c r="V113" i="59"/>
  <c r="V114" i="59"/>
  <c r="V115" i="59"/>
  <c r="V116" i="59"/>
  <c r="V117" i="59"/>
  <c r="V118" i="59"/>
  <c r="V119" i="59"/>
  <c r="V120" i="59"/>
  <c r="V121" i="59"/>
  <c r="V122" i="59"/>
  <c r="V123" i="59"/>
  <c r="V124" i="59"/>
  <c r="V125" i="59"/>
  <c r="V126" i="59"/>
  <c r="V127" i="59"/>
  <c r="V128" i="59"/>
  <c r="V137" i="59"/>
  <c r="V138" i="59"/>
  <c r="V139" i="59"/>
  <c r="V140" i="59"/>
  <c r="V141" i="59"/>
  <c r="V142" i="59"/>
  <c r="V143" i="59"/>
  <c r="V144" i="59"/>
  <c r="V145" i="59"/>
  <c r="V146" i="59"/>
  <c r="V147" i="59"/>
  <c r="V148" i="59"/>
  <c r="V149" i="59"/>
  <c r="V150" i="59"/>
  <c r="V151" i="59"/>
  <c r="V152" i="59"/>
  <c r="V153" i="59"/>
  <c r="V154" i="59"/>
  <c r="V155" i="59"/>
  <c r="V156" i="59"/>
  <c r="V157" i="59"/>
  <c r="V167" i="59"/>
  <c r="V168" i="59"/>
  <c r="V169" i="59"/>
  <c r="V170" i="59"/>
  <c r="V171" i="59"/>
  <c r="V172" i="59"/>
  <c r="V173" i="59"/>
  <c r="V174" i="59"/>
  <c r="V89" i="59"/>
  <c r="V88" i="59"/>
  <c r="B13" i="20"/>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Q148" i="59"/>
  <c r="Q147" i="59"/>
  <c r="Q146" i="59"/>
  <c r="Q119" i="59"/>
  <c r="Q118" i="59"/>
  <c r="Q117" i="59"/>
  <c r="Q90" i="59"/>
  <c r="Q89" i="59"/>
  <c r="Q88" i="59"/>
  <c r="F14" i="16"/>
  <c r="F15" i="16"/>
  <c r="F16" i="16"/>
  <c r="J94" i="59"/>
  <c r="R94" i="59" s="1"/>
  <c r="J95" i="59"/>
  <c r="R95" i="59" s="1"/>
  <c r="J96" i="59"/>
  <c r="R96" i="59" s="1"/>
  <c r="C33" i="16"/>
  <c r="D33" i="16"/>
  <c r="C34" i="16"/>
  <c r="D34" i="16"/>
  <c r="C35" i="16"/>
  <c r="D35" i="16"/>
  <c r="C36" i="16"/>
  <c r="D36" i="16"/>
  <c r="C37" i="16"/>
  <c r="D37" i="16"/>
  <c r="C38" i="16"/>
  <c r="D38" i="16"/>
  <c r="C39" i="16"/>
  <c r="D39" i="16"/>
  <c r="D11" i="16"/>
  <c r="D12" i="16"/>
  <c r="D13" i="16"/>
  <c r="D14" i="16"/>
  <c r="D15" i="16"/>
  <c r="D16" i="16"/>
  <c r="D17" i="16"/>
  <c r="D18" i="16"/>
  <c r="D19" i="16"/>
  <c r="D20" i="16"/>
  <c r="D21" i="16"/>
  <c r="D22" i="16"/>
  <c r="D23" i="16"/>
  <c r="D24" i="16"/>
  <c r="D25" i="16"/>
  <c r="D26" i="16"/>
  <c r="D27" i="16"/>
  <c r="D28" i="16"/>
  <c r="D29" i="16"/>
  <c r="D30" i="16"/>
  <c r="D31" i="16"/>
  <c r="C11" i="16"/>
  <c r="C12" i="16"/>
  <c r="C14" i="16"/>
  <c r="C15" i="16"/>
  <c r="C17" i="16"/>
  <c r="C20" i="16"/>
  <c r="C23" i="16"/>
  <c r="C24" i="16"/>
  <c r="C26" i="16"/>
  <c r="C27" i="16"/>
  <c r="C143" i="16" s="1"/>
  <c r="C29" i="16"/>
  <c r="C146" i="16" s="1"/>
  <c r="H89" i="59"/>
  <c r="J89" i="59" s="1"/>
  <c r="H90" i="59"/>
  <c r="J90" i="59" s="1"/>
  <c r="H91" i="59"/>
  <c r="J91" i="59" s="1"/>
  <c r="R91" i="59" s="1"/>
  <c r="H92" i="59"/>
  <c r="J92" i="59" s="1"/>
  <c r="R92" i="59" s="1"/>
  <c r="H93" i="59"/>
  <c r="J93" i="59" s="1"/>
  <c r="R93" i="59" s="1"/>
  <c r="H97" i="59"/>
  <c r="J97" i="59" s="1"/>
  <c r="R97" i="59" s="1"/>
  <c r="H98" i="59"/>
  <c r="J98" i="59" s="1"/>
  <c r="R98" i="59" s="1"/>
  <c r="H99" i="59"/>
  <c r="J99" i="59" s="1"/>
  <c r="R99" i="59" s="1"/>
  <c r="H100" i="59"/>
  <c r="J100" i="59" s="1"/>
  <c r="R100" i="59" s="1"/>
  <c r="H101" i="59"/>
  <c r="J101" i="59" s="1"/>
  <c r="R101" i="59" s="1"/>
  <c r="H102" i="59"/>
  <c r="J102" i="59" s="1"/>
  <c r="R102" i="59" s="1"/>
  <c r="H103" i="59"/>
  <c r="J103" i="59" s="1"/>
  <c r="R103" i="59" s="1"/>
  <c r="H104" i="59"/>
  <c r="J104" i="59" s="1"/>
  <c r="R104" i="59" s="1"/>
  <c r="H105" i="59"/>
  <c r="J105" i="59" s="1"/>
  <c r="R105" i="59" s="1"/>
  <c r="H106" i="59"/>
  <c r="J106" i="59" s="1"/>
  <c r="R106" i="59" s="1"/>
  <c r="H107" i="59"/>
  <c r="J107" i="59" s="1"/>
  <c r="R107" i="59" s="1"/>
  <c r="H108" i="59"/>
  <c r="J108" i="59" s="1"/>
  <c r="R108" i="59" s="1"/>
  <c r="H109" i="59"/>
  <c r="J109" i="59" s="1"/>
  <c r="R109" i="59" s="1"/>
  <c r="H110" i="59"/>
  <c r="J110" i="59" s="1"/>
  <c r="R110" i="59" s="1"/>
  <c r="H111" i="59"/>
  <c r="J111" i="59" s="1"/>
  <c r="R111" i="59" s="1"/>
  <c r="H112" i="59"/>
  <c r="J112" i="59" s="1"/>
  <c r="R112" i="59" s="1"/>
  <c r="H113" i="59"/>
  <c r="J113" i="59" s="1"/>
  <c r="R113" i="59" s="1"/>
  <c r="H114" i="59"/>
  <c r="J114" i="59" s="1"/>
  <c r="R114" i="59" s="1"/>
  <c r="H115" i="59"/>
  <c r="J115" i="59" s="1"/>
  <c r="R115" i="59" s="1"/>
  <c r="H116" i="59"/>
  <c r="J116" i="59" s="1"/>
  <c r="R116" i="59" s="1"/>
  <c r="H117" i="59"/>
  <c r="J117" i="59" s="1"/>
  <c r="H118" i="59"/>
  <c r="J118" i="59" s="1"/>
  <c r="H119" i="59"/>
  <c r="J119" i="59" s="1"/>
  <c r="H120" i="59"/>
  <c r="J120" i="59" s="1"/>
  <c r="R120" i="59" s="1"/>
  <c r="H121" i="59"/>
  <c r="J121" i="59" s="1"/>
  <c r="R121" i="59" s="1"/>
  <c r="H122" i="59"/>
  <c r="J122" i="59" s="1"/>
  <c r="R122" i="59" s="1"/>
  <c r="H123" i="59"/>
  <c r="J123" i="59" s="1"/>
  <c r="R123" i="59" s="1"/>
  <c r="H124" i="59"/>
  <c r="J124" i="59" s="1"/>
  <c r="R124" i="59" s="1"/>
  <c r="H125" i="59"/>
  <c r="J125" i="59" s="1"/>
  <c r="R125" i="59" s="1"/>
  <c r="H126" i="59"/>
  <c r="J126" i="59" s="1"/>
  <c r="R126" i="59" s="1"/>
  <c r="H127" i="59"/>
  <c r="J127" i="59" s="1"/>
  <c r="R127" i="59" s="1"/>
  <c r="H128" i="59"/>
  <c r="J128" i="59" s="1"/>
  <c r="R128" i="59" s="1"/>
  <c r="H129" i="59"/>
  <c r="J129" i="59" s="1"/>
  <c r="R129" i="59" s="1"/>
  <c r="H130" i="59"/>
  <c r="J130" i="59" s="1"/>
  <c r="R130" i="59" s="1"/>
  <c r="H131" i="59"/>
  <c r="J131" i="59" s="1"/>
  <c r="R131" i="59" s="1"/>
  <c r="H132" i="59"/>
  <c r="J132" i="59" s="1"/>
  <c r="R132" i="59" s="1"/>
  <c r="H133" i="59"/>
  <c r="J133" i="59" s="1"/>
  <c r="R133" i="59" s="1"/>
  <c r="H134" i="59"/>
  <c r="J134" i="59" s="1"/>
  <c r="R134" i="59" s="1"/>
  <c r="H135" i="59"/>
  <c r="J135" i="59" s="1"/>
  <c r="R135" i="59" s="1"/>
  <c r="H136" i="59"/>
  <c r="J136" i="59" s="1"/>
  <c r="R136" i="59" s="1"/>
  <c r="H137" i="59"/>
  <c r="J137" i="59" s="1"/>
  <c r="R137" i="59" s="1"/>
  <c r="H138" i="59"/>
  <c r="J138" i="59" s="1"/>
  <c r="R138" i="59" s="1"/>
  <c r="H139" i="59"/>
  <c r="J139" i="59" s="1"/>
  <c r="R139" i="59" s="1"/>
  <c r="H140" i="59"/>
  <c r="J140" i="59" s="1"/>
  <c r="R140" i="59" s="1"/>
  <c r="H141" i="59"/>
  <c r="J141" i="59" s="1"/>
  <c r="R141" i="59" s="1"/>
  <c r="H142" i="59"/>
  <c r="J142" i="59" s="1"/>
  <c r="R142" i="59" s="1"/>
  <c r="H143" i="59"/>
  <c r="J143" i="59" s="1"/>
  <c r="R143" i="59" s="1"/>
  <c r="H144" i="59"/>
  <c r="J144" i="59" s="1"/>
  <c r="R144" i="59" s="1"/>
  <c r="H145" i="59"/>
  <c r="J145" i="59" s="1"/>
  <c r="R145" i="59" s="1"/>
  <c r="H146" i="59"/>
  <c r="J146" i="59" s="1"/>
  <c r="H147" i="59"/>
  <c r="J147" i="59" s="1"/>
  <c r="H148" i="59"/>
  <c r="J148" i="59" s="1"/>
  <c r="H149" i="59"/>
  <c r="J149" i="59" s="1"/>
  <c r="R149" i="59" s="1"/>
  <c r="H150" i="59"/>
  <c r="J150" i="59" s="1"/>
  <c r="R150" i="59" s="1"/>
  <c r="H151" i="59"/>
  <c r="J151" i="59" s="1"/>
  <c r="R151" i="59" s="1"/>
  <c r="H152" i="59"/>
  <c r="J152" i="59" s="1"/>
  <c r="R152" i="59" s="1"/>
  <c r="H153" i="59"/>
  <c r="J153" i="59" s="1"/>
  <c r="R153" i="59" s="1"/>
  <c r="H154" i="59"/>
  <c r="J154" i="59" s="1"/>
  <c r="R154" i="59" s="1"/>
  <c r="H155" i="59"/>
  <c r="J155" i="59" s="1"/>
  <c r="R155" i="59" s="1"/>
  <c r="H156" i="59"/>
  <c r="J156" i="59" s="1"/>
  <c r="R156" i="59" s="1"/>
  <c r="H157" i="59"/>
  <c r="J157" i="59" s="1"/>
  <c r="R157" i="59" s="1"/>
  <c r="H158" i="59"/>
  <c r="J158" i="59" s="1"/>
  <c r="R158" i="59" s="1"/>
  <c r="H159" i="59"/>
  <c r="J159" i="59" s="1"/>
  <c r="R159" i="59" s="1"/>
  <c r="H160" i="59"/>
  <c r="J160" i="59" s="1"/>
  <c r="R160" i="59" s="1"/>
  <c r="H161" i="59"/>
  <c r="J161" i="59" s="1"/>
  <c r="R161" i="59" s="1"/>
  <c r="H162" i="59"/>
  <c r="J162" i="59" s="1"/>
  <c r="R162" i="59" s="1"/>
  <c r="H163" i="59"/>
  <c r="J163" i="59" s="1"/>
  <c r="R163" i="59" s="1"/>
  <c r="H164" i="59"/>
  <c r="J164" i="59" s="1"/>
  <c r="R164" i="59" s="1"/>
  <c r="H165" i="59"/>
  <c r="J165" i="59" s="1"/>
  <c r="R165" i="59" s="1"/>
  <c r="H166" i="59"/>
  <c r="J166" i="59" s="1"/>
  <c r="R166" i="59" s="1"/>
  <c r="H167" i="59"/>
  <c r="J167" i="59" s="1"/>
  <c r="R167" i="59" s="1"/>
  <c r="H168" i="59"/>
  <c r="J168" i="59" s="1"/>
  <c r="R168" i="59" s="1"/>
  <c r="H169" i="59"/>
  <c r="J169" i="59" s="1"/>
  <c r="R169" i="59" s="1"/>
  <c r="H170" i="59"/>
  <c r="J170" i="59" s="1"/>
  <c r="R170" i="59" s="1"/>
  <c r="H171" i="59"/>
  <c r="J171" i="59" s="1"/>
  <c r="R171" i="59" s="1"/>
  <c r="H172" i="59"/>
  <c r="J172" i="59" s="1"/>
  <c r="R172" i="59" s="1"/>
  <c r="H173" i="59"/>
  <c r="J173" i="59" s="1"/>
  <c r="R173" i="59" s="1"/>
  <c r="H174" i="59"/>
  <c r="J174" i="59" s="1"/>
  <c r="R174" i="59" s="1"/>
  <c r="H88" i="59"/>
  <c r="J88" i="59" s="1"/>
  <c r="CM30" i="67"/>
  <c r="CM28" i="67"/>
  <c r="CM29" i="67"/>
  <c r="CM27" i="67"/>
  <c r="CM18" i="67"/>
  <c r="CM14" i="67"/>
  <c r="CM13" i="67"/>
  <c r="CM10" i="67"/>
  <c r="CM7" i="67"/>
  <c r="Y87" i="59"/>
  <c r="Z87" i="59" s="1"/>
  <c r="AA87" i="59" s="1"/>
  <c r="AB87" i="59" s="1"/>
  <c r="AC87" i="59" s="1"/>
  <c r="AD87" i="59" s="1"/>
  <c r="AE87" i="59" s="1"/>
  <c r="AF87" i="59" s="1"/>
  <c r="AG87" i="59" s="1"/>
  <c r="AH87" i="59" s="1"/>
  <c r="AI87" i="59" s="1"/>
  <c r="AJ87" i="59" s="1"/>
  <c r="AK87" i="59" s="1"/>
  <c r="AL87" i="59" s="1"/>
  <c r="AM87" i="59" s="1"/>
  <c r="AN87" i="59" s="1"/>
  <c r="AO87" i="59" s="1"/>
  <c r="AP87" i="59" s="1"/>
  <c r="AQ87" i="59" s="1"/>
  <c r="AR87" i="59" s="1"/>
  <c r="AS87" i="59" s="1"/>
  <c r="AT87" i="59" s="1"/>
  <c r="AU87" i="59" s="1"/>
  <c r="AV87" i="59" s="1"/>
  <c r="AW87" i="59" s="1"/>
  <c r="AY87" i="59"/>
  <c r="AZ87" i="59" s="1"/>
  <c r="BA87" i="59" s="1"/>
  <c r="BB87" i="59" s="1"/>
  <c r="BC87" i="59" s="1"/>
  <c r="BD87" i="59" s="1"/>
  <c r="BE87" i="59" s="1"/>
  <c r="BF87" i="59" s="1"/>
  <c r="BG87" i="59" s="1"/>
  <c r="BH87" i="59" s="1"/>
  <c r="BI87" i="59" s="1"/>
  <c r="BJ87" i="59" s="1"/>
  <c r="BK87" i="59" s="1"/>
  <c r="BL87" i="59" s="1"/>
  <c r="BM87" i="59" s="1"/>
  <c r="BN87" i="59" s="1"/>
  <c r="BO87" i="59" s="1"/>
  <c r="BP87" i="59" s="1"/>
  <c r="BQ87" i="59" s="1"/>
  <c r="BR87" i="59" s="1"/>
  <c r="BS87" i="59" s="1"/>
  <c r="BT87" i="59" s="1"/>
  <c r="BU87" i="59" s="1"/>
  <c r="BV87" i="59" s="1"/>
  <c r="H76" i="24"/>
  <c r="B77" i="24"/>
  <c r="B78" i="24" s="1"/>
  <c r="B79" i="24" s="1"/>
  <c r="B80" i="24" s="1"/>
  <c r="H77" i="24"/>
  <c r="H78" i="24"/>
  <c r="H79" i="24"/>
  <c r="H80" i="24"/>
  <c r="C81" i="24"/>
  <c r="D81" i="24"/>
  <c r="E81" i="24"/>
  <c r="F81" i="24"/>
  <c r="G81" i="24"/>
  <c r="C82" i="24"/>
  <c r="D82" i="24"/>
  <c r="E82" i="24"/>
  <c r="F82" i="24"/>
  <c r="G82" i="24"/>
  <c r="AU79" i="67"/>
  <c r="AV79" i="67"/>
  <c r="X77" i="67"/>
  <c r="V525" i="72" s="1"/>
  <c r="Y77" i="67"/>
  <c r="Z77" i="67"/>
  <c r="X525" i="72" s="1"/>
  <c r="AA77" i="67"/>
  <c r="Y525" i="72" s="1"/>
  <c r="AB77" i="67"/>
  <c r="Z525" i="72" s="1"/>
  <c r="AC77" i="67"/>
  <c r="AA525" i="72" s="1"/>
  <c r="AD77" i="67"/>
  <c r="AE77" i="67"/>
  <c r="AC525" i="72" s="1"/>
  <c r="AF77" i="67"/>
  <c r="AD525" i="72" s="1"/>
  <c r="AG77" i="67"/>
  <c r="AE525" i="72" s="1"/>
  <c r="AH77" i="67"/>
  <c r="AF525" i="72" s="1"/>
  <c r="AI77" i="67"/>
  <c r="AV80" i="67"/>
  <c r="AW78" i="67"/>
  <c r="X78" i="67"/>
  <c r="V526" i="72" s="1"/>
  <c r="Y78" i="67"/>
  <c r="W526" i="72" s="1"/>
  <c r="Z78" i="67"/>
  <c r="AA78" i="67"/>
  <c r="Y526" i="72" s="1"/>
  <c r="AB78" i="67"/>
  <c r="Z526" i="72" s="1"/>
  <c r="AC78" i="67"/>
  <c r="AA526" i="72" s="1"/>
  <c r="AD78" i="67"/>
  <c r="AB526" i="72" s="1"/>
  <c r="AE78" i="67"/>
  <c r="AF78" i="67"/>
  <c r="AD526" i="72" s="1"/>
  <c r="AG78" i="67"/>
  <c r="AH78" i="67"/>
  <c r="AI78" i="67"/>
  <c r="AU78" i="67"/>
  <c r="L77" i="67"/>
  <c r="M77" i="67"/>
  <c r="N77" i="67"/>
  <c r="O77" i="67"/>
  <c r="P77" i="67"/>
  <c r="Q77" i="67"/>
  <c r="R77" i="67"/>
  <c r="L78" i="67"/>
  <c r="M78" i="67"/>
  <c r="N78" i="67"/>
  <c r="O78" i="67"/>
  <c r="P78" i="67"/>
  <c r="Q78" i="67"/>
  <c r="R78" i="67"/>
  <c r="L79" i="67"/>
  <c r="M79" i="67"/>
  <c r="N79" i="67"/>
  <c r="O79" i="67"/>
  <c r="P79" i="67"/>
  <c r="Q79" i="67"/>
  <c r="R79" i="67"/>
  <c r="L80" i="67"/>
  <c r="M80" i="67"/>
  <c r="N80" i="67"/>
  <c r="O80" i="67"/>
  <c r="P80" i="67"/>
  <c r="Q80" i="67"/>
  <c r="R80" i="67"/>
  <c r="K80" i="67"/>
  <c r="K79" i="67"/>
  <c r="K78" i="67"/>
  <c r="K77" i="67"/>
  <c r="BB80" i="67"/>
  <c r="AY80" i="67"/>
  <c r="AX80" i="67"/>
  <c r="BB79" i="67"/>
  <c r="BA79" i="67"/>
  <c r="AY79" i="67"/>
  <c r="AX79" i="67"/>
  <c r="AW79" i="67"/>
  <c r="T49" i="67"/>
  <c r="R281" i="72" s="1"/>
  <c r="U49" i="67"/>
  <c r="S281" i="72" s="1"/>
  <c r="V49" i="67"/>
  <c r="T281" i="72" s="1"/>
  <c r="W49" i="67"/>
  <c r="U281" i="72" s="1"/>
  <c r="X49" i="67"/>
  <c r="V281" i="72" s="1"/>
  <c r="Y49" i="67"/>
  <c r="W281" i="72" s="1"/>
  <c r="Z49" i="67"/>
  <c r="X281" i="72" s="1"/>
  <c r="AA49" i="67"/>
  <c r="Y281" i="72" s="1"/>
  <c r="AB49" i="67"/>
  <c r="Z281" i="72" s="1"/>
  <c r="AC49" i="67"/>
  <c r="AA281" i="72" s="1"/>
  <c r="AD49" i="67"/>
  <c r="AB281" i="72" s="1"/>
  <c r="AE49" i="67"/>
  <c r="AC281" i="72" s="1"/>
  <c r="AF49" i="67"/>
  <c r="AD281" i="72" s="1"/>
  <c r="AG49" i="67"/>
  <c r="AE281" i="72" s="1"/>
  <c r="AH49" i="67"/>
  <c r="AF281" i="72" s="1"/>
  <c r="AI49" i="67"/>
  <c r="T48" i="67"/>
  <c r="R280" i="72" s="1"/>
  <c r="U48" i="67"/>
  <c r="S280" i="72" s="1"/>
  <c r="V48" i="67"/>
  <c r="T280" i="72" s="1"/>
  <c r="W48" i="67"/>
  <c r="U280" i="72" s="1"/>
  <c r="X48" i="67"/>
  <c r="V280" i="72" s="1"/>
  <c r="Y48" i="67"/>
  <c r="W280" i="72" s="1"/>
  <c r="Z48" i="67"/>
  <c r="X280" i="72" s="1"/>
  <c r="AA48" i="67"/>
  <c r="Y280" i="72" s="1"/>
  <c r="AB48" i="67"/>
  <c r="Z280" i="72" s="1"/>
  <c r="AC48" i="67"/>
  <c r="AA280" i="72" s="1"/>
  <c r="AD48" i="67"/>
  <c r="AB280" i="72" s="1"/>
  <c r="AE48" i="67"/>
  <c r="AC280" i="72" s="1"/>
  <c r="AF48" i="67"/>
  <c r="AD280" i="72" s="1"/>
  <c r="AG48" i="67"/>
  <c r="AE280" i="72" s="1"/>
  <c r="AH48" i="67"/>
  <c r="AF280" i="72" s="1"/>
  <c r="AI48" i="67"/>
  <c r="K48" i="67"/>
  <c r="I280" i="72" s="1"/>
  <c r="L48" i="67"/>
  <c r="J280" i="72" s="1"/>
  <c r="M48" i="67"/>
  <c r="K280" i="72" s="1"/>
  <c r="N48" i="67"/>
  <c r="L280" i="72" s="1"/>
  <c r="O48" i="67"/>
  <c r="M280" i="72" s="1"/>
  <c r="P48" i="67"/>
  <c r="N280" i="72" s="1"/>
  <c r="Q48" i="67"/>
  <c r="O280" i="72" s="1"/>
  <c r="R48" i="67"/>
  <c r="P280" i="72" s="1"/>
  <c r="L49" i="67"/>
  <c r="J281" i="72" s="1"/>
  <c r="M49" i="67"/>
  <c r="K281" i="72" s="1"/>
  <c r="N49" i="67"/>
  <c r="L281" i="72" s="1"/>
  <c r="O49" i="67"/>
  <c r="M281" i="72" s="1"/>
  <c r="P49" i="67"/>
  <c r="N281" i="72" s="1"/>
  <c r="Q49" i="67"/>
  <c r="O281" i="72" s="1"/>
  <c r="R49" i="67"/>
  <c r="P281" i="72" s="1"/>
  <c r="L50" i="67"/>
  <c r="J282" i="72" s="1"/>
  <c r="M50" i="67"/>
  <c r="K282" i="72" s="1"/>
  <c r="N50" i="67"/>
  <c r="L282" i="72" s="1"/>
  <c r="O50" i="67"/>
  <c r="M282" i="72" s="1"/>
  <c r="P50" i="67"/>
  <c r="N282" i="72" s="1"/>
  <c r="Q50" i="67"/>
  <c r="O282" i="72" s="1"/>
  <c r="R50" i="67"/>
  <c r="P282" i="72" s="1"/>
  <c r="L51" i="67"/>
  <c r="J283" i="72" s="1"/>
  <c r="M51" i="67"/>
  <c r="K283" i="72" s="1"/>
  <c r="N51" i="67"/>
  <c r="L283" i="72" s="1"/>
  <c r="O51" i="67"/>
  <c r="M283" i="72" s="1"/>
  <c r="P51" i="67"/>
  <c r="N283" i="72" s="1"/>
  <c r="Q51" i="67"/>
  <c r="O283" i="72" s="1"/>
  <c r="R51" i="67"/>
  <c r="P283" i="72" s="1"/>
  <c r="K49" i="67"/>
  <c r="I281" i="72" s="1"/>
  <c r="K50" i="67"/>
  <c r="I282" i="72" s="1"/>
  <c r="K51" i="67"/>
  <c r="I283" i="72" s="1"/>
  <c r="K19" i="67"/>
  <c r="I34" i="72" s="1"/>
  <c r="K20" i="67"/>
  <c r="I35" i="72" s="1"/>
  <c r="BJ46" i="67"/>
  <c r="BI46" i="67"/>
  <c r="BH46" i="67"/>
  <c r="BG46" i="67"/>
  <c r="BF46" i="67"/>
  <c r="BE46" i="67"/>
  <c r="BD46" i="67"/>
  <c r="BC46" i="67"/>
  <c r="BB46" i="67"/>
  <c r="BA46" i="67"/>
  <c r="AZ46" i="67"/>
  <c r="AY46" i="67"/>
  <c r="AX46" i="67"/>
  <c r="AW46" i="67"/>
  <c r="AV46" i="67"/>
  <c r="AU46" i="67"/>
  <c r="AT46" i="67"/>
  <c r="AS46" i="67"/>
  <c r="AR46" i="67"/>
  <c r="AQ46" i="67"/>
  <c r="AP46" i="67"/>
  <c r="AO46" i="67"/>
  <c r="AN46" i="67"/>
  <c r="AM46" i="67"/>
  <c r="AL46" i="67"/>
  <c r="AK46" i="67"/>
  <c r="BJ55" i="67"/>
  <c r="BI55" i="67"/>
  <c r="BH55" i="67"/>
  <c r="BG55" i="67"/>
  <c r="BF55" i="67"/>
  <c r="BE55" i="67"/>
  <c r="BD55" i="67"/>
  <c r="BC55" i="67"/>
  <c r="BB55" i="67"/>
  <c r="BA55" i="67"/>
  <c r="AZ55" i="67"/>
  <c r="AY55" i="67"/>
  <c r="AX55" i="67"/>
  <c r="AW55" i="67"/>
  <c r="AV55" i="67"/>
  <c r="AU55" i="67"/>
  <c r="AT55" i="67"/>
  <c r="AS55" i="67"/>
  <c r="AR55" i="67"/>
  <c r="AQ55" i="67"/>
  <c r="AP55" i="67"/>
  <c r="AO55" i="67"/>
  <c r="AN55" i="67"/>
  <c r="AM55" i="67"/>
  <c r="AL55" i="67"/>
  <c r="AK55" i="67"/>
  <c r="AK50" i="67"/>
  <c r="AK51" i="67"/>
  <c r="AK52" i="67"/>
  <c r="AL52" i="67"/>
  <c r="AM52" i="67"/>
  <c r="AN52" i="67"/>
  <c r="AO52" i="67"/>
  <c r="AP52" i="67"/>
  <c r="AQ52" i="67"/>
  <c r="AR52" i="67"/>
  <c r="AS52" i="67"/>
  <c r="AT52" i="67"/>
  <c r="AU52" i="67"/>
  <c r="AV52" i="67"/>
  <c r="AW52" i="67"/>
  <c r="AX52" i="67"/>
  <c r="AY52" i="67"/>
  <c r="AZ52" i="67"/>
  <c r="BA52" i="67"/>
  <c r="BB52" i="67"/>
  <c r="BC52" i="67"/>
  <c r="BD52" i="67"/>
  <c r="BE52" i="67"/>
  <c r="BF52" i="67"/>
  <c r="BG52" i="67"/>
  <c r="BH52" i="67"/>
  <c r="BI52" i="67"/>
  <c r="BJ52" i="67"/>
  <c r="AK53" i="67"/>
  <c r="AL53" i="67"/>
  <c r="AM53" i="67"/>
  <c r="AN53" i="67"/>
  <c r="AO53" i="67"/>
  <c r="AP53" i="67"/>
  <c r="AQ53" i="67"/>
  <c r="AR53" i="67"/>
  <c r="AS53" i="67"/>
  <c r="AT53" i="67"/>
  <c r="AU53" i="67"/>
  <c r="AV53" i="67"/>
  <c r="AW53" i="67"/>
  <c r="AX53" i="67"/>
  <c r="AY53" i="67"/>
  <c r="AZ53" i="67"/>
  <c r="BA53" i="67"/>
  <c r="BB53" i="67"/>
  <c r="BC53" i="67"/>
  <c r="BD53" i="67"/>
  <c r="BE53" i="67"/>
  <c r="BF53" i="67"/>
  <c r="BG53" i="67"/>
  <c r="BH53" i="67"/>
  <c r="BI53" i="67"/>
  <c r="BJ53" i="67"/>
  <c r="AK54" i="67"/>
  <c r="AL54" i="67"/>
  <c r="AM54" i="67"/>
  <c r="AN54" i="67"/>
  <c r="AO54" i="67"/>
  <c r="AP54" i="67"/>
  <c r="AQ54" i="67"/>
  <c r="AR54" i="67"/>
  <c r="AS54" i="67"/>
  <c r="AT54" i="67"/>
  <c r="AU54" i="67"/>
  <c r="AV54" i="67"/>
  <c r="AW54" i="67"/>
  <c r="AX54" i="67"/>
  <c r="AY54" i="67"/>
  <c r="AZ54" i="67"/>
  <c r="BA54" i="67"/>
  <c r="BB54" i="67"/>
  <c r="BC54" i="67"/>
  <c r="BD54" i="67"/>
  <c r="BE54" i="67"/>
  <c r="BF54" i="67"/>
  <c r="BG54" i="67"/>
  <c r="BH54" i="67"/>
  <c r="BI54" i="67"/>
  <c r="BJ54" i="67"/>
  <c r="BJ84" i="67"/>
  <c r="BI84" i="67"/>
  <c r="BH84" i="67"/>
  <c r="BG84" i="67"/>
  <c r="BF84" i="67"/>
  <c r="BE84" i="67"/>
  <c r="BD84" i="67"/>
  <c r="BC84" i="67"/>
  <c r="BB84" i="67"/>
  <c r="BA84" i="67"/>
  <c r="AZ84" i="67"/>
  <c r="AY84" i="67"/>
  <c r="AX84" i="67"/>
  <c r="AW84" i="67"/>
  <c r="AV84" i="67"/>
  <c r="AU84" i="67"/>
  <c r="AT84" i="67"/>
  <c r="AS84" i="67"/>
  <c r="AR84" i="67"/>
  <c r="AQ84" i="67"/>
  <c r="AP84" i="67"/>
  <c r="AO84" i="67"/>
  <c r="AN84" i="67"/>
  <c r="AM84" i="67"/>
  <c r="AL84" i="67"/>
  <c r="AK84" i="67"/>
  <c r="BJ75" i="67"/>
  <c r="BI75" i="67"/>
  <c r="BH75" i="67"/>
  <c r="BG75" i="67"/>
  <c r="BF75" i="67"/>
  <c r="BE75" i="67"/>
  <c r="BD75" i="67"/>
  <c r="BC75" i="67"/>
  <c r="BB75" i="67"/>
  <c r="BA75" i="67"/>
  <c r="AZ75" i="67"/>
  <c r="AY75" i="67"/>
  <c r="AX75" i="67"/>
  <c r="AW75" i="67"/>
  <c r="AV75" i="67"/>
  <c r="AU75" i="67"/>
  <c r="AT75" i="67"/>
  <c r="AS75" i="67"/>
  <c r="AR75" i="67"/>
  <c r="AQ75" i="67"/>
  <c r="AP75" i="67"/>
  <c r="AO75" i="67"/>
  <c r="AN75" i="67"/>
  <c r="AM75" i="67"/>
  <c r="AL75" i="67"/>
  <c r="AK75" i="67"/>
  <c r="AK79" i="67"/>
  <c r="AK80" i="67"/>
  <c r="AK81" i="67"/>
  <c r="AL81" i="67"/>
  <c r="AM81" i="67"/>
  <c r="AN81" i="67"/>
  <c r="AO81" i="67"/>
  <c r="AP81" i="67"/>
  <c r="AQ81" i="67"/>
  <c r="AR81" i="67"/>
  <c r="AS81" i="67"/>
  <c r="AT81" i="67"/>
  <c r="AU81" i="67"/>
  <c r="AV81" i="67"/>
  <c r="AW81" i="67"/>
  <c r="AX81" i="67"/>
  <c r="AY81" i="67"/>
  <c r="AZ81" i="67"/>
  <c r="BA81" i="67"/>
  <c r="BB81" i="67"/>
  <c r="BC81" i="67"/>
  <c r="BD81" i="67"/>
  <c r="BE81" i="67"/>
  <c r="BF81" i="67"/>
  <c r="BG81" i="67"/>
  <c r="BH81" i="67"/>
  <c r="BI81" i="67"/>
  <c r="BJ81" i="67"/>
  <c r="AK82" i="67"/>
  <c r="AL82" i="67"/>
  <c r="AM82" i="67"/>
  <c r="AN82" i="67"/>
  <c r="AO82" i="67"/>
  <c r="AP82" i="67"/>
  <c r="AQ82" i="67"/>
  <c r="AR82" i="67"/>
  <c r="AS82" i="67"/>
  <c r="AT82" i="67"/>
  <c r="AU82" i="67"/>
  <c r="AV82" i="67"/>
  <c r="AW82" i="67"/>
  <c r="AX82" i="67"/>
  <c r="AY82" i="67"/>
  <c r="AZ82" i="67"/>
  <c r="BA82" i="67"/>
  <c r="BB82" i="67"/>
  <c r="BC82" i="67"/>
  <c r="BD82" i="67"/>
  <c r="BE82" i="67"/>
  <c r="BF82" i="67"/>
  <c r="BG82" i="67"/>
  <c r="BH82" i="67"/>
  <c r="BI82" i="67"/>
  <c r="BJ82" i="67"/>
  <c r="AK83" i="67"/>
  <c r="AL83" i="67"/>
  <c r="AM83" i="67"/>
  <c r="AN83" i="67"/>
  <c r="AO83" i="67"/>
  <c r="AP83" i="67"/>
  <c r="AQ83" i="67"/>
  <c r="AR83" i="67"/>
  <c r="AS83" i="67"/>
  <c r="AT83" i="67"/>
  <c r="AU83" i="67"/>
  <c r="AV83" i="67"/>
  <c r="AW83" i="67"/>
  <c r="AX83" i="67"/>
  <c r="AY83" i="67"/>
  <c r="AZ83" i="67"/>
  <c r="BA83" i="67"/>
  <c r="BB83" i="67"/>
  <c r="BC83" i="67"/>
  <c r="BD83" i="67"/>
  <c r="BE83" i="67"/>
  <c r="BF83" i="67"/>
  <c r="BG83" i="67"/>
  <c r="BH83" i="67"/>
  <c r="BI83" i="67"/>
  <c r="BJ83" i="67"/>
  <c r="BJ70" i="67"/>
  <c r="BI70" i="67"/>
  <c r="BH70" i="67"/>
  <c r="BG70" i="67"/>
  <c r="BF70" i="67"/>
  <c r="BE70" i="67"/>
  <c r="BD70" i="67"/>
  <c r="BC70" i="67"/>
  <c r="BB70" i="67"/>
  <c r="BA70" i="67"/>
  <c r="AZ70" i="67"/>
  <c r="AY70" i="67"/>
  <c r="AX70" i="67"/>
  <c r="AW70" i="67"/>
  <c r="AV70" i="67"/>
  <c r="AU70" i="67"/>
  <c r="AT70" i="67"/>
  <c r="AS70" i="67"/>
  <c r="AR70" i="67"/>
  <c r="AQ70" i="67"/>
  <c r="AP70" i="67"/>
  <c r="AO70" i="67"/>
  <c r="AN70" i="67"/>
  <c r="AM70" i="67"/>
  <c r="AL70" i="67"/>
  <c r="AK70" i="67"/>
  <c r="BJ69" i="67"/>
  <c r="BI69" i="67"/>
  <c r="BH69" i="67"/>
  <c r="BG69" i="67"/>
  <c r="BF69" i="67"/>
  <c r="BE69" i="67"/>
  <c r="BD69" i="67"/>
  <c r="BC69" i="67"/>
  <c r="BB69" i="67"/>
  <c r="BA69" i="67"/>
  <c r="AZ69" i="67"/>
  <c r="AY69" i="67"/>
  <c r="AX69" i="67"/>
  <c r="AW69" i="67"/>
  <c r="AV69" i="67"/>
  <c r="AU69" i="67"/>
  <c r="AT69" i="67"/>
  <c r="AS69" i="67"/>
  <c r="AR69" i="67"/>
  <c r="AQ69" i="67"/>
  <c r="AP69" i="67"/>
  <c r="AO69" i="67"/>
  <c r="AN69" i="67"/>
  <c r="AM69" i="67"/>
  <c r="AL69" i="67"/>
  <c r="AK69" i="67"/>
  <c r="BJ68" i="67"/>
  <c r="BI68" i="67"/>
  <c r="BH68" i="67"/>
  <c r="BG68" i="67"/>
  <c r="BF68" i="67"/>
  <c r="BE68" i="67"/>
  <c r="BD68" i="67"/>
  <c r="BC68" i="67"/>
  <c r="BB68" i="67"/>
  <c r="BA68" i="67"/>
  <c r="AZ68" i="67"/>
  <c r="AY68" i="67"/>
  <c r="AX68" i="67"/>
  <c r="AW68" i="67"/>
  <c r="AV68" i="67"/>
  <c r="AU68" i="67"/>
  <c r="AT68" i="67"/>
  <c r="AS68" i="67"/>
  <c r="AR68" i="67"/>
  <c r="AQ68" i="67"/>
  <c r="AP68" i="67"/>
  <c r="AO68" i="67"/>
  <c r="AN68" i="67"/>
  <c r="AM68" i="67"/>
  <c r="AL68" i="67"/>
  <c r="AK68" i="67"/>
  <c r="BJ67" i="67"/>
  <c r="BI67" i="67"/>
  <c r="BH67" i="67"/>
  <c r="BG67" i="67"/>
  <c r="BF67" i="67"/>
  <c r="BE67" i="67"/>
  <c r="BD67" i="67"/>
  <c r="BC67" i="67"/>
  <c r="BB67" i="67"/>
  <c r="BA67" i="67"/>
  <c r="AZ67" i="67"/>
  <c r="AY67" i="67"/>
  <c r="AX67" i="67"/>
  <c r="AW67" i="67"/>
  <c r="AV67" i="67"/>
  <c r="AU67" i="67"/>
  <c r="AT67" i="67"/>
  <c r="AS67" i="67"/>
  <c r="AR67" i="67"/>
  <c r="AQ67" i="67"/>
  <c r="AP67" i="67"/>
  <c r="AO67" i="67"/>
  <c r="AN67" i="67"/>
  <c r="AM67" i="67"/>
  <c r="AL67" i="67"/>
  <c r="AK67" i="67"/>
  <c r="BJ65" i="67"/>
  <c r="BI65" i="67"/>
  <c r="BH65" i="67"/>
  <c r="BG65" i="67"/>
  <c r="BF65" i="67"/>
  <c r="BE65" i="67"/>
  <c r="BD65" i="67"/>
  <c r="BC65" i="67"/>
  <c r="BB65" i="67"/>
  <c r="BA65" i="67"/>
  <c r="AZ65" i="67"/>
  <c r="AY65" i="67"/>
  <c r="AX65" i="67"/>
  <c r="AW65" i="67"/>
  <c r="AV65" i="67"/>
  <c r="AU65" i="67"/>
  <c r="AT65" i="67"/>
  <c r="AS65" i="67"/>
  <c r="AR65" i="67"/>
  <c r="AQ65" i="67"/>
  <c r="AP65" i="67"/>
  <c r="AO65" i="67"/>
  <c r="AN65" i="67"/>
  <c r="AM65" i="67"/>
  <c r="AL65" i="67"/>
  <c r="AK65" i="67"/>
  <c r="AK78" i="67"/>
  <c r="AK77" i="67"/>
  <c r="BJ76" i="67"/>
  <c r="BI76" i="67"/>
  <c r="BH76" i="67"/>
  <c r="BG76" i="67"/>
  <c r="BF76" i="67"/>
  <c r="BE76" i="67"/>
  <c r="BD76" i="67"/>
  <c r="BC76" i="67"/>
  <c r="BB76" i="67"/>
  <c r="BA76" i="67"/>
  <c r="AZ76" i="67"/>
  <c r="AY76" i="67"/>
  <c r="AX76" i="67"/>
  <c r="AW76" i="67"/>
  <c r="AV76" i="67"/>
  <c r="AU76" i="67"/>
  <c r="AT76" i="67"/>
  <c r="AS76" i="67"/>
  <c r="AR76" i="67"/>
  <c r="AQ76" i="67"/>
  <c r="AP76" i="67"/>
  <c r="AO76" i="67"/>
  <c r="AN76" i="67"/>
  <c r="AM76" i="67"/>
  <c r="AL76" i="67"/>
  <c r="AK76" i="67"/>
  <c r="AK74" i="67"/>
  <c r="AK73" i="67"/>
  <c r="BJ72" i="67"/>
  <c r="BI72" i="67"/>
  <c r="BH72" i="67"/>
  <c r="BG72" i="67"/>
  <c r="BF72" i="67"/>
  <c r="BE72" i="67"/>
  <c r="BD72" i="67"/>
  <c r="BC72" i="67"/>
  <c r="BB72" i="67"/>
  <c r="BA72" i="67"/>
  <c r="AZ72" i="67"/>
  <c r="AY72" i="67"/>
  <c r="AX72" i="67"/>
  <c r="AW72" i="67"/>
  <c r="AV72" i="67"/>
  <c r="AU72" i="67"/>
  <c r="AT72" i="67"/>
  <c r="AS72" i="67"/>
  <c r="AR72" i="67"/>
  <c r="AQ72" i="67"/>
  <c r="AP72" i="67"/>
  <c r="AO72" i="67"/>
  <c r="AN72" i="67"/>
  <c r="AM72" i="67"/>
  <c r="AL72" i="67"/>
  <c r="AK72" i="67"/>
  <c r="AK49" i="67"/>
  <c r="AK48" i="67"/>
  <c r="BJ47" i="67"/>
  <c r="BI47" i="67"/>
  <c r="BH47" i="67"/>
  <c r="BG47" i="67"/>
  <c r="BF47" i="67"/>
  <c r="BE47" i="67"/>
  <c r="BD47" i="67"/>
  <c r="BC47" i="67"/>
  <c r="BB47" i="67"/>
  <c r="BA47" i="67"/>
  <c r="AZ47" i="67"/>
  <c r="AY47" i="67"/>
  <c r="AX47" i="67"/>
  <c r="AW47" i="67"/>
  <c r="AV47" i="67"/>
  <c r="AU47" i="67"/>
  <c r="AT47" i="67"/>
  <c r="AS47" i="67"/>
  <c r="AR47" i="67"/>
  <c r="AQ47" i="67"/>
  <c r="AP47" i="67"/>
  <c r="AO47" i="67"/>
  <c r="AN47" i="67"/>
  <c r="AM47" i="67"/>
  <c r="AL47" i="67"/>
  <c r="AK47" i="67"/>
  <c r="AK45" i="67"/>
  <c r="AK44" i="67"/>
  <c r="BJ43" i="67"/>
  <c r="BI43" i="67"/>
  <c r="BH43" i="67"/>
  <c r="BG43" i="67"/>
  <c r="BF43" i="67"/>
  <c r="BE43" i="67"/>
  <c r="BD43" i="67"/>
  <c r="BC43" i="67"/>
  <c r="BB43" i="67"/>
  <c r="BA43" i="67"/>
  <c r="AZ43" i="67"/>
  <c r="AY43" i="67"/>
  <c r="AX43" i="67"/>
  <c r="AW43" i="67"/>
  <c r="AV43" i="67"/>
  <c r="AU43" i="67"/>
  <c r="AT43" i="67"/>
  <c r="AS43" i="67"/>
  <c r="AR43" i="67"/>
  <c r="AQ43" i="67"/>
  <c r="AP43" i="67"/>
  <c r="AO43" i="67"/>
  <c r="AN43" i="67"/>
  <c r="AM43" i="67"/>
  <c r="AL43" i="67"/>
  <c r="AK43" i="67"/>
  <c r="BJ86" i="67"/>
  <c r="BI86" i="67"/>
  <c r="BH86" i="67"/>
  <c r="BG86" i="67"/>
  <c r="BF86" i="67"/>
  <c r="BE86" i="67"/>
  <c r="BD86" i="67"/>
  <c r="BC86" i="67"/>
  <c r="BB86" i="67"/>
  <c r="BA86" i="67"/>
  <c r="AZ86" i="67"/>
  <c r="AY86" i="67"/>
  <c r="AX86" i="67"/>
  <c r="AW86" i="67"/>
  <c r="AV86" i="67"/>
  <c r="AU86" i="67"/>
  <c r="AT86" i="67"/>
  <c r="AS86" i="67"/>
  <c r="AR86" i="67"/>
  <c r="AQ86" i="67"/>
  <c r="AP86" i="67"/>
  <c r="AO86" i="67"/>
  <c r="AN86" i="67"/>
  <c r="AM86" i="67"/>
  <c r="AL86" i="67"/>
  <c r="AK86" i="67"/>
  <c r="BJ85" i="67"/>
  <c r="BI85" i="67"/>
  <c r="BH85" i="67"/>
  <c r="BG85" i="67"/>
  <c r="BF85" i="67"/>
  <c r="BE85" i="67"/>
  <c r="BD85" i="67"/>
  <c r="BC85" i="67"/>
  <c r="BB85" i="67"/>
  <c r="BA85" i="67"/>
  <c r="AZ85" i="67"/>
  <c r="AY85" i="67"/>
  <c r="AX85" i="67"/>
  <c r="AW85" i="67"/>
  <c r="AV85" i="67"/>
  <c r="AU85" i="67"/>
  <c r="AT85" i="67"/>
  <c r="AS85" i="67"/>
  <c r="AR85" i="67"/>
  <c r="AQ85" i="67"/>
  <c r="AP85" i="67"/>
  <c r="AO85" i="67"/>
  <c r="AN85" i="67"/>
  <c r="AM85" i="67"/>
  <c r="AL85" i="67"/>
  <c r="AK85" i="67"/>
  <c r="BJ71" i="67"/>
  <c r="BI71" i="67"/>
  <c r="BH71" i="67"/>
  <c r="BG71" i="67"/>
  <c r="BF71" i="67"/>
  <c r="BE71" i="67"/>
  <c r="BD71" i="67"/>
  <c r="BC71" i="67"/>
  <c r="BB71" i="67"/>
  <c r="BA71" i="67"/>
  <c r="AZ71" i="67"/>
  <c r="AY71" i="67"/>
  <c r="AX71" i="67"/>
  <c r="AW71" i="67"/>
  <c r="AV71" i="67"/>
  <c r="AU71" i="67"/>
  <c r="AT71" i="67"/>
  <c r="AS71" i="67"/>
  <c r="AR71" i="67"/>
  <c r="AQ71" i="67"/>
  <c r="AP71" i="67"/>
  <c r="AO71" i="67"/>
  <c r="AN71" i="67"/>
  <c r="AM71" i="67"/>
  <c r="AL71" i="67"/>
  <c r="AK71" i="67"/>
  <c r="BJ57" i="67"/>
  <c r="BI57" i="67"/>
  <c r="BH57" i="67"/>
  <c r="BG57" i="67"/>
  <c r="BF57" i="67"/>
  <c r="BE57" i="67"/>
  <c r="BD57" i="67"/>
  <c r="BC57" i="67"/>
  <c r="BB57" i="67"/>
  <c r="BA57" i="67"/>
  <c r="AZ57" i="67"/>
  <c r="AY57" i="67"/>
  <c r="AX57" i="67"/>
  <c r="AW57" i="67"/>
  <c r="AV57" i="67"/>
  <c r="AU57" i="67"/>
  <c r="AT57" i="67"/>
  <c r="AS57" i="67"/>
  <c r="AR57" i="67"/>
  <c r="AQ57" i="67"/>
  <c r="AP57" i="67"/>
  <c r="AO57" i="67"/>
  <c r="AN57" i="67"/>
  <c r="AM57" i="67"/>
  <c r="AL57" i="67"/>
  <c r="AK57" i="67"/>
  <c r="BJ56" i="67"/>
  <c r="BI56" i="67"/>
  <c r="BH56" i="67"/>
  <c r="BG56" i="67"/>
  <c r="BF56" i="67"/>
  <c r="BE56" i="67"/>
  <c r="BD56" i="67"/>
  <c r="BC56" i="67"/>
  <c r="BB56" i="67"/>
  <c r="BA56" i="67"/>
  <c r="AZ56" i="67"/>
  <c r="AY56" i="67"/>
  <c r="AX56" i="67"/>
  <c r="AW56" i="67"/>
  <c r="AV56" i="67"/>
  <c r="AU56" i="67"/>
  <c r="AT56" i="67"/>
  <c r="AS56" i="67"/>
  <c r="AR56" i="67"/>
  <c r="AQ56" i="67"/>
  <c r="AP56" i="67"/>
  <c r="AO56" i="67"/>
  <c r="AN56" i="67"/>
  <c r="AM56" i="67"/>
  <c r="AL56" i="67"/>
  <c r="AK56" i="67"/>
  <c r="BJ42" i="67"/>
  <c r="BI42" i="67"/>
  <c r="BH42" i="67"/>
  <c r="BG42" i="67"/>
  <c r="BF42" i="67"/>
  <c r="BE42" i="67"/>
  <c r="BD42" i="67"/>
  <c r="BC42" i="67"/>
  <c r="BB42" i="67"/>
  <c r="BA42" i="67"/>
  <c r="AZ42" i="67"/>
  <c r="AY42" i="67"/>
  <c r="AX42" i="67"/>
  <c r="AW42" i="67"/>
  <c r="AV42" i="67"/>
  <c r="AU42" i="67"/>
  <c r="AT42" i="67"/>
  <c r="AS42" i="67"/>
  <c r="AR42" i="67"/>
  <c r="AQ42" i="67"/>
  <c r="AP42" i="67"/>
  <c r="AO42" i="67"/>
  <c r="AN42" i="67"/>
  <c r="AM42" i="67"/>
  <c r="AL42" i="67"/>
  <c r="AK42" i="67"/>
  <c r="BJ41" i="67"/>
  <c r="BI41" i="67"/>
  <c r="BH41" i="67"/>
  <c r="BG41" i="67"/>
  <c r="BF41" i="67"/>
  <c r="BE41" i="67"/>
  <c r="BD41" i="67"/>
  <c r="BC41" i="67"/>
  <c r="BB41" i="67"/>
  <c r="BA41" i="67"/>
  <c r="AZ41" i="67"/>
  <c r="AY41" i="67"/>
  <c r="AX41" i="67"/>
  <c r="AW41" i="67"/>
  <c r="AV41" i="67"/>
  <c r="AU41" i="67"/>
  <c r="AT41" i="67"/>
  <c r="AS41" i="67"/>
  <c r="AR41" i="67"/>
  <c r="AQ41" i="67"/>
  <c r="AP41" i="67"/>
  <c r="AO41" i="67"/>
  <c r="AN41" i="67"/>
  <c r="AM41" i="67"/>
  <c r="AL41" i="67"/>
  <c r="AK41" i="67"/>
  <c r="BJ40" i="67"/>
  <c r="BI40" i="67"/>
  <c r="BH40" i="67"/>
  <c r="BG40" i="67"/>
  <c r="BF40" i="67"/>
  <c r="BE40" i="67"/>
  <c r="BD40" i="67"/>
  <c r="BC40" i="67"/>
  <c r="BB40" i="67"/>
  <c r="BA40" i="67"/>
  <c r="AZ40" i="67"/>
  <c r="AY40" i="67"/>
  <c r="AX40" i="67"/>
  <c r="AW40" i="67"/>
  <c r="AV40" i="67"/>
  <c r="AU40" i="67"/>
  <c r="AT40" i="67"/>
  <c r="AS40" i="67"/>
  <c r="AR40" i="67"/>
  <c r="AQ40" i="67"/>
  <c r="AP40" i="67"/>
  <c r="AO40" i="67"/>
  <c r="AN40" i="67"/>
  <c r="AM40" i="67"/>
  <c r="AL40" i="67"/>
  <c r="AK40" i="67"/>
  <c r="BJ39" i="67"/>
  <c r="BI39" i="67"/>
  <c r="BH39" i="67"/>
  <c r="BG39" i="67"/>
  <c r="BF39" i="67"/>
  <c r="BE39" i="67"/>
  <c r="BD39" i="67"/>
  <c r="BC39" i="67"/>
  <c r="BB39" i="67"/>
  <c r="BA39" i="67"/>
  <c r="AZ39" i="67"/>
  <c r="AY39" i="67"/>
  <c r="AX39" i="67"/>
  <c r="AW39" i="67"/>
  <c r="AV39" i="67"/>
  <c r="AU39" i="67"/>
  <c r="AT39" i="67"/>
  <c r="AS39" i="67"/>
  <c r="AR39" i="67"/>
  <c r="AQ39" i="67"/>
  <c r="AP39" i="67"/>
  <c r="AO39" i="67"/>
  <c r="AN39" i="67"/>
  <c r="AM39" i="67"/>
  <c r="AL39" i="67"/>
  <c r="AK39" i="67"/>
  <c r="BJ38" i="67"/>
  <c r="BI38" i="67"/>
  <c r="BH38" i="67"/>
  <c r="BG38" i="67"/>
  <c r="BF38" i="67"/>
  <c r="BE38" i="67"/>
  <c r="BD38" i="67"/>
  <c r="BC38" i="67"/>
  <c r="BB38" i="67"/>
  <c r="BA38" i="67"/>
  <c r="AZ38" i="67"/>
  <c r="AY38" i="67"/>
  <c r="AX38" i="67"/>
  <c r="AW38" i="67"/>
  <c r="AV38" i="67"/>
  <c r="AU38" i="67"/>
  <c r="AT38" i="67"/>
  <c r="AS38" i="67"/>
  <c r="AR38" i="67"/>
  <c r="AQ38" i="67"/>
  <c r="AP38" i="67"/>
  <c r="AO38" i="67"/>
  <c r="AN38" i="67"/>
  <c r="AM38" i="67"/>
  <c r="AL38" i="67"/>
  <c r="AK38" i="67"/>
  <c r="BJ36" i="67"/>
  <c r="BI36" i="67"/>
  <c r="BH36" i="67"/>
  <c r="BG36" i="67"/>
  <c r="BF36" i="67"/>
  <c r="BE36" i="67"/>
  <c r="BD36" i="67"/>
  <c r="BC36" i="67"/>
  <c r="BB36" i="67"/>
  <c r="BA36" i="67"/>
  <c r="AZ36" i="67"/>
  <c r="AY36" i="67"/>
  <c r="AX36" i="67"/>
  <c r="AW36" i="67"/>
  <c r="AV36" i="67"/>
  <c r="AU36" i="67"/>
  <c r="AT36" i="67"/>
  <c r="AS36" i="67"/>
  <c r="AR36" i="67"/>
  <c r="AQ36" i="67"/>
  <c r="AP36" i="67"/>
  <c r="AO36" i="67"/>
  <c r="AN36" i="67"/>
  <c r="AM36" i="67"/>
  <c r="AL36" i="67"/>
  <c r="AK36" i="67"/>
  <c r="BJ28" i="67"/>
  <c r="BI28" i="67"/>
  <c r="BH28" i="67"/>
  <c r="BG28" i="67"/>
  <c r="BF28" i="67"/>
  <c r="BE28" i="67"/>
  <c r="BD28" i="67"/>
  <c r="BC28" i="67"/>
  <c r="BB28" i="67"/>
  <c r="BA28" i="67"/>
  <c r="AZ28" i="67"/>
  <c r="AY28" i="67"/>
  <c r="AX28" i="67"/>
  <c r="AW28" i="67"/>
  <c r="AV28" i="67"/>
  <c r="AU28" i="67"/>
  <c r="AT28" i="67"/>
  <c r="AS28" i="67"/>
  <c r="AR28" i="67"/>
  <c r="AQ28" i="67"/>
  <c r="AP28" i="67"/>
  <c r="AO28" i="67"/>
  <c r="AN28" i="67"/>
  <c r="AM28" i="67"/>
  <c r="AL28" i="67"/>
  <c r="AK28" i="67"/>
  <c r="BJ27" i="67"/>
  <c r="BI27" i="67"/>
  <c r="BH27" i="67"/>
  <c r="BG27" i="67"/>
  <c r="BF27" i="67"/>
  <c r="BE27" i="67"/>
  <c r="BD27" i="67"/>
  <c r="BC27" i="67"/>
  <c r="BB27" i="67"/>
  <c r="BA27" i="67"/>
  <c r="AZ27" i="67"/>
  <c r="AY27" i="67"/>
  <c r="AX27" i="67"/>
  <c r="AW27" i="67"/>
  <c r="AV27" i="67"/>
  <c r="AU27" i="67"/>
  <c r="AT27" i="67"/>
  <c r="AS27" i="67"/>
  <c r="AR27" i="67"/>
  <c r="AQ27" i="67"/>
  <c r="AP27" i="67"/>
  <c r="AO27" i="67"/>
  <c r="AN27" i="67"/>
  <c r="AM27" i="67"/>
  <c r="AL27" i="67"/>
  <c r="AK27" i="67"/>
  <c r="AL18" i="67"/>
  <c r="AM18" i="67"/>
  <c r="AN18" i="67"/>
  <c r="AO18" i="67"/>
  <c r="AP18" i="67"/>
  <c r="AQ18" i="67"/>
  <c r="AR18" i="67"/>
  <c r="AS18" i="67"/>
  <c r="AT18" i="67"/>
  <c r="AU18" i="67"/>
  <c r="AV18" i="67"/>
  <c r="AW18" i="67"/>
  <c r="AX18" i="67"/>
  <c r="AY18" i="67"/>
  <c r="AZ18" i="67"/>
  <c r="BA18" i="67"/>
  <c r="BB18" i="67"/>
  <c r="BC18" i="67"/>
  <c r="BD18" i="67"/>
  <c r="BE18" i="67"/>
  <c r="BF18" i="67"/>
  <c r="BG18" i="67"/>
  <c r="BH18" i="67"/>
  <c r="BI18" i="67"/>
  <c r="BJ18" i="67"/>
  <c r="AL23" i="67"/>
  <c r="AM23" i="67"/>
  <c r="AN23" i="67"/>
  <c r="AO23" i="67"/>
  <c r="AP23" i="67"/>
  <c r="AQ23" i="67"/>
  <c r="AR23" i="67"/>
  <c r="AS23" i="67"/>
  <c r="AT23" i="67"/>
  <c r="AU23" i="67"/>
  <c r="AV23" i="67"/>
  <c r="AW23" i="67"/>
  <c r="AX23" i="67"/>
  <c r="AY23" i="67"/>
  <c r="AZ23" i="67"/>
  <c r="BA23" i="67"/>
  <c r="BB23" i="67"/>
  <c r="BC23" i="67"/>
  <c r="BD23" i="67"/>
  <c r="BE23" i="67"/>
  <c r="BF23" i="67"/>
  <c r="BG23" i="67"/>
  <c r="BH23" i="67"/>
  <c r="BI23" i="67"/>
  <c r="BJ23" i="67"/>
  <c r="AL24" i="67"/>
  <c r="AM24" i="67"/>
  <c r="AN24" i="67"/>
  <c r="AO24" i="67"/>
  <c r="AP24" i="67"/>
  <c r="AQ24" i="67"/>
  <c r="AR24" i="67"/>
  <c r="AS24" i="67"/>
  <c r="AT24" i="67"/>
  <c r="AU24" i="67"/>
  <c r="AV24" i="67"/>
  <c r="AW24" i="67"/>
  <c r="AX24" i="67"/>
  <c r="AY24" i="67"/>
  <c r="AZ24" i="67"/>
  <c r="BA24" i="67"/>
  <c r="BB24" i="67"/>
  <c r="BC24" i="67"/>
  <c r="BD24" i="67"/>
  <c r="BE24" i="67"/>
  <c r="BF24" i="67"/>
  <c r="BG24" i="67"/>
  <c r="BH24" i="67"/>
  <c r="BI24" i="67"/>
  <c r="BJ24" i="67"/>
  <c r="AL25" i="67"/>
  <c r="AM25" i="67"/>
  <c r="AN25" i="67"/>
  <c r="AO25" i="67"/>
  <c r="AP25" i="67"/>
  <c r="AQ25" i="67"/>
  <c r="AR25" i="67"/>
  <c r="AS25" i="67"/>
  <c r="AT25" i="67"/>
  <c r="AU25" i="67"/>
  <c r="AV25" i="67"/>
  <c r="AW25" i="67"/>
  <c r="AX25" i="67"/>
  <c r="AY25" i="67"/>
  <c r="AZ25" i="67"/>
  <c r="BA25" i="67"/>
  <c r="BB25" i="67"/>
  <c r="BC25" i="67"/>
  <c r="BD25" i="67"/>
  <c r="BE25" i="67"/>
  <c r="BF25" i="67"/>
  <c r="BG25" i="67"/>
  <c r="BH25" i="67"/>
  <c r="BI25" i="67"/>
  <c r="BJ25" i="67"/>
  <c r="AL26" i="67"/>
  <c r="AM26" i="67"/>
  <c r="AN26" i="67"/>
  <c r="AO26" i="67"/>
  <c r="AP26" i="67"/>
  <c r="AQ26" i="67"/>
  <c r="AR26" i="67"/>
  <c r="AS26" i="67"/>
  <c r="AT26" i="67"/>
  <c r="AU26" i="67"/>
  <c r="AV26" i="67"/>
  <c r="AW26" i="67"/>
  <c r="AX26" i="67"/>
  <c r="AY26" i="67"/>
  <c r="AZ26" i="67"/>
  <c r="BA26" i="67"/>
  <c r="BB26" i="67"/>
  <c r="BC26" i="67"/>
  <c r="BD26" i="67"/>
  <c r="BE26" i="67"/>
  <c r="BF26" i="67"/>
  <c r="BG26" i="67"/>
  <c r="BH26" i="67"/>
  <c r="BI26" i="67"/>
  <c r="BJ26" i="67"/>
  <c r="AK26" i="67"/>
  <c r="AK25" i="67"/>
  <c r="AK24" i="67"/>
  <c r="AK23" i="67"/>
  <c r="AK22" i="67"/>
  <c r="F87" i="48" s="1"/>
  <c r="AK21" i="67"/>
  <c r="F86" i="48" s="1"/>
  <c r="AK20" i="67"/>
  <c r="F85" i="48" s="1"/>
  <c r="AK19" i="67"/>
  <c r="F84" i="48" s="1"/>
  <c r="AK18" i="67"/>
  <c r="AL14" i="67"/>
  <c r="AM14" i="67"/>
  <c r="AN14" i="67"/>
  <c r="AO14" i="67"/>
  <c r="AP14" i="67"/>
  <c r="AQ14" i="67"/>
  <c r="AR14" i="67"/>
  <c r="AS14" i="67"/>
  <c r="AT14" i="67"/>
  <c r="AU14" i="67"/>
  <c r="AV14" i="67"/>
  <c r="AW14" i="67"/>
  <c r="AX14" i="67"/>
  <c r="AY14" i="67"/>
  <c r="AZ14" i="67"/>
  <c r="BA14" i="67"/>
  <c r="BB14" i="67"/>
  <c r="BC14" i="67"/>
  <c r="BD14" i="67"/>
  <c r="BE14" i="67"/>
  <c r="BF14" i="67"/>
  <c r="BG14" i="67"/>
  <c r="BH14" i="67"/>
  <c r="BI14" i="67"/>
  <c r="BJ14" i="67"/>
  <c r="AL16" i="67"/>
  <c r="AM16" i="67"/>
  <c r="AN16" i="67"/>
  <c r="AO16" i="67"/>
  <c r="AP16" i="67"/>
  <c r="AQ16" i="67"/>
  <c r="AR16" i="67"/>
  <c r="AS16" i="67"/>
  <c r="AT16" i="67"/>
  <c r="AU16" i="67"/>
  <c r="AV16" i="67"/>
  <c r="AW16" i="67"/>
  <c r="AX16" i="67"/>
  <c r="AY16" i="67"/>
  <c r="AZ16" i="67"/>
  <c r="BA16" i="67"/>
  <c r="BB16" i="67"/>
  <c r="BC16" i="67"/>
  <c r="BD16" i="67"/>
  <c r="BE16" i="67"/>
  <c r="BF16" i="67"/>
  <c r="BG16" i="67"/>
  <c r="BH16" i="67"/>
  <c r="BI16" i="67"/>
  <c r="BJ16" i="67"/>
  <c r="AL17" i="67"/>
  <c r="AM17" i="67"/>
  <c r="AN17" i="67"/>
  <c r="AO17" i="67"/>
  <c r="AP17" i="67"/>
  <c r="AQ17" i="67"/>
  <c r="AR17" i="67"/>
  <c r="AS17" i="67"/>
  <c r="AT17" i="67"/>
  <c r="AU17" i="67"/>
  <c r="AV17" i="67"/>
  <c r="AW17" i="67"/>
  <c r="AX17" i="67"/>
  <c r="AY17" i="67"/>
  <c r="AZ17" i="67"/>
  <c r="BA17" i="67"/>
  <c r="BB17" i="67"/>
  <c r="BC17" i="67"/>
  <c r="BD17" i="67"/>
  <c r="BE17" i="67"/>
  <c r="BF17" i="67"/>
  <c r="BG17" i="67"/>
  <c r="BH17" i="67"/>
  <c r="BI17" i="67"/>
  <c r="BJ17" i="67"/>
  <c r="AK17" i="67"/>
  <c r="AK16" i="67"/>
  <c r="AK15" i="67"/>
  <c r="F80" i="48" s="1"/>
  <c r="AK14" i="67"/>
  <c r="AL13" i="67"/>
  <c r="AM13" i="67"/>
  <c r="AN13" i="67"/>
  <c r="AO13" i="67"/>
  <c r="AP13" i="67"/>
  <c r="AQ13" i="67"/>
  <c r="AR13" i="67"/>
  <c r="AS13" i="67"/>
  <c r="AT13" i="67"/>
  <c r="AU13" i="67"/>
  <c r="AV13" i="67"/>
  <c r="AW13" i="67"/>
  <c r="AX13" i="67"/>
  <c r="AY13" i="67"/>
  <c r="AZ13" i="67"/>
  <c r="BA13" i="67"/>
  <c r="BB13" i="67"/>
  <c r="BC13" i="67"/>
  <c r="BD13" i="67"/>
  <c r="BE13" i="67"/>
  <c r="BF13" i="67"/>
  <c r="BG13" i="67"/>
  <c r="BH13" i="67"/>
  <c r="BI13" i="67"/>
  <c r="BJ13" i="67"/>
  <c r="AK13" i="67"/>
  <c r="AM10" i="67"/>
  <c r="AN10" i="67"/>
  <c r="AO10" i="67"/>
  <c r="AP10" i="67"/>
  <c r="AQ10" i="67"/>
  <c r="AR10" i="67"/>
  <c r="AS10" i="67"/>
  <c r="AT10" i="67"/>
  <c r="AU10" i="67"/>
  <c r="AV10" i="67"/>
  <c r="AW10" i="67"/>
  <c r="AX10" i="67"/>
  <c r="AY10" i="67"/>
  <c r="AZ10" i="67"/>
  <c r="BA10" i="67"/>
  <c r="BB10" i="67"/>
  <c r="BC10" i="67"/>
  <c r="BD10" i="67"/>
  <c r="BE10" i="67"/>
  <c r="BF10" i="67"/>
  <c r="BG10" i="67"/>
  <c r="BH10" i="67"/>
  <c r="BI10" i="67"/>
  <c r="AM11" i="67"/>
  <c r="AN11" i="67"/>
  <c r="AO11" i="67"/>
  <c r="AP11" i="67"/>
  <c r="AQ11" i="67"/>
  <c r="AR11" i="67"/>
  <c r="AS11" i="67"/>
  <c r="AT11" i="67"/>
  <c r="AU11" i="67"/>
  <c r="AV11" i="67"/>
  <c r="AW11" i="67"/>
  <c r="AX11" i="67"/>
  <c r="AY11" i="67"/>
  <c r="AZ11" i="67"/>
  <c r="BA11" i="67"/>
  <c r="BB11" i="67"/>
  <c r="BC11" i="67"/>
  <c r="BD11" i="67"/>
  <c r="BE11" i="67"/>
  <c r="BF11" i="67"/>
  <c r="BG11" i="67"/>
  <c r="BH11" i="67"/>
  <c r="BI11" i="67"/>
  <c r="AM12" i="67"/>
  <c r="AN12" i="67"/>
  <c r="AO12" i="67"/>
  <c r="AP12" i="67"/>
  <c r="AQ12" i="67"/>
  <c r="AR12" i="67"/>
  <c r="AS12" i="67"/>
  <c r="AT12" i="67"/>
  <c r="AU12" i="67"/>
  <c r="AV12" i="67"/>
  <c r="AW12" i="67"/>
  <c r="AX12" i="67"/>
  <c r="AY12" i="67"/>
  <c r="AZ12" i="67"/>
  <c r="BA12" i="67"/>
  <c r="BB12" i="67"/>
  <c r="BC12" i="67"/>
  <c r="BD12" i="67"/>
  <c r="BE12" i="67"/>
  <c r="BF12" i="67"/>
  <c r="BG12" i="67"/>
  <c r="BH12" i="67"/>
  <c r="BI12" i="67"/>
  <c r="AL10" i="67"/>
  <c r="AL12" i="67"/>
  <c r="AL11" i="67"/>
  <c r="AL9" i="67"/>
  <c r="AM9" i="67"/>
  <c r="AN9" i="67"/>
  <c r="AO9" i="67"/>
  <c r="AP9" i="67"/>
  <c r="AQ9" i="67"/>
  <c r="AR9" i="67"/>
  <c r="AS9" i="67"/>
  <c r="AT9" i="67"/>
  <c r="AU9" i="67"/>
  <c r="AV9" i="67"/>
  <c r="AW9" i="67"/>
  <c r="AX9" i="67"/>
  <c r="AY9" i="67"/>
  <c r="AZ9" i="67"/>
  <c r="BA9" i="67"/>
  <c r="BB9" i="67"/>
  <c r="BC9" i="67"/>
  <c r="BD9" i="67"/>
  <c r="BE9" i="67"/>
  <c r="BF9" i="67"/>
  <c r="BG9" i="67"/>
  <c r="BH9" i="67"/>
  <c r="BI9" i="67"/>
  <c r="BJ9" i="67"/>
  <c r="AK9" i="67"/>
  <c r="AL7" i="67"/>
  <c r="AN7" i="67"/>
  <c r="AO7" i="67"/>
  <c r="AP7" i="67"/>
  <c r="AQ7" i="67"/>
  <c r="AR7" i="67"/>
  <c r="AS7" i="67"/>
  <c r="AT7" i="67"/>
  <c r="AU7" i="67"/>
  <c r="AV7" i="67"/>
  <c r="AW7" i="67"/>
  <c r="AX7" i="67"/>
  <c r="AY7" i="67"/>
  <c r="AZ7" i="67"/>
  <c r="BA7" i="67"/>
  <c r="BB7" i="67"/>
  <c r="BC7" i="67"/>
  <c r="BD7" i="67"/>
  <c r="BE7" i="67"/>
  <c r="BF7" i="67"/>
  <c r="BG7" i="67"/>
  <c r="BH7" i="67"/>
  <c r="BI7" i="67"/>
  <c r="BJ7" i="67"/>
  <c r="AI93" i="67"/>
  <c r="K67" i="48" s="1"/>
  <c r="AH93" i="67"/>
  <c r="AG93" i="67"/>
  <c r="AF93" i="67"/>
  <c r="AE93" i="67"/>
  <c r="AD93" i="67"/>
  <c r="AC93" i="67"/>
  <c r="AB93" i="67"/>
  <c r="AA93" i="67"/>
  <c r="Z93" i="67"/>
  <c r="Y93" i="67"/>
  <c r="X93" i="67"/>
  <c r="W93" i="67"/>
  <c r="V93" i="67"/>
  <c r="U93" i="67"/>
  <c r="T93" i="67"/>
  <c r="S93" i="67"/>
  <c r="R93" i="67"/>
  <c r="Q93" i="67"/>
  <c r="P93" i="67"/>
  <c r="O93" i="67"/>
  <c r="N93" i="67"/>
  <c r="M93" i="67"/>
  <c r="L93" i="67"/>
  <c r="K93" i="67"/>
  <c r="AI64" i="67"/>
  <c r="I67" i="48" s="1"/>
  <c r="AH64" i="67"/>
  <c r="AG64" i="67"/>
  <c r="AF64" i="67"/>
  <c r="AE64" i="67"/>
  <c r="AD64" i="67"/>
  <c r="AC64" i="67"/>
  <c r="AB64" i="67"/>
  <c r="AA64" i="67"/>
  <c r="Z64" i="67"/>
  <c r="Y64" i="67"/>
  <c r="X64" i="67"/>
  <c r="W64" i="67"/>
  <c r="V64" i="67"/>
  <c r="U64" i="67"/>
  <c r="T64" i="67"/>
  <c r="S64" i="67"/>
  <c r="R64" i="67"/>
  <c r="Q64" i="67"/>
  <c r="P64" i="67"/>
  <c r="O64" i="67"/>
  <c r="N64" i="67"/>
  <c r="M64" i="67"/>
  <c r="L64" i="67"/>
  <c r="K64" i="67"/>
  <c r="AT80" i="67"/>
  <c r="AP80" i="67"/>
  <c r="AL80" i="67"/>
  <c r="AT79" i="67"/>
  <c r="BC78" i="67"/>
  <c r="AX78" i="67"/>
  <c r="AT78" i="67"/>
  <c r="AS78" i="67"/>
  <c r="AN78" i="67"/>
  <c r="BG77" i="67"/>
  <c r="BF77" i="67"/>
  <c r="AX77" i="67"/>
  <c r="AW77" i="67"/>
  <c r="AV77" i="67"/>
  <c r="AU77" i="67"/>
  <c r="AT77" i="67"/>
  <c r="AR77" i="67"/>
  <c r="K21" i="67"/>
  <c r="I36" i="72" s="1"/>
  <c r="M74" i="67"/>
  <c r="K522" i="72" s="1"/>
  <c r="N74" i="67"/>
  <c r="L522" i="72" s="1"/>
  <c r="O74" i="67"/>
  <c r="M522" i="72" s="1"/>
  <c r="P74" i="67"/>
  <c r="N522" i="72" s="1"/>
  <c r="Q74" i="67"/>
  <c r="O522" i="72" s="1"/>
  <c r="R74" i="67"/>
  <c r="P522" i="72" s="1"/>
  <c r="S74" i="67"/>
  <c r="Q522" i="72" s="1"/>
  <c r="T74" i="67"/>
  <c r="R522" i="72" s="1"/>
  <c r="U74" i="67"/>
  <c r="S522" i="72" s="1"/>
  <c r="V74" i="67"/>
  <c r="T522" i="72" s="1"/>
  <c r="W74" i="67"/>
  <c r="U522" i="72" s="1"/>
  <c r="X74" i="67"/>
  <c r="V522" i="72" s="1"/>
  <c r="Y74" i="67"/>
  <c r="W522" i="72" s="1"/>
  <c r="Z74" i="67"/>
  <c r="X522" i="72" s="1"/>
  <c r="AA74" i="67"/>
  <c r="Y522" i="72" s="1"/>
  <c r="AB74" i="67"/>
  <c r="Z522" i="72" s="1"/>
  <c r="AC74" i="67"/>
  <c r="AA522" i="72" s="1"/>
  <c r="AD74" i="67"/>
  <c r="AB522" i="72" s="1"/>
  <c r="AE74" i="67"/>
  <c r="AC522" i="72" s="1"/>
  <c r="AF74" i="67"/>
  <c r="AD522" i="72" s="1"/>
  <c r="AG74" i="67"/>
  <c r="AE522" i="72" s="1"/>
  <c r="AH74" i="67"/>
  <c r="AF522" i="72" s="1"/>
  <c r="AI74" i="67"/>
  <c r="L74" i="67"/>
  <c r="J522" i="72" s="1"/>
  <c r="M73" i="67"/>
  <c r="K521" i="72" s="1"/>
  <c r="N73" i="67"/>
  <c r="L521" i="72" s="1"/>
  <c r="O73" i="67"/>
  <c r="M521" i="72" s="1"/>
  <c r="P73" i="67"/>
  <c r="N521" i="72" s="1"/>
  <c r="Q73" i="67"/>
  <c r="O521" i="72" s="1"/>
  <c r="R73" i="67"/>
  <c r="P521" i="72" s="1"/>
  <c r="S73" i="67"/>
  <c r="Q521" i="72" s="1"/>
  <c r="T73" i="67"/>
  <c r="R521" i="72" s="1"/>
  <c r="U73" i="67"/>
  <c r="S521" i="72" s="1"/>
  <c r="V73" i="67"/>
  <c r="T521" i="72" s="1"/>
  <c r="W73" i="67"/>
  <c r="U521" i="72" s="1"/>
  <c r="X73" i="67"/>
  <c r="V521" i="72" s="1"/>
  <c r="Y73" i="67"/>
  <c r="W521" i="72" s="1"/>
  <c r="Z73" i="67"/>
  <c r="X521" i="72" s="1"/>
  <c r="AA73" i="67"/>
  <c r="Y521" i="72" s="1"/>
  <c r="AB73" i="67"/>
  <c r="Z521" i="72" s="1"/>
  <c r="AC73" i="67"/>
  <c r="AA521" i="72" s="1"/>
  <c r="AD73" i="67"/>
  <c r="AB521" i="72" s="1"/>
  <c r="AE73" i="67"/>
  <c r="AC521" i="72" s="1"/>
  <c r="AF73" i="67"/>
  <c r="AD521" i="72" s="1"/>
  <c r="AG73" i="67"/>
  <c r="AE521" i="72" s="1"/>
  <c r="AH73" i="67"/>
  <c r="AF521" i="72" s="1"/>
  <c r="AI73" i="67"/>
  <c r="L73" i="67"/>
  <c r="J521" i="72" s="1"/>
  <c r="K73" i="67"/>
  <c r="I521" i="72" s="1"/>
  <c r="K44" i="67"/>
  <c r="I276" i="72" s="1"/>
  <c r="M45" i="67"/>
  <c r="K277" i="72" s="1"/>
  <c r="N45" i="67"/>
  <c r="L277" i="72" s="1"/>
  <c r="O45" i="67"/>
  <c r="M277" i="72" s="1"/>
  <c r="P45" i="67"/>
  <c r="N277" i="72" s="1"/>
  <c r="Q45" i="67"/>
  <c r="O277" i="72" s="1"/>
  <c r="R45" i="67"/>
  <c r="P277" i="72" s="1"/>
  <c r="S45" i="67"/>
  <c r="Q277" i="72" s="1"/>
  <c r="T45" i="67"/>
  <c r="R277" i="72" s="1"/>
  <c r="U45" i="67"/>
  <c r="S277" i="72" s="1"/>
  <c r="V45" i="67"/>
  <c r="T277" i="72" s="1"/>
  <c r="W45" i="67"/>
  <c r="U277" i="72" s="1"/>
  <c r="X45" i="67"/>
  <c r="V277" i="72" s="1"/>
  <c r="Y45" i="67"/>
  <c r="W277" i="72" s="1"/>
  <c r="Z45" i="67"/>
  <c r="X277" i="72" s="1"/>
  <c r="AA45" i="67"/>
  <c r="Y277" i="72" s="1"/>
  <c r="AB45" i="67"/>
  <c r="Z277" i="72" s="1"/>
  <c r="AC45" i="67"/>
  <c r="AA277" i="72" s="1"/>
  <c r="AD45" i="67"/>
  <c r="AB277" i="72" s="1"/>
  <c r="AE45" i="67"/>
  <c r="AC277" i="72" s="1"/>
  <c r="AF45" i="67"/>
  <c r="AD277" i="72" s="1"/>
  <c r="AG45" i="67"/>
  <c r="AE277" i="72" s="1"/>
  <c r="AH45" i="67"/>
  <c r="AF277" i="72" s="1"/>
  <c r="AI45" i="67"/>
  <c r="L45" i="67"/>
  <c r="J277" i="72" s="1"/>
  <c r="K45" i="67"/>
  <c r="I277" i="72" s="1"/>
  <c r="M44" i="67"/>
  <c r="K276" i="72" s="1"/>
  <c r="N44" i="67"/>
  <c r="L276" i="72" s="1"/>
  <c r="O44" i="67"/>
  <c r="M276" i="72" s="1"/>
  <c r="P44" i="67"/>
  <c r="N276" i="72" s="1"/>
  <c r="Q44" i="67"/>
  <c r="O276" i="72" s="1"/>
  <c r="R44" i="67"/>
  <c r="P276" i="72" s="1"/>
  <c r="S44" i="67"/>
  <c r="Q276" i="72" s="1"/>
  <c r="T44" i="67"/>
  <c r="R276" i="72" s="1"/>
  <c r="U44" i="67"/>
  <c r="S276" i="72" s="1"/>
  <c r="V44" i="67"/>
  <c r="T276" i="72" s="1"/>
  <c r="W44" i="67"/>
  <c r="U276" i="72" s="1"/>
  <c r="X44" i="67"/>
  <c r="V276" i="72" s="1"/>
  <c r="Y44" i="67"/>
  <c r="W276" i="72" s="1"/>
  <c r="Z44" i="67"/>
  <c r="X276" i="72" s="1"/>
  <c r="AA44" i="67"/>
  <c r="Y276" i="72" s="1"/>
  <c r="AB44" i="67"/>
  <c r="Z276" i="72" s="1"/>
  <c r="AC44" i="67"/>
  <c r="AA276" i="72" s="1"/>
  <c r="AD44" i="67"/>
  <c r="AB276" i="72" s="1"/>
  <c r="AE44" i="67"/>
  <c r="AC276" i="72" s="1"/>
  <c r="AF44" i="67"/>
  <c r="AD276" i="72" s="1"/>
  <c r="AG44" i="67"/>
  <c r="AE276" i="72" s="1"/>
  <c r="AH44" i="67"/>
  <c r="AF276" i="72" s="1"/>
  <c r="AI44" i="67"/>
  <c r="L44" i="67"/>
  <c r="J276" i="72" s="1"/>
  <c r="L35" i="67"/>
  <c r="M35" i="67"/>
  <c r="N35" i="67"/>
  <c r="O35" i="67"/>
  <c r="P35" i="67"/>
  <c r="Q35" i="67"/>
  <c r="R35" i="67"/>
  <c r="S35" i="67"/>
  <c r="T35" i="67"/>
  <c r="U35" i="67"/>
  <c r="V35" i="67"/>
  <c r="W35" i="67"/>
  <c r="X35" i="67"/>
  <c r="Y35" i="67"/>
  <c r="Z35" i="67"/>
  <c r="AA35" i="67"/>
  <c r="AB35" i="67"/>
  <c r="AC35" i="67"/>
  <c r="AD35" i="67"/>
  <c r="AE35" i="67"/>
  <c r="AF35" i="67"/>
  <c r="AG35" i="67"/>
  <c r="AH35" i="67"/>
  <c r="AI35" i="67"/>
  <c r="G67" i="48" s="1"/>
  <c r="K35" i="67"/>
  <c r="L22" i="67"/>
  <c r="J37" i="72" s="1"/>
  <c r="M22" i="67"/>
  <c r="K37" i="72" s="1"/>
  <c r="N22" i="67"/>
  <c r="L37" i="72" s="1"/>
  <c r="O22" i="67"/>
  <c r="M37" i="72" s="1"/>
  <c r="P22" i="67"/>
  <c r="N37" i="72" s="1"/>
  <c r="Q22" i="67"/>
  <c r="O37" i="72" s="1"/>
  <c r="R22" i="67"/>
  <c r="P37" i="72" s="1"/>
  <c r="S22" i="67"/>
  <c r="Q37" i="72" s="1"/>
  <c r="T22" i="67"/>
  <c r="R37" i="72" s="1"/>
  <c r="U22" i="67"/>
  <c r="S37" i="72" s="1"/>
  <c r="V22" i="67"/>
  <c r="T37" i="72" s="1"/>
  <c r="W22" i="67"/>
  <c r="U37" i="72" s="1"/>
  <c r="X22" i="67"/>
  <c r="V37" i="72" s="1"/>
  <c r="Y22" i="67"/>
  <c r="W37" i="72" s="1"/>
  <c r="Z22" i="67"/>
  <c r="X37" i="72" s="1"/>
  <c r="AA22" i="67"/>
  <c r="Y37" i="72" s="1"/>
  <c r="AB22" i="67"/>
  <c r="Z37" i="72" s="1"/>
  <c r="AC22" i="67"/>
  <c r="AA37" i="72" s="1"/>
  <c r="AD22" i="67"/>
  <c r="AB37" i="72" s="1"/>
  <c r="AE22" i="67"/>
  <c r="AC37" i="72" s="1"/>
  <c r="AF22" i="67"/>
  <c r="AD37" i="72" s="1"/>
  <c r="AG22" i="67"/>
  <c r="AE37" i="72" s="1"/>
  <c r="AH22" i="67"/>
  <c r="AF37" i="72" s="1"/>
  <c r="AI22" i="67"/>
  <c r="K22" i="67"/>
  <c r="I37" i="72" s="1"/>
  <c r="L21" i="67"/>
  <c r="J36" i="72" s="1"/>
  <c r="M21" i="67"/>
  <c r="K36" i="72" s="1"/>
  <c r="N21" i="67"/>
  <c r="L36" i="72" s="1"/>
  <c r="O21" i="67"/>
  <c r="M36" i="72" s="1"/>
  <c r="P21" i="67"/>
  <c r="N36" i="72" s="1"/>
  <c r="Q21" i="67"/>
  <c r="O36" i="72" s="1"/>
  <c r="R21" i="67"/>
  <c r="P36" i="72" s="1"/>
  <c r="S21" i="67"/>
  <c r="Q36" i="72" s="1"/>
  <c r="T21" i="67"/>
  <c r="R36" i="72" s="1"/>
  <c r="U21" i="67"/>
  <c r="S36" i="72" s="1"/>
  <c r="V21" i="67"/>
  <c r="T36" i="72" s="1"/>
  <c r="W21" i="67"/>
  <c r="U36" i="72" s="1"/>
  <c r="X21" i="67"/>
  <c r="V36" i="72" s="1"/>
  <c r="Y21" i="67"/>
  <c r="W36" i="72" s="1"/>
  <c r="Z21" i="67"/>
  <c r="X36" i="72" s="1"/>
  <c r="AA21" i="67"/>
  <c r="Y36" i="72" s="1"/>
  <c r="AB21" i="67"/>
  <c r="Z36" i="72" s="1"/>
  <c r="AC21" i="67"/>
  <c r="AA36" i="72" s="1"/>
  <c r="AD21" i="67"/>
  <c r="AB36" i="72" s="1"/>
  <c r="AE21" i="67"/>
  <c r="AC36" i="72" s="1"/>
  <c r="AF21" i="67"/>
  <c r="AD36" i="72" s="1"/>
  <c r="AG21" i="67"/>
  <c r="AE36" i="72" s="1"/>
  <c r="AH21" i="67"/>
  <c r="AF36" i="72" s="1"/>
  <c r="AI21" i="67"/>
  <c r="L20" i="67"/>
  <c r="J35" i="72" s="1"/>
  <c r="M20" i="67"/>
  <c r="K35" i="72" s="1"/>
  <c r="N20" i="67"/>
  <c r="L35" i="72" s="1"/>
  <c r="O20" i="67"/>
  <c r="M35" i="72" s="1"/>
  <c r="P20" i="67"/>
  <c r="N35" i="72" s="1"/>
  <c r="Q20" i="67"/>
  <c r="O35" i="72" s="1"/>
  <c r="R20" i="67"/>
  <c r="P35" i="72" s="1"/>
  <c r="S20" i="67"/>
  <c r="Q35" i="72" s="1"/>
  <c r="T20" i="67"/>
  <c r="R35" i="72" s="1"/>
  <c r="U20" i="67"/>
  <c r="S35" i="72" s="1"/>
  <c r="V20" i="67"/>
  <c r="T35" i="72" s="1"/>
  <c r="W20" i="67"/>
  <c r="U35" i="72" s="1"/>
  <c r="X20" i="67"/>
  <c r="V35" i="72" s="1"/>
  <c r="Y20" i="67"/>
  <c r="W35" i="72" s="1"/>
  <c r="Z20" i="67"/>
  <c r="X35" i="72" s="1"/>
  <c r="AA20" i="67"/>
  <c r="Y35" i="72" s="1"/>
  <c r="AB20" i="67"/>
  <c r="Z35" i="72" s="1"/>
  <c r="AC20" i="67"/>
  <c r="AA35" i="72" s="1"/>
  <c r="AD20" i="67"/>
  <c r="AB35" i="72" s="1"/>
  <c r="AE20" i="67"/>
  <c r="AC35" i="72" s="1"/>
  <c r="AF20" i="67"/>
  <c r="AD35" i="72" s="1"/>
  <c r="AG20" i="67"/>
  <c r="AE35" i="72" s="1"/>
  <c r="AH20" i="67"/>
  <c r="AF35" i="72" s="1"/>
  <c r="AI20" i="67"/>
  <c r="L19" i="67"/>
  <c r="J34" i="72" s="1"/>
  <c r="M19" i="67"/>
  <c r="K34" i="72" s="1"/>
  <c r="N19" i="67"/>
  <c r="L34" i="72" s="1"/>
  <c r="O19" i="67"/>
  <c r="M34" i="72" s="1"/>
  <c r="P19" i="67"/>
  <c r="N34" i="72" s="1"/>
  <c r="Q19" i="67"/>
  <c r="O34" i="72" s="1"/>
  <c r="R19" i="67"/>
  <c r="P34" i="72" s="1"/>
  <c r="S19" i="67"/>
  <c r="Q34" i="72" s="1"/>
  <c r="T19" i="67"/>
  <c r="R34" i="72" s="1"/>
  <c r="U19" i="67"/>
  <c r="S34" i="72" s="1"/>
  <c r="V19" i="67"/>
  <c r="T34" i="72" s="1"/>
  <c r="W19" i="67"/>
  <c r="U34" i="72" s="1"/>
  <c r="X19" i="67"/>
  <c r="V34" i="72" s="1"/>
  <c r="Y19" i="67"/>
  <c r="W34" i="72" s="1"/>
  <c r="Z19" i="67"/>
  <c r="X34" i="72" s="1"/>
  <c r="AA19" i="67"/>
  <c r="Y34" i="72" s="1"/>
  <c r="AB19" i="67"/>
  <c r="Z34" i="72" s="1"/>
  <c r="AC19" i="67"/>
  <c r="AA34" i="72" s="1"/>
  <c r="AD19" i="67"/>
  <c r="AB34" i="72" s="1"/>
  <c r="AE19" i="67"/>
  <c r="AC34" i="72" s="1"/>
  <c r="AF19" i="67"/>
  <c r="AD34" i="72" s="1"/>
  <c r="AG19" i="67"/>
  <c r="AE34" i="72" s="1"/>
  <c r="AH19" i="67"/>
  <c r="AF34" i="72" s="1"/>
  <c r="AI19" i="67"/>
  <c r="AJ17" i="67"/>
  <c r="L15" i="67"/>
  <c r="J30" i="72" s="1"/>
  <c r="M15" i="67"/>
  <c r="K30" i="72" s="1"/>
  <c r="N15" i="67"/>
  <c r="L30" i="72" s="1"/>
  <c r="O15" i="67"/>
  <c r="M30" i="72" s="1"/>
  <c r="P15" i="67"/>
  <c r="N30" i="72" s="1"/>
  <c r="Q15" i="67"/>
  <c r="O30" i="72" s="1"/>
  <c r="R15" i="67"/>
  <c r="P30" i="72" s="1"/>
  <c r="S15" i="67"/>
  <c r="Q30" i="72" s="1"/>
  <c r="T15" i="67"/>
  <c r="R30" i="72" s="1"/>
  <c r="U15" i="67"/>
  <c r="S30" i="72" s="1"/>
  <c r="V15" i="67"/>
  <c r="T30" i="72" s="1"/>
  <c r="W15" i="67"/>
  <c r="U30" i="72" s="1"/>
  <c r="X15" i="67"/>
  <c r="V30" i="72" s="1"/>
  <c r="Y15" i="67"/>
  <c r="W30" i="72" s="1"/>
  <c r="Z15" i="67"/>
  <c r="X30" i="72" s="1"/>
  <c r="AA15" i="67"/>
  <c r="Y30" i="72" s="1"/>
  <c r="AB15" i="67"/>
  <c r="Z30" i="72" s="1"/>
  <c r="AC15" i="67"/>
  <c r="AA30" i="72" s="1"/>
  <c r="AD15" i="67"/>
  <c r="AB30" i="72" s="1"/>
  <c r="AE15" i="67"/>
  <c r="AC30" i="72" s="1"/>
  <c r="AF15" i="67"/>
  <c r="AD30" i="72" s="1"/>
  <c r="AG15" i="67"/>
  <c r="AE30" i="72" s="1"/>
  <c r="AH15" i="67"/>
  <c r="AF30" i="72" s="1"/>
  <c r="AI15" i="67"/>
  <c r="AG30" i="72" s="1"/>
  <c r="K15" i="67"/>
  <c r="I30" i="72" s="1"/>
  <c r="AS13" i="73" l="1"/>
  <c r="AT13" i="73" s="1"/>
  <c r="AU13" i="73" s="1"/>
  <c r="AV13" i="73" s="1"/>
  <c r="AK11" i="73"/>
  <c r="AJ15" i="73"/>
  <c r="U747" i="18"/>
  <c r="U840" i="18"/>
  <c r="U809" i="18"/>
  <c r="U778" i="18"/>
  <c r="U716" i="18"/>
  <c r="U685" i="18"/>
  <c r="U654" i="18"/>
  <c r="U623" i="18"/>
  <c r="P805" i="18"/>
  <c r="P774" i="18"/>
  <c r="P681" i="18"/>
  <c r="P836" i="18"/>
  <c r="P743" i="18"/>
  <c r="P712" i="18"/>
  <c r="P650" i="18"/>
  <c r="P619" i="18"/>
  <c r="AE801" i="18"/>
  <c r="AE770" i="18"/>
  <c r="AE832" i="18"/>
  <c r="AE646" i="18"/>
  <c r="AE739" i="18"/>
  <c r="AE708" i="18"/>
  <c r="AE615" i="18"/>
  <c r="AE677" i="18"/>
  <c r="N840" i="18"/>
  <c r="N809" i="18"/>
  <c r="N778" i="18"/>
  <c r="N716" i="18"/>
  <c r="N747" i="18"/>
  <c r="N685" i="18"/>
  <c r="N623" i="18"/>
  <c r="N654" i="18"/>
  <c r="V840" i="18"/>
  <c r="V809" i="18"/>
  <c r="V778" i="18"/>
  <c r="V716" i="18"/>
  <c r="V747" i="18"/>
  <c r="V685" i="18"/>
  <c r="V623" i="18"/>
  <c r="V654" i="18"/>
  <c r="AD840" i="18"/>
  <c r="AD809" i="18"/>
  <c r="AD778" i="18"/>
  <c r="AD747" i="18"/>
  <c r="AD716" i="18"/>
  <c r="AD685" i="18"/>
  <c r="AD623" i="18"/>
  <c r="AD654" i="18"/>
  <c r="L748" i="18"/>
  <c r="L841" i="18"/>
  <c r="L810" i="18"/>
  <c r="L624" i="18"/>
  <c r="L717" i="18"/>
  <c r="L686" i="18"/>
  <c r="L779" i="18"/>
  <c r="L655" i="18"/>
  <c r="T748" i="18"/>
  <c r="T841" i="18"/>
  <c r="T810" i="18"/>
  <c r="T624" i="18"/>
  <c r="T717" i="18"/>
  <c r="T779" i="18"/>
  <c r="T686" i="18"/>
  <c r="T655" i="18"/>
  <c r="AB748" i="18"/>
  <c r="AB841" i="18"/>
  <c r="AB810" i="18"/>
  <c r="AB624" i="18"/>
  <c r="AB717" i="18"/>
  <c r="AB779" i="18"/>
  <c r="AB686" i="18"/>
  <c r="AB655" i="18"/>
  <c r="AA776" i="18"/>
  <c r="AA745" i="18"/>
  <c r="AA838" i="18"/>
  <c r="AA807" i="18"/>
  <c r="AA621" i="18"/>
  <c r="AA714" i="18"/>
  <c r="AA683" i="18"/>
  <c r="AA652" i="18"/>
  <c r="S776" i="18"/>
  <c r="S838" i="18"/>
  <c r="S807" i="18"/>
  <c r="S621" i="18"/>
  <c r="S745" i="18"/>
  <c r="S714" i="18"/>
  <c r="S683" i="18"/>
  <c r="S652" i="18"/>
  <c r="K776" i="18"/>
  <c r="K838" i="18"/>
  <c r="K807" i="18"/>
  <c r="K745" i="18"/>
  <c r="K621" i="18"/>
  <c r="K714" i="18"/>
  <c r="K683" i="18"/>
  <c r="K652" i="18"/>
  <c r="AC837" i="18"/>
  <c r="AC806" i="18"/>
  <c r="AC775" i="18"/>
  <c r="AC713" i="18"/>
  <c r="AC682" i="18"/>
  <c r="AC651" i="18"/>
  <c r="AC620" i="18"/>
  <c r="AC744" i="18"/>
  <c r="U837" i="18"/>
  <c r="U806" i="18"/>
  <c r="U775" i="18"/>
  <c r="U713" i="18"/>
  <c r="U682" i="18"/>
  <c r="U651" i="18"/>
  <c r="U744" i="18"/>
  <c r="U620" i="18"/>
  <c r="M837" i="18"/>
  <c r="M806" i="18"/>
  <c r="M775" i="18"/>
  <c r="M713" i="18"/>
  <c r="M682" i="18"/>
  <c r="M651" i="18"/>
  <c r="M744" i="18"/>
  <c r="M620" i="18"/>
  <c r="AE836" i="18"/>
  <c r="AE805" i="18"/>
  <c r="AE774" i="18"/>
  <c r="AE681" i="18"/>
  <c r="AE650" i="18"/>
  <c r="AE743" i="18"/>
  <c r="AE619" i="18"/>
  <c r="AE712" i="18"/>
  <c r="W836" i="18"/>
  <c r="W805" i="18"/>
  <c r="W774" i="18"/>
  <c r="W681" i="18"/>
  <c r="W650" i="18"/>
  <c r="W743" i="18"/>
  <c r="W619" i="18"/>
  <c r="W712" i="18"/>
  <c r="O836" i="18"/>
  <c r="O805" i="18"/>
  <c r="O774" i="18"/>
  <c r="O681" i="18"/>
  <c r="O650" i="18"/>
  <c r="O743" i="18"/>
  <c r="O712" i="18"/>
  <c r="O619" i="18"/>
  <c r="N839" i="18"/>
  <c r="N808" i="18"/>
  <c r="N777" i="18"/>
  <c r="N715" i="18"/>
  <c r="N684" i="18"/>
  <c r="N746" i="18"/>
  <c r="N622" i="18"/>
  <c r="N653" i="18"/>
  <c r="V839" i="18"/>
  <c r="V808" i="18"/>
  <c r="V777" i="18"/>
  <c r="V715" i="18"/>
  <c r="V684" i="18"/>
  <c r="V746" i="18"/>
  <c r="V653" i="18"/>
  <c r="V622" i="18"/>
  <c r="AD839" i="18"/>
  <c r="AD808" i="18"/>
  <c r="AD777" i="18"/>
  <c r="AD715" i="18"/>
  <c r="AD684" i="18"/>
  <c r="AD746" i="18"/>
  <c r="AD653" i="18"/>
  <c r="AD622" i="18"/>
  <c r="BF78" i="67"/>
  <c r="AC526" i="72"/>
  <c r="AD801" i="18"/>
  <c r="AD770" i="18"/>
  <c r="AD677" i="18"/>
  <c r="AD832" i="18"/>
  <c r="AD739" i="18"/>
  <c r="AD708" i="18"/>
  <c r="AD615" i="18"/>
  <c r="AD646" i="18"/>
  <c r="K779" i="18"/>
  <c r="K748" i="18"/>
  <c r="K841" i="18"/>
  <c r="K810" i="18"/>
  <c r="K624" i="18"/>
  <c r="K717" i="18"/>
  <c r="K686" i="18"/>
  <c r="K655" i="18"/>
  <c r="V837" i="18"/>
  <c r="V806" i="18"/>
  <c r="V775" i="18"/>
  <c r="V713" i="18"/>
  <c r="V682" i="18"/>
  <c r="V744" i="18"/>
  <c r="V620" i="18"/>
  <c r="V651" i="18"/>
  <c r="U746" i="18"/>
  <c r="U839" i="18"/>
  <c r="U808" i="18"/>
  <c r="U777" i="18"/>
  <c r="U715" i="18"/>
  <c r="U684" i="18"/>
  <c r="U653" i="18"/>
  <c r="U622" i="18"/>
  <c r="O840" i="18"/>
  <c r="O809" i="18"/>
  <c r="O778" i="18"/>
  <c r="O747" i="18"/>
  <c r="O685" i="18"/>
  <c r="O654" i="18"/>
  <c r="O716" i="18"/>
  <c r="O623" i="18"/>
  <c r="W840" i="18"/>
  <c r="W809" i="18"/>
  <c r="W778" i="18"/>
  <c r="W747" i="18"/>
  <c r="W685" i="18"/>
  <c r="W654" i="18"/>
  <c r="W716" i="18"/>
  <c r="W623" i="18"/>
  <c r="AE840" i="18"/>
  <c r="AE809" i="18"/>
  <c r="AE778" i="18"/>
  <c r="AE747" i="18"/>
  <c r="AE685" i="18"/>
  <c r="AE654" i="18"/>
  <c r="AE623" i="18"/>
  <c r="AE716" i="18"/>
  <c r="M748" i="18"/>
  <c r="M841" i="18"/>
  <c r="M810" i="18"/>
  <c r="M779" i="18"/>
  <c r="M717" i="18"/>
  <c r="M686" i="18"/>
  <c r="M655" i="18"/>
  <c r="M624" i="18"/>
  <c r="U748" i="18"/>
  <c r="U841" i="18"/>
  <c r="U810" i="18"/>
  <c r="U779" i="18"/>
  <c r="U717" i="18"/>
  <c r="U686" i="18"/>
  <c r="U655" i="18"/>
  <c r="U624" i="18"/>
  <c r="AC748" i="18"/>
  <c r="AC841" i="18"/>
  <c r="AC810" i="18"/>
  <c r="AC779" i="18"/>
  <c r="AC717" i="18"/>
  <c r="AC686" i="18"/>
  <c r="AC655" i="18"/>
  <c r="AC624" i="18"/>
  <c r="AH776" i="18"/>
  <c r="AH745" i="18"/>
  <c r="AH838" i="18"/>
  <c r="AH652" i="18"/>
  <c r="AH807" i="18"/>
  <c r="AH714" i="18"/>
  <c r="AH683" i="18"/>
  <c r="AH621" i="18"/>
  <c r="Z776" i="18"/>
  <c r="Z745" i="18"/>
  <c r="Z838" i="18"/>
  <c r="Z652" i="18"/>
  <c r="Z807" i="18"/>
  <c r="Z714" i="18"/>
  <c r="Z683" i="18"/>
  <c r="Z621" i="18"/>
  <c r="R776" i="18"/>
  <c r="R838" i="18"/>
  <c r="R652" i="18"/>
  <c r="R745" i="18"/>
  <c r="R714" i="18"/>
  <c r="R807" i="18"/>
  <c r="R683" i="18"/>
  <c r="R621" i="18"/>
  <c r="AB837" i="18"/>
  <c r="AB806" i="18"/>
  <c r="AB744" i="18"/>
  <c r="AB620" i="18"/>
  <c r="AB713" i="18"/>
  <c r="AB682" i="18"/>
  <c r="AB651" i="18"/>
  <c r="AB775" i="18"/>
  <c r="T837" i="18"/>
  <c r="T806" i="18"/>
  <c r="T775" i="18"/>
  <c r="T744" i="18"/>
  <c r="T620" i="18"/>
  <c r="T713" i="18"/>
  <c r="T682" i="18"/>
  <c r="T651" i="18"/>
  <c r="L837" i="18"/>
  <c r="L806" i="18"/>
  <c r="L744" i="18"/>
  <c r="L620" i="18"/>
  <c r="L775" i="18"/>
  <c r="L713" i="18"/>
  <c r="L682" i="18"/>
  <c r="L651" i="18"/>
  <c r="AD836" i="18"/>
  <c r="AD805" i="18"/>
  <c r="AD774" i="18"/>
  <c r="AD712" i="18"/>
  <c r="AD681" i="18"/>
  <c r="AD743" i="18"/>
  <c r="AD650" i="18"/>
  <c r="AD619" i="18"/>
  <c r="V836" i="18"/>
  <c r="V805" i="18"/>
  <c r="V774" i="18"/>
  <c r="V712" i="18"/>
  <c r="V681" i="18"/>
  <c r="V743" i="18"/>
  <c r="V619" i="18"/>
  <c r="V650" i="18"/>
  <c r="N836" i="18"/>
  <c r="N805" i="18"/>
  <c r="N774" i="18"/>
  <c r="N712" i="18"/>
  <c r="N681" i="18"/>
  <c r="N743" i="18"/>
  <c r="N650" i="18"/>
  <c r="N619" i="18"/>
  <c r="O839" i="18"/>
  <c r="O808" i="18"/>
  <c r="O777" i="18"/>
  <c r="O746" i="18"/>
  <c r="O684" i="18"/>
  <c r="O653" i="18"/>
  <c r="O715" i="18"/>
  <c r="O622" i="18"/>
  <c r="W839" i="18"/>
  <c r="W808" i="18"/>
  <c r="W777" i="18"/>
  <c r="W746" i="18"/>
  <c r="W684" i="18"/>
  <c r="W653" i="18"/>
  <c r="W622" i="18"/>
  <c r="W715" i="18"/>
  <c r="AE839" i="18"/>
  <c r="AE808" i="18"/>
  <c r="AE777" i="18"/>
  <c r="AE746" i="18"/>
  <c r="AE684" i="18"/>
  <c r="AE653" i="18"/>
  <c r="AE715" i="18"/>
  <c r="AE622" i="18"/>
  <c r="T745" i="18"/>
  <c r="T838" i="18"/>
  <c r="T807" i="18"/>
  <c r="T621" i="18"/>
  <c r="T714" i="18"/>
  <c r="T683" i="18"/>
  <c r="T776" i="18"/>
  <c r="T652" i="18"/>
  <c r="P809" i="18"/>
  <c r="P778" i="18"/>
  <c r="P747" i="18"/>
  <c r="P685" i="18"/>
  <c r="P654" i="18"/>
  <c r="P716" i="18"/>
  <c r="P623" i="18"/>
  <c r="P840" i="18"/>
  <c r="X809" i="18"/>
  <c r="X778" i="18"/>
  <c r="X747" i="18"/>
  <c r="X685" i="18"/>
  <c r="X654" i="18"/>
  <c r="X840" i="18"/>
  <c r="X716" i="18"/>
  <c r="X623" i="18"/>
  <c r="AF809" i="18"/>
  <c r="AF778" i="18"/>
  <c r="AF747" i="18"/>
  <c r="AF685" i="18"/>
  <c r="AF654" i="18"/>
  <c r="AF840" i="18"/>
  <c r="AF716" i="18"/>
  <c r="AF623" i="18"/>
  <c r="N841" i="18"/>
  <c r="N810" i="18"/>
  <c r="N779" i="18"/>
  <c r="N717" i="18"/>
  <c r="N686" i="18"/>
  <c r="N624" i="18"/>
  <c r="N748" i="18"/>
  <c r="N655" i="18"/>
  <c r="V841" i="18"/>
  <c r="V810" i="18"/>
  <c r="V779" i="18"/>
  <c r="V717" i="18"/>
  <c r="V686" i="18"/>
  <c r="V748" i="18"/>
  <c r="V624" i="18"/>
  <c r="V655" i="18"/>
  <c r="AD841" i="18"/>
  <c r="AD810" i="18"/>
  <c r="AD779" i="18"/>
  <c r="AD717" i="18"/>
  <c r="AD686" i="18"/>
  <c r="AD748" i="18"/>
  <c r="AD624" i="18"/>
  <c r="AD655" i="18"/>
  <c r="AG807" i="18"/>
  <c r="AG776" i="18"/>
  <c r="AG745" i="18"/>
  <c r="AG838" i="18"/>
  <c r="AG652" i="18"/>
  <c r="AG621" i="18"/>
  <c r="AG714" i="18"/>
  <c r="AG683" i="18"/>
  <c r="Y807" i="18"/>
  <c r="Y776" i="18"/>
  <c r="Y745" i="18"/>
  <c r="Y838" i="18"/>
  <c r="Y652" i="18"/>
  <c r="Y621" i="18"/>
  <c r="Y714" i="18"/>
  <c r="Y683" i="18"/>
  <c r="Q807" i="18"/>
  <c r="Q776" i="18"/>
  <c r="Q838" i="18"/>
  <c r="Q652" i="18"/>
  <c r="Q621" i="18"/>
  <c r="Q745" i="18"/>
  <c r="Q714" i="18"/>
  <c r="Q683" i="18"/>
  <c r="AA775" i="18"/>
  <c r="AA837" i="18"/>
  <c r="AA806" i="18"/>
  <c r="AA744" i="18"/>
  <c r="AA620" i="18"/>
  <c r="AA713" i="18"/>
  <c r="AA682" i="18"/>
  <c r="AA651" i="18"/>
  <c r="S775" i="18"/>
  <c r="S837" i="18"/>
  <c r="S806" i="18"/>
  <c r="S744" i="18"/>
  <c r="S620" i="18"/>
  <c r="S713" i="18"/>
  <c r="S682" i="18"/>
  <c r="S651" i="18"/>
  <c r="K775" i="18"/>
  <c r="K837" i="18"/>
  <c r="K806" i="18"/>
  <c r="K744" i="18"/>
  <c r="K620" i="18"/>
  <c r="K713" i="18"/>
  <c r="K682" i="18"/>
  <c r="K651" i="18"/>
  <c r="AC836" i="18"/>
  <c r="AC805" i="18"/>
  <c r="AC774" i="18"/>
  <c r="AC712" i="18"/>
  <c r="AC681" i="18"/>
  <c r="AC650" i="18"/>
  <c r="AC619" i="18"/>
  <c r="AC743" i="18"/>
  <c r="U836" i="18"/>
  <c r="U805" i="18"/>
  <c r="U774" i="18"/>
  <c r="U712" i="18"/>
  <c r="U681" i="18"/>
  <c r="U619" i="18"/>
  <c r="U743" i="18"/>
  <c r="U650" i="18"/>
  <c r="M836" i="18"/>
  <c r="M805" i="18"/>
  <c r="M774" i="18"/>
  <c r="M712" i="18"/>
  <c r="M681" i="18"/>
  <c r="M619" i="18"/>
  <c r="M743" i="18"/>
  <c r="M650" i="18"/>
  <c r="P808" i="18"/>
  <c r="P777" i="18"/>
  <c r="P746" i="18"/>
  <c r="P684" i="18"/>
  <c r="P839" i="18"/>
  <c r="P653" i="18"/>
  <c r="P715" i="18"/>
  <c r="P622" i="18"/>
  <c r="X808" i="18"/>
  <c r="X777" i="18"/>
  <c r="X746" i="18"/>
  <c r="X684" i="18"/>
  <c r="X839" i="18"/>
  <c r="X653" i="18"/>
  <c r="X715" i="18"/>
  <c r="X622" i="18"/>
  <c r="AF808" i="18"/>
  <c r="AF777" i="18"/>
  <c r="AF746" i="18"/>
  <c r="AF839" i="18"/>
  <c r="AF684" i="18"/>
  <c r="AF653" i="18"/>
  <c r="AF715" i="18"/>
  <c r="AF622" i="18"/>
  <c r="K51" i="48"/>
  <c r="AG525" i="72"/>
  <c r="M747" i="18"/>
  <c r="M840" i="18"/>
  <c r="M809" i="18"/>
  <c r="M778" i="18"/>
  <c r="M716" i="18"/>
  <c r="M685" i="18"/>
  <c r="M654" i="18"/>
  <c r="M623" i="18"/>
  <c r="L745" i="18"/>
  <c r="L838" i="18"/>
  <c r="L807" i="18"/>
  <c r="L621" i="18"/>
  <c r="L714" i="18"/>
  <c r="L683" i="18"/>
  <c r="L776" i="18"/>
  <c r="L652" i="18"/>
  <c r="Q809" i="18"/>
  <c r="Q778" i="18"/>
  <c r="Q747" i="18"/>
  <c r="Q840" i="18"/>
  <c r="Q654" i="18"/>
  <c r="Q623" i="18"/>
  <c r="Q716" i="18"/>
  <c r="Q685" i="18"/>
  <c r="Y809" i="18"/>
  <c r="Y778" i="18"/>
  <c r="Y747" i="18"/>
  <c r="Y840" i="18"/>
  <c r="Y654" i="18"/>
  <c r="Y623" i="18"/>
  <c r="Y716" i="18"/>
  <c r="Y685" i="18"/>
  <c r="AG809" i="18"/>
  <c r="AG778" i="18"/>
  <c r="AG747" i="18"/>
  <c r="AG840" i="18"/>
  <c r="AG654" i="18"/>
  <c r="AG623" i="18"/>
  <c r="AG716" i="18"/>
  <c r="AG685" i="18"/>
  <c r="O841" i="18"/>
  <c r="O810" i="18"/>
  <c r="O779" i="18"/>
  <c r="O748" i="18"/>
  <c r="O686" i="18"/>
  <c r="O655" i="18"/>
  <c r="O624" i="18"/>
  <c r="O717" i="18"/>
  <c r="W841" i="18"/>
  <c r="W810" i="18"/>
  <c r="W779" i="18"/>
  <c r="W748" i="18"/>
  <c r="W686" i="18"/>
  <c r="W655" i="18"/>
  <c r="W624" i="18"/>
  <c r="W717" i="18"/>
  <c r="AE841" i="18"/>
  <c r="AE810" i="18"/>
  <c r="AE779" i="18"/>
  <c r="AE748" i="18"/>
  <c r="AE686" i="18"/>
  <c r="AE655" i="18"/>
  <c r="AE717" i="18"/>
  <c r="AE624" i="18"/>
  <c r="AF807" i="18"/>
  <c r="AF776" i="18"/>
  <c r="AF745" i="18"/>
  <c r="AF683" i="18"/>
  <c r="AF652" i="18"/>
  <c r="AF838" i="18"/>
  <c r="AF714" i="18"/>
  <c r="AF621" i="18"/>
  <c r="X807" i="18"/>
  <c r="X776" i="18"/>
  <c r="X683" i="18"/>
  <c r="X652" i="18"/>
  <c r="X838" i="18"/>
  <c r="X714" i="18"/>
  <c r="X621" i="18"/>
  <c r="X745" i="18"/>
  <c r="P807" i="18"/>
  <c r="P776" i="18"/>
  <c r="P683" i="18"/>
  <c r="P652" i="18"/>
  <c r="P838" i="18"/>
  <c r="P745" i="18"/>
  <c r="P714" i="18"/>
  <c r="P621" i="18"/>
  <c r="AH775" i="18"/>
  <c r="AH837" i="18"/>
  <c r="AH651" i="18"/>
  <c r="AH744" i="18"/>
  <c r="AH713" i="18"/>
  <c r="AH806" i="18"/>
  <c r="AH682" i="18"/>
  <c r="AH620" i="18"/>
  <c r="Z775" i="18"/>
  <c r="Z837" i="18"/>
  <c r="Z651" i="18"/>
  <c r="Z744" i="18"/>
  <c r="Z713" i="18"/>
  <c r="Z682" i="18"/>
  <c r="Z806" i="18"/>
  <c r="Z620" i="18"/>
  <c r="R775" i="18"/>
  <c r="R837" i="18"/>
  <c r="R806" i="18"/>
  <c r="R651" i="18"/>
  <c r="R744" i="18"/>
  <c r="R713" i="18"/>
  <c r="R682" i="18"/>
  <c r="R620" i="18"/>
  <c r="AB836" i="18"/>
  <c r="AB805" i="18"/>
  <c r="AB743" i="18"/>
  <c r="AB619" i="18"/>
  <c r="AB774" i="18"/>
  <c r="AB712" i="18"/>
  <c r="AB681" i="18"/>
  <c r="AB650" i="18"/>
  <c r="T836" i="18"/>
  <c r="T805" i="18"/>
  <c r="T743" i="18"/>
  <c r="T619" i="18"/>
  <c r="T712" i="18"/>
  <c r="T774" i="18"/>
  <c r="T681" i="18"/>
  <c r="T650" i="18"/>
  <c r="L836" i="18"/>
  <c r="L805" i="18"/>
  <c r="L743" i="18"/>
  <c r="L619" i="18"/>
  <c r="L712" i="18"/>
  <c r="L774" i="18"/>
  <c r="L681" i="18"/>
  <c r="L650" i="18"/>
  <c r="Q808" i="18"/>
  <c r="Q777" i="18"/>
  <c r="Q746" i="18"/>
  <c r="Q839" i="18"/>
  <c r="Q653" i="18"/>
  <c r="Q622" i="18"/>
  <c r="Q715" i="18"/>
  <c r="Q684" i="18"/>
  <c r="Y808" i="18"/>
  <c r="Y777" i="18"/>
  <c r="Y746" i="18"/>
  <c r="Y839" i="18"/>
  <c r="Y653" i="18"/>
  <c r="Y622" i="18"/>
  <c r="Y715" i="18"/>
  <c r="Y684" i="18"/>
  <c r="AG808" i="18"/>
  <c r="AG777" i="18"/>
  <c r="AG746" i="18"/>
  <c r="AG839" i="18"/>
  <c r="AG653" i="18"/>
  <c r="AG622" i="18"/>
  <c r="AG715" i="18"/>
  <c r="AG684" i="18"/>
  <c r="S779" i="18"/>
  <c r="S748" i="18"/>
  <c r="S841" i="18"/>
  <c r="S810" i="18"/>
  <c r="S624" i="18"/>
  <c r="S717" i="18"/>
  <c r="S686" i="18"/>
  <c r="S655" i="18"/>
  <c r="N837" i="18"/>
  <c r="N806" i="18"/>
  <c r="N775" i="18"/>
  <c r="N713" i="18"/>
  <c r="N682" i="18"/>
  <c r="N744" i="18"/>
  <c r="N651" i="18"/>
  <c r="N620" i="18"/>
  <c r="M746" i="18"/>
  <c r="M839" i="18"/>
  <c r="M808" i="18"/>
  <c r="M777" i="18"/>
  <c r="M715" i="18"/>
  <c r="M684" i="18"/>
  <c r="M653" i="18"/>
  <c r="M622" i="18"/>
  <c r="R778" i="18"/>
  <c r="R747" i="18"/>
  <c r="R840" i="18"/>
  <c r="R654" i="18"/>
  <c r="R716" i="18"/>
  <c r="R685" i="18"/>
  <c r="R809" i="18"/>
  <c r="R623" i="18"/>
  <c r="Z778" i="18"/>
  <c r="Z747" i="18"/>
  <c r="Z840" i="18"/>
  <c r="Z654" i="18"/>
  <c r="Z716" i="18"/>
  <c r="Z809" i="18"/>
  <c r="Z685" i="18"/>
  <c r="Z623" i="18"/>
  <c r="AH778" i="18"/>
  <c r="AH747" i="18"/>
  <c r="AH840" i="18"/>
  <c r="AH654" i="18"/>
  <c r="AH716" i="18"/>
  <c r="AH809" i="18"/>
  <c r="AH685" i="18"/>
  <c r="AH623" i="18"/>
  <c r="P810" i="18"/>
  <c r="P779" i="18"/>
  <c r="P748" i="18"/>
  <c r="P686" i="18"/>
  <c r="P655" i="18"/>
  <c r="P841" i="18"/>
  <c r="P717" i="18"/>
  <c r="P624" i="18"/>
  <c r="X810" i="18"/>
  <c r="X779" i="18"/>
  <c r="X748" i="18"/>
  <c r="X686" i="18"/>
  <c r="X655" i="18"/>
  <c r="X841" i="18"/>
  <c r="X717" i="18"/>
  <c r="X624" i="18"/>
  <c r="AF810" i="18"/>
  <c r="AF779" i="18"/>
  <c r="AF748" i="18"/>
  <c r="AF686" i="18"/>
  <c r="AF841" i="18"/>
  <c r="AF655" i="18"/>
  <c r="AF717" i="18"/>
  <c r="AF624" i="18"/>
  <c r="AE838" i="18"/>
  <c r="AE807" i="18"/>
  <c r="AE776" i="18"/>
  <c r="AE745" i="18"/>
  <c r="AE683" i="18"/>
  <c r="AE652" i="18"/>
  <c r="AE621" i="18"/>
  <c r="AE714" i="18"/>
  <c r="W838" i="18"/>
  <c r="W807" i="18"/>
  <c r="W776" i="18"/>
  <c r="W745" i="18"/>
  <c r="W683" i="18"/>
  <c r="W652" i="18"/>
  <c r="W621" i="18"/>
  <c r="W714" i="18"/>
  <c r="O838" i="18"/>
  <c r="O807" i="18"/>
  <c r="O776" i="18"/>
  <c r="O683" i="18"/>
  <c r="O652" i="18"/>
  <c r="O745" i="18"/>
  <c r="O621" i="18"/>
  <c r="O714" i="18"/>
  <c r="AG806" i="18"/>
  <c r="AG775" i="18"/>
  <c r="AG837" i="18"/>
  <c r="AG651" i="18"/>
  <c r="AG744" i="18"/>
  <c r="AG620" i="18"/>
  <c r="AG713" i="18"/>
  <c r="AG682" i="18"/>
  <c r="Y806" i="18"/>
  <c r="Y775" i="18"/>
  <c r="Y837" i="18"/>
  <c r="Y651" i="18"/>
  <c r="Y744" i="18"/>
  <c r="Y620" i="18"/>
  <c r="Y713" i="18"/>
  <c r="Y682" i="18"/>
  <c r="Q806" i="18"/>
  <c r="Q775" i="18"/>
  <c r="Q837" i="18"/>
  <c r="Q651" i="18"/>
  <c r="Q744" i="18"/>
  <c r="Q620" i="18"/>
  <c r="Q713" i="18"/>
  <c r="Q682" i="18"/>
  <c r="AA774" i="18"/>
  <c r="AA836" i="18"/>
  <c r="AA805" i="18"/>
  <c r="AA743" i="18"/>
  <c r="AA712" i="18"/>
  <c r="AA681" i="18"/>
  <c r="AA650" i="18"/>
  <c r="AA619" i="18"/>
  <c r="S774" i="18"/>
  <c r="S836" i="18"/>
  <c r="S805" i="18"/>
  <c r="S743" i="18"/>
  <c r="S712" i="18"/>
  <c r="S681" i="18"/>
  <c r="S650" i="18"/>
  <c r="S619" i="18"/>
  <c r="K774" i="18"/>
  <c r="K836" i="18"/>
  <c r="K805" i="18"/>
  <c r="K743" i="18"/>
  <c r="K712" i="18"/>
  <c r="K681" i="18"/>
  <c r="K650" i="18"/>
  <c r="K619" i="18"/>
  <c r="R777" i="18"/>
  <c r="R746" i="18"/>
  <c r="R839" i="18"/>
  <c r="R653" i="18"/>
  <c r="R808" i="18"/>
  <c r="R715" i="18"/>
  <c r="R684" i="18"/>
  <c r="R622" i="18"/>
  <c r="Z777" i="18"/>
  <c r="Z746" i="18"/>
  <c r="Z839" i="18"/>
  <c r="Z653" i="18"/>
  <c r="Z808" i="18"/>
  <c r="Z715" i="18"/>
  <c r="Z684" i="18"/>
  <c r="Z622" i="18"/>
  <c r="AH777" i="18"/>
  <c r="AH746" i="18"/>
  <c r="AH839" i="18"/>
  <c r="AH808" i="18"/>
  <c r="AH653" i="18"/>
  <c r="AH715" i="18"/>
  <c r="AH684" i="18"/>
  <c r="AH622" i="18"/>
  <c r="K52" i="48"/>
  <c r="AG526" i="72"/>
  <c r="AZ77" i="67"/>
  <c r="W525" i="72"/>
  <c r="AA779" i="18"/>
  <c r="AA748" i="18"/>
  <c r="AA841" i="18"/>
  <c r="AA810" i="18"/>
  <c r="AA624" i="18"/>
  <c r="AA717" i="18"/>
  <c r="AA686" i="18"/>
  <c r="AA655" i="18"/>
  <c r="AD837" i="18"/>
  <c r="AD806" i="18"/>
  <c r="AD775" i="18"/>
  <c r="AD713" i="18"/>
  <c r="AD682" i="18"/>
  <c r="AD744" i="18"/>
  <c r="AD651" i="18"/>
  <c r="AD620" i="18"/>
  <c r="X805" i="18"/>
  <c r="X774" i="18"/>
  <c r="X681" i="18"/>
  <c r="X836" i="18"/>
  <c r="X743" i="18"/>
  <c r="X712" i="18"/>
  <c r="X650" i="18"/>
  <c r="X619" i="18"/>
  <c r="AA833" i="18"/>
  <c r="AA802" i="18"/>
  <c r="AA771" i="18"/>
  <c r="AA678" i="18"/>
  <c r="AA647" i="18"/>
  <c r="AA740" i="18"/>
  <c r="AA709" i="18"/>
  <c r="AA616" i="18"/>
  <c r="K778" i="18"/>
  <c r="K747" i="18"/>
  <c r="K840" i="18"/>
  <c r="K809" i="18"/>
  <c r="K623" i="18"/>
  <c r="K716" i="18"/>
  <c r="K685" i="18"/>
  <c r="K654" i="18"/>
  <c r="S778" i="18"/>
  <c r="S747" i="18"/>
  <c r="S840" i="18"/>
  <c r="S809" i="18"/>
  <c r="S623" i="18"/>
  <c r="S716" i="18"/>
  <c r="S685" i="18"/>
  <c r="S654" i="18"/>
  <c r="AA778" i="18"/>
  <c r="AA747" i="18"/>
  <c r="AA840" i="18"/>
  <c r="AA809" i="18"/>
  <c r="AA623" i="18"/>
  <c r="AA716" i="18"/>
  <c r="AA685" i="18"/>
  <c r="AA654" i="18"/>
  <c r="Q810" i="18"/>
  <c r="Q779" i="18"/>
  <c r="Q748" i="18"/>
  <c r="Q841" i="18"/>
  <c r="Q655" i="18"/>
  <c r="Q624" i="18"/>
  <c r="Q717" i="18"/>
  <c r="Q686" i="18"/>
  <c r="Y810" i="18"/>
  <c r="Y779" i="18"/>
  <c r="Y748" i="18"/>
  <c r="Y841" i="18"/>
  <c r="Y655" i="18"/>
  <c r="Y624" i="18"/>
  <c r="Y717" i="18"/>
  <c r="Y686" i="18"/>
  <c r="AG810" i="18"/>
  <c r="AG779" i="18"/>
  <c r="AG748" i="18"/>
  <c r="AG841" i="18"/>
  <c r="AG655" i="18"/>
  <c r="AG624" i="18"/>
  <c r="AG717" i="18"/>
  <c r="AG686" i="18"/>
  <c r="AD838" i="18"/>
  <c r="AD807" i="18"/>
  <c r="AD776" i="18"/>
  <c r="AD714" i="18"/>
  <c r="AD683" i="18"/>
  <c r="AD745" i="18"/>
  <c r="AD652" i="18"/>
  <c r="AD621" i="18"/>
  <c r="V838" i="18"/>
  <c r="V807" i="18"/>
  <c r="V776" i="18"/>
  <c r="V714" i="18"/>
  <c r="V745" i="18"/>
  <c r="V683" i="18"/>
  <c r="V621" i="18"/>
  <c r="V652" i="18"/>
  <c r="N838" i="18"/>
  <c r="N807" i="18"/>
  <c r="N776" i="18"/>
  <c r="N714" i="18"/>
  <c r="N683" i="18"/>
  <c r="N652" i="18"/>
  <c r="N621" i="18"/>
  <c r="N745" i="18"/>
  <c r="AF806" i="18"/>
  <c r="AF775" i="18"/>
  <c r="AF682" i="18"/>
  <c r="AF651" i="18"/>
  <c r="AF744" i="18"/>
  <c r="AF837" i="18"/>
  <c r="AF713" i="18"/>
  <c r="AF620" i="18"/>
  <c r="X806" i="18"/>
  <c r="X775" i="18"/>
  <c r="X682" i="18"/>
  <c r="X744" i="18"/>
  <c r="X713" i="18"/>
  <c r="X651" i="18"/>
  <c r="X837" i="18"/>
  <c r="X620" i="18"/>
  <c r="P806" i="18"/>
  <c r="P775" i="18"/>
  <c r="P837" i="18"/>
  <c r="P682" i="18"/>
  <c r="P744" i="18"/>
  <c r="P713" i="18"/>
  <c r="P620" i="18"/>
  <c r="P651" i="18"/>
  <c r="AH774" i="18"/>
  <c r="AH836" i="18"/>
  <c r="AH650" i="18"/>
  <c r="AH805" i="18"/>
  <c r="AH743" i="18"/>
  <c r="AH712" i="18"/>
  <c r="AH681" i="18"/>
  <c r="AH619" i="18"/>
  <c r="Z774" i="18"/>
  <c r="Z836" i="18"/>
  <c r="Z650" i="18"/>
  <c r="Z805" i="18"/>
  <c r="Z743" i="18"/>
  <c r="Z712" i="18"/>
  <c r="Z681" i="18"/>
  <c r="Z619" i="18"/>
  <c r="R774" i="18"/>
  <c r="R836" i="18"/>
  <c r="R650" i="18"/>
  <c r="R743" i="18"/>
  <c r="R805" i="18"/>
  <c r="R712" i="18"/>
  <c r="R681" i="18"/>
  <c r="R619" i="18"/>
  <c r="K777" i="18"/>
  <c r="K746" i="18"/>
  <c r="K839" i="18"/>
  <c r="K808" i="18"/>
  <c r="K622" i="18"/>
  <c r="K715" i="18"/>
  <c r="K684" i="18"/>
  <c r="K653" i="18"/>
  <c r="S777" i="18"/>
  <c r="S746" i="18"/>
  <c r="S839" i="18"/>
  <c r="S808" i="18"/>
  <c r="S622" i="18"/>
  <c r="S715" i="18"/>
  <c r="S684" i="18"/>
  <c r="S653" i="18"/>
  <c r="AA777" i="18"/>
  <c r="AA746" i="18"/>
  <c r="AA839" i="18"/>
  <c r="AA808" i="18"/>
  <c r="AA622" i="18"/>
  <c r="AA715" i="18"/>
  <c r="AA684" i="18"/>
  <c r="AA653" i="18"/>
  <c r="BI78" i="67"/>
  <c r="AF526" i="72"/>
  <c r="BA78" i="67"/>
  <c r="X526" i="72"/>
  <c r="AC747" i="18"/>
  <c r="AC840" i="18"/>
  <c r="AC809" i="18"/>
  <c r="AC778" i="18"/>
  <c r="AC716" i="18"/>
  <c r="AC685" i="18"/>
  <c r="AC654" i="18"/>
  <c r="AC623" i="18"/>
  <c r="AB745" i="18"/>
  <c r="AB838" i="18"/>
  <c r="AB807" i="18"/>
  <c r="AB621" i="18"/>
  <c r="AB714" i="18"/>
  <c r="AB776" i="18"/>
  <c r="AB683" i="18"/>
  <c r="AB652" i="18"/>
  <c r="AF805" i="18"/>
  <c r="AF774" i="18"/>
  <c r="AF681" i="18"/>
  <c r="AF836" i="18"/>
  <c r="AF743" i="18"/>
  <c r="AF712" i="18"/>
  <c r="AF619" i="18"/>
  <c r="AF650" i="18"/>
  <c r="AC746" i="18"/>
  <c r="AC839" i="18"/>
  <c r="AC808" i="18"/>
  <c r="AC777" i="18"/>
  <c r="AC715" i="18"/>
  <c r="AC684" i="18"/>
  <c r="AC653" i="18"/>
  <c r="AC622" i="18"/>
  <c r="BE77" i="67"/>
  <c r="AB525" i="72"/>
  <c r="L747" i="18"/>
  <c r="L840" i="18"/>
  <c r="L809" i="18"/>
  <c r="L778" i="18"/>
  <c r="L623" i="18"/>
  <c r="L716" i="18"/>
  <c r="L685" i="18"/>
  <c r="L654" i="18"/>
  <c r="T747" i="18"/>
  <c r="T840" i="18"/>
  <c r="T809" i="18"/>
  <c r="T623" i="18"/>
  <c r="T716" i="18"/>
  <c r="T685" i="18"/>
  <c r="T654" i="18"/>
  <c r="T778" i="18"/>
  <c r="AB747" i="18"/>
  <c r="AB840" i="18"/>
  <c r="AB809" i="18"/>
  <c r="AB623" i="18"/>
  <c r="AB716" i="18"/>
  <c r="AB685" i="18"/>
  <c r="AB778" i="18"/>
  <c r="AB654" i="18"/>
  <c r="R779" i="18"/>
  <c r="R748" i="18"/>
  <c r="R841" i="18"/>
  <c r="R655" i="18"/>
  <c r="R810" i="18"/>
  <c r="R717" i="18"/>
  <c r="R686" i="18"/>
  <c r="R624" i="18"/>
  <c r="Z779" i="18"/>
  <c r="Z748" i="18"/>
  <c r="Z841" i="18"/>
  <c r="Z655" i="18"/>
  <c r="Z810" i="18"/>
  <c r="Z717" i="18"/>
  <c r="Z686" i="18"/>
  <c r="Z624" i="18"/>
  <c r="AH779" i="18"/>
  <c r="AH748" i="18"/>
  <c r="AH841" i="18"/>
  <c r="AH655" i="18"/>
  <c r="AH810" i="18"/>
  <c r="AH717" i="18"/>
  <c r="AH686" i="18"/>
  <c r="AH624" i="18"/>
  <c r="AC745" i="18"/>
  <c r="AC838" i="18"/>
  <c r="AC807" i="18"/>
  <c r="AC776" i="18"/>
  <c r="AC714" i="18"/>
  <c r="AC683" i="18"/>
  <c r="AC652" i="18"/>
  <c r="AC621" i="18"/>
  <c r="U745" i="18"/>
  <c r="U838" i="18"/>
  <c r="U807" i="18"/>
  <c r="U776" i="18"/>
  <c r="U714" i="18"/>
  <c r="U683" i="18"/>
  <c r="U652" i="18"/>
  <c r="U621" i="18"/>
  <c r="M838" i="18"/>
  <c r="M807" i="18"/>
  <c r="M776" i="18"/>
  <c r="M745" i="18"/>
  <c r="M714" i="18"/>
  <c r="M683" i="18"/>
  <c r="M652" i="18"/>
  <c r="M621" i="18"/>
  <c r="AE837" i="18"/>
  <c r="AE806" i="18"/>
  <c r="AE775" i="18"/>
  <c r="AE682" i="18"/>
  <c r="AE651" i="18"/>
  <c r="AE744" i="18"/>
  <c r="AE713" i="18"/>
  <c r="AE620" i="18"/>
  <c r="W837" i="18"/>
  <c r="W806" i="18"/>
  <c r="W775" i="18"/>
  <c r="W682" i="18"/>
  <c r="W651" i="18"/>
  <c r="W744" i="18"/>
  <c r="W620" i="18"/>
  <c r="W713" i="18"/>
  <c r="O837" i="18"/>
  <c r="O806" i="18"/>
  <c r="O775" i="18"/>
  <c r="O682" i="18"/>
  <c r="O651" i="18"/>
  <c r="O744" i="18"/>
  <c r="O713" i="18"/>
  <c r="O620" i="18"/>
  <c r="AG805" i="18"/>
  <c r="AG774" i="18"/>
  <c r="AG836" i="18"/>
  <c r="AG650" i="18"/>
  <c r="AG743" i="18"/>
  <c r="AG619" i="18"/>
  <c r="AG712" i="18"/>
  <c r="AG681" i="18"/>
  <c r="Y805" i="18"/>
  <c r="Y774" i="18"/>
  <c r="Y836" i="18"/>
  <c r="Y650" i="18"/>
  <c r="Y743" i="18"/>
  <c r="Y619" i="18"/>
  <c r="Y712" i="18"/>
  <c r="Y681" i="18"/>
  <c r="Q805" i="18"/>
  <c r="Q774" i="18"/>
  <c r="Q836" i="18"/>
  <c r="Q650" i="18"/>
  <c r="Q743" i="18"/>
  <c r="Q619" i="18"/>
  <c r="Q712" i="18"/>
  <c r="Q681" i="18"/>
  <c r="L746" i="18"/>
  <c r="L839" i="18"/>
  <c r="L808" i="18"/>
  <c r="L622" i="18"/>
  <c r="L715" i="18"/>
  <c r="L777" i="18"/>
  <c r="L684" i="18"/>
  <c r="L653" i="18"/>
  <c r="T746" i="18"/>
  <c r="T839" i="18"/>
  <c r="T808" i="18"/>
  <c r="T622" i="18"/>
  <c r="T777" i="18"/>
  <c r="T715" i="18"/>
  <c r="T684" i="18"/>
  <c r="T653" i="18"/>
  <c r="AB746" i="18"/>
  <c r="AB839" i="18"/>
  <c r="AB808" i="18"/>
  <c r="AB622" i="18"/>
  <c r="AB777" i="18"/>
  <c r="AB715" i="18"/>
  <c r="AB684" i="18"/>
  <c r="AB653" i="18"/>
  <c r="BH78" i="67"/>
  <c r="AE526" i="72"/>
  <c r="J810" i="18"/>
  <c r="J717" i="18"/>
  <c r="J624" i="18"/>
  <c r="J779" i="18"/>
  <c r="J686" i="18"/>
  <c r="J841" i="18"/>
  <c r="J748" i="18"/>
  <c r="J655" i="18"/>
  <c r="J809" i="18"/>
  <c r="J747" i="18"/>
  <c r="J685" i="18"/>
  <c r="J623" i="18"/>
  <c r="J778" i="18"/>
  <c r="J654" i="18"/>
  <c r="J840" i="18"/>
  <c r="J716" i="18"/>
  <c r="J684" i="18"/>
  <c r="J777" i="18"/>
  <c r="J622" i="18"/>
  <c r="J808" i="18"/>
  <c r="J715" i="18"/>
  <c r="J653" i="18"/>
  <c r="J839" i="18"/>
  <c r="J746" i="18"/>
  <c r="J838" i="18"/>
  <c r="J714" i="18"/>
  <c r="J683" i="18"/>
  <c r="J807" i="18"/>
  <c r="J745" i="18"/>
  <c r="J621" i="18"/>
  <c r="J776" i="18"/>
  <c r="J652" i="18"/>
  <c r="J806" i="18"/>
  <c r="J837" i="18"/>
  <c r="J744" i="18"/>
  <c r="J620" i="18"/>
  <c r="J651" i="18"/>
  <c r="J682" i="18"/>
  <c r="J713" i="18"/>
  <c r="J775" i="18"/>
  <c r="J650" i="18"/>
  <c r="J836" i="18"/>
  <c r="J805" i="18"/>
  <c r="J774" i="18"/>
  <c r="J743" i="18"/>
  <c r="J712" i="18"/>
  <c r="J681" i="18"/>
  <c r="J619" i="18"/>
  <c r="M831" i="18"/>
  <c r="M707" i="18"/>
  <c r="M800" i="18"/>
  <c r="M676" i="18"/>
  <c r="M738" i="18"/>
  <c r="M614" i="18"/>
  <c r="M769" i="18"/>
  <c r="M645" i="18"/>
  <c r="O768" i="18"/>
  <c r="O644" i="18"/>
  <c r="O799" i="18"/>
  <c r="O675" i="18"/>
  <c r="O830" i="18"/>
  <c r="O706" i="18"/>
  <c r="O737" i="18"/>
  <c r="O613" i="18"/>
  <c r="N738" i="18"/>
  <c r="N614" i="18"/>
  <c r="N769" i="18"/>
  <c r="N645" i="18"/>
  <c r="N800" i="18"/>
  <c r="N676" i="18"/>
  <c r="N831" i="18"/>
  <c r="N707" i="18"/>
  <c r="V738" i="18"/>
  <c r="V614" i="18"/>
  <c r="V769" i="18"/>
  <c r="V645" i="18"/>
  <c r="V800" i="18"/>
  <c r="V676" i="18"/>
  <c r="V831" i="18"/>
  <c r="V707" i="18"/>
  <c r="AD738" i="18"/>
  <c r="AD614" i="18"/>
  <c r="AD769" i="18"/>
  <c r="AD645" i="18"/>
  <c r="AD800" i="18"/>
  <c r="AD676" i="18"/>
  <c r="AD831" i="18"/>
  <c r="AD707" i="18"/>
  <c r="P768" i="18"/>
  <c r="P644" i="18"/>
  <c r="P799" i="18"/>
  <c r="P675" i="18"/>
  <c r="P830" i="18"/>
  <c r="P706" i="18"/>
  <c r="P737" i="18"/>
  <c r="P613" i="18"/>
  <c r="X768" i="18"/>
  <c r="X644" i="18"/>
  <c r="X737" i="18"/>
  <c r="X799" i="18"/>
  <c r="X675" i="18"/>
  <c r="X613" i="18"/>
  <c r="X830" i="18"/>
  <c r="X706" i="18"/>
  <c r="AF768" i="18"/>
  <c r="AF644" i="18"/>
  <c r="AF799" i="18"/>
  <c r="AF675" i="18"/>
  <c r="AF830" i="18"/>
  <c r="AF706" i="18"/>
  <c r="AF613" i="18"/>
  <c r="AF737" i="18"/>
  <c r="O738" i="18"/>
  <c r="O614" i="18"/>
  <c r="O707" i="18"/>
  <c r="O769" i="18"/>
  <c r="O645" i="18"/>
  <c r="O831" i="18"/>
  <c r="O800" i="18"/>
  <c r="O676" i="18"/>
  <c r="W738" i="18"/>
  <c r="W614" i="18"/>
  <c r="W769" i="18"/>
  <c r="W645" i="18"/>
  <c r="W831" i="18"/>
  <c r="W800" i="18"/>
  <c r="W676" i="18"/>
  <c r="W707" i="18"/>
  <c r="AE738" i="18"/>
  <c r="AE614" i="18"/>
  <c r="AE769" i="18"/>
  <c r="AE645" i="18"/>
  <c r="AE707" i="18"/>
  <c r="AE800" i="18"/>
  <c r="AE676" i="18"/>
  <c r="AE831" i="18"/>
  <c r="Q799" i="18"/>
  <c r="Q675" i="18"/>
  <c r="Q830" i="18"/>
  <c r="Q706" i="18"/>
  <c r="Q737" i="18"/>
  <c r="Q613" i="18"/>
  <c r="Q768" i="18"/>
  <c r="Q644" i="18"/>
  <c r="Y799" i="18"/>
  <c r="Y675" i="18"/>
  <c r="Y830" i="18"/>
  <c r="Y706" i="18"/>
  <c r="Y737" i="18"/>
  <c r="Y613" i="18"/>
  <c r="Y768" i="18"/>
  <c r="Y644" i="18"/>
  <c r="AG799" i="18"/>
  <c r="AG675" i="18"/>
  <c r="AG830" i="18"/>
  <c r="AG706" i="18"/>
  <c r="AG737" i="18"/>
  <c r="AG613" i="18"/>
  <c r="AG768" i="18"/>
  <c r="AG644" i="18"/>
  <c r="AE768" i="18"/>
  <c r="AE644" i="18"/>
  <c r="AE799" i="18"/>
  <c r="AE675" i="18"/>
  <c r="AE830" i="18"/>
  <c r="AE706" i="18"/>
  <c r="AE737" i="18"/>
  <c r="AE613" i="18"/>
  <c r="P769" i="18"/>
  <c r="P645" i="18"/>
  <c r="P800" i="18"/>
  <c r="P676" i="18"/>
  <c r="P831" i="18"/>
  <c r="P707" i="18"/>
  <c r="P738" i="18"/>
  <c r="P614" i="18"/>
  <c r="X769" i="18"/>
  <c r="X645" i="18"/>
  <c r="X800" i="18"/>
  <c r="X676" i="18"/>
  <c r="X831" i="18"/>
  <c r="X707" i="18"/>
  <c r="X738" i="18"/>
  <c r="X614" i="18"/>
  <c r="AF769" i="18"/>
  <c r="AF645" i="18"/>
  <c r="AF800" i="18"/>
  <c r="AF676" i="18"/>
  <c r="AF831" i="18"/>
  <c r="AF707" i="18"/>
  <c r="AF738" i="18"/>
  <c r="AF614" i="18"/>
  <c r="R799" i="18"/>
  <c r="R675" i="18"/>
  <c r="R830" i="18"/>
  <c r="R706" i="18"/>
  <c r="R737" i="18"/>
  <c r="R613" i="18"/>
  <c r="R644" i="18"/>
  <c r="R768" i="18"/>
  <c r="Z799" i="18"/>
  <c r="Z675" i="18"/>
  <c r="Z830" i="18"/>
  <c r="Z706" i="18"/>
  <c r="Z768" i="18"/>
  <c r="Z644" i="18"/>
  <c r="Z737" i="18"/>
  <c r="Z613" i="18"/>
  <c r="AH799" i="18"/>
  <c r="AH675" i="18"/>
  <c r="AH830" i="18"/>
  <c r="AH706" i="18"/>
  <c r="AH768" i="18"/>
  <c r="AH737" i="18"/>
  <c r="AH613" i="18"/>
  <c r="AH644" i="18"/>
  <c r="U831" i="18"/>
  <c r="U707" i="18"/>
  <c r="U738" i="18"/>
  <c r="U614" i="18"/>
  <c r="U676" i="18"/>
  <c r="U769" i="18"/>
  <c r="U645" i="18"/>
  <c r="U800" i="18"/>
  <c r="Q769" i="18"/>
  <c r="Q645" i="18"/>
  <c r="Q738" i="18"/>
  <c r="Q614" i="18"/>
  <c r="Q800" i="18"/>
  <c r="Q676" i="18"/>
  <c r="Q831" i="18"/>
  <c r="Q707" i="18"/>
  <c r="Y769" i="18"/>
  <c r="Y645" i="18"/>
  <c r="Y800" i="18"/>
  <c r="Y676" i="18"/>
  <c r="Y614" i="18"/>
  <c r="Y738" i="18"/>
  <c r="Y831" i="18"/>
  <c r="Y707" i="18"/>
  <c r="AG769" i="18"/>
  <c r="AG645" i="18"/>
  <c r="AG800" i="18"/>
  <c r="AG676" i="18"/>
  <c r="AG831" i="18"/>
  <c r="AG707" i="18"/>
  <c r="AG738" i="18"/>
  <c r="AG614" i="18"/>
  <c r="S830" i="18"/>
  <c r="S706" i="18"/>
  <c r="S737" i="18"/>
  <c r="S613" i="18"/>
  <c r="S768" i="18"/>
  <c r="S644" i="18"/>
  <c r="S799" i="18"/>
  <c r="S675" i="18"/>
  <c r="AA830" i="18"/>
  <c r="AA706" i="18"/>
  <c r="AA737" i="18"/>
  <c r="AA613" i="18"/>
  <c r="AA768" i="18"/>
  <c r="AA644" i="18"/>
  <c r="AA799" i="18"/>
  <c r="AA675" i="18"/>
  <c r="AC831" i="18"/>
  <c r="AC707" i="18"/>
  <c r="AC800" i="18"/>
  <c r="AC676" i="18"/>
  <c r="AC738" i="18"/>
  <c r="AC614" i="18"/>
  <c r="AC769" i="18"/>
  <c r="AC645" i="18"/>
  <c r="R800" i="18"/>
  <c r="R676" i="18"/>
  <c r="R831" i="18"/>
  <c r="R707" i="18"/>
  <c r="R738" i="18"/>
  <c r="R614" i="18"/>
  <c r="R769" i="18"/>
  <c r="R645" i="18"/>
  <c r="Z800" i="18"/>
  <c r="Z676" i="18"/>
  <c r="Z831" i="18"/>
  <c r="Z707" i="18"/>
  <c r="Z738" i="18"/>
  <c r="Z614" i="18"/>
  <c r="Z769" i="18"/>
  <c r="Z645" i="18"/>
  <c r="AH800" i="18"/>
  <c r="AH676" i="18"/>
  <c r="AH831" i="18"/>
  <c r="AH707" i="18"/>
  <c r="AH738" i="18"/>
  <c r="AH614" i="18"/>
  <c r="AH769" i="18"/>
  <c r="AH645" i="18"/>
  <c r="L830" i="18"/>
  <c r="L706" i="18"/>
  <c r="L737" i="18"/>
  <c r="L613" i="18"/>
  <c r="L768" i="18"/>
  <c r="L644" i="18"/>
  <c r="L675" i="18"/>
  <c r="L799" i="18"/>
  <c r="T830" i="18"/>
  <c r="T706" i="18"/>
  <c r="T737" i="18"/>
  <c r="T613" i="18"/>
  <c r="T675" i="18"/>
  <c r="T768" i="18"/>
  <c r="T644" i="18"/>
  <c r="T799" i="18"/>
  <c r="AB830" i="18"/>
  <c r="AB706" i="18"/>
  <c r="AB737" i="18"/>
  <c r="AB613" i="18"/>
  <c r="AB799" i="18"/>
  <c r="AB768" i="18"/>
  <c r="AB644" i="18"/>
  <c r="AB675" i="18"/>
  <c r="W768" i="18"/>
  <c r="W644" i="18"/>
  <c r="W799" i="18"/>
  <c r="W675" i="18"/>
  <c r="W830" i="18"/>
  <c r="W706" i="18"/>
  <c r="W737" i="18"/>
  <c r="W613" i="18"/>
  <c r="S800" i="18"/>
  <c r="S676" i="18"/>
  <c r="S645" i="18"/>
  <c r="S831" i="18"/>
  <c r="S707" i="18"/>
  <c r="S738" i="18"/>
  <c r="S614" i="18"/>
  <c r="S769" i="18"/>
  <c r="AA800" i="18"/>
  <c r="AA676" i="18"/>
  <c r="AA645" i="18"/>
  <c r="AA769" i="18"/>
  <c r="AA831" i="18"/>
  <c r="AA707" i="18"/>
  <c r="AA738" i="18"/>
  <c r="AA614" i="18"/>
  <c r="M737" i="18"/>
  <c r="M613" i="18"/>
  <c r="M768" i="18"/>
  <c r="M644" i="18"/>
  <c r="M799" i="18"/>
  <c r="M675" i="18"/>
  <c r="M830" i="18"/>
  <c r="M706" i="18"/>
  <c r="U737" i="18"/>
  <c r="U613" i="18"/>
  <c r="U768" i="18"/>
  <c r="U644" i="18"/>
  <c r="U799" i="18"/>
  <c r="U675" i="18"/>
  <c r="U830" i="18"/>
  <c r="U706" i="18"/>
  <c r="AC737" i="18"/>
  <c r="AC613" i="18"/>
  <c r="AC768" i="18"/>
  <c r="AC644" i="18"/>
  <c r="AC799" i="18"/>
  <c r="AC675" i="18"/>
  <c r="AC830" i="18"/>
  <c r="AC706" i="18"/>
  <c r="L831" i="18"/>
  <c r="L707" i="18"/>
  <c r="L738" i="18"/>
  <c r="L614" i="18"/>
  <c r="L769" i="18"/>
  <c r="L645" i="18"/>
  <c r="L800" i="18"/>
  <c r="L676" i="18"/>
  <c r="T831" i="18"/>
  <c r="T707" i="18"/>
  <c r="T738" i="18"/>
  <c r="T614" i="18"/>
  <c r="T769" i="18"/>
  <c r="T645" i="18"/>
  <c r="T800" i="18"/>
  <c r="T676" i="18"/>
  <c r="AB831" i="18"/>
  <c r="AB707" i="18"/>
  <c r="AB738" i="18"/>
  <c r="AB614" i="18"/>
  <c r="AB769" i="18"/>
  <c r="AB645" i="18"/>
  <c r="AB800" i="18"/>
  <c r="AB676" i="18"/>
  <c r="N737" i="18"/>
  <c r="N613" i="18"/>
  <c r="N830" i="18"/>
  <c r="N768" i="18"/>
  <c r="N644" i="18"/>
  <c r="N799" i="18"/>
  <c r="N675" i="18"/>
  <c r="N706" i="18"/>
  <c r="V737" i="18"/>
  <c r="V613" i="18"/>
  <c r="V768" i="18"/>
  <c r="V644" i="18"/>
  <c r="V706" i="18"/>
  <c r="V799" i="18"/>
  <c r="V675" i="18"/>
  <c r="V830" i="18"/>
  <c r="AD737" i="18"/>
  <c r="AD613" i="18"/>
  <c r="AD830" i="18"/>
  <c r="AD768" i="18"/>
  <c r="AD644" i="18"/>
  <c r="AD799" i="18"/>
  <c r="AD675" i="18"/>
  <c r="AD706" i="18"/>
  <c r="J768" i="18"/>
  <c r="J644" i="18"/>
  <c r="J737" i="18"/>
  <c r="J613" i="18"/>
  <c r="J799" i="18"/>
  <c r="J675" i="18"/>
  <c r="J830" i="18"/>
  <c r="J706" i="18"/>
  <c r="K675" i="18"/>
  <c r="K737" i="18"/>
  <c r="K613" i="18"/>
  <c r="K799" i="18"/>
  <c r="K768" i="18"/>
  <c r="K644" i="18"/>
  <c r="K830" i="18"/>
  <c r="K706" i="18"/>
  <c r="J800" i="18"/>
  <c r="J645" i="18"/>
  <c r="J738" i="18"/>
  <c r="J614" i="18"/>
  <c r="J831" i="18"/>
  <c r="J707" i="18"/>
  <c r="J769" i="18"/>
  <c r="J676" i="18"/>
  <c r="K738" i="18"/>
  <c r="K614" i="18"/>
  <c r="K831" i="18"/>
  <c r="K707" i="18"/>
  <c r="K769" i="18"/>
  <c r="K645" i="18"/>
  <c r="K800" i="18"/>
  <c r="K676" i="18"/>
  <c r="X826" i="18"/>
  <c r="X795" i="18"/>
  <c r="X733" i="18"/>
  <c r="X702" i="18"/>
  <c r="X764" i="18"/>
  <c r="X671" i="18"/>
  <c r="X609" i="18"/>
  <c r="X640" i="18"/>
  <c r="AH796" i="18"/>
  <c r="AH827" i="18"/>
  <c r="AH765" i="18"/>
  <c r="AH734" i="18"/>
  <c r="AH703" i="18"/>
  <c r="AH672" i="18"/>
  <c r="AH641" i="18"/>
  <c r="AH610" i="18"/>
  <c r="P822" i="18"/>
  <c r="P791" i="18"/>
  <c r="P760" i="18"/>
  <c r="P729" i="18"/>
  <c r="P698" i="18"/>
  <c r="P667" i="18"/>
  <c r="P605" i="18"/>
  <c r="P636" i="18"/>
  <c r="AD761" i="18"/>
  <c r="AD792" i="18"/>
  <c r="AD730" i="18"/>
  <c r="AD699" i="18"/>
  <c r="AD637" i="18"/>
  <c r="AD823" i="18"/>
  <c r="AD668" i="18"/>
  <c r="AD606" i="18"/>
  <c r="Z794" i="18"/>
  <c r="Z825" i="18"/>
  <c r="Z732" i="18"/>
  <c r="Z701" i="18"/>
  <c r="Z670" i="18"/>
  <c r="Z763" i="18"/>
  <c r="Z639" i="18"/>
  <c r="Z608" i="18"/>
  <c r="AG826" i="18"/>
  <c r="AG795" i="18"/>
  <c r="AG764" i="18"/>
  <c r="AG733" i="18"/>
  <c r="AG702" i="18"/>
  <c r="AG671" i="18"/>
  <c r="AG609" i="18"/>
  <c r="AG640" i="18"/>
  <c r="AG822" i="18"/>
  <c r="AG791" i="18"/>
  <c r="AG760" i="18"/>
  <c r="AG729" i="18"/>
  <c r="AG698" i="18"/>
  <c r="AG667" i="18"/>
  <c r="AG636" i="18"/>
  <c r="AG605" i="18"/>
  <c r="O826" i="18"/>
  <c r="O795" i="18"/>
  <c r="O764" i="18"/>
  <c r="O733" i="18"/>
  <c r="O640" i="18"/>
  <c r="O702" i="18"/>
  <c r="O609" i="18"/>
  <c r="O671" i="18"/>
  <c r="W826" i="18"/>
  <c r="W795" i="18"/>
  <c r="W733" i="18"/>
  <c r="W640" i="18"/>
  <c r="W764" i="18"/>
  <c r="W702" i="18"/>
  <c r="W671" i="18"/>
  <c r="W609" i="18"/>
  <c r="AE826" i="18"/>
  <c r="AE795" i="18"/>
  <c r="AE764" i="18"/>
  <c r="AE733" i="18"/>
  <c r="AE702" i="18"/>
  <c r="AE640" i="18"/>
  <c r="AE609" i="18"/>
  <c r="AE671" i="18"/>
  <c r="Q827" i="18"/>
  <c r="Q796" i="18"/>
  <c r="Q765" i="18"/>
  <c r="Q734" i="18"/>
  <c r="Q703" i="18"/>
  <c r="Q672" i="18"/>
  <c r="Q610" i="18"/>
  <c r="Q641" i="18"/>
  <c r="Y827" i="18"/>
  <c r="Y796" i="18"/>
  <c r="Y765" i="18"/>
  <c r="Y734" i="18"/>
  <c r="Y703" i="18"/>
  <c r="Y672" i="18"/>
  <c r="Y610" i="18"/>
  <c r="Y641" i="18"/>
  <c r="AG827" i="18"/>
  <c r="AG796" i="18"/>
  <c r="AG765" i="18"/>
  <c r="AG734" i="18"/>
  <c r="AG703" i="18"/>
  <c r="AG672" i="18"/>
  <c r="AG641" i="18"/>
  <c r="AG610" i="18"/>
  <c r="Q820" i="18"/>
  <c r="Q789" i="18"/>
  <c r="Q758" i="18"/>
  <c r="Q727" i="18"/>
  <c r="Q696" i="18"/>
  <c r="Q665" i="18"/>
  <c r="Q634" i="18"/>
  <c r="Q603" i="18"/>
  <c r="Y820" i="18"/>
  <c r="Y789" i="18"/>
  <c r="Y758" i="18"/>
  <c r="Y727" i="18"/>
  <c r="Y696" i="18"/>
  <c r="Y665" i="18"/>
  <c r="Y634" i="18"/>
  <c r="Y603" i="18"/>
  <c r="AG820" i="18"/>
  <c r="AG789" i="18"/>
  <c r="AG758" i="18"/>
  <c r="AG727" i="18"/>
  <c r="AG696" i="18"/>
  <c r="AG665" i="18"/>
  <c r="AG634" i="18"/>
  <c r="AG603" i="18"/>
  <c r="O822" i="18"/>
  <c r="O791" i="18"/>
  <c r="O760" i="18"/>
  <c r="O729" i="18"/>
  <c r="O698" i="18"/>
  <c r="O667" i="18"/>
  <c r="O605" i="18"/>
  <c r="O636" i="18"/>
  <c r="W822" i="18"/>
  <c r="W791" i="18"/>
  <c r="W760" i="18"/>
  <c r="W729" i="18"/>
  <c r="W636" i="18"/>
  <c r="W698" i="18"/>
  <c r="W667" i="18"/>
  <c r="W605" i="18"/>
  <c r="AE822" i="18"/>
  <c r="AE791" i="18"/>
  <c r="AE760" i="18"/>
  <c r="AE729" i="18"/>
  <c r="AE636" i="18"/>
  <c r="AE698" i="18"/>
  <c r="AE605" i="18"/>
  <c r="AE667" i="18"/>
  <c r="M761" i="18"/>
  <c r="M823" i="18"/>
  <c r="M792" i="18"/>
  <c r="M668" i="18"/>
  <c r="M730" i="18"/>
  <c r="M637" i="18"/>
  <c r="M606" i="18"/>
  <c r="M699" i="18"/>
  <c r="U761" i="18"/>
  <c r="U823" i="18"/>
  <c r="U668" i="18"/>
  <c r="U637" i="18"/>
  <c r="U792" i="18"/>
  <c r="U730" i="18"/>
  <c r="U606" i="18"/>
  <c r="U699" i="18"/>
  <c r="AC761" i="18"/>
  <c r="AC823" i="18"/>
  <c r="AC792" i="18"/>
  <c r="AC668" i="18"/>
  <c r="AC699" i="18"/>
  <c r="AC637" i="18"/>
  <c r="AC730" i="18"/>
  <c r="AC606" i="18"/>
  <c r="K793" i="18"/>
  <c r="K762" i="18"/>
  <c r="K731" i="18"/>
  <c r="K669" i="18"/>
  <c r="K824" i="18"/>
  <c r="K638" i="18"/>
  <c r="K700" i="18"/>
  <c r="K607" i="18"/>
  <c r="S793" i="18"/>
  <c r="S762" i="18"/>
  <c r="S731" i="18"/>
  <c r="S824" i="18"/>
  <c r="S669" i="18"/>
  <c r="S638" i="18"/>
  <c r="S700" i="18"/>
  <c r="S607" i="18"/>
  <c r="AA793" i="18"/>
  <c r="AA762" i="18"/>
  <c r="AA824" i="18"/>
  <c r="AA731" i="18"/>
  <c r="AA700" i="18"/>
  <c r="AA669" i="18"/>
  <c r="AA638" i="18"/>
  <c r="AA607" i="18"/>
  <c r="Q825" i="18"/>
  <c r="Q794" i="18"/>
  <c r="Q763" i="18"/>
  <c r="Q732" i="18"/>
  <c r="Q701" i="18"/>
  <c r="Q670" i="18"/>
  <c r="Q608" i="18"/>
  <c r="Q639" i="18"/>
  <c r="Y825" i="18"/>
  <c r="Y794" i="18"/>
  <c r="Y763" i="18"/>
  <c r="Y732" i="18"/>
  <c r="Y701" i="18"/>
  <c r="Y670" i="18"/>
  <c r="Y639" i="18"/>
  <c r="Y608" i="18"/>
  <c r="AG825" i="18"/>
  <c r="AG794" i="18"/>
  <c r="AG763" i="18"/>
  <c r="AG732" i="18"/>
  <c r="AG701" i="18"/>
  <c r="AG670" i="18"/>
  <c r="AG608" i="18"/>
  <c r="AG639" i="18"/>
  <c r="P826" i="18"/>
  <c r="P764" i="18"/>
  <c r="P733" i="18"/>
  <c r="P795" i="18"/>
  <c r="P702" i="18"/>
  <c r="P671" i="18"/>
  <c r="P640" i="18"/>
  <c r="P609" i="18"/>
  <c r="W823" i="18"/>
  <c r="W792" i="18"/>
  <c r="W761" i="18"/>
  <c r="W730" i="18"/>
  <c r="W637" i="18"/>
  <c r="W699" i="18"/>
  <c r="W668" i="18"/>
  <c r="W606" i="18"/>
  <c r="R795" i="18"/>
  <c r="R826" i="18"/>
  <c r="R764" i="18"/>
  <c r="R733" i="18"/>
  <c r="R702" i="18"/>
  <c r="R671" i="18"/>
  <c r="R640" i="18"/>
  <c r="R609" i="18"/>
  <c r="Z795" i="18"/>
  <c r="Z826" i="18"/>
  <c r="Z733" i="18"/>
  <c r="Z702" i="18"/>
  <c r="Z764" i="18"/>
  <c r="Z671" i="18"/>
  <c r="Z640" i="18"/>
  <c r="Z609" i="18"/>
  <c r="AH795" i="18"/>
  <c r="AH826" i="18"/>
  <c r="AH733" i="18"/>
  <c r="AH764" i="18"/>
  <c r="AH702" i="18"/>
  <c r="AH671" i="18"/>
  <c r="AH640" i="18"/>
  <c r="AH609" i="18"/>
  <c r="L765" i="18"/>
  <c r="L796" i="18"/>
  <c r="L827" i="18"/>
  <c r="L672" i="18"/>
  <c r="L734" i="18"/>
  <c r="L641" i="18"/>
  <c r="L610" i="18"/>
  <c r="L703" i="18"/>
  <c r="T765" i="18"/>
  <c r="T796" i="18"/>
  <c r="T734" i="18"/>
  <c r="T672" i="18"/>
  <c r="T703" i="18"/>
  <c r="T641" i="18"/>
  <c r="T827" i="18"/>
  <c r="T610" i="18"/>
  <c r="AB765" i="18"/>
  <c r="AB796" i="18"/>
  <c r="AB827" i="18"/>
  <c r="AB672" i="18"/>
  <c r="AB641" i="18"/>
  <c r="AB734" i="18"/>
  <c r="AB703" i="18"/>
  <c r="AB610" i="18"/>
  <c r="L789" i="18"/>
  <c r="L820" i="18"/>
  <c r="L758" i="18"/>
  <c r="L665" i="18"/>
  <c r="L696" i="18"/>
  <c r="L727" i="18"/>
  <c r="L603" i="18"/>
  <c r="L634" i="18"/>
  <c r="T789" i="18"/>
  <c r="T820" i="18"/>
  <c r="T758" i="18"/>
  <c r="T665" i="18"/>
  <c r="T727" i="18"/>
  <c r="T696" i="18"/>
  <c r="T634" i="18"/>
  <c r="T603" i="18"/>
  <c r="AB789" i="18"/>
  <c r="AB820" i="18"/>
  <c r="AB758" i="18"/>
  <c r="AB665" i="18"/>
  <c r="AB727" i="18"/>
  <c r="AB696" i="18"/>
  <c r="AB603" i="18"/>
  <c r="AB634" i="18"/>
  <c r="R791" i="18"/>
  <c r="R822" i="18"/>
  <c r="R729" i="18"/>
  <c r="R698" i="18"/>
  <c r="R667" i="18"/>
  <c r="R636" i="18"/>
  <c r="R605" i="18"/>
  <c r="R760" i="18"/>
  <c r="Z791" i="18"/>
  <c r="Z822" i="18"/>
  <c r="Z729" i="18"/>
  <c r="Z698" i="18"/>
  <c r="Z667" i="18"/>
  <c r="Z760" i="18"/>
  <c r="Z636" i="18"/>
  <c r="Z605" i="18"/>
  <c r="AH791" i="18"/>
  <c r="AH822" i="18"/>
  <c r="AH729" i="18"/>
  <c r="AH760" i="18"/>
  <c r="AH698" i="18"/>
  <c r="AH667" i="18"/>
  <c r="AH636" i="18"/>
  <c r="AH605" i="18"/>
  <c r="P823" i="18"/>
  <c r="P792" i="18"/>
  <c r="P730" i="18"/>
  <c r="P761" i="18"/>
  <c r="P699" i="18"/>
  <c r="P668" i="18"/>
  <c r="P637" i="18"/>
  <c r="P606" i="18"/>
  <c r="X823" i="18"/>
  <c r="X761" i="18"/>
  <c r="X730" i="18"/>
  <c r="X792" i="18"/>
  <c r="X699" i="18"/>
  <c r="X668" i="18"/>
  <c r="X637" i="18"/>
  <c r="X606" i="18"/>
  <c r="AF823" i="18"/>
  <c r="AF792" i="18"/>
  <c r="AF730" i="18"/>
  <c r="AF761" i="18"/>
  <c r="AF668" i="18"/>
  <c r="AF699" i="18"/>
  <c r="AF637" i="18"/>
  <c r="AF606" i="18"/>
  <c r="N762" i="18"/>
  <c r="N793" i="18"/>
  <c r="N824" i="18"/>
  <c r="N731" i="18"/>
  <c r="N638" i="18"/>
  <c r="N700" i="18"/>
  <c r="N669" i="18"/>
  <c r="N607" i="18"/>
  <c r="V762" i="18"/>
  <c r="V824" i="18"/>
  <c r="V793" i="18"/>
  <c r="V731" i="18"/>
  <c r="V638" i="18"/>
  <c r="V700" i="18"/>
  <c r="V669" i="18"/>
  <c r="V607" i="18"/>
  <c r="AD762" i="18"/>
  <c r="AD793" i="18"/>
  <c r="AD731" i="18"/>
  <c r="AD824" i="18"/>
  <c r="AD638" i="18"/>
  <c r="AD607" i="18"/>
  <c r="AD669" i="18"/>
  <c r="AD700" i="18"/>
  <c r="L763" i="18"/>
  <c r="L794" i="18"/>
  <c r="L825" i="18"/>
  <c r="L670" i="18"/>
  <c r="L701" i="18"/>
  <c r="L732" i="18"/>
  <c r="L639" i="18"/>
  <c r="L608" i="18"/>
  <c r="T763" i="18"/>
  <c r="T794" i="18"/>
  <c r="T825" i="18"/>
  <c r="T670" i="18"/>
  <c r="T732" i="18"/>
  <c r="T701" i="18"/>
  <c r="T639" i="18"/>
  <c r="T608" i="18"/>
  <c r="AB763" i="18"/>
  <c r="AB794" i="18"/>
  <c r="AB701" i="18"/>
  <c r="AB670" i="18"/>
  <c r="AB732" i="18"/>
  <c r="AB639" i="18"/>
  <c r="AB825" i="18"/>
  <c r="AB608" i="18"/>
  <c r="R796" i="18"/>
  <c r="R827" i="18"/>
  <c r="R734" i="18"/>
  <c r="R703" i="18"/>
  <c r="R765" i="18"/>
  <c r="R672" i="18"/>
  <c r="R641" i="18"/>
  <c r="R610" i="18"/>
  <c r="Z789" i="18"/>
  <c r="Z820" i="18"/>
  <c r="Z727" i="18"/>
  <c r="Z696" i="18"/>
  <c r="Z758" i="18"/>
  <c r="Z665" i="18"/>
  <c r="Z603" i="18"/>
  <c r="Z634" i="18"/>
  <c r="AF822" i="18"/>
  <c r="AF791" i="18"/>
  <c r="AF760" i="18"/>
  <c r="AF729" i="18"/>
  <c r="AF698" i="18"/>
  <c r="AF667" i="18"/>
  <c r="AF636" i="18"/>
  <c r="AF605" i="18"/>
  <c r="L762" i="18"/>
  <c r="L793" i="18"/>
  <c r="L824" i="18"/>
  <c r="L669" i="18"/>
  <c r="L731" i="18"/>
  <c r="L700" i="18"/>
  <c r="L638" i="18"/>
  <c r="L607" i="18"/>
  <c r="R794" i="18"/>
  <c r="R825" i="18"/>
  <c r="R763" i="18"/>
  <c r="R732" i="18"/>
  <c r="R701" i="18"/>
  <c r="R670" i="18"/>
  <c r="R639" i="18"/>
  <c r="R608" i="18"/>
  <c r="K47" i="48"/>
  <c r="AG521" i="72"/>
  <c r="M762" i="18"/>
  <c r="M824" i="18"/>
  <c r="M793" i="18"/>
  <c r="M669" i="18"/>
  <c r="M638" i="18"/>
  <c r="M731" i="18"/>
  <c r="M700" i="18"/>
  <c r="M607" i="18"/>
  <c r="K795" i="18"/>
  <c r="K764" i="18"/>
  <c r="K733" i="18"/>
  <c r="K702" i="18"/>
  <c r="K826" i="18"/>
  <c r="K671" i="18"/>
  <c r="K640" i="18"/>
  <c r="K609" i="18"/>
  <c r="S795" i="18"/>
  <c r="S764" i="18"/>
  <c r="S733" i="18"/>
  <c r="S826" i="18"/>
  <c r="S702" i="18"/>
  <c r="S671" i="18"/>
  <c r="S640" i="18"/>
  <c r="S609" i="18"/>
  <c r="AA795" i="18"/>
  <c r="AA764" i="18"/>
  <c r="AA733" i="18"/>
  <c r="AA702" i="18"/>
  <c r="AA671" i="18"/>
  <c r="AA640" i="18"/>
  <c r="AA826" i="18"/>
  <c r="AA609" i="18"/>
  <c r="M765" i="18"/>
  <c r="M827" i="18"/>
  <c r="M672" i="18"/>
  <c r="M734" i="18"/>
  <c r="M641" i="18"/>
  <c r="M796" i="18"/>
  <c r="M610" i="18"/>
  <c r="M703" i="18"/>
  <c r="U765" i="18"/>
  <c r="U827" i="18"/>
  <c r="U796" i="18"/>
  <c r="U672" i="18"/>
  <c r="U703" i="18"/>
  <c r="U641" i="18"/>
  <c r="U734" i="18"/>
  <c r="U610" i="18"/>
  <c r="AC765" i="18"/>
  <c r="AC827" i="18"/>
  <c r="AC796" i="18"/>
  <c r="AC672" i="18"/>
  <c r="AC641" i="18"/>
  <c r="AC734" i="18"/>
  <c r="AC610" i="18"/>
  <c r="AC703" i="18"/>
  <c r="M820" i="18"/>
  <c r="M789" i="18"/>
  <c r="M758" i="18"/>
  <c r="M665" i="18"/>
  <c r="M727" i="18"/>
  <c r="M696" i="18"/>
  <c r="M603" i="18"/>
  <c r="M634" i="18"/>
  <c r="U820" i="18"/>
  <c r="U789" i="18"/>
  <c r="U758" i="18"/>
  <c r="U665" i="18"/>
  <c r="U727" i="18"/>
  <c r="U634" i="18"/>
  <c r="U603" i="18"/>
  <c r="U696" i="18"/>
  <c r="AC820" i="18"/>
  <c r="AC758" i="18"/>
  <c r="AC665" i="18"/>
  <c r="AC727" i="18"/>
  <c r="AC603" i="18"/>
  <c r="AC789" i="18"/>
  <c r="AC634" i="18"/>
  <c r="AC696" i="18"/>
  <c r="K791" i="18"/>
  <c r="K822" i="18"/>
  <c r="K729" i="18"/>
  <c r="K760" i="18"/>
  <c r="K698" i="18"/>
  <c r="K667" i="18"/>
  <c r="K605" i="18"/>
  <c r="K636" i="18"/>
  <c r="S791" i="18"/>
  <c r="S729" i="18"/>
  <c r="S822" i="18"/>
  <c r="S698" i="18"/>
  <c r="S667" i="18"/>
  <c r="S636" i="18"/>
  <c r="S605" i="18"/>
  <c r="S760" i="18"/>
  <c r="AA791" i="18"/>
  <c r="AA729" i="18"/>
  <c r="AA822" i="18"/>
  <c r="AA698" i="18"/>
  <c r="AA667" i="18"/>
  <c r="AA760" i="18"/>
  <c r="AA636" i="18"/>
  <c r="AA605" i="18"/>
  <c r="Q823" i="18"/>
  <c r="Q792" i="18"/>
  <c r="Q761" i="18"/>
  <c r="Q730" i="18"/>
  <c r="Q699" i="18"/>
  <c r="Q668" i="18"/>
  <c r="Q606" i="18"/>
  <c r="Q637" i="18"/>
  <c r="Y823" i="18"/>
  <c r="Y792" i="18"/>
  <c r="Y761" i="18"/>
  <c r="Y730" i="18"/>
  <c r="Y699" i="18"/>
  <c r="Y668" i="18"/>
  <c r="Y606" i="18"/>
  <c r="Y637" i="18"/>
  <c r="AG823" i="18"/>
  <c r="AG792" i="18"/>
  <c r="AG761" i="18"/>
  <c r="AG730" i="18"/>
  <c r="AG699" i="18"/>
  <c r="AG668" i="18"/>
  <c r="AG637" i="18"/>
  <c r="AG606" i="18"/>
  <c r="O824" i="18"/>
  <c r="O793" i="18"/>
  <c r="O762" i="18"/>
  <c r="O731" i="18"/>
  <c r="O638" i="18"/>
  <c r="O700" i="18"/>
  <c r="O607" i="18"/>
  <c r="O669" i="18"/>
  <c r="W824" i="18"/>
  <c r="W793" i="18"/>
  <c r="W762" i="18"/>
  <c r="W731" i="18"/>
  <c r="W638" i="18"/>
  <c r="W700" i="18"/>
  <c r="W607" i="18"/>
  <c r="W669" i="18"/>
  <c r="AE824" i="18"/>
  <c r="AE793" i="18"/>
  <c r="AE731" i="18"/>
  <c r="AE638" i="18"/>
  <c r="AE700" i="18"/>
  <c r="AE762" i="18"/>
  <c r="AE669" i="18"/>
  <c r="AE607" i="18"/>
  <c r="M763" i="18"/>
  <c r="M825" i="18"/>
  <c r="M794" i="18"/>
  <c r="M670" i="18"/>
  <c r="M701" i="18"/>
  <c r="M639" i="18"/>
  <c r="M732" i="18"/>
  <c r="M608" i="18"/>
  <c r="U763" i="18"/>
  <c r="U825" i="18"/>
  <c r="U794" i="18"/>
  <c r="U670" i="18"/>
  <c r="U639" i="18"/>
  <c r="U732" i="18"/>
  <c r="U701" i="18"/>
  <c r="U608" i="18"/>
  <c r="AC763" i="18"/>
  <c r="AC825" i="18"/>
  <c r="AC794" i="18"/>
  <c r="AC701" i="18"/>
  <c r="AC670" i="18"/>
  <c r="AC732" i="18"/>
  <c r="AC639" i="18"/>
  <c r="AC608" i="18"/>
  <c r="AF826" i="18"/>
  <c r="AF764" i="18"/>
  <c r="AF733" i="18"/>
  <c r="AF702" i="18"/>
  <c r="AF795" i="18"/>
  <c r="AF671" i="18"/>
  <c r="AF640" i="18"/>
  <c r="AF609" i="18"/>
  <c r="Z796" i="18"/>
  <c r="Z827" i="18"/>
  <c r="Z734" i="18"/>
  <c r="Z703" i="18"/>
  <c r="Z765" i="18"/>
  <c r="Z672" i="18"/>
  <c r="Z641" i="18"/>
  <c r="Z610" i="18"/>
  <c r="AH789" i="18"/>
  <c r="AH820" i="18"/>
  <c r="AH727" i="18"/>
  <c r="AH758" i="18"/>
  <c r="AH696" i="18"/>
  <c r="AH665" i="18"/>
  <c r="AH603" i="18"/>
  <c r="AH634" i="18"/>
  <c r="X822" i="18"/>
  <c r="X760" i="18"/>
  <c r="X729" i="18"/>
  <c r="X698" i="18"/>
  <c r="X791" i="18"/>
  <c r="X667" i="18"/>
  <c r="X605" i="18"/>
  <c r="X636" i="18"/>
  <c r="V761" i="18"/>
  <c r="V823" i="18"/>
  <c r="V730" i="18"/>
  <c r="V637" i="18"/>
  <c r="V792" i="18"/>
  <c r="V699" i="18"/>
  <c r="V606" i="18"/>
  <c r="V668" i="18"/>
  <c r="AB762" i="18"/>
  <c r="AB793" i="18"/>
  <c r="AB731" i="18"/>
  <c r="AB700" i="18"/>
  <c r="AB669" i="18"/>
  <c r="AB824" i="18"/>
  <c r="AB638" i="18"/>
  <c r="AB607" i="18"/>
  <c r="Y826" i="18"/>
  <c r="Y795" i="18"/>
  <c r="Y764" i="18"/>
  <c r="Y733" i="18"/>
  <c r="Y702" i="18"/>
  <c r="Y671" i="18"/>
  <c r="Y640" i="18"/>
  <c r="Y609" i="18"/>
  <c r="S796" i="18"/>
  <c r="S765" i="18"/>
  <c r="S827" i="18"/>
  <c r="S734" i="18"/>
  <c r="S703" i="18"/>
  <c r="S672" i="18"/>
  <c r="S641" i="18"/>
  <c r="S610" i="18"/>
  <c r="K789" i="18"/>
  <c r="K727" i="18"/>
  <c r="K820" i="18"/>
  <c r="K696" i="18"/>
  <c r="K665" i="18"/>
  <c r="K603" i="18"/>
  <c r="K758" i="18"/>
  <c r="K634" i="18"/>
  <c r="AA789" i="18"/>
  <c r="AA727" i="18"/>
  <c r="AA820" i="18"/>
  <c r="AA696" i="18"/>
  <c r="AA758" i="18"/>
  <c r="AA665" i="18"/>
  <c r="AA603" i="18"/>
  <c r="AA634" i="18"/>
  <c r="O823" i="18"/>
  <c r="O792" i="18"/>
  <c r="O730" i="18"/>
  <c r="O637" i="18"/>
  <c r="O761" i="18"/>
  <c r="O699" i="18"/>
  <c r="O606" i="18"/>
  <c r="O668" i="18"/>
  <c r="U762" i="18"/>
  <c r="U824" i="18"/>
  <c r="U669" i="18"/>
  <c r="U793" i="18"/>
  <c r="U731" i="18"/>
  <c r="U638" i="18"/>
  <c r="U700" i="18"/>
  <c r="U607" i="18"/>
  <c r="K794" i="18"/>
  <c r="K763" i="18"/>
  <c r="K732" i="18"/>
  <c r="K701" i="18"/>
  <c r="K825" i="18"/>
  <c r="K670" i="18"/>
  <c r="K639" i="18"/>
  <c r="K608" i="18"/>
  <c r="AA794" i="18"/>
  <c r="AA763" i="18"/>
  <c r="AA732" i="18"/>
  <c r="AA701" i="18"/>
  <c r="AA825" i="18"/>
  <c r="AA670" i="18"/>
  <c r="AA639" i="18"/>
  <c r="AA608" i="18"/>
  <c r="L764" i="18"/>
  <c r="L795" i="18"/>
  <c r="L826" i="18"/>
  <c r="L733" i="18"/>
  <c r="L671" i="18"/>
  <c r="L702" i="18"/>
  <c r="L640" i="18"/>
  <c r="L609" i="18"/>
  <c r="T764" i="18"/>
  <c r="T795" i="18"/>
  <c r="T826" i="18"/>
  <c r="T671" i="18"/>
  <c r="T702" i="18"/>
  <c r="T640" i="18"/>
  <c r="T733" i="18"/>
  <c r="T609" i="18"/>
  <c r="AB764" i="18"/>
  <c r="AB795" i="18"/>
  <c r="AB826" i="18"/>
  <c r="AB671" i="18"/>
  <c r="AB702" i="18"/>
  <c r="AB640" i="18"/>
  <c r="AB733" i="18"/>
  <c r="AB609" i="18"/>
  <c r="N765" i="18"/>
  <c r="N827" i="18"/>
  <c r="N796" i="18"/>
  <c r="N734" i="18"/>
  <c r="N641" i="18"/>
  <c r="N703" i="18"/>
  <c r="N672" i="18"/>
  <c r="N610" i="18"/>
  <c r="V765" i="18"/>
  <c r="V796" i="18"/>
  <c r="V734" i="18"/>
  <c r="V703" i="18"/>
  <c r="V641" i="18"/>
  <c r="V827" i="18"/>
  <c r="V672" i="18"/>
  <c r="V610" i="18"/>
  <c r="AD765" i="18"/>
  <c r="AD827" i="18"/>
  <c r="AD734" i="18"/>
  <c r="AD641" i="18"/>
  <c r="AD796" i="18"/>
  <c r="AD703" i="18"/>
  <c r="AD672" i="18"/>
  <c r="AD610" i="18"/>
  <c r="N789" i="18"/>
  <c r="N758" i="18"/>
  <c r="N727" i="18"/>
  <c r="N820" i="18"/>
  <c r="N696" i="18"/>
  <c r="N665" i="18"/>
  <c r="N603" i="18"/>
  <c r="N634" i="18"/>
  <c r="V789" i="18"/>
  <c r="V758" i="18"/>
  <c r="V820" i="18"/>
  <c r="V727" i="18"/>
  <c r="V696" i="18"/>
  <c r="V665" i="18"/>
  <c r="V603" i="18"/>
  <c r="V634" i="18"/>
  <c r="AD820" i="18"/>
  <c r="AD758" i="18"/>
  <c r="AD789" i="18"/>
  <c r="AD727" i="18"/>
  <c r="AD696" i="18"/>
  <c r="AD634" i="18"/>
  <c r="AD665" i="18"/>
  <c r="AD603" i="18"/>
  <c r="L791" i="18"/>
  <c r="L760" i="18"/>
  <c r="L822" i="18"/>
  <c r="L729" i="18"/>
  <c r="L667" i="18"/>
  <c r="L698" i="18"/>
  <c r="L636" i="18"/>
  <c r="L605" i="18"/>
  <c r="T791" i="18"/>
  <c r="T822" i="18"/>
  <c r="T760" i="18"/>
  <c r="T667" i="18"/>
  <c r="T729" i="18"/>
  <c r="T698" i="18"/>
  <c r="T636" i="18"/>
  <c r="T605" i="18"/>
  <c r="AB791" i="18"/>
  <c r="AB822" i="18"/>
  <c r="AB760" i="18"/>
  <c r="AB667" i="18"/>
  <c r="AB729" i="18"/>
  <c r="AB698" i="18"/>
  <c r="AB636" i="18"/>
  <c r="AB605" i="18"/>
  <c r="R792" i="18"/>
  <c r="R823" i="18"/>
  <c r="R730" i="18"/>
  <c r="R699" i="18"/>
  <c r="R761" i="18"/>
  <c r="R668" i="18"/>
  <c r="R637" i="18"/>
  <c r="R606" i="18"/>
  <c r="Z792" i="18"/>
  <c r="Z823" i="18"/>
  <c r="Z761" i="18"/>
  <c r="Z730" i="18"/>
  <c r="Z699" i="18"/>
  <c r="Z668" i="18"/>
  <c r="Z637" i="18"/>
  <c r="Z606" i="18"/>
  <c r="AH792" i="18"/>
  <c r="AH823" i="18"/>
  <c r="AH730" i="18"/>
  <c r="AH699" i="18"/>
  <c r="AH761" i="18"/>
  <c r="AH668" i="18"/>
  <c r="AH637" i="18"/>
  <c r="AH606" i="18"/>
  <c r="P824" i="18"/>
  <c r="P762" i="18"/>
  <c r="P731" i="18"/>
  <c r="P700" i="18"/>
  <c r="P793" i="18"/>
  <c r="P669" i="18"/>
  <c r="P607" i="18"/>
  <c r="P638" i="18"/>
  <c r="X824" i="18"/>
  <c r="X762" i="18"/>
  <c r="X731" i="18"/>
  <c r="X793" i="18"/>
  <c r="X700" i="18"/>
  <c r="X669" i="18"/>
  <c r="X607" i="18"/>
  <c r="X638" i="18"/>
  <c r="AF824" i="18"/>
  <c r="AF793" i="18"/>
  <c r="AF731" i="18"/>
  <c r="AF762" i="18"/>
  <c r="AF700" i="18"/>
  <c r="AF669" i="18"/>
  <c r="AF638" i="18"/>
  <c r="AF607" i="18"/>
  <c r="N763" i="18"/>
  <c r="N825" i="18"/>
  <c r="N732" i="18"/>
  <c r="N794" i="18"/>
  <c r="N701" i="18"/>
  <c r="N639" i="18"/>
  <c r="N670" i="18"/>
  <c r="N608" i="18"/>
  <c r="V763" i="18"/>
  <c r="V825" i="18"/>
  <c r="V794" i="18"/>
  <c r="V732" i="18"/>
  <c r="V639" i="18"/>
  <c r="V701" i="18"/>
  <c r="V670" i="18"/>
  <c r="V608" i="18"/>
  <c r="AD763" i="18"/>
  <c r="AD794" i="18"/>
  <c r="AD825" i="18"/>
  <c r="AD732" i="18"/>
  <c r="AD639" i="18"/>
  <c r="AD701" i="18"/>
  <c r="AD608" i="18"/>
  <c r="AD670" i="18"/>
  <c r="Q822" i="18"/>
  <c r="Q791" i="18"/>
  <c r="Q760" i="18"/>
  <c r="Q729" i="18"/>
  <c r="Q698" i="18"/>
  <c r="Q667" i="18"/>
  <c r="Q636" i="18"/>
  <c r="Q605" i="18"/>
  <c r="M764" i="18"/>
  <c r="M826" i="18"/>
  <c r="M671" i="18"/>
  <c r="M640" i="18"/>
  <c r="M702" i="18"/>
  <c r="M733" i="18"/>
  <c r="M795" i="18"/>
  <c r="M609" i="18"/>
  <c r="U764" i="18"/>
  <c r="U826" i="18"/>
  <c r="U795" i="18"/>
  <c r="U671" i="18"/>
  <c r="U640" i="18"/>
  <c r="U733" i="18"/>
  <c r="U702" i="18"/>
  <c r="U609" i="18"/>
  <c r="AC764" i="18"/>
  <c r="AC826" i="18"/>
  <c r="AC795" i="18"/>
  <c r="AC671" i="18"/>
  <c r="AC702" i="18"/>
  <c r="AC640" i="18"/>
  <c r="AC733" i="18"/>
  <c r="AC609" i="18"/>
  <c r="O827" i="18"/>
  <c r="O796" i="18"/>
  <c r="O765" i="18"/>
  <c r="O734" i="18"/>
  <c r="O641" i="18"/>
  <c r="O703" i="18"/>
  <c r="O672" i="18"/>
  <c r="O610" i="18"/>
  <c r="W827" i="18"/>
  <c r="W796" i="18"/>
  <c r="W734" i="18"/>
  <c r="W765" i="18"/>
  <c r="W703" i="18"/>
  <c r="W641" i="18"/>
  <c r="W672" i="18"/>
  <c r="W610" i="18"/>
  <c r="AE827" i="18"/>
  <c r="AE796" i="18"/>
  <c r="AE765" i="18"/>
  <c r="AE734" i="18"/>
  <c r="AE641" i="18"/>
  <c r="AE703" i="18"/>
  <c r="AE672" i="18"/>
  <c r="AE610" i="18"/>
  <c r="O820" i="18"/>
  <c r="O789" i="18"/>
  <c r="O758" i="18"/>
  <c r="O727" i="18"/>
  <c r="O696" i="18"/>
  <c r="O665" i="18"/>
  <c r="O634" i="18"/>
  <c r="O603" i="18"/>
  <c r="W820" i="18"/>
  <c r="W789" i="18"/>
  <c r="W758" i="18"/>
  <c r="W727" i="18"/>
  <c r="W696" i="18"/>
  <c r="W634" i="18"/>
  <c r="W603" i="18"/>
  <c r="W665" i="18"/>
  <c r="AE820" i="18"/>
  <c r="AE789" i="18"/>
  <c r="AE758" i="18"/>
  <c r="AE727" i="18"/>
  <c r="AE696" i="18"/>
  <c r="AE634" i="18"/>
  <c r="AE603" i="18"/>
  <c r="AE665" i="18"/>
  <c r="M822" i="18"/>
  <c r="M791" i="18"/>
  <c r="M760" i="18"/>
  <c r="M667" i="18"/>
  <c r="M636" i="18"/>
  <c r="M605" i="18"/>
  <c r="M698" i="18"/>
  <c r="M729" i="18"/>
  <c r="U822" i="18"/>
  <c r="U791" i="18"/>
  <c r="U760" i="18"/>
  <c r="U667" i="18"/>
  <c r="U636" i="18"/>
  <c r="U729" i="18"/>
  <c r="U698" i="18"/>
  <c r="U605" i="18"/>
  <c r="AC760" i="18"/>
  <c r="AC822" i="18"/>
  <c r="AC791" i="18"/>
  <c r="AC667" i="18"/>
  <c r="AC636" i="18"/>
  <c r="AC729" i="18"/>
  <c r="AC605" i="18"/>
  <c r="AC698" i="18"/>
  <c r="K792" i="18"/>
  <c r="K730" i="18"/>
  <c r="K761" i="18"/>
  <c r="K699" i="18"/>
  <c r="K668" i="18"/>
  <c r="K637" i="18"/>
  <c r="K606" i="18"/>
  <c r="K823" i="18"/>
  <c r="S792" i="18"/>
  <c r="S730" i="18"/>
  <c r="S823" i="18"/>
  <c r="S761" i="18"/>
  <c r="S699" i="18"/>
  <c r="S668" i="18"/>
  <c r="S637" i="18"/>
  <c r="S606" i="18"/>
  <c r="AA792" i="18"/>
  <c r="AA761" i="18"/>
  <c r="AA730" i="18"/>
  <c r="AA823" i="18"/>
  <c r="AA668" i="18"/>
  <c r="AA699" i="18"/>
  <c r="AA637" i="18"/>
  <c r="AA606" i="18"/>
  <c r="Q824" i="18"/>
  <c r="Q793" i="18"/>
  <c r="Q762" i="18"/>
  <c r="Q731" i="18"/>
  <c r="Q700" i="18"/>
  <c r="Q669" i="18"/>
  <c r="Q607" i="18"/>
  <c r="Q638" i="18"/>
  <c r="Y824" i="18"/>
  <c r="Y793" i="18"/>
  <c r="Y762" i="18"/>
  <c r="Y731" i="18"/>
  <c r="Y700" i="18"/>
  <c r="Y669" i="18"/>
  <c r="Y607" i="18"/>
  <c r="Y638" i="18"/>
  <c r="AG824" i="18"/>
  <c r="AG793" i="18"/>
  <c r="AG762" i="18"/>
  <c r="AG731" i="18"/>
  <c r="AG700" i="18"/>
  <c r="AG669" i="18"/>
  <c r="AG638" i="18"/>
  <c r="AG607" i="18"/>
  <c r="O825" i="18"/>
  <c r="O794" i="18"/>
  <c r="O763" i="18"/>
  <c r="O732" i="18"/>
  <c r="O701" i="18"/>
  <c r="O639" i="18"/>
  <c r="O670" i="18"/>
  <c r="O608" i="18"/>
  <c r="W825" i="18"/>
  <c r="W794" i="18"/>
  <c r="W763" i="18"/>
  <c r="W732" i="18"/>
  <c r="W639" i="18"/>
  <c r="W701" i="18"/>
  <c r="W608" i="18"/>
  <c r="W670" i="18"/>
  <c r="AE825" i="18"/>
  <c r="AE794" i="18"/>
  <c r="AE732" i="18"/>
  <c r="AE763" i="18"/>
  <c r="AE639" i="18"/>
  <c r="AE701" i="18"/>
  <c r="AE608" i="18"/>
  <c r="AE670" i="18"/>
  <c r="R789" i="18"/>
  <c r="R820" i="18"/>
  <c r="R727" i="18"/>
  <c r="R696" i="18"/>
  <c r="R665" i="18"/>
  <c r="R758" i="18"/>
  <c r="R603" i="18"/>
  <c r="R634" i="18"/>
  <c r="N761" i="18"/>
  <c r="N792" i="18"/>
  <c r="N823" i="18"/>
  <c r="N730" i="18"/>
  <c r="N637" i="18"/>
  <c r="N699" i="18"/>
  <c r="N606" i="18"/>
  <c r="N668" i="18"/>
  <c r="T762" i="18"/>
  <c r="T793" i="18"/>
  <c r="T824" i="18"/>
  <c r="T669" i="18"/>
  <c r="T731" i="18"/>
  <c r="T638" i="18"/>
  <c r="T700" i="18"/>
  <c r="T607" i="18"/>
  <c r="AH794" i="18"/>
  <c r="AH825" i="18"/>
  <c r="AH732" i="18"/>
  <c r="AH763" i="18"/>
  <c r="AH701" i="18"/>
  <c r="AH670" i="18"/>
  <c r="AH639" i="18"/>
  <c r="AH608" i="18"/>
  <c r="K48" i="48"/>
  <c r="AG522" i="72"/>
  <c r="Q826" i="18"/>
  <c r="Q795" i="18"/>
  <c r="Q764" i="18"/>
  <c r="Q733" i="18"/>
  <c r="Q702" i="18"/>
  <c r="Q671" i="18"/>
  <c r="Q609" i="18"/>
  <c r="Q640" i="18"/>
  <c r="K796" i="18"/>
  <c r="K765" i="18"/>
  <c r="K734" i="18"/>
  <c r="K703" i="18"/>
  <c r="K827" i="18"/>
  <c r="K672" i="18"/>
  <c r="K641" i="18"/>
  <c r="K610" i="18"/>
  <c r="AA796" i="18"/>
  <c r="AA765" i="18"/>
  <c r="AA734" i="18"/>
  <c r="AA703" i="18"/>
  <c r="AA827" i="18"/>
  <c r="AA672" i="18"/>
  <c r="AA641" i="18"/>
  <c r="AA610" i="18"/>
  <c r="S789" i="18"/>
  <c r="S727" i="18"/>
  <c r="S696" i="18"/>
  <c r="S820" i="18"/>
  <c r="S665" i="18"/>
  <c r="S758" i="18"/>
  <c r="S603" i="18"/>
  <c r="S634" i="18"/>
  <c r="Y822" i="18"/>
  <c r="Y791" i="18"/>
  <c r="Y760" i="18"/>
  <c r="Y729" i="18"/>
  <c r="Y698" i="18"/>
  <c r="Y667" i="18"/>
  <c r="Y605" i="18"/>
  <c r="Y636" i="18"/>
  <c r="AE823" i="18"/>
  <c r="AE792" i="18"/>
  <c r="AE730" i="18"/>
  <c r="AE637" i="18"/>
  <c r="AE761" i="18"/>
  <c r="AE668" i="18"/>
  <c r="AE699" i="18"/>
  <c r="AE606" i="18"/>
  <c r="AC762" i="18"/>
  <c r="AC824" i="18"/>
  <c r="AC793" i="18"/>
  <c r="AC669" i="18"/>
  <c r="AC638" i="18"/>
  <c r="AC700" i="18"/>
  <c r="AC731" i="18"/>
  <c r="AC607" i="18"/>
  <c r="S794" i="18"/>
  <c r="S763" i="18"/>
  <c r="S732" i="18"/>
  <c r="S825" i="18"/>
  <c r="S701" i="18"/>
  <c r="S670" i="18"/>
  <c r="S639" i="18"/>
  <c r="S608" i="18"/>
  <c r="N764" i="18"/>
  <c r="N826" i="18"/>
  <c r="N733" i="18"/>
  <c r="N640" i="18"/>
  <c r="N702" i="18"/>
  <c r="N795" i="18"/>
  <c r="N609" i="18"/>
  <c r="N671" i="18"/>
  <c r="V764" i="18"/>
  <c r="V795" i="18"/>
  <c r="V733" i="18"/>
  <c r="V640" i="18"/>
  <c r="V702" i="18"/>
  <c r="V826" i="18"/>
  <c r="V671" i="18"/>
  <c r="V609" i="18"/>
  <c r="AD764" i="18"/>
  <c r="AD795" i="18"/>
  <c r="AD826" i="18"/>
  <c r="AD733" i="18"/>
  <c r="AD702" i="18"/>
  <c r="AD640" i="18"/>
  <c r="AD671" i="18"/>
  <c r="AD609" i="18"/>
  <c r="P827" i="18"/>
  <c r="P765" i="18"/>
  <c r="P734" i="18"/>
  <c r="P796" i="18"/>
  <c r="P703" i="18"/>
  <c r="P672" i="18"/>
  <c r="P641" i="18"/>
  <c r="P610" i="18"/>
  <c r="X827" i="18"/>
  <c r="X796" i="18"/>
  <c r="X734" i="18"/>
  <c r="X765" i="18"/>
  <c r="X703" i="18"/>
  <c r="X672" i="18"/>
  <c r="X641" i="18"/>
  <c r="X610" i="18"/>
  <c r="AF827" i="18"/>
  <c r="AF765" i="18"/>
  <c r="AF734" i="18"/>
  <c r="AF703" i="18"/>
  <c r="AF796" i="18"/>
  <c r="AF672" i="18"/>
  <c r="AF610" i="18"/>
  <c r="AF641" i="18"/>
  <c r="P820" i="18"/>
  <c r="P758" i="18"/>
  <c r="P789" i="18"/>
  <c r="P727" i="18"/>
  <c r="P696" i="18"/>
  <c r="P665" i="18"/>
  <c r="P634" i="18"/>
  <c r="P603" i="18"/>
  <c r="X820" i="18"/>
  <c r="X758" i="18"/>
  <c r="X727" i="18"/>
  <c r="X789" i="18"/>
  <c r="X696" i="18"/>
  <c r="X665" i="18"/>
  <c r="X634" i="18"/>
  <c r="X603" i="18"/>
  <c r="AF820" i="18"/>
  <c r="AF758" i="18"/>
  <c r="AF727" i="18"/>
  <c r="AF789" i="18"/>
  <c r="AF696" i="18"/>
  <c r="AF665" i="18"/>
  <c r="AF603" i="18"/>
  <c r="AF634" i="18"/>
  <c r="N791" i="18"/>
  <c r="N760" i="18"/>
  <c r="N729" i="18"/>
  <c r="N698" i="18"/>
  <c r="N605" i="18"/>
  <c r="N822" i="18"/>
  <c r="N667" i="18"/>
  <c r="N636" i="18"/>
  <c r="V822" i="18"/>
  <c r="V760" i="18"/>
  <c r="V729" i="18"/>
  <c r="V636" i="18"/>
  <c r="V698" i="18"/>
  <c r="V667" i="18"/>
  <c r="V791" i="18"/>
  <c r="V605" i="18"/>
  <c r="AD760" i="18"/>
  <c r="AD822" i="18"/>
  <c r="AD791" i="18"/>
  <c r="AD729" i="18"/>
  <c r="AD636" i="18"/>
  <c r="AD698" i="18"/>
  <c r="AD667" i="18"/>
  <c r="AD605" i="18"/>
  <c r="L792" i="18"/>
  <c r="L761" i="18"/>
  <c r="L668" i="18"/>
  <c r="L730" i="18"/>
  <c r="L823" i="18"/>
  <c r="L637" i="18"/>
  <c r="L699" i="18"/>
  <c r="L606" i="18"/>
  <c r="T761" i="18"/>
  <c r="T792" i="18"/>
  <c r="T823" i="18"/>
  <c r="T730" i="18"/>
  <c r="T699" i="18"/>
  <c r="T668" i="18"/>
  <c r="T606" i="18"/>
  <c r="T637" i="18"/>
  <c r="AB761" i="18"/>
  <c r="AB792" i="18"/>
  <c r="AB823" i="18"/>
  <c r="AB668" i="18"/>
  <c r="AB699" i="18"/>
  <c r="AB730" i="18"/>
  <c r="AB637" i="18"/>
  <c r="AB606" i="18"/>
  <c r="R793" i="18"/>
  <c r="R824" i="18"/>
  <c r="R731" i="18"/>
  <c r="R762" i="18"/>
  <c r="R700" i="18"/>
  <c r="R669" i="18"/>
  <c r="R638" i="18"/>
  <c r="R607" i="18"/>
  <c r="Z793" i="18"/>
  <c r="Z824" i="18"/>
  <c r="Z731" i="18"/>
  <c r="Z700" i="18"/>
  <c r="Z669" i="18"/>
  <c r="Z638" i="18"/>
  <c r="Z762" i="18"/>
  <c r="Z607" i="18"/>
  <c r="AH793" i="18"/>
  <c r="AH824" i="18"/>
  <c r="AH731" i="18"/>
  <c r="AH700" i="18"/>
  <c r="AH762" i="18"/>
  <c r="AH669" i="18"/>
  <c r="AH638" i="18"/>
  <c r="AH607" i="18"/>
  <c r="P825" i="18"/>
  <c r="P763" i="18"/>
  <c r="P732" i="18"/>
  <c r="P670" i="18"/>
  <c r="P608" i="18"/>
  <c r="P639" i="18"/>
  <c r="P794" i="18"/>
  <c r="P701" i="18"/>
  <c r="X825" i="18"/>
  <c r="X794" i="18"/>
  <c r="X732" i="18"/>
  <c r="X701" i="18"/>
  <c r="X763" i="18"/>
  <c r="X670" i="18"/>
  <c r="X639" i="18"/>
  <c r="X608" i="18"/>
  <c r="AF825" i="18"/>
  <c r="AF794" i="18"/>
  <c r="AF732" i="18"/>
  <c r="AF763" i="18"/>
  <c r="AF701" i="18"/>
  <c r="AF670" i="18"/>
  <c r="AF639" i="18"/>
  <c r="AF608" i="18"/>
  <c r="J796" i="18"/>
  <c r="J641" i="18"/>
  <c r="J734" i="18"/>
  <c r="J827" i="18"/>
  <c r="J672" i="18"/>
  <c r="J703" i="18"/>
  <c r="J765" i="18"/>
  <c r="J610" i="18"/>
  <c r="J764" i="18"/>
  <c r="J640" i="18"/>
  <c r="J795" i="18"/>
  <c r="J671" i="18"/>
  <c r="J826" i="18"/>
  <c r="J702" i="18"/>
  <c r="J733" i="18"/>
  <c r="J609" i="18"/>
  <c r="J670" i="18"/>
  <c r="J701" i="18"/>
  <c r="J732" i="18"/>
  <c r="J763" i="18"/>
  <c r="J825" i="18"/>
  <c r="J608" i="18"/>
  <c r="J794" i="18"/>
  <c r="J639" i="18"/>
  <c r="J824" i="18"/>
  <c r="J762" i="18"/>
  <c r="J731" i="18"/>
  <c r="J700" i="18"/>
  <c r="J669" i="18"/>
  <c r="J607" i="18"/>
  <c r="J793" i="18"/>
  <c r="J638" i="18"/>
  <c r="J792" i="18"/>
  <c r="J606" i="18"/>
  <c r="J761" i="18"/>
  <c r="J730" i="18"/>
  <c r="J699" i="18"/>
  <c r="J668" i="18"/>
  <c r="J637" i="18"/>
  <c r="J823" i="18"/>
  <c r="J822" i="18"/>
  <c r="J698" i="18"/>
  <c r="J791" i="18"/>
  <c r="J667" i="18"/>
  <c r="J760" i="18"/>
  <c r="J636" i="18"/>
  <c r="J605" i="18"/>
  <c r="J729" i="18"/>
  <c r="J665" i="18"/>
  <c r="J820" i="18"/>
  <c r="J727" i="18"/>
  <c r="J634" i="18"/>
  <c r="J789" i="18"/>
  <c r="J696" i="18"/>
  <c r="J603" i="18"/>
  <c r="J758" i="18"/>
  <c r="I841" i="18"/>
  <c r="I779" i="18"/>
  <c r="I717" i="18"/>
  <c r="I655" i="18"/>
  <c r="I624" i="18"/>
  <c r="I810" i="18"/>
  <c r="I748" i="18"/>
  <c r="I686" i="18"/>
  <c r="I654" i="18"/>
  <c r="I747" i="18"/>
  <c r="I840" i="18"/>
  <c r="I685" i="18"/>
  <c r="I778" i="18"/>
  <c r="I623" i="18"/>
  <c r="I716" i="18"/>
  <c r="I809" i="18"/>
  <c r="I777" i="18"/>
  <c r="I653" i="18"/>
  <c r="I808" i="18"/>
  <c r="I684" i="18"/>
  <c r="I746" i="18"/>
  <c r="I839" i="18"/>
  <c r="I715" i="18"/>
  <c r="I622" i="18"/>
  <c r="I652" i="18"/>
  <c r="I683" i="18"/>
  <c r="I714" i="18"/>
  <c r="I745" i="18"/>
  <c r="I776" i="18"/>
  <c r="I807" i="18"/>
  <c r="I838" i="18"/>
  <c r="I621" i="18"/>
  <c r="I837" i="18"/>
  <c r="I806" i="18"/>
  <c r="I775" i="18"/>
  <c r="I744" i="18"/>
  <c r="I713" i="18"/>
  <c r="I682" i="18"/>
  <c r="I651" i="18"/>
  <c r="I620" i="18"/>
  <c r="I650" i="18"/>
  <c r="I619" i="18"/>
  <c r="I836" i="18"/>
  <c r="I805" i="18"/>
  <c r="I774" i="18"/>
  <c r="I743" i="18"/>
  <c r="I712" i="18"/>
  <c r="I681" i="18"/>
  <c r="I769" i="18"/>
  <c r="I645" i="18"/>
  <c r="I738" i="18"/>
  <c r="I614" i="18"/>
  <c r="I676" i="18"/>
  <c r="I831" i="18"/>
  <c r="I707" i="18"/>
  <c r="I800" i="18"/>
  <c r="I644" i="18"/>
  <c r="I799" i="18"/>
  <c r="I706" i="18"/>
  <c r="I613" i="18"/>
  <c r="I768" i="18"/>
  <c r="I675" i="18"/>
  <c r="I830" i="18"/>
  <c r="I737" i="18"/>
  <c r="I796" i="18"/>
  <c r="I734" i="18"/>
  <c r="I672" i="18"/>
  <c r="I610" i="18"/>
  <c r="I827" i="18"/>
  <c r="I765" i="18"/>
  <c r="I703" i="18"/>
  <c r="I641" i="18"/>
  <c r="I764" i="18"/>
  <c r="I609" i="18"/>
  <c r="I702" i="18"/>
  <c r="I795" i="18"/>
  <c r="I640" i="18"/>
  <c r="I733" i="18"/>
  <c r="I826" i="18"/>
  <c r="I671" i="18"/>
  <c r="I825" i="18"/>
  <c r="I701" i="18"/>
  <c r="I732" i="18"/>
  <c r="I608" i="18"/>
  <c r="I763" i="18"/>
  <c r="I639" i="18"/>
  <c r="I794" i="18"/>
  <c r="I670" i="18"/>
  <c r="I762" i="18"/>
  <c r="I793" i="18"/>
  <c r="I824" i="18"/>
  <c r="I607" i="18"/>
  <c r="I638" i="18"/>
  <c r="I669" i="18"/>
  <c r="I700" i="18"/>
  <c r="I731" i="18"/>
  <c r="I823" i="18"/>
  <c r="I792" i="18"/>
  <c r="I761" i="18"/>
  <c r="I730" i="18"/>
  <c r="I699" i="18"/>
  <c r="I668" i="18"/>
  <c r="I637" i="18"/>
  <c r="I606" i="18"/>
  <c r="I760" i="18"/>
  <c r="I729" i="18"/>
  <c r="I698" i="18"/>
  <c r="I667" i="18"/>
  <c r="I636" i="18"/>
  <c r="I605" i="18"/>
  <c r="I822" i="18"/>
  <c r="I791" i="18"/>
  <c r="I820" i="18"/>
  <c r="I696" i="18"/>
  <c r="I603" i="18"/>
  <c r="I789" i="18"/>
  <c r="I665" i="18"/>
  <c r="I758" i="18"/>
  <c r="I634" i="18"/>
  <c r="I727" i="18"/>
  <c r="AH400" i="18"/>
  <c r="AH493" i="18"/>
  <c r="AH338" i="18"/>
  <c r="AH431" i="18"/>
  <c r="AH524" i="18"/>
  <c r="AH369" i="18"/>
  <c r="AH555" i="18"/>
  <c r="AH462" i="18"/>
  <c r="Q524" i="18"/>
  <c r="Q369" i="18"/>
  <c r="Q462" i="18"/>
  <c r="Q400" i="18"/>
  <c r="Q338" i="18"/>
  <c r="Q431" i="18"/>
  <c r="Q555" i="18"/>
  <c r="Q493" i="18"/>
  <c r="Y400" i="18"/>
  <c r="Y338" i="18"/>
  <c r="Y524" i="18"/>
  <c r="Y462" i="18"/>
  <c r="Y555" i="18"/>
  <c r="Y493" i="18"/>
  <c r="Y431" i="18"/>
  <c r="Y369" i="18"/>
  <c r="R524" i="18"/>
  <c r="R462" i="18"/>
  <c r="R400" i="18"/>
  <c r="R338" i="18"/>
  <c r="R431" i="18"/>
  <c r="R369" i="18"/>
  <c r="R555" i="18"/>
  <c r="R493" i="18"/>
  <c r="Z369" i="18"/>
  <c r="Z524" i="18"/>
  <c r="Z462" i="18"/>
  <c r="Z400" i="18"/>
  <c r="Z338" i="18"/>
  <c r="Z555" i="18"/>
  <c r="Z493" i="18"/>
  <c r="Z431" i="18"/>
  <c r="AG555" i="18"/>
  <c r="AG493" i="18"/>
  <c r="AG400" i="18"/>
  <c r="AG338" i="18"/>
  <c r="AG431" i="18"/>
  <c r="AG369" i="18"/>
  <c r="AG524" i="18"/>
  <c r="AG462" i="18"/>
  <c r="K524" i="18"/>
  <c r="K462" i="18"/>
  <c r="K400" i="18"/>
  <c r="K338" i="18"/>
  <c r="K493" i="18"/>
  <c r="K369" i="18"/>
  <c r="K555" i="18"/>
  <c r="K431" i="18"/>
  <c r="S524" i="18"/>
  <c r="S462" i="18"/>
  <c r="S400" i="18"/>
  <c r="S338" i="18"/>
  <c r="S369" i="18"/>
  <c r="S555" i="18"/>
  <c r="S431" i="18"/>
  <c r="S493" i="18"/>
  <c r="AA524" i="18"/>
  <c r="AA462" i="18"/>
  <c r="AA400" i="18"/>
  <c r="AA338" i="18"/>
  <c r="AA555" i="18"/>
  <c r="AA493" i="18"/>
  <c r="AA431" i="18"/>
  <c r="AA369" i="18"/>
  <c r="L524" i="18"/>
  <c r="L462" i="18"/>
  <c r="L400" i="18"/>
  <c r="L338" i="18"/>
  <c r="L555" i="18"/>
  <c r="L493" i="18"/>
  <c r="L431" i="18"/>
  <c r="L369" i="18"/>
  <c r="M493" i="18"/>
  <c r="M462" i="18"/>
  <c r="M555" i="18"/>
  <c r="M524" i="18"/>
  <c r="M338" i="18"/>
  <c r="M431" i="18"/>
  <c r="M369" i="18"/>
  <c r="M400" i="18"/>
  <c r="U555" i="18"/>
  <c r="U369" i="18"/>
  <c r="U431" i="18"/>
  <c r="U462" i="18"/>
  <c r="U493" i="18"/>
  <c r="U338" i="18"/>
  <c r="U524" i="18"/>
  <c r="U400" i="18"/>
  <c r="AC431" i="18"/>
  <c r="AC493" i="18"/>
  <c r="AC369" i="18"/>
  <c r="AC400" i="18"/>
  <c r="AC555" i="18"/>
  <c r="AC524" i="18"/>
  <c r="AC462" i="18"/>
  <c r="AC338" i="18"/>
  <c r="T524" i="18"/>
  <c r="T462" i="18"/>
  <c r="T400" i="18"/>
  <c r="T338" i="18"/>
  <c r="T555" i="18"/>
  <c r="T493" i="18"/>
  <c r="T431" i="18"/>
  <c r="T369" i="18"/>
  <c r="N400" i="18"/>
  <c r="N462" i="18"/>
  <c r="N555" i="18"/>
  <c r="N493" i="18"/>
  <c r="N431" i="18"/>
  <c r="N369" i="18"/>
  <c r="N524" i="18"/>
  <c r="N338" i="18"/>
  <c r="V524" i="18"/>
  <c r="V462" i="18"/>
  <c r="V555" i="18"/>
  <c r="V493" i="18"/>
  <c r="V431" i="18"/>
  <c r="V369" i="18"/>
  <c r="V400" i="18"/>
  <c r="V338" i="18"/>
  <c r="AD338" i="18"/>
  <c r="AD524" i="18"/>
  <c r="AD400" i="18"/>
  <c r="AD555" i="18"/>
  <c r="AD493" i="18"/>
  <c r="AD431" i="18"/>
  <c r="AD369" i="18"/>
  <c r="AD462" i="18"/>
  <c r="AB524" i="18"/>
  <c r="AB462" i="18"/>
  <c r="AB400" i="18"/>
  <c r="AB338" i="18"/>
  <c r="AB555" i="18"/>
  <c r="AB493" i="18"/>
  <c r="AB431" i="18"/>
  <c r="AB369" i="18"/>
  <c r="O555" i="18"/>
  <c r="O493" i="18"/>
  <c r="O431" i="18"/>
  <c r="O369" i="18"/>
  <c r="O400" i="18"/>
  <c r="O524" i="18"/>
  <c r="O338" i="18"/>
  <c r="O462" i="18"/>
  <c r="W555" i="18"/>
  <c r="W493" i="18"/>
  <c r="W431" i="18"/>
  <c r="W369" i="18"/>
  <c r="W462" i="18"/>
  <c r="W400" i="18"/>
  <c r="W338" i="18"/>
  <c r="W524" i="18"/>
  <c r="AE524" i="18"/>
  <c r="AE555" i="18"/>
  <c r="AE493" i="18"/>
  <c r="AE431" i="18"/>
  <c r="AE369" i="18"/>
  <c r="AE400" i="18"/>
  <c r="AE338" i="18"/>
  <c r="AE462" i="18"/>
  <c r="P555" i="18"/>
  <c r="P493" i="18"/>
  <c r="P431" i="18"/>
  <c r="P369" i="18"/>
  <c r="P524" i="18"/>
  <c r="P462" i="18"/>
  <c r="P400" i="18"/>
  <c r="P338" i="18"/>
  <c r="X555" i="18"/>
  <c r="X493" i="18"/>
  <c r="X431" i="18"/>
  <c r="X369" i="18"/>
  <c r="X524" i="18"/>
  <c r="X462" i="18"/>
  <c r="X400" i="18"/>
  <c r="X338" i="18"/>
  <c r="AF555" i="18"/>
  <c r="AF493" i="18"/>
  <c r="AF431" i="18"/>
  <c r="AF369" i="18"/>
  <c r="AF524" i="18"/>
  <c r="AF462" i="18"/>
  <c r="AF400" i="18"/>
  <c r="AF338" i="18"/>
  <c r="J400" i="18"/>
  <c r="J493" i="18"/>
  <c r="J555" i="18"/>
  <c r="J338" i="18"/>
  <c r="J431" i="18"/>
  <c r="J524" i="18"/>
  <c r="J369" i="18"/>
  <c r="J462" i="18"/>
  <c r="AH554" i="18"/>
  <c r="AH430" i="18"/>
  <c r="AH399" i="18"/>
  <c r="AH461" i="18"/>
  <c r="AH337" i="18"/>
  <c r="AH492" i="18"/>
  <c r="AH368" i="18"/>
  <c r="AH523" i="18"/>
  <c r="K399" i="18"/>
  <c r="K492" i="18"/>
  <c r="K337" i="18"/>
  <c r="K430" i="18"/>
  <c r="K523" i="18"/>
  <c r="K368" i="18"/>
  <c r="K554" i="18"/>
  <c r="K461" i="18"/>
  <c r="S399" i="18"/>
  <c r="S492" i="18"/>
  <c r="S337" i="18"/>
  <c r="S430" i="18"/>
  <c r="S523" i="18"/>
  <c r="S461" i="18"/>
  <c r="S368" i="18"/>
  <c r="S554" i="18"/>
  <c r="AA399" i="18"/>
  <c r="AA461" i="18"/>
  <c r="AA492" i="18"/>
  <c r="AA337" i="18"/>
  <c r="AA430" i="18"/>
  <c r="AA523" i="18"/>
  <c r="AA368" i="18"/>
  <c r="AA554" i="18"/>
  <c r="M337" i="18"/>
  <c r="M430" i="18"/>
  <c r="M523" i="18"/>
  <c r="M368" i="18"/>
  <c r="M461" i="18"/>
  <c r="M554" i="18"/>
  <c r="M399" i="18"/>
  <c r="M492" i="18"/>
  <c r="U337" i="18"/>
  <c r="U399" i="18"/>
  <c r="U430" i="18"/>
  <c r="U523" i="18"/>
  <c r="U368" i="18"/>
  <c r="U461" i="18"/>
  <c r="U554" i="18"/>
  <c r="U492" i="18"/>
  <c r="AC337" i="18"/>
  <c r="AC430" i="18"/>
  <c r="AC399" i="18"/>
  <c r="AC523" i="18"/>
  <c r="AC368" i="18"/>
  <c r="AC461" i="18"/>
  <c r="AC554" i="18"/>
  <c r="AC492" i="18"/>
  <c r="L492" i="18"/>
  <c r="L554" i="18"/>
  <c r="L337" i="18"/>
  <c r="L430" i="18"/>
  <c r="L523" i="18"/>
  <c r="L368" i="18"/>
  <c r="L461" i="18"/>
  <c r="L399" i="18"/>
  <c r="N430" i="18"/>
  <c r="N523" i="18"/>
  <c r="N368" i="18"/>
  <c r="N461" i="18"/>
  <c r="N554" i="18"/>
  <c r="N399" i="18"/>
  <c r="N492" i="18"/>
  <c r="N337" i="18"/>
  <c r="V430" i="18"/>
  <c r="V523" i="18"/>
  <c r="V368" i="18"/>
  <c r="V461" i="18"/>
  <c r="V492" i="18"/>
  <c r="V554" i="18"/>
  <c r="V399" i="18"/>
  <c r="V337" i="18"/>
  <c r="AD430" i="18"/>
  <c r="AD523" i="18"/>
  <c r="AD368" i="18"/>
  <c r="AD492" i="18"/>
  <c r="AD461" i="18"/>
  <c r="AD554" i="18"/>
  <c r="AD399" i="18"/>
  <c r="AD337" i="18"/>
  <c r="O523" i="18"/>
  <c r="O368" i="18"/>
  <c r="O461" i="18"/>
  <c r="O554" i="18"/>
  <c r="O399" i="18"/>
  <c r="O492" i="18"/>
  <c r="O337" i="18"/>
  <c r="O430" i="18"/>
  <c r="W523" i="18"/>
  <c r="W368" i="18"/>
  <c r="W461" i="18"/>
  <c r="W554" i="18"/>
  <c r="W399" i="18"/>
  <c r="W337" i="18"/>
  <c r="W492" i="18"/>
  <c r="W430" i="18"/>
  <c r="AE523" i="18"/>
  <c r="AE368" i="18"/>
  <c r="AE461" i="18"/>
  <c r="AE554" i="18"/>
  <c r="AE337" i="18"/>
  <c r="AE399" i="18"/>
  <c r="AE492" i="18"/>
  <c r="AE430" i="18"/>
  <c r="T492" i="18"/>
  <c r="T337" i="18"/>
  <c r="T430" i="18"/>
  <c r="T554" i="18"/>
  <c r="T523" i="18"/>
  <c r="T368" i="18"/>
  <c r="T461" i="18"/>
  <c r="T399" i="18"/>
  <c r="P368" i="18"/>
  <c r="P461" i="18"/>
  <c r="P554" i="18"/>
  <c r="P399" i="18"/>
  <c r="P430" i="18"/>
  <c r="P492" i="18"/>
  <c r="P337" i="18"/>
  <c r="P523" i="18"/>
  <c r="X368" i="18"/>
  <c r="X461" i="18"/>
  <c r="X554" i="18"/>
  <c r="X399" i="18"/>
  <c r="X492" i="18"/>
  <c r="X337" i="18"/>
  <c r="X430" i="18"/>
  <c r="X523" i="18"/>
  <c r="AF368" i="18"/>
  <c r="AF430" i="18"/>
  <c r="AF461" i="18"/>
  <c r="AF554" i="18"/>
  <c r="AF399" i="18"/>
  <c r="AF492" i="18"/>
  <c r="AF337" i="18"/>
  <c r="AF523" i="18"/>
  <c r="Q461" i="18"/>
  <c r="Q554" i="18"/>
  <c r="Q399" i="18"/>
  <c r="Q492" i="18"/>
  <c r="Q337" i="18"/>
  <c r="Q430" i="18"/>
  <c r="Q523" i="18"/>
  <c r="Q368" i="18"/>
  <c r="Y461" i="18"/>
  <c r="Y554" i="18"/>
  <c r="Y399" i="18"/>
  <c r="Y492" i="18"/>
  <c r="Y337" i="18"/>
  <c r="Y430" i="18"/>
  <c r="Y368" i="18"/>
  <c r="Y523" i="18"/>
  <c r="AG461" i="18"/>
  <c r="AG554" i="18"/>
  <c r="AG399" i="18"/>
  <c r="AG492" i="18"/>
  <c r="AG337" i="18"/>
  <c r="AG523" i="18"/>
  <c r="AG430" i="18"/>
  <c r="AG368" i="18"/>
  <c r="AB492" i="18"/>
  <c r="AB337" i="18"/>
  <c r="AB554" i="18"/>
  <c r="AB430" i="18"/>
  <c r="AB523" i="18"/>
  <c r="AB368" i="18"/>
  <c r="AB461" i="18"/>
  <c r="AB399" i="18"/>
  <c r="R554" i="18"/>
  <c r="R399" i="18"/>
  <c r="R492" i="18"/>
  <c r="R337" i="18"/>
  <c r="R430" i="18"/>
  <c r="R523" i="18"/>
  <c r="R461" i="18"/>
  <c r="R368" i="18"/>
  <c r="Z554" i="18"/>
  <c r="Z399" i="18"/>
  <c r="Z492" i="18"/>
  <c r="Z368" i="18"/>
  <c r="Z337" i="18"/>
  <c r="Z430" i="18"/>
  <c r="Z523" i="18"/>
  <c r="Z461" i="18"/>
  <c r="J554" i="18"/>
  <c r="J430" i="18"/>
  <c r="J461" i="18"/>
  <c r="J337" i="18"/>
  <c r="J399" i="18"/>
  <c r="J492" i="18"/>
  <c r="J368" i="18"/>
  <c r="J523" i="18"/>
  <c r="AH396" i="18"/>
  <c r="AH365" i="18"/>
  <c r="AH334" i="18"/>
  <c r="AH458" i="18"/>
  <c r="AH551" i="18"/>
  <c r="AH520" i="18"/>
  <c r="AH489" i="18"/>
  <c r="AH427" i="18"/>
  <c r="AH366" i="18"/>
  <c r="AH335" i="18"/>
  <c r="AH552" i="18"/>
  <c r="AH521" i="18"/>
  <c r="AH490" i="18"/>
  <c r="AH459" i="18"/>
  <c r="AH428" i="18"/>
  <c r="AH397" i="18"/>
  <c r="AH336" i="18"/>
  <c r="AH398" i="18"/>
  <c r="AH553" i="18"/>
  <c r="AH522" i="18"/>
  <c r="AH491" i="18"/>
  <c r="AH460" i="18"/>
  <c r="AH429" i="18"/>
  <c r="AH367" i="18"/>
  <c r="AH550" i="18"/>
  <c r="AH426" i="18"/>
  <c r="AH395" i="18"/>
  <c r="AH457" i="18"/>
  <c r="AH333" i="18"/>
  <c r="AH488" i="18"/>
  <c r="AH364" i="18"/>
  <c r="AH519" i="18"/>
  <c r="I51" i="48"/>
  <c r="AG280" i="72"/>
  <c r="I52" i="48"/>
  <c r="AG281" i="72"/>
  <c r="Y520" i="18"/>
  <c r="Y551" i="18"/>
  <c r="Y458" i="18"/>
  <c r="Y489" i="18"/>
  <c r="Y396" i="18"/>
  <c r="Y427" i="18"/>
  <c r="Y365" i="18"/>
  <c r="Y334" i="18"/>
  <c r="AF521" i="18"/>
  <c r="AF459" i="18"/>
  <c r="AF490" i="18"/>
  <c r="AF428" i="18"/>
  <c r="AF552" i="18"/>
  <c r="AF366" i="18"/>
  <c r="AF397" i="18"/>
  <c r="AF335" i="18"/>
  <c r="X521" i="18"/>
  <c r="X459" i="18"/>
  <c r="X490" i="18"/>
  <c r="X428" i="18"/>
  <c r="X366" i="18"/>
  <c r="X552" i="18"/>
  <c r="X397" i="18"/>
  <c r="X335" i="18"/>
  <c r="P521" i="18"/>
  <c r="P459" i="18"/>
  <c r="P490" i="18"/>
  <c r="P552" i="18"/>
  <c r="P428" i="18"/>
  <c r="P397" i="18"/>
  <c r="P366" i="18"/>
  <c r="P335" i="18"/>
  <c r="Z551" i="18"/>
  <c r="Z489" i="18"/>
  <c r="Z520" i="18"/>
  <c r="Z365" i="18"/>
  <c r="Z458" i="18"/>
  <c r="Z396" i="18"/>
  <c r="Z427" i="18"/>
  <c r="Z334" i="18"/>
  <c r="R551" i="18"/>
  <c r="R489" i="18"/>
  <c r="R520" i="18"/>
  <c r="R365" i="18"/>
  <c r="R396" i="18"/>
  <c r="R458" i="18"/>
  <c r="R427" i="18"/>
  <c r="R334" i="18"/>
  <c r="AB519" i="18"/>
  <c r="AB550" i="18"/>
  <c r="AB364" i="18"/>
  <c r="AB395" i="18"/>
  <c r="AB426" i="18"/>
  <c r="AB488" i="18"/>
  <c r="AB333" i="18"/>
  <c r="AB457" i="18"/>
  <c r="T519" i="18"/>
  <c r="T550" i="18"/>
  <c r="T488" i="18"/>
  <c r="T364" i="18"/>
  <c r="T457" i="18"/>
  <c r="T395" i="18"/>
  <c r="T426" i="18"/>
  <c r="T333" i="18"/>
  <c r="L519" i="18"/>
  <c r="L550" i="18"/>
  <c r="L364" i="18"/>
  <c r="L488" i="18"/>
  <c r="L395" i="18"/>
  <c r="L426" i="18"/>
  <c r="L457" i="18"/>
  <c r="L333" i="18"/>
  <c r="K553" i="18"/>
  <c r="K460" i="18"/>
  <c r="K491" i="18"/>
  <c r="K367" i="18"/>
  <c r="K398" i="18"/>
  <c r="K429" i="18"/>
  <c r="K522" i="18"/>
  <c r="K336" i="18"/>
  <c r="S553" i="18"/>
  <c r="S460" i="18"/>
  <c r="S491" i="18"/>
  <c r="S367" i="18"/>
  <c r="S398" i="18"/>
  <c r="S522" i="18"/>
  <c r="S429" i="18"/>
  <c r="S336" i="18"/>
  <c r="AA553" i="18"/>
  <c r="AA460" i="18"/>
  <c r="AA491" i="18"/>
  <c r="AA367" i="18"/>
  <c r="AA522" i="18"/>
  <c r="AA398" i="18"/>
  <c r="AA429" i="18"/>
  <c r="AA336" i="18"/>
  <c r="W490" i="18"/>
  <c r="W521" i="18"/>
  <c r="W552" i="18"/>
  <c r="W459" i="18"/>
  <c r="W428" i="18"/>
  <c r="W397" i="18"/>
  <c r="W366" i="18"/>
  <c r="W335" i="18"/>
  <c r="AA550" i="18"/>
  <c r="AA457" i="18"/>
  <c r="AA488" i="18"/>
  <c r="AA519" i="18"/>
  <c r="AA395" i="18"/>
  <c r="AA426" i="18"/>
  <c r="AA333" i="18"/>
  <c r="AA364" i="18"/>
  <c r="AB460" i="18"/>
  <c r="AB522" i="18"/>
  <c r="AB553" i="18"/>
  <c r="AB367" i="18"/>
  <c r="AB491" i="18"/>
  <c r="AB398" i="18"/>
  <c r="AB429" i="18"/>
  <c r="AB336" i="18"/>
  <c r="AD490" i="18"/>
  <c r="AD552" i="18"/>
  <c r="AD459" i="18"/>
  <c r="AD397" i="18"/>
  <c r="AD521" i="18"/>
  <c r="AD428" i="18"/>
  <c r="AD366" i="18"/>
  <c r="AD335" i="18"/>
  <c r="V490" i="18"/>
  <c r="V552" i="18"/>
  <c r="V459" i="18"/>
  <c r="V397" i="18"/>
  <c r="V428" i="18"/>
  <c r="V521" i="18"/>
  <c r="V366" i="18"/>
  <c r="V335" i="18"/>
  <c r="N490" i="18"/>
  <c r="N552" i="18"/>
  <c r="N459" i="18"/>
  <c r="N397" i="18"/>
  <c r="N428" i="18"/>
  <c r="N521" i="18"/>
  <c r="N366" i="18"/>
  <c r="N335" i="18"/>
  <c r="AF520" i="18"/>
  <c r="AF458" i="18"/>
  <c r="AF489" i="18"/>
  <c r="AF427" i="18"/>
  <c r="AF551" i="18"/>
  <c r="AF396" i="18"/>
  <c r="AF365" i="18"/>
  <c r="AF334" i="18"/>
  <c r="X520" i="18"/>
  <c r="X458" i="18"/>
  <c r="X489" i="18"/>
  <c r="X427" i="18"/>
  <c r="X551" i="18"/>
  <c r="X396" i="18"/>
  <c r="X365" i="18"/>
  <c r="X334" i="18"/>
  <c r="P520" i="18"/>
  <c r="P458" i="18"/>
  <c r="P489" i="18"/>
  <c r="P427" i="18"/>
  <c r="P551" i="18"/>
  <c r="P365" i="18"/>
  <c r="P396" i="18"/>
  <c r="P334" i="18"/>
  <c r="Z550" i="18"/>
  <c r="Z488" i="18"/>
  <c r="Z519" i="18"/>
  <c r="Z364" i="18"/>
  <c r="Z457" i="18"/>
  <c r="Z395" i="18"/>
  <c r="Z333" i="18"/>
  <c r="Z426" i="18"/>
  <c r="R550" i="18"/>
  <c r="R488" i="18"/>
  <c r="R519" i="18"/>
  <c r="R364" i="18"/>
  <c r="R457" i="18"/>
  <c r="R333" i="18"/>
  <c r="R395" i="18"/>
  <c r="R426" i="18"/>
  <c r="M460" i="18"/>
  <c r="M491" i="18"/>
  <c r="M522" i="18"/>
  <c r="M398" i="18"/>
  <c r="M553" i="18"/>
  <c r="M429" i="18"/>
  <c r="M367" i="18"/>
  <c r="M336" i="18"/>
  <c r="U460" i="18"/>
  <c r="U491" i="18"/>
  <c r="U522" i="18"/>
  <c r="U553" i="18"/>
  <c r="U398" i="18"/>
  <c r="U429" i="18"/>
  <c r="U336" i="18"/>
  <c r="U367" i="18"/>
  <c r="AC460" i="18"/>
  <c r="AC491" i="18"/>
  <c r="AC522" i="18"/>
  <c r="AC398" i="18"/>
  <c r="AC429" i="18"/>
  <c r="AC553" i="18"/>
  <c r="AC336" i="18"/>
  <c r="AC367" i="18"/>
  <c r="AE490" i="18"/>
  <c r="AE521" i="18"/>
  <c r="AE552" i="18"/>
  <c r="AE428" i="18"/>
  <c r="AE459" i="18"/>
  <c r="AE397" i="18"/>
  <c r="AE366" i="18"/>
  <c r="AE335" i="18"/>
  <c r="Q520" i="18"/>
  <c r="Q551" i="18"/>
  <c r="Q458" i="18"/>
  <c r="Q489" i="18"/>
  <c r="Q396" i="18"/>
  <c r="Q427" i="18"/>
  <c r="Q334" i="18"/>
  <c r="Q365" i="18"/>
  <c r="K550" i="18"/>
  <c r="K488" i="18"/>
  <c r="K457" i="18"/>
  <c r="K395" i="18"/>
  <c r="K519" i="18"/>
  <c r="K426" i="18"/>
  <c r="K333" i="18"/>
  <c r="K364" i="18"/>
  <c r="T522" i="18"/>
  <c r="T553" i="18"/>
  <c r="T460" i="18"/>
  <c r="T367" i="18"/>
  <c r="T398" i="18"/>
  <c r="T491" i="18"/>
  <c r="T429" i="18"/>
  <c r="T336" i="18"/>
  <c r="AC459" i="18"/>
  <c r="AC490" i="18"/>
  <c r="AC521" i="18"/>
  <c r="AC397" i="18"/>
  <c r="AC428" i="18"/>
  <c r="AC552" i="18"/>
  <c r="AC335" i="18"/>
  <c r="AC366" i="18"/>
  <c r="U490" i="18"/>
  <c r="U521" i="18"/>
  <c r="U459" i="18"/>
  <c r="U397" i="18"/>
  <c r="U428" i="18"/>
  <c r="U552" i="18"/>
  <c r="U335" i="18"/>
  <c r="U366" i="18"/>
  <c r="M490" i="18"/>
  <c r="M521" i="18"/>
  <c r="M552" i="18"/>
  <c r="M397" i="18"/>
  <c r="M428" i="18"/>
  <c r="M459" i="18"/>
  <c r="M366" i="18"/>
  <c r="M335" i="18"/>
  <c r="AE489" i="18"/>
  <c r="AE520" i="18"/>
  <c r="AE551" i="18"/>
  <c r="AE458" i="18"/>
  <c r="AE427" i="18"/>
  <c r="AE396" i="18"/>
  <c r="AE334" i="18"/>
  <c r="AE365" i="18"/>
  <c r="W489" i="18"/>
  <c r="W520" i="18"/>
  <c r="W551" i="18"/>
  <c r="W427" i="18"/>
  <c r="W458" i="18"/>
  <c r="W396" i="18"/>
  <c r="W365" i="18"/>
  <c r="W334" i="18"/>
  <c r="O489" i="18"/>
  <c r="O520" i="18"/>
  <c r="O551" i="18"/>
  <c r="O458" i="18"/>
  <c r="O427" i="18"/>
  <c r="O365" i="18"/>
  <c r="O396" i="18"/>
  <c r="O334" i="18"/>
  <c r="AG519" i="18"/>
  <c r="AG550" i="18"/>
  <c r="AG457" i="18"/>
  <c r="AG488" i="18"/>
  <c r="AG395" i="18"/>
  <c r="AG426" i="18"/>
  <c r="AG333" i="18"/>
  <c r="AG364" i="18"/>
  <c r="Y519" i="18"/>
  <c r="Y550" i="18"/>
  <c r="Y457" i="18"/>
  <c r="Y395" i="18"/>
  <c r="Y488" i="18"/>
  <c r="Y426" i="18"/>
  <c r="Y364" i="18"/>
  <c r="Y333" i="18"/>
  <c r="Q519" i="18"/>
  <c r="Q550" i="18"/>
  <c r="Q488" i="18"/>
  <c r="Q457" i="18"/>
  <c r="Q395" i="18"/>
  <c r="Q426" i="18"/>
  <c r="Q364" i="18"/>
  <c r="Q333" i="18"/>
  <c r="N491" i="18"/>
  <c r="N553" i="18"/>
  <c r="N460" i="18"/>
  <c r="N398" i="18"/>
  <c r="N429" i="18"/>
  <c r="N522" i="18"/>
  <c r="N367" i="18"/>
  <c r="N336" i="18"/>
  <c r="V491" i="18"/>
  <c r="V553" i="18"/>
  <c r="V460" i="18"/>
  <c r="V398" i="18"/>
  <c r="V429" i="18"/>
  <c r="V522" i="18"/>
  <c r="V367" i="18"/>
  <c r="V336" i="18"/>
  <c r="AD491" i="18"/>
  <c r="AD553" i="18"/>
  <c r="AD460" i="18"/>
  <c r="AD398" i="18"/>
  <c r="AD522" i="18"/>
  <c r="AD429" i="18"/>
  <c r="AD367" i="18"/>
  <c r="AD336" i="18"/>
  <c r="L522" i="18"/>
  <c r="L553" i="18"/>
  <c r="L367" i="18"/>
  <c r="L398" i="18"/>
  <c r="L460" i="18"/>
  <c r="L429" i="18"/>
  <c r="L491" i="18"/>
  <c r="L336" i="18"/>
  <c r="AB521" i="18"/>
  <c r="AB552" i="18"/>
  <c r="AB490" i="18"/>
  <c r="AB366" i="18"/>
  <c r="AB397" i="18"/>
  <c r="AB428" i="18"/>
  <c r="AB459" i="18"/>
  <c r="AB335" i="18"/>
  <c r="T521" i="18"/>
  <c r="T552" i="18"/>
  <c r="T366" i="18"/>
  <c r="T490" i="18"/>
  <c r="T459" i="18"/>
  <c r="T397" i="18"/>
  <c r="T428" i="18"/>
  <c r="T335" i="18"/>
  <c r="L521" i="18"/>
  <c r="L552" i="18"/>
  <c r="L366" i="18"/>
  <c r="L397" i="18"/>
  <c r="L490" i="18"/>
  <c r="L428" i="18"/>
  <c r="L335" i="18"/>
  <c r="L459" i="18"/>
  <c r="AD489" i="18"/>
  <c r="AD551" i="18"/>
  <c r="AD458" i="18"/>
  <c r="AD520" i="18"/>
  <c r="AD396" i="18"/>
  <c r="AD427" i="18"/>
  <c r="AD365" i="18"/>
  <c r="AD334" i="18"/>
  <c r="V489" i="18"/>
  <c r="V551" i="18"/>
  <c r="V458" i="18"/>
  <c r="V396" i="18"/>
  <c r="V520" i="18"/>
  <c r="V427" i="18"/>
  <c r="V365" i="18"/>
  <c r="V334" i="18"/>
  <c r="N489" i="18"/>
  <c r="N551" i="18"/>
  <c r="N458" i="18"/>
  <c r="N396" i="18"/>
  <c r="N427" i="18"/>
  <c r="N520" i="18"/>
  <c r="N365" i="18"/>
  <c r="N334" i="18"/>
  <c r="AF519" i="18"/>
  <c r="AF457" i="18"/>
  <c r="AF488" i="18"/>
  <c r="AF426" i="18"/>
  <c r="AF550" i="18"/>
  <c r="AF333" i="18"/>
  <c r="AF395" i="18"/>
  <c r="AF364" i="18"/>
  <c r="X519" i="18"/>
  <c r="X457" i="18"/>
  <c r="X488" i="18"/>
  <c r="X426" i="18"/>
  <c r="X550" i="18"/>
  <c r="X395" i="18"/>
  <c r="X364" i="18"/>
  <c r="X333" i="18"/>
  <c r="P519" i="18"/>
  <c r="P457" i="18"/>
  <c r="P488" i="18"/>
  <c r="P426" i="18"/>
  <c r="P364" i="18"/>
  <c r="P550" i="18"/>
  <c r="P395" i="18"/>
  <c r="P333" i="18"/>
  <c r="O491" i="18"/>
  <c r="O522" i="18"/>
  <c r="O553" i="18"/>
  <c r="O429" i="18"/>
  <c r="O460" i="18"/>
  <c r="O398" i="18"/>
  <c r="O367" i="18"/>
  <c r="O336" i="18"/>
  <c r="W491" i="18"/>
  <c r="W522" i="18"/>
  <c r="W553" i="18"/>
  <c r="W429" i="18"/>
  <c r="W460" i="18"/>
  <c r="W398" i="18"/>
  <c r="W367" i="18"/>
  <c r="W336" i="18"/>
  <c r="AE491" i="18"/>
  <c r="AE522" i="18"/>
  <c r="AE553" i="18"/>
  <c r="AE429" i="18"/>
  <c r="AE460" i="18"/>
  <c r="AE398" i="18"/>
  <c r="AE367" i="18"/>
  <c r="AE336" i="18"/>
  <c r="AG520" i="18"/>
  <c r="AG551" i="18"/>
  <c r="AG458" i="18"/>
  <c r="AG396" i="18"/>
  <c r="AG427" i="18"/>
  <c r="AG365" i="18"/>
  <c r="AG334" i="18"/>
  <c r="AG489" i="18"/>
  <c r="AA552" i="18"/>
  <c r="AA459" i="18"/>
  <c r="AA490" i="18"/>
  <c r="AA366" i="18"/>
  <c r="AA521" i="18"/>
  <c r="AA397" i="18"/>
  <c r="AA428" i="18"/>
  <c r="AA335" i="18"/>
  <c r="S552" i="18"/>
  <c r="S459" i="18"/>
  <c r="S490" i="18"/>
  <c r="S366" i="18"/>
  <c r="S397" i="18"/>
  <c r="S521" i="18"/>
  <c r="S428" i="18"/>
  <c r="S335" i="18"/>
  <c r="K552" i="18"/>
  <c r="K459" i="18"/>
  <c r="K490" i="18"/>
  <c r="K397" i="18"/>
  <c r="K428" i="18"/>
  <c r="K366" i="18"/>
  <c r="K335" i="18"/>
  <c r="K521" i="18"/>
  <c r="AC489" i="18"/>
  <c r="AC520" i="18"/>
  <c r="AC458" i="18"/>
  <c r="AC396" i="18"/>
  <c r="AC427" i="18"/>
  <c r="AC551" i="18"/>
  <c r="AC334" i="18"/>
  <c r="AC365" i="18"/>
  <c r="U489" i="18"/>
  <c r="U520" i="18"/>
  <c r="U396" i="18"/>
  <c r="U427" i="18"/>
  <c r="U458" i="18"/>
  <c r="U334" i="18"/>
  <c r="U551" i="18"/>
  <c r="U365" i="18"/>
  <c r="M489" i="18"/>
  <c r="M520" i="18"/>
  <c r="M551" i="18"/>
  <c r="M458" i="18"/>
  <c r="M396" i="18"/>
  <c r="M427" i="18"/>
  <c r="M334" i="18"/>
  <c r="M365" i="18"/>
  <c r="AE488" i="18"/>
  <c r="AE519" i="18"/>
  <c r="AE550" i="18"/>
  <c r="AE426" i="18"/>
  <c r="AE457" i="18"/>
  <c r="AE395" i="18"/>
  <c r="AE364" i="18"/>
  <c r="AE333" i="18"/>
  <c r="W488" i="18"/>
  <c r="W519" i="18"/>
  <c r="W550" i="18"/>
  <c r="W457" i="18"/>
  <c r="W426" i="18"/>
  <c r="W364" i="18"/>
  <c r="W395" i="18"/>
  <c r="W333" i="18"/>
  <c r="O488" i="18"/>
  <c r="O519" i="18"/>
  <c r="O550" i="18"/>
  <c r="O426" i="18"/>
  <c r="O457" i="18"/>
  <c r="O333" i="18"/>
  <c r="O364" i="18"/>
  <c r="O395" i="18"/>
  <c r="P522" i="18"/>
  <c r="P460" i="18"/>
  <c r="P491" i="18"/>
  <c r="P429" i="18"/>
  <c r="P553" i="18"/>
  <c r="P398" i="18"/>
  <c r="P367" i="18"/>
  <c r="P336" i="18"/>
  <c r="X522" i="18"/>
  <c r="X460" i="18"/>
  <c r="X491" i="18"/>
  <c r="X429" i="18"/>
  <c r="X553" i="18"/>
  <c r="X367" i="18"/>
  <c r="X398" i="18"/>
  <c r="X336" i="18"/>
  <c r="AF522" i="18"/>
  <c r="AF460" i="18"/>
  <c r="AF491" i="18"/>
  <c r="AF429" i="18"/>
  <c r="AF553" i="18"/>
  <c r="AF398" i="18"/>
  <c r="AF367" i="18"/>
  <c r="AF336" i="18"/>
  <c r="S550" i="18"/>
  <c r="S457" i="18"/>
  <c r="S488" i="18"/>
  <c r="S519" i="18"/>
  <c r="S395" i="18"/>
  <c r="S426" i="18"/>
  <c r="S364" i="18"/>
  <c r="S333" i="18"/>
  <c r="Z552" i="18"/>
  <c r="Z490" i="18"/>
  <c r="Z521" i="18"/>
  <c r="Z366" i="18"/>
  <c r="Z397" i="18"/>
  <c r="Z459" i="18"/>
  <c r="Z335" i="18"/>
  <c r="Z428" i="18"/>
  <c r="R552" i="18"/>
  <c r="R490" i="18"/>
  <c r="R521" i="18"/>
  <c r="R366" i="18"/>
  <c r="R459" i="18"/>
  <c r="R397" i="18"/>
  <c r="R335" i="18"/>
  <c r="R428" i="18"/>
  <c r="AB520" i="18"/>
  <c r="AB551" i="18"/>
  <c r="AB365" i="18"/>
  <c r="AB458" i="18"/>
  <c r="AB396" i="18"/>
  <c r="AB427" i="18"/>
  <c r="AB489" i="18"/>
  <c r="AB334" i="18"/>
  <c r="T520" i="18"/>
  <c r="T551" i="18"/>
  <c r="T365" i="18"/>
  <c r="T489" i="18"/>
  <c r="T396" i="18"/>
  <c r="T427" i="18"/>
  <c r="T334" i="18"/>
  <c r="T458" i="18"/>
  <c r="L520" i="18"/>
  <c r="L551" i="18"/>
  <c r="L365" i="18"/>
  <c r="L458" i="18"/>
  <c r="L396" i="18"/>
  <c r="L489" i="18"/>
  <c r="L427" i="18"/>
  <c r="L334" i="18"/>
  <c r="AD488" i="18"/>
  <c r="AD550" i="18"/>
  <c r="AD457" i="18"/>
  <c r="AD395" i="18"/>
  <c r="AD426" i="18"/>
  <c r="AD519" i="18"/>
  <c r="AD364" i="18"/>
  <c r="AD333" i="18"/>
  <c r="V488" i="18"/>
  <c r="V550" i="18"/>
  <c r="V457" i="18"/>
  <c r="V395" i="18"/>
  <c r="V519" i="18"/>
  <c r="V426" i="18"/>
  <c r="V364" i="18"/>
  <c r="V333" i="18"/>
  <c r="N488" i="18"/>
  <c r="N550" i="18"/>
  <c r="N457" i="18"/>
  <c r="N395" i="18"/>
  <c r="N426" i="18"/>
  <c r="N519" i="18"/>
  <c r="N364" i="18"/>
  <c r="N333" i="18"/>
  <c r="Q522" i="18"/>
  <c r="Q553" i="18"/>
  <c r="Q460" i="18"/>
  <c r="Q491" i="18"/>
  <c r="Q398" i="18"/>
  <c r="Q429" i="18"/>
  <c r="Q367" i="18"/>
  <c r="Q336" i="18"/>
  <c r="Y522" i="18"/>
  <c r="Y553" i="18"/>
  <c r="Y460" i="18"/>
  <c r="Y491" i="18"/>
  <c r="Y398" i="18"/>
  <c r="Y429" i="18"/>
  <c r="Y336" i="18"/>
  <c r="Y367" i="18"/>
  <c r="AG522" i="18"/>
  <c r="AG553" i="18"/>
  <c r="AG460" i="18"/>
  <c r="AG491" i="18"/>
  <c r="AG398" i="18"/>
  <c r="AG429" i="18"/>
  <c r="AG367" i="18"/>
  <c r="AG336" i="18"/>
  <c r="O490" i="18"/>
  <c r="O521" i="18"/>
  <c r="O552" i="18"/>
  <c r="O428" i="18"/>
  <c r="O459" i="18"/>
  <c r="O397" i="18"/>
  <c r="O335" i="18"/>
  <c r="O366" i="18"/>
  <c r="AG521" i="18"/>
  <c r="AG552" i="18"/>
  <c r="AG459" i="18"/>
  <c r="AG397" i="18"/>
  <c r="AG490" i="18"/>
  <c r="AG428" i="18"/>
  <c r="AG366" i="18"/>
  <c r="AG335" i="18"/>
  <c r="Y521" i="18"/>
  <c r="Y552" i="18"/>
  <c r="Y459" i="18"/>
  <c r="Y490" i="18"/>
  <c r="Y397" i="18"/>
  <c r="Y428" i="18"/>
  <c r="Y335" i="18"/>
  <c r="Y366" i="18"/>
  <c r="Q521" i="18"/>
  <c r="Q552" i="18"/>
  <c r="Q459" i="18"/>
  <c r="Q490" i="18"/>
  <c r="Q397" i="18"/>
  <c r="Q428" i="18"/>
  <c r="Q366" i="18"/>
  <c r="Q335" i="18"/>
  <c r="AA551" i="18"/>
  <c r="AA458" i="18"/>
  <c r="AA489" i="18"/>
  <c r="AA520" i="18"/>
  <c r="AA396" i="18"/>
  <c r="AA427" i="18"/>
  <c r="AA365" i="18"/>
  <c r="AA334" i="18"/>
  <c r="S551" i="18"/>
  <c r="S458" i="18"/>
  <c r="S489" i="18"/>
  <c r="S520" i="18"/>
  <c r="S396" i="18"/>
  <c r="S427" i="18"/>
  <c r="S365" i="18"/>
  <c r="S334" i="18"/>
  <c r="K551" i="18"/>
  <c r="K458" i="18"/>
  <c r="K489" i="18"/>
  <c r="K396" i="18"/>
  <c r="K520" i="18"/>
  <c r="K427" i="18"/>
  <c r="K334" i="18"/>
  <c r="K365" i="18"/>
  <c r="AC488" i="18"/>
  <c r="AC519" i="18"/>
  <c r="AC395" i="18"/>
  <c r="AC550" i="18"/>
  <c r="AC426" i="18"/>
  <c r="AC457" i="18"/>
  <c r="AC333" i="18"/>
  <c r="AC364" i="18"/>
  <c r="U488" i="18"/>
  <c r="U519" i="18"/>
  <c r="U457" i="18"/>
  <c r="U395" i="18"/>
  <c r="U426" i="18"/>
  <c r="U550" i="18"/>
  <c r="U364" i="18"/>
  <c r="U333" i="18"/>
  <c r="M488" i="18"/>
  <c r="M519" i="18"/>
  <c r="M395" i="18"/>
  <c r="M426" i="18"/>
  <c r="M550" i="18"/>
  <c r="M333" i="18"/>
  <c r="M364" i="18"/>
  <c r="M457" i="18"/>
  <c r="R553" i="18"/>
  <c r="R491" i="18"/>
  <c r="R522" i="18"/>
  <c r="R460" i="18"/>
  <c r="R367" i="18"/>
  <c r="R398" i="18"/>
  <c r="R336" i="18"/>
  <c r="R429" i="18"/>
  <c r="Z553" i="18"/>
  <c r="Z491" i="18"/>
  <c r="Z522" i="18"/>
  <c r="Z367" i="18"/>
  <c r="Z398" i="18"/>
  <c r="Z429" i="18"/>
  <c r="Z336" i="18"/>
  <c r="Z460" i="18"/>
  <c r="J522" i="18"/>
  <c r="J553" i="18"/>
  <c r="J336" i="18"/>
  <c r="J367" i="18"/>
  <c r="J460" i="18"/>
  <c r="J398" i="18"/>
  <c r="J429" i="18"/>
  <c r="J491" i="18"/>
  <c r="J552" i="18"/>
  <c r="J521" i="18"/>
  <c r="J490" i="18"/>
  <c r="J459" i="18"/>
  <c r="J428" i="18"/>
  <c r="J397" i="18"/>
  <c r="J366" i="18"/>
  <c r="J335" i="18"/>
  <c r="J396" i="18"/>
  <c r="J365" i="18"/>
  <c r="J334" i="18"/>
  <c r="J551" i="18"/>
  <c r="J520" i="18"/>
  <c r="J427" i="18"/>
  <c r="J489" i="18"/>
  <c r="J458" i="18"/>
  <c r="J488" i="18"/>
  <c r="J364" i="18"/>
  <c r="J395" i="18"/>
  <c r="J519" i="18"/>
  <c r="J457" i="18"/>
  <c r="J333" i="18"/>
  <c r="J550" i="18"/>
  <c r="J426" i="18"/>
  <c r="AH390" i="18"/>
  <c r="AH328" i="18"/>
  <c r="AH545" i="18"/>
  <c r="AH452" i="18"/>
  <c r="AH359" i="18"/>
  <c r="AH514" i="18"/>
  <c r="AH421" i="18"/>
  <c r="AH483" i="18"/>
  <c r="V483" i="18"/>
  <c r="V514" i="18"/>
  <c r="V359" i="18"/>
  <c r="V452" i="18"/>
  <c r="V328" i="18"/>
  <c r="V390" i="18"/>
  <c r="V545" i="18"/>
  <c r="V421" i="18"/>
  <c r="K545" i="18"/>
  <c r="K421" i="18"/>
  <c r="K514" i="18"/>
  <c r="K390" i="18"/>
  <c r="K483" i="18"/>
  <c r="K359" i="18"/>
  <c r="K452" i="18"/>
  <c r="K328" i="18"/>
  <c r="S545" i="18"/>
  <c r="S421" i="18"/>
  <c r="S328" i="18"/>
  <c r="S514" i="18"/>
  <c r="S390" i="18"/>
  <c r="S483" i="18"/>
  <c r="S359" i="18"/>
  <c r="S452" i="18"/>
  <c r="AA545" i="18"/>
  <c r="AA421" i="18"/>
  <c r="AA328" i="18"/>
  <c r="AA514" i="18"/>
  <c r="AA390" i="18"/>
  <c r="AA452" i="18"/>
  <c r="AA483" i="18"/>
  <c r="AA359" i="18"/>
  <c r="M514" i="18"/>
  <c r="M390" i="18"/>
  <c r="M483" i="18"/>
  <c r="M359" i="18"/>
  <c r="M452" i="18"/>
  <c r="M328" i="18"/>
  <c r="M421" i="18"/>
  <c r="M545" i="18"/>
  <c r="U514" i="18"/>
  <c r="U390" i="18"/>
  <c r="U483" i="18"/>
  <c r="U359" i="18"/>
  <c r="U452" i="18"/>
  <c r="U328" i="18"/>
  <c r="U545" i="18"/>
  <c r="U421" i="18"/>
  <c r="AC514" i="18"/>
  <c r="AC390" i="18"/>
  <c r="AC483" i="18"/>
  <c r="AC359" i="18"/>
  <c r="AC545" i="18"/>
  <c r="AC421" i="18"/>
  <c r="AC452" i="18"/>
  <c r="AC328" i="18"/>
  <c r="N359" i="18"/>
  <c r="N390" i="18"/>
  <c r="N483" i="18"/>
  <c r="N452" i="18"/>
  <c r="N328" i="18"/>
  <c r="N514" i="18"/>
  <c r="N545" i="18"/>
  <c r="N421" i="18"/>
  <c r="O483" i="18"/>
  <c r="O359" i="18"/>
  <c r="O452" i="18"/>
  <c r="O328" i="18"/>
  <c r="O545" i="18"/>
  <c r="O421" i="18"/>
  <c r="O514" i="18"/>
  <c r="O390" i="18"/>
  <c r="P452" i="18"/>
  <c r="P328" i="18"/>
  <c r="P421" i="18"/>
  <c r="P359" i="18"/>
  <c r="P545" i="18"/>
  <c r="P514" i="18"/>
  <c r="P390" i="18"/>
  <c r="P483" i="18"/>
  <c r="X452" i="18"/>
  <c r="X328" i="18"/>
  <c r="X421" i="18"/>
  <c r="X483" i="18"/>
  <c r="X545" i="18"/>
  <c r="X514" i="18"/>
  <c r="X390" i="18"/>
  <c r="X359" i="18"/>
  <c r="AF328" i="18"/>
  <c r="AF359" i="18"/>
  <c r="AF452" i="18"/>
  <c r="AF421" i="18"/>
  <c r="AF545" i="18"/>
  <c r="AF483" i="18"/>
  <c r="AF514" i="18"/>
  <c r="AF390" i="18"/>
  <c r="W483" i="18"/>
  <c r="W359" i="18"/>
  <c r="W452" i="18"/>
  <c r="W328" i="18"/>
  <c r="W545" i="18"/>
  <c r="W421" i="18"/>
  <c r="W390" i="18"/>
  <c r="W514" i="18"/>
  <c r="Q452" i="18"/>
  <c r="Q328" i="18"/>
  <c r="Q545" i="18"/>
  <c r="Q421" i="18"/>
  <c r="Q514" i="18"/>
  <c r="Q390" i="18"/>
  <c r="Q483" i="18"/>
  <c r="Q359" i="18"/>
  <c r="Y452" i="18"/>
  <c r="Y328" i="18"/>
  <c r="Y545" i="18"/>
  <c r="Y421" i="18"/>
  <c r="Y483" i="18"/>
  <c r="Y359" i="18"/>
  <c r="Y514" i="18"/>
  <c r="Y390" i="18"/>
  <c r="AG452" i="18"/>
  <c r="AG328" i="18"/>
  <c r="AG359" i="18"/>
  <c r="AG545" i="18"/>
  <c r="AG421" i="18"/>
  <c r="AG514" i="18"/>
  <c r="AG390" i="18"/>
  <c r="AG483" i="18"/>
  <c r="AE483" i="18"/>
  <c r="AE359" i="18"/>
  <c r="AE452" i="18"/>
  <c r="AE328" i="18"/>
  <c r="AE514" i="18"/>
  <c r="AE390" i="18"/>
  <c r="AE545" i="18"/>
  <c r="AE421" i="18"/>
  <c r="R545" i="18"/>
  <c r="R421" i="18"/>
  <c r="R390" i="18"/>
  <c r="R452" i="18"/>
  <c r="R514" i="18"/>
  <c r="R328" i="18"/>
  <c r="R483" i="18"/>
  <c r="R359" i="18"/>
  <c r="Z421" i="18"/>
  <c r="Z545" i="18"/>
  <c r="Z390" i="18"/>
  <c r="Z328" i="18"/>
  <c r="Z514" i="18"/>
  <c r="Z452" i="18"/>
  <c r="Z483" i="18"/>
  <c r="Z359" i="18"/>
  <c r="AD359" i="18"/>
  <c r="AD483" i="18"/>
  <c r="AD328" i="18"/>
  <c r="AD390" i="18"/>
  <c r="AD452" i="18"/>
  <c r="AD545" i="18"/>
  <c r="AD421" i="18"/>
  <c r="AD514" i="18"/>
  <c r="L390" i="18"/>
  <c r="L514" i="18"/>
  <c r="L359" i="18"/>
  <c r="L483" i="18"/>
  <c r="L545" i="18"/>
  <c r="L421" i="18"/>
  <c r="L452" i="18"/>
  <c r="L328" i="18"/>
  <c r="T545" i="18"/>
  <c r="T514" i="18"/>
  <c r="T390" i="18"/>
  <c r="T359" i="18"/>
  <c r="T483" i="18"/>
  <c r="T452" i="18"/>
  <c r="T328" i="18"/>
  <c r="T421" i="18"/>
  <c r="AB390" i="18"/>
  <c r="AB514" i="18"/>
  <c r="AB359" i="18"/>
  <c r="AB545" i="18"/>
  <c r="AB421" i="18"/>
  <c r="AB483" i="18"/>
  <c r="AB452" i="18"/>
  <c r="AB328" i="18"/>
  <c r="J390" i="18"/>
  <c r="J328" i="18"/>
  <c r="J545" i="18"/>
  <c r="J452" i="18"/>
  <c r="J359" i="18"/>
  <c r="J514" i="18"/>
  <c r="J421" i="18"/>
  <c r="J483" i="18"/>
  <c r="AH451" i="18"/>
  <c r="AH389" i="18"/>
  <c r="AH544" i="18"/>
  <c r="AH482" i="18"/>
  <c r="AH420" i="18"/>
  <c r="AH358" i="18"/>
  <c r="AH513" i="18"/>
  <c r="AH327" i="18"/>
  <c r="Q327" i="18"/>
  <c r="Q482" i="18"/>
  <c r="Q389" i="18"/>
  <c r="Q420" i="18"/>
  <c r="Q544" i="18"/>
  <c r="Q451" i="18"/>
  <c r="Q358" i="18"/>
  <c r="Q513" i="18"/>
  <c r="Y327" i="18"/>
  <c r="Y482" i="18"/>
  <c r="Y389" i="18"/>
  <c r="Y544" i="18"/>
  <c r="Y451" i="18"/>
  <c r="Y358" i="18"/>
  <c r="Y513" i="18"/>
  <c r="Y420" i="18"/>
  <c r="AG327" i="18"/>
  <c r="AG482" i="18"/>
  <c r="AG389" i="18"/>
  <c r="AG544" i="18"/>
  <c r="AG451" i="18"/>
  <c r="AG420" i="18"/>
  <c r="AG358" i="18"/>
  <c r="AG513" i="18"/>
  <c r="Z482" i="18"/>
  <c r="Z389" i="18"/>
  <c r="Z544" i="18"/>
  <c r="Z451" i="18"/>
  <c r="Z358" i="18"/>
  <c r="Z327" i="18"/>
  <c r="Z513" i="18"/>
  <c r="Z420" i="18"/>
  <c r="K389" i="18"/>
  <c r="K482" i="18"/>
  <c r="K544" i="18"/>
  <c r="K451" i="18"/>
  <c r="K358" i="18"/>
  <c r="K513" i="18"/>
  <c r="K420" i="18"/>
  <c r="K327" i="18"/>
  <c r="S389" i="18"/>
  <c r="S544" i="18"/>
  <c r="S451" i="18"/>
  <c r="S482" i="18"/>
  <c r="S358" i="18"/>
  <c r="S513" i="18"/>
  <c r="S420" i="18"/>
  <c r="S327" i="18"/>
  <c r="AA389" i="18"/>
  <c r="AA544" i="18"/>
  <c r="AA451" i="18"/>
  <c r="AA358" i="18"/>
  <c r="AA513" i="18"/>
  <c r="AA482" i="18"/>
  <c r="AA420" i="18"/>
  <c r="AA327" i="18"/>
  <c r="L544" i="18"/>
  <c r="L451" i="18"/>
  <c r="L358" i="18"/>
  <c r="L513" i="18"/>
  <c r="L389" i="18"/>
  <c r="L420" i="18"/>
  <c r="L327" i="18"/>
  <c r="L482" i="18"/>
  <c r="T544" i="18"/>
  <c r="T451" i="18"/>
  <c r="T358" i="18"/>
  <c r="T513" i="18"/>
  <c r="T420" i="18"/>
  <c r="T327" i="18"/>
  <c r="T389" i="18"/>
  <c r="T482" i="18"/>
  <c r="AB544" i="18"/>
  <c r="AB451" i="18"/>
  <c r="AB389" i="18"/>
  <c r="AB358" i="18"/>
  <c r="AB513" i="18"/>
  <c r="AB420" i="18"/>
  <c r="AB327" i="18"/>
  <c r="AB482" i="18"/>
  <c r="R482" i="18"/>
  <c r="R389" i="18"/>
  <c r="R544" i="18"/>
  <c r="R451" i="18"/>
  <c r="R358" i="18"/>
  <c r="R513" i="18"/>
  <c r="R327" i="18"/>
  <c r="R420" i="18"/>
  <c r="M451" i="18"/>
  <c r="M358" i="18"/>
  <c r="M513" i="18"/>
  <c r="M420" i="18"/>
  <c r="M327" i="18"/>
  <c r="M482" i="18"/>
  <c r="M389" i="18"/>
  <c r="M544" i="18"/>
  <c r="U451" i="18"/>
  <c r="U358" i="18"/>
  <c r="U544" i="18"/>
  <c r="U513" i="18"/>
  <c r="U420" i="18"/>
  <c r="U327" i="18"/>
  <c r="U482" i="18"/>
  <c r="U389" i="18"/>
  <c r="AC451" i="18"/>
  <c r="AC544" i="18"/>
  <c r="AC358" i="18"/>
  <c r="AC513" i="18"/>
  <c r="AC420" i="18"/>
  <c r="AC327" i="18"/>
  <c r="AC482" i="18"/>
  <c r="AC389" i="18"/>
  <c r="N358" i="18"/>
  <c r="N513" i="18"/>
  <c r="N420" i="18"/>
  <c r="N327" i="18"/>
  <c r="N482" i="18"/>
  <c r="N389" i="18"/>
  <c r="N544" i="18"/>
  <c r="N451" i="18"/>
  <c r="V358" i="18"/>
  <c r="V513" i="18"/>
  <c r="V451" i="18"/>
  <c r="V420" i="18"/>
  <c r="V327" i="18"/>
  <c r="V482" i="18"/>
  <c r="V389" i="18"/>
  <c r="V544" i="18"/>
  <c r="AD358" i="18"/>
  <c r="AD513" i="18"/>
  <c r="AD420" i="18"/>
  <c r="AD451" i="18"/>
  <c r="AD327" i="18"/>
  <c r="AD482" i="18"/>
  <c r="AD389" i="18"/>
  <c r="AD544" i="18"/>
  <c r="O513" i="18"/>
  <c r="O420" i="18"/>
  <c r="O327" i="18"/>
  <c r="O482" i="18"/>
  <c r="O389" i="18"/>
  <c r="O544" i="18"/>
  <c r="O358" i="18"/>
  <c r="O451" i="18"/>
  <c r="W513" i="18"/>
  <c r="W358" i="18"/>
  <c r="W420" i="18"/>
  <c r="W327" i="18"/>
  <c r="W482" i="18"/>
  <c r="W389" i="18"/>
  <c r="W544" i="18"/>
  <c r="W451" i="18"/>
  <c r="AE513" i="18"/>
  <c r="AE420" i="18"/>
  <c r="AE327" i="18"/>
  <c r="AE482" i="18"/>
  <c r="AE358" i="18"/>
  <c r="AE389" i="18"/>
  <c r="AE544" i="18"/>
  <c r="AE451" i="18"/>
  <c r="P420" i="18"/>
  <c r="P327" i="18"/>
  <c r="P513" i="18"/>
  <c r="P482" i="18"/>
  <c r="P389" i="18"/>
  <c r="P544" i="18"/>
  <c r="P451" i="18"/>
  <c r="P358" i="18"/>
  <c r="X420" i="18"/>
  <c r="X327" i="18"/>
  <c r="X482" i="18"/>
  <c r="X389" i="18"/>
  <c r="X544" i="18"/>
  <c r="X451" i="18"/>
  <c r="X513" i="18"/>
  <c r="X358" i="18"/>
  <c r="AF420" i="18"/>
  <c r="AF327" i="18"/>
  <c r="AF482" i="18"/>
  <c r="AF389" i="18"/>
  <c r="AF513" i="18"/>
  <c r="AF544" i="18"/>
  <c r="AF451" i="18"/>
  <c r="AF358" i="18"/>
  <c r="J389" i="18"/>
  <c r="J544" i="18"/>
  <c r="J482" i="18"/>
  <c r="J420" i="18"/>
  <c r="J358" i="18"/>
  <c r="J513" i="18"/>
  <c r="J327" i="18"/>
  <c r="J451" i="18"/>
  <c r="AH324" i="18"/>
  <c r="AH355" i="18"/>
  <c r="AH386" i="18"/>
  <c r="AH417" i="18"/>
  <c r="AH448" i="18"/>
  <c r="AH541" i="18"/>
  <c r="AH479" i="18"/>
  <c r="AH510" i="18"/>
  <c r="I48" i="48"/>
  <c r="AG277" i="72"/>
  <c r="I47" i="48"/>
  <c r="AG276" i="72"/>
  <c r="Y510" i="18"/>
  <c r="Y448" i="18"/>
  <c r="Y541" i="18"/>
  <c r="Y479" i="18"/>
  <c r="Y417" i="18"/>
  <c r="Y355" i="18"/>
  <c r="Y386" i="18"/>
  <c r="Y324" i="18"/>
  <c r="R541" i="18"/>
  <c r="R479" i="18"/>
  <c r="R417" i="18"/>
  <c r="R355" i="18"/>
  <c r="R324" i="18"/>
  <c r="R448" i="18"/>
  <c r="R510" i="18"/>
  <c r="R386" i="18"/>
  <c r="Z541" i="18"/>
  <c r="Z479" i="18"/>
  <c r="Z417" i="18"/>
  <c r="Z355" i="18"/>
  <c r="Z510" i="18"/>
  <c r="Z386" i="18"/>
  <c r="Z324" i="18"/>
  <c r="Z448" i="18"/>
  <c r="K541" i="18"/>
  <c r="K479" i="18"/>
  <c r="K417" i="18"/>
  <c r="K355" i="18"/>
  <c r="K510" i="18"/>
  <c r="K386" i="18"/>
  <c r="K324" i="18"/>
  <c r="K448" i="18"/>
  <c r="S541" i="18"/>
  <c r="S479" i="18"/>
  <c r="S417" i="18"/>
  <c r="S355" i="18"/>
  <c r="S510" i="18"/>
  <c r="S448" i="18"/>
  <c r="S386" i="18"/>
  <c r="S324" i="18"/>
  <c r="AA541" i="18"/>
  <c r="AA479" i="18"/>
  <c r="AA417" i="18"/>
  <c r="AA355" i="18"/>
  <c r="AA510" i="18"/>
  <c r="AA386" i="18"/>
  <c r="AA324" i="18"/>
  <c r="AA448" i="18"/>
  <c r="AG510" i="18"/>
  <c r="AG448" i="18"/>
  <c r="AG541" i="18"/>
  <c r="AG479" i="18"/>
  <c r="AG417" i="18"/>
  <c r="AG355" i="18"/>
  <c r="AG386" i="18"/>
  <c r="AG324" i="18"/>
  <c r="L541" i="18"/>
  <c r="L479" i="18"/>
  <c r="L417" i="18"/>
  <c r="L355" i="18"/>
  <c r="L510" i="18"/>
  <c r="L448" i="18"/>
  <c r="L386" i="18"/>
  <c r="L324" i="18"/>
  <c r="T541" i="18"/>
  <c r="T479" i="18"/>
  <c r="T417" i="18"/>
  <c r="T355" i="18"/>
  <c r="T510" i="18"/>
  <c r="T448" i="18"/>
  <c r="T386" i="18"/>
  <c r="T324" i="18"/>
  <c r="AB541" i="18"/>
  <c r="AB479" i="18"/>
  <c r="AB417" i="18"/>
  <c r="AB355" i="18"/>
  <c r="AB510" i="18"/>
  <c r="AB448" i="18"/>
  <c r="AB386" i="18"/>
  <c r="AB324" i="18"/>
  <c r="M541" i="18"/>
  <c r="M479" i="18"/>
  <c r="M417" i="18"/>
  <c r="M510" i="18"/>
  <c r="M448" i="18"/>
  <c r="M386" i="18"/>
  <c r="M324" i="18"/>
  <c r="M355" i="18"/>
  <c r="U541" i="18"/>
  <c r="U479" i="18"/>
  <c r="U417" i="18"/>
  <c r="U510" i="18"/>
  <c r="U448" i="18"/>
  <c r="U386" i="18"/>
  <c r="U324" i="18"/>
  <c r="U355" i="18"/>
  <c r="AC541" i="18"/>
  <c r="AC479" i="18"/>
  <c r="AC417" i="18"/>
  <c r="AC510" i="18"/>
  <c r="AC448" i="18"/>
  <c r="AC386" i="18"/>
  <c r="AC324" i="18"/>
  <c r="AC355" i="18"/>
  <c r="O510" i="18"/>
  <c r="O448" i="18"/>
  <c r="O386" i="18"/>
  <c r="O324" i="18"/>
  <c r="O541" i="18"/>
  <c r="O355" i="18"/>
  <c r="O417" i="18"/>
  <c r="O479" i="18"/>
  <c r="W510" i="18"/>
  <c r="W448" i="18"/>
  <c r="W386" i="18"/>
  <c r="W324" i="18"/>
  <c r="W541" i="18"/>
  <c r="W417" i="18"/>
  <c r="W479" i="18"/>
  <c r="W355" i="18"/>
  <c r="AE510" i="18"/>
  <c r="AE448" i="18"/>
  <c r="AE386" i="18"/>
  <c r="AE324" i="18"/>
  <c r="AE541" i="18"/>
  <c r="AE355" i="18"/>
  <c r="AE417" i="18"/>
  <c r="AE479" i="18"/>
  <c r="Q510" i="18"/>
  <c r="Q448" i="18"/>
  <c r="Q541" i="18"/>
  <c r="Q479" i="18"/>
  <c r="Q417" i="18"/>
  <c r="Q355" i="18"/>
  <c r="Q324" i="18"/>
  <c r="Q386" i="18"/>
  <c r="N510" i="18"/>
  <c r="N448" i="18"/>
  <c r="N386" i="18"/>
  <c r="N324" i="18"/>
  <c r="N355" i="18"/>
  <c r="N417" i="18"/>
  <c r="N479" i="18"/>
  <c r="N541" i="18"/>
  <c r="V510" i="18"/>
  <c r="V448" i="18"/>
  <c r="V386" i="18"/>
  <c r="V324" i="18"/>
  <c r="V417" i="18"/>
  <c r="V479" i="18"/>
  <c r="V355" i="18"/>
  <c r="V541" i="18"/>
  <c r="AD510" i="18"/>
  <c r="AD448" i="18"/>
  <c r="AD386" i="18"/>
  <c r="AD324" i="18"/>
  <c r="AD479" i="18"/>
  <c r="AD417" i="18"/>
  <c r="AD355" i="18"/>
  <c r="AD541" i="18"/>
  <c r="P510" i="18"/>
  <c r="P448" i="18"/>
  <c r="P386" i="18"/>
  <c r="P324" i="18"/>
  <c r="P541" i="18"/>
  <c r="P479" i="18"/>
  <c r="P417" i="18"/>
  <c r="P355" i="18"/>
  <c r="X510" i="18"/>
  <c r="X448" i="18"/>
  <c r="X386" i="18"/>
  <c r="X324" i="18"/>
  <c r="X541" i="18"/>
  <c r="X479" i="18"/>
  <c r="X417" i="18"/>
  <c r="X355" i="18"/>
  <c r="AF510" i="18"/>
  <c r="AF448" i="18"/>
  <c r="AF386" i="18"/>
  <c r="AF324" i="18"/>
  <c r="AF541" i="18"/>
  <c r="AF479" i="18"/>
  <c r="AF417" i="18"/>
  <c r="AF355" i="18"/>
  <c r="J324" i="18"/>
  <c r="J510" i="18"/>
  <c r="J355" i="18"/>
  <c r="J386" i="18"/>
  <c r="J417" i="18"/>
  <c r="J448" i="18"/>
  <c r="J479" i="18"/>
  <c r="J541" i="18"/>
  <c r="AH540" i="18"/>
  <c r="AH509" i="18"/>
  <c r="AH478" i="18"/>
  <c r="AH447" i="18"/>
  <c r="AH416" i="18"/>
  <c r="AH385" i="18"/>
  <c r="AH354" i="18"/>
  <c r="AH323" i="18"/>
  <c r="V416" i="18"/>
  <c r="V447" i="18"/>
  <c r="V478" i="18"/>
  <c r="V385" i="18"/>
  <c r="V509" i="18"/>
  <c r="V540" i="18"/>
  <c r="V323" i="18"/>
  <c r="V354" i="18"/>
  <c r="M385" i="18"/>
  <c r="M416" i="18"/>
  <c r="M447" i="18"/>
  <c r="M478" i="18"/>
  <c r="M509" i="18"/>
  <c r="M540" i="18"/>
  <c r="M323" i="18"/>
  <c r="M354" i="18"/>
  <c r="U385" i="18"/>
  <c r="U354" i="18"/>
  <c r="U416" i="18"/>
  <c r="U447" i="18"/>
  <c r="U478" i="18"/>
  <c r="U509" i="18"/>
  <c r="U540" i="18"/>
  <c r="U323" i="18"/>
  <c r="AC385" i="18"/>
  <c r="AC416" i="18"/>
  <c r="AC354" i="18"/>
  <c r="AC447" i="18"/>
  <c r="AC478" i="18"/>
  <c r="AC509" i="18"/>
  <c r="AC540" i="18"/>
  <c r="AC323" i="18"/>
  <c r="AD416" i="18"/>
  <c r="AD447" i="18"/>
  <c r="AD385" i="18"/>
  <c r="AD478" i="18"/>
  <c r="AD509" i="18"/>
  <c r="AD540" i="18"/>
  <c r="AD323" i="18"/>
  <c r="AD354" i="18"/>
  <c r="O447" i="18"/>
  <c r="O478" i="18"/>
  <c r="O509" i="18"/>
  <c r="O540" i="18"/>
  <c r="O323" i="18"/>
  <c r="O354" i="18"/>
  <c r="O416" i="18"/>
  <c r="O385" i="18"/>
  <c r="P478" i="18"/>
  <c r="P509" i="18"/>
  <c r="P540" i="18"/>
  <c r="P323" i="18"/>
  <c r="P354" i="18"/>
  <c r="P447" i="18"/>
  <c r="P385" i="18"/>
  <c r="P416" i="18"/>
  <c r="X478" i="18"/>
  <c r="X509" i="18"/>
  <c r="X540" i="18"/>
  <c r="X323" i="18"/>
  <c r="X354" i="18"/>
  <c r="X385" i="18"/>
  <c r="X447" i="18"/>
  <c r="X416" i="18"/>
  <c r="AF478" i="18"/>
  <c r="AF447" i="18"/>
  <c r="AF509" i="18"/>
  <c r="AF540" i="18"/>
  <c r="AF323" i="18"/>
  <c r="AF354" i="18"/>
  <c r="AF385" i="18"/>
  <c r="AF416" i="18"/>
  <c r="N416" i="18"/>
  <c r="N447" i="18"/>
  <c r="N478" i="18"/>
  <c r="N509" i="18"/>
  <c r="N540" i="18"/>
  <c r="N323" i="18"/>
  <c r="N385" i="18"/>
  <c r="N354" i="18"/>
  <c r="AE447" i="18"/>
  <c r="AE478" i="18"/>
  <c r="AE509" i="18"/>
  <c r="AE540" i="18"/>
  <c r="AE323" i="18"/>
  <c r="AE416" i="18"/>
  <c r="AE354" i="18"/>
  <c r="AE385" i="18"/>
  <c r="Q509" i="18"/>
  <c r="Q540" i="18"/>
  <c r="Q478" i="18"/>
  <c r="Q323" i="18"/>
  <c r="Q354" i="18"/>
  <c r="Q385" i="18"/>
  <c r="Q416" i="18"/>
  <c r="Q447" i="18"/>
  <c r="Y509" i="18"/>
  <c r="Y478" i="18"/>
  <c r="Y540" i="18"/>
  <c r="Y323" i="18"/>
  <c r="Y354" i="18"/>
  <c r="Y385" i="18"/>
  <c r="Y416" i="18"/>
  <c r="Y447" i="18"/>
  <c r="AG509" i="18"/>
  <c r="AG540" i="18"/>
  <c r="AG323" i="18"/>
  <c r="AG478" i="18"/>
  <c r="AG354" i="18"/>
  <c r="AG385" i="18"/>
  <c r="AG416" i="18"/>
  <c r="AG447" i="18"/>
  <c r="W447" i="18"/>
  <c r="W478" i="18"/>
  <c r="W509" i="18"/>
  <c r="W416" i="18"/>
  <c r="W540" i="18"/>
  <c r="W323" i="18"/>
  <c r="W354" i="18"/>
  <c r="W385" i="18"/>
  <c r="R540" i="18"/>
  <c r="R323" i="18"/>
  <c r="R354" i="18"/>
  <c r="R385" i="18"/>
  <c r="R509" i="18"/>
  <c r="R416" i="18"/>
  <c r="R447" i="18"/>
  <c r="R478" i="18"/>
  <c r="Z540" i="18"/>
  <c r="Z323" i="18"/>
  <c r="Z354" i="18"/>
  <c r="Z385" i="18"/>
  <c r="Z416" i="18"/>
  <c r="Z447" i="18"/>
  <c r="Z478" i="18"/>
  <c r="Z509" i="18"/>
  <c r="K323" i="18"/>
  <c r="K354" i="18"/>
  <c r="K385" i="18"/>
  <c r="K416" i="18"/>
  <c r="K447" i="18"/>
  <c r="K478" i="18"/>
  <c r="K509" i="18"/>
  <c r="K540" i="18"/>
  <c r="S323" i="18"/>
  <c r="S540" i="18"/>
  <c r="S354" i="18"/>
  <c r="S385" i="18"/>
  <c r="S416" i="18"/>
  <c r="S447" i="18"/>
  <c r="S478" i="18"/>
  <c r="S509" i="18"/>
  <c r="AA323" i="18"/>
  <c r="AA354" i="18"/>
  <c r="AA385" i="18"/>
  <c r="AA416" i="18"/>
  <c r="AA447" i="18"/>
  <c r="AA478" i="18"/>
  <c r="AA540" i="18"/>
  <c r="AA509" i="18"/>
  <c r="L354" i="18"/>
  <c r="L323" i="18"/>
  <c r="L385" i="18"/>
  <c r="L416" i="18"/>
  <c r="L447" i="18"/>
  <c r="L478" i="18"/>
  <c r="L509" i="18"/>
  <c r="L540" i="18"/>
  <c r="T354" i="18"/>
  <c r="T385" i="18"/>
  <c r="T416" i="18"/>
  <c r="T447" i="18"/>
  <c r="T478" i="18"/>
  <c r="T323" i="18"/>
  <c r="T509" i="18"/>
  <c r="T540" i="18"/>
  <c r="AB354" i="18"/>
  <c r="AB385" i="18"/>
  <c r="AB416" i="18"/>
  <c r="AB447" i="18"/>
  <c r="AB478" i="18"/>
  <c r="AB509" i="18"/>
  <c r="AB323" i="18"/>
  <c r="AB540" i="18"/>
  <c r="J540" i="18"/>
  <c r="J509" i="18"/>
  <c r="J478" i="18"/>
  <c r="J447" i="18"/>
  <c r="J416" i="18"/>
  <c r="J385" i="18"/>
  <c r="J354" i="18"/>
  <c r="J323" i="18"/>
  <c r="AH322" i="18"/>
  <c r="AH539" i="18"/>
  <c r="AH508" i="18"/>
  <c r="AH477" i="18"/>
  <c r="AH446" i="18"/>
  <c r="AH415" i="18"/>
  <c r="AH384" i="18"/>
  <c r="AH353" i="18"/>
  <c r="AH445" i="18"/>
  <c r="AH321" i="18"/>
  <c r="AH414" i="18"/>
  <c r="AH507" i="18"/>
  <c r="AH383" i="18"/>
  <c r="AH476" i="18"/>
  <c r="AH352" i="18"/>
  <c r="AH538" i="18"/>
  <c r="I75" i="48"/>
  <c r="AH320" i="18"/>
  <c r="AH475" i="18"/>
  <c r="AH382" i="18"/>
  <c r="AH537" i="18"/>
  <c r="AH444" i="18"/>
  <c r="AH506" i="18"/>
  <c r="AH351" i="18"/>
  <c r="AH413" i="18"/>
  <c r="AB537" i="18"/>
  <c r="AB506" i="18"/>
  <c r="AB475" i="18"/>
  <c r="AB444" i="18"/>
  <c r="AB413" i="18"/>
  <c r="AB382" i="18"/>
  <c r="AB351" i="18"/>
  <c r="AB320" i="18"/>
  <c r="R537" i="18"/>
  <c r="R506" i="18"/>
  <c r="R475" i="18"/>
  <c r="R444" i="18"/>
  <c r="R413" i="18"/>
  <c r="R382" i="18"/>
  <c r="R351" i="18"/>
  <c r="R320" i="18"/>
  <c r="V539" i="18"/>
  <c r="V508" i="18"/>
  <c r="V477" i="18"/>
  <c r="V446" i="18"/>
  <c r="V415" i="18"/>
  <c r="V384" i="18"/>
  <c r="V353" i="18"/>
  <c r="V322" i="18"/>
  <c r="K537" i="18"/>
  <c r="K506" i="18"/>
  <c r="K475" i="18"/>
  <c r="K444" i="18"/>
  <c r="K413" i="18"/>
  <c r="K382" i="18"/>
  <c r="K351" i="18"/>
  <c r="K320" i="18"/>
  <c r="S537" i="18"/>
  <c r="S506" i="18"/>
  <c r="S475" i="18"/>
  <c r="S444" i="18"/>
  <c r="S413" i="18"/>
  <c r="S382" i="18"/>
  <c r="S351" i="18"/>
  <c r="S320" i="18"/>
  <c r="AA537" i="18"/>
  <c r="AA506" i="18"/>
  <c r="AA475" i="18"/>
  <c r="AA444" i="18"/>
  <c r="AA413" i="18"/>
  <c r="AA382" i="18"/>
  <c r="AA351" i="18"/>
  <c r="AA320" i="18"/>
  <c r="Q538" i="18"/>
  <c r="Q507" i="18"/>
  <c r="Q476" i="18"/>
  <c r="Q445" i="18"/>
  <c r="Q414" i="18"/>
  <c r="Q383" i="18"/>
  <c r="Q352" i="18"/>
  <c r="Q321" i="18"/>
  <c r="Y538" i="18"/>
  <c r="Y507" i="18"/>
  <c r="Y476" i="18"/>
  <c r="Y445" i="18"/>
  <c r="Y414" i="18"/>
  <c r="Y383" i="18"/>
  <c r="Y352" i="18"/>
  <c r="Y321" i="18"/>
  <c r="AG538" i="18"/>
  <c r="AG507" i="18"/>
  <c r="AG476" i="18"/>
  <c r="AG445" i="18"/>
  <c r="AG414" i="18"/>
  <c r="AG383" i="18"/>
  <c r="AG352" i="18"/>
  <c r="AG321" i="18"/>
  <c r="O539" i="18"/>
  <c r="O508" i="18"/>
  <c r="O477" i="18"/>
  <c r="O446" i="18"/>
  <c r="O415" i="18"/>
  <c r="O384" i="18"/>
  <c r="O353" i="18"/>
  <c r="O322" i="18"/>
  <c r="W539" i="18"/>
  <c r="W508" i="18"/>
  <c r="W477" i="18"/>
  <c r="W446" i="18"/>
  <c r="W415" i="18"/>
  <c r="W384" i="18"/>
  <c r="W353" i="18"/>
  <c r="W322" i="18"/>
  <c r="AE539" i="18"/>
  <c r="AE508" i="18"/>
  <c r="AE477" i="18"/>
  <c r="AE446" i="18"/>
  <c r="AE415" i="18"/>
  <c r="AE384" i="18"/>
  <c r="AE353" i="18"/>
  <c r="AE322" i="18"/>
  <c r="L537" i="18"/>
  <c r="L506" i="18"/>
  <c r="L475" i="18"/>
  <c r="L444" i="18"/>
  <c r="L413" i="18"/>
  <c r="L382" i="18"/>
  <c r="L351" i="18"/>
  <c r="L320" i="18"/>
  <c r="R538" i="18"/>
  <c r="R507" i="18"/>
  <c r="R476" i="18"/>
  <c r="R445" i="18"/>
  <c r="R414" i="18"/>
  <c r="R383" i="18"/>
  <c r="R352" i="18"/>
  <c r="R321" i="18"/>
  <c r="P539" i="18"/>
  <c r="P508" i="18"/>
  <c r="P477" i="18"/>
  <c r="P446" i="18"/>
  <c r="P415" i="18"/>
  <c r="P384" i="18"/>
  <c r="P353" i="18"/>
  <c r="P322" i="18"/>
  <c r="AF539" i="18"/>
  <c r="AF508" i="18"/>
  <c r="AF477" i="18"/>
  <c r="AF446" i="18"/>
  <c r="AF415" i="18"/>
  <c r="AF384" i="18"/>
  <c r="AF353" i="18"/>
  <c r="AF322" i="18"/>
  <c r="M475" i="18"/>
  <c r="M444" i="18"/>
  <c r="M413" i="18"/>
  <c r="M537" i="18"/>
  <c r="M351" i="18"/>
  <c r="M506" i="18"/>
  <c r="M382" i="18"/>
  <c r="M320" i="18"/>
  <c r="U537" i="18"/>
  <c r="U351" i="18"/>
  <c r="U382" i="18"/>
  <c r="U475" i="18"/>
  <c r="U444" i="18"/>
  <c r="U413" i="18"/>
  <c r="U506" i="18"/>
  <c r="U320" i="18"/>
  <c r="AC537" i="18"/>
  <c r="AC506" i="18"/>
  <c r="AC351" i="18"/>
  <c r="AC320" i="18"/>
  <c r="AC475" i="18"/>
  <c r="AC444" i="18"/>
  <c r="AC413" i="18"/>
  <c r="AC382" i="18"/>
  <c r="K538" i="18"/>
  <c r="K507" i="18"/>
  <c r="K476" i="18"/>
  <c r="K445" i="18"/>
  <c r="K414" i="18"/>
  <c r="K383" i="18"/>
  <c r="K352" i="18"/>
  <c r="K321" i="18"/>
  <c r="S538" i="18"/>
  <c r="S507" i="18"/>
  <c r="S476" i="18"/>
  <c r="S445" i="18"/>
  <c r="S414" i="18"/>
  <c r="S383" i="18"/>
  <c r="S352" i="18"/>
  <c r="S321" i="18"/>
  <c r="AA538" i="18"/>
  <c r="AA507" i="18"/>
  <c r="AA476" i="18"/>
  <c r="AA445" i="18"/>
  <c r="AA414" i="18"/>
  <c r="AA383" i="18"/>
  <c r="AA352" i="18"/>
  <c r="AA321" i="18"/>
  <c r="Q539" i="18"/>
  <c r="Q508" i="18"/>
  <c r="Q477" i="18"/>
  <c r="Q446" i="18"/>
  <c r="Q415" i="18"/>
  <c r="Q384" i="18"/>
  <c r="Q353" i="18"/>
  <c r="Q322" i="18"/>
  <c r="Y539" i="18"/>
  <c r="Y508" i="18"/>
  <c r="Y477" i="18"/>
  <c r="Y446" i="18"/>
  <c r="Y415" i="18"/>
  <c r="Y384" i="18"/>
  <c r="Y353" i="18"/>
  <c r="Y322" i="18"/>
  <c r="AG539" i="18"/>
  <c r="AG508" i="18"/>
  <c r="AG477" i="18"/>
  <c r="AG446" i="18"/>
  <c r="AG415" i="18"/>
  <c r="AG384" i="18"/>
  <c r="AG353" i="18"/>
  <c r="AG322" i="18"/>
  <c r="V537" i="18"/>
  <c r="V506" i="18"/>
  <c r="V475" i="18"/>
  <c r="V444" i="18"/>
  <c r="V413" i="18"/>
  <c r="V382" i="18"/>
  <c r="V351" i="18"/>
  <c r="V320" i="18"/>
  <c r="AD537" i="18"/>
  <c r="AD506" i="18"/>
  <c r="AD475" i="18"/>
  <c r="AD444" i="18"/>
  <c r="AD413" i="18"/>
  <c r="AD382" i="18"/>
  <c r="AD351" i="18"/>
  <c r="AD320" i="18"/>
  <c r="L538" i="18"/>
  <c r="L507" i="18"/>
  <c r="L476" i="18"/>
  <c r="L445" i="18"/>
  <c r="L414" i="18"/>
  <c r="L383" i="18"/>
  <c r="L352" i="18"/>
  <c r="L321" i="18"/>
  <c r="T538" i="18"/>
  <c r="T507" i="18"/>
  <c r="T476" i="18"/>
  <c r="T445" i="18"/>
  <c r="T414" i="18"/>
  <c r="T383" i="18"/>
  <c r="T352" i="18"/>
  <c r="T321" i="18"/>
  <c r="Z539" i="18"/>
  <c r="Z508" i="18"/>
  <c r="Z477" i="18"/>
  <c r="Z446" i="18"/>
  <c r="Z415" i="18"/>
  <c r="Z384" i="18"/>
  <c r="Z353" i="18"/>
  <c r="Z322" i="18"/>
  <c r="R539" i="18"/>
  <c r="R508" i="18"/>
  <c r="R477" i="18"/>
  <c r="R446" i="18"/>
  <c r="R415" i="18"/>
  <c r="R384" i="18"/>
  <c r="R353" i="18"/>
  <c r="R322" i="18"/>
  <c r="O537" i="18"/>
  <c r="O506" i="18"/>
  <c r="O475" i="18"/>
  <c r="O444" i="18"/>
  <c r="O413" i="18"/>
  <c r="O382" i="18"/>
  <c r="O351" i="18"/>
  <c r="O320" i="18"/>
  <c r="W537" i="18"/>
  <c r="W506" i="18"/>
  <c r="W475" i="18"/>
  <c r="W444" i="18"/>
  <c r="W413" i="18"/>
  <c r="W382" i="18"/>
  <c r="W351" i="18"/>
  <c r="W320" i="18"/>
  <c r="AE537" i="18"/>
  <c r="AE506" i="18"/>
  <c r="AE475" i="18"/>
  <c r="AE444" i="18"/>
  <c r="AE413" i="18"/>
  <c r="AE382" i="18"/>
  <c r="AE351" i="18"/>
  <c r="AE320" i="18"/>
  <c r="M414" i="18"/>
  <c r="M321" i="18"/>
  <c r="M507" i="18"/>
  <c r="M476" i="18"/>
  <c r="M538" i="18"/>
  <c r="M445" i="18"/>
  <c r="M383" i="18"/>
  <c r="M352" i="18"/>
  <c r="U538" i="18"/>
  <c r="U507" i="18"/>
  <c r="U352" i="18"/>
  <c r="U321" i="18"/>
  <c r="U476" i="18"/>
  <c r="U445" i="18"/>
  <c r="U414" i="18"/>
  <c r="U383" i="18"/>
  <c r="AC507" i="18"/>
  <c r="AC445" i="18"/>
  <c r="AC383" i="18"/>
  <c r="AC414" i="18"/>
  <c r="AC352" i="18"/>
  <c r="AC538" i="18"/>
  <c r="AC321" i="18"/>
  <c r="AC476" i="18"/>
  <c r="K539" i="18"/>
  <c r="K508" i="18"/>
  <c r="K477" i="18"/>
  <c r="K446" i="18"/>
  <c r="K415" i="18"/>
  <c r="K384" i="18"/>
  <c r="K353" i="18"/>
  <c r="K322" i="18"/>
  <c r="S539" i="18"/>
  <c r="S508" i="18"/>
  <c r="S477" i="18"/>
  <c r="S446" i="18"/>
  <c r="S415" i="18"/>
  <c r="S384" i="18"/>
  <c r="S353" i="18"/>
  <c r="S322" i="18"/>
  <c r="AA539" i="18"/>
  <c r="AA508" i="18"/>
  <c r="AA477" i="18"/>
  <c r="AA446" i="18"/>
  <c r="AA415" i="18"/>
  <c r="AA384" i="18"/>
  <c r="AA353" i="18"/>
  <c r="AA322" i="18"/>
  <c r="X539" i="18"/>
  <c r="X508" i="18"/>
  <c r="X477" i="18"/>
  <c r="X446" i="18"/>
  <c r="X415" i="18"/>
  <c r="X384" i="18"/>
  <c r="X353" i="18"/>
  <c r="X322" i="18"/>
  <c r="N537" i="18"/>
  <c r="N506" i="18"/>
  <c r="N475" i="18"/>
  <c r="N444" i="18"/>
  <c r="N413" i="18"/>
  <c r="N382" i="18"/>
  <c r="N351" i="18"/>
  <c r="N320" i="18"/>
  <c r="P537" i="18"/>
  <c r="P506" i="18"/>
  <c r="P475" i="18"/>
  <c r="P444" i="18"/>
  <c r="P413" i="18"/>
  <c r="P382" i="18"/>
  <c r="P351" i="18"/>
  <c r="P320" i="18"/>
  <c r="X537" i="18"/>
  <c r="X506" i="18"/>
  <c r="X475" i="18"/>
  <c r="X444" i="18"/>
  <c r="X413" i="18"/>
  <c r="X382" i="18"/>
  <c r="X351" i="18"/>
  <c r="X320" i="18"/>
  <c r="AF537" i="18"/>
  <c r="AF506" i="18"/>
  <c r="AF475" i="18"/>
  <c r="AF444" i="18"/>
  <c r="AF413" i="18"/>
  <c r="AF382" i="18"/>
  <c r="AF351" i="18"/>
  <c r="AF320" i="18"/>
  <c r="N538" i="18"/>
  <c r="N507" i="18"/>
  <c r="N476" i="18"/>
  <c r="N445" i="18"/>
  <c r="N414" i="18"/>
  <c r="N383" i="18"/>
  <c r="N352" i="18"/>
  <c r="N321" i="18"/>
  <c r="V538" i="18"/>
  <c r="V507" i="18"/>
  <c r="V476" i="18"/>
  <c r="V445" i="18"/>
  <c r="V414" i="18"/>
  <c r="V383" i="18"/>
  <c r="V352" i="18"/>
  <c r="V321" i="18"/>
  <c r="AD538" i="18"/>
  <c r="AD507" i="18"/>
  <c r="AD476" i="18"/>
  <c r="AD445" i="18"/>
  <c r="AD414" i="18"/>
  <c r="AD383" i="18"/>
  <c r="AD352" i="18"/>
  <c r="AD321" i="18"/>
  <c r="L539" i="18"/>
  <c r="L508" i="18"/>
  <c r="L477" i="18"/>
  <c r="L446" i="18"/>
  <c r="L415" i="18"/>
  <c r="L384" i="18"/>
  <c r="L353" i="18"/>
  <c r="L322" i="18"/>
  <c r="T539" i="18"/>
  <c r="T508" i="18"/>
  <c r="T477" i="18"/>
  <c r="T446" i="18"/>
  <c r="T415" i="18"/>
  <c r="T384" i="18"/>
  <c r="T353" i="18"/>
  <c r="T322" i="18"/>
  <c r="AB539" i="18"/>
  <c r="AB508" i="18"/>
  <c r="AB477" i="18"/>
  <c r="AB446" i="18"/>
  <c r="AB415" i="18"/>
  <c r="AB384" i="18"/>
  <c r="AB353" i="18"/>
  <c r="AB322" i="18"/>
  <c r="T537" i="18"/>
  <c r="T506" i="18"/>
  <c r="T475" i="18"/>
  <c r="T444" i="18"/>
  <c r="T413" i="18"/>
  <c r="T382" i="18"/>
  <c r="T351" i="18"/>
  <c r="T320" i="18"/>
  <c r="AB538" i="18"/>
  <c r="AB507" i="18"/>
  <c r="AB476" i="18"/>
  <c r="AB445" i="18"/>
  <c r="AB414" i="18"/>
  <c r="AB383" i="18"/>
  <c r="AB352" i="18"/>
  <c r="AB321" i="18"/>
  <c r="Q537" i="18"/>
  <c r="Q506" i="18"/>
  <c r="Q475" i="18"/>
  <c r="Q444" i="18"/>
  <c r="Q413" i="18"/>
  <c r="Q382" i="18"/>
  <c r="Q351" i="18"/>
  <c r="Q320" i="18"/>
  <c r="Y537" i="18"/>
  <c r="Y506" i="18"/>
  <c r="Y475" i="18"/>
  <c r="Y444" i="18"/>
  <c r="Y413" i="18"/>
  <c r="Y382" i="18"/>
  <c r="Y351" i="18"/>
  <c r="Y320" i="18"/>
  <c r="AG537" i="18"/>
  <c r="AG506" i="18"/>
  <c r="AG475" i="18"/>
  <c r="AG444" i="18"/>
  <c r="AG413" i="18"/>
  <c r="AG382" i="18"/>
  <c r="AG351" i="18"/>
  <c r="AG320" i="18"/>
  <c r="O538" i="18"/>
  <c r="O507" i="18"/>
  <c r="O476" i="18"/>
  <c r="O445" i="18"/>
  <c r="O414" i="18"/>
  <c r="O383" i="18"/>
  <c r="O352" i="18"/>
  <c r="O321" i="18"/>
  <c r="W538" i="18"/>
  <c r="W507" i="18"/>
  <c r="W476" i="18"/>
  <c r="W445" i="18"/>
  <c r="W414" i="18"/>
  <c r="W383" i="18"/>
  <c r="W352" i="18"/>
  <c r="W321" i="18"/>
  <c r="AE538" i="18"/>
  <c r="AE507" i="18"/>
  <c r="AE476" i="18"/>
  <c r="AE445" i="18"/>
  <c r="AE414" i="18"/>
  <c r="AE383" i="18"/>
  <c r="AE352" i="18"/>
  <c r="AE321" i="18"/>
  <c r="M477" i="18"/>
  <c r="M446" i="18"/>
  <c r="M539" i="18"/>
  <c r="M384" i="18"/>
  <c r="M353" i="18"/>
  <c r="M322" i="18"/>
  <c r="M508" i="18"/>
  <c r="M415" i="18"/>
  <c r="U477" i="18"/>
  <c r="U384" i="18"/>
  <c r="U353" i="18"/>
  <c r="U446" i="18"/>
  <c r="U322" i="18"/>
  <c r="U508" i="18"/>
  <c r="U415" i="18"/>
  <c r="U539" i="18"/>
  <c r="AC353" i="18"/>
  <c r="AC477" i="18"/>
  <c r="AC415" i="18"/>
  <c r="AC539" i="18"/>
  <c r="AC446" i="18"/>
  <c r="AC384" i="18"/>
  <c r="AC508" i="18"/>
  <c r="AC322" i="18"/>
  <c r="Z538" i="18"/>
  <c r="Z507" i="18"/>
  <c r="Z476" i="18"/>
  <c r="Z445" i="18"/>
  <c r="Z414" i="18"/>
  <c r="Z383" i="18"/>
  <c r="Z352" i="18"/>
  <c r="Z321" i="18"/>
  <c r="Z537" i="18"/>
  <c r="Z506" i="18"/>
  <c r="Z475" i="18"/>
  <c r="Z444" i="18"/>
  <c r="Z413" i="18"/>
  <c r="Z382" i="18"/>
  <c r="Z351" i="18"/>
  <c r="Z320" i="18"/>
  <c r="P538" i="18"/>
  <c r="P507" i="18"/>
  <c r="P476" i="18"/>
  <c r="P445" i="18"/>
  <c r="P414" i="18"/>
  <c r="P383" i="18"/>
  <c r="P352" i="18"/>
  <c r="P321" i="18"/>
  <c r="X538" i="18"/>
  <c r="X507" i="18"/>
  <c r="X476" i="18"/>
  <c r="X445" i="18"/>
  <c r="X414" i="18"/>
  <c r="X383" i="18"/>
  <c r="X352" i="18"/>
  <c r="X321" i="18"/>
  <c r="AF538" i="18"/>
  <c r="AF507" i="18"/>
  <c r="AF476" i="18"/>
  <c r="AF445" i="18"/>
  <c r="AF414" i="18"/>
  <c r="AF383" i="18"/>
  <c r="AF352" i="18"/>
  <c r="AF321" i="18"/>
  <c r="N539" i="18"/>
  <c r="N508" i="18"/>
  <c r="N477" i="18"/>
  <c r="N446" i="18"/>
  <c r="N415" i="18"/>
  <c r="N384" i="18"/>
  <c r="N353" i="18"/>
  <c r="N322" i="18"/>
  <c r="AD539" i="18"/>
  <c r="AD508" i="18"/>
  <c r="AD477" i="18"/>
  <c r="AD446" i="18"/>
  <c r="AD415" i="18"/>
  <c r="AD384" i="18"/>
  <c r="AD353" i="18"/>
  <c r="AD322" i="18"/>
  <c r="J322" i="18"/>
  <c r="J353" i="18"/>
  <c r="J539" i="18"/>
  <c r="J384" i="18"/>
  <c r="J508" i="18"/>
  <c r="J477" i="18"/>
  <c r="J446" i="18"/>
  <c r="J415" i="18"/>
  <c r="J445" i="18"/>
  <c r="J321" i="18"/>
  <c r="J352" i="18"/>
  <c r="J538" i="18"/>
  <c r="J414" i="18"/>
  <c r="J476" i="18"/>
  <c r="J507" i="18"/>
  <c r="J383" i="18"/>
  <c r="J320" i="18"/>
  <c r="J506" i="18"/>
  <c r="J475" i="18"/>
  <c r="J382" i="18"/>
  <c r="J537" i="18"/>
  <c r="J444" i="18"/>
  <c r="J351" i="18"/>
  <c r="J413" i="18"/>
  <c r="AD536" i="18"/>
  <c r="AD443" i="18"/>
  <c r="AD350" i="18"/>
  <c r="AD505" i="18"/>
  <c r="AD412" i="18"/>
  <c r="AD319" i="18"/>
  <c r="AD381" i="18"/>
  <c r="AD474" i="18"/>
  <c r="AG503" i="18"/>
  <c r="AG410" i="18"/>
  <c r="AG472" i="18"/>
  <c r="AG379" i="18"/>
  <c r="AG348" i="18"/>
  <c r="AG317" i="18"/>
  <c r="AG534" i="18"/>
  <c r="AG441" i="18"/>
  <c r="O441" i="18"/>
  <c r="O503" i="18"/>
  <c r="O410" i="18"/>
  <c r="O379" i="18"/>
  <c r="O348" i="18"/>
  <c r="O317" i="18"/>
  <c r="O534" i="18"/>
  <c r="O472" i="18"/>
  <c r="W441" i="18"/>
  <c r="W503" i="18"/>
  <c r="W410" i="18"/>
  <c r="W348" i="18"/>
  <c r="W534" i="18"/>
  <c r="W472" i="18"/>
  <c r="W379" i="18"/>
  <c r="W317" i="18"/>
  <c r="AE441" i="18"/>
  <c r="AE503" i="18"/>
  <c r="AE410" i="18"/>
  <c r="AE379" i="18"/>
  <c r="AE348" i="18"/>
  <c r="AE534" i="18"/>
  <c r="AE472" i="18"/>
  <c r="AE317" i="18"/>
  <c r="M381" i="18"/>
  <c r="M536" i="18"/>
  <c r="M443" i="18"/>
  <c r="M350" i="18"/>
  <c r="M505" i="18"/>
  <c r="M474" i="18"/>
  <c r="M412" i="18"/>
  <c r="M319" i="18"/>
  <c r="U381" i="18"/>
  <c r="U536" i="18"/>
  <c r="U443" i="18"/>
  <c r="U350" i="18"/>
  <c r="U505" i="18"/>
  <c r="U474" i="18"/>
  <c r="U412" i="18"/>
  <c r="U319" i="18"/>
  <c r="AC381" i="18"/>
  <c r="AC536" i="18"/>
  <c r="AC443" i="18"/>
  <c r="AC350" i="18"/>
  <c r="AC505" i="18"/>
  <c r="AC474" i="18"/>
  <c r="AC412" i="18"/>
  <c r="AC319" i="18"/>
  <c r="V536" i="18"/>
  <c r="V443" i="18"/>
  <c r="V350" i="18"/>
  <c r="V505" i="18"/>
  <c r="V412" i="18"/>
  <c r="V319" i="18"/>
  <c r="V474" i="18"/>
  <c r="V381" i="18"/>
  <c r="Y503" i="18"/>
  <c r="Y410" i="18"/>
  <c r="Y472" i="18"/>
  <c r="Y379" i="18"/>
  <c r="Y534" i="18"/>
  <c r="Y441" i="18"/>
  <c r="Y317" i="18"/>
  <c r="Y348" i="18"/>
  <c r="N536" i="18"/>
  <c r="N443" i="18"/>
  <c r="N505" i="18"/>
  <c r="N412" i="18"/>
  <c r="N319" i="18"/>
  <c r="N350" i="18"/>
  <c r="N474" i="18"/>
  <c r="N381" i="18"/>
  <c r="Q503" i="18"/>
  <c r="Q410" i="18"/>
  <c r="Q472" i="18"/>
  <c r="Q379" i="18"/>
  <c r="Q317" i="18"/>
  <c r="Q534" i="18"/>
  <c r="Q441" i="18"/>
  <c r="Q348" i="18"/>
  <c r="R410" i="18"/>
  <c r="R472" i="18"/>
  <c r="R379" i="18"/>
  <c r="R534" i="18"/>
  <c r="R503" i="18"/>
  <c r="R317" i="18"/>
  <c r="R441" i="18"/>
  <c r="R348" i="18"/>
  <c r="Z410" i="18"/>
  <c r="Z472" i="18"/>
  <c r="Z379" i="18"/>
  <c r="Z534" i="18"/>
  <c r="Z348" i="18"/>
  <c r="Z441" i="18"/>
  <c r="Z317" i="18"/>
  <c r="Z503" i="18"/>
  <c r="I72" i="48"/>
  <c r="AH410" i="18"/>
  <c r="AH472" i="18"/>
  <c r="AH379" i="18"/>
  <c r="AH534" i="18"/>
  <c r="AH441" i="18"/>
  <c r="AH348" i="18"/>
  <c r="AH503" i="18"/>
  <c r="AH317" i="18"/>
  <c r="P350" i="18"/>
  <c r="P505" i="18"/>
  <c r="P412" i="18"/>
  <c r="P319" i="18"/>
  <c r="P474" i="18"/>
  <c r="P536" i="18"/>
  <c r="P443" i="18"/>
  <c r="P381" i="18"/>
  <c r="X350" i="18"/>
  <c r="X505" i="18"/>
  <c r="X412" i="18"/>
  <c r="X319" i="18"/>
  <c r="X474" i="18"/>
  <c r="X536" i="18"/>
  <c r="X443" i="18"/>
  <c r="X381" i="18"/>
  <c r="AF350" i="18"/>
  <c r="AF505" i="18"/>
  <c r="AF412" i="18"/>
  <c r="AF319" i="18"/>
  <c r="AF474" i="18"/>
  <c r="AF536" i="18"/>
  <c r="AF443" i="18"/>
  <c r="AF381" i="18"/>
  <c r="X348" i="18"/>
  <c r="X503" i="18"/>
  <c r="X410" i="18"/>
  <c r="X317" i="18"/>
  <c r="X472" i="18"/>
  <c r="X534" i="18"/>
  <c r="X441" i="18"/>
  <c r="X379" i="18"/>
  <c r="K317" i="18"/>
  <c r="K472" i="18"/>
  <c r="K379" i="18"/>
  <c r="K534" i="18"/>
  <c r="K441" i="18"/>
  <c r="K410" i="18"/>
  <c r="K503" i="18"/>
  <c r="K348" i="18"/>
  <c r="S317" i="18"/>
  <c r="S472" i="18"/>
  <c r="S379" i="18"/>
  <c r="S534" i="18"/>
  <c r="S441" i="18"/>
  <c r="S503" i="18"/>
  <c r="S348" i="18"/>
  <c r="S410" i="18"/>
  <c r="AA317" i="18"/>
  <c r="AA472" i="18"/>
  <c r="AA379" i="18"/>
  <c r="AA534" i="18"/>
  <c r="AA441" i="18"/>
  <c r="AA410" i="18"/>
  <c r="AA348" i="18"/>
  <c r="AA503" i="18"/>
  <c r="Q505" i="18"/>
  <c r="Q412" i="18"/>
  <c r="Q474" i="18"/>
  <c r="Q381" i="18"/>
  <c r="Q319" i="18"/>
  <c r="Q536" i="18"/>
  <c r="Q443" i="18"/>
  <c r="Q350" i="18"/>
  <c r="Y505" i="18"/>
  <c r="Y412" i="18"/>
  <c r="Y474" i="18"/>
  <c r="Y381" i="18"/>
  <c r="Y319" i="18"/>
  <c r="Y536" i="18"/>
  <c r="Y443" i="18"/>
  <c r="Y350" i="18"/>
  <c r="AG505" i="18"/>
  <c r="AG412" i="18"/>
  <c r="AG474" i="18"/>
  <c r="AG381" i="18"/>
  <c r="AG443" i="18"/>
  <c r="AG350" i="18"/>
  <c r="AG319" i="18"/>
  <c r="AG536" i="18"/>
  <c r="P348" i="18"/>
  <c r="P503" i="18"/>
  <c r="P410" i="18"/>
  <c r="P317" i="18"/>
  <c r="P472" i="18"/>
  <c r="P534" i="18"/>
  <c r="P441" i="18"/>
  <c r="P379" i="18"/>
  <c r="W443" i="18"/>
  <c r="W350" i="18"/>
  <c r="W505" i="18"/>
  <c r="W412" i="18"/>
  <c r="W536" i="18"/>
  <c r="W474" i="18"/>
  <c r="W381" i="18"/>
  <c r="W319" i="18"/>
  <c r="L472" i="18"/>
  <c r="L379" i="18"/>
  <c r="L534" i="18"/>
  <c r="L441" i="18"/>
  <c r="L410" i="18"/>
  <c r="L317" i="18"/>
  <c r="L503" i="18"/>
  <c r="L348" i="18"/>
  <c r="T472" i="18"/>
  <c r="T379" i="18"/>
  <c r="T534" i="18"/>
  <c r="T441" i="18"/>
  <c r="T348" i="18"/>
  <c r="T317" i="18"/>
  <c r="T410" i="18"/>
  <c r="T503" i="18"/>
  <c r="AB472" i="18"/>
  <c r="AB379" i="18"/>
  <c r="AB534" i="18"/>
  <c r="AB441" i="18"/>
  <c r="AB317" i="18"/>
  <c r="AB410" i="18"/>
  <c r="AB348" i="18"/>
  <c r="AB503" i="18"/>
  <c r="R412" i="18"/>
  <c r="R474" i="18"/>
  <c r="R381" i="18"/>
  <c r="R536" i="18"/>
  <c r="R319" i="18"/>
  <c r="R443" i="18"/>
  <c r="R350" i="18"/>
  <c r="R505" i="18"/>
  <c r="Z412" i="18"/>
  <c r="Z474" i="18"/>
  <c r="Z381" i="18"/>
  <c r="Z536" i="18"/>
  <c r="Z319" i="18"/>
  <c r="Z505" i="18"/>
  <c r="Z443" i="18"/>
  <c r="Z350" i="18"/>
  <c r="I74" i="48"/>
  <c r="AH412" i="18"/>
  <c r="AH474" i="18"/>
  <c r="AH381" i="18"/>
  <c r="AH536" i="18"/>
  <c r="AH505" i="18"/>
  <c r="AH443" i="18"/>
  <c r="AH350" i="18"/>
  <c r="AH319" i="18"/>
  <c r="AE443" i="18"/>
  <c r="AE350" i="18"/>
  <c r="AE505" i="18"/>
  <c r="AE412" i="18"/>
  <c r="AE536" i="18"/>
  <c r="AE474" i="18"/>
  <c r="AE381" i="18"/>
  <c r="AE319" i="18"/>
  <c r="M379" i="18"/>
  <c r="M534" i="18"/>
  <c r="M441" i="18"/>
  <c r="M348" i="18"/>
  <c r="M503" i="18"/>
  <c r="M472" i="18"/>
  <c r="M410" i="18"/>
  <c r="M317" i="18"/>
  <c r="U379" i="18"/>
  <c r="U534" i="18"/>
  <c r="U441" i="18"/>
  <c r="U348" i="18"/>
  <c r="U503" i="18"/>
  <c r="U472" i="18"/>
  <c r="U410" i="18"/>
  <c r="U317" i="18"/>
  <c r="AC379" i="18"/>
  <c r="AC534" i="18"/>
  <c r="AC441" i="18"/>
  <c r="AC348" i="18"/>
  <c r="AC503" i="18"/>
  <c r="AC472" i="18"/>
  <c r="AC410" i="18"/>
  <c r="AC317" i="18"/>
  <c r="K319" i="18"/>
  <c r="K474" i="18"/>
  <c r="K381" i="18"/>
  <c r="K536" i="18"/>
  <c r="K443" i="18"/>
  <c r="K412" i="18"/>
  <c r="K505" i="18"/>
  <c r="K350" i="18"/>
  <c r="S319" i="18"/>
  <c r="S474" i="18"/>
  <c r="S381" i="18"/>
  <c r="S536" i="18"/>
  <c r="S443" i="18"/>
  <c r="S350" i="18"/>
  <c r="S505" i="18"/>
  <c r="S412" i="18"/>
  <c r="AA319" i="18"/>
  <c r="AA474" i="18"/>
  <c r="AA381" i="18"/>
  <c r="AA536" i="18"/>
  <c r="AA443" i="18"/>
  <c r="AA412" i="18"/>
  <c r="AA505" i="18"/>
  <c r="AA350" i="18"/>
  <c r="AF348" i="18"/>
  <c r="AF503" i="18"/>
  <c r="AF410" i="18"/>
  <c r="AF317" i="18"/>
  <c r="AF472" i="18"/>
  <c r="AF534" i="18"/>
  <c r="AF441" i="18"/>
  <c r="AF379" i="18"/>
  <c r="O443" i="18"/>
  <c r="O350" i="18"/>
  <c r="O505" i="18"/>
  <c r="O412" i="18"/>
  <c r="O319" i="18"/>
  <c r="O474" i="18"/>
  <c r="O381" i="18"/>
  <c r="O536" i="18"/>
  <c r="N534" i="18"/>
  <c r="N441" i="18"/>
  <c r="N503" i="18"/>
  <c r="N410" i="18"/>
  <c r="N472" i="18"/>
  <c r="N317" i="18"/>
  <c r="N379" i="18"/>
  <c r="N348" i="18"/>
  <c r="V534" i="18"/>
  <c r="V441" i="18"/>
  <c r="V503" i="18"/>
  <c r="V410" i="18"/>
  <c r="V348" i="18"/>
  <c r="V379" i="18"/>
  <c r="V472" i="18"/>
  <c r="V317" i="18"/>
  <c r="AD534" i="18"/>
  <c r="AD441" i="18"/>
  <c r="AD503" i="18"/>
  <c r="AD410" i="18"/>
  <c r="AD472" i="18"/>
  <c r="AD317" i="18"/>
  <c r="AD379" i="18"/>
  <c r="AD348" i="18"/>
  <c r="L474" i="18"/>
  <c r="L381" i="18"/>
  <c r="L536" i="18"/>
  <c r="L443" i="18"/>
  <c r="L505" i="18"/>
  <c r="L319" i="18"/>
  <c r="L350" i="18"/>
  <c r="L412" i="18"/>
  <c r="T474" i="18"/>
  <c r="T381" i="18"/>
  <c r="T536" i="18"/>
  <c r="T443" i="18"/>
  <c r="T350" i="18"/>
  <c r="T412" i="18"/>
  <c r="T505" i="18"/>
  <c r="T319" i="18"/>
  <c r="AB474" i="18"/>
  <c r="AB381" i="18"/>
  <c r="AB536" i="18"/>
  <c r="AB443" i="18"/>
  <c r="AB350" i="18"/>
  <c r="AB319" i="18"/>
  <c r="AB412" i="18"/>
  <c r="AB505" i="18"/>
  <c r="J505" i="18"/>
  <c r="J443" i="18"/>
  <c r="J381" i="18"/>
  <c r="J319" i="18"/>
  <c r="J536" i="18"/>
  <c r="J474" i="18"/>
  <c r="J412" i="18"/>
  <c r="J350" i="18"/>
  <c r="J317" i="18"/>
  <c r="J410" i="18"/>
  <c r="J503" i="18"/>
  <c r="J348" i="18"/>
  <c r="J441" i="18"/>
  <c r="J534" i="18"/>
  <c r="J472" i="18"/>
  <c r="J379" i="18"/>
  <c r="I476" i="18"/>
  <c r="I352" i="18"/>
  <c r="I445" i="18"/>
  <c r="I321" i="18"/>
  <c r="I538" i="18"/>
  <c r="I414" i="18"/>
  <c r="I507" i="18"/>
  <c r="I383" i="18"/>
  <c r="I462" i="18"/>
  <c r="I338" i="18"/>
  <c r="I555" i="18"/>
  <c r="I431" i="18"/>
  <c r="I493" i="18"/>
  <c r="I524" i="18"/>
  <c r="I400" i="18"/>
  <c r="I369" i="18"/>
  <c r="I510" i="18"/>
  <c r="I386" i="18"/>
  <c r="I479" i="18"/>
  <c r="I355" i="18"/>
  <c r="I448" i="18"/>
  <c r="I324" i="18"/>
  <c r="I541" i="18"/>
  <c r="I417" i="18"/>
  <c r="I544" i="18"/>
  <c r="I420" i="18"/>
  <c r="I513" i="18"/>
  <c r="I389" i="18"/>
  <c r="I482" i="18"/>
  <c r="I358" i="18"/>
  <c r="I451" i="18"/>
  <c r="I327" i="18"/>
  <c r="H72" i="48"/>
  <c r="I441" i="18"/>
  <c r="I317" i="18"/>
  <c r="I472" i="18"/>
  <c r="I534" i="18"/>
  <c r="I410" i="18"/>
  <c r="I503" i="18"/>
  <c r="I379" i="18"/>
  <c r="I348" i="18"/>
  <c r="I446" i="18"/>
  <c r="I322" i="18"/>
  <c r="I539" i="18"/>
  <c r="I415" i="18"/>
  <c r="I508" i="18"/>
  <c r="I384" i="18"/>
  <c r="I477" i="18"/>
  <c r="I353" i="18"/>
  <c r="I480" i="18"/>
  <c r="I356" i="18"/>
  <c r="I449" i="18"/>
  <c r="I325" i="18"/>
  <c r="I542" i="18"/>
  <c r="I418" i="18"/>
  <c r="I511" i="18"/>
  <c r="I387" i="18"/>
  <c r="I450" i="18"/>
  <c r="I326" i="18"/>
  <c r="I543" i="18"/>
  <c r="I419" i="18"/>
  <c r="I481" i="18"/>
  <c r="I512" i="18"/>
  <c r="I388" i="18"/>
  <c r="I357" i="18"/>
  <c r="I488" i="18"/>
  <c r="I364" i="18"/>
  <c r="I457" i="18"/>
  <c r="I333" i="18"/>
  <c r="I550" i="18"/>
  <c r="I426" i="18"/>
  <c r="I519" i="18"/>
  <c r="I395" i="18"/>
  <c r="H74" i="48"/>
  <c r="I536" i="18"/>
  <c r="I412" i="18"/>
  <c r="I505" i="18"/>
  <c r="I381" i="18"/>
  <c r="I474" i="18"/>
  <c r="I350" i="18"/>
  <c r="I319" i="18"/>
  <c r="I443" i="18"/>
  <c r="I540" i="18"/>
  <c r="I416" i="18"/>
  <c r="I509" i="18"/>
  <c r="I385" i="18"/>
  <c r="I478" i="18"/>
  <c r="I354" i="18"/>
  <c r="I447" i="18"/>
  <c r="I323" i="18"/>
  <c r="I514" i="18"/>
  <c r="I390" i="18"/>
  <c r="I483" i="18"/>
  <c r="I359" i="18"/>
  <c r="I452" i="18"/>
  <c r="I328" i="18"/>
  <c r="I545" i="18"/>
  <c r="I421" i="18"/>
  <c r="I518" i="18"/>
  <c r="I394" i="18"/>
  <c r="I487" i="18"/>
  <c r="I363" i="18"/>
  <c r="I456" i="18"/>
  <c r="I332" i="18"/>
  <c r="I549" i="18"/>
  <c r="I425" i="18"/>
  <c r="I548" i="18"/>
  <c r="I424" i="18"/>
  <c r="I517" i="18"/>
  <c r="I393" i="18"/>
  <c r="I486" i="18"/>
  <c r="I362" i="18"/>
  <c r="I455" i="18"/>
  <c r="I331" i="18"/>
  <c r="H75" i="48"/>
  <c r="I506" i="18"/>
  <c r="I382" i="18"/>
  <c r="I475" i="18"/>
  <c r="I351" i="18"/>
  <c r="I444" i="18"/>
  <c r="I320" i="18"/>
  <c r="I537" i="18"/>
  <c r="I413" i="18"/>
  <c r="I492" i="18"/>
  <c r="I368" i="18"/>
  <c r="I461" i="18"/>
  <c r="I337" i="18"/>
  <c r="I554" i="18"/>
  <c r="I430" i="18"/>
  <c r="I523" i="18"/>
  <c r="I399" i="18"/>
  <c r="I484" i="18"/>
  <c r="I360" i="18"/>
  <c r="I453" i="18"/>
  <c r="I329" i="18"/>
  <c r="I515" i="18"/>
  <c r="I546" i="18"/>
  <c r="I422" i="18"/>
  <c r="I391" i="18"/>
  <c r="I522" i="18"/>
  <c r="I398" i="18"/>
  <c r="I491" i="18"/>
  <c r="I367" i="18"/>
  <c r="I553" i="18"/>
  <c r="I460" i="18"/>
  <c r="I336" i="18"/>
  <c r="I429" i="18"/>
  <c r="I458" i="18"/>
  <c r="I334" i="18"/>
  <c r="I551" i="18"/>
  <c r="I427" i="18"/>
  <c r="I520" i="18"/>
  <c r="I396" i="18"/>
  <c r="I489" i="18"/>
  <c r="I365" i="18"/>
  <c r="I454" i="18"/>
  <c r="I330" i="18"/>
  <c r="I485" i="18"/>
  <c r="I547" i="18"/>
  <c r="I423" i="18"/>
  <c r="I516" i="18"/>
  <c r="I392" i="18"/>
  <c r="I361" i="18"/>
  <c r="I552" i="18"/>
  <c r="I428" i="18"/>
  <c r="I459" i="18"/>
  <c r="I521" i="18"/>
  <c r="I397" i="18"/>
  <c r="I490" i="18"/>
  <c r="I366" i="18"/>
  <c r="I335" i="18"/>
  <c r="G93" i="48"/>
  <c r="AH269" i="18"/>
  <c r="AH145" i="18"/>
  <c r="AH176" i="18"/>
  <c r="AH52" i="18"/>
  <c r="AH207" i="18"/>
  <c r="AH83" i="18"/>
  <c r="AH238" i="18"/>
  <c r="AH114" i="18"/>
  <c r="O145" i="18"/>
  <c r="O238" i="18"/>
  <c r="O83" i="18"/>
  <c r="O176" i="18"/>
  <c r="O269" i="18"/>
  <c r="O114" i="18"/>
  <c r="O207" i="18"/>
  <c r="O52" i="18"/>
  <c r="P238" i="18"/>
  <c r="P83" i="18"/>
  <c r="P176" i="18"/>
  <c r="P52" i="18"/>
  <c r="P269" i="18"/>
  <c r="P114" i="18"/>
  <c r="P207" i="18"/>
  <c r="P145" i="18"/>
  <c r="X238" i="18"/>
  <c r="X83" i="18"/>
  <c r="X176" i="18"/>
  <c r="X269" i="18"/>
  <c r="X114" i="18"/>
  <c r="X207" i="18"/>
  <c r="X52" i="18"/>
  <c r="X145" i="18"/>
  <c r="Q83" i="18"/>
  <c r="Q176" i="18"/>
  <c r="Q269" i="18"/>
  <c r="Q114" i="18"/>
  <c r="Q145" i="18"/>
  <c r="Q207" i="18"/>
  <c r="Q52" i="18"/>
  <c r="Q238" i="18"/>
  <c r="Y83" i="18"/>
  <c r="Y176" i="18"/>
  <c r="Y269" i="18"/>
  <c r="Y114" i="18"/>
  <c r="Y207" i="18"/>
  <c r="Y145" i="18"/>
  <c r="Y52" i="18"/>
  <c r="Y238" i="18"/>
  <c r="AG83" i="18"/>
  <c r="AG176" i="18"/>
  <c r="AG145" i="18"/>
  <c r="AG269" i="18"/>
  <c r="AG114" i="18"/>
  <c r="AG207" i="18"/>
  <c r="AG52" i="18"/>
  <c r="AG238" i="18"/>
  <c r="Z176" i="18"/>
  <c r="Z269" i="18"/>
  <c r="Z114" i="18"/>
  <c r="Z207" i="18"/>
  <c r="Z52" i="18"/>
  <c r="Z238" i="18"/>
  <c r="Z145" i="18"/>
  <c r="Z83" i="18"/>
  <c r="AA269" i="18"/>
  <c r="AA114" i="18"/>
  <c r="AA207" i="18"/>
  <c r="AA52" i="18"/>
  <c r="AA145" i="18"/>
  <c r="AA238" i="18"/>
  <c r="AA83" i="18"/>
  <c r="AA176" i="18"/>
  <c r="R176" i="18"/>
  <c r="R269" i="18"/>
  <c r="R114" i="18"/>
  <c r="R238" i="18"/>
  <c r="R207" i="18"/>
  <c r="R52" i="18"/>
  <c r="R145" i="18"/>
  <c r="R83" i="18"/>
  <c r="S269" i="18"/>
  <c r="S114" i="18"/>
  <c r="S207" i="18"/>
  <c r="S52" i="18"/>
  <c r="S145" i="18"/>
  <c r="S83" i="18"/>
  <c r="S238" i="18"/>
  <c r="S176" i="18"/>
  <c r="L114" i="18"/>
  <c r="L52" i="18"/>
  <c r="L176" i="18"/>
  <c r="L145" i="18"/>
  <c r="L238" i="18"/>
  <c r="L83" i="18"/>
  <c r="L269" i="18"/>
  <c r="L207" i="18"/>
  <c r="T114" i="18"/>
  <c r="T207" i="18"/>
  <c r="T52" i="18"/>
  <c r="T145" i="18"/>
  <c r="T238" i="18"/>
  <c r="T83" i="18"/>
  <c r="T269" i="18"/>
  <c r="T176" i="18"/>
  <c r="AB114" i="18"/>
  <c r="AB176" i="18"/>
  <c r="AB207" i="18"/>
  <c r="AB52" i="18"/>
  <c r="AB145" i="18"/>
  <c r="AB238" i="18"/>
  <c r="AB83" i="18"/>
  <c r="AB269" i="18"/>
  <c r="K269" i="18"/>
  <c r="K83" i="18"/>
  <c r="K207" i="18"/>
  <c r="K52" i="18"/>
  <c r="K145" i="18"/>
  <c r="K238" i="18"/>
  <c r="K176" i="18"/>
  <c r="K114" i="18"/>
  <c r="M207" i="18"/>
  <c r="M52" i="18"/>
  <c r="M145" i="18"/>
  <c r="M238" i="18"/>
  <c r="M83" i="18"/>
  <c r="M176" i="18"/>
  <c r="M114" i="18"/>
  <c r="M269" i="18"/>
  <c r="U207" i="18"/>
  <c r="U52" i="18"/>
  <c r="U145" i="18"/>
  <c r="U238" i="18"/>
  <c r="U269" i="18"/>
  <c r="U83" i="18"/>
  <c r="U176" i="18"/>
  <c r="U114" i="18"/>
  <c r="AC207" i="18"/>
  <c r="AC145" i="18"/>
  <c r="AC238" i="18"/>
  <c r="AC83" i="18"/>
  <c r="AC176" i="18"/>
  <c r="AC269" i="18"/>
  <c r="AC114" i="18"/>
  <c r="AC52" i="18"/>
  <c r="N52" i="18"/>
  <c r="N145" i="18"/>
  <c r="N238" i="18"/>
  <c r="N114" i="18"/>
  <c r="N83" i="18"/>
  <c r="N176" i="18"/>
  <c r="N269" i="18"/>
  <c r="N207" i="18"/>
  <c r="V52" i="18"/>
  <c r="V145" i="18"/>
  <c r="V238" i="18"/>
  <c r="V83" i="18"/>
  <c r="V176" i="18"/>
  <c r="V269" i="18"/>
  <c r="V207" i="18"/>
  <c r="V114" i="18"/>
  <c r="AD52" i="18"/>
  <c r="AD114" i="18"/>
  <c r="AD145" i="18"/>
  <c r="AD238" i="18"/>
  <c r="AD83" i="18"/>
  <c r="AD176" i="18"/>
  <c r="AD269" i="18"/>
  <c r="AD207" i="18"/>
  <c r="AE145" i="18"/>
  <c r="AE207" i="18"/>
  <c r="AE238" i="18"/>
  <c r="AE83" i="18"/>
  <c r="AE176" i="18"/>
  <c r="AE269" i="18"/>
  <c r="AE114" i="18"/>
  <c r="AE52" i="18"/>
  <c r="W145" i="18"/>
  <c r="W238" i="18"/>
  <c r="W207" i="18"/>
  <c r="W83" i="18"/>
  <c r="W176" i="18"/>
  <c r="W269" i="18"/>
  <c r="W114" i="18"/>
  <c r="W52" i="18"/>
  <c r="AF238" i="18"/>
  <c r="AF52" i="18"/>
  <c r="AF83" i="18"/>
  <c r="AF176" i="18"/>
  <c r="AF269" i="18"/>
  <c r="AF114" i="18"/>
  <c r="AF207" i="18"/>
  <c r="AF145" i="18"/>
  <c r="J269" i="18"/>
  <c r="J145" i="18"/>
  <c r="J176" i="18"/>
  <c r="J52" i="18"/>
  <c r="J207" i="18"/>
  <c r="J83" i="18"/>
  <c r="J238" i="18"/>
  <c r="J114" i="18"/>
  <c r="F93" i="48"/>
  <c r="I207" i="18"/>
  <c r="I238" i="18"/>
  <c r="I269" i="18"/>
  <c r="I52" i="18"/>
  <c r="I83" i="18"/>
  <c r="I114" i="18"/>
  <c r="I145" i="18"/>
  <c r="I176" i="18"/>
  <c r="G92" i="48"/>
  <c r="AH268" i="18"/>
  <c r="AH237" i="18"/>
  <c r="AH206" i="18"/>
  <c r="AH175" i="18"/>
  <c r="AH144" i="18"/>
  <c r="AH113" i="18"/>
  <c r="AH82" i="18"/>
  <c r="AH51" i="18"/>
  <c r="S206" i="18"/>
  <c r="S237" i="18"/>
  <c r="S144" i="18"/>
  <c r="S268" i="18"/>
  <c r="S51" i="18"/>
  <c r="S82" i="18"/>
  <c r="S113" i="18"/>
  <c r="S175" i="18"/>
  <c r="T237" i="18"/>
  <c r="T268" i="18"/>
  <c r="T82" i="18"/>
  <c r="T113" i="18"/>
  <c r="T144" i="18"/>
  <c r="T206" i="18"/>
  <c r="T51" i="18"/>
  <c r="T175" i="18"/>
  <c r="K206" i="18"/>
  <c r="K237" i="18"/>
  <c r="K268" i="18"/>
  <c r="K51" i="18"/>
  <c r="K144" i="18"/>
  <c r="K82" i="18"/>
  <c r="K113" i="18"/>
  <c r="K175" i="18"/>
  <c r="AA206" i="18"/>
  <c r="AA237" i="18"/>
  <c r="AA268" i="18"/>
  <c r="AA144" i="18"/>
  <c r="AA51" i="18"/>
  <c r="AA82" i="18"/>
  <c r="AA113" i="18"/>
  <c r="AA175" i="18"/>
  <c r="L237" i="18"/>
  <c r="L268" i="18"/>
  <c r="L51" i="18"/>
  <c r="L82" i="18"/>
  <c r="L113" i="18"/>
  <c r="L175" i="18"/>
  <c r="L144" i="18"/>
  <c r="L206" i="18"/>
  <c r="AB237" i="18"/>
  <c r="AB268" i="18"/>
  <c r="AB51" i="18"/>
  <c r="AB175" i="18"/>
  <c r="AB82" i="18"/>
  <c r="AB113" i="18"/>
  <c r="AB144" i="18"/>
  <c r="AB206" i="18"/>
  <c r="M268" i="18"/>
  <c r="M206" i="18"/>
  <c r="M51" i="18"/>
  <c r="M82" i="18"/>
  <c r="M113" i="18"/>
  <c r="M144" i="18"/>
  <c r="M175" i="18"/>
  <c r="M237" i="18"/>
  <c r="U268" i="18"/>
  <c r="U82" i="18"/>
  <c r="U113" i="18"/>
  <c r="U144" i="18"/>
  <c r="U175" i="18"/>
  <c r="U206" i="18"/>
  <c r="U237" i="18"/>
  <c r="U51" i="18"/>
  <c r="AC268" i="18"/>
  <c r="AC51" i="18"/>
  <c r="AC206" i="18"/>
  <c r="AC82" i="18"/>
  <c r="AC113" i="18"/>
  <c r="AC144" i="18"/>
  <c r="AC175" i="18"/>
  <c r="AC237" i="18"/>
  <c r="AD51" i="18"/>
  <c r="AD113" i="18"/>
  <c r="AD144" i="18"/>
  <c r="AD175" i="18"/>
  <c r="AD206" i="18"/>
  <c r="AD268" i="18"/>
  <c r="AD82" i="18"/>
  <c r="AD237" i="18"/>
  <c r="O82" i="18"/>
  <c r="O113" i="18"/>
  <c r="O144" i="18"/>
  <c r="O175" i="18"/>
  <c r="O268" i="18"/>
  <c r="O206" i="18"/>
  <c r="O237" i="18"/>
  <c r="O51" i="18"/>
  <c r="W82" i="18"/>
  <c r="W113" i="18"/>
  <c r="W144" i="18"/>
  <c r="W268" i="18"/>
  <c r="W175" i="18"/>
  <c r="W206" i="18"/>
  <c r="W237" i="18"/>
  <c r="W51" i="18"/>
  <c r="AE82" i="18"/>
  <c r="AE144" i="18"/>
  <c r="AE175" i="18"/>
  <c r="AE206" i="18"/>
  <c r="AE237" i="18"/>
  <c r="AE268" i="18"/>
  <c r="AE51" i="18"/>
  <c r="AE113" i="18"/>
  <c r="V51" i="18"/>
  <c r="V82" i="18"/>
  <c r="V237" i="18"/>
  <c r="V113" i="18"/>
  <c r="V144" i="18"/>
  <c r="V175" i="18"/>
  <c r="V206" i="18"/>
  <c r="V268" i="18"/>
  <c r="N51" i="18"/>
  <c r="N113" i="18"/>
  <c r="N82" i="18"/>
  <c r="N144" i="18"/>
  <c r="N175" i="18"/>
  <c r="N237" i="18"/>
  <c r="N206" i="18"/>
  <c r="N268" i="18"/>
  <c r="P113" i="18"/>
  <c r="P51" i="18"/>
  <c r="P144" i="18"/>
  <c r="P175" i="18"/>
  <c r="P206" i="18"/>
  <c r="P237" i="18"/>
  <c r="P268" i="18"/>
  <c r="P82" i="18"/>
  <c r="X113" i="18"/>
  <c r="X175" i="18"/>
  <c r="X206" i="18"/>
  <c r="X237" i="18"/>
  <c r="X51" i="18"/>
  <c r="X268" i="18"/>
  <c r="X82" i="18"/>
  <c r="X144" i="18"/>
  <c r="AF113" i="18"/>
  <c r="AF144" i="18"/>
  <c r="AF175" i="18"/>
  <c r="AF206" i="18"/>
  <c r="AF237" i="18"/>
  <c r="AF268" i="18"/>
  <c r="AF82" i="18"/>
  <c r="AF51" i="18"/>
  <c r="Q144" i="18"/>
  <c r="Q175" i="18"/>
  <c r="Q206" i="18"/>
  <c r="Q237" i="18"/>
  <c r="Q268" i="18"/>
  <c r="Q51" i="18"/>
  <c r="Q82" i="18"/>
  <c r="Q113" i="18"/>
  <c r="Y144" i="18"/>
  <c r="Y175" i="18"/>
  <c r="Y206" i="18"/>
  <c r="Y237" i="18"/>
  <c r="Y268" i="18"/>
  <c r="Y82" i="18"/>
  <c r="Y51" i="18"/>
  <c r="Y113" i="18"/>
  <c r="AG144" i="18"/>
  <c r="AG175" i="18"/>
  <c r="AG206" i="18"/>
  <c r="AG237" i="18"/>
  <c r="AG268" i="18"/>
  <c r="AG51" i="18"/>
  <c r="AG113" i="18"/>
  <c r="AG82" i="18"/>
  <c r="R175" i="18"/>
  <c r="R237" i="18"/>
  <c r="R113" i="18"/>
  <c r="R268" i="18"/>
  <c r="R51" i="18"/>
  <c r="R82" i="18"/>
  <c r="R144" i="18"/>
  <c r="R206" i="18"/>
  <c r="Z175" i="18"/>
  <c r="Z206" i="18"/>
  <c r="Z113" i="18"/>
  <c r="Z237" i="18"/>
  <c r="Z268" i="18"/>
  <c r="Z51" i="18"/>
  <c r="Z82" i="18"/>
  <c r="Z144" i="18"/>
  <c r="J268" i="18"/>
  <c r="J237" i="18"/>
  <c r="J206" i="18"/>
  <c r="J175" i="18"/>
  <c r="J144" i="18"/>
  <c r="J113" i="18"/>
  <c r="J82" i="18"/>
  <c r="J51" i="18"/>
  <c r="F92" i="48"/>
  <c r="I144" i="18"/>
  <c r="I268" i="18"/>
  <c r="I113" i="18"/>
  <c r="I82" i="18"/>
  <c r="I206" i="18"/>
  <c r="I51" i="18"/>
  <c r="I237" i="18"/>
  <c r="I175" i="18"/>
  <c r="S205" i="18"/>
  <c r="S81" i="18"/>
  <c r="S174" i="18"/>
  <c r="S50" i="18"/>
  <c r="S236" i="18"/>
  <c r="S112" i="18"/>
  <c r="S267" i="18"/>
  <c r="S143" i="18"/>
  <c r="T204" i="18"/>
  <c r="T80" i="18"/>
  <c r="T173" i="18"/>
  <c r="T49" i="18"/>
  <c r="T266" i="18"/>
  <c r="T142" i="18"/>
  <c r="T235" i="18"/>
  <c r="T111" i="18"/>
  <c r="AC172" i="18"/>
  <c r="AC48" i="18"/>
  <c r="AC265" i="18"/>
  <c r="AC141" i="18"/>
  <c r="AC234" i="18"/>
  <c r="AC110" i="18"/>
  <c r="AC203" i="18"/>
  <c r="AC79" i="18"/>
  <c r="M172" i="18"/>
  <c r="M48" i="18"/>
  <c r="M265" i="18"/>
  <c r="M141" i="18"/>
  <c r="M234" i="18"/>
  <c r="M110" i="18"/>
  <c r="M203" i="18"/>
  <c r="M79" i="18"/>
  <c r="G91" i="48"/>
  <c r="AH205" i="18"/>
  <c r="AH81" i="18"/>
  <c r="AH174" i="18"/>
  <c r="AH50" i="18"/>
  <c r="AH267" i="18"/>
  <c r="AH143" i="18"/>
  <c r="AH236" i="18"/>
  <c r="AH112" i="18"/>
  <c r="Z205" i="18"/>
  <c r="Z81" i="18"/>
  <c r="Z174" i="18"/>
  <c r="Z50" i="18"/>
  <c r="Z267" i="18"/>
  <c r="Z143" i="18"/>
  <c r="Z236" i="18"/>
  <c r="Z112" i="18"/>
  <c r="R205" i="18"/>
  <c r="R81" i="18"/>
  <c r="R174" i="18"/>
  <c r="R50" i="18"/>
  <c r="R267" i="18"/>
  <c r="R143" i="18"/>
  <c r="R236" i="18"/>
  <c r="R112" i="18"/>
  <c r="J205" i="18"/>
  <c r="J81" i="18"/>
  <c r="J174" i="18"/>
  <c r="J50" i="18"/>
  <c r="J267" i="18"/>
  <c r="J143" i="18"/>
  <c r="J236" i="18"/>
  <c r="J112" i="18"/>
  <c r="AA204" i="18"/>
  <c r="AA80" i="18"/>
  <c r="AA173" i="18"/>
  <c r="AA49" i="18"/>
  <c r="AA266" i="18"/>
  <c r="AA142" i="18"/>
  <c r="AA235" i="18"/>
  <c r="AA111" i="18"/>
  <c r="S204" i="18"/>
  <c r="S80" i="18"/>
  <c r="S173" i="18"/>
  <c r="S49" i="18"/>
  <c r="S266" i="18"/>
  <c r="S142" i="18"/>
  <c r="S235" i="18"/>
  <c r="S111" i="18"/>
  <c r="K204" i="18"/>
  <c r="K80" i="18"/>
  <c r="K173" i="18"/>
  <c r="K49" i="18"/>
  <c r="K266" i="18"/>
  <c r="K142" i="18"/>
  <c r="K235" i="18"/>
  <c r="K111" i="18"/>
  <c r="AB203" i="18"/>
  <c r="AB79" i="18"/>
  <c r="AB234" i="18"/>
  <c r="AB110" i="18"/>
  <c r="AB172" i="18"/>
  <c r="AB48" i="18"/>
  <c r="AB265" i="18"/>
  <c r="AB141" i="18"/>
  <c r="T203" i="18"/>
  <c r="T79" i="18"/>
  <c r="T172" i="18"/>
  <c r="T48" i="18"/>
  <c r="T265" i="18"/>
  <c r="T141" i="18"/>
  <c r="T234" i="18"/>
  <c r="T110" i="18"/>
  <c r="L203" i="18"/>
  <c r="L79" i="18"/>
  <c r="L172" i="18"/>
  <c r="L48" i="18"/>
  <c r="L265" i="18"/>
  <c r="L141" i="18"/>
  <c r="L110" i="18"/>
  <c r="L234" i="18"/>
  <c r="AA205" i="18"/>
  <c r="AA81" i="18"/>
  <c r="AA112" i="18"/>
  <c r="AA174" i="18"/>
  <c r="AA50" i="18"/>
  <c r="AA267" i="18"/>
  <c r="AA143" i="18"/>
  <c r="AA236" i="18"/>
  <c r="K205" i="18"/>
  <c r="K81" i="18"/>
  <c r="K236" i="18"/>
  <c r="K174" i="18"/>
  <c r="K50" i="18"/>
  <c r="K267" i="18"/>
  <c r="K143" i="18"/>
  <c r="K112" i="18"/>
  <c r="AB204" i="18"/>
  <c r="AB80" i="18"/>
  <c r="AB173" i="18"/>
  <c r="AB49" i="18"/>
  <c r="AB266" i="18"/>
  <c r="AB142" i="18"/>
  <c r="AB235" i="18"/>
  <c r="AB111" i="18"/>
  <c r="L204" i="18"/>
  <c r="L80" i="18"/>
  <c r="L173" i="18"/>
  <c r="L49" i="18"/>
  <c r="L235" i="18"/>
  <c r="L111" i="18"/>
  <c r="L266" i="18"/>
  <c r="L142" i="18"/>
  <c r="U172" i="18"/>
  <c r="U48" i="18"/>
  <c r="U265" i="18"/>
  <c r="U141" i="18"/>
  <c r="U234" i="18"/>
  <c r="U110" i="18"/>
  <c r="U203" i="18"/>
  <c r="U79" i="18"/>
  <c r="AG236" i="18"/>
  <c r="AG112" i="18"/>
  <c r="AG205" i="18"/>
  <c r="AG81" i="18"/>
  <c r="AG174" i="18"/>
  <c r="AG50" i="18"/>
  <c r="AG267" i="18"/>
  <c r="AG143" i="18"/>
  <c r="Y236" i="18"/>
  <c r="Y112" i="18"/>
  <c r="Y205" i="18"/>
  <c r="Y81" i="18"/>
  <c r="Y267" i="18"/>
  <c r="Y174" i="18"/>
  <c r="Y50" i="18"/>
  <c r="Y143" i="18"/>
  <c r="Q236" i="18"/>
  <c r="Q112" i="18"/>
  <c r="Q143" i="18"/>
  <c r="Q205" i="18"/>
  <c r="Q81" i="18"/>
  <c r="Q174" i="18"/>
  <c r="Q50" i="18"/>
  <c r="Q267" i="18"/>
  <c r="G90" i="48"/>
  <c r="AH235" i="18"/>
  <c r="AH111" i="18"/>
  <c r="AH266" i="18"/>
  <c r="AH204" i="18"/>
  <c r="AH80" i="18"/>
  <c r="AH173" i="18"/>
  <c r="AH49" i="18"/>
  <c r="AH142" i="18"/>
  <c r="Z235" i="18"/>
  <c r="Z111" i="18"/>
  <c r="Z204" i="18"/>
  <c r="Z80" i="18"/>
  <c r="Z142" i="18"/>
  <c r="Z173" i="18"/>
  <c r="Z49" i="18"/>
  <c r="Z266" i="18"/>
  <c r="R235" i="18"/>
  <c r="R111" i="18"/>
  <c r="R266" i="18"/>
  <c r="R204" i="18"/>
  <c r="R80" i="18"/>
  <c r="R173" i="18"/>
  <c r="R49" i="18"/>
  <c r="R142" i="18"/>
  <c r="AA203" i="18"/>
  <c r="AA79" i="18"/>
  <c r="AA172" i="18"/>
  <c r="AA48" i="18"/>
  <c r="AA265" i="18"/>
  <c r="AA141" i="18"/>
  <c r="AA234" i="18"/>
  <c r="AA110" i="18"/>
  <c r="S203" i="18"/>
  <c r="S79" i="18"/>
  <c r="S172" i="18"/>
  <c r="S48" i="18"/>
  <c r="S265" i="18"/>
  <c r="S141" i="18"/>
  <c r="S234" i="18"/>
  <c r="S110" i="18"/>
  <c r="K203" i="18"/>
  <c r="K79" i="18"/>
  <c r="K172" i="18"/>
  <c r="K48" i="18"/>
  <c r="K265" i="18"/>
  <c r="K141" i="18"/>
  <c r="K234" i="18"/>
  <c r="K110" i="18"/>
  <c r="AG235" i="18"/>
  <c r="AG111" i="18"/>
  <c r="AG204" i="18"/>
  <c r="AG80" i="18"/>
  <c r="AG173" i="18"/>
  <c r="AG49" i="18"/>
  <c r="AG266" i="18"/>
  <c r="AG142" i="18"/>
  <c r="Z234" i="18"/>
  <c r="Z110" i="18"/>
  <c r="Z203" i="18"/>
  <c r="Z79" i="18"/>
  <c r="Z265" i="18"/>
  <c r="Z172" i="18"/>
  <c r="Z48" i="18"/>
  <c r="Z141" i="18"/>
  <c r="AE267" i="18"/>
  <c r="AE143" i="18"/>
  <c r="AE236" i="18"/>
  <c r="AE112" i="18"/>
  <c r="AE205" i="18"/>
  <c r="AE81" i="18"/>
  <c r="AE174" i="18"/>
  <c r="AE50" i="18"/>
  <c r="W267" i="18"/>
  <c r="W143" i="18"/>
  <c r="W236" i="18"/>
  <c r="W112" i="18"/>
  <c r="W205" i="18"/>
  <c r="W81" i="18"/>
  <c r="W174" i="18"/>
  <c r="W50" i="18"/>
  <c r="X266" i="18"/>
  <c r="X142" i="18"/>
  <c r="X235" i="18"/>
  <c r="X111" i="18"/>
  <c r="X173" i="18"/>
  <c r="X204" i="18"/>
  <c r="X80" i="18"/>
  <c r="X49" i="18"/>
  <c r="P266" i="18"/>
  <c r="P142" i="18"/>
  <c r="P235" i="18"/>
  <c r="P111" i="18"/>
  <c r="P204" i="18"/>
  <c r="P80" i="18"/>
  <c r="P173" i="18"/>
  <c r="P49" i="18"/>
  <c r="AG234" i="18"/>
  <c r="AG110" i="18"/>
  <c r="AG203" i="18"/>
  <c r="AG79" i="18"/>
  <c r="AG172" i="18"/>
  <c r="AG48" i="18"/>
  <c r="AG265" i="18"/>
  <c r="AG141" i="18"/>
  <c r="Y234" i="18"/>
  <c r="Y110" i="18"/>
  <c r="Y203" i="18"/>
  <c r="Y79" i="18"/>
  <c r="Y172" i="18"/>
  <c r="Y48" i="18"/>
  <c r="Y265" i="18"/>
  <c r="Y141" i="18"/>
  <c r="Q234" i="18"/>
  <c r="Q110" i="18"/>
  <c r="Q203" i="18"/>
  <c r="Q79" i="18"/>
  <c r="Q172" i="18"/>
  <c r="Q48" i="18"/>
  <c r="Q265" i="18"/>
  <c r="Q141" i="18"/>
  <c r="AF236" i="18"/>
  <c r="AF112" i="18"/>
  <c r="AF205" i="18"/>
  <c r="AF81" i="18"/>
  <c r="AF174" i="18"/>
  <c r="AF50" i="18"/>
  <c r="AF267" i="18"/>
  <c r="AF143" i="18"/>
  <c r="P236" i="18"/>
  <c r="P112" i="18"/>
  <c r="P205" i="18"/>
  <c r="P81" i="18"/>
  <c r="P174" i="18"/>
  <c r="P50" i="18"/>
  <c r="P267" i="18"/>
  <c r="P143" i="18"/>
  <c r="G89" i="48"/>
  <c r="AH234" i="18"/>
  <c r="AH110" i="18"/>
  <c r="AH203" i="18"/>
  <c r="AH79" i="18"/>
  <c r="AH172" i="18"/>
  <c r="AH48" i="18"/>
  <c r="AH141" i="18"/>
  <c r="AH265" i="18"/>
  <c r="AF266" i="18"/>
  <c r="AF142" i="18"/>
  <c r="AF235" i="18"/>
  <c r="AF111" i="18"/>
  <c r="AF204" i="18"/>
  <c r="AF80" i="18"/>
  <c r="AF173" i="18"/>
  <c r="AF49" i="18"/>
  <c r="AD267" i="18"/>
  <c r="AD143" i="18"/>
  <c r="AD236" i="18"/>
  <c r="AD112" i="18"/>
  <c r="AD205" i="18"/>
  <c r="AD81" i="18"/>
  <c r="AD174" i="18"/>
  <c r="AD50" i="18"/>
  <c r="V267" i="18"/>
  <c r="V143" i="18"/>
  <c r="V236" i="18"/>
  <c r="V112" i="18"/>
  <c r="V205" i="18"/>
  <c r="V81" i="18"/>
  <c r="V174" i="18"/>
  <c r="V50" i="18"/>
  <c r="N267" i="18"/>
  <c r="N143" i="18"/>
  <c r="N236" i="18"/>
  <c r="N112" i="18"/>
  <c r="N205" i="18"/>
  <c r="N81" i="18"/>
  <c r="N174" i="18"/>
  <c r="N50" i="18"/>
  <c r="AE266" i="18"/>
  <c r="AE142" i="18"/>
  <c r="AE235" i="18"/>
  <c r="AE111" i="18"/>
  <c r="AE204" i="18"/>
  <c r="AE80" i="18"/>
  <c r="AE173" i="18"/>
  <c r="AE49" i="18"/>
  <c r="W266" i="18"/>
  <c r="W142" i="18"/>
  <c r="W235" i="18"/>
  <c r="W111" i="18"/>
  <c r="W204" i="18"/>
  <c r="W80" i="18"/>
  <c r="W173" i="18"/>
  <c r="W49" i="18"/>
  <c r="O266" i="18"/>
  <c r="O142" i="18"/>
  <c r="O235" i="18"/>
  <c r="O111" i="18"/>
  <c r="O204" i="18"/>
  <c r="O80" i="18"/>
  <c r="O173" i="18"/>
  <c r="O49" i="18"/>
  <c r="AF265" i="18"/>
  <c r="AF141" i="18"/>
  <c r="AF172" i="18"/>
  <c r="AF234" i="18"/>
  <c r="AF110" i="18"/>
  <c r="AF203" i="18"/>
  <c r="AF79" i="18"/>
  <c r="AF48" i="18"/>
  <c r="X265" i="18"/>
  <c r="X141" i="18"/>
  <c r="X234" i="18"/>
  <c r="X110" i="18"/>
  <c r="X203" i="18"/>
  <c r="X79" i="18"/>
  <c r="X172" i="18"/>
  <c r="X48" i="18"/>
  <c r="P265" i="18"/>
  <c r="P141" i="18"/>
  <c r="P234" i="18"/>
  <c r="P110" i="18"/>
  <c r="P172" i="18"/>
  <c r="P203" i="18"/>
  <c r="P79" i="18"/>
  <c r="P48" i="18"/>
  <c r="X236" i="18"/>
  <c r="X112" i="18"/>
  <c r="X205" i="18"/>
  <c r="X81" i="18"/>
  <c r="X174" i="18"/>
  <c r="X50" i="18"/>
  <c r="X267" i="18"/>
  <c r="X143" i="18"/>
  <c r="Q235" i="18"/>
  <c r="Q111" i="18"/>
  <c r="Q204" i="18"/>
  <c r="Q80" i="18"/>
  <c r="Q173" i="18"/>
  <c r="Q49" i="18"/>
  <c r="Q266" i="18"/>
  <c r="Q142" i="18"/>
  <c r="O267" i="18"/>
  <c r="O143" i="18"/>
  <c r="O174" i="18"/>
  <c r="O236" i="18"/>
  <c r="O112" i="18"/>
  <c r="O205" i="18"/>
  <c r="O81" i="18"/>
  <c r="O50" i="18"/>
  <c r="AC174" i="18"/>
  <c r="AC50" i="18"/>
  <c r="AC267" i="18"/>
  <c r="AC143" i="18"/>
  <c r="AC236" i="18"/>
  <c r="AC112" i="18"/>
  <c r="AC205" i="18"/>
  <c r="AC81" i="18"/>
  <c r="U174" i="18"/>
  <c r="U50" i="18"/>
  <c r="U267" i="18"/>
  <c r="U143" i="18"/>
  <c r="U205" i="18"/>
  <c r="U236" i="18"/>
  <c r="U112" i="18"/>
  <c r="U81" i="18"/>
  <c r="M174" i="18"/>
  <c r="M50" i="18"/>
  <c r="M205" i="18"/>
  <c r="M267" i="18"/>
  <c r="M143" i="18"/>
  <c r="M236" i="18"/>
  <c r="M112" i="18"/>
  <c r="M81" i="18"/>
  <c r="AD173" i="18"/>
  <c r="AD49" i="18"/>
  <c r="AD266" i="18"/>
  <c r="AD142" i="18"/>
  <c r="AD235" i="18"/>
  <c r="AD111" i="18"/>
  <c r="AD204" i="18"/>
  <c r="AD80" i="18"/>
  <c r="V173" i="18"/>
  <c r="V49" i="18"/>
  <c r="V266" i="18"/>
  <c r="V142" i="18"/>
  <c r="V235" i="18"/>
  <c r="V111" i="18"/>
  <c r="V204" i="18"/>
  <c r="V80" i="18"/>
  <c r="N173" i="18"/>
  <c r="N49" i="18"/>
  <c r="N266" i="18"/>
  <c r="N142" i="18"/>
  <c r="N235" i="18"/>
  <c r="N111" i="18"/>
  <c r="N204" i="18"/>
  <c r="N80" i="18"/>
  <c r="AE265" i="18"/>
  <c r="AE141" i="18"/>
  <c r="AE234" i="18"/>
  <c r="AE110" i="18"/>
  <c r="AE203" i="18"/>
  <c r="AE79" i="18"/>
  <c r="AE172" i="18"/>
  <c r="AE48" i="18"/>
  <c r="W265" i="18"/>
  <c r="W141" i="18"/>
  <c r="W234" i="18"/>
  <c r="W110" i="18"/>
  <c r="W203" i="18"/>
  <c r="W79" i="18"/>
  <c r="W172" i="18"/>
  <c r="W48" i="18"/>
  <c r="O265" i="18"/>
  <c r="O141" i="18"/>
  <c r="O234" i="18"/>
  <c r="O110" i="18"/>
  <c r="O203" i="18"/>
  <c r="O79" i="18"/>
  <c r="O172" i="18"/>
  <c r="O48" i="18"/>
  <c r="Y235" i="18"/>
  <c r="Y111" i="18"/>
  <c r="Y204" i="18"/>
  <c r="Y80" i="18"/>
  <c r="Y173" i="18"/>
  <c r="Y49" i="18"/>
  <c r="Y266" i="18"/>
  <c r="Y142" i="18"/>
  <c r="R234" i="18"/>
  <c r="R110" i="18"/>
  <c r="R203" i="18"/>
  <c r="R79" i="18"/>
  <c r="R172" i="18"/>
  <c r="R48" i="18"/>
  <c r="R265" i="18"/>
  <c r="R141" i="18"/>
  <c r="AB174" i="18"/>
  <c r="AB50" i="18"/>
  <c r="AB267" i="18"/>
  <c r="AB143" i="18"/>
  <c r="AB236" i="18"/>
  <c r="AB112" i="18"/>
  <c r="AB205" i="18"/>
  <c r="AB81" i="18"/>
  <c r="T174" i="18"/>
  <c r="T50" i="18"/>
  <c r="T267" i="18"/>
  <c r="T143" i="18"/>
  <c r="T236" i="18"/>
  <c r="T112" i="18"/>
  <c r="T205" i="18"/>
  <c r="T81" i="18"/>
  <c r="L174" i="18"/>
  <c r="L50" i="18"/>
  <c r="L267" i="18"/>
  <c r="L143" i="18"/>
  <c r="L236" i="18"/>
  <c r="L112" i="18"/>
  <c r="L205" i="18"/>
  <c r="L81" i="18"/>
  <c r="AC173" i="18"/>
  <c r="AC49" i="18"/>
  <c r="AC266" i="18"/>
  <c r="AC142" i="18"/>
  <c r="AC235" i="18"/>
  <c r="AC111" i="18"/>
  <c r="AC204" i="18"/>
  <c r="AC80" i="18"/>
  <c r="U173" i="18"/>
  <c r="U49" i="18"/>
  <c r="U266" i="18"/>
  <c r="U142" i="18"/>
  <c r="U235" i="18"/>
  <c r="U111" i="18"/>
  <c r="U204" i="18"/>
  <c r="U80" i="18"/>
  <c r="M173" i="18"/>
  <c r="M49" i="18"/>
  <c r="M266" i="18"/>
  <c r="M142" i="18"/>
  <c r="M235" i="18"/>
  <c r="M111" i="18"/>
  <c r="M204" i="18"/>
  <c r="M80" i="18"/>
  <c r="AD172" i="18"/>
  <c r="AD48" i="18"/>
  <c r="AD265" i="18"/>
  <c r="AD141" i="18"/>
  <c r="AD203" i="18"/>
  <c r="AD234" i="18"/>
  <c r="AD110" i="18"/>
  <c r="AD79" i="18"/>
  <c r="V172" i="18"/>
  <c r="V48" i="18"/>
  <c r="V203" i="18"/>
  <c r="V265" i="18"/>
  <c r="V141" i="18"/>
  <c r="V234" i="18"/>
  <c r="V110" i="18"/>
  <c r="V79" i="18"/>
  <c r="N172" i="18"/>
  <c r="N48" i="18"/>
  <c r="N265" i="18"/>
  <c r="N141" i="18"/>
  <c r="N234" i="18"/>
  <c r="N110" i="18"/>
  <c r="N203" i="18"/>
  <c r="N79" i="18"/>
  <c r="G53" i="48"/>
  <c r="AG36" i="72"/>
  <c r="G88" i="48"/>
  <c r="AH202" i="18"/>
  <c r="AH233" i="18"/>
  <c r="AH264" i="18"/>
  <c r="AH47" i="18"/>
  <c r="AH78" i="18"/>
  <c r="AH109" i="18"/>
  <c r="AH140" i="18"/>
  <c r="AH171" i="18"/>
  <c r="G54" i="48"/>
  <c r="AG37" i="72"/>
  <c r="G52" i="48"/>
  <c r="AG35" i="72"/>
  <c r="G51" i="48"/>
  <c r="AG34" i="72"/>
  <c r="AC171" i="18"/>
  <c r="AC233" i="18"/>
  <c r="AC202" i="18"/>
  <c r="AC264" i="18"/>
  <c r="AC47" i="18"/>
  <c r="AC78" i="18"/>
  <c r="AC140" i="18"/>
  <c r="AC109" i="18"/>
  <c r="AB202" i="18"/>
  <c r="AB171" i="18"/>
  <c r="AB264" i="18"/>
  <c r="AB140" i="18"/>
  <c r="AB78" i="18"/>
  <c r="AB47" i="18"/>
  <c r="AB233" i="18"/>
  <c r="AB109" i="18"/>
  <c r="T202" i="18"/>
  <c r="T171" i="18"/>
  <c r="T264" i="18"/>
  <c r="T140" i="18"/>
  <c r="T78" i="18"/>
  <c r="T47" i="18"/>
  <c r="T109" i="18"/>
  <c r="T233" i="18"/>
  <c r="L202" i="18"/>
  <c r="L171" i="18"/>
  <c r="L264" i="18"/>
  <c r="L140" i="18"/>
  <c r="L78" i="18"/>
  <c r="L47" i="18"/>
  <c r="L109" i="18"/>
  <c r="L233" i="18"/>
  <c r="N171" i="18"/>
  <c r="N264" i="18"/>
  <c r="N140" i="18"/>
  <c r="N233" i="18"/>
  <c r="N47" i="18"/>
  <c r="N202" i="18"/>
  <c r="N78" i="18"/>
  <c r="N109" i="18"/>
  <c r="U171" i="18"/>
  <c r="U233" i="18"/>
  <c r="U202" i="18"/>
  <c r="U140" i="18"/>
  <c r="U264" i="18"/>
  <c r="U47" i="18"/>
  <c r="U78" i="18"/>
  <c r="U109" i="18"/>
  <c r="AA202" i="18"/>
  <c r="AA264" i="18"/>
  <c r="AA140" i="18"/>
  <c r="AA233" i="18"/>
  <c r="AA78" i="18"/>
  <c r="AA109" i="18"/>
  <c r="AA171" i="18"/>
  <c r="AA47" i="18"/>
  <c r="S202" i="18"/>
  <c r="S264" i="18"/>
  <c r="S140" i="18"/>
  <c r="S233" i="18"/>
  <c r="S78" i="18"/>
  <c r="S47" i="18"/>
  <c r="S109" i="18"/>
  <c r="S171" i="18"/>
  <c r="K202" i="18"/>
  <c r="K264" i="18"/>
  <c r="K140" i="18"/>
  <c r="K233" i="18"/>
  <c r="K171" i="18"/>
  <c r="K109" i="18"/>
  <c r="K78" i="18"/>
  <c r="K47" i="18"/>
  <c r="AD171" i="18"/>
  <c r="AD264" i="18"/>
  <c r="AD140" i="18"/>
  <c r="AD233" i="18"/>
  <c r="AD47" i="18"/>
  <c r="AD202" i="18"/>
  <c r="AD109" i="18"/>
  <c r="AD78" i="18"/>
  <c r="Z233" i="18"/>
  <c r="Z202" i="18"/>
  <c r="Z171" i="18"/>
  <c r="Z264" i="18"/>
  <c r="Z109" i="18"/>
  <c r="Z78" i="18"/>
  <c r="Z140" i="18"/>
  <c r="Z47" i="18"/>
  <c r="R233" i="18"/>
  <c r="R202" i="18"/>
  <c r="R171" i="18"/>
  <c r="R109" i="18"/>
  <c r="R140" i="18"/>
  <c r="R264" i="18"/>
  <c r="R78" i="18"/>
  <c r="R47" i="18"/>
  <c r="V171" i="18"/>
  <c r="V264" i="18"/>
  <c r="V140" i="18"/>
  <c r="V233" i="18"/>
  <c r="V47" i="18"/>
  <c r="V202" i="18"/>
  <c r="V78" i="18"/>
  <c r="V109" i="18"/>
  <c r="AG233" i="18"/>
  <c r="AG171" i="18"/>
  <c r="AG264" i="18"/>
  <c r="AG140" i="18"/>
  <c r="AG109" i="18"/>
  <c r="AG78" i="18"/>
  <c r="AG47" i="18"/>
  <c r="AG202" i="18"/>
  <c r="Y233" i="18"/>
  <c r="Y171" i="18"/>
  <c r="Y264" i="18"/>
  <c r="Y140" i="18"/>
  <c r="Y202" i="18"/>
  <c r="Y109" i="18"/>
  <c r="Y78" i="18"/>
  <c r="Y47" i="18"/>
  <c r="Q233" i="18"/>
  <c r="Q171" i="18"/>
  <c r="Q264" i="18"/>
  <c r="Q140" i="18"/>
  <c r="Q109" i="18"/>
  <c r="Q202" i="18"/>
  <c r="Q78" i="18"/>
  <c r="Q47" i="18"/>
  <c r="AF264" i="18"/>
  <c r="AF140" i="18"/>
  <c r="AF233" i="18"/>
  <c r="AF202" i="18"/>
  <c r="AF47" i="18"/>
  <c r="AF171" i="18"/>
  <c r="AF109" i="18"/>
  <c r="AF78" i="18"/>
  <c r="X264" i="18"/>
  <c r="X140" i="18"/>
  <c r="X233" i="18"/>
  <c r="X202" i="18"/>
  <c r="X109" i="18"/>
  <c r="X171" i="18"/>
  <c r="X78" i="18"/>
  <c r="X47" i="18"/>
  <c r="P264" i="18"/>
  <c r="P140" i="18"/>
  <c r="P233" i="18"/>
  <c r="P202" i="18"/>
  <c r="P109" i="18"/>
  <c r="P171" i="18"/>
  <c r="P78" i="18"/>
  <c r="P47" i="18"/>
  <c r="M171" i="18"/>
  <c r="M233" i="18"/>
  <c r="M202" i="18"/>
  <c r="M47" i="18"/>
  <c r="M140" i="18"/>
  <c r="M78" i="18"/>
  <c r="M264" i="18"/>
  <c r="M109" i="18"/>
  <c r="AE264" i="18"/>
  <c r="AE140" i="18"/>
  <c r="AE202" i="18"/>
  <c r="AE171" i="18"/>
  <c r="AE233" i="18"/>
  <c r="AE109" i="18"/>
  <c r="AE78" i="18"/>
  <c r="AE47" i="18"/>
  <c r="W264" i="18"/>
  <c r="W140" i="18"/>
  <c r="W202" i="18"/>
  <c r="W171" i="18"/>
  <c r="W109" i="18"/>
  <c r="W233" i="18"/>
  <c r="W78" i="18"/>
  <c r="W47" i="18"/>
  <c r="O264" i="18"/>
  <c r="O140" i="18"/>
  <c r="O202" i="18"/>
  <c r="O171" i="18"/>
  <c r="O233" i="18"/>
  <c r="O109" i="18"/>
  <c r="O78" i="18"/>
  <c r="O47" i="18"/>
  <c r="J80" i="18"/>
  <c r="J235" i="18"/>
  <c r="J142" i="18"/>
  <c r="J49" i="18"/>
  <c r="J204" i="18"/>
  <c r="J111" i="18"/>
  <c r="J266" i="18"/>
  <c r="J173" i="18"/>
  <c r="J234" i="18"/>
  <c r="J172" i="18"/>
  <c r="J110" i="18"/>
  <c r="J48" i="18"/>
  <c r="J265" i="18"/>
  <c r="J203" i="18"/>
  <c r="J141" i="18"/>
  <c r="J79" i="18"/>
  <c r="J140" i="18"/>
  <c r="J109" i="18"/>
  <c r="J78" i="18"/>
  <c r="J202" i="18"/>
  <c r="J47" i="18"/>
  <c r="J264" i="18"/>
  <c r="J233" i="18"/>
  <c r="J171" i="18"/>
  <c r="F91" i="48"/>
  <c r="I174" i="18"/>
  <c r="I50" i="18"/>
  <c r="I236" i="18"/>
  <c r="I267" i="18"/>
  <c r="I143" i="18"/>
  <c r="I112" i="18"/>
  <c r="I205" i="18"/>
  <c r="I81" i="18"/>
  <c r="F90" i="48"/>
  <c r="I142" i="18"/>
  <c r="I49" i="18"/>
  <c r="I204" i="18"/>
  <c r="I111" i="18"/>
  <c r="I266" i="18"/>
  <c r="I173" i="18"/>
  <c r="I80" i="18"/>
  <c r="I235" i="18"/>
  <c r="F89" i="48"/>
  <c r="I234" i="18"/>
  <c r="I172" i="18"/>
  <c r="I110" i="18"/>
  <c r="I48" i="18"/>
  <c r="I265" i="18"/>
  <c r="I203" i="18"/>
  <c r="I141" i="18"/>
  <c r="I79" i="18"/>
  <c r="F88" i="48"/>
  <c r="I264" i="18"/>
  <c r="I109" i="18"/>
  <c r="I202" i="18"/>
  <c r="I47" i="18"/>
  <c r="I140" i="18"/>
  <c r="I233" i="18"/>
  <c r="I78" i="18"/>
  <c r="I171" i="18"/>
  <c r="G83" i="48"/>
  <c r="AH259" i="18"/>
  <c r="AH135" i="18"/>
  <c r="AH166" i="18"/>
  <c r="AH42" i="18"/>
  <c r="AH197" i="18"/>
  <c r="AH73" i="18"/>
  <c r="AH228" i="18"/>
  <c r="AH104" i="18"/>
  <c r="Y73" i="18"/>
  <c r="Y135" i="18"/>
  <c r="Y166" i="18"/>
  <c r="Y259" i="18"/>
  <c r="Y104" i="18"/>
  <c r="Y197" i="18"/>
  <c r="Y42" i="18"/>
  <c r="Y228" i="18"/>
  <c r="X228" i="18"/>
  <c r="X73" i="18"/>
  <c r="X42" i="18"/>
  <c r="X166" i="18"/>
  <c r="X259" i="18"/>
  <c r="X104" i="18"/>
  <c r="X197" i="18"/>
  <c r="X135" i="18"/>
  <c r="AE135" i="18"/>
  <c r="AE228" i="18"/>
  <c r="AE73" i="18"/>
  <c r="AE166" i="18"/>
  <c r="AE259" i="18"/>
  <c r="AE104" i="18"/>
  <c r="AE197" i="18"/>
  <c r="AE42" i="18"/>
  <c r="W135" i="18"/>
  <c r="W228" i="18"/>
  <c r="W73" i="18"/>
  <c r="W166" i="18"/>
  <c r="W197" i="18"/>
  <c r="W259" i="18"/>
  <c r="W104" i="18"/>
  <c r="W42" i="18"/>
  <c r="O135" i="18"/>
  <c r="O228" i="18"/>
  <c r="O73" i="18"/>
  <c r="O166" i="18"/>
  <c r="O259" i="18"/>
  <c r="O197" i="18"/>
  <c r="O104" i="18"/>
  <c r="O42" i="18"/>
  <c r="N42" i="18"/>
  <c r="N135" i="18"/>
  <c r="N228" i="18"/>
  <c r="N73" i="18"/>
  <c r="N166" i="18"/>
  <c r="N104" i="18"/>
  <c r="N259" i="18"/>
  <c r="N197" i="18"/>
  <c r="M197" i="18"/>
  <c r="M259" i="18"/>
  <c r="M42" i="18"/>
  <c r="M135" i="18"/>
  <c r="M228" i="18"/>
  <c r="M73" i="18"/>
  <c r="M166" i="18"/>
  <c r="M104" i="18"/>
  <c r="V42" i="18"/>
  <c r="V135" i="18"/>
  <c r="V104" i="18"/>
  <c r="V228" i="18"/>
  <c r="V73" i="18"/>
  <c r="V166" i="18"/>
  <c r="V259" i="18"/>
  <c r="V197" i="18"/>
  <c r="U197" i="18"/>
  <c r="U42" i="18"/>
  <c r="U135" i="18"/>
  <c r="U259" i="18"/>
  <c r="U228" i="18"/>
  <c r="U73" i="18"/>
  <c r="U166" i="18"/>
  <c r="U104" i="18"/>
  <c r="AB104" i="18"/>
  <c r="AB197" i="18"/>
  <c r="AB166" i="18"/>
  <c r="AB42" i="18"/>
  <c r="AB135" i="18"/>
  <c r="AB228" i="18"/>
  <c r="AB73" i="18"/>
  <c r="AB259" i="18"/>
  <c r="T104" i="18"/>
  <c r="T197" i="18"/>
  <c r="T42" i="18"/>
  <c r="T166" i="18"/>
  <c r="T135" i="18"/>
  <c r="T228" i="18"/>
  <c r="T73" i="18"/>
  <c r="T259" i="18"/>
  <c r="L104" i="18"/>
  <c r="L197" i="18"/>
  <c r="L42" i="18"/>
  <c r="L135" i="18"/>
  <c r="L228" i="18"/>
  <c r="L166" i="18"/>
  <c r="L73" i="18"/>
  <c r="L259" i="18"/>
  <c r="AD42" i="18"/>
  <c r="AD135" i="18"/>
  <c r="AD228" i="18"/>
  <c r="AD104" i="18"/>
  <c r="AD73" i="18"/>
  <c r="AD166" i="18"/>
  <c r="AD259" i="18"/>
  <c r="AD197" i="18"/>
  <c r="AC197" i="18"/>
  <c r="AC42" i="18"/>
  <c r="AC135" i="18"/>
  <c r="AC228" i="18"/>
  <c r="AC73" i="18"/>
  <c r="AC259" i="18"/>
  <c r="AC166" i="18"/>
  <c r="AC104" i="18"/>
  <c r="AA259" i="18"/>
  <c r="AA73" i="18"/>
  <c r="AA104" i="18"/>
  <c r="AA197" i="18"/>
  <c r="AA42" i="18"/>
  <c r="AA135" i="18"/>
  <c r="AA228" i="18"/>
  <c r="AA166" i="18"/>
  <c r="S259" i="18"/>
  <c r="S104" i="18"/>
  <c r="S197" i="18"/>
  <c r="S42" i="18"/>
  <c r="S135" i="18"/>
  <c r="S228" i="18"/>
  <c r="S166" i="18"/>
  <c r="S73" i="18"/>
  <c r="K259" i="18"/>
  <c r="K104" i="18"/>
  <c r="K197" i="18"/>
  <c r="K42" i="18"/>
  <c r="K73" i="18"/>
  <c r="K135" i="18"/>
  <c r="K228" i="18"/>
  <c r="K166" i="18"/>
  <c r="Z166" i="18"/>
  <c r="Z228" i="18"/>
  <c r="Z259" i="18"/>
  <c r="Z104" i="18"/>
  <c r="Z197" i="18"/>
  <c r="Z42" i="18"/>
  <c r="Z135" i="18"/>
  <c r="Z73" i="18"/>
  <c r="R166" i="18"/>
  <c r="R259" i="18"/>
  <c r="R104" i="18"/>
  <c r="R197" i="18"/>
  <c r="R42" i="18"/>
  <c r="R135" i="18"/>
  <c r="R228" i="18"/>
  <c r="R73" i="18"/>
  <c r="Q73" i="18"/>
  <c r="Q166" i="18"/>
  <c r="Q259" i="18"/>
  <c r="Q104" i="18"/>
  <c r="Q197" i="18"/>
  <c r="Q135" i="18"/>
  <c r="Q42" i="18"/>
  <c r="Q228" i="18"/>
  <c r="AG73" i="18"/>
  <c r="AG166" i="18"/>
  <c r="AG135" i="18"/>
  <c r="AG259" i="18"/>
  <c r="AG104" i="18"/>
  <c r="AG197" i="18"/>
  <c r="AG42" i="18"/>
  <c r="AG228" i="18"/>
  <c r="AF228" i="18"/>
  <c r="AF73" i="18"/>
  <c r="AF166" i="18"/>
  <c r="AF42" i="18"/>
  <c r="AF259" i="18"/>
  <c r="AF104" i="18"/>
  <c r="AF197" i="18"/>
  <c r="AF135" i="18"/>
  <c r="P228" i="18"/>
  <c r="P73" i="18"/>
  <c r="P166" i="18"/>
  <c r="P259" i="18"/>
  <c r="P104" i="18"/>
  <c r="P197" i="18"/>
  <c r="P42" i="18"/>
  <c r="P135" i="18"/>
  <c r="J259" i="18"/>
  <c r="J135" i="18"/>
  <c r="J166" i="18"/>
  <c r="J42" i="18"/>
  <c r="J197" i="18"/>
  <c r="J73" i="18"/>
  <c r="J228" i="18"/>
  <c r="J104" i="18"/>
  <c r="F83" i="48"/>
  <c r="I197" i="18"/>
  <c r="I135" i="18"/>
  <c r="I228" i="18"/>
  <c r="I259" i="18"/>
  <c r="I42" i="18"/>
  <c r="I73" i="18"/>
  <c r="I104" i="18"/>
  <c r="I166" i="18"/>
  <c r="G82" i="48"/>
  <c r="AH258" i="18"/>
  <c r="AH227" i="18"/>
  <c r="AH196" i="18"/>
  <c r="AH165" i="18"/>
  <c r="AH134" i="18"/>
  <c r="AH103" i="18"/>
  <c r="AH72" i="18"/>
  <c r="AH41" i="18"/>
  <c r="G81" i="48"/>
  <c r="AH195" i="18"/>
  <c r="AH71" i="18"/>
  <c r="AH164" i="18"/>
  <c r="AH40" i="18"/>
  <c r="AH257" i="18"/>
  <c r="AH133" i="18"/>
  <c r="AH226" i="18"/>
  <c r="AH102" i="18"/>
  <c r="M258" i="18"/>
  <c r="M41" i="18"/>
  <c r="M165" i="18"/>
  <c r="M196" i="18"/>
  <c r="M72" i="18"/>
  <c r="M134" i="18"/>
  <c r="M227" i="18"/>
  <c r="M103" i="18"/>
  <c r="AC257" i="18"/>
  <c r="AC40" i="18"/>
  <c r="AC164" i="18"/>
  <c r="AC195" i="18"/>
  <c r="AC226" i="18"/>
  <c r="AC102" i="18"/>
  <c r="AC133" i="18"/>
  <c r="AC71" i="18"/>
  <c r="S196" i="18"/>
  <c r="S227" i="18"/>
  <c r="S103" i="18"/>
  <c r="S134" i="18"/>
  <c r="S72" i="18"/>
  <c r="S165" i="18"/>
  <c r="S41" i="18"/>
  <c r="S258" i="18"/>
  <c r="T226" i="18"/>
  <c r="T257" i="18"/>
  <c r="T133" i="18"/>
  <c r="T164" i="18"/>
  <c r="T195" i="18"/>
  <c r="T40" i="18"/>
  <c r="T102" i="18"/>
  <c r="T71" i="18"/>
  <c r="Z165" i="18"/>
  <c r="Z196" i="18"/>
  <c r="Z72" i="18"/>
  <c r="Z103" i="18"/>
  <c r="Z258" i="18"/>
  <c r="Z134" i="18"/>
  <c r="Z227" i="18"/>
  <c r="Z41" i="18"/>
  <c r="R165" i="18"/>
  <c r="R196" i="18"/>
  <c r="R72" i="18"/>
  <c r="R103" i="18"/>
  <c r="R227" i="18"/>
  <c r="R134" i="18"/>
  <c r="R41" i="18"/>
  <c r="R258" i="18"/>
  <c r="AA195" i="18"/>
  <c r="AA226" i="18"/>
  <c r="AA102" i="18"/>
  <c r="AA133" i="18"/>
  <c r="AA71" i="18"/>
  <c r="AA164" i="18"/>
  <c r="AA40" i="18"/>
  <c r="AA257" i="18"/>
  <c r="S195" i="18"/>
  <c r="S226" i="18"/>
  <c r="S102" i="18"/>
  <c r="S133" i="18"/>
  <c r="S257" i="18"/>
  <c r="S40" i="18"/>
  <c r="S71" i="18"/>
  <c r="S164" i="18"/>
  <c r="K195" i="18"/>
  <c r="K226" i="18"/>
  <c r="K102" i="18"/>
  <c r="K133" i="18"/>
  <c r="K71" i="18"/>
  <c r="K164" i="18"/>
  <c r="K257" i="18"/>
  <c r="K40" i="18"/>
  <c r="V40" i="18"/>
  <c r="V71" i="18"/>
  <c r="V195" i="18"/>
  <c r="V226" i="18"/>
  <c r="V133" i="18"/>
  <c r="V257" i="18"/>
  <c r="V164" i="18"/>
  <c r="V102" i="18"/>
  <c r="AB227" i="18"/>
  <c r="AB258" i="18"/>
  <c r="AB134" i="18"/>
  <c r="AB165" i="18"/>
  <c r="AB72" i="18"/>
  <c r="AB41" i="18"/>
  <c r="AB196" i="18"/>
  <c r="AB103" i="18"/>
  <c r="L227" i="18"/>
  <c r="L258" i="18"/>
  <c r="L134" i="18"/>
  <c r="L165" i="18"/>
  <c r="L103" i="18"/>
  <c r="L196" i="18"/>
  <c r="L72" i="18"/>
  <c r="L41" i="18"/>
  <c r="AA196" i="18"/>
  <c r="AA227" i="18"/>
  <c r="AA103" i="18"/>
  <c r="AA134" i="18"/>
  <c r="AA258" i="18"/>
  <c r="AA72" i="18"/>
  <c r="AA41" i="18"/>
  <c r="AA165" i="18"/>
  <c r="L226" i="18"/>
  <c r="L257" i="18"/>
  <c r="L133" i="18"/>
  <c r="L164" i="18"/>
  <c r="L71" i="18"/>
  <c r="L102" i="18"/>
  <c r="L195" i="18"/>
  <c r="L40" i="18"/>
  <c r="AG134" i="18"/>
  <c r="AG165" i="18"/>
  <c r="AG41" i="18"/>
  <c r="AG72" i="18"/>
  <c r="AG227" i="18"/>
  <c r="AG103" i="18"/>
  <c r="AG196" i="18"/>
  <c r="AG258" i="18"/>
  <c r="Y134" i="18"/>
  <c r="Y165" i="18"/>
  <c r="Y41" i="18"/>
  <c r="Y72" i="18"/>
  <c r="Y196" i="18"/>
  <c r="Y258" i="18"/>
  <c r="Y227" i="18"/>
  <c r="Y103" i="18"/>
  <c r="Q134" i="18"/>
  <c r="Q165" i="18"/>
  <c r="Q41" i="18"/>
  <c r="Q72" i="18"/>
  <c r="Q227" i="18"/>
  <c r="Q258" i="18"/>
  <c r="Q103" i="18"/>
  <c r="Q196" i="18"/>
  <c r="Z164" i="18"/>
  <c r="Z195" i="18"/>
  <c r="Z71" i="18"/>
  <c r="Z102" i="18"/>
  <c r="Z226" i="18"/>
  <c r="Z40" i="18"/>
  <c r="Z257" i="18"/>
  <c r="Z133" i="18"/>
  <c r="R164" i="18"/>
  <c r="R195" i="18"/>
  <c r="R71" i="18"/>
  <c r="R102" i="18"/>
  <c r="R257" i="18"/>
  <c r="R40" i="18"/>
  <c r="R133" i="18"/>
  <c r="R226" i="18"/>
  <c r="U258" i="18"/>
  <c r="U41" i="18"/>
  <c r="U165" i="18"/>
  <c r="U196" i="18"/>
  <c r="U103" i="18"/>
  <c r="U134" i="18"/>
  <c r="U72" i="18"/>
  <c r="U227" i="18"/>
  <c r="T227" i="18"/>
  <c r="T258" i="18"/>
  <c r="T134" i="18"/>
  <c r="T165" i="18"/>
  <c r="T41" i="18"/>
  <c r="T103" i="18"/>
  <c r="T72" i="18"/>
  <c r="T196" i="18"/>
  <c r="K196" i="18"/>
  <c r="K227" i="18"/>
  <c r="K103" i="18"/>
  <c r="K134" i="18"/>
  <c r="K258" i="18"/>
  <c r="K72" i="18"/>
  <c r="K165" i="18"/>
  <c r="K41" i="18"/>
  <c r="AF103" i="18"/>
  <c r="AF134" i="18"/>
  <c r="AF258" i="18"/>
  <c r="AF72" i="18"/>
  <c r="AF41" i="18"/>
  <c r="AF227" i="18"/>
  <c r="AF165" i="18"/>
  <c r="AF196" i="18"/>
  <c r="X103" i="18"/>
  <c r="X134" i="18"/>
  <c r="X258" i="18"/>
  <c r="X196" i="18"/>
  <c r="X227" i="18"/>
  <c r="X41" i="18"/>
  <c r="X165" i="18"/>
  <c r="X72" i="18"/>
  <c r="P103" i="18"/>
  <c r="P134" i="18"/>
  <c r="P258" i="18"/>
  <c r="P72" i="18"/>
  <c r="P227" i="18"/>
  <c r="P165" i="18"/>
  <c r="P41" i="18"/>
  <c r="P196" i="18"/>
  <c r="AG133" i="18"/>
  <c r="AG164" i="18"/>
  <c r="AG40" i="18"/>
  <c r="AG71" i="18"/>
  <c r="AG102" i="18"/>
  <c r="AG195" i="18"/>
  <c r="AG257" i="18"/>
  <c r="AG226" i="18"/>
  <c r="Y133" i="18"/>
  <c r="Y164" i="18"/>
  <c r="Y40" i="18"/>
  <c r="Y71" i="18"/>
  <c r="Y226" i="18"/>
  <c r="Y257" i="18"/>
  <c r="Y102" i="18"/>
  <c r="Y195" i="18"/>
  <c r="Q133" i="18"/>
  <c r="Q164" i="18"/>
  <c r="Q40" i="18"/>
  <c r="Q71" i="18"/>
  <c r="Q102" i="18"/>
  <c r="Q195" i="18"/>
  <c r="Q257" i="18"/>
  <c r="Q226" i="18"/>
  <c r="N40" i="18"/>
  <c r="N71" i="18"/>
  <c r="N195" i="18"/>
  <c r="N226" i="18"/>
  <c r="N164" i="18"/>
  <c r="N102" i="18"/>
  <c r="N257" i="18"/>
  <c r="N133" i="18"/>
  <c r="M257" i="18"/>
  <c r="M40" i="18"/>
  <c r="M164" i="18"/>
  <c r="M195" i="18"/>
  <c r="M71" i="18"/>
  <c r="M102" i="18"/>
  <c r="M226" i="18"/>
  <c r="M133" i="18"/>
  <c r="AE72" i="18"/>
  <c r="AE103" i="18"/>
  <c r="AE227" i="18"/>
  <c r="AE258" i="18"/>
  <c r="AE134" i="18"/>
  <c r="AE41" i="18"/>
  <c r="AE165" i="18"/>
  <c r="AE196" i="18"/>
  <c r="W72" i="18"/>
  <c r="W103" i="18"/>
  <c r="W227" i="18"/>
  <c r="W258" i="18"/>
  <c r="W41" i="18"/>
  <c r="W196" i="18"/>
  <c r="W165" i="18"/>
  <c r="W134" i="18"/>
  <c r="O72" i="18"/>
  <c r="O103" i="18"/>
  <c r="O227" i="18"/>
  <c r="O258" i="18"/>
  <c r="O134" i="18"/>
  <c r="O165" i="18"/>
  <c r="O41" i="18"/>
  <c r="O196" i="18"/>
  <c r="AF102" i="18"/>
  <c r="AF133" i="18"/>
  <c r="AF257" i="18"/>
  <c r="AF40" i="18"/>
  <c r="AF164" i="18"/>
  <c r="AF195" i="18"/>
  <c r="AF71" i="18"/>
  <c r="AF226" i="18"/>
  <c r="X102" i="18"/>
  <c r="X133" i="18"/>
  <c r="X257" i="18"/>
  <c r="X195" i="18"/>
  <c r="X226" i="18"/>
  <c r="X71" i="18"/>
  <c r="X164" i="18"/>
  <c r="X40" i="18"/>
  <c r="P102" i="18"/>
  <c r="P133" i="18"/>
  <c r="P257" i="18"/>
  <c r="P71" i="18"/>
  <c r="P195" i="18"/>
  <c r="P40" i="18"/>
  <c r="P226" i="18"/>
  <c r="P164" i="18"/>
  <c r="AC258" i="18"/>
  <c r="AC41" i="18"/>
  <c r="AC165" i="18"/>
  <c r="AC196" i="18"/>
  <c r="AC134" i="18"/>
  <c r="AC72" i="18"/>
  <c r="AC227" i="18"/>
  <c r="AC103" i="18"/>
  <c r="AD40" i="18"/>
  <c r="AD71" i="18"/>
  <c r="AD195" i="18"/>
  <c r="AD226" i="18"/>
  <c r="AD164" i="18"/>
  <c r="AD102" i="18"/>
  <c r="AD257" i="18"/>
  <c r="AD133" i="18"/>
  <c r="U257" i="18"/>
  <c r="U40" i="18"/>
  <c r="U164" i="18"/>
  <c r="U195" i="18"/>
  <c r="U133" i="18"/>
  <c r="U226" i="18"/>
  <c r="U71" i="18"/>
  <c r="U102" i="18"/>
  <c r="AB226" i="18"/>
  <c r="AB257" i="18"/>
  <c r="AB133" i="18"/>
  <c r="AB164" i="18"/>
  <c r="AB71" i="18"/>
  <c r="AB40" i="18"/>
  <c r="AB102" i="18"/>
  <c r="AB195" i="18"/>
  <c r="AD41" i="18"/>
  <c r="AD72" i="18"/>
  <c r="AD196" i="18"/>
  <c r="AD227" i="18"/>
  <c r="AD134" i="18"/>
  <c r="AD258" i="18"/>
  <c r="AD165" i="18"/>
  <c r="AD103" i="18"/>
  <c r="V41" i="18"/>
  <c r="V72" i="18"/>
  <c r="V196" i="18"/>
  <c r="V227" i="18"/>
  <c r="V165" i="18"/>
  <c r="V103" i="18"/>
  <c r="V258" i="18"/>
  <c r="V134" i="18"/>
  <c r="N41" i="18"/>
  <c r="N72" i="18"/>
  <c r="N196" i="18"/>
  <c r="N227" i="18"/>
  <c r="N134" i="18"/>
  <c r="N258" i="18"/>
  <c r="N165" i="18"/>
  <c r="N103" i="18"/>
  <c r="AE71" i="18"/>
  <c r="AE102" i="18"/>
  <c r="AE226" i="18"/>
  <c r="AE257" i="18"/>
  <c r="AE164" i="18"/>
  <c r="AE40" i="18"/>
  <c r="AE195" i="18"/>
  <c r="AE133" i="18"/>
  <c r="W71" i="18"/>
  <c r="W102" i="18"/>
  <c r="W226" i="18"/>
  <c r="W257" i="18"/>
  <c r="W133" i="18"/>
  <c r="W195" i="18"/>
  <c r="W164" i="18"/>
  <c r="W40" i="18"/>
  <c r="O71" i="18"/>
  <c r="O102" i="18"/>
  <c r="O226" i="18"/>
  <c r="O257" i="18"/>
  <c r="O164" i="18"/>
  <c r="O195" i="18"/>
  <c r="O40" i="18"/>
  <c r="O133" i="18"/>
  <c r="J258" i="18"/>
  <c r="J227" i="18"/>
  <c r="J196" i="18"/>
  <c r="J165" i="18"/>
  <c r="J134" i="18"/>
  <c r="J103" i="18"/>
  <c r="J72" i="18"/>
  <c r="J41" i="18"/>
  <c r="J195" i="18"/>
  <c r="J71" i="18"/>
  <c r="J164" i="18"/>
  <c r="J40" i="18"/>
  <c r="J257" i="18"/>
  <c r="J133" i="18"/>
  <c r="J226" i="18"/>
  <c r="J102" i="18"/>
  <c r="F82" i="48"/>
  <c r="I227" i="18"/>
  <c r="I134" i="18"/>
  <c r="I165" i="18"/>
  <c r="I41" i="18"/>
  <c r="I196" i="18"/>
  <c r="I103" i="18"/>
  <c r="I258" i="18"/>
  <c r="I72" i="18"/>
  <c r="F81" i="48"/>
  <c r="I226" i="18"/>
  <c r="I164" i="18"/>
  <c r="I102" i="18"/>
  <c r="I40" i="18"/>
  <c r="I257" i="18"/>
  <c r="I195" i="18"/>
  <c r="I133" i="18"/>
  <c r="I71" i="18"/>
  <c r="G79" i="48"/>
  <c r="AH69" i="18"/>
  <c r="AH162" i="18"/>
  <c r="AH255" i="18"/>
  <c r="AH224" i="18"/>
  <c r="AH100" i="18"/>
  <c r="AH131" i="18"/>
  <c r="AH193" i="18"/>
  <c r="AH38" i="18"/>
  <c r="AF224" i="18"/>
  <c r="AF162" i="18"/>
  <c r="AF100" i="18"/>
  <c r="AF38" i="18"/>
  <c r="AF255" i="18"/>
  <c r="AF193" i="18"/>
  <c r="AF131" i="18"/>
  <c r="AF69" i="18"/>
  <c r="AE224" i="18"/>
  <c r="AE162" i="18"/>
  <c r="AE100" i="18"/>
  <c r="AE38" i="18"/>
  <c r="AE255" i="18"/>
  <c r="AE193" i="18"/>
  <c r="AE131" i="18"/>
  <c r="AE69" i="18"/>
  <c r="W224" i="18"/>
  <c r="W162" i="18"/>
  <c r="W100" i="18"/>
  <c r="W38" i="18"/>
  <c r="W255" i="18"/>
  <c r="W193" i="18"/>
  <c r="W131" i="18"/>
  <c r="W69" i="18"/>
  <c r="O224" i="18"/>
  <c r="O162" i="18"/>
  <c r="O100" i="18"/>
  <c r="O38" i="18"/>
  <c r="O255" i="18"/>
  <c r="O193" i="18"/>
  <c r="O131" i="18"/>
  <c r="O69" i="18"/>
  <c r="AC224" i="18"/>
  <c r="AC162" i="18"/>
  <c r="AC100" i="18"/>
  <c r="AC38" i="18"/>
  <c r="AC255" i="18"/>
  <c r="AC193" i="18"/>
  <c r="AC131" i="18"/>
  <c r="AC69" i="18"/>
  <c r="U224" i="18"/>
  <c r="U162" i="18"/>
  <c r="U100" i="18"/>
  <c r="U38" i="18"/>
  <c r="U255" i="18"/>
  <c r="U193" i="18"/>
  <c r="U131" i="18"/>
  <c r="U69" i="18"/>
  <c r="M224" i="18"/>
  <c r="M162" i="18"/>
  <c r="M100" i="18"/>
  <c r="M38" i="18"/>
  <c r="M255" i="18"/>
  <c r="M193" i="18"/>
  <c r="M131" i="18"/>
  <c r="M69" i="18"/>
  <c r="AD193" i="18"/>
  <c r="AD69" i="18"/>
  <c r="AD131" i="18"/>
  <c r="AD224" i="18"/>
  <c r="AD162" i="18"/>
  <c r="AD100" i="18"/>
  <c r="AD38" i="18"/>
  <c r="AD255" i="18"/>
  <c r="T255" i="18"/>
  <c r="T193" i="18"/>
  <c r="T131" i="18"/>
  <c r="T69" i="18"/>
  <c r="T224" i="18"/>
  <c r="T162" i="18"/>
  <c r="T100" i="18"/>
  <c r="T38" i="18"/>
  <c r="L255" i="18"/>
  <c r="L193" i="18"/>
  <c r="L131" i="18"/>
  <c r="L69" i="18"/>
  <c r="L224" i="18"/>
  <c r="L162" i="18"/>
  <c r="L100" i="18"/>
  <c r="L38" i="18"/>
  <c r="V193" i="18"/>
  <c r="V224" i="18"/>
  <c r="V162" i="18"/>
  <c r="V100" i="18"/>
  <c r="V38" i="18"/>
  <c r="V255" i="18"/>
  <c r="V131" i="18"/>
  <c r="V69" i="18"/>
  <c r="AA255" i="18"/>
  <c r="AA193" i="18"/>
  <c r="AA131" i="18"/>
  <c r="AA69" i="18"/>
  <c r="AA224" i="18"/>
  <c r="AA162" i="18"/>
  <c r="AA100" i="18"/>
  <c r="AA38" i="18"/>
  <c r="S255" i="18"/>
  <c r="S193" i="18"/>
  <c r="S131" i="18"/>
  <c r="S69" i="18"/>
  <c r="S224" i="18"/>
  <c r="S162" i="18"/>
  <c r="S100" i="18"/>
  <c r="S38" i="18"/>
  <c r="K255" i="18"/>
  <c r="K193" i="18"/>
  <c r="K131" i="18"/>
  <c r="K69" i="18"/>
  <c r="K224" i="18"/>
  <c r="K162" i="18"/>
  <c r="K100" i="18"/>
  <c r="K38" i="18"/>
  <c r="AB255" i="18"/>
  <c r="AB193" i="18"/>
  <c r="AB131" i="18"/>
  <c r="AB69" i="18"/>
  <c r="AB224" i="18"/>
  <c r="AB162" i="18"/>
  <c r="AB100" i="18"/>
  <c r="AB38" i="18"/>
  <c r="Z100" i="18"/>
  <c r="Z255" i="18"/>
  <c r="Z193" i="18"/>
  <c r="Z131" i="18"/>
  <c r="Z69" i="18"/>
  <c r="Z224" i="18"/>
  <c r="Z38" i="18"/>
  <c r="Z162" i="18"/>
  <c r="R100" i="18"/>
  <c r="R255" i="18"/>
  <c r="R193" i="18"/>
  <c r="R131" i="18"/>
  <c r="R69" i="18"/>
  <c r="R162" i="18"/>
  <c r="R224" i="18"/>
  <c r="R38" i="18"/>
  <c r="AG255" i="18"/>
  <c r="AG193" i="18"/>
  <c r="AG131" i="18"/>
  <c r="AG69" i="18"/>
  <c r="AG224" i="18"/>
  <c r="AG162" i="18"/>
  <c r="AG100" i="18"/>
  <c r="AG38" i="18"/>
  <c r="Y255" i="18"/>
  <c r="Y193" i="18"/>
  <c r="Y131" i="18"/>
  <c r="Y69" i="18"/>
  <c r="Y224" i="18"/>
  <c r="Y162" i="18"/>
  <c r="Y100" i="18"/>
  <c r="Y38" i="18"/>
  <c r="Q255" i="18"/>
  <c r="Q193" i="18"/>
  <c r="Q131" i="18"/>
  <c r="Q69" i="18"/>
  <c r="Q224" i="18"/>
  <c r="Q162" i="18"/>
  <c r="Q100" i="18"/>
  <c r="Q38" i="18"/>
  <c r="N131" i="18"/>
  <c r="N224" i="18"/>
  <c r="N162" i="18"/>
  <c r="N100" i="18"/>
  <c r="N38" i="18"/>
  <c r="N69" i="18"/>
  <c r="N255" i="18"/>
  <c r="N193" i="18"/>
  <c r="X224" i="18"/>
  <c r="X162" i="18"/>
  <c r="X100" i="18"/>
  <c r="X38" i="18"/>
  <c r="X255" i="18"/>
  <c r="X193" i="18"/>
  <c r="X131" i="18"/>
  <c r="X69" i="18"/>
  <c r="P224" i="18"/>
  <c r="P162" i="18"/>
  <c r="P100" i="18"/>
  <c r="P38" i="18"/>
  <c r="P255" i="18"/>
  <c r="P193" i="18"/>
  <c r="P131" i="18"/>
  <c r="P69" i="18"/>
  <c r="J69" i="18"/>
  <c r="J131" i="18"/>
  <c r="J162" i="18"/>
  <c r="J255" i="18"/>
  <c r="J100" i="18"/>
  <c r="J193" i="18"/>
  <c r="J38" i="18"/>
  <c r="J224" i="18"/>
  <c r="F79" i="48"/>
  <c r="I224" i="18"/>
  <c r="I100" i="18"/>
  <c r="I255" i="18"/>
  <c r="I131" i="18"/>
  <c r="I162" i="18"/>
  <c r="I38" i="18"/>
  <c r="I193" i="18"/>
  <c r="I69" i="18"/>
  <c r="G78" i="48"/>
  <c r="AH130" i="18"/>
  <c r="AH161" i="18"/>
  <c r="AH192" i="18"/>
  <c r="AH99" i="18"/>
  <c r="AH223" i="18"/>
  <c r="AH254" i="18"/>
  <c r="AH37" i="18"/>
  <c r="AH68" i="18"/>
  <c r="AG161" i="18"/>
  <c r="AG223" i="18"/>
  <c r="AG130" i="18"/>
  <c r="AG99" i="18"/>
  <c r="AG254" i="18"/>
  <c r="AG68" i="18"/>
  <c r="AG37" i="18"/>
  <c r="AG192" i="18"/>
  <c r="Q161" i="18"/>
  <c r="Q254" i="18"/>
  <c r="Q130" i="18"/>
  <c r="Q99" i="18"/>
  <c r="Q223" i="18"/>
  <c r="Q68" i="18"/>
  <c r="Q37" i="18"/>
  <c r="Q192" i="18"/>
  <c r="AF192" i="18"/>
  <c r="AF161" i="18"/>
  <c r="AF130" i="18"/>
  <c r="AF99" i="18"/>
  <c r="AF68" i="18"/>
  <c r="AF254" i="18"/>
  <c r="AF223" i="18"/>
  <c r="AF37" i="18"/>
  <c r="X192" i="18"/>
  <c r="X161" i="18"/>
  <c r="X37" i="18"/>
  <c r="X130" i="18"/>
  <c r="X99" i="18"/>
  <c r="X254" i="18"/>
  <c r="X68" i="18"/>
  <c r="X223" i="18"/>
  <c r="P192" i="18"/>
  <c r="P161" i="18"/>
  <c r="P254" i="18"/>
  <c r="P130" i="18"/>
  <c r="P37" i="18"/>
  <c r="P99" i="18"/>
  <c r="P68" i="18"/>
  <c r="P223" i="18"/>
  <c r="W223" i="18"/>
  <c r="W68" i="18"/>
  <c r="W192" i="18"/>
  <c r="W37" i="18"/>
  <c r="W161" i="18"/>
  <c r="W130" i="18"/>
  <c r="W99" i="18"/>
  <c r="W254" i="18"/>
  <c r="AD254" i="18"/>
  <c r="AD99" i="18"/>
  <c r="AD68" i="18"/>
  <c r="AD223" i="18"/>
  <c r="AD192" i="18"/>
  <c r="AD161" i="18"/>
  <c r="AD130" i="18"/>
  <c r="AD37" i="18"/>
  <c r="V254" i="18"/>
  <c r="V223" i="18"/>
  <c r="V192" i="18"/>
  <c r="V161" i="18"/>
  <c r="V99" i="18"/>
  <c r="V130" i="18"/>
  <c r="V68" i="18"/>
  <c r="V37" i="18"/>
  <c r="AE223" i="18"/>
  <c r="AE192" i="18"/>
  <c r="AE68" i="18"/>
  <c r="AE161" i="18"/>
  <c r="AE130" i="18"/>
  <c r="AE99" i="18"/>
  <c r="AE254" i="18"/>
  <c r="AE37" i="18"/>
  <c r="AC37" i="18"/>
  <c r="AC254" i="18"/>
  <c r="AC223" i="18"/>
  <c r="AC192" i="18"/>
  <c r="AC130" i="18"/>
  <c r="AC161" i="18"/>
  <c r="AC99" i="18"/>
  <c r="AC68" i="18"/>
  <c r="U37" i="18"/>
  <c r="U130" i="18"/>
  <c r="U254" i="18"/>
  <c r="U223" i="18"/>
  <c r="U192" i="18"/>
  <c r="U99" i="18"/>
  <c r="U161" i="18"/>
  <c r="U68" i="18"/>
  <c r="AB68" i="18"/>
  <c r="AB161" i="18"/>
  <c r="AB37" i="18"/>
  <c r="AB254" i="18"/>
  <c r="AB130" i="18"/>
  <c r="AB223" i="18"/>
  <c r="AB192" i="18"/>
  <c r="AB99" i="18"/>
  <c r="T68" i="18"/>
  <c r="T130" i="18"/>
  <c r="T37" i="18"/>
  <c r="T254" i="18"/>
  <c r="T161" i="18"/>
  <c r="T223" i="18"/>
  <c r="T192" i="18"/>
  <c r="T99" i="18"/>
  <c r="S99" i="18"/>
  <c r="S161" i="18"/>
  <c r="S68" i="18"/>
  <c r="S37" i="18"/>
  <c r="S254" i="18"/>
  <c r="S223" i="18"/>
  <c r="S130" i="18"/>
  <c r="S192" i="18"/>
  <c r="AA99" i="18"/>
  <c r="AA68" i="18"/>
  <c r="AA192" i="18"/>
  <c r="AA37" i="18"/>
  <c r="AA161" i="18"/>
  <c r="AA254" i="18"/>
  <c r="AA223" i="18"/>
  <c r="AA130" i="18"/>
  <c r="Z130" i="18"/>
  <c r="Z99" i="18"/>
  <c r="Z223" i="18"/>
  <c r="Z68" i="18"/>
  <c r="Z37" i="18"/>
  <c r="Z254" i="18"/>
  <c r="Z192" i="18"/>
  <c r="Z161" i="18"/>
  <c r="R130" i="18"/>
  <c r="R192" i="18"/>
  <c r="R99" i="18"/>
  <c r="R68" i="18"/>
  <c r="R37" i="18"/>
  <c r="R254" i="18"/>
  <c r="R223" i="18"/>
  <c r="R161" i="18"/>
  <c r="Y161" i="18"/>
  <c r="Y130" i="18"/>
  <c r="Y223" i="18"/>
  <c r="Y99" i="18"/>
  <c r="Y68" i="18"/>
  <c r="Y37" i="18"/>
  <c r="Y254" i="18"/>
  <c r="Y192" i="18"/>
  <c r="N254" i="18"/>
  <c r="N130" i="18"/>
  <c r="N37" i="18"/>
  <c r="N223" i="18"/>
  <c r="N161" i="18"/>
  <c r="N99" i="18"/>
  <c r="N192" i="18"/>
  <c r="N68" i="18"/>
  <c r="M254" i="18"/>
  <c r="M130" i="18"/>
  <c r="M223" i="18"/>
  <c r="M161" i="18"/>
  <c r="M37" i="18"/>
  <c r="M99" i="18"/>
  <c r="M192" i="18"/>
  <c r="M68" i="18"/>
  <c r="L223" i="18"/>
  <c r="L99" i="18"/>
  <c r="L254" i="18"/>
  <c r="L130" i="18"/>
  <c r="L161" i="18"/>
  <c r="L37" i="18"/>
  <c r="L68" i="18"/>
  <c r="L192" i="18"/>
  <c r="O161" i="18"/>
  <c r="O37" i="18"/>
  <c r="O130" i="18"/>
  <c r="O192" i="18"/>
  <c r="O68" i="18"/>
  <c r="O254" i="18"/>
  <c r="O223" i="18"/>
  <c r="O99" i="18"/>
  <c r="K223" i="18"/>
  <c r="K99" i="18"/>
  <c r="K254" i="18"/>
  <c r="K130" i="18"/>
  <c r="K68" i="18"/>
  <c r="K192" i="18"/>
  <c r="K161" i="18"/>
  <c r="K37" i="18"/>
  <c r="J130" i="18"/>
  <c r="J161" i="18"/>
  <c r="J192" i="18"/>
  <c r="J223" i="18"/>
  <c r="J254" i="18"/>
  <c r="J37" i="18"/>
  <c r="J99" i="18"/>
  <c r="J68" i="18"/>
  <c r="F78" i="48"/>
  <c r="I254" i="18"/>
  <c r="I223" i="18"/>
  <c r="I192" i="18"/>
  <c r="I161" i="18"/>
  <c r="I130" i="18"/>
  <c r="I99" i="18"/>
  <c r="I68" i="18"/>
  <c r="I37" i="18"/>
  <c r="AE252" i="18"/>
  <c r="AE221" i="18"/>
  <c r="AE190" i="18"/>
  <c r="AE159" i="18"/>
  <c r="AE128" i="18"/>
  <c r="AE97" i="18"/>
  <c r="AE66" i="18"/>
  <c r="AE35" i="18"/>
  <c r="AG253" i="18"/>
  <c r="AG222" i="18"/>
  <c r="AG191" i="18"/>
  <c r="AG160" i="18"/>
  <c r="AG129" i="18"/>
  <c r="AG98" i="18"/>
  <c r="AG67" i="18"/>
  <c r="AG36" i="18"/>
  <c r="Y253" i="18"/>
  <c r="Y222" i="18"/>
  <c r="Y191" i="18"/>
  <c r="Y160" i="18"/>
  <c r="Y129" i="18"/>
  <c r="Y98" i="18"/>
  <c r="Y67" i="18"/>
  <c r="Y36" i="18"/>
  <c r="Q253" i="18"/>
  <c r="Q222" i="18"/>
  <c r="Q191" i="18"/>
  <c r="Q160" i="18"/>
  <c r="Q129" i="18"/>
  <c r="Q98" i="18"/>
  <c r="Q67" i="18"/>
  <c r="Q36" i="18"/>
  <c r="AF252" i="18"/>
  <c r="AF221" i="18"/>
  <c r="AF190" i="18"/>
  <c r="AF159" i="18"/>
  <c r="AF128" i="18"/>
  <c r="AF97" i="18"/>
  <c r="AF66" i="18"/>
  <c r="AF35" i="18"/>
  <c r="X252" i="18"/>
  <c r="X221" i="18"/>
  <c r="X190" i="18"/>
  <c r="X159" i="18"/>
  <c r="X128" i="18"/>
  <c r="X97" i="18"/>
  <c r="X66" i="18"/>
  <c r="X35" i="18"/>
  <c r="P252" i="18"/>
  <c r="P221" i="18"/>
  <c r="P190" i="18"/>
  <c r="P159" i="18"/>
  <c r="P128" i="18"/>
  <c r="P97" i="18"/>
  <c r="P66" i="18"/>
  <c r="P35" i="18"/>
  <c r="AE251" i="18"/>
  <c r="AE220" i="18"/>
  <c r="AE189" i="18"/>
  <c r="AE158" i="18"/>
  <c r="AE127" i="18"/>
  <c r="AE96" i="18"/>
  <c r="AE65" i="18"/>
  <c r="AE34" i="18"/>
  <c r="W251" i="18"/>
  <c r="W220" i="18"/>
  <c r="W189" i="18"/>
  <c r="W158" i="18"/>
  <c r="W127" i="18"/>
  <c r="W96" i="18"/>
  <c r="W65" i="18"/>
  <c r="W34" i="18"/>
  <c r="O251" i="18"/>
  <c r="O220" i="18"/>
  <c r="O189" i="18"/>
  <c r="O158" i="18"/>
  <c r="O127" i="18"/>
  <c r="O96" i="18"/>
  <c r="O65" i="18"/>
  <c r="O34" i="18"/>
  <c r="AF253" i="18"/>
  <c r="AF222" i="18"/>
  <c r="AF191" i="18"/>
  <c r="AF160" i="18"/>
  <c r="AF129" i="18"/>
  <c r="AF98" i="18"/>
  <c r="AF67" i="18"/>
  <c r="AF36" i="18"/>
  <c r="O252" i="18"/>
  <c r="O221" i="18"/>
  <c r="O190" i="18"/>
  <c r="O159" i="18"/>
  <c r="O128" i="18"/>
  <c r="O97" i="18"/>
  <c r="O66" i="18"/>
  <c r="O35" i="18"/>
  <c r="AE253" i="18"/>
  <c r="AE222" i="18"/>
  <c r="AE191" i="18"/>
  <c r="AE160" i="18"/>
  <c r="AE129" i="18"/>
  <c r="AE98" i="18"/>
  <c r="AE67" i="18"/>
  <c r="AE36" i="18"/>
  <c r="W253" i="18"/>
  <c r="W222" i="18"/>
  <c r="W191" i="18"/>
  <c r="W160" i="18"/>
  <c r="W129" i="18"/>
  <c r="W98" i="18"/>
  <c r="W67" i="18"/>
  <c r="W36" i="18"/>
  <c r="O253" i="18"/>
  <c r="O222" i="18"/>
  <c r="O191" i="18"/>
  <c r="O160" i="18"/>
  <c r="O129" i="18"/>
  <c r="O98" i="18"/>
  <c r="O67" i="18"/>
  <c r="O36" i="18"/>
  <c r="AD252" i="18"/>
  <c r="AD221" i="18"/>
  <c r="AD190" i="18"/>
  <c r="AD159" i="18"/>
  <c r="AD128" i="18"/>
  <c r="AD97" i="18"/>
  <c r="AD66" i="18"/>
  <c r="AD35" i="18"/>
  <c r="V252" i="18"/>
  <c r="V221" i="18"/>
  <c r="V190" i="18"/>
  <c r="V159" i="18"/>
  <c r="V128" i="18"/>
  <c r="V97" i="18"/>
  <c r="V66" i="18"/>
  <c r="V35" i="18"/>
  <c r="N252" i="18"/>
  <c r="N221" i="18"/>
  <c r="N190" i="18"/>
  <c r="N159" i="18"/>
  <c r="N128" i="18"/>
  <c r="N97" i="18"/>
  <c r="N66" i="18"/>
  <c r="N35" i="18"/>
  <c r="AC251" i="18"/>
  <c r="AC220" i="18"/>
  <c r="AC189" i="18"/>
  <c r="AC158" i="18"/>
  <c r="AC127" i="18"/>
  <c r="AC96" i="18"/>
  <c r="AC65" i="18"/>
  <c r="AC34" i="18"/>
  <c r="U251" i="18"/>
  <c r="U220" i="18"/>
  <c r="U189" i="18"/>
  <c r="U158" i="18"/>
  <c r="U127" i="18"/>
  <c r="U96" i="18"/>
  <c r="U65" i="18"/>
  <c r="U34" i="18"/>
  <c r="M251" i="18"/>
  <c r="M220" i="18"/>
  <c r="M189" i="18"/>
  <c r="M158" i="18"/>
  <c r="M127" i="18"/>
  <c r="M96" i="18"/>
  <c r="M65" i="18"/>
  <c r="M34" i="18"/>
  <c r="V251" i="18"/>
  <c r="V220" i="18"/>
  <c r="V189" i="18"/>
  <c r="V158" i="18"/>
  <c r="V127" i="18"/>
  <c r="V96" i="18"/>
  <c r="V65" i="18"/>
  <c r="V34" i="18"/>
  <c r="AD253" i="18"/>
  <c r="AD222" i="18"/>
  <c r="AD191" i="18"/>
  <c r="AD160" i="18"/>
  <c r="AD129" i="18"/>
  <c r="AD98" i="18"/>
  <c r="AD67" i="18"/>
  <c r="AD36" i="18"/>
  <c r="V253" i="18"/>
  <c r="V222" i="18"/>
  <c r="V191" i="18"/>
  <c r="V160" i="18"/>
  <c r="V129" i="18"/>
  <c r="V98" i="18"/>
  <c r="V67" i="18"/>
  <c r="V36" i="18"/>
  <c r="N253" i="18"/>
  <c r="N222" i="18"/>
  <c r="N191" i="18"/>
  <c r="N160" i="18"/>
  <c r="N129" i="18"/>
  <c r="N98" i="18"/>
  <c r="N67" i="18"/>
  <c r="N36" i="18"/>
  <c r="AC252" i="18"/>
  <c r="AC221" i="18"/>
  <c r="AC190" i="18"/>
  <c r="AC159" i="18"/>
  <c r="AC128" i="18"/>
  <c r="AC97" i="18"/>
  <c r="AC66" i="18"/>
  <c r="AC35" i="18"/>
  <c r="U252" i="18"/>
  <c r="U221" i="18"/>
  <c r="U190" i="18"/>
  <c r="U159" i="18"/>
  <c r="U128" i="18"/>
  <c r="U97" i="18"/>
  <c r="U66" i="18"/>
  <c r="U35" i="18"/>
  <c r="M252" i="18"/>
  <c r="M221" i="18"/>
  <c r="M190" i="18"/>
  <c r="M159" i="18"/>
  <c r="M128" i="18"/>
  <c r="M97" i="18"/>
  <c r="M66" i="18"/>
  <c r="M35" i="18"/>
  <c r="AB251" i="18"/>
  <c r="AB220" i="18"/>
  <c r="AB189" i="18"/>
  <c r="AB158" i="18"/>
  <c r="AB127" i="18"/>
  <c r="AB96" i="18"/>
  <c r="AB65" i="18"/>
  <c r="AB34" i="18"/>
  <c r="T251" i="18"/>
  <c r="T220" i="18"/>
  <c r="T189" i="18"/>
  <c r="T158" i="18"/>
  <c r="T127" i="18"/>
  <c r="T96" i="18"/>
  <c r="T65" i="18"/>
  <c r="T34" i="18"/>
  <c r="L251" i="18"/>
  <c r="L220" i="18"/>
  <c r="L189" i="18"/>
  <c r="L158" i="18"/>
  <c r="L127" i="18"/>
  <c r="L96" i="18"/>
  <c r="L65" i="18"/>
  <c r="L34" i="18"/>
  <c r="W252" i="18"/>
  <c r="W221" i="18"/>
  <c r="W190" i="18"/>
  <c r="W159" i="18"/>
  <c r="W128" i="18"/>
  <c r="W97" i="18"/>
  <c r="W66" i="18"/>
  <c r="W35" i="18"/>
  <c r="AC253" i="18"/>
  <c r="AC222" i="18"/>
  <c r="AC191" i="18"/>
  <c r="AC160" i="18"/>
  <c r="AC129" i="18"/>
  <c r="AC98" i="18"/>
  <c r="AC67" i="18"/>
  <c r="AC36" i="18"/>
  <c r="U253" i="18"/>
  <c r="U222" i="18"/>
  <c r="U191" i="18"/>
  <c r="U160" i="18"/>
  <c r="U129" i="18"/>
  <c r="U98" i="18"/>
  <c r="U67" i="18"/>
  <c r="U36" i="18"/>
  <c r="M253" i="18"/>
  <c r="M222" i="18"/>
  <c r="M191" i="18"/>
  <c r="M160" i="18"/>
  <c r="M129" i="18"/>
  <c r="M98" i="18"/>
  <c r="M67" i="18"/>
  <c r="M36" i="18"/>
  <c r="AB252" i="18"/>
  <c r="AB221" i="18"/>
  <c r="AB190" i="18"/>
  <c r="AB159" i="18"/>
  <c r="AB128" i="18"/>
  <c r="AB97" i="18"/>
  <c r="AB66" i="18"/>
  <c r="AB35" i="18"/>
  <c r="T252" i="18"/>
  <c r="T221" i="18"/>
  <c r="T190" i="18"/>
  <c r="T159" i="18"/>
  <c r="T128" i="18"/>
  <c r="T97" i="18"/>
  <c r="T66" i="18"/>
  <c r="T35" i="18"/>
  <c r="L252" i="18"/>
  <c r="L221" i="18"/>
  <c r="L190" i="18"/>
  <c r="L159" i="18"/>
  <c r="L128" i="18"/>
  <c r="L97" i="18"/>
  <c r="L66" i="18"/>
  <c r="L35" i="18"/>
  <c r="AA251" i="18"/>
  <c r="AA220" i="18"/>
  <c r="AA189" i="18"/>
  <c r="AA158" i="18"/>
  <c r="AA127" i="18"/>
  <c r="AA96" i="18"/>
  <c r="AA65" i="18"/>
  <c r="AA34" i="18"/>
  <c r="S251" i="18"/>
  <c r="S220" i="18"/>
  <c r="S189" i="18"/>
  <c r="S158" i="18"/>
  <c r="S127" i="18"/>
  <c r="S96" i="18"/>
  <c r="S65" i="18"/>
  <c r="S34" i="18"/>
  <c r="K251" i="18"/>
  <c r="K220" i="18"/>
  <c r="K189" i="18"/>
  <c r="K158" i="18"/>
  <c r="K127" i="18"/>
  <c r="K96" i="18"/>
  <c r="K65" i="18"/>
  <c r="K34" i="18"/>
  <c r="X253" i="18"/>
  <c r="X222" i="18"/>
  <c r="X191" i="18"/>
  <c r="X160" i="18"/>
  <c r="X129" i="18"/>
  <c r="X98" i="18"/>
  <c r="X67" i="18"/>
  <c r="X36" i="18"/>
  <c r="AD251" i="18"/>
  <c r="AD220" i="18"/>
  <c r="AD189" i="18"/>
  <c r="AD158" i="18"/>
  <c r="AD127" i="18"/>
  <c r="AD96" i="18"/>
  <c r="AD65" i="18"/>
  <c r="AD34" i="18"/>
  <c r="AB253" i="18"/>
  <c r="AB222" i="18"/>
  <c r="AB191" i="18"/>
  <c r="AB160" i="18"/>
  <c r="AB129" i="18"/>
  <c r="AB98" i="18"/>
  <c r="AB67" i="18"/>
  <c r="AB36" i="18"/>
  <c r="T253" i="18"/>
  <c r="T222" i="18"/>
  <c r="T191" i="18"/>
  <c r="T160" i="18"/>
  <c r="T129" i="18"/>
  <c r="T98" i="18"/>
  <c r="T67" i="18"/>
  <c r="T36" i="18"/>
  <c r="L253" i="18"/>
  <c r="L222" i="18"/>
  <c r="L191" i="18"/>
  <c r="L160" i="18"/>
  <c r="L129" i="18"/>
  <c r="L98" i="18"/>
  <c r="L67" i="18"/>
  <c r="L36" i="18"/>
  <c r="AA252" i="18"/>
  <c r="AA221" i="18"/>
  <c r="AA190" i="18"/>
  <c r="AA159" i="18"/>
  <c r="AA128" i="18"/>
  <c r="AA97" i="18"/>
  <c r="AA66" i="18"/>
  <c r="AA35" i="18"/>
  <c r="S252" i="18"/>
  <c r="S221" i="18"/>
  <c r="S190" i="18"/>
  <c r="S159" i="18"/>
  <c r="S128" i="18"/>
  <c r="S97" i="18"/>
  <c r="S66" i="18"/>
  <c r="S35" i="18"/>
  <c r="K252" i="18"/>
  <c r="K221" i="18"/>
  <c r="K190" i="18"/>
  <c r="K159" i="18"/>
  <c r="K128" i="18"/>
  <c r="K97" i="18"/>
  <c r="K66" i="18"/>
  <c r="K35" i="18"/>
  <c r="Z34" i="18"/>
  <c r="Z189" i="18"/>
  <c r="Z158" i="18"/>
  <c r="Z251" i="18"/>
  <c r="Z220" i="18"/>
  <c r="Z65" i="18"/>
  <c r="Z127" i="18"/>
  <c r="Z96" i="18"/>
  <c r="R65" i="18"/>
  <c r="R34" i="18"/>
  <c r="R220" i="18"/>
  <c r="R127" i="18"/>
  <c r="R96" i="18"/>
  <c r="R251" i="18"/>
  <c r="R189" i="18"/>
  <c r="R158" i="18"/>
  <c r="AA253" i="18"/>
  <c r="AA222" i="18"/>
  <c r="AA191" i="18"/>
  <c r="AA160" i="18"/>
  <c r="AA129" i="18"/>
  <c r="AA98" i="18"/>
  <c r="AA67" i="18"/>
  <c r="AA36" i="18"/>
  <c r="S253" i="18"/>
  <c r="S222" i="18"/>
  <c r="S191" i="18"/>
  <c r="S160" i="18"/>
  <c r="S129" i="18"/>
  <c r="S98" i="18"/>
  <c r="S67" i="18"/>
  <c r="S36" i="18"/>
  <c r="K253" i="18"/>
  <c r="K222" i="18"/>
  <c r="K191" i="18"/>
  <c r="K160" i="18"/>
  <c r="K129" i="18"/>
  <c r="K98" i="18"/>
  <c r="K67" i="18"/>
  <c r="K36" i="18"/>
  <c r="Z252" i="18"/>
  <c r="Z221" i="18"/>
  <c r="Z159" i="18"/>
  <c r="Z35" i="18"/>
  <c r="Z97" i="18"/>
  <c r="Z66" i="18"/>
  <c r="Z190" i="18"/>
  <c r="Z128" i="18"/>
  <c r="R159" i="18"/>
  <c r="R35" i="18"/>
  <c r="R221" i="18"/>
  <c r="R190" i="18"/>
  <c r="R128" i="18"/>
  <c r="R252" i="18"/>
  <c r="R66" i="18"/>
  <c r="R97" i="18"/>
  <c r="AG251" i="18"/>
  <c r="AG220" i="18"/>
  <c r="AG189" i="18"/>
  <c r="AG158" i="18"/>
  <c r="AG127" i="18"/>
  <c r="AG96" i="18"/>
  <c r="AG65" i="18"/>
  <c r="AG34" i="18"/>
  <c r="Y251" i="18"/>
  <c r="Y220" i="18"/>
  <c r="Y189" i="18"/>
  <c r="Y158" i="18"/>
  <c r="Y127" i="18"/>
  <c r="Y96" i="18"/>
  <c r="Y65" i="18"/>
  <c r="Y34" i="18"/>
  <c r="Q251" i="18"/>
  <c r="Q220" i="18"/>
  <c r="Q189" i="18"/>
  <c r="Q158" i="18"/>
  <c r="Q127" i="18"/>
  <c r="Q96" i="18"/>
  <c r="Q65" i="18"/>
  <c r="Q34" i="18"/>
  <c r="P253" i="18"/>
  <c r="P222" i="18"/>
  <c r="P191" i="18"/>
  <c r="P160" i="18"/>
  <c r="P129" i="18"/>
  <c r="P98" i="18"/>
  <c r="P67" i="18"/>
  <c r="P36" i="18"/>
  <c r="N251" i="18"/>
  <c r="N220" i="18"/>
  <c r="N189" i="18"/>
  <c r="N158" i="18"/>
  <c r="N127" i="18"/>
  <c r="N96" i="18"/>
  <c r="N65" i="18"/>
  <c r="N34" i="18"/>
  <c r="Z253" i="18"/>
  <c r="Z98" i="18"/>
  <c r="Z67" i="18"/>
  <c r="Z36" i="18"/>
  <c r="Z129" i="18"/>
  <c r="Z191" i="18"/>
  <c r="Z160" i="18"/>
  <c r="Z222" i="18"/>
  <c r="R222" i="18"/>
  <c r="R98" i="18"/>
  <c r="R253" i="18"/>
  <c r="R129" i="18"/>
  <c r="R67" i="18"/>
  <c r="R36" i="18"/>
  <c r="R191" i="18"/>
  <c r="R160" i="18"/>
  <c r="AG252" i="18"/>
  <c r="AG221" i="18"/>
  <c r="AG190" i="18"/>
  <c r="AG159" i="18"/>
  <c r="AG128" i="18"/>
  <c r="AG97" i="18"/>
  <c r="AG66" i="18"/>
  <c r="AG35" i="18"/>
  <c r="Y252" i="18"/>
  <c r="Y221" i="18"/>
  <c r="Y190" i="18"/>
  <c r="Y159" i="18"/>
  <c r="Y128" i="18"/>
  <c r="Y97" i="18"/>
  <c r="Y66" i="18"/>
  <c r="Y35" i="18"/>
  <c r="Q252" i="18"/>
  <c r="Q221" i="18"/>
  <c r="Q190" i="18"/>
  <c r="Q159" i="18"/>
  <c r="Q128" i="18"/>
  <c r="Q97" i="18"/>
  <c r="Q66" i="18"/>
  <c r="Q35" i="18"/>
  <c r="AF251" i="18"/>
  <c r="AF220" i="18"/>
  <c r="AF189" i="18"/>
  <c r="AF158" i="18"/>
  <c r="AF127" i="18"/>
  <c r="AF96" i="18"/>
  <c r="AF65" i="18"/>
  <c r="AF34" i="18"/>
  <c r="X251" i="18"/>
  <c r="X220" i="18"/>
  <c r="X189" i="18"/>
  <c r="X158" i="18"/>
  <c r="X127" i="18"/>
  <c r="X96" i="18"/>
  <c r="X65" i="18"/>
  <c r="X34" i="18"/>
  <c r="P251" i="18"/>
  <c r="P220" i="18"/>
  <c r="P189" i="18"/>
  <c r="P158" i="18"/>
  <c r="P127" i="18"/>
  <c r="P96" i="18"/>
  <c r="P65" i="18"/>
  <c r="P34" i="18"/>
  <c r="J191" i="18"/>
  <c r="J160" i="18"/>
  <c r="J129" i="18"/>
  <c r="J222" i="18"/>
  <c r="J98" i="18"/>
  <c r="J67" i="18"/>
  <c r="J36" i="18"/>
  <c r="J253" i="18"/>
  <c r="J221" i="18"/>
  <c r="J97" i="18"/>
  <c r="J190" i="18"/>
  <c r="J66" i="18"/>
  <c r="J159" i="18"/>
  <c r="J35" i="18"/>
  <c r="J252" i="18"/>
  <c r="J128" i="18"/>
  <c r="J65" i="18"/>
  <c r="J158" i="18"/>
  <c r="J220" i="18"/>
  <c r="J251" i="18"/>
  <c r="J96" i="18"/>
  <c r="J189" i="18"/>
  <c r="J34" i="18"/>
  <c r="J127" i="18"/>
  <c r="N219" i="18"/>
  <c r="N250" i="18"/>
  <c r="N33" i="18"/>
  <c r="N64" i="18"/>
  <c r="N95" i="18"/>
  <c r="N126" i="18"/>
  <c r="N157" i="18"/>
  <c r="N188" i="18"/>
  <c r="AB155" i="18"/>
  <c r="AB186" i="18"/>
  <c r="AB217" i="18"/>
  <c r="AB124" i="18"/>
  <c r="AB248" i="18"/>
  <c r="AB31" i="18"/>
  <c r="AB62" i="18"/>
  <c r="AB93" i="18"/>
  <c r="T155" i="18"/>
  <c r="T186" i="18"/>
  <c r="T217" i="18"/>
  <c r="T248" i="18"/>
  <c r="T31" i="18"/>
  <c r="T62" i="18"/>
  <c r="T124" i="18"/>
  <c r="T93" i="18"/>
  <c r="AC188" i="18"/>
  <c r="AC219" i="18"/>
  <c r="AC250" i="18"/>
  <c r="AC33" i="18"/>
  <c r="AC157" i="18"/>
  <c r="AC64" i="18"/>
  <c r="AC95" i="18"/>
  <c r="AC126" i="18"/>
  <c r="U188" i="18"/>
  <c r="U219" i="18"/>
  <c r="U250" i="18"/>
  <c r="U33" i="18"/>
  <c r="U64" i="18"/>
  <c r="U95" i="18"/>
  <c r="U126" i="18"/>
  <c r="U157" i="18"/>
  <c r="M188" i="18"/>
  <c r="M219" i="18"/>
  <c r="M250" i="18"/>
  <c r="M33" i="18"/>
  <c r="M157" i="18"/>
  <c r="M64" i="18"/>
  <c r="M95" i="18"/>
  <c r="M126" i="18"/>
  <c r="V219" i="18"/>
  <c r="V250" i="18"/>
  <c r="V33" i="18"/>
  <c r="V188" i="18"/>
  <c r="V64" i="18"/>
  <c r="V95" i="18"/>
  <c r="V126" i="18"/>
  <c r="V157" i="18"/>
  <c r="AA124" i="18"/>
  <c r="AA155" i="18"/>
  <c r="AA186" i="18"/>
  <c r="AA217" i="18"/>
  <c r="AA248" i="18"/>
  <c r="AA31" i="18"/>
  <c r="AA93" i="18"/>
  <c r="AA62" i="18"/>
  <c r="S124" i="18"/>
  <c r="S93" i="18"/>
  <c r="S155" i="18"/>
  <c r="S186" i="18"/>
  <c r="S217" i="18"/>
  <c r="S248" i="18"/>
  <c r="S31" i="18"/>
  <c r="S62" i="18"/>
  <c r="AB157" i="18"/>
  <c r="AB188" i="18"/>
  <c r="AB219" i="18"/>
  <c r="AB250" i="18"/>
  <c r="AB33" i="18"/>
  <c r="AB126" i="18"/>
  <c r="AB64" i="18"/>
  <c r="AB95" i="18"/>
  <c r="T157" i="18"/>
  <c r="T188" i="18"/>
  <c r="T219" i="18"/>
  <c r="T250" i="18"/>
  <c r="T33" i="18"/>
  <c r="T64" i="18"/>
  <c r="T95" i="18"/>
  <c r="T126" i="18"/>
  <c r="L157" i="18"/>
  <c r="L188" i="18"/>
  <c r="L219" i="18"/>
  <c r="L250" i="18"/>
  <c r="L33" i="18"/>
  <c r="L126" i="18"/>
  <c r="L64" i="18"/>
  <c r="L95" i="18"/>
  <c r="G72" i="48"/>
  <c r="AH93" i="18"/>
  <c r="AH124" i="18"/>
  <c r="AH155" i="18"/>
  <c r="AH186" i="18"/>
  <c r="AH62" i="18"/>
  <c r="AH217" i="18"/>
  <c r="AH248" i="18"/>
  <c r="AH31" i="18"/>
  <c r="Z93" i="18"/>
  <c r="Z124" i="18"/>
  <c r="Z155" i="18"/>
  <c r="Z186" i="18"/>
  <c r="Z217" i="18"/>
  <c r="Z248" i="18"/>
  <c r="Z31" i="18"/>
  <c r="Z62" i="18"/>
  <c r="R93" i="18"/>
  <c r="R62" i="18"/>
  <c r="R124" i="18"/>
  <c r="R155" i="18"/>
  <c r="R186" i="18"/>
  <c r="R217" i="18"/>
  <c r="R248" i="18"/>
  <c r="R31" i="18"/>
  <c r="AA126" i="18"/>
  <c r="AA157" i="18"/>
  <c r="AA188" i="18"/>
  <c r="AA219" i="18"/>
  <c r="AA250" i="18"/>
  <c r="AA33" i="18"/>
  <c r="AA95" i="18"/>
  <c r="AA64" i="18"/>
  <c r="S126" i="18"/>
  <c r="S157" i="18"/>
  <c r="S188" i="18"/>
  <c r="S95" i="18"/>
  <c r="S219" i="18"/>
  <c r="S250" i="18"/>
  <c r="S33" i="18"/>
  <c r="S64" i="18"/>
  <c r="K126" i="18"/>
  <c r="K157" i="18"/>
  <c r="K188" i="18"/>
  <c r="K219" i="18"/>
  <c r="K250" i="18"/>
  <c r="K33" i="18"/>
  <c r="K64" i="18"/>
  <c r="K95" i="18"/>
  <c r="U186" i="18"/>
  <c r="U217" i="18"/>
  <c r="U248" i="18"/>
  <c r="U31" i="18"/>
  <c r="U62" i="18"/>
  <c r="U155" i="18"/>
  <c r="U93" i="18"/>
  <c r="U124" i="18"/>
  <c r="AG62" i="18"/>
  <c r="AG93" i="18"/>
  <c r="AG124" i="18"/>
  <c r="AG155" i="18"/>
  <c r="AG186" i="18"/>
  <c r="AG217" i="18"/>
  <c r="AG248" i="18"/>
  <c r="AG31" i="18"/>
  <c r="Y62" i="18"/>
  <c r="Y93" i="18"/>
  <c r="Y124" i="18"/>
  <c r="Y155" i="18"/>
  <c r="Y186" i="18"/>
  <c r="Y217" i="18"/>
  <c r="Y248" i="18"/>
  <c r="Y31" i="18"/>
  <c r="G74" i="48"/>
  <c r="AH95" i="18"/>
  <c r="AH126" i="18"/>
  <c r="AH157" i="18"/>
  <c r="AH188" i="18"/>
  <c r="AH219" i="18"/>
  <c r="AH250" i="18"/>
  <c r="AH33" i="18"/>
  <c r="AH64" i="18"/>
  <c r="Z95" i="18"/>
  <c r="Z126" i="18"/>
  <c r="Z157" i="18"/>
  <c r="Z188" i="18"/>
  <c r="Z219" i="18"/>
  <c r="Z64" i="18"/>
  <c r="Z250" i="18"/>
  <c r="Z33" i="18"/>
  <c r="R95" i="18"/>
  <c r="R126" i="18"/>
  <c r="R157" i="18"/>
  <c r="R64" i="18"/>
  <c r="R188" i="18"/>
  <c r="R219" i="18"/>
  <c r="R250" i="18"/>
  <c r="R33" i="18"/>
  <c r="AF248" i="18"/>
  <c r="AF62" i="18"/>
  <c r="AF93" i="18"/>
  <c r="AF124" i="18"/>
  <c r="AF155" i="18"/>
  <c r="AF186" i="18"/>
  <c r="AF217" i="18"/>
  <c r="AF31" i="18"/>
  <c r="X62" i="18"/>
  <c r="X93" i="18"/>
  <c r="X124" i="18"/>
  <c r="X155" i="18"/>
  <c r="X186" i="18"/>
  <c r="X31" i="18"/>
  <c r="X217" i="18"/>
  <c r="X248" i="18"/>
  <c r="AG64" i="18"/>
  <c r="AG95" i="18"/>
  <c r="AG126" i="18"/>
  <c r="AG157" i="18"/>
  <c r="AG188" i="18"/>
  <c r="AG219" i="18"/>
  <c r="AG250" i="18"/>
  <c r="AG33" i="18"/>
  <c r="Y64" i="18"/>
  <c r="Y95" i="18"/>
  <c r="Y126" i="18"/>
  <c r="Y157" i="18"/>
  <c r="Y188" i="18"/>
  <c r="Y219" i="18"/>
  <c r="Y250" i="18"/>
  <c r="Y33" i="18"/>
  <c r="Q64" i="18"/>
  <c r="Q95" i="18"/>
  <c r="Q126" i="18"/>
  <c r="Q157" i="18"/>
  <c r="Q188" i="18"/>
  <c r="Q219" i="18"/>
  <c r="Q250" i="18"/>
  <c r="Q33" i="18"/>
  <c r="AD219" i="18"/>
  <c r="AD250" i="18"/>
  <c r="AD33" i="18"/>
  <c r="AD64" i="18"/>
  <c r="AD188" i="18"/>
  <c r="AD95" i="18"/>
  <c r="AD126" i="18"/>
  <c r="AD157" i="18"/>
  <c r="AE248" i="18"/>
  <c r="AE31" i="18"/>
  <c r="AE62" i="18"/>
  <c r="AE93" i="18"/>
  <c r="AE217" i="18"/>
  <c r="AE124" i="18"/>
  <c r="AE155" i="18"/>
  <c r="AE186" i="18"/>
  <c r="W248" i="18"/>
  <c r="W31" i="18"/>
  <c r="W62" i="18"/>
  <c r="W93" i="18"/>
  <c r="W124" i="18"/>
  <c r="W155" i="18"/>
  <c r="W186" i="18"/>
  <c r="W217" i="18"/>
  <c r="AF33" i="18"/>
  <c r="AF64" i="18"/>
  <c r="AF95" i="18"/>
  <c r="AF126" i="18"/>
  <c r="AF157" i="18"/>
  <c r="AF250" i="18"/>
  <c r="AF188" i="18"/>
  <c r="AF219" i="18"/>
  <c r="X64" i="18"/>
  <c r="X95" i="18"/>
  <c r="X33" i="18"/>
  <c r="X126" i="18"/>
  <c r="X157" i="18"/>
  <c r="X188" i="18"/>
  <c r="X250" i="18"/>
  <c r="X219" i="18"/>
  <c r="P64" i="18"/>
  <c r="P95" i="18"/>
  <c r="P250" i="18"/>
  <c r="P126" i="18"/>
  <c r="P157" i="18"/>
  <c r="P33" i="18"/>
  <c r="P188" i="18"/>
  <c r="P219" i="18"/>
  <c r="AC186" i="18"/>
  <c r="AC155" i="18"/>
  <c r="AC217" i="18"/>
  <c r="AC248" i="18"/>
  <c r="AC31" i="18"/>
  <c r="AC62" i="18"/>
  <c r="AC93" i="18"/>
  <c r="AC124" i="18"/>
  <c r="AD217" i="18"/>
  <c r="AD186" i="18"/>
  <c r="AD248" i="18"/>
  <c r="AD31" i="18"/>
  <c r="AD62" i="18"/>
  <c r="AD93" i="18"/>
  <c r="AD124" i="18"/>
  <c r="AD155" i="18"/>
  <c r="V217" i="18"/>
  <c r="V248" i="18"/>
  <c r="V31" i="18"/>
  <c r="V62" i="18"/>
  <c r="V93" i="18"/>
  <c r="V124" i="18"/>
  <c r="V186" i="18"/>
  <c r="V155" i="18"/>
  <c r="AE250" i="18"/>
  <c r="AE33" i="18"/>
  <c r="AE64" i="18"/>
  <c r="AE95" i="18"/>
  <c r="AE126" i="18"/>
  <c r="AE157" i="18"/>
  <c r="AE219" i="18"/>
  <c r="AE188" i="18"/>
  <c r="W250" i="18"/>
  <c r="W33" i="18"/>
  <c r="W64" i="18"/>
  <c r="W95" i="18"/>
  <c r="W126" i="18"/>
  <c r="W219" i="18"/>
  <c r="W157" i="18"/>
  <c r="W188" i="18"/>
  <c r="O250" i="18"/>
  <c r="O33" i="18"/>
  <c r="O64" i="18"/>
  <c r="O219" i="18"/>
  <c r="O95" i="18"/>
  <c r="O126" i="18"/>
  <c r="O157" i="18"/>
  <c r="O188" i="18"/>
  <c r="J33" i="18"/>
  <c r="J250" i="18"/>
  <c r="J219" i="18"/>
  <c r="J188" i="18"/>
  <c r="J157" i="18"/>
  <c r="J126" i="18"/>
  <c r="J95" i="18"/>
  <c r="J64" i="18"/>
  <c r="Q31" i="18"/>
  <c r="Q217" i="18"/>
  <c r="Q155" i="18"/>
  <c r="Q93" i="18"/>
  <c r="Q248" i="18"/>
  <c r="Q186" i="18"/>
  <c r="Q124" i="18"/>
  <c r="Q62" i="18"/>
  <c r="P248" i="18"/>
  <c r="P186" i="18"/>
  <c r="P124" i="18"/>
  <c r="P62" i="18"/>
  <c r="P31" i="18"/>
  <c r="P217" i="18"/>
  <c r="P155" i="18"/>
  <c r="P93" i="18"/>
  <c r="O248" i="18"/>
  <c r="O186" i="18"/>
  <c r="O124" i="18"/>
  <c r="O62" i="18"/>
  <c r="O31" i="18"/>
  <c r="O217" i="18"/>
  <c r="O155" i="18"/>
  <c r="O93" i="18"/>
  <c r="N155" i="18"/>
  <c r="N248" i="18"/>
  <c r="N186" i="18"/>
  <c r="N124" i="18"/>
  <c r="N62" i="18"/>
  <c r="N217" i="18"/>
  <c r="N93" i="18"/>
  <c r="N31" i="18"/>
  <c r="F74" i="48"/>
  <c r="I188" i="18"/>
  <c r="I33" i="18"/>
  <c r="I126" i="18"/>
  <c r="I219" i="18"/>
  <c r="I157" i="18"/>
  <c r="I64" i="18"/>
  <c r="I250" i="18"/>
  <c r="I95" i="18"/>
  <c r="L155" i="18"/>
  <c r="L124" i="18"/>
  <c r="L93" i="18"/>
  <c r="L62" i="18"/>
  <c r="L31" i="18"/>
  <c r="L217" i="18"/>
  <c r="L248" i="18"/>
  <c r="L186" i="18"/>
  <c r="J217" i="18"/>
  <c r="J186" i="18"/>
  <c r="J155" i="18"/>
  <c r="J124" i="18"/>
  <c r="J93" i="18"/>
  <c r="J62" i="18"/>
  <c r="J31" i="18"/>
  <c r="J248" i="18"/>
  <c r="M124" i="18"/>
  <c r="M93" i="18"/>
  <c r="M62" i="18"/>
  <c r="M31" i="18"/>
  <c r="M248" i="18"/>
  <c r="M186" i="18"/>
  <c r="M217" i="18"/>
  <c r="M155" i="18"/>
  <c r="AQ77" i="67"/>
  <c r="J91" i="48"/>
  <c r="I78" i="48"/>
  <c r="I92" i="48"/>
  <c r="H76" i="48"/>
  <c r="J79" i="48"/>
  <c r="J87" i="48"/>
  <c r="I76" i="48"/>
  <c r="K79" i="48"/>
  <c r="J86" i="48"/>
  <c r="H77" i="48"/>
  <c r="J80" i="48"/>
  <c r="J82" i="48"/>
  <c r="I77" i="48"/>
  <c r="J81" i="48"/>
  <c r="K82" i="48"/>
  <c r="H78" i="48"/>
  <c r="J83" i="48"/>
  <c r="K83" i="48"/>
  <c r="J84" i="48"/>
  <c r="I90" i="48"/>
  <c r="H93" i="48"/>
  <c r="J72" i="48"/>
  <c r="I89" i="48"/>
  <c r="I93" i="48"/>
  <c r="K72" i="48"/>
  <c r="H89" i="48"/>
  <c r="J78" i="48"/>
  <c r="J74" i="48"/>
  <c r="I88" i="48"/>
  <c r="K78" i="48"/>
  <c r="K74" i="48"/>
  <c r="H88" i="48"/>
  <c r="J93" i="48"/>
  <c r="J76" i="48"/>
  <c r="H91" i="48"/>
  <c r="H86" i="48"/>
  <c r="K93" i="48"/>
  <c r="K76" i="48"/>
  <c r="I91" i="48"/>
  <c r="K91" i="48"/>
  <c r="H79" i="48"/>
  <c r="J77" i="48"/>
  <c r="H82" i="48"/>
  <c r="I79" i="48"/>
  <c r="K77" i="48"/>
  <c r="I82" i="48"/>
  <c r="K92" i="48"/>
  <c r="K75" i="48"/>
  <c r="H80" i="48"/>
  <c r="K90" i="48"/>
  <c r="H83" i="48"/>
  <c r="K89" i="48"/>
  <c r="I83" i="48"/>
  <c r="J89" i="48"/>
  <c r="J90" i="48"/>
  <c r="H84" i="48"/>
  <c r="K88" i="48"/>
  <c r="H92" i="48"/>
  <c r="J85" i="48"/>
  <c r="H90" i="48"/>
  <c r="J92" i="48"/>
  <c r="J75" i="48"/>
  <c r="H87" i="48"/>
  <c r="H81" i="48"/>
  <c r="H85" i="48"/>
  <c r="J88" i="48"/>
  <c r="G47" i="48"/>
  <c r="AM78" i="67"/>
  <c r="AQ80" i="67"/>
  <c r="AM80" i="67"/>
  <c r="AO80" i="67"/>
  <c r="AR80" i="67"/>
  <c r="AY77" i="67"/>
  <c r="BA77" i="67"/>
  <c r="BB77" i="67"/>
  <c r="AW138" i="59"/>
  <c r="AG381" i="72" s="1"/>
  <c r="R148" i="59"/>
  <c r="AX109" i="59"/>
  <c r="H164" i="72" s="1"/>
  <c r="AP78" i="67"/>
  <c r="AL20" i="67"/>
  <c r="AQ78" i="67"/>
  <c r="R88" i="59"/>
  <c r="AO78" i="67"/>
  <c r="AR78" i="67"/>
  <c r="BD78" i="67"/>
  <c r="AS79" i="67"/>
  <c r="AC80" i="67"/>
  <c r="E183" i="48" a="1"/>
  <c r="E183" i="48" s="1"/>
  <c r="D53" i="62"/>
  <c r="E292" i="48" s="1"/>
  <c r="C75" i="16"/>
  <c r="C179" i="16"/>
  <c r="C72" i="16"/>
  <c r="C176" i="16"/>
  <c r="BE73" i="67"/>
  <c r="AL49" i="67"/>
  <c r="BF21" i="67"/>
  <c r="AP21" i="67"/>
  <c r="AY22" i="67"/>
  <c r="BA44" i="67"/>
  <c r="BJ45" i="67"/>
  <c r="AT45" i="67"/>
  <c r="BD73" i="67"/>
  <c r="AN73" i="67"/>
  <c r="AV74" i="67"/>
  <c r="AF50" i="67"/>
  <c r="AD282" i="72" s="1"/>
  <c r="AF51" i="67"/>
  <c r="AD283" i="72" s="1"/>
  <c r="BA80" i="67"/>
  <c r="AQ21" i="67"/>
  <c r="AO73" i="67"/>
  <c r="BE21" i="67"/>
  <c r="AZ44" i="67"/>
  <c r="BI45" i="67"/>
  <c r="AS45" i="67"/>
  <c r="BC73" i="67"/>
  <c r="AM74" i="67"/>
  <c r="AU74" i="67"/>
  <c r="AE50" i="67"/>
  <c r="AC282" i="72" s="1"/>
  <c r="AE51" i="67"/>
  <c r="AC283" i="72" s="1"/>
  <c r="AZ78" i="67"/>
  <c r="AM19" i="67"/>
  <c r="AV20" i="67"/>
  <c r="BD21" i="67"/>
  <c r="AN21" i="67"/>
  <c r="AW22" i="67"/>
  <c r="AY44" i="67"/>
  <c r="BH45" i="67"/>
  <c r="AR45" i="67"/>
  <c r="BB73" i="67"/>
  <c r="BJ74" i="67"/>
  <c r="AT74" i="67"/>
  <c r="AD50" i="67"/>
  <c r="AB282" i="72" s="1"/>
  <c r="AD51" i="67"/>
  <c r="AB283" i="72" s="1"/>
  <c r="AY78" i="67"/>
  <c r="BG21" i="67"/>
  <c r="AG50" i="67"/>
  <c r="AE282" i="72" s="1"/>
  <c r="BE19" i="67"/>
  <c r="BC19" i="67"/>
  <c r="BB19" i="67"/>
  <c r="AU20" i="67"/>
  <c r="BC21" i="67"/>
  <c r="AM21" i="67"/>
  <c r="AV22" i="67"/>
  <c r="AX44" i="67"/>
  <c r="BG45" i="67"/>
  <c r="AQ45" i="67"/>
  <c r="BA73" i="67"/>
  <c r="BI74" i="67"/>
  <c r="AS74" i="67"/>
  <c r="BB78" i="67"/>
  <c r="AC50" i="67"/>
  <c r="AA282" i="72" s="1"/>
  <c r="AC51" i="67"/>
  <c r="AA283" i="72" s="1"/>
  <c r="AQ79" i="67"/>
  <c r="AO77" i="67"/>
  <c r="AO19" i="67"/>
  <c r="AW44" i="67"/>
  <c r="AB50" i="67"/>
  <c r="Z282" i="72" s="1"/>
  <c r="AB51" i="67"/>
  <c r="Z283" i="72" s="1"/>
  <c r="AP79" i="67"/>
  <c r="AN77" i="67"/>
  <c r="AZ22" i="67"/>
  <c r="BH74" i="67"/>
  <c r="AZ19" i="67"/>
  <c r="BI20" i="67"/>
  <c r="AS20" i="67"/>
  <c r="BA21" i="67"/>
  <c r="BJ22" i="67"/>
  <c r="AT22" i="67"/>
  <c r="AV44" i="67"/>
  <c r="BE45" i="67"/>
  <c r="AO45" i="67"/>
  <c r="AY73" i="67"/>
  <c r="BG74" i="67"/>
  <c r="AQ74" i="67"/>
  <c r="AA50" i="67"/>
  <c r="Y282" i="72" s="1"/>
  <c r="AA51" i="67"/>
  <c r="Y283" i="72" s="1"/>
  <c r="AO79" i="67"/>
  <c r="AM77" i="67"/>
  <c r="BJ77" i="67"/>
  <c r="AM45" i="67"/>
  <c r="AG51" i="67"/>
  <c r="AE283" i="72" s="1"/>
  <c r="BB21" i="67"/>
  <c r="AY19" i="67"/>
  <c r="BH20" i="67"/>
  <c r="AR20" i="67"/>
  <c r="AZ21" i="67"/>
  <c r="BI22" i="67"/>
  <c r="AS22" i="67"/>
  <c r="AM44" i="67"/>
  <c r="AU44" i="67"/>
  <c r="BD45" i="67"/>
  <c r="AN45" i="67"/>
  <c r="AX73" i="67"/>
  <c r="BF74" i="67"/>
  <c r="AP74" i="67"/>
  <c r="Z50" i="67"/>
  <c r="X282" i="72" s="1"/>
  <c r="Z51" i="67"/>
  <c r="X283" i="72" s="1"/>
  <c r="AL77" i="67"/>
  <c r="AN79" i="67"/>
  <c r="BI77" i="67"/>
  <c r="AX19" i="67"/>
  <c r="BG20" i="67"/>
  <c r="AQ20" i="67"/>
  <c r="AY21" i="67"/>
  <c r="BH22" i="67"/>
  <c r="AR22" i="67"/>
  <c r="BJ44" i="67"/>
  <c r="AT44" i="67"/>
  <c r="BC45" i="67"/>
  <c r="AL44" i="67"/>
  <c r="AW73" i="67"/>
  <c r="BE74" i="67"/>
  <c r="AO74" i="67"/>
  <c r="Y50" i="67"/>
  <c r="W282" i="72" s="1"/>
  <c r="Y51" i="67"/>
  <c r="W283" i="72" s="1"/>
  <c r="AL78" i="67"/>
  <c r="AM79" i="67"/>
  <c r="AI80" i="67"/>
  <c r="AG528" i="72" s="1"/>
  <c r="BH77" i="67"/>
  <c r="AN19" i="67"/>
  <c r="AT20" i="67"/>
  <c r="AP45" i="67"/>
  <c r="AW19" i="67"/>
  <c r="BF20" i="67"/>
  <c r="AP20" i="67"/>
  <c r="AX21" i="67"/>
  <c r="BG22" i="67"/>
  <c r="AQ22" i="67"/>
  <c r="BI44" i="67"/>
  <c r="AS44" i="67"/>
  <c r="BB45" i="67"/>
  <c r="K74" i="67"/>
  <c r="I522" i="72" s="1"/>
  <c r="AV73" i="67"/>
  <c r="BD74" i="67"/>
  <c r="AN74" i="67"/>
  <c r="X50" i="67"/>
  <c r="V282" i="72" s="1"/>
  <c r="X51" i="67"/>
  <c r="V283" i="72" s="1"/>
  <c r="AL79" i="67"/>
  <c r="AH80" i="67"/>
  <c r="AF528" i="72" s="1"/>
  <c r="AF79" i="67"/>
  <c r="AD527" i="72" s="1"/>
  <c r="AP19" i="67"/>
  <c r="BB44" i="67"/>
  <c r="AZ79" i="67"/>
  <c r="AO21" i="67"/>
  <c r="BE20" i="67"/>
  <c r="AO20" i="67"/>
  <c r="AW21" i="67"/>
  <c r="BF22" i="67"/>
  <c r="AP22" i="67"/>
  <c r="BH44" i="67"/>
  <c r="AR44" i="67"/>
  <c r="BA45" i="67"/>
  <c r="AM73" i="67"/>
  <c r="AU73" i="67"/>
  <c r="BC74" i="67"/>
  <c r="AL21" i="67"/>
  <c r="W50" i="67"/>
  <c r="U282" i="72" s="1"/>
  <c r="W51" i="67"/>
  <c r="U283" i="72" s="1"/>
  <c r="AG80" i="67"/>
  <c r="AE528" i="72" s="1"/>
  <c r="AE79" i="67"/>
  <c r="AC527" i="72" s="1"/>
  <c r="AU22" i="67"/>
  <c r="AV19" i="67"/>
  <c r="AU19" i="67"/>
  <c r="BD20" i="67"/>
  <c r="AN20" i="67"/>
  <c r="AV21" i="67"/>
  <c r="BE22" i="67"/>
  <c r="AO22" i="67"/>
  <c r="BG44" i="67"/>
  <c r="AQ44" i="67"/>
  <c r="AZ45" i="67"/>
  <c r="BJ73" i="67"/>
  <c r="AT73" i="67"/>
  <c r="BB74" i="67"/>
  <c r="V50" i="67"/>
  <c r="T282" i="72" s="1"/>
  <c r="V51" i="67"/>
  <c r="T283" i="72" s="1"/>
  <c r="AS80" i="67"/>
  <c r="BG78" i="67"/>
  <c r="AD79" i="67"/>
  <c r="AB527" i="72" s="1"/>
  <c r="AY20" i="67"/>
  <c r="AU45" i="67"/>
  <c r="AX20" i="67"/>
  <c r="BA19" i="67"/>
  <c r="AZ73" i="67"/>
  <c r="BJ19" i="67"/>
  <c r="AT19" i="67"/>
  <c r="BC20" i="67"/>
  <c r="AM20" i="67"/>
  <c r="AU21" i="67"/>
  <c r="BD22" i="67"/>
  <c r="AN22" i="67"/>
  <c r="BF44" i="67"/>
  <c r="AP44" i="67"/>
  <c r="AY45" i="67"/>
  <c r="BI73" i="67"/>
  <c r="AS73" i="67"/>
  <c r="BA74" i="67"/>
  <c r="U50" i="67"/>
  <c r="S282" i="72" s="1"/>
  <c r="U51" i="67"/>
  <c r="S283" i="72" s="1"/>
  <c r="AE80" i="67"/>
  <c r="AC528" i="72" s="1"/>
  <c r="AC79" i="67"/>
  <c r="AA527" i="72" s="1"/>
  <c r="BF19" i="67"/>
  <c r="AW74" i="67"/>
  <c r="AW20" i="67"/>
  <c r="BJ20" i="67"/>
  <c r="BF45" i="67"/>
  <c r="BI19" i="67"/>
  <c r="AS19" i="67"/>
  <c r="BB20" i="67"/>
  <c r="BJ21" i="67"/>
  <c r="AT21" i="67"/>
  <c r="BC22" i="67"/>
  <c r="AM22" i="67"/>
  <c r="BE44" i="67"/>
  <c r="AO44" i="67"/>
  <c r="AX45" i="67"/>
  <c r="BH73" i="67"/>
  <c r="AR73" i="67"/>
  <c r="AZ74" i="67"/>
  <c r="AS77" i="67"/>
  <c r="AL19" i="67"/>
  <c r="AL48" i="67"/>
  <c r="T50" i="67"/>
  <c r="R282" i="72" s="1"/>
  <c r="T51" i="67"/>
  <c r="R283" i="72" s="1"/>
  <c r="BE78" i="67"/>
  <c r="AB79" i="67"/>
  <c r="Z527" i="72" s="1"/>
  <c r="AX22" i="67"/>
  <c r="BH19" i="67"/>
  <c r="AR19" i="67"/>
  <c r="BA20" i="67"/>
  <c r="BI21" i="67"/>
  <c r="AS21" i="67"/>
  <c r="BB22" i="67"/>
  <c r="BD44" i="67"/>
  <c r="AN44" i="67"/>
  <c r="AW45" i="67"/>
  <c r="BG73" i="67"/>
  <c r="AQ73" i="67"/>
  <c r="AY74" i="67"/>
  <c r="AN80" i="67"/>
  <c r="AL51" i="67"/>
  <c r="AI50" i="67"/>
  <c r="AG282" i="72" s="1"/>
  <c r="AI51" i="67"/>
  <c r="AG283" i="72" s="1"/>
  <c r="BD19" i="67"/>
  <c r="AL22" i="67"/>
  <c r="AR74" i="67"/>
  <c r="BG19" i="67"/>
  <c r="AQ19" i="67"/>
  <c r="AZ20" i="67"/>
  <c r="BH21" i="67"/>
  <c r="AR21" i="67"/>
  <c r="BA22" i="67"/>
  <c r="BC44" i="67"/>
  <c r="AL45" i="67"/>
  <c r="AV45" i="67"/>
  <c r="BF73" i="67"/>
  <c r="AP73" i="67"/>
  <c r="AX74" i="67"/>
  <c r="AH50" i="67"/>
  <c r="AF282" i="72" s="1"/>
  <c r="AH51" i="67"/>
  <c r="AF283" i="72" s="1"/>
  <c r="AB80" i="67"/>
  <c r="Z528" i="72" s="1"/>
  <c r="BG138" i="59"/>
  <c r="Q410" i="72" s="1"/>
  <c r="AX138" i="59"/>
  <c r="H410" i="72" s="1"/>
  <c r="BA15" i="67"/>
  <c r="AR79" i="67"/>
  <c r="AV138" i="59"/>
  <c r="BB15" i="67"/>
  <c r="AZ15" i="67"/>
  <c r="AT138" i="59"/>
  <c r="AP77" i="67"/>
  <c r="AL138" i="59"/>
  <c r="AK138" i="59"/>
  <c r="AY15" i="67"/>
  <c r="AW15" i="67"/>
  <c r="AJ138" i="59"/>
  <c r="AX15" i="67"/>
  <c r="AV15" i="67"/>
  <c r="AI138" i="59"/>
  <c r="AU15" i="67"/>
  <c r="AH138" i="59"/>
  <c r="BJ15" i="67"/>
  <c r="AT15" i="67"/>
  <c r="AG138" i="59"/>
  <c r="AL15" i="67"/>
  <c r="BI15" i="67"/>
  <c r="AS15" i="67"/>
  <c r="AF138" i="59"/>
  <c r="BH138" i="59"/>
  <c r="R410" i="72" s="1"/>
  <c r="BH15" i="67"/>
  <c r="AR15" i="67"/>
  <c r="AD138" i="59"/>
  <c r="BC15" i="67"/>
  <c r="BG15" i="67"/>
  <c r="AQ15" i="67"/>
  <c r="BD109" i="59"/>
  <c r="N164" i="72" s="1"/>
  <c r="BT109" i="59"/>
  <c r="AD164" i="72" s="1"/>
  <c r="BE109" i="59"/>
  <c r="O164" i="72" s="1"/>
  <c r="BU109" i="59"/>
  <c r="AE164" i="72" s="1"/>
  <c r="BF109" i="59"/>
  <c r="P164" i="72" s="1"/>
  <c r="BV109" i="59"/>
  <c r="AF164" i="72" s="1"/>
  <c r="BG109" i="59"/>
  <c r="Q164" i="72" s="1"/>
  <c r="BW109" i="59"/>
  <c r="AG164" i="72" s="1"/>
  <c r="BH109" i="59"/>
  <c r="R164" i="72" s="1"/>
  <c r="BI109" i="59"/>
  <c r="S164" i="72" s="1"/>
  <c r="BJ109" i="59"/>
  <c r="T164" i="72" s="1"/>
  <c r="BK109" i="59"/>
  <c r="U164" i="72" s="1"/>
  <c r="BL109" i="59"/>
  <c r="V164" i="72" s="1"/>
  <c r="BM109" i="59"/>
  <c r="W164" i="72" s="1"/>
  <c r="BN109" i="59"/>
  <c r="X164" i="72" s="1"/>
  <c r="AY109" i="59"/>
  <c r="I164" i="72" s="1"/>
  <c r="BO109" i="59"/>
  <c r="Y164" i="72" s="1"/>
  <c r="AZ109" i="59"/>
  <c r="J164" i="72" s="1"/>
  <c r="BP109" i="59"/>
  <c r="Z164" i="72" s="1"/>
  <c r="BS109" i="59"/>
  <c r="AC164" i="72" s="1"/>
  <c r="X109" i="59"/>
  <c r="BA109" i="59"/>
  <c r="K164" i="72" s="1"/>
  <c r="BB109" i="59"/>
  <c r="L164" i="72" s="1"/>
  <c r="BC109" i="59"/>
  <c r="M164" i="72" s="1"/>
  <c r="AB109" i="59"/>
  <c r="AR109" i="59"/>
  <c r="AC109" i="59"/>
  <c r="AS109" i="59"/>
  <c r="AD109" i="59"/>
  <c r="AT109" i="59"/>
  <c r="AE109" i="59"/>
  <c r="AU109" i="59"/>
  <c r="AF109" i="59"/>
  <c r="AV109" i="59"/>
  <c r="AG109" i="59"/>
  <c r="AW109" i="59"/>
  <c r="AH109" i="59"/>
  <c r="AI109" i="59"/>
  <c r="AJ109" i="59"/>
  <c r="AK109" i="59"/>
  <c r="AL109" i="59"/>
  <c r="AM109" i="59"/>
  <c r="BQ109" i="59"/>
  <c r="AA164" i="72" s="1"/>
  <c r="AN109" i="59"/>
  <c r="BR109" i="59"/>
  <c r="AB164" i="72" s="1"/>
  <c r="Y109" i="59"/>
  <c r="AO109" i="59"/>
  <c r="AQ109" i="59"/>
  <c r="AP109" i="59"/>
  <c r="AM15" i="67"/>
  <c r="AP15" i="67"/>
  <c r="BE15" i="67"/>
  <c r="AO15" i="67"/>
  <c r="AA109" i="59"/>
  <c r="BF15" i="67"/>
  <c r="BD15" i="67"/>
  <c r="AN15" i="67"/>
  <c r="AY138" i="59"/>
  <c r="I410" i="72" s="1"/>
  <c r="BO138" i="59"/>
  <c r="Y410" i="72" s="1"/>
  <c r="AZ138" i="59"/>
  <c r="J410" i="72" s="1"/>
  <c r="BP138" i="59"/>
  <c r="Z410" i="72" s="1"/>
  <c r="BA138" i="59"/>
  <c r="K410" i="72" s="1"/>
  <c r="BQ138" i="59"/>
  <c r="AA410" i="72" s="1"/>
  <c r="BB138" i="59"/>
  <c r="L410" i="72" s="1"/>
  <c r="BR138" i="59"/>
  <c r="AB410" i="72" s="1"/>
  <c r="BC138" i="59"/>
  <c r="M410" i="72" s="1"/>
  <c r="BS138" i="59"/>
  <c r="AC410" i="72" s="1"/>
  <c r="BD138" i="59"/>
  <c r="N410" i="72" s="1"/>
  <c r="BT138" i="59"/>
  <c r="AD410" i="72" s="1"/>
  <c r="BE138" i="59"/>
  <c r="O410" i="72" s="1"/>
  <c r="BU138" i="59"/>
  <c r="AE410" i="72" s="1"/>
  <c r="BI138" i="59"/>
  <c r="S410" i="72" s="1"/>
  <c r="BJ138" i="59"/>
  <c r="T410" i="72" s="1"/>
  <c r="BK138" i="59"/>
  <c r="U410" i="72" s="1"/>
  <c r="BL138" i="59"/>
  <c r="V410" i="72" s="1"/>
  <c r="BM138" i="59"/>
  <c r="W410" i="72" s="1"/>
  <c r="BN138" i="59"/>
  <c r="X410" i="72" s="1"/>
  <c r="BV138" i="59"/>
  <c r="AF410" i="72" s="1"/>
  <c r="BW138" i="59"/>
  <c r="AG410" i="72" s="1"/>
  <c r="BF138" i="59"/>
  <c r="P410" i="72" s="1"/>
  <c r="AM138" i="59"/>
  <c r="AN138" i="59"/>
  <c r="Y138" i="59"/>
  <c r="AO138" i="59"/>
  <c r="X138" i="59"/>
  <c r="Z138" i="59"/>
  <c r="AP138" i="59"/>
  <c r="AA138" i="59"/>
  <c r="AQ138" i="59"/>
  <c r="AB138" i="59"/>
  <c r="AR138" i="59"/>
  <c r="AC138" i="59"/>
  <c r="AS138" i="59"/>
  <c r="AE138" i="59"/>
  <c r="AU138" i="59"/>
  <c r="Z109" i="59"/>
  <c r="R118" i="59"/>
  <c r="R117" i="59"/>
  <c r="R89" i="59"/>
  <c r="R119" i="59"/>
  <c r="R147" i="59"/>
  <c r="R146" i="59"/>
  <c r="R90" i="59"/>
  <c r="C105" i="16"/>
  <c r="C108" i="16"/>
  <c r="H82" i="24"/>
  <c r="Q39" i="24" s="1"/>
  <c r="F37" i="16" s="1"/>
  <c r="E201" i="48" s="1"/>
  <c r="H81" i="24"/>
  <c r="BJ78" i="67"/>
  <c r="BC77" i="67"/>
  <c r="AH79" i="67"/>
  <c r="AF527" i="72" s="1"/>
  <c r="AD80" i="67"/>
  <c r="AB528" i="72" s="1"/>
  <c r="AF80" i="67"/>
  <c r="AD528" i="72" s="1"/>
  <c r="AG79" i="67"/>
  <c r="AE527" i="72" s="1"/>
  <c r="AI79" i="67"/>
  <c r="AG527" i="72" s="1"/>
  <c r="AU80" i="67"/>
  <c r="AW80" i="67"/>
  <c r="BD77" i="67"/>
  <c r="AZ80" i="67"/>
  <c r="AV78" i="67"/>
  <c r="AS51" i="67"/>
  <c r="AS49" i="67"/>
  <c r="AT50" i="67"/>
  <c r="AS50" i="67"/>
  <c r="AS48" i="67"/>
  <c r="AT51" i="67"/>
  <c r="AT49" i="67"/>
  <c r="AM48" i="67"/>
  <c r="AL50" i="67"/>
  <c r="AM49" i="67"/>
  <c r="AM50" i="67"/>
  <c r="AN49" i="67"/>
  <c r="AN48" i="67"/>
  <c r="AL73" i="67"/>
  <c r="B8" i="16"/>
  <c r="M22" i="16"/>
  <c r="AK10" i="67"/>
  <c r="BJ10" i="67"/>
  <c r="AK11" i="67"/>
  <c r="BJ11" i="67"/>
  <c r="AK12" i="67"/>
  <c r="BJ12" i="67"/>
  <c r="AJ8" i="67"/>
  <c r="AJ9" i="67"/>
  <c r="AJ10" i="67"/>
  <c r="AJ11" i="67"/>
  <c r="AJ12" i="67"/>
  <c r="AJ13" i="67"/>
  <c r="AJ14" i="67"/>
  <c r="AJ18" i="67"/>
  <c r="AJ19" i="67"/>
  <c r="AJ20" i="67"/>
  <c r="AJ21" i="67"/>
  <c r="AJ22" i="67"/>
  <c r="AJ23" i="67"/>
  <c r="AJ24" i="67"/>
  <c r="AJ25" i="67"/>
  <c r="AJ26" i="67"/>
  <c r="AJ27" i="67"/>
  <c r="AJ29" i="67"/>
  <c r="AJ30" i="67"/>
  <c r="AJ31" i="67"/>
  <c r="AJ32" i="67"/>
  <c r="AJ33" i="67"/>
  <c r="AJ34" i="67"/>
  <c r="AJ35" i="67"/>
  <c r="AJ36" i="67"/>
  <c r="AJ37" i="67"/>
  <c r="AJ38" i="67"/>
  <c r="AJ39" i="67"/>
  <c r="AJ40" i="67"/>
  <c r="AJ41" i="67"/>
  <c r="AJ42" i="67"/>
  <c r="AJ43" i="67"/>
  <c r="AJ46" i="67"/>
  <c r="AJ47" i="67"/>
  <c r="AJ52" i="67"/>
  <c r="AJ53" i="67"/>
  <c r="AJ54" i="67"/>
  <c r="AJ55" i="67"/>
  <c r="AJ56" i="67"/>
  <c r="AJ58" i="67"/>
  <c r="AJ59" i="67"/>
  <c r="AJ60" i="67"/>
  <c r="AJ61" i="67"/>
  <c r="AJ62" i="67"/>
  <c r="AJ63" i="67"/>
  <c r="AJ64" i="67"/>
  <c r="AJ65" i="67"/>
  <c r="AJ66" i="67"/>
  <c r="AJ67" i="67"/>
  <c r="AJ68" i="67"/>
  <c r="AJ69" i="67"/>
  <c r="AJ70" i="67"/>
  <c r="AJ71" i="67"/>
  <c r="AJ72" i="67"/>
  <c r="AJ75" i="67"/>
  <c r="AJ76" i="67"/>
  <c r="AJ77" i="67"/>
  <c r="AJ78" i="67"/>
  <c r="AJ81" i="67"/>
  <c r="AJ82" i="67"/>
  <c r="AJ83" i="67"/>
  <c r="AJ84" i="67"/>
  <c r="AJ85" i="67"/>
  <c r="M15" i="16" s="1"/>
  <c r="AJ87" i="67"/>
  <c r="AJ88" i="67"/>
  <c r="AJ89" i="67"/>
  <c r="AJ90" i="67"/>
  <c r="AJ91" i="67"/>
  <c r="AJ92" i="67"/>
  <c r="AJ93" i="67"/>
  <c r="G174" i="59"/>
  <c r="G173" i="59"/>
  <c r="G172" i="59"/>
  <c r="G171" i="59"/>
  <c r="G170" i="59"/>
  <c r="G169" i="59"/>
  <c r="G167" i="59"/>
  <c r="G168" i="59"/>
  <c r="G166" i="59"/>
  <c r="G165" i="59"/>
  <c r="G164" i="59"/>
  <c r="AJ7" i="67"/>
  <c r="G163" i="59"/>
  <c r="G162" i="59"/>
  <c r="G161" i="59"/>
  <c r="G160" i="59"/>
  <c r="G159" i="59"/>
  <c r="G158" i="59"/>
  <c r="G157" i="59"/>
  <c r="G156" i="59"/>
  <c r="G155" i="59"/>
  <c r="G154" i="59"/>
  <c r="G153" i="59"/>
  <c r="G152" i="59"/>
  <c r="G151" i="59"/>
  <c r="G150" i="59"/>
  <c r="G149" i="59"/>
  <c r="G148" i="59"/>
  <c r="G147" i="59"/>
  <c r="G146" i="59"/>
  <c r="G145" i="59"/>
  <c r="G144" i="59"/>
  <c r="G143" i="59"/>
  <c r="G142" i="59"/>
  <c r="G141" i="59"/>
  <c r="G140" i="59"/>
  <c r="G138" i="59"/>
  <c r="G139" i="59"/>
  <c r="G137" i="59"/>
  <c r="G136" i="59"/>
  <c r="G135" i="59"/>
  <c r="G134" i="59"/>
  <c r="G133" i="59"/>
  <c r="G132" i="59"/>
  <c r="G131" i="59"/>
  <c r="G130" i="59"/>
  <c r="G129" i="59"/>
  <c r="G128" i="59"/>
  <c r="G127" i="59"/>
  <c r="G126" i="59"/>
  <c r="G125" i="59"/>
  <c r="G124" i="59"/>
  <c r="G123" i="59"/>
  <c r="G121" i="59"/>
  <c r="G120" i="59"/>
  <c r="G122" i="59"/>
  <c r="G119" i="59"/>
  <c r="G118" i="59"/>
  <c r="G117" i="59"/>
  <c r="F174" i="59"/>
  <c r="F173" i="59"/>
  <c r="F172" i="59"/>
  <c r="F171" i="59"/>
  <c r="F170" i="59"/>
  <c r="F169" i="59"/>
  <c r="F167" i="59"/>
  <c r="F168" i="59"/>
  <c r="F166" i="59"/>
  <c r="F165" i="59"/>
  <c r="F164" i="59"/>
  <c r="F163" i="59"/>
  <c r="F162" i="59"/>
  <c r="F161" i="59"/>
  <c r="F160" i="59"/>
  <c r="F159" i="59"/>
  <c r="F158" i="59"/>
  <c r="F157" i="59"/>
  <c r="F156" i="59"/>
  <c r="F155" i="59"/>
  <c r="F154" i="59"/>
  <c r="F153" i="59"/>
  <c r="F152" i="59"/>
  <c r="F151" i="59"/>
  <c r="F150" i="59"/>
  <c r="F149" i="59"/>
  <c r="F148" i="59"/>
  <c r="F147" i="59"/>
  <c r="F146" i="59"/>
  <c r="F145" i="59"/>
  <c r="F144" i="59"/>
  <c r="F143" i="59"/>
  <c r="F142" i="59"/>
  <c r="F141" i="59"/>
  <c r="F140" i="59"/>
  <c r="F138" i="59"/>
  <c r="F139" i="59"/>
  <c r="F137" i="59"/>
  <c r="F136" i="59"/>
  <c r="F135" i="59"/>
  <c r="F134" i="59"/>
  <c r="F133" i="59"/>
  <c r="F132" i="59"/>
  <c r="F131" i="59"/>
  <c r="F130" i="59"/>
  <c r="F129" i="59"/>
  <c r="F128" i="59"/>
  <c r="F127" i="59"/>
  <c r="F126" i="59"/>
  <c r="F125" i="59"/>
  <c r="F124" i="59"/>
  <c r="F123" i="59"/>
  <c r="F121" i="59"/>
  <c r="F120" i="59"/>
  <c r="F122" i="59"/>
  <c r="F119" i="59"/>
  <c r="F118" i="59"/>
  <c r="F117" i="59"/>
  <c r="F115" i="59"/>
  <c r="G116" i="59"/>
  <c r="G115" i="59"/>
  <c r="G114" i="59"/>
  <c r="G113" i="59"/>
  <c r="G112" i="59"/>
  <c r="G107" i="59"/>
  <c r="G106" i="59"/>
  <c r="G105" i="59"/>
  <c r="G104" i="59"/>
  <c r="G103" i="59"/>
  <c r="G102" i="59"/>
  <c r="G101" i="59"/>
  <c r="G100" i="59"/>
  <c r="G108" i="59"/>
  <c r="G109" i="59"/>
  <c r="G110" i="59"/>
  <c r="G111" i="59"/>
  <c r="G99" i="59"/>
  <c r="G98" i="59"/>
  <c r="G96" i="59"/>
  <c r="G95" i="59"/>
  <c r="G94" i="59"/>
  <c r="G97" i="59"/>
  <c r="F116" i="59"/>
  <c r="F114" i="59"/>
  <c r="F113" i="59"/>
  <c r="F112" i="59"/>
  <c r="F111" i="59"/>
  <c r="F110" i="59"/>
  <c r="F109" i="59"/>
  <c r="F108" i="59"/>
  <c r="F107" i="59"/>
  <c r="F106" i="59"/>
  <c r="F105" i="59"/>
  <c r="F104" i="59"/>
  <c r="F103" i="59"/>
  <c r="F102" i="59"/>
  <c r="F100" i="59"/>
  <c r="F99" i="59"/>
  <c r="F98" i="59"/>
  <c r="F96" i="59"/>
  <c r="F95" i="59"/>
  <c r="F94" i="59"/>
  <c r="F97" i="59"/>
  <c r="F101" i="59"/>
  <c r="G93" i="59"/>
  <c r="G92" i="59"/>
  <c r="G91" i="59"/>
  <c r="G90" i="59"/>
  <c r="G89" i="59"/>
  <c r="F93" i="59"/>
  <c r="F92" i="59"/>
  <c r="F91" i="59"/>
  <c r="F90" i="59"/>
  <c r="F89" i="59"/>
  <c r="F88" i="59"/>
  <c r="H87" i="67"/>
  <c r="H58" i="67"/>
  <c r="H29" i="67"/>
  <c r="G88" i="59"/>
  <c r="H93" i="67"/>
  <c r="H92" i="67"/>
  <c r="H91" i="67"/>
  <c r="H90" i="67"/>
  <c r="H89" i="67"/>
  <c r="H88" i="67"/>
  <c r="H66" i="67"/>
  <c r="H64" i="67"/>
  <c r="H63" i="67"/>
  <c r="H62" i="67"/>
  <c r="H61" i="67"/>
  <c r="H60" i="67"/>
  <c r="H59" i="67"/>
  <c r="H37" i="67"/>
  <c r="H30" i="67"/>
  <c r="H31" i="67"/>
  <c r="H8" i="67"/>
  <c r="H35" i="67"/>
  <c r="H34" i="67"/>
  <c r="H33" i="67"/>
  <c r="H32" i="67"/>
  <c r="G25" i="61"/>
  <c r="F25" i="61"/>
  <c r="E25" i="61"/>
  <c r="J38" i="61"/>
  <c r="C52" i="16"/>
  <c r="C56" i="16"/>
  <c r="C67" i="16"/>
  <c r="C68" i="16"/>
  <c r="C71" i="16"/>
  <c r="C32" i="16"/>
  <c r="D32" i="16"/>
  <c r="C8" i="16"/>
  <c r="D8" i="16"/>
  <c r="C9" i="16"/>
  <c r="C48" i="16" s="1"/>
  <c r="D9" i="16"/>
  <c r="D10" i="16"/>
  <c r="B32" i="16"/>
  <c r="B33" i="16"/>
  <c r="G56" i="24"/>
  <c r="F56" i="24"/>
  <c r="E56" i="24"/>
  <c r="D56" i="24"/>
  <c r="C56" i="24"/>
  <c r="G55" i="24"/>
  <c r="F55" i="24"/>
  <c r="E55" i="24"/>
  <c r="D55" i="24"/>
  <c r="C55" i="24"/>
  <c r="H54" i="24"/>
  <c r="H53" i="24"/>
  <c r="H52" i="24"/>
  <c r="H51" i="24"/>
  <c r="B51" i="24"/>
  <c r="B52" i="24" s="1"/>
  <c r="B53" i="24" s="1"/>
  <c r="B54" i="24" s="1"/>
  <c r="H50" i="24"/>
  <c r="H38" i="61"/>
  <c r="I38" i="61"/>
  <c r="C103" i="61"/>
  <c r="C104" i="61"/>
  <c r="C105" i="61"/>
  <c r="C106" i="61"/>
  <c r="C107" i="61"/>
  <c r="C108" i="61"/>
  <c r="C109" i="61"/>
  <c r="C110" i="61"/>
  <c r="C102" i="61"/>
  <c r="C94" i="61"/>
  <c r="C95" i="61"/>
  <c r="C96" i="61"/>
  <c r="C97" i="61"/>
  <c r="C98" i="61"/>
  <c r="C99" i="61"/>
  <c r="C100" i="61"/>
  <c r="C101" i="61"/>
  <c r="C93" i="61"/>
  <c r="C87" i="61"/>
  <c r="C88" i="61"/>
  <c r="C89" i="61"/>
  <c r="C90" i="61"/>
  <c r="C91" i="61"/>
  <c r="C92" i="61"/>
  <c r="C84" i="61"/>
  <c r="C8" i="61"/>
  <c r="B58" i="61"/>
  <c r="B39" i="29" s="1"/>
  <c r="B59" i="61"/>
  <c r="B15" i="29" s="1"/>
  <c r="B60" i="61"/>
  <c r="B41" i="29" s="1"/>
  <c r="B57" i="61"/>
  <c r="B38" i="29" s="1"/>
  <c r="B54" i="61"/>
  <c r="B37" i="29" s="1"/>
  <c r="B51" i="61"/>
  <c r="B34" i="29" s="1"/>
  <c r="B52" i="61"/>
  <c r="B35" i="29" s="1"/>
  <c r="B53" i="61"/>
  <c r="B50" i="29" s="1"/>
  <c r="B50" i="61"/>
  <c r="B47" i="29" s="1"/>
  <c r="C35" i="61"/>
  <c r="C36" i="61"/>
  <c r="C37" i="61"/>
  <c r="C38" i="61"/>
  <c r="C39" i="61"/>
  <c r="C40" i="61"/>
  <c r="C41" i="61"/>
  <c r="C42" i="61"/>
  <c r="C34" i="61"/>
  <c r="C26" i="61"/>
  <c r="C27" i="61"/>
  <c r="C28" i="61"/>
  <c r="C29" i="61"/>
  <c r="C30" i="61"/>
  <c r="C31" i="61"/>
  <c r="C32" i="61"/>
  <c r="C33" i="61"/>
  <c r="C25" i="61"/>
  <c r="B16" i="61"/>
  <c r="B17" i="61"/>
  <c r="B18" i="61"/>
  <c r="B15" i="61"/>
  <c r="B9" i="61"/>
  <c r="B10" i="61"/>
  <c r="B11" i="61"/>
  <c r="B12" i="61"/>
  <c r="B8" i="61"/>
  <c r="F28" i="62"/>
  <c r="H28" i="62" s="1"/>
  <c r="F29" i="62"/>
  <c r="H29" i="62" s="1"/>
  <c r="F27" i="62"/>
  <c r="H27" i="62" s="1"/>
  <c r="C15" i="61"/>
  <c r="F15" i="61"/>
  <c r="F12" i="61"/>
  <c r="F11" i="61"/>
  <c r="C12" i="61"/>
  <c r="C11" i="61"/>
  <c r="G43" i="24"/>
  <c r="F43" i="24"/>
  <c r="E43" i="24"/>
  <c r="D43" i="24"/>
  <c r="C43" i="24"/>
  <c r="G42" i="24"/>
  <c r="F42" i="24"/>
  <c r="E42" i="24"/>
  <c r="D42" i="24"/>
  <c r="C42" i="24"/>
  <c r="H41" i="24"/>
  <c r="H40" i="24"/>
  <c r="H39" i="24"/>
  <c r="H38" i="24"/>
  <c r="B38" i="24"/>
  <c r="B39" i="24" s="1"/>
  <c r="B40" i="24" s="1"/>
  <c r="B41" i="24" s="1"/>
  <c r="H37" i="24"/>
  <c r="C17" i="24"/>
  <c r="G17" i="24"/>
  <c r="F17" i="24"/>
  <c r="E17" i="24"/>
  <c r="D17" i="24"/>
  <c r="G16" i="24"/>
  <c r="F16" i="24"/>
  <c r="E16" i="24"/>
  <c r="D16" i="24"/>
  <c r="C16" i="24"/>
  <c r="H15" i="24"/>
  <c r="H14" i="24"/>
  <c r="H13" i="24"/>
  <c r="B12" i="24"/>
  <c r="B13" i="24" s="1"/>
  <c r="B14" i="24" s="1"/>
  <c r="B15" i="24" s="1"/>
  <c r="H30" i="62"/>
  <c r="H31" i="62"/>
  <c r="H32" i="62"/>
  <c r="H33" i="62"/>
  <c r="H34" i="62"/>
  <c r="H35" i="62"/>
  <c r="H36" i="62"/>
  <c r="H37" i="62"/>
  <c r="H38" i="62"/>
  <c r="H39" i="62"/>
  <c r="H40" i="62"/>
  <c r="H41" i="62"/>
  <c r="H42" i="62"/>
  <c r="H43" i="62"/>
  <c r="H44" i="62"/>
  <c r="H45" i="62"/>
  <c r="H46" i="62"/>
  <c r="H47" i="62"/>
  <c r="H48" i="62"/>
  <c r="H49" i="62"/>
  <c r="H50" i="62"/>
  <c r="H51" i="62"/>
  <c r="H52" i="62"/>
  <c r="AL11" i="73" l="1"/>
  <c r="AK15" i="73"/>
  <c r="M14" i="16"/>
  <c r="M8" i="16"/>
  <c r="AC802" i="18"/>
  <c r="AC771" i="18"/>
  <c r="AC833" i="18"/>
  <c r="AC647" i="18"/>
  <c r="AC740" i="18"/>
  <c r="AC709" i="18"/>
  <c r="AC616" i="18"/>
  <c r="AC678" i="18"/>
  <c r="AF770" i="18"/>
  <c r="AF832" i="18"/>
  <c r="AF646" i="18"/>
  <c r="AF801" i="18"/>
  <c r="AF739" i="18"/>
  <c r="AF708" i="18"/>
  <c r="AF677" i="18"/>
  <c r="AF615" i="18"/>
  <c r="AH832" i="18"/>
  <c r="AH801" i="18"/>
  <c r="AH739" i="18"/>
  <c r="AH708" i="18"/>
  <c r="AH770" i="18"/>
  <c r="AH646" i="18"/>
  <c r="AH615" i="18"/>
  <c r="AH677" i="18"/>
  <c r="Y770" i="18"/>
  <c r="Y832" i="18"/>
  <c r="Y801" i="18"/>
  <c r="Y739" i="18"/>
  <c r="Y708" i="18"/>
  <c r="Y677" i="18"/>
  <c r="Y615" i="18"/>
  <c r="Y646" i="18"/>
  <c r="W801" i="18"/>
  <c r="W770" i="18"/>
  <c r="W832" i="18"/>
  <c r="W646" i="18"/>
  <c r="W739" i="18"/>
  <c r="W708" i="18"/>
  <c r="W677" i="18"/>
  <c r="W615" i="18"/>
  <c r="AC832" i="18"/>
  <c r="AC801" i="18"/>
  <c r="AC770" i="18"/>
  <c r="AC677" i="18"/>
  <c r="AC646" i="18"/>
  <c r="AC739" i="18"/>
  <c r="AC615" i="18"/>
  <c r="AC708" i="18"/>
  <c r="AG770" i="18"/>
  <c r="AG832" i="18"/>
  <c r="AG801" i="18"/>
  <c r="AG739" i="18"/>
  <c r="AG708" i="18"/>
  <c r="AG677" i="18"/>
  <c r="AG615" i="18"/>
  <c r="AG646" i="18"/>
  <c r="X833" i="18"/>
  <c r="X802" i="18"/>
  <c r="X740" i="18"/>
  <c r="X709" i="18"/>
  <c r="X771" i="18"/>
  <c r="X647" i="18"/>
  <c r="X616" i="18"/>
  <c r="X678" i="18"/>
  <c r="BD80" i="67"/>
  <c r="AA528" i="72"/>
  <c r="Y833" i="18"/>
  <c r="Y802" i="18"/>
  <c r="Y771" i="18"/>
  <c r="Y709" i="18"/>
  <c r="Y678" i="18"/>
  <c r="Y740" i="18"/>
  <c r="Y647" i="18"/>
  <c r="Y616" i="18"/>
  <c r="Z832" i="18"/>
  <c r="Z801" i="18"/>
  <c r="Z739" i="18"/>
  <c r="Z708" i="18"/>
  <c r="Z770" i="18"/>
  <c r="Z646" i="18"/>
  <c r="Z677" i="18"/>
  <c r="Z615" i="18"/>
  <c r="AB832" i="18"/>
  <c r="AB801" i="18"/>
  <c r="AB770" i="18"/>
  <c r="AB708" i="18"/>
  <c r="AB677" i="18"/>
  <c r="AB739" i="18"/>
  <c r="AB646" i="18"/>
  <c r="AB615" i="18"/>
  <c r="AA832" i="18"/>
  <c r="AA801" i="18"/>
  <c r="AA770" i="18"/>
  <c r="AA708" i="18"/>
  <c r="AA677" i="18"/>
  <c r="AA646" i="18"/>
  <c r="AA739" i="18"/>
  <c r="AA615" i="18"/>
  <c r="AF833" i="18"/>
  <c r="AF802" i="18"/>
  <c r="AF740" i="18"/>
  <c r="AF709" i="18"/>
  <c r="AF771" i="18"/>
  <c r="AF647" i="18"/>
  <c r="AF678" i="18"/>
  <c r="AF616" i="18"/>
  <c r="X770" i="18"/>
  <c r="X832" i="18"/>
  <c r="X646" i="18"/>
  <c r="X801" i="18"/>
  <c r="X739" i="18"/>
  <c r="X708" i="18"/>
  <c r="X677" i="18"/>
  <c r="X615" i="18"/>
  <c r="AH833" i="18"/>
  <c r="AH802" i="18"/>
  <c r="AH771" i="18"/>
  <c r="AH709" i="18"/>
  <c r="AH678" i="18"/>
  <c r="AH740" i="18"/>
  <c r="AH647" i="18"/>
  <c r="AH616" i="18"/>
  <c r="AE771" i="18"/>
  <c r="AE833" i="18"/>
  <c r="AE802" i="18"/>
  <c r="AE740" i="18"/>
  <c r="AE709" i="18"/>
  <c r="AE678" i="18"/>
  <c r="AE616" i="18"/>
  <c r="AE647" i="18"/>
  <c r="Z833" i="18"/>
  <c r="Z802" i="18"/>
  <c r="Z771" i="18"/>
  <c r="Z709" i="18"/>
  <c r="Z678" i="18"/>
  <c r="Z740" i="18"/>
  <c r="Z647" i="18"/>
  <c r="Z616" i="18"/>
  <c r="W771" i="18"/>
  <c r="W833" i="18"/>
  <c r="W802" i="18"/>
  <c r="W740" i="18"/>
  <c r="W709" i="18"/>
  <c r="W678" i="18"/>
  <c r="W616" i="18"/>
  <c r="W647" i="18"/>
  <c r="AB802" i="18"/>
  <c r="AB771" i="18"/>
  <c r="AB678" i="18"/>
  <c r="AB833" i="18"/>
  <c r="AB740" i="18"/>
  <c r="AB709" i="18"/>
  <c r="AB647" i="18"/>
  <c r="AB616" i="18"/>
  <c r="AG833" i="18"/>
  <c r="AG802" i="18"/>
  <c r="AG771" i="18"/>
  <c r="AG709" i="18"/>
  <c r="AG678" i="18"/>
  <c r="AG647" i="18"/>
  <c r="AG740" i="18"/>
  <c r="AG616" i="18"/>
  <c r="AD771" i="18"/>
  <c r="AD833" i="18"/>
  <c r="AD647" i="18"/>
  <c r="AD802" i="18"/>
  <c r="AD740" i="18"/>
  <c r="AD709" i="18"/>
  <c r="AD678" i="18"/>
  <c r="AD616" i="18"/>
  <c r="N828" i="18"/>
  <c r="N797" i="18"/>
  <c r="N735" i="18"/>
  <c r="N642" i="18"/>
  <c r="N704" i="18"/>
  <c r="N766" i="18"/>
  <c r="N673" i="18"/>
  <c r="N611" i="18"/>
  <c r="AF828" i="18"/>
  <c r="AF797" i="18"/>
  <c r="AF766" i="18"/>
  <c r="AF735" i="18"/>
  <c r="AF704" i="18"/>
  <c r="AF673" i="18"/>
  <c r="AF642" i="18"/>
  <c r="AF611" i="18"/>
  <c r="K766" i="18"/>
  <c r="K797" i="18"/>
  <c r="K828" i="18"/>
  <c r="K673" i="18"/>
  <c r="K704" i="18"/>
  <c r="K735" i="18"/>
  <c r="K642" i="18"/>
  <c r="K611" i="18"/>
  <c r="M829" i="18"/>
  <c r="M798" i="18"/>
  <c r="M736" i="18"/>
  <c r="M767" i="18"/>
  <c r="M643" i="18"/>
  <c r="M705" i="18"/>
  <c r="M612" i="18"/>
  <c r="M674" i="18"/>
  <c r="AE829" i="18"/>
  <c r="AE798" i="18"/>
  <c r="AE767" i="18"/>
  <c r="AE736" i="18"/>
  <c r="AE705" i="18"/>
  <c r="AE674" i="18"/>
  <c r="AE612" i="18"/>
  <c r="AE643" i="18"/>
  <c r="Q798" i="18"/>
  <c r="Q767" i="18"/>
  <c r="Q736" i="18"/>
  <c r="Q705" i="18"/>
  <c r="Q674" i="18"/>
  <c r="Q643" i="18"/>
  <c r="Q829" i="18"/>
  <c r="Q612" i="18"/>
  <c r="S767" i="18"/>
  <c r="S829" i="18"/>
  <c r="S705" i="18"/>
  <c r="S674" i="18"/>
  <c r="S736" i="18"/>
  <c r="S643" i="18"/>
  <c r="S798" i="18"/>
  <c r="S612" i="18"/>
  <c r="X828" i="18"/>
  <c r="X797" i="18"/>
  <c r="X766" i="18"/>
  <c r="X735" i="18"/>
  <c r="X704" i="18"/>
  <c r="X673" i="18"/>
  <c r="X611" i="18"/>
  <c r="X642" i="18"/>
  <c r="AG798" i="18"/>
  <c r="AG767" i="18"/>
  <c r="AG829" i="18"/>
  <c r="AG736" i="18"/>
  <c r="AG705" i="18"/>
  <c r="AG674" i="18"/>
  <c r="AG643" i="18"/>
  <c r="AG612" i="18"/>
  <c r="AA766" i="18"/>
  <c r="AA797" i="18"/>
  <c r="AA828" i="18"/>
  <c r="AA673" i="18"/>
  <c r="AA704" i="18"/>
  <c r="AA642" i="18"/>
  <c r="AA735" i="18"/>
  <c r="AA611" i="18"/>
  <c r="P798" i="18"/>
  <c r="P829" i="18"/>
  <c r="P736" i="18"/>
  <c r="P767" i="18"/>
  <c r="P705" i="18"/>
  <c r="P674" i="18"/>
  <c r="P643" i="18"/>
  <c r="P612" i="18"/>
  <c r="O828" i="18"/>
  <c r="O797" i="18"/>
  <c r="O735" i="18"/>
  <c r="O704" i="18"/>
  <c r="O766" i="18"/>
  <c r="O673" i="18"/>
  <c r="O611" i="18"/>
  <c r="O642" i="18"/>
  <c r="Z767" i="18"/>
  <c r="Z798" i="18"/>
  <c r="Z705" i="18"/>
  <c r="Z829" i="18"/>
  <c r="Z736" i="18"/>
  <c r="Z674" i="18"/>
  <c r="Z643" i="18"/>
  <c r="Z612" i="18"/>
  <c r="AB767" i="18"/>
  <c r="AB829" i="18"/>
  <c r="AB798" i="18"/>
  <c r="AB736" i="18"/>
  <c r="AB705" i="18"/>
  <c r="AB643" i="18"/>
  <c r="AB612" i="18"/>
  <c r="AB674" i="18"/>
  <c r="AD829" i="18"/>
  <c r="AD798" i="18"/>
  <c r="AD736" i="18"/>
  <c r="AD705" i="18"/>
  <c r="AD767" i="18"/>
  <c r="AD674" i="18"/>
  <c r="AD612" i="18"/>
  <c r="AD643" i="18"/>
  <c r="AF798" i="18"/>
  <c r="AF829" i="18"/>
  <c r="AF736" i="18"/>
  <c r="AF705" i="18"/>
  <c r="AF767" i="18"/>
  <c r="AF674" i="18"/>
  <c r="AF643" i="18"/>
  <c r="AF612" i="18"/>
  <c r="AH767" i="18"/>
  <c r="AH798" i="18"/>
  <c r="AH705" i="18"/>
  <c r="AH674" i="18"/>
  <c r="AH643" i="18"/>
  <c r="AH829" i="18"/>
  <c r="AH736" i="18"/>
  <c r="AH612" i="18"/>
  <c r="AD828" i="18"/>
  <c r="AD797" i="18"/>
  <c r="AD766" i="18"/>
  <c r="AD735" i="18"/>
  <c r="AD642" i="18"/>
  <c r="AD673" i="18"/>
  <c r="AD611" i="18"/>
  <c r="AD704" i="18"/>
  <c r="W828" i="18"/>
  <c r="W766" i="18"/>
  <c r="W735" i="18"/>
  <c r="W704" i="18"/>
  <c r="W673" i="18"/>
  <c r="W611" i="18"/>
  <c r="W642" i="18"/>
  <c r="W797" i="18"/>
  <c r="Y797" i="18"/>
  <c r="Y828" i="18"/>
  <c r="Y735" i="18"/>
  <c r="Y766" i="18"/>
  <c r="Y704" i="18"/>
  <c r="Y673" i="18"/>
  <c r="Y642" i="18"/>
  <c r="Y611" i="18"/>
  <c r="AE828" i="18"/>
  <c r="AE766" i="18"/>
  <c r="AE735" i="18"/>
  <c r="AE797" i="18"/>
  <c r="AE704" i="18"/>
  <c r="AE673" i="18"/>
  <c r="AE642" i="18"/>
  <c r="AE611" i="18"/>
  <c r="Y798" i="18"/>
  <c r="Y767" i="18"/>
  <c r="Y736" i="18"/>
  <c r="Y705" i="18"/>
  <c r="Y829" i="18"/>
  <c r="Y674" i="18"/>
  <c r="Y643" i="18"/>
  <c r="Y612" i="18"/>
  <c r="R797" i="18"/>
  <c r="R766" i="18"/>
  <c r="R735" i="18"/>
  <c r="R704" i="18"/>
  <c r="R828" i="18"/>
  <c r="R673" i="18"/>
  <c r="R642" i="18"/>
  <c r="R611" i="18"/>
  <c r="T766" i="18"/>
  <c r="T828" i="18"/>
  <c r="T797" i="18"/>
  <c r="T735" i="18"/>
  <c r="T673" i="18"/>
  <c r="T642" i="18"/>
  <c r="T704" i="18"/>
  <c r="T611" i="18"/>
  <c r="V828" i="18"/>
  <c r="V797" i="18"/>
  <c r="V766" i="18"/>
  <c r="V735" i="18"/>
  <c r="V642" i="18"/>
  <c r="V704" i="18"/>
  <c r="V673" i="18"/>
  <c r="V611" i="18"/>
  <c r="Z797" i="18"/>
  <c r="Z766" i="18"/>
  <c r="Z735" i="18"/>
  <c r="Z704" i="18"/>
  <c r="Z828" i="18"/>
  <c r="Z673" i="18"/>
  <c r="Z642" i="18"/>
  <c r="Z611" i="18"/>
  <c r="T767" i="18"/>
  <c r="T829" i="18"/>
  <c r="T736" i="18"/>
  <c r="T643" i="18"/>
  <c r="T705" i="18"/>
  <c r="T798" i="18"/>
  <c r="T612" i="18"/>
  <c r="T674" i="18"/>
  <c r="AC829" i="18"/>
  <c r="AC798" i="18"/>
  <c r="AC736" i="18"/>
  <c r="AC643" i="18"/>
  <c r="AC767" i="18"/>
  <c r="AC674" i="18"/>
  <c r="AC612" i="18"/>
  <c r="AC705" i="18"/>
  <c r="K767" i="18"/>
  <c r="K829" i="18"/>
  <c r="K798" i="18"/>
  <c r="K674" i="18"/>
  <c r="K643" i="18"/>
  <c r="K736" i="18"/>
  <c r="K705" i="18"/>
  <c r="K612" i="18"/>
  <c r="U766" i="18"/>
  <c r="U797" i="18"/>
  <c r="U828" i="18"/>
  <c r="U735" i="18"/>
  <c r="U642" i="18"/>
  <c r="U704" i="18"/>
  <c r="U673" i="18"/>
  <c r="U611" i="18"/>
  <c r="R767" i="18"/>
  <c r="R798" i="18"/>
  <c r="R705" i="18"/>
  <c r="R829" i="18"/>
  <c r="R674" i="18"/>
  <c r="R736" i="18"/>
  <c r="R643" i="18"/>
  <c r="R612" i="18"/>
  <c r="Q797" i="18"/>
  <c r="Q828" i="18"/>
  <c r="Q735" i="18"/>
  <c r="Q704" i="18"/>
  <c r="Q766" i="18"/>
  <c r="Q673" i="18"/>
  <c r="Q642" i="18"/>
  <c r="Q611" i="18"/>
  <c r="AH797" i="18"/>
  <c r="AH766" i="18"/>
  <c r="AH735" i="18"/>
  <c r="AH828" i="18"/>
  <c r="AH704" i="18"/>
  <c r="AH673" i="18"/>
  <c r="AH642" i="18"/>
  <c r="AH611" i="18"/>
  <c r="L766" i="18"/>
  <c r="L828" i="18"/>
  <c r="L797" i="18"/>
  <c r="L673" i="18"/>
  <c r="L704" i="18"/>
  <c r="L735" i="18"/>
  <c r="L642" i="18"/>
  <c r="L611" i="18"/>
  <c r="X798" i="18"/>
  <c r="X829" i="18"/>
  <c r="X767" i="18"/>
  <c r="X736" i="18"/>
  <c r="X705" i="18"/>
  <c r="X674" i="18"/>
  <c r="X643" i="18"/>
  <c r="X612" i="18"/>
  <c r="U829" i="18"/>
  <c r="U798" i="18"/>
  <c r="U767" i="18"/>
  <c r="U736" i="18"/>
  <c r="U643" i="18"/>
  <c r="U705" i="18"/>
  <c r="U674" i="18"/>
  <c r="U612" i="18"/>
  <c r="AG797" i="18"/>
  <c r="AG828" i="18"/>
  <c r="AG735" i="18"/>
  <c r="AG704" i="18"/>
  <c r="AG673" i="18"/>
  <c r="AG766" i="18"/>
  <c r="AG642" i="18"/>
  <c r="AG611" i="18"/>
  <c r="AA767" i="18"/>
  <c r="AA829" i="18"/>
  <c r="AA705" i="18"/>
  <c r="AA798" i="18"/>
  <c r="AA736" i="18"/>
  <c r="AA674" i="18"/>
  <c r="AA643" i="18"/>
  <c r="AA612" i="18"/>
  <c r="AB766" i="18"/>
  <c r="AB828" i="18"/>
  <c r="AB673" i="18"/>
  <c r="AB704" i="18"/>
  <c r="AB642" i="18"/>
  <c r="AB611" i="18"/>
  <c r="AB797" i="18"/>
  <c r="AB735" i="18"/>
  <c r="AC766" i="18"/>
  <c r="AC828" i="18"/>
  <c r="AC797" i="18"/>
  <c r="AC735" i="18"/>
  <c r="AC704" i="18"/>
  <c r="AC642" i="18"/>
  <c r="AC673" i="18"/>
  <c r="AC611" i="18"/>
  <c r="W829" i="18"/>
  <c r="W798" i="18"/>
  <c r="W767" i="18"/>
  <c r="W736" i="18"/>
  <c r="W705" i="18"/>
  <c r="W674" i="18"/>
  <c r="W612" i="18"/>
  <c r="W643" i="18"/>
  <c r="L767" i="18"/>
  <c r="L798" i="18"/>
  <c r="L736" i="18"/>
  <c r="L643" i="18"/>
  <c r="L705" i="18"/>
  <c r="L674" i="18"/>
  <c r="L829" i="18"/>
  <c r="L612" i="18"/>
  <c r="N829" i="18"/>
  <c r="N798" i="18"/>
  <c r="N736" i="18"/>
  <c r="N767" i="18"/>
  <c r="N705" i="18"/>
  <c r="N674" i="18"/>
  <c r="N643" i="18"/>
  <c r="N612" i="18"/>
  <c r="V829" i="18"/>
  <c r="V767" i="18"/>
  <c r="V736" i="18"/>
  <c r="V798" i="18"/>
  <c r="V705" i="18"/>
  <c r="V674" i="18"/>
  <c r="V612" i="18"/>
  <c r="V643" i="18"/>
  <c r="P828" i="18"/>
  <c r="P797" i="18"/>
  <c r="P766" i="18"/>
  <c r="P735" i="18"/>
  <c r="P704" i="18"/>
  <c r="P673" i="18"/>
  <c r="P611" i="18"/>
  <c r="P642" i="18"/>
  <c r="S766" i="18"/>
  <c r="S797" i="18"/>
  <c r="S828" i="18"/>
  <c r="S735" i="18"/>
  <c r="S673" i="18"/>
  <c r="S642" i="18"/>
  <c r="S704" i="18"/>
  <c r="S611" i="18"/>
  <c r="O829" i="18"/>
  <c r="O798" i="18"/>
  <c r="O767" i="18"/>
  <c r="O736" i="18"/>
  <c r="O705" i="18"/>
  <c r="O674" i="18"/>
  <c r="O612" i="18"/>
  <c r="O643" i="18"/>
  <c r="M766" i="18"/>
  <c r="M828" i="18"/>
  <c r="M797" i="18"/>
  <c r="M735" i="18"/>
  <c r="M704" i="18"/>
  <c r="M642" i="18"/>
  <c r="M611" i="18"/>
  <c r="M673" i="18"/>
  <c r="J735" i="18"/>
  <c r="J828" i="18"/>
  <c r="J673" i="18"/>
  <c r="J766" i="18"/>
  <c r="J611" i="18"/>
  <c r="J704" i="18"/>
  <c r="J797" i="18"/>
  <c r="J642" i="18"/>
  <c r="M9" i="16"/>
  <c r="M10" i="16"/>
  <c r="M13" i="16"/>
  <c r="AH388" i="18"/>
  <c r="AH357" i="18"/>
  <c r="AH419" i="18"/>
  <c r="AH450" i="18"/>
  <c r="AH481" i="18"/>
  <c r="AH512" i="18"/>
  <c r="AH543" i="18"/>
  <c r="AH326" i="18"/>
  <c r="AH356" i="18"/>
  <c r="AH387" i="18"/>
  <c r="AH418" i="18"/>
  <c r="AH449" i="18"/>
  <c r="AH325" i="18"/>
  <c r="AH480" i="18"/>
  <c r="AH511" i="18"/>
  <c r="AH542" i="18"/>
  <c r="AG512" i="18"/>
  <c r="AG450" i="18"/>
  <c r="AG388" i="18"/>
  <c r="AG543" i="18"/>
  <c r="AG481" i="18"/>
  <c r="AG419" i="18"/>
  <c r="AG357" i="18"/>
  <c r="AG326" i="18"/>
  <c r="L542" i="18"/>
  <c r="L480" i="18"/>
  <c r="L418" i="18"/>
  <c r="L356" i="18"/>
  <c r="L511" i="18"/>
  <c r="L449" i="18"/>
  <c r="L387" i="18"/>
  <c r="L325" i="18"/>
  <c r="X512" i="18"/>
  <c r="X450" i="18"/>
  <c r="X388" i="18"/>
  <c r="X326" i="18"/>
  <c r="X543" i="18"/>
  <c r="X481" i="18"/>
  <c r="X419" i="18"/>
  <c r="X357" i="18"/>
  <c r="Z543" i="18"/>
  <c r="Z481" i="18"/>
  <c r="Z419" i="18"/>
  <c r="Z357" i="18"/>
  <c r="Z388" i="18"/>
  <c r="Z326" i="18"/>
  <c r="Z450" i="18"/>
  <c r="Z512" i="18"/>
  <c r="AB543" i="18"/>
  <c r="AB481" i="18"/>
  <c r="AB419" i="18"/>
  <c r="AB357" i="18"/>
  <c r="AB512" i="18"/>
  <c r="AB450" i="18"/>
  <c r="AB388" i="18"/>
  <c r="AB326" i="18"/>
  <c r="AF512" i="18"/>
  <c r="AF450" i="18"/>
  <c r="AF388" i="18"/>
  <c r="AF326" i="18"/>
  <c r="AF543" i="18"/>
  <c r="AF481" i="18"/>
  <c r="AF419" i="18"/>
  <c r="AF357" i="18"/>
  <c r="AA543" i="18"/>
  <c r="AA481" i="18"/>
  <c r="AA419" i="18"/>
  <c r="AA357" i="18"/>
  <c r="AA512" i="18"/>
  <c r="AA388" i="18"/>
  <c r="AA326" i="18"/>
  <c r="AA450" i="18"/>
  <c r="R542" i="18"/>
  <c r="R480" i="18"/>
  <c r="R418" i="18"/>
  <c r="R356" i="18"/>
  <c r="R511" i="18"/>
  <c r="R449" i="18"/>
  <c r="R325" i="18"/>
  <c r="R387" i="18"/>
  <c r="X511" i="18"/>
  <c r="X449" i="18"/>
  <c r="X387" i="18"/>
  <c r="X325" i="18"/>
  <c r="X542" i="18"/>
  <c r="X480" i="18"/>
  <c r="X418" i="18"/>
  <c r="X356" i="18"/>
  <c r="W512" i="18"/>
  <c r="W450" i="18"/>
  <c r="W388" i="18"/>
  <c r="W326" i="18"/>
  <c r="W543" i="18"/>
  <c r="W357" i="18"/>
  <c r="W419" i="18"/>
  <c r="W481" i="18"/>
  <c r="N512" i="18"/>
  <c r="N450" i="18"/>
  <c r="N388" i="18"/>
  <c r="N326" i="18"/>
  <c r="N543" i="18"/>
  <c r="N481" i="18"/>
  <c r="N419" i="18"/>
  <c r="N357" i="18"/>
  <c r="R543" i="18"/>
  <c r="R481" i="18"/>
  <c r="R419" i="18"/>
  <c r="R357" i="18"/>
  <c r="R388" i="18"/>
  <c r="R512" i="18"/>
  <c r="R450" i="18"/>
  <c r="R326" i="18"/>
  <c r="N511" i="18"/>
  <c r="N449" i="18"/>
  <c r="N387" i="18"/>
  <c r="N325" i="18"/>
  <c r="N542" i="18"/>
  <c r="N356" i="18"/>
  <c r="N418" i="18"/>
  <c r="N480" i="18"/>
  <c r="AE511" i="18"/>
  <c r="AE449" i="18"/>
  <c r="AE387" i="18"/>
  <c r="AE325" i="18"/>
  <c r="AE542" i="18"/>
  <c r="AE480" i="18"/>
  <c r="AE356" i="18"/>
  <c r="AE418" i="18"/>
  <c r="AG511" i="18"/>
  <c r="AG449" i="18"/>
  <c r="AG542" i="18"/>
  <c r="AG480" i="18"/>
  <c r="AG418" i="18"/>
  <c r="AG356" i="18"/>
  <c r="AG387" i="18"/>
  <c r="AG325" i="18"/>
  <c r="K542" i="18"/>
  <c r="K480" i="18"/>
  <c r="K418" i="18"/>
  <c r="K356" i="18"/>
  <c r="K511" i="18"/>
  <c r="K325" i="18"/>
  <c r="K449" i="18"/>
  <c r="K387" i="18"/>
  <c r="V512" i="18"/>
  <c r="V450" i="18"/>
  <c r="V388" i="18"/>
  <c r="V326" i="18"/>
  <c r="V357" i="18"/>
  <c r="V419" i="18"/>
  <c r="V481" i="18"/>
  <c r="V543" i="18"/>
  <c r="AD511" i="18"/>
  <c r="AD449" i="18"/>
  <c r="AD387" i="18"/>
  <c r="AD325" i="18"/>
  <c r="AD542" i="18"/>
  <c r="AD418" i="18"/>
  <c r="AD480" i="18"/>
  <c r="AD356" i="18"/>
  <c r="Y512" i="18"/>
  <c r="Y450" i="18"/>
  <c r="Y388" i="18"/>
  <c r="Y543" i="18"/>
  <c r="Y481" i="18"/>
  <c r="Y419" i="18"/>
  <c r="Y357" i="18"/>
  <c r="Y326" i="18"/>
  <c r="K543" i="18"/>
  <c r="K481" i="18"/>
  <c r="K419" i="18"/>
  <c r="K357" i="18"/>
  <c r="K512" i="18"/>
  <c r="K326" i="18"/>
  <c r="K450" i="18"/>
  <c r="K388" i="18"/>
  <c r="U542" i="18"/>
  <c r="U480" i="18"/>
  <c r="U418" i="18"/>
  <c r="U511" i="18"/>
  <c r="U449" i="18"/>
  <c r="U387" i="18"/>
  <c r="U325" i="18"/>
  <c r="U356" i="18"/>
  <c r="Y511" i="18"/>
  <c r="Y449" i="18"/>
  <c r="Y542" i="18"/>
  <c r="Y480" i="18"/>
  <c r="Y418" i="18"/>
  <c r="Y356" i="18"/>
  <c r="Y387" i="18"/>
  <c r="Y325" i="18"/>
  <c r="S543" i="18"/>
  <c r="S481" i="18"/>
  <c r="S419" i="18"/>
  <c r="S357" i="18"/>
  <c r="S512" i="18"/>
  <c r="S388" i="18"/>
  <c r="S450" i="18"/>
  <c r="S326" i="18"/>
  <c r="T542" i="18"/>
  <c r="T480" i="18"/>
  <c r="T418" i="18"/>
  <c r="T356" i="18"/>
  <c r="T511" i="18"/>
  <c r="T449" i="18"/>
  <c r="T387" i="18"/>
  <c r="T325" i="18"/>
  <c r="V511" i="18"/>
  <c r="V449" i="18"/>
  <c r="V387" i="18"/>
  <c r="V325" i="18"/>
  <c r="V542" i="18"/>
  <c r="V418" i="18"/>
  <c r="V480" i="18"/>
  <c r="V356" i="18"/>
  <c r="AB542" i="18"/>
  <c r="AB480" i="18"/>
  <c r="AB418" i="18"/>
  <c r="AB356" i="18"/>
  <c r="AB511" i="18"/>
  <c r="AB449" i="18"/>
  <c r="AB387" i="18"/>
  <c r="AB325" i="18"/>
  <c r="W542" i="18"/>
  <c r="W511" i="18"/>
  <c r="W449" i="18"/>
  <c r="W387" i="18"/>
  <c r="W325" i="18"/>
  <c r="W418" i="18"/>
  <c r="W480" i="18"/>
  <c r="W356" i="18"/>
  <c r="T543" i="18"/>
  <c r="T481" i="18"/>
  <c r="T419" i="18"/>
  <c r="T357" i="18"/>
  <c r="T512" i="18"/>
  <c r="T450" i="18"/>
  <c r="T388" i="18"/>
  <c r="T326" i="18"/>
  <c r="M542" i="18"/>
  <c r="M480" i="18"/>
  <c r="M418" i="18"/>
  <c r="M511" i="18"/>
  <c r="M449" i="18"/>
  <c r="M387" i="18"/>
  <c r="M325" i="18"/>
  <c r="M356" i="18"/>
  <c r="P511" i="18"/>
  <c r="P449" i="18"/>
  <c r="P387" i="18"/>
  <c r="P325" i="18"/>
  <c r="P542" i="18"/>
  <c r="P480" i="18"/>
  <c r="P418" i="18"/>
  <c r="P356" i="18"/>
  <c r="M543" i="18"/>
  <c r="M481" i="18"/>
  <c r="M419" i="18"/>
  <c r="M512" i="18"/>
  <c r="M450" i="18"/>
  <c r="M388" i="18"/>
  <c r="M326" i="18"/>
  <c r="M357" i="18"/>
  <c r="AA542" i="18"/>
  <c r="AA480" i="18"/>
  <c r="AA418" i="18"/>
  <c r="AA356" i="18"/>
  <c r="AA511" i="18"/>
  <c r="AA449" i="18"/>
  <c r="AA387" i="18"/>
  <c r="AA325" i="18"/>
  <c r="AE512" i="18"/>
  <c r="AE450" i="18"/>
  <c r="AE388" i="18"/>
  <c r="AE326" i="18"/>
  <c r="AE543" i="18"/>
  <c r="AE419" i="18"/>
  <c r="AE481" i="18"/>
  <c r="AE357" i="18"/>
  <c r="U543" i="18"/>
  <c r="U481" i="18"/>
  <c r="U419" i="18"/>
  <c r="U512" i="18"/>
  <c r="U450" i="18"/>
  <c r="U388" i="18"/>
  <c r="U326" i="18"/>
  <c r="U357" i="18"/>
  <c r="L543" i="18"/>
  <c r="L481" i="18"/>
  <c r="L419" i="18"/>
  <c r="L357" i="18"/>
  <c r="L512" i="18"/>
  <c r="L450" i="18"/>
  <c r="L388" i="18"/>
  <c r="L326" i="18"/>
  <c r="P512" i="18"/>
  <c r="P450" i="18"/>
  <c r="P388" i="18"/>
  <c r="P326" i="18"/>
  <c r="P543" i="18"/>
  <c r="P481" i="18"/>
  <c r="P419" i="18"/>
  <c r="P357" i="18"/>
  <c r="O511" i="18"/>
  <c r="O449" i="18"/>
  <c r="O387" i="18"/>
  <c r="O325" i="18"/>
  <c r="O542" i="18"/>
  <c r="O356" i="18"/>
  <c r="O418" i="18"/>
  <c r="O480" i="18"/>
  <c r="Q511" i="18"/>
  <c r="Q449" i="18"/>
  <c r="Q542" i="18"/>
  <c r="Q480" i="18"/>
  <c r="Q418" i="18"/>
  <c r="Q356" i="18"/>
  <c r="Q387" i="18"/>
  <c r="Q325" i="18"/>
  <c r="S511" i="18"/>
  <c r="S542" i="18"/>
  <c r="S480" i="18"/>
  <c r="S418" i="18"/>
  <c r="S356" i="18"/>
  <c r="S449" i="18"/>
  <c r="S387" i="18"/>
  <c r="S325" i="18"/>
  <c r="AC542" i="18"/>
  <c r="AC480" i="18"/>
  <c r="AC418" i="18"/>
  <c r="AC511" i="18"/>
  <c r="AC449" i="18"/>
  <c r="AC387" i="18"/>
  <c r="AC325" i="18"/>
  <c r="AC356" i="18"/>
  <c r="AD512" i="18"/>
  <c r="AD450" i="18"/>
  <c r="AD388" i="18"/>
  <c r="AD326" i="18"/>
  <c r="AD419" i="18"/>
  <c r="AD481" i="18"/>
  <c r="AD543" i="18"/>
  <c r="AD357" i="18"/>
  <c r="AF511" i="18"/>
  <c r="AF449" i="18"/>
  <c r="AF387" i="18"/>
  <c r="AF325" i="18"/>
  <c r="AF542" i="18"/>
  <c r="AF480" i="18"/>
  <c r="AF418" i="18"/>
  <c r="AF356" i="18"/>
  <c r="Z542" i="18"/>
  <c r="Z480" i="18"/>
  <c r="Z418" i="18"/>
  <c r="Z356" i="18"/>
  <c r="Z449" i="18"/>
  <c r="Z387" i="18"/>
  <c r="Z325" i="18"/>
  <c r="Z511" i="18"/>
  <c r="AC543" i="18"/>
  <c r="AC481" i="18"/>
  <c r="AC419" i="18"/>
  <c r="AC512" i="18"/>
  <c r="AC450" i="18"/>
  <c r="AC388" i="18"/>
  <c r="AC326" i="18"/>
  <c r="AC357" i="18"/>
  <c r="O512" i="18"/>
  <c r="O450" i="18"/>
  <c r="O388" i="18"/>
  <c r="O326" i="18"/>
  <c r="O543" i="18"/>
  <c r="O419" i="18"/>
  <c r="O357" i="18"/>
  <c r="O481" i="18"/>
  <c r="Q512" i="18"/>
  <c r="Q450" i="18"/>
  <c r="Q543" i="18"/>
  <c r="Q481" i="18"/>
  <c r="Q419" i="18"/>
  <c r="Q357" i="18"/>
  <c r="Q326" i="18"/>
  <c r="Q388" i="18"/>
  <c r="J388" i="18"/>
  <c r="J419" i="18"/>
  <c r="J450" i="18"/>
  <c r="J481" i="18"/>
  <c r="J512" i="18"/>
  <c r="J543" i="18"/>
  <c r="J326" i="18"/>
  <c r="J357" i="18"/>
  <c r="J356" i="18"/>
  <c r="J387" i="18"/>
  <c r="J418" i="18"/>
  <c r="J449" i="18"/>
  <c r="J480" i="18"/>
  <c r="J511" i="18"/>
  <c r="J325" i="18"/>
  <c r="J542" i="18"/>
  <c r="K517" i="18"/>
  <c r="K393" i="18"/>
  <c r="K486" i="18"/>
  <c r="K362" i="18"/>
  <c r="K455" i="18"/>
  <c r="K331" i="18"/>
  <c r="K548" i="18"/>
  <c r="K424" i="18"/>
  <c r="J517" i="18"/>
  <c r="J393" i="18"/>
  <c r="J486" i="18"/>
  <c r="J362" i="18"/>
  <c r="J455" i="18"/>
  <c r="J331" i="18"/>
  <c r="J548" i="18"/>
  <c r="J424" i="18"/>
  <c r="Q518" i="18"/>
  <c r="Q394" i="18"/>
  <c r="Q549" i="18"/>
  <c r="Q487" i="18"/>
  <c r="Q363" i="18"/>
  <c r="Q456" i="18"/>
  <c r="Q332" i="18"/>
  <c r="Q425" i="18"/>
  <c r="J453" i="18"/>
  <c r="J329" i="18"/>
  <c r="J546" i="18"/>
  <c r="J422" i="18"/>
  <c r="J515" i="18"/>
  <c r="J391" i="18"/>
  <c r="J484" i="18"/>
  <c r="J360" i="18"/>
  <c r="K453" i="18"/>
  <c r="K329" i="18"/>
  <c r="K546" i="18"/>
  <c r="K422" i="18"/>
  <c r="K515" i="18"/>
  <c r="K391" i="18"/>
  <c r="K484" i="18"/>
  <c r="K360" i="18"/>
  <c r="J547" i="18"/>
  <c r="J423" i="18"/>
  <c r="J516" i="18"/>
  <c r="J392" i="18"/>
  <c r="J485" i="18"/>
  <c r="J361" i="18"/>
  <c r="J454" i="18"/>
  <c r="J330" i="18"/>
  <c r="Q454" i="18"/>
  <c r="Q330" i="18"/>
  <c r="Q547" i="18"/>
  <c r="Q423" i="18"/>
  <c r="Q516" i="18"/>
  <c r="Q392" i="18"/>
  <c r="Q485" i="18"/>
  <c r="Q361" i="18"/>
  <c r="L546" i="18"/>
  <c r="L422" i="18"/>
  <c r="L515" i="18"/>
  <c r="L391" i="18"/>
  <c r="L484" i="18"/>
  <c r="L360" i="18"/>
  <c r="L453" i="18"/>
  <c r="L329" i="18"/>
  <c r="Q484" i="18"/>
  <c r="Q360" i="18"/>
  <c r="Q515" i="18"/>
  <c r="Q453" i="18"/>
  <c r="Q329" i="18"/>
  <c r="Q546" i="18"/>
  <c r="Q422" i="18"/>
  <c r="Q391" i="18"/>
  <c r="K547" i="18"/>
  <c r="K423" i="18"/>
  <c r="K516" i="18"/>
  <c r="K392" i="18"/>
  <c r="K485" i="18"/>
  <c r="K361" i="18"/>
  <c r="K454" i="18"/>
  <c r="K330" i="18"/>
  <c r="L516" i="18"/>
  <c r="L392" i="18"/>
  <c r="L485" i="18"/>
  <c r="L361" i="18"/>
  <c r="L454" i="18"/>
  <c r="L330" i="18"/>
  <c r="L547" i="18"/>
  <c r="L423" i="18"/>
  <c r="Q548" i="18"/>
  <c r="Q424" i="18"/>
  <c r="Q517" i="18"/>
  <c r="Q393" i="18"/>
  <c r="Q455" i="18"/>
  <c r="Q486" i="18"/>
  <c r="Q362" i="18"/>
  <c r="Q331" i="18"/>
  <c r="J487" i="18"/>
  <c r="J363" i="18"/>
  <c r="J456" i="18"/>
  <c r="J332" i="18"/>
  <c r="J549" i="18"/>
  <c r="J425" i="18"/>
  <c r="J518" i="18"/>
  <c r="J394" i="18"/>
  <c r="AH107" i="18"/>
  <c r="AH138" i="18"/>
  <c r="AH169" i="18"/>
  <c r="AH200" i="18"/>
  <c r="AH231" i="18"/>
  <c r="AH262" i="18"/>
  <c r="AH45" i="18"/>
  <c r="AH76" i="18"/>
  <c r="G85" i="48"/>
  <c r="AH44" i="18"/>
  <c r="AH75" i="18"/>
  <c r="AH106" i="18"/>
  <c r="AH137" i="18"/>
  <c r="AH168" i="18"/>
  <c r="AH199" i="18"/>
  <c r="AH230" i="18"/>
  <c r="AH261" i="18"/>
  <c r="AH229" i="18"/>
  <c r="AH260" i="18"/>
  <c r="AH43" i="18"/>
  <c r="AH74" i="18"/>
  <c r="AH105" i="18"/>
  <c r="AH136" i="18"/>
  <c r="AH167" i="18"/>
  <c r="AH198" i="18"/>
  <c r="G87" i="48"/>
  <c r="AH170" i="18"/>
  <c r="AH201" i="18"/>
  <c r="AH232" i="18"/>
  <c r="AH263" i="18"/>
  <c r="AH46" i="18"/>
  <c r="AH77" i="18"/>
  <c r="AH108" i="18"/>
  <c r="AH139" i="18"/>
  <c r="X168" i="18"/>
  <c r="X261" i="18"/>
  <c r="X137" i="18"/>
  <c r="X230" i="18"/>
  <c r="X44" i="18"/>
  <c r="X75" i="18"/>
  <c r="X106" i="18"/>
  <c r="X199" i="18"/>
  <c r="Z232" i="18"/>
  <c r="Z201" i="18"/>
  <c r="Z170" i="18"/>
  <c r="Z108" i="18"/>
  <c r="Z77" i="18"/>
  <c r="Z46" i="18"/>
  <c r="Z139" i="18"/>
  <c r="Z263" i="18"/>
  <c r="Z261" i="18"/>
  <c r="Z137" i="18"/>
  <c r="Z230" i="18"/>
  <c r="Z199" i="18"/>
  <c r="Z168" i="18"/>
  <c r="Z106" i="18"/>
  <c r="Z75" i="18"/>
  <c r="Z44" i="18"/>
  <c r="S201" i="18"/>
  <c r="S263" i="18"/>
  <c r="S139" i="18"/>
  <c r="S232" i="18"/>
  <c r="S77" i="18"/>
  <c r="S108" i="18"/>
  <c r="S46" i="18"/>
  <c r="S170" i="18"/>
  <c r="AC199" i="18"/>
  <c r="AC261" i="18"/>
  <c r="AC137" i="18"/>
  <c r="AC230" i="18"/>
  <c r="AC168" i="18"/>
  <c r="AC75" i="18"/>
  <c r="AC44" i="18"/>
  <c r="AC106" i="18"/>
  <c r="R261" i="18"/>
  <c r="R137" i="18"/>
  <c r="R230" i="18"/>
  <c r="R199" i="18"/>
  <c r="R106" i="18"/>
  <c r="R44" i="18"/>
  <c r="R168" i="18"/>
  <c r="R75" i="18"/>
  <c r="AF263" i="18"/>
  <c r="AF139" i="18"/>
  <c r="AF232" i="18"/>
  <c r="AF201" i="18"/>
  <c r="AF170" i="18"/>
  <c r="AF108" i="18"/>
  <c r="AF46" i="18"/>
  <c r="AF77" i="18"/>
  <c r="Q261" i="18"/>
  <c r="Q137" i="18"/>
  <c r="Q199" i="18"/>
  <c r="Q168" i="18"/>
  <c r="Q106" i="18"/>
  <c r="Q230" i="18"/>
  <c r="Q75" i="18"/>
  <c r="Q44" i="18"/>
  <c r="AA231" i="18"/>
  <c r="AA200" i="18"/>
  <c r="AA169" i="18"/>
  <c r="AA107" i="18"/>
  <c r="AA76" i="18"/>
  <c r="AA138" i="18"/>
  <c r="AA45" i="18"/>
  <c r="AA262" i="18"/>
  <c r="U170" i="18"/>
  <c r="U232" i="18"/>
  <c r="U201" i="18"/>
  <c r="U46" i="18"/>
  <c r="U263" i="18"/>
  <c r="U139" i="18"/>
  <c r="U77" i="18"/>
  <c r="U108" i="18"/>
  <c r="O169" i="18"/>
  <c r="O262" i="18"/>
  <c r="O138" i="18"/>
  <c r="O231" i="18"/>
  <c r="O45" i="18"/>
  <c r="O200" i="18"/>
  <c r="O76" i="18"/>
  <c r="O107" i="18"/>
  <c r="P262" i="18"/>
  <c r="P138" i="18"/>
  <c r="P200" i="18"/>
  <c r="P169" i="18"/>
  <c r="P107" i="18"/>
  <c r="P231" i="18"/>
  <c r="P76" i="18"/>
  <c r="P45" i="18"/>
  <c r="W198" i="18"/>
  <c r="W167" i="18"/>
  <c r="W260" i="18"/>
  <c r="W136" i="18"/>
  <c r="W74" i="18"/>
  <c r="W43" i="18"/>
  <c r="W229" i="18"/>
  <c r="W105" i="18"/>
  <c r="AE169" i="18"/>
  <c r="AE262" i="18"/>
  <c r="AE138" i="18"/>
  <c r="AE231" i="18"/>
  <c r="AE45" i="18"/>
  <c r="AE76" i="18"/>
  <c r="AE107" i="18"/>
  <c r="AE200" i="18"/>
  <c r="M199" i="18"/>
  <c r="M261" i="18"/>
  <c r="M137" i="18"/>
  <c r="M230" i="18"/>
  <c r="M75" i="18"/>
  <c r="M106" i="18"/>
  <c r="M44" i="18"/>
  <c r="M168" i="18"/>
  <c r="Z231" i="18"/>
  <c r="Z169" i="18"/>
  <c r="Z262" i="18"/>
  <c r="Z138" i="18"/>
  <c r="Z107" i="18"/>
  <c r="Z200" i="18"/>
  <c r="Z76" i="18"/>
  <c r="Z45" i="18"/>
  <c r="O198" i="18"/>
  <c r="O167" i="18"/>
  <c r="O260" i="18"/>
  <c r="O136" i="18"/>
  <c r="O74" i="18"/>
  <c r="O105" i="18"/>
  <c r="O43" i="18"/>
  <c r="O229" i="18"/>
  <c r="Q262" i="18"/>
  <c r="Q138" i="18"/>
  <c r="Q231" i="18"/>
  <c r="Q200" i="18"/>
  <c r="Q107" i="18"/>
  <c r="Q45" i="18"/>
  <c r="Q76" i="18"/>
  <c r="Q169" i="18"/>
  <c r="Q167" i="18"/>
  <c r="Q260" i="18"/>
  <c r="Q136" i="18"/>
  <c r="Q229" i="18"/>
  <c r="Q198" i="18"/>
  <c r="Q43" i="18"/>
  <c r="Q74" i="18"/>
  <c r="Q105" i="18"/>
  <c r="M170" i="18"/>
  <c r="M232" i="18"/>
  <c r="M201" i="18"/>
  <c r="M139" i="18"/>
  <c r="M77" i="18"/>
  <c r="M263" i="18"/>
  <c r="M46" i="18"/>
  <c r="M108" i="18"/>
  <c r="M200" i="18"/>
  <c r="M169" i="18"/>
  <c r="M262" i="18"/>
  <c r="M138" i="18"/>
  <c r="M76" i="18"/>
  <c r="M231" i="18"/>
  <c r="M45" i="18"/>
  <c r="M107" i="18"/>
  <c r="O263" i="18"/>
  <c r="O139" i="18"/>
  <c r="O201" i="18"/>
  <c r="O170" i="18"/>
  <c r="O108" i="18"/>
  <c r="O232" i="18"/>
  <c r="O77" i="18"/>
  <c r="O46" i="18"/>
  <c r="L229" i="18"/>
  <c r="L167" i="18"/>
  <c r="L260" i="18"/>
  <c r="L136" i="18"/>
  <c r="L198" i="18"/>
  <c r="L105" i="18"/>
  <c r="L74" i="18"/>
  <c r="L43" i="18"/>
  <c r="W169" i="18"/>
  <c r="W262" i="18"/>
  <c r="W138" i="18"/>
  <c r="W231" i="18"/>
  <c r="W45" i="18"/>
  <c r="W76" i="18"/>
  <c r="W200" i="18"/>
  <c r="W107" i="18"/>
  <c r="Q232" i="18"/>
  <c r="Q170" i="18"/>
  <c r="Q263" i="18"/>
  <c r="Q139" i="18"/>
  <c r="Q201" i="18"/>
  <c r="Q108" i="18"/>
  <c r="Q77" i="18"/>
  <c r="Q46" i="18"/>
  <c r="AG261" i="18"/>
  <c r="AG137" i="18"/>
  <c r="AG199" i="18"/>
  <c r="AG168" i="18"/>
  <c r="AG230" i="18"/>
  <c r="AG106" i="18"/>
  <c r="AG75" i="18"/>
  <c r="AG44" i="18"/>
  <c r="S230" i="18"/>
  <c r="S168" i="18"/>
  <c r="S261" i="18"/>
  <c r="S137" i="18"/>
  <c r="S106" i="18"/>
  <c r="S75" i="18"/>
  <c r="S199" i="18"/>
  <c r="S44" i="18"/>
  <c r="L200" i="18"/>
  <c r="L262" i="18"/>
  <c r="L138" i="18"/>
  <c r="L231" i="18"/>
  <c r="L76" i="18"/>
  <c r="L107" i="18"/>
  <c r="L45" i="18"/>
  <c r="L169" i="18"/>
  <c r="R231" i="18"/>
  <c r="R169" i="18"/>
  <c r="R262" i="18"/>
  <c r="R138" i="18"/>
  <c r="R200" i="18"/>
  <c r="R107" i="18"/>
  <c r="R76" i="18"/>
  <c r="R45" i="18"/>
  <c r="S260" i="18"/>
  <c r="S136" i="18"/>
  <c r="S229" i="18"/>
  <c r="S198" i="18"/>
  <c r="S105" i="18"/>
  <c r="S167" i="18"/>
  <c r="S74" i="18"/>
  <c r="S43" i="18"/>
  <c r="U229" i="18"/>
  <c r="U198" i="18"/>
  <c r="U167" i="18"/>
  <c r="U105" i="18"/>
  <c r="U74" i="18"/>
  <c r="U136" i="18"/>
  <c r="U43" i="18"/>
  <c r="U260" i="18"/>
  <c r="AC200" i="18"/>
  <c r="AC169" i="18"/>
  <c r="AC262" i="18"/>
  <c r="AC138" i="18"/>
  <c r="AC76" i="18"/>
  <c r="AC231" i="18"/>
  <c r="AC45" i="18"/>
  <c r="AC107" i="18"/>
  <c r="AF262" i="18"/>
  <c r="AF138" i="18"/>
  <c r="AF200" i="18"/>
  <c r="AF169" i="18"/>
  <c r="AF231" i="18"/>
  <c r="AF107" i="18"/>
  <c r="AF76" i="18"/>
  <c r="AF45" i="18"/>
  <c r="R260" i="18"/>
  <c r="R136" i="18"/>
  <c r="R198" i="18"/>
  <c r="R167" i="18"/>
  <c r="R105" i="18"/>
  <c r="R229" i="18"/>
  <c r="R74" i="18"/>
  <c r="R43" i="18"/>
  <c r="P263" i="18"/>
  <c r="P139" i="18"/>
  <c r="P232" i="18"/>
  <c r="P201" i="18"/>
  <c r="P108" i="18"/>
  <c r="P77" i="18"/>
  <c r="P46" i="18"/>
  <c r="P170" i="18"/>
  <c r="K231" i="18"/>
  <c r="K200" i="18"/>
  <c r="K169" i="18"/>
  <c r="K138" i="18"/>
  <c r="K107" i="18"/>
  <c r="K262" i="18"/>
  <c r="K76" i="18"/>
  <c r="K45" i="18"/>
  <c r="AE198" i="18"/>
  <c r="AE167" i="18"/>
  <c r="AE260" i="18"/>
  <c r="AE136" i="18"/>
  <c r="AE74" i="18"/>
  <c r="AE229" i="18"/>
  <c r="AE43" i="18"/>
  <c r="AE105" i="18"/>
  <c r="AG262" i="18"/>
  <c r="AG138" i="18"/>
  <c r="AG231" i="18"/>
  <c r="AG200" i="18"/>
  <c r="AG169" i="18"/>
  <c r="AG107" i="18"/>
  <c r="AG76" i="18"/>
  <c r="AG45" i="18"/>
  <c r="AG167" i="18"/>
  <c r="AG260" i="18"/>
  <c r="AG136" i="18"/>
  <c r="AG229" i="18"/>
  <c r="AG43" i="18"/>
  <c r="AG74" i="18"/>
  <c r="AG198" i="18"/>
  <c r="AG105" i="18"/>
  <c r="L201" i="18"/>
  <c r="L170" i="18"/>
  <c r="L263" i="18"/>
  <c r="L139" i="18"/>
  <c r="L77" i="18"/>
  <c r="L46" i="18"/>
  <c r="L232" i="18"/>
  <c r="L108" i="18"/>
  <c r="Y167" i="18"/>
  <c r="Y260" i="18"/>
  <c r="Y136" i="18"/>
  <c r="Y229" i="18"/>
  <c r="Y43" i="18"/>
  <c r="Y198" i="18"/>
  <c r="Y74" i="18"/>
  <c r="Y105" i="18"/>
  <c r="AC170" i="18"/>
  <c r="AC232" i="18"/>
  <c r="AC201" i="18"/>
  <c r="AC46" i="18"/>
  <c r="AC139" i="18"/>
  <c r="AC263" i="18"/>
  <c r="AC108" i="18"/>
  <c r="AC77" i="18"/>
  <c r="AE263" i="18"/>
  <c r="AE139" i="18"/>
  <c r="AE201" i="18"/>
  <c r="AE170" i="18"/>
  <c r="AE232" i="18"/>
  <c r="AE108" i="18"/>
  <c r="AE77" i="18"/>
  <c r="AE46" i="18"/>
  <c r="O168" i="18"/>
  <c r="O230" i="18"/>
  <c r="O199" i="18"/>
  <c r="O261" i="18"/>
  <c r="O44" i="18"/>
  <c r="O137" i="18"/>
  <c r="O106" i="18"/>
  <c r="O75" i="18"/>
  <c r="AG232" i="18"/>
  <c r="AG170" i="18"/>
  <c r="AG263" i="18"/>
  <c r="AG139" i="18"/>
  <c r="AG108" i="18"/>
  <c r="AG77" i="18"/>
  <c r="AG201" i="18"/>
  <c r="AG46" i="18"/>
  <c r="X167" i="18"/>
  <c r="X229" i="18"/>
  <c r="X198" i="18"/>
  <c r="X43" i="18"/>
  <c r="X260" i="18"/>
  <c r="X136" i="18"/>
  <c r="X105" i="18"/>
  <c r="X74" i="18"/>
  <c r="M229" i="18"/>
  <c r="M198" i="18"/>
  <c r="M167" i="18"/>
  <c r="M136" i="18"/>
  <c r="M105" i="18"/>
  <c r="M260" i="18"/>
  <c r="M74" i="18"/>
  <c r="M43" i="18"/>
  <c r="Z260" i="18"/>
  <c r="Z136" i="18"/>
  <c r="Z198" i="18"/>
  <c r="Z167" i="18"/>
  <c r="Z229" i="18"/>
  <c r="Z105" i="18"/>
  <c r="Z74" i="18"/>
  <c r="Z43" i="18"/>
  <c r="AB200" i="18"/>
  <c r="AB262" i="18"/>
  <c r="AB138" i="18"/>
  <c r="AB231" i="18"/>
  <c r="AB76" i="18"/>
  <c r="AB169" i="18"/>
  <c r="AB45" i="18"/>
  <c r="AB107" i="18"/>
  <c r="W263" i="18"/>
  <c r="W139" i="18"/>
  <c r="W201" i="18"/>
  <c r="W170" i="18"/>
  <c r="W232" i="18"/>
  <c r="W108" i="18"/>
  <c r="W77" i="18"/>
  <c r="W46" i="18"/>
  <c r="V170" i="18"/>
  <c r="V263" i="18"/>
  <c r="V139" i="18"/>
  <c r="V232" i="18"/>
  <c r="V201" i="18"/>
  <c r="V46" i="18"/>
  <c r="V108" i="18"/>
  <c r="V77" i="18"/>
  <c r="AA230" i="18"/>
  <c r="AA168" i="18"/>
  <c r="AA261" i="18"/>
  <c r="AA137" i="18"/>
  <c r="AA106" i="18"/>
  <c r="AA75" i="18"/>
  <c r="AA199" i="18"/>
  <c r="AA44" i="18"/>
  <c r="U200" i="18"/>
  <c r="U169" i="18"/>
  <c r="U262" i="18"/>
  <c r="U138" i="18"/>
  <c r="U76" i="18"/>
  <c r="U45" i="18"/>
  <c r="U107" i="18"/>
  <c r="U231" i="18"/>
  <c r="T201" i="18"/>
  <c r="T170" i="18"/>
  <c r="T263" i="18"/>
  <c r="T139" i="18"/>
  <c r="T77" i="18"/>
  <c r="T108" i="18"/>
  <c r="T46" i="18"/>
  <c r="T232" i="18"/>
  <c r="AD198" i="18"/>
  <c r="AD260" i="18"/>
  <c r="AD136" i="18"/>
  <c r="AD229" i="18"/>
  <c r="AD167" i="18"/>
  <c r="AD105" i="18"/>
  <c r="AD74" i="18"/>
  <c r="AD43" i="18"/>
  <c r="T229" i="18"/>
  <c r="T167" i="18"/>
  <c r="T260" i="18"/>
  <c r="T136" i="18"/>
  <c r="T105" i="18"/>
  <c r="T198" i="18"/>
  <c r="T74" i="18"/>
  <c r="T43" i="18"/>
  <c r="Y262" i="18"/>
  <c r="Y138" i="18"/>
  <c r="Y231" i="18"/>
  <c r="Y200" i="18"/>
  <c r="Y45" i="18"/>
  <c r="Y107" i="18"/>
  <c r="Y169" i="18"/>
  <c r="Y76" i="18"/>
  <c r="Y261" i="18"/>
  <c r="Y137" i="18"/>
  <c r="Y199" i="18"/>
  <c r="Y168" i="18"/>
  <c r="Y230" i="18"/>
  <c r="Y106" i="18"/>
  <c r="Y75" i="18"/>
  <c r="Y44" i="18"/>
  <c r="AB201" i="18"/>
  <c r="AB170" i="18"/>
  <c r="AB263" i="18"/>
  <c r="AB139" i="18"/>
  <c r="AB77" i="18"/>
  <c r="AB232" i="18"/>
  <c r="AB46" i="18"/>
  <c r="AB108" i="18"/>
  <c r="V199" i="18"/>
  <c r="V168" i="18"/>
  <c r="V261" i="18"/>
  <c r="V137" i="18"/>
  <c r="V75" i="18"/>
  <c r="V106" i="18"/>
  <c r="V44" i="18"/>
  <c r="V230" i="18"/>
  <c r="T200" i="18"/>
  <c r="T262" i="18"/>
  <c r="T138" i="18"/>
  <c r="T231" i="18"/>
  <c r="T107" i="18"/>
  <c r="T76" i="18"/>
  <c r="T45" i="18"/>
  <c r="T169" i="18"/>
  <c r="V169" i="18"/>
  <c r="V231" i="18"/>
  <c r="V200" i="18"/>
  <c r="V45" i="18"/>
  <c r="V262" i="18"/>
  <c r="V76" i="18"/>
  <c r="V138" i="18"/>
  <c r="V107" i="18"/>
  <c r="AE168" i="18"/>
  <c r="AE230" i="18"/>
  <c r="AE199" i="18"/>
  <c r="AE44" i="18"/>
  <c r="AE137" i="18"/>
  <c r="AE261" i="18"/>
  <c r="AE106" i="18"/>
  <c r="AE75" i="18"/>
  <c r="X262" i="18"/>
  <c r="X138" i="18"/>
  <c r="X200" i="18"/>
  <c r="X169" i="18"/>
  <c r="X231" i="18"/>
  <c r="X107" i="18"/>
  <c r="X76" i="18"/>
  <c r="X45" i="18"/>
  <c r="AA260" i="18"/>
  <c r="AA136" i="18"/>
  <c r="AA229" i="18"/>
  <c r="AA198" i="18"/>
  <c r="AA167" i="18"/>
  <c r="AA105" i="18"/>
  <c r="AA43" i="18"/>
  <c r="AA74" i="18"/>
  <c r="T230" i="18"/>
  <c r="T199" i="18"/>
  <c r="T168" i="18"/>
  <c r="T106" i="18"/>
  <c r="T137" i="18"/>
  <c r="T75" i="18"/>
  <c r="T44" i="18"/>
  <c r="T261" i="18"/>
  <c r="N169" i="18"/>
  <c r="N231" i="18"/>
  <c r="N200" i="18"/>
  <c r="N262" i="18"/>
  <c r="N45" i="18"/>
  <c r="N76" i="18"/>
  <c r="N138" i="18"/>
  <c r="N107" i="18"/>
  <c r="P167" i="18"/>
  <c r="P229" i="18"/>
  <c r="P198" i="18"/>
  <c r="P260" i="18"/>
  <c r="P43" i="18"/>
  <c r="P105" i="18"/>
  <c r="P136" i="18"/>
  <c r="P74" i="18"/>
  <c r="K201" i="18"/>
  <c r="K263" i="18"/>
  <c r="K139" i="18"/>
  <c r="K232" i="18"/>
  <c r="K77" i="18"/>
  <c r="K46" i="18"/>
  <c r="K108" i="18"/>
  <c r="K170" i="18"/>
  <c r="S231" i="18"/>
  <c r="S200" i="18"/>
  <c r="S169" i="18"/>
  <c r="S107" i="18"/>
  <c r="S76" i="18"/>
  <c r="S262" i="18"/>
  <c r="S45" i="18"/>
  <c r="S138" i="18"/>
  <c r="L230" i="18"/>
  <c r="L199" i="18"/>
  <c r="L168" i="18"/>
  <c r="L137" i="18"/>
  <c r="L106" i="18"/>
  <c r="L261" i="18"/>
  <c r="L75" i="18"/>
  <c r="L44" i="18"/>
  <c r="N170" i="18"/>
  <c r="N263" i="18"/>
  <c r="N139" i="18"/>
  <c r="N232" i="18"/>
  <c r="N46" i="18"/>
  <c r="N201" i="18"/>
  <c r="N108" i="18"/>
  <c r="N77" i="18"/>
  <c r="N198" i="18"/>
  <c r="N260" i="18"/>
  <c r="N136" i="18"/>
  <c r="N229" i="18"/>
  <c r="N74" i="18"/>
  <c r="N43" i="18"/>
  <c r="N167" i="18"/>
  <c r="N105" i="18"/>
  <c r="N199" i="18"/>
  <c r="N168" i="18"/>
  <c r="N261" i="18"/>
  <c r="N137" i="18"/>
  <c r="N75" i="18"/>
  <c r="N44" i="18"/>
  <c r="N106" i="18"/>
  <c r="N230" i="18"/>
  <c r="V198" i="18"/>
  <c r="V260" i="18"/>
  <c r="V136" i="18"/>
  <c r="V229" i="18"/>
  <c r="V74" i="18"/>
  <c r="V105" i="18"/>
  <c r="V167" i="18"/>
  <c r="V43" i="18"/>
  <c r="P168" i="18"/>
  <c r="P261" i="18"/>
  <c r="P137" i="18"/>
  <c r="P230" i="18"/>
  <c r="P199" i="18"/>
  <c r="P44" i="18"/>
  <c r="P106" i="18"/>
  <c r="P75" i="18"/>
  <c r="X263" i="18"/>
  <c r="X139" i="18"/>
  <c r="X232" i="18"/>
  <c r="X201" i="18"/>
  <c r="X108" i="18"/>
  <c r="X170" i="18"/>
  <c r="X46" i="18"/>
  <c r="X77" i="18"/>
  <c r="AC229" i="18"/>
  <c r="AC198" i="18"/>
  <c r="AC167" i="18"/>
  <c r="AC105" i="18"/>
  <c r="AC74" i="18"/>
  <c r="AC136" i="18"/>
  <c r="AC43" i="18"/>
  <c r="AC260" i="18"/>
  <c r="K260" i="18"/>
  <c r="K136" i="18"/>
  <c r="K229" i="18"/>
  <c r="K198" i="18"/>
  <c r="K105" i="18"/>
  <c r="K74" i="18"/>
  <c r="K43" i="18"/>
  <c r="K167" i="18"/>
  <c r="AD169" i="18"/>
  <c r="AD231" i="18"/>
  <c r="AD200" i="18"/>
  <c r="AD45" i="18"/>
  <c r="AD76" i="18"/>
  <c r="AD138" i="18"/>
  <c r="AD262" i="18"/>
  <c r="AD107" i="18"/>
  <c r="Y232" i="18"/>
  <c r="Y170" i="18"/>
  <c r="Y263" i="18"/>
  <c r="Y139" i="18"/>
  <c r="Y108" i="18"/>
  <c r="Y77" i="18"/>
  <c r="Y201" i="18"/>
  <c r="Y46" i="18"/>
  <c r="AB229" i="18"/>
  <c r="AB167" i="18"/>
  <c r="AB260" i="18"/>
  <c r="AB136" i="18"/>
  <c r="AB105" i="18"/>
  <c r="AB74" i="18"/>
  <c r="AB198" i="18"/>
  <c r="AB43" i="18"/>
  <c r="AF167" i="18"/>
  <c r="AF229" i="18"/>
  <c r="AF198" i="18"/>
  <c r="AF43" i="18"/>
  <c r="AF136" i="18"/>
  <c r="AF260" i="18"/>
  <c r="AF105" i="18"/>
  <c r="AF74" i="18"/>
  <c r="AA201" i="18"/>
  <c r="AA263" i="18"/>
  <c r="AA139" i="18"/>
  <c r="AA232" i="18"/>
  <c r="AA77" i="18"/>
  <c r="AA170" i="18"/>
  <c r="AA46" i="18"/>
  <c r="AA108" i="18"/>
  <c r="U199" i="18"/>
  <c r="U261" i="18"/>
  <c r="U137" i="18"/>
  <c r="U230" i="18"/>
  <c r="U75" i="18"/>
  <c r="U168" i="18"/>
  <c r="U44" i="18"/>
  <c r="U106" i="18"/>
  <c r="K230" i="18"/>
  <c r="K168" i="18"/>
  <c r="K261" i="18"/>
  <c r="K137" i="18"/>
  <c r="K199" i="18"/>
  <c r="K106" i="18"/>
  <c r="K75" i="18"/>
  <c r="K44" i="18"/>
  <c r="W168" i="18"/>
  <c r="W230" i="18"/>
  <c r="W199" i="18"/>
  <c r="W75" i="18"/>
  <c r="W44" i="18"/>
  <c r="W261" i="18"/>
  <c r="W137" i="18"/>
  <c r="W106" i="18"/>
  <c r="AB230" i="18"/>
  <c r="AB199" i="18"/>
  <c r="AB168" i="18"/>
  <c r="AB106" i="18"/>
  <c r="AB75" i="18"/>
  <c r="AB137" i="18"/>
  <c r="AB44" i="18"/>
  <c r="AB261" i="18"/>
  <c r="AD170" i="18"/>
  <c r="AD263" i="18"/>
  <c r="AD139" i="18"/>
  <c r="AD232" i="18"/>
  <c r="AD46" i="18"/>
  <c r="AD77" i="18"/>
  <c r="AD201" i="18"/>
  <c r="AD108" i="18"/>
  <c r="AD199" i="18"/>
  <c r="AD168" i="18"/>
  <c r="AD261" i="18"/>
  <c r="AD137" i="18"/>
  <c r="AD75" i="18"/>
  <c r="AD230" i="18"/>
  <c r="AD44" i="18"/>
  <c r="AD106" i="18"/>
  <c r="AF168" i="18"/>
  <c r="AF261" i="18"/>
  <c r="AF137" i="18"/>
  <c r="AF230" i="18"/>
  <c r="AF44" i="18"/>
  <c r="AF199" i="18"/>
  <c r="AF106" i="18"/>
  <c r="AF75" i="18"/>
  <c r="R232" i="18"/>
  <c r="R201" i="18"/>
  <c r="R170" i="18"/>
  <c r="R263" i="18"/>
  <c r="R108" i="18"/>
  <c r="R139" i="18"/>
  <c r="R77" i="18"/>
  <c r="R46" i="18"/>
  <c r="J170" i="18"/>
  <c r="J139" i="18"/>
  <c r="J108" i="18"/>
  <c r="J77" i="18"/>
  <c r="J46" i="18"/>
  <c r="J232" i="18"/>
  <c r="J263" i="18"/>
  <c r="J201" i="18"/>
  <c r="J105" i="18"/>
  <c r="J74" i="18"/>
  <c r="J43" i="18"/>
  <c r="J167" i="18"/>
  <c r="J260" i="18"/>
  <c r="J229" i="18"/>
  <c r="J198" i="18"/>
  <c r="J136" i="18"/>
  <c r="J44" i="18"/>
  <c r="J261" i="18"/>
  <c r="J230" i="18"/>
  <c r="J106" i="18"/>
  <c r="J199" i="18"/>
  <c r="J168" i="18"/>
  <c r="J137" i="18"/>
  <c r="J75" i="18"/>
  <c r="J231" i="18"/>
  <c r="J200" i="18"/>
  <c r="J169" i="18"/>
  <c r="J138" i="18"/>
  <c r="J107" i="18"/>
  <c r="J45" i="18"/>
  <c r="J76" i="18"/>
  <c r="J262" i="18"/>
  <c r="G80" i="48"/>
  <c r="AH225" i="18"/>
  <c r="AH101" i="18"/>
  <c r="AH194" i="18"/>
  <c r="AH70" i="18"/>
  <c r="AH163" i="18"/>
  <c r="AH39" i="18"/>
  <c r="AH256" i="18"/>
  <c r="AH132" i="18"/>
  <c r="K194" i="18"/>
  <c r="K225" i="18"/>
  <c r="K101" i="18"/>
  <c r="K132" i="18"/>
  <c r="K256" i="18"/>
  <c r="K70" i="18"/>
  <c r="K163" i="18"/>
  <c r="K39" i="18"/>
  <c r="Y132" i="18"/>
  <c r="Y163" i="18"/>
  <c r="Y39" i="18"/>
  <c r="Y101" i="18"/>
  <c r="Y256" i="18"/>
  <c r="Y194" i="18"/>
  <c r="Y70" i="18"/>
  <c r="Y225" i="18"/>
  <c r="M256" i="18"/>
  <c r="M39" i="18"/>
  <c r="M163" i="18"/>
  <c r="M194" i="18"/>
  <c r="M132" i="18"/>
  <c r="M225" i="18"/>
  <c r="M70" i="18"/>
  <c r="M101" i="18"/>
  <c r="Z163" i="18"/>
  <c r="Z194" i="18"/>
  <c r="Z70" i="18"/>
  <c r="Z101" i="18"/>
  <c r="Z256" i="18"/>
  <c r="Z132" i="18"/>
  <c r="Z39" i="18"/>
  <c r="Z225" i="18"/>
  <c r="AC256" i="18"/>
  <c r="AC39" i="18"/>
  <c r="AC163" i="18"/>
  <c r="AC194" i="18"/>
  <c r="AC132" i="18"/>
  <c r="AC101" i="18"/>
  <c r="AC225" i="18"/>
  <c r="AC70" i="18"/>
  <c r="R163" i="18"/>
  <c r="R194" i="18"/>
  <c r="R70" i="18"/>
  <c r="R101" i="18"/>
  <c r="R225" i="18"/>
  <c r="R39" i="18"/>
  <c r="R132" i="18"/>
  <c r="R256" i="18"/>
  <c r="W70" i="18"/>
  <c r="W101" i="18"/>
  <c r="W225" i="18"/>
  <c r="W256" i="18"/>
  <c r="W163" i="18"/>
  <c r="W194" i="18"/>
  <c r="W132" i="18"/>
  <c r="W39" i="18"/>
  <c r="L225" i="18"/>
  <c r="L256" i="18"/>
  <c r="L132" i="18"/>
  <c r="L163" i="18"/>
  <c r="L101" i="18"/>
  <c r="L194" i="18"/>
  <c r="L39" i="18"/>
  <c r="L70" i="18"/>
  <c r="S194" i="18"/>
  <c r="S225" i="18"/>
  <c r="S101" i="18"/>
  <c r="S132" i="18"/>
  <c r="S163" i="18"/>
  <c r="S70" i="18"/>
  <c r="S256" i="18"/>
  <c r="S39" i="18"/>
  <c r="AB225" i="18"/>
  <c r="AB256" i="18"/>
  <c r="AB132" i="18"/>
  <c r="AB163" i="18"/>
  <c r="AB101" i="18"/>
  <c r="AB194" i="18"/>
  <c r="AB39" i="18"/>
  <c r="AB70" i="18"/>
  <c r="O70" i="18"/>
  <c r="O101" i="18"/>
  <c r="O225" i="18"/>
  <c r="O256" i="18"/>
  <c r="O194" i="18"/>
  <c r="O132" i="18"/>
  <c r="O39" i="18"/>
  <c r="O163" i="18"/>
  <c r="Q132" i="18"/>
  <c r="Q163" i="18"/>
  <c r="Q39" i="18"/>
  <c r="Q225" i="18"/>
  <c r="Q256" i="18"/>
  <c r="Q194" i="18"/>
  <c r="Q70" i="18"/>
  <c r="Q101" i="18"/>
  <c r="P101" i="18"/>
  <c r="P132" i="18"/>
  <c r="P256" i="18"/>
  <c r="P39" i="18"/>
  <c r="P225" i="18"/>
  <c r="P194" i="18"/>
  <c r="P163" i="18"/>
  <c r="P70" i="18"/>
  <c r="AD39" i="18"/>
  <c r="AD70" i="18"/>
  <c r="AD194" i="18"/>
  <c r="AD225" i="18"/>
  <c r="AD132" i="18"/>
  <c r="AD163" i="18"/>
  <c r="AD101" i="18"/>
  <c r="AD256" i="18"/>
  <c r="AE70" i="18"/>
  <c r="AE101" i="18"/>
  <c r="AE225" i="18"/>
  <c r="AE256" i="18"/>
  <c r="AE194" i="18"/>
  <c r="AE132" i="18"/>
  <c r="AE39" i="18"/>
  <c r="AE163" i="18"/>
  <c r="AG132" i="18"/>
  <c r="AG163" i="18"/>
  <c r="AG39" i="18"/>
  <c r="AG70" i="18"/>
  <c r="AG225" i="18"/>
  <c r="AG101" i="18"/>
  <c r="AG256" i="18"/>
  <c r="AG194" i="18"/>
  <c r="T225" i="18"/>
  <c r="T256" i="18"/>
  <c r="T132" i="18"/>
  <c r="T163" i="18"/>
  <c r="T39" i="18"/>
  <c r="T70" i="18"/>
  <c r="T101" i="18"/>
  <c r="T194" i="18"/>
  <c r="U256" i="18"/>
  <c r="U39" i="18"/>
  <c r="U163" i="18"/>
  <c r="U194" i="18"/>
  <c r="U70" i="18"/>
  <c r="U132" i="18"/>
  <c r="U101" i="18"/>
  <c r="U225" i="18"/>
  <c r="N39" i="18"/>
  <c r="N70" i="18"/>
  <c r="N194" i="18"/>
  <c r="N225" i="18"/>
  <c r="N132" i="18"/>
  <c r="N163" i="18"/>
  <c r="N101" i="18"/>
  <c r="N256" i="18"/>
  <c r="AF101" i="18"/>
  <c r="AF132" i="18"/>
  <c r="AF256" i="18"/>
  <c r="AF225" i="18"/>
  <c r="AF70" i="18"/>
  <c r="AF163" i="18"/>
  <c r="AF39" i="18"/>
  <c r="AF194" i="18"/>
  <c r="AA194" i="18"/>
  <c r="AA225" i="18"/>
  <c r="AA101" i="18"/>
  <c r="AA132" i="18"/>
  <c r="AA256" i="18"/>
  <c r="AA39" i="18"/>
  <c r="AA70" i="18"/>
  <c r="AA163" i="18"/>
  <c r="V39" i="18"/>
  <c r="V70" i="18"/>
  <c r="V194" i="18"/>
  <c r="V225" i="18"/>
  <c r="V163" i="18"/>
  <c r="V101" i="18"/>
  <c r="V256" i="18"/>
  <c r="V132" i="18"/>
  <c r="X101" i="18"/>
  <c r="X132" i="18"/>
  <c r="X256" i="18"/>
  <c r="X163" i="18"/>
  <c r="X70" i="18"/>
  <c r="X194" i="18"/>
  <c r="X39" i="18"/>
  <c r="X225" i="18"/>
  <c r="J225" i="18"/>
  <c r="J101" i="18"/>
  <c r="J194" i="18"/>
  <c r="J70" i="18"/>
  <c r="J163" i="18"/>
  <c r="J39" i="18"/>
  <c r="J132" i="18"/>
  <c r="J256" i="18"/>
  <c r="AH190" i="18"/>
  <c r="AH159" i="18"/>
  <c r="AH128" i="18"/>
  <c r="AH66" i="18"/>
  <c r="AH252" i="18"/>
  <c r="AH97" i="18"/>
  <c r="AH221" i="18"/>
  <c r="AH35" i="18"/>
  <c r="AH96" i="18"/>
  <c r="AH220" i="18"/>
  <c r="AH189" i="18"/>
  <c r="AH127" i="18"/>
  <c r="AH158" i="18"/>
  <c r="AH34" i="18"/>
  <c r="AH251" i="18"/>
  <c r="AH65" i="18"/>
  <c r="AH67" i="18"/>
  <c r="AH36" i="18"/>
  <c r="AH191" i="18"/>
  <c r="AH160" i="18"/>
  <c r="AH253" i="18"/>
  <c r="AH222" i="18"/>
  <c r="AH129" i="18"/>
  <c r="AH98" i="18"/>
  <c r="I160" i="18"/>
  <c r="I67" i="18"/>
  <c r="I222" i="18"/>
  <c r="I129" i="18"/>
  <c r="I36" i="18"/>
  <c r="I191" i="18"/>
  <c r="I98" i="18"/>
  <c r="I253" i="18"/>
  <c r="I35" i="18"/>
  <c r="I252" i="18"/>
  <c r="I190" i="18"/>
  <c r="I128" i="18"/>
  <c r="I66" i="18"/>
  <c r="I97" i="18"/>
  <c r="I221" i="18"/>
  <c r="I159" i="18"/>
  <c r="I189" i="18"/>
  <c r="I65" i="18"/>
  <c r="I251" i="18"/>
  <c r="I127" i="18"/>
  <c r="I220" i="18"/>
  <c r="I96" i="18"/>
  <c r="I34" i="18"/>
  <c r="I158" i="18"/>
  <c r="AB539" i="72"/>
  <c r="T539" i="72"/>
  <c r="L539" i="72"/>
  <c r="AC539" i="72"/>
  <c r="U539" i="72"/>
  <c r="M539" i="72"/>
  <c r="AD539" i="72"/>
  <c r="V539" i="72"/>
  <c r="N539" i="72"/>
  <c r="AE539" i="72"/>
  <c r="W539" i="72"/>
  <c r="O539" i="72"/>
  <c r="AF539" i="72"/>
  <c r="X539" i="72"/>
  <c r="P539" i="72"/>
  <c r="AG539" i="72"/>
  <c r="Y539" i="72"/>
  <c r="Q539" i="72"/>
  <c r="I539" i="72"/>
  <c r="AA539" i="72"/>
  <c r="S539" i="72"/>
  <c r="Z539" i="72"/>
  <c r="R539" i="72"/>
  <c r="K539" i="72"/>
  <c r="H539" i="72"/>
  <c r="J539" i="72"/>
  <c r="AE45" i="72"/>
  <c r="W45" i="72"/>
  <c r="O45" i="72"/>
  <c r="AF45" i="72"/>
  <c r="X45" i="72"/>
  <c r="P45" i="72"/>
  <c r="H45" i="72"/>
  <c r="AG45" i="72"/>
  <c r="Y45" i="72"/>
  <c r="Q45" i="72"/>
  <c r="I45" i="72"/>
  <c r="Z45" i="72"/>
  <c r="R45" i="72"/>
  <c r="J45" i="72"/>
  <c r="AA45" i="72"/>
  <c r="S45" i="72"/>
  <c r="AB45" i="72"/>
  <c r="T45" i="72"/>
  <c r="L45" i="72"/>
  <c r="AD45" i="72"/>
  <c r="V45" i="72"/>
  <c r="N45" i="72"/>
  <c r="K45" i="72"/>
  <c r="M45" i="72"/>
  <c r="AC45" i="72"/>
  <c r="U45" i="72"/>
  <c r="AG536" i="72"/>
  <c r="Y536" i="72"/>
  <c r="Q536" i="72"/>
  <c r="I536" i="72"/>
  <c r="Z536" i="72"/>
  <c r="R536" i="72"/>
  <c r="J536" i="72"/>
  <c r="AA536" i="72"/>
  <c r="S536" i="72"/>
  <c r="K536" i="72"/>
  <c r="AB536" i="72"/>
  <c r="T536" i="72"/>
  <c r="L536" i="72"/>
  <c r="AC536" i="72"/>
  <c r="U536" i="72"/>
  <c r="AD536" i="72"/>
  <c r="V536" i="72"/>
  <c r="N536" i="72"/>
  <c r="AF536" i="72"/>
  <c r="X536" i="72"/>
  <c r="P536" i="72"/>
  <c r="M536" i="72"/>
  <c r="AE536" i="72"/>
  <c r="W536" i="72"/>
  <c r="O536" i="72"/>
  <c r="H536" i="72"/>
  <c r="AB291" i="72"/>
  <c r="T291" i="72"/>
  <c r="L291" i="72"/>
  <c r="AC291" i="72"/>
  <c r="U291" i="72"/>
  <c r="M291" i="72"/>
  <c r="AD291" i="72"/>
  <c r="V291" i="72"/>
  <c r="N291" i="72"/>
  <c r="AE291" i="72"/>
  <c r="W291" i="72"/>
  <c r="O291" i="72"/>
  <c r="AF291" i="72"/>
  <c r="X291" i="72"/>
  <c r="P291" i="72"/>
  <c r="AG291" i="72"/>
  <c r="Y291" i="72"/>
  <c r="Q291" i="72"/>
  <c r="I291" i="72"/>
  <c r="AA291" i="72"/>
  <c r="S291" i="72"/>
  <c r="J291" i="72"/>
  <c r="Z291" i="72"/>
  <c r="R291" i="72"/>
  <c r="H291" i="72"/>
  <c r="K291" i="72"/>
  <c r="AG47" i="72"/>
  <c r="Y47" i="72"/>
  <c r="Q47" i="72"/>
  <c r="I47" i="72"/>
  <c r="Z47" i="72"/>
  <c r="R47" i="72"/>
  <c r="J47" i="72"/>
  <c r="AA47" i="72"/>
  <c r="S47" i="72"/>
  <c r="K47" i="72"/>
  <c r="AB47" i="72"/>
  <c r="T47" i="72"/>
  <c r="L47" i="72"/>
  <c r="AC47" i="72"/>
  <c r="U47" i="72"/>
  <c r="AD47" i="72"/>
  <c r="V47" i="72"/>
  <c r="N47" i="72"/>
  <c r="AF47" i="72"/>
  <c r="X47" i="72"/>
  <c r="P47" i="72"/>
  <c r="AE47" i="72"/>
  <c r="W47" i="72"/>
  <c r="O47" i="72"/>
  <c r="H47" i="72"/>
  <c r="M47" i="72"/>
  <c r="AD269" i="72"/>
  <c r="V269" i="72"/>
  <c r="N269" i="72"/>
  <c r="AE269" i="72"/>
  <c r="W269" i="72"/>
  <c r="O269" i="72"/>
  <c r="AF269" i="72"/>
  <c r="X269" i="72"/>
  <c r="P269" i="72"/>
  <c r="H269" i="72"/>
  <c r="AG269" i="72"/>
  <c r="Y269" i="72"/>
  <c r="Q269" i="72"/>
  <c r="I269" i="72"/>
  <c r="Z269" i="72"/>
  <c r="R269" i="72"/>
  <c r="AA269" i="72"/>
  <c r="S269" i="72"/>
  <c r="K269" i="72"/>
  <c r="AC269" i="72"/>
  <c r="U269" i="72"/>
  <c r="M269" i="72"/>
  <c r="J269" i="72"/>
  <c r="L269" i="72"/>
  <c r="AB269" i="72"/>
  <c r="T269" i="72"/>
  <c r="Z537" i="72"/>
  <c r="R537" i="72"/>
  <c r="J537" i="72"/>
  <c r="AA537" i="72"/>
  <c r="S537" i="72"/>
  <c r="K537" i="72"/>
  <c r="AB537" i="72"/>
  <c r="T537" i="72"/>
  <c r="L537" i="72"/>
  <c r="AC537" i="72"/>
  <c r="U537" i="72"/>
  <c r="M537" i="72"/>
  <c r="AD537" i="72"/>
  <c r="V537" i="72"/>
  <c r="N537" i="72"/>
  <c r="AE537" i="72"/>
  <c r="W537" i="72"/>
  <c r="O537" i="72"/>
  <c r="AG537" i="72"/>
  <c r="Y537" i="72"/>
  <c r="Q537" i="72"/>
  <c r="H537" i="72"/>
  <c r="I537" i="72"/>
  <c r="AF537" i="72"/>
  <c r="X537" i="72"/>
  <c r="P537" i="72"/>
  <c r="AA290" i="72"/>
  <c r="S290" i="72"/>
  <c r="K290" i="72"/>
  <c r="AB290" i="72"/>
  <c r="T290" i="72"/>
  <c r="L290" i="72"/>
  <c r="AC290" i="72"/>
  <c r="U290" i="72"/>
  <c r="M290" i="72"/>
  <c r="AD290" i="72"/>
  <c r="V290" i="72"/>
  <c r="N290" i="72"/>
  <c r="AE290" i="72"/>
  <c r="W290" i="72"/>
  <c r="O290" i="72"/>
  <c r="AF290" i="72"/>
  <c r="X290" i="72"/>
  <c r="P290" i="72"/>
  <c r="H290" i="72"/>
  <c r="Z290" i="72"/>
  <c r="R290" i="72"/>
  <c r="AG290" i="72"/>
  <c r="I290" i="72"/>
  <c r="Q290" i="72"/>
  <c r="J290" i="72"/>
  <c r="Y290" i="72"/>
  <c r="Z48" i="72"/>
  <c r="R48" i="72"/>
  <c r="J48" i="72"/>
  <c r="AA48" i="72"/>
  <c r="S48" i="72"/>
  <c r="K48" i="72"/>
  <c r="AB48" i="72"/>
  <c r="T48" i="72"/>
  <c r="L48" i="72"/>
  <c r="AC48" i="72"/>
  <c r="U48" i="72"/>
  <c r="M48" i="72"/>
  <c r="AD48" i="72"/>
  <c r="V48" i="72"/>
  <c r="AE48" i="72"/>
  <c r="W48" i="72"/>
  <c r="O48" i="72"/>
  <c r="AG48" i="72"/>
  <c r="Y48" i="72"/>
  <c r="Q48" i="72"/>
  <c r="AF48" i="72"/>
  <c r="X48" i="72"/>
  <c r="P48" i="72"/>
  <c r="H48" i="72"/>
  <c r="N48" i="72"/>
  <c r="I48" i="72"/>
  <c r="AC292" i="72"/>
  <c r="U292" i="72"/>
  <c r="M292" i="72"/>
  <c r="AD292" i="72"/>
  <c r="V292" i="72"/>
  <c r="N292" i="72"/>
  <c r="AE292" i="72"/>
  <c r="W292" i="72"/>
  <c r="O292" i="72"/>
  <c r="AF292" i="72"/>
  <c r="X292" i="72"/>
  <c r="P292" i="72"/>
  <c r="AG292" i="72"/>
  <c r="Y292" i="72"/>
  <c r="Q292" i="72"/>
  <c r="Z292" i="72"/>
  <c r="R292" i="72"/>
  <c r="J292" i="72"/>
  <c r="AB292" i="72"/>
  <c r="T292" i="72"/>
  <c r="K292" i="72"/>
  <c r="H292" i="72"/>
  <c r="L292" i="72"/>
  <c r="AA292" i="72"/>
  <c r="S292" i="72"/>
  <c r="I292" i="72"/>
  <c r="AA538" i="72"/>
  <c r="S538" i="72"/>
  <c r="K538" i="72"/>
  <c r="AB538" i="72"/>
  <c r="T538" i="72"/>
  <c r="L538" i="72"/>
  <c r="AC538" i="72"/>
  <c r="U538" i="72"/>
  <c r="M538" i="72"/>
  <c r="AD538" i="72"/>
  <c r="V538" i="72"/>
  <c r="N538" i="72"/>
  <c r="AE538" i="72"/>
  <c r="W538" i="72"/>
  <c r="O538" i="72"/>
  <c r="AF538" i="72"/>
  <c r="X538" i="72"/>
  <c r="P538" i="72"/>
  <c r="H538" i="72"/>
  <c r="Z538" i="72"/>
  <c r="R538" i="72"/>
  <c r="J538" i="72"/>
  <c r="AG538" i="72"/>
  <c r="Y538" i="72"/>
  <c r="Q538" i="72"/>
  <c r="I538" i="72"/>
  <c r="AA49" i="72"/>
  <c r="S49" i="72"/>
  <c r="K49" i="72"/>
  <c r="AB49" i="72"/>
  <c r="T49" i="72"/>
  <c r="L49" i="72"/>
  <c r="AC49" i="72"/>
  <c r="U49" i="72"/>
  <c r="M49" i="72"/>
  <c r="AD49" i="72"/>
  <c r="V49" i="72"/>
  <c r="N49" i="72"/>
  <c r="AE49" i="72"/>
  <c r="W49" i="72"/>
  <c r="O49" i="72"/>
  <c r="AF49" i="72"/>
  <c r="X49" i="72"/>
  <c r="P49" i="72"/>
  <c r="H49" i="72"/>
  <c r="Z49" i="72"/>
  <c r="R49" i="72"/>
  <c r="I49" i="72"/>
  <c r="J49" i="72"/>
  <c r="AG49" i="72"/>
  <c r="Y49" i="72"/>
  <c r="Q49" i="72"/>
  <c r="AC540" i="72"/>
  <c r="U540" i="72"/>
  <c r="M540" i="72"/>
  <c r="AD540" i="72"/>
  <c r="V540" i="72"/>
  <c r="N540" i="72"/>
  <c r="AE540" i="72"/>
  <c r="W540" i="72"/>
  <c r="O540" i="72"/>
  <c r="AF540" i="72"/>
  <c r="X540" i="72"/>
  <c r="P540" i="72"/>
  <c r="H540" i="72"/>
  <c r="AG540" i="72"/>
  <c r="Y540" i="72"/>
  <c r="Q540" i="72"/>
  <c r="Z540" i="72"/>
  <c r="R540" i="72"/>
  <c r="J540" i="72"/>
  <c r="AB540" i="72"/>
  <c r="T540" i="72"/>
  <c r="L540" i="72"/>
  <c r="K540" i="72"/>
  <c r="I540" i="72"/>
  <c r="AA540" i="72"/>
  <c r="S540" i="72"/>
  <c r="AF295" i="72"/>
  <c r="X295" i="72"/>
  <c r="P295" i="72"/>
  <c r="H295" i="72"/>
  <c r="AG295" i="72"/>
  <c r="Y295" i="72"/>
  <c r="Q295" i="72"/>
  <c r="I295" i="72"/>
  <c r="Z295" i="72"/>
  <c r="R295" i="72"/>
  <c r="J295" i="72"/>
  <c r="AA295" i="72"/>
  <c r="S295" i="72"/>
  <c r="K295" i="72"/>
  <c r="AB295" i="72"/>
  <c r="T295" i="72"/>
  <c r="AC295" i="72"/>
  <c r="U295" i="72"/>
  <c r="M295" i="72"/>
  <c r="AE295" i="72"/>
  <c r="W295" i="72"/>
  <c r="O295" i="72"/>
  <c r="L295" i="72"/>
  <c r="V295" i="72"/>
  <c r="N295" i="72"/>
  <c r="AD295" i="72"/>
  <c r="AD541" i="72"/>
  <c r="V541" i="72"/>
  <c r="N541" i="72"/>
  <c r="AE541" i="72"/>
  <c r="W541" i="72"/>
  <c r="O541" i="72"/>
  <c r="AF541" i="72"/>
  <c r="X541" i="72"/>
  <c r="P541" i="72"/>
  <c r="H541" i="72"/>
  <c r="AG541" i="72"/>
  <c r="Y541" i="72"/>
  <c r="Q541" i="72"/>
  <c r="I541" i="72"/>
  <c r="Z541" i="72"/>
  <c r="R541" i="72"/>
  <c r="AA541" i="72"/>
  <c r="S541" i="72"/>
  <c r="K541" i="72"/>
  <c r="AC541" i="72"/>
  <c r="U541" i="72"/>
  <c r="M541" i="72"/>
  <c r="AB541" i="72"/>
  <c r="T541" i="72"/>
  <c r="J541" i="72"/>
  <c r="L541" i="72"/>
  <c r="AB50" i="72"/>
  <c r="T50" i="72"/>
  <c r="L50" i="72"/>
  <c r="AC50" i="72"/>
  <c r="U50" i="72"/>
  <c r="M50" i="72"/>
  <c r="AD50" i="72"/>
  <c r="V50" i="72"/>
  <c r="N50" i="72"/>
  <c r="AE50" i="72"/>
  <c r="W50" i="72"/>
  <c r="O50" i="72"/>
  <c r="AF50" i="72"/>
  <c r="X50" i="72"/>
  <c r="P50" i="72"/>
  <c r="AG50" i="72"/>
  <c r="Y50" i="72"/>
  <c r="Q50" i="72"/>
  <c r="I50" i="72"/>
  <c r="AA50" i="72"/>
  <c r="S50" i="72"/>
  <c r="J50" i="72"/>
  <c r="Z50" i="72"/>
  <c r="R50" i="72"/>
  <c r="K50" i="72"/>
  <c r="H50" i="72"/>
  <c r="AE294" i="72"/>
  <c r="W294" i="72"/>
  <c r="O294" i="72"/>
  <c r="AF294" i="72"/>
  <c r="X294" i="72"/>
  <c r="P294" i="72"/>
  <c r="H294" i="72"/>
  <c r="AG294" i="72"/>
  <c r="Y294" i="72"/>
  <c r="Q294" i="72"/>
  <c r="I294" i="72"/>
  <c r="Z294" i="72"/>
  <c r="R294" i="72"/>
  <c r="J294" i="72"/>
  <c r="AA294" i="72"/>
  <c r="S294" i="72"/>
  <c r="AB294" i="72"/>
  <c r="T294" i="72"/>
  <c r="L294" i="72"/>
  <c r="AD294" i="72"/>
  <c r="V294" i="72"/>
  <c r="N294" i="72"/>
  <c r="AC294" i="72"/>
  <c r="U294" i="72"/>
  <c r="M294" i="72"/>
  <c r="K294" i="72"/>
  <c r="AG23" i="72"/>
  <c r="Y23" i="72"/>
  <c r="Q23" i="72"/>
  <c r="I23" i="72"/>
  <c r="H23" i="72"/>
  <c r="Z23" i="72"/>
  <c r="R23" i="72"/>
  <c r="J23" i="72"/>
  <c r="AA23" i="72"/>
  <c r="S23" i="72"/>
  <c r="K23" i="72"/>
  <c r="AB23" i="72"/>
  <c r="T23" i="72"/>
  <c r="L23" i="72"/>
  <c r="AC23" i="72"/>
  <c r="U23" i="72"/>
  <c r="AD23" i="72"/>
  <c r="V23" i="72"/>
  <c r="N23" i="72"/>
  <c r="AF23" i="72"/>
  <c r="X23" i="72"/>
  <c r="P23" i="72"/>
  <c r="AE23" i="72"/>
  <c r="W23" i="72"/>
  <c r="O23" i="72"/>
  <c r="M23" i="72"/>
  <c r="AF46" i="72"/>
  <c r="X46" i="72"/>
  <c r="P46" i="72"/>
  <c r="H46" i="72"/>
  <c r="AG46" i="72"/>
  <c r="Y46" i="72"/>
  <c r="Q46" i="72"/>
  <c r="I46" i="72"/>
  <c r="Z46" i="72"/>
  <c r="R46" i="72"/>
  <c r="J46" i="72"/>
  <c r="AA46" i="72"/>
  <c r="S46" i="72"/>
  <c r="K46" i="72"/>
  <c r="AB46" i="72"/>
  <c r="T46" i="72"/>
  <c r="AC46" i="72"/>
  <c r="U46" i="72"/>
  <c r="M46" i="72"/>
  <c r="AE46" i="72"/>
  <c r="W46" i="72"/>
  <c r="O46" i="72"/>
  <c r="AD46" i="72"/>
  <c r="V46" i="72"/>
  <c r="N46" i="72"/>
  <c r="L46" i="72"/>
  <c r="AG296" i="72"/>
  <c r="Y296" i="72"/>
  <c r="Q296" i="72"/>
  <c r="I296" i="72"/>
  <c r="Z296" i="72"/>
  <c r="R296" i="72"/>
  <c r="J296" i="72"/>
  <c r="AA296" i="72"/>
  <c r="S296" i="72"/>
  <c r="K296" i="72"/>
  <c r="AB296" i="72"/>
  <c r="T296" i="72"/>
  <c r="L296" i="72"/>
  <c r="AC296" i="72"/>
  <c r="U296" i="72"/>
  <c r="AD296" i="72"/>
  <c r="V296" i="72"/>
  <c r="N296" i="72"/>
  <c r="AF296" i="72"/>
  <c r="X296" i="72"/>
  <c r="P296" i="72"/>
  <c r="M296" i="72"/>
  <c r="AE296" i="72"/>
  <c r="W296" i="72"/>
  <c r="O296" i="72"/>
  <c r="H296" i="72"/>
  <c r="AD293" i="72"/>
  <c r="V293" i="72"/>
  <c r="N293" i="72"/>
  <c r="AE293" i="72"/>
  <c r="W293" i="72"/>
  <c r="O293" i="72"/>
  <c r="AF293" i="72"/>
  <c r="X293" i="72"/>
  <c r="P293" i="72"/>
  <c r="H293" i="72"/>
  <c r="AG293" i="72"/>
  <c r="Y293" i="72"/>
  <c r="Q293" i="72"/>
  <c r="I293" i="72"/>
  <c r="Z293" i="72"/>
  <c r="R293" i="72"/>
  <c r="AA293" i="72"/>
  <c r="S293" i="72"/>
  <c r="K293" i="72"/>
  <c r="AC293" i="72"/>
  <c r="U293" i="72"/>
  <c r="M293" i="72"/>
  <c r="AB293" i="72"/>
  <c r="T293" i="72"/>
  <c r="J293" i="72"/>
  <c r="L293" i="72"/>
  <c r="AD44" i="72"/>
  <c r="V44" i="72"/>
  <c r="N44" i="72"/>
  <c r="AE44" i="72"/>
  <c r="W44" i="72"/>
  <c r="O44" i="72"/>
  <c r="AF44" i="72"/>
  <c r="X44" i="72"/>
  <c r="P44" i="72"/>
  <c r="H44" i="72"/>
  <c r="AG44" i="72"/>
  <c r="Y44" i="72"/>
  <c r="Q44" i="72"/>
  <c r="I44" i="72"/>
  <c r="Z44" i="72"/>
  <c r="R44" i="72"/>
  <c r="AA44" i="72"/>
  <c r="S44" i="72"/>
  <c r="K44" i="72"/>
  <c r="AC44" i="72"/>
  <c r="U44" i="72"/>
  <c r="M44" i="72"/>
  <c r="L44" i="72"/>
  <c r="J44" i="72"/>
  <c r="AB44" i="72"/>
  <c r="T44" i="72"/>
  <c r="AF535" i="72"/>
  <c r="X535" i="72"/>
  <c r="P535" i="72"/>
  <c r="H535" i="72"/>
  <c r="AG535" i="72"/>
  <c r="Y535" i="72"/>
  <c r="Q535" i="72"/>
  <c r="I535" i="72"/>
  <c r="Z535" i="72"/>
  <c r="R535" i="72"/>
  <c r="J535" i="72"/>
  <c r="AA535" i="72"/>
  <c r="S535" i="72"/>
  <c r="K535" i="72"/>
  <c r="AB535" i="72"/>
  <c r="T535" i="72"/>
  <c r="AC535" i="72"/>
  <c r="U535" i="72"/>
  <c r="M535" i="72"/>
  <c r="AE535" i="72"/>
  <c r="W535" i="72"/>
  <c r="O535" i="72"/>
  <c r="AD535" i="72"/>
  <c r="L535" i="72"/>
  <c r="V535" i="72"/>
  <c r="N535" i="72"/>
  <c r="AA514" i="72"/>
  <c r="S514" i="72"/>
  <c r="K514" i="72"/>
  <c r="AB514" i="72"/>
  <c r="T514" i="72"/>
  <c r="L514" i="72"/>
  <c r="AC514" i="72"/>
  <c r="U514" i="72"/>
  <c r="M514" i="72"/>
  <c r="AD514" i="72"/>
  <c r="V514" i="72"/>
  <c r="N514" i="72"/>
  <c r="AE514" i="72"/>
  <c r="W514" i="72"/>
  <c r="O514" i="72"/>
  <c r="AF514" i="72"/>
  <c r="X514" i="72"/>
  <c r="P514" i="72"/>
  <c r="H514" i="72"/>
  <c r="Z514" i="72"/>
  <c r="R514" i="72"/>
  <c r="J514" i="72"/>
  <c r="I514" i="72"/>
  <c r="Y514" i="72"/>
  <c r="AG514" i="72"/>
  <c r="Q514" i="72"/>
  <c r="K85" i="48"/>
  <c r="G84" i="48"/>
  <c r="I81" i="48"/>
  <c r="I80" i="48"/>
  <c r="K84" i="48"/>
  <c r="G77" i="48"/>
  <c r="K80" i="48"/>
  <c r="F77" i="48"/>
  <c r="G76" i="48"/>
  <c r="G75" i="48"/>
  <c r="G86" i="48"/>
  <c r="F76" i="48"/>
  <c r="K81" i="48"/>
  <c r="F75" i="48"/>
  <c r="AJ80" i="67"/>
  <c r="K54" i="48"/>
  <c r="AJ79" i="67"/>
  <c r="K53" i="48"/>
  <c r="I54" i="48"/>
  <c r="I53" i="48"/>
  <c r="H56" i="24"/>
  <c r="Q37" i="24" s="1"/>
  <c r="F35" i="16" s="1"/>
  <c r="E191" i="48" s="1"/>
  <c r="B51" i="29"/>
  <c r="BC80" i="67"/>
  <c r="BF79" i="67"/>
  <c r="BH80" i="67"/>
  <c r="AL74" i="67"/>
  <c r="BJ80" i="67"/>
  <c r="BE79" i="67"/>
  <c r="BJ79" i="67"/>
  <c r="BD79" i="67"/>
  <c r="BC79" i="67"/>
  <c r="BG79" i="67"/>
  <c r="BF80" i="67"/>
  <c r="S165" i="59"/>
  <c r="AV165" i="59" s="1"/>
  <c r="AF624" i="72" s="1"/>
  <c r="BI80" i="67"/>
  <c r="AA135" i="72"/>
  <c r="CD28" i="67"/>
  <c r="AE135" i="72"/>
  <c r="CH28" i="67"/>
  <c r="S381" i="72"/>
  <c r="BV57" i="67"/>
  <c r="J135" i="72"/>
  <c r="BM28" i="67"/>
  <c r="AE381" i="72"/>
  <c r="CH57" i="67"/>
  <c r="Y135" i="72"/>
  <c r="CB28" i="67"/>
  <c r="O135" i="72"/>
  <c r="BR28" i="67"/>
  <c r="O381" i="72"/>
  <c r="BR57" i="67"/>
  <c r="I135" i="72"/>
  <c r="BL28" i="67"/>
  <c r="AD135" i="72"/>
  <c r="CG28" i="67"/>
  <c r="AC381" i="72"/>
  <c r="CF57" i="67"/>
  <c r="N135" i="72"/>
  <c r="BQ28" i="67"/>
  <c r="N381" i="72"/>
  <c r="BQ57" i="67"/>
  <c r="T381" i="72"/>
  <c r="BW57" i="67"/>
  <c r="M381" i="72"/>
  <c r="BP57" i="67"/>
  <c r="X135" i="72"/>
  <c r="CA28" i="67"/>
  <c r="AC135" i="72"/>
  <c r="CF28" i="67"/>
  <c r="AB381" i="72"/>
  <c r="CE57" i="67"/>
  <c r="M135" i="72"/>
  <c r="BP28" i="67"/>
  <c r="L381" i="72"/>
  <c r="BO57" i="67"/>
  <c r="W135" i="72"/>
  <c r="BZ28" i="67"/>
  <c r="AB135" i="72"/>
  <c r="CE28" i="67"/>
  <c r="U381" i="72"/>
  <c r="BX57" i="67"/>
  <c r="AA381" i="72"/>
  <c r="CD57" i="67"/>
  <c r="V135" i="72"/>
  <c r="BY28" i="67"/>
  <c r="L135" i="72"/>
  <c r="BO28" i="67"/>
  <c r="P381" i="72"/>
  <c r="BS57" i="67"/>
  <c r="V381" i="72"/>
  <c r="BY57" i="67"/>
  <c r="K381" i="72"/>
  <c r="BN57" i="67"/>
  <c r="U135" i="72"/>
  <c r="BX28" i="67"/>
  <c r="W381" i="72"/>
  <c r="BZ57" i="67"/>
  <c r="Z381" i="72"/>
  <c r="CC57" i="67"/>
  <c r="T135" i="72"/>
  <c r="BW28" i="67"/>
  <c r="AD381" i="72"/>
  <c r="CG57" i="67"/>
  <c r="Z135" i="72"/>
  <c r="CC28" i="67"/>
  <c r="J381" i="72"/>
  <c r="BM57" i="67"/>
  <c r="K135" i="72"/>
  <c r="BN28" i="67"/>
  <c r="S135" i="72"/>
  <c r="BV28" i="67"/>
  <c r="H381" i="72"/>
  <c r="BK57" i="67"/>
  <c r="R135" i="72"/>
  <c r="BU28" i="67"/>
  <c r="H135" i="72"/>
  <c r="BK28" i="67"/>
  <c r="Q381" i="72"/>
  <c r="BT57" i="67"/>
  <c r="Y381" i="72"/>
  <c r="CB57" i="67"/>
  <c r="AG135" i="72"/>
  <c r="CJ28" i="67"/>
  <c r="AF381" i="72"/>
  <c r="CI57" i="67"/>
  <c r="CJ57" i="67"/>
  <c r="I381" i="72"/>
  <c r="BL57" i="67"/>
  <c r="Q135" i="72"/>
  <c r="BT28" i="67"/>
  <c r="P135" i="72"/>
  <c r="BS28" i="67"/>
  <c r="X381" i="72"/>
  <c r="CA57" i="67"/>
  <c r="AF135" i="72"/>
  <c r="CI28" i="67"/>
  <c r="R381" i="72"/>
  <c r="BU57" i="67"/>
  <c r="BG80" i="67"/>
  <c r="BE80" i="67"/>
  <c r="BI79" i="67"/>
  <c r="BH79" i="67"/>
  <c r="S99" i="59"/>
  <c r="AX99" i="59" s="1"/>
  <c r="H154" i="72" s="1"/>
  <c r="B13" i="29"/>
  <c r="B12" i="29"/>
  <c r="B11" i="29"/>
  <c r="S110" i="59"/>
  <c r="AX110" i="59" s="1"/>
  <c r="H165" i="72" s="1"/>
  <c r="S119" i="59"/>
  <c r="BC119" i="59" s="1"/>
  <c r="M391" i="72" s="1"/>
  <c r="S135" i="59"/>
  <c r="AX135" i="59" s="1"/>
  <c r="H407" i="72" s="1"/>
  <c r="S151" i="59"/>
  <c r="S168" i="59"/>
  <c r="AX168" i="59" s="1"/>
  <c r="H656" i="72" s="1"/>
  <c r="S122" i="59"/>
  <c r="S152" i="59"/>
  <c r="AX152" i="59" s="1"/>
  <c r="H640" i="72" s="1"/>
  <c r="S120" i="59"/>
  <c r="S153" i="59"/>
  <c r="AX153" i="59" s="1"/>
  <c r="H641" i="72" s="1"/>
  <c r="S169" i="59"/>
  <c r="AX169" i="59" s="1"/>
  <c r="H657" i="72" s="1"/>
  <c r="S95" i="59"/>
  <c r="S113" i="59"/>
  <c r="AX113" i="59" s="1"/>
  <c r="H168" i="72" s="1"/>
  <c r="S121" i="59"/>
  <c r="S139" i="59"/>
  <c r="AX139" i="59" s="1"/>
  <c r="H411" i="72" s="1"/>
  <c r="S154" i="59"/>
  <c r="AX154" i="59" s="1"/>
  <c r="H642" i="72" s="1"/>
  <c r="S170" i="59"/>
  <c r="AX170" i="59" s="1"/>
  <c r="H658" i="72" s="1"/>
  <c r="S96" i="59"/>
  <c r="S114" i="59"/>
  <c r="AX114" i="59" s="1"/>
  <c r="H169" i="72" s="1"/>
  <c r="S123" i="59"/>
  <c r="S155" i="59"/>
  <c r="AX155" i="59" s="1"/>
  <c r="H643" i="72" s="1"/>
  <c r="S98" i="59"/>
  <c r="S116" i="59"/>
  <c r="AX116" i="59" s="1"/>
  <c r="H171" i="72" s="1"/>
  <c r="S118" i="59"/>
  <c r="BL118" i="59" s="1"/>
  <c r="V390" i="72" s="1"/>
  <c r="S93" i="59"/>
  <c r="S97" i="59"/>
  <c r="S111" i="59"/>
  <c r="AX111" i="59" s="1"/>
  <c r="H166" i="72" s="1"/>
  <c r="S167" i="59"/>
  <c r="AX167" i="59" s="1"/>
  <c r="H655" i="72" s="1"/>
  <c r="S94" i="59"/>
  <c r="S112" i="59"/>
  <c r="AX112" i="59" s="1"/>
  <c r="H167" i="72" s="1"/>
  <c r="S101" i="59"/>
  <c r="AX101" i="59" s="1"/>
  <c r="H156" i="72" s="1"/>
  <c r="S115" i="59"/>
  <c r="AX115" i="59" s="1"/>
  <c r="H170" i="72" s="1"/>
  <c r="S92" i="59"/>
  <c r="S134" i="59"/>
  <c r="AX134" i="59" s="1"/>
  <c r="H406" i="72" s="1"/>
  <c r="S150" i="59"/>
  <c r="S171" i="59"/>
  <c r="AX171" i="59" s="1"/>
  <c r="H659" i="72" s="1"/>
  <c r="S124" i="59"/>
  <c r="S140" i="59"/>
  <c r="AX140" i="59" s="1"/>
  <c r="H412" i="72" s="1"/>
  <c r="S156" i="59"/>
  <c r="AX156" i="59" s="1"/>
  <c r="H644" i="72" s="1"/>
  <c r="S172" i="59"/>
  <c r="AX172" i="59" s="1"/>
  <c r="H660" i="72" s="1"/>
  <c r="S125" i="59"/>
  <c r="AX125" i="59" s="1"/>
  <c r="H397" i="72" s="1"/>
  <c r="S141" i="59"/>
  <c r="AX141" i="59" s="1"/>
  <c r="H413" i="72" s="1"/>
  <c r="S157" i="59"/>
  <c r="AX157" i="59" s="1"/>
  <c r="H645" i="72" s="1"/>
  <c r="S173" i="59"/>
  <c r="AX173" i="59" s="1"/>
  <c r="H661" i="72" s="1"/>
  <c r="S100" i="59"/>
  <c r="AX100" i="59" s="1"/>
  <c r="H155" i="72" s="1"/>
  <c r="S126" i="59"/>
  <c r="AX126" i="59" s="1"/>
  <c r="H398" i="72" s="1"/>
  <c r="S142" i="59"/>
  <c r="AX142" i="59" s="1"/>
  <c r="H414" i="72" s="1"/>
  <c r="S158" i="59"/>
  <c r="AX158" i="59" s="1"/>
  <c r="H646" i="72" s="1"/>
  <c r="S174" i="59"/>
  <c r="AX174" i="59" s="1"/>
  <c r="H662" i="72" s="1"/>
  <c r="S102" i="59"/>
  <c r="AX102" i="59" s="1"/>
  <c r="H157" i="72" s="1"/>
  <c r="S127" i="59"/>
  <c r="AX127" i="59" s="1"/>
  <c r="H399" i="72" s="1"/>
  <c r="S143" i="59"/>
  <c r="AX143" i="59" s="1"/>
  <c r="H415" i="72" s="1"/>
  <c r="S159" i="59"/>
  <c r="AX159" i="59" s="1"/>
  <c r="H647" i="72" s="1"/>
  <c r="S103" i="59"/>
  <c r="AX103" i="59" s="1"/>
  <c r="H158" i="72" s="1"/>
  <c r="S128" i="59"/>
  <c r="AX128" i="59" s="1"/>
  <c r="H400" i="72" s="1"/>
  <c r="S144" i="59"/>
  <c r="AX144" i="59" s="1"/>
  <c r="H416" i="72" s="1"/>
  <c r="S160" i="59"/>
  <c r="BW160" i="59" s="1"/>
  <c r="AG648" i="72" s="1"/>
  <c r="S104" i="59"/>
  <c r="AX104" i="59" s="1"/>
  <c r="H159" i="72" s="1"/>
  <c r="S129" i="59"/>
  <c r="AX129" i="59" s="1"/>
  <c r="H401" i="72" s="1"/>
  <c r="S145" i="59"/>
  <c r="AX145" i="59" s="1"/>
  <c r="H417" i="72" s="1"/>
  <c r="S161" i="59"/>
  <c r="AX161" i="59" s="1"/>
  <c r="H649" i="72" s="1"/>
  <c r="S166" i="59"/>
  <c r="AX166" i="59" s="1"/>
  <c r="H654" i="72" s="1"/>
  <c r="S88" i="59"/>
  <c r="AX88" i="59" s="1"/>
  <c r="H143" i="72" s="1"/>
  <c r="S105" i="59"/>
  <c r="AX105" i="59" s="1"/>
  <c r="H160" i="72" s="1"/>
  <c r="S130" i="59"/>
  <c r="AX130" i="59" s="1"/>
  <c r="H402" i="72" s="1"/>
  <c r="S146" i="59"/>
  <c r="BS146" i="59" s="1"/>
  <c r="AC634" i="72" s="1"/>
  <c r="S162" i="59"/>
  <c r="AX162" i="59" s="1"/>
  <c r="H650" i="72" s="1"/>
  <c r="S136" i="59"/>
  <c r="AX136" i="59" s="1"/>
  <c r="H408" i="72" s="1"/>
  <c r="S89" i="59"/>
  <c r="AY89" i="59" s="1"/>
  <c r="I144" i="72" s="1"/>
  <c r="S106" i="59"/>
  <c r="AX106" i="59" s="1"/>
  <c r="H161" i="72" s="1"/>
  <c r="S131" i="59"/>
  <c r="AX131" i="59" s="1"/>
  <c r="H403" i="72" s="1"/>
  <c r="S147" i="59"/>
  <c r="BI147" i="59" s="1"/>
  <c r="S635" i="72" s="1"/>
  <c r="S163" i="59"/>
  <c r="AX163" i="59" s="1"/>
  <c r="H651" i="72" s="1"/>
  <c r="S137" i="59"/>
  <c r="AX137" i="59" s="1"/>
  <c r="H409" i="72" s="1"/>
  <c r="S90" i="59"/>
  <c r="AY90" i="59" s="1"/>
  <c r="I145" i="72" s="1"/>
  <c r="S107" i="59"/>
  <c r="AX107" i="59" s="1"/>
  <c r="H162" i="72" s="1"/>
  <c r="S132" i="59"/>
  <c r="AX132" i="59" s="1"/>
  <c r="H404" i="72" s="1"/>
  <c r="S148" i="59"/>
  <c r="AX148" i="59" s="1"/>
  <c r="H636" i="72" s="1"/>
  <c r="S164" i="59"/>
  <c r="AX164" i="59" s="1"/>
  <c r="H652" i="72" s="1"/>
  <c r="S91" i="59"/>
  <c r="S108" i="59"/>
  <c r="AX108" i="59" s="1"/>
  <c r="H163" i="72" s="1"/>
  <c r="S117" i="59"/>
  <c r="BN117" i="59" s="1"/>
  <c r="X389" i="72" s="1"/>
  <c r="S133" i="59"/>
  <c r="AX133" i="59" s="1"/>
  <c r="H405" i="72" s="1"/>
  <c r="S149" i="59"/>
  <c r="B10" i="29"/>
  <c r="B9" i="29"/>
  <c r="B16" i="29"/>
  <c r="B25" i="29"/>
  <c r="B40" i="29"/>
  <c r="B49" i="29"/>
  <c r="B48" i="29"/>
  <c r="B8" i="29"/>
  <c r="B14" i="29"/>
  <c r="H16" i="24"/>
  <c r="H17" i="24"/>
  <c r="Q34" i="24" s="1"/>
  <c r="C83" i="24"/>
  <c r="Q27" i="24" s="1"/>
  <c r="F25" i="16" s="1"/>
  <c r="C101" i="16"/>
  <c r="C104" i="16"/>
  <c r="C139" i="16"/>
  <c r="C172" i="16"/>
  <c r="E83" i="24"/>
  <c r="D83" i="24"/>
  <c r="G83" i="24"/>
  <c r="Q25" i="24" s="1"/>
  <c r="F23" i="16" s="1"/>
  <c r="F83" i="24"/>
  <c r="H55" i="24"/>
  <c r="AT48" i="67"/>
  <c r="AU51" i="67"/>
  <c r="AU49" i="67"/>
  <c r="AU50" i="67"/>
  <c r="AM51" i="67"/>
  <c r="AO49" i="67"/>
  <c r="AN50" i="67"/>
  <c r="AO48" i="67"/>
  <c r="AV59" i="67"/>
  <c r="AU59" i="67"/>
  <c r="BJ59" i="67"/>
  <c r="AT59" i="67"/>
  <c r="BI59" i="67"/>
  <c r="AS59" i="67"/>
  <c r="BH59" i="67"/>
  <c r="AR59" i="67"/>
  <c r="BG59" i="67"/>
  <c r="AQ59" i="67"/>
  <c r="BF59" i="67"/>
  <c r="AP59" i="67"/>
  <c r="BE59" i="67"/>
  <c r="AO59" i="67"/>
  <c r="BD59" i="67"/>
  <c r="AN59" i="67"/>
  <c r="BB59" i="67"/>
  <c r="AL59" i="67"/>
  <c r="BA59" i="67"/>
  <c r="AK59" i="67"/>
  <c r="BC59" i="67"/>
  <c r="AZ59" i="67"/>
  <c r="AY59" i="67"/>
  <c r="AX59" i="67"/>
  <c r="AW59" i="67"/>
  <c r="AM59" i="67"/>
  <c r="BH61" i="67"/>
  <c r="AR61" i="67"/>
  <c r="BG61" i="67"/>
  <c r="AQ61" i="67"/>
  <c r="BF61" i="67"/>
  <c r="AP61" i="67"/>
  <c r="BE61" i="67"/>
  <c r="AO61" i="67"/>
  <c r="BD61" i="67"/>
  <c r="AN61" i="67"/>
  <c r="BC61" i="67"/>
  <c r="AM61" i="67"/>
  <c r="AY61" i="67"/>
  <c r="BB61" i="67"/>
  <c r="AL61" i="67"/>
  <c r="BA61" i="67"/>
  <c r="AK61" i="67"/>
  <c r="AZ61" i="67"/>
  <c r="AX61" i="67"/>
  <c r="AW61" i="67"/>
  <c r="AV61" i="67"/>
  <c r="AU61" i="67"/>
  <c r="BJ61" i="67"/>
  <c r="AT61" i="67"/>
  <c r="BI61" i="67"/>
  <c r="AS61" i="67"/>
  <c r="BF91" i="67"/>
  <c r="AP91" i="67"/>
  <c r="BE91" i="67"/>
  <c r="AO91" i="67"/>
  <c r="BD91" i="67"/>
  <c r="AN91" i="67"/>
  <c r="BC91" i="67"/>
  <c r="AM91" i="67"/>
  <c r="BB91" i="67"/>
  <c r="AL91" i="67"/>
  <c r="BA91" i="67"/>
  <c r="AK91" i="67"/>
  <c r="AZ91" i="67"/>
  <c r="AY91" i="67"/>
  <c r="AX91" i="67"/>
  <c r="AV91" i="67"/>
  <c r="AU91" i="67"/>
  <c r="BJ91" i="67"/>
  <c r="AT91" i="67"/>
  <c r="BI91" i="67"/>
  <c r="AS91" i="67"/>
  <c r="AW91" i="67"/>
  <c r="BH91" i="67"/>
  <c r="AR91" i="67"/>
  <c r="BG91" i="67"/>
  <c r="AQ91" i="67"/>
  <c r="AM62" i="67"/>
  <c r="BC62" i="67"/>
  <c r="AN62" i="67"/>
  <c r="BD62" i="67"/>
  <c r="AV62" i="67"/>
  <c r="AO62" i="67"/>
  <c r="BE62" i="67"/>
  <c r="AP62" i="67"/>
  <c r="BF62" i="67"/>
  <c r="AQ62" i="67"/>
  <c r="BG62" i="67"/>
  <c r="AR62" i="67"/>
  <c r="BH62" i="67"/>
  <c r="AS62" i="67"/>
  <c r="BI62" i="67"/>
  <c r="AT62" i="67"/>
  <c r="BJ62" i="67"/>
  <c r="AU62" i="67"/>
  <c r="AW62" i="67"/>
  <c r="AX62" i="67"/>
  <c r="AY62" i="67"/>
  <c r="AZ62" i="67"/>
  <c r="AK62" i="67"/>
  <c r="BA62" i="67"/>
  <c r="AL62" i="67"/>
  <c r="BB62" i="67"/>
  <c r="AV92" i="67"/>
  <c r="BC92" i="67"/>
  <c r="AU92" i="67"/>
  <c r="BJ92" i="67"/>
  <c r="AT92" i="67"/>
  <c r="BI92" i="67"/>
  <c r="AS92" i="67"/>
  <c r="BH92" i="67"/>
  <c r="AR92" i="67"/>
  <c r="AM92" i="67"/>
  <c r="BG92" i="67"/>
  <c r="AQ92" i="67"/>
  <c r="BF92" i="67"/>
  <c r="AP92" i="67"/>
  <c r="BE92" i="67"/>
  <c r="AO92" i="67"/>
  <c r="BD92" i="67"/>
  <c r="AN92" i="67"/>
  <c r="BB92" i="67"/>
  <c r="AL92" i="67"/>
  <c r="BA92" i="67"/>
  <c r="AK92" i="67"/>
  <c r="AZ92" i="67"/>
  <c r="AY92" i="67"/>
  <c r="AX92" i="67"/>
  <c r="AW92" i="67"/>
  <c r="BB87" i="67"/>
  <c r="AL87" i="67"/>
  <c r="BA87" i="67"/>
  <c r="AK87" i="67"/>
  <c r="AZ87" i="67"/>
  <c r="AY87" i="67"/>
  <c r="AX87" i="67"/>
  <c r="AW87" i="67"/>
  <c r="AS87" i="67"/>
  <c r="AV87" i="67"/>
  <c r="AU87" i="67"/>
  <c r="BJ87" i="67"/>
  <c r="AT87" i="67"/>
  <c r="BH87" i="67"/>
  <c r="AR87" i="67"/>
  <c r="BG87" i="67"/>
  <c r="AQ87" i="67"/>
  <c r="BF87" i="67"/>
  <c r="AP87" i="67"/>
  <c r="BI87" i="67"/>
  <c r="BE87" i="67"/>
  <c r="AO87" i="67"/>
  <c r="BD87" i="67"/>
  <c r="AN87" i="67"/>
  <c r="BC87" i="67"/>
  <c r="AM87" i="67"/>
  <c r="AZ90" i="67"/>
  <c r="AY90" i="67"/>
  <c r="AQ90" i="67"/>
  <c r="AX90" i="67"/>
  <c r="AW90" i="67"/>
  <c r="AV90" i="67"/>
  <c r="AU90" i="67"/>
  <c r="BJ90" i="67"/>
  <c r="AT90" i="67"/>
  <c r="BI90" i="67"/>
  <c r="AS90" i="67"/>
  <c r="BH90" i="67"/>
  <c r="AR90" i="67"/>
  <c r="BF90" i="67"/>
  <c r="AP90" i="67"/>
  <c r="BE90" i="67"/>
  <c r="AO90" i="67"/>
  <c r="BD90" i="67"/>
  <c r="AN90" i="67"/>
  <c r="BC90" i="67"/>
  <c r="AM90" i="67"/>
  <c r="BB90" i="67"/>
  <c r="AL90" i="67"/>
  <c r="BA90" i="67"/>
  <c r="AK90" i="67"/>
  <c r="BG90" i="67"/>
  <c r="AX64" i="67"/>
  <c r="AW64" i="67"/>
  <c r="AV64" i="67"/>
  <c r="AU64" i="67"/>
  <c r="BJ64" i="67"/>
  <c r="AT64" i="67"/>
  <c r="BI64" i="67"/>
  <c r="AS64" i="67"/>
  <c r="BH64" i="67"/>
  <c r="AR64" i="67"/>
  <c r="BG64" i="67"/>
  <c r="AQ64" i="67"/>
  <c r="AO64" i="67"/>
  <c r="BF64" i="67"/>
  <c r="AP64" i="67"/>
  <c r="BE64" i="67"/>
  <c r="BD64" i="67"/>
  <c r="AN64" i="67"/>
  <c r="BC64" i="67"/>
  <c r="AM64" i="67"/>
  <c r="BB64" i="67"/>
  <c r="AL64" i="67"/>
  <c r="BA64" i="67"/>
  <c r="AK64" i="67"/>
  <c r="AZ64" i="67"/>
  <c r="AY64" i="67"/>
  <c r="AV30" i="67"/>
  <c r="AW30" i="67"/>
  <c r="AX30" i="67"/>
  <c r="AY30" i="67"/>
  <c r="AO30" i="67"/>
  <c r="AZ30" i="67"/>
  <c r="BA30" i="67"/>
  <c r="BE30" i="67"/>
  <c r="AL30" i="67"/>
  <c r="BB30" i="67"/>
  <c r="AM30" i="67"/>
  <c r="BC30" i="67"/>
  <c r="AN30" i="67"/>
  <c r="BD30" i="67"/>
  <c r="AP30" i="67"/>
  <c r="BF30" i="67"/>
  <c r="AQ30" i="67"/>
  <c r="BG30" i="67"/>
  <c r="AR30" i="67"/>
  <c r="BH30" i="67"/>
  <c r="AS30" i="67"/>
  <c r="BI30" i="67"/>
  <c r="AT30" i="67"/>
  <c r="BJ30" i="67"/>
  <c r="AU30" i="67"/>
  <c r="AK30" i="67"/>
  <c r="AS63" i="67"/>
  <c r="BI63" i="67"/>
  <c r="AT63" i="67"/>
  <c r="BJ63" i="67"/>
  <c r="AU63" i="67"/>
  <c r="AL63" i="67"/>
  <c r="AV63" i="67"/>
  <c r="AW63" i="67"/>
  <c r="AX63" i="67"/>
  <c r="AY63" i="67"/>
  <c r="BB63" i="67"/>
  <c r="AZ63" i="67"/>
  <c r="AK63" i="67"/>
  <c r="BA63" i="67"/>
  <c r="AM63" i="67"/>
  <c r="BC63" i="67"/>
  <c r="AN63" i="67"/>
  <c r="BD63" i="67"/>
  <c r="AO63" i="67"/>
  <c r="BE63" i="67"/>
  <c r="AP63" i="67"/>
  <c r="BF63" i="67"/>
  <c r="AQ63" i="67"/>
  <c r="BG63" i="67"/>
  <c r="AR63" i="67"/>
  <c r="BH63" i="67"/>
  <c r="AP31" i="67"/>
  <c r="BF31" i="67"/>
  <c r="AQ31" i="67"/>
  <c r="BG31" i="67"/>
  <c r="AR31" i="67"/>
  <c r="BH31" i="67"/>
  <c r="AS31" i="67"/>
  <c r="BI31" i="67"/>
  <c r="AT31" i="67"/>
  <c r="BJ31" i="67"/>
  <c r="AU31" i="67"/>
  <c r="AK31" i="67"/>
  <c r="AV31" i="67"/>
  <c r="AW31" i="67"/>
  <c r="AX31" i="67"/>
  <c r="AZ31" i="67"/>
  <c r="BA31" i="67"/>
  <c r="AL31" i="67"/>
  <c r="BB31" i="67"/>
  <c r="AY31" i="67"/>
  <c r="AM31" i="67"/>
  <c r="BC31" i="67"/>
  <c r="AN31" i="67"/>
  <c r="BD31" i="67"/>
  <c r="AO31" i="67"/>
  <c r="BE31" i="67"/>
  <c r="BH66" i="67"/>
  <c r="AR66" i="67"/>
  <c r="BG66" i="67"/>
  <c r="AQ66" i="67"/>
  <c r="BF66" i="67"/>
  <c r="AP66" i="67"/>
  <c r="BE66" i="67"/>
  <c r="AO66" i="67"/>
  <c r="BD66" i="67"/>
  <c r="AN66" i="67"/>
  <c r="BC66" i="67"/>
  <c r="AM66" i="67"/>
  <c r="BB66" i="67"/>
  <c r="AL66" i="67"/>
  <c r="BA66" i="67"/>
  <c r="AK66" i="67"/>
  <c r="AZ66" i="67"/>
  <c r="AX66" i="67"/>
  <c r="AW66" i="67"/>
  <c r="AY66" i="67"/>
  <c r="AV66" i="67"/>
  <c r="AU66" i="67"/>
  <c r="BJ66" i="67"/>
  <c r="AT66" i="67"/>
  <c r="BI66" i="67"/>
  <c r="AS66" i="67"/>
  <c r="BJ89" i="67"/>
  <c r="AT89" i="67"/>
  <c r="BI89" i="67"/>
  <c r="AS89" i="67"/>
  <c r="BH89" i="67"/>
  <c r="AR89" i="67"/>
  <c r="BG89" i="67"/>
  <c r="AQ89" i="67"/>
  <c r="BF89" i="67"/>
  <c r="AP89" i="67"/>
  <c r="BE89" i="67"/>
  <c r="AO89" i="67"/>
  <c r="BA89" i="67"/>
  <c r="BD89" i="67"/>
  <c r="AN89" i="67"/>
  <c r="BC89" i="67"/>
  <c r="AM89" i="67"/>
  <c r="BB89" i="67"/>
  <c r="AL89" i="67"/>
  <c r="AZ89" i="67"/>
  <c r="AY89" i="67"/>
  <c r="AK89" i="67"/>
  <c r="AX89" i="67"/>
  <c r="AW89" i="67"/>
  <c r="AV89" i="67"/>
  <c r="AU89" i="67"/>
  <c r="AX32" i="67"/>
  <c r="AY32" i="67"/>
  <c r="AZ32" i="67"/>
  <c r="BA32" i="67"/>
  <c r="AL32" i="67"/>
  <c r="BB32" i="67"/>
  <c r="AM32" i="67"/>
  <c r="BC32" i="67"/>
  <c r="AN32" i="67"/>
  <c r="BD32" i="67"/>
  <c r="AO32" i="67"/>
  <c r="BE32" i="67"/>
  <c r="AP32" i="67"/>
  <c r="BF32" i="67"/>
  <c r="AR32" i="67"/>
  <c r="BH32" i="67"/>
  <c r="AS32" i="67"/>
  <c r="BI32" i="67"/>
  <c r="AK32" i="67"/>
  <c r="AQ32" i="67"/>
  <c r="AT32" i="67"/>
  <c r="BJ32" i="67"/>
  <c r="AU32" i="67"/>
  <c r="BG32" i="67"/>
  <c r="AV32" i="67"/>
  <c r="AW32" i="67"/>
  <c r="BJ37" i="67"/>
  <c r="AT37" i="67"/>
  <c r="AK37" i="67"/>
  <c r="BI37" i="67"/>
  <c r="AS37" i="67"/>
  <c r="BH37" i="67"/>
  <c r="AR37" i="67"/>
  <c r="BG37" i="67"/>
  <c r="AQ37" i="67"/>
  <c r="BF37" i="67"/>
  <c r="AP37" i="67"/>
  <c r="BE37" i="67"/>
  <c r="AO37" i="67"/>
  <c r="BD37" i="67"/>
  <c r="AN37" i="67"/>
  <c r="BC37" i="67"/>
  <c r="AM37" i="67"/>
  <c r="BB37" i="67"/>
  <c r="AL37" i="67"/>
  <c r="AZ37" i="67"/>
  <c r="AY37" i="67"/>
  <c r="AX37" i="67"/>
  <c r="AW37" i="67"/>
  <c r="AV37" i="67"/>
  <c r="AU37" i="67"/>
  <c r="BA37" i="67"/>
  <c r="AO33" i="67"/>
  <c r="BE33" i="67"/>
  <c r="AP33" i="67"/>
  <c r="BF33" i="67"/>
  <c r="AQ33" i="67"/>
  <c r="BG33" i="67"/>
  <c r="AR33" i="67"/>
  <c r="BH33" i="67"/>
  <c r="AS33" i="67"/>
  <c r="BI33" i="67"/>
  <c r="AT33" i="67"/>
  <c r="BJ33" i="67"/>
  <c r="AU33" i="67"/>
  <c r="AV33" i="67"/>
  <c r="AW33" i="67"/>
  <c r="AY33" i="67"/>
  <c r="AK33" i="67"/>
  <c r="AZ33" i="67"/>
  <c r="BA33" i="67"/>
  <c r="AL33" i="67"/>
  <c r="BB33" i="67"/>
  <c r="AM33" i="67"/>
  <c r="BC33" i="67"/>
  <c r="AX33" i="67"/>
  <c r="AN33" i="67"/>
  <c r="BD33" i="67"/>
  <c r="AV34" i="67"/>
  <c r="AW34" i="67"/>
  <c r="AO34" i="67"/>
  <c r="AX34" i="67"/>
  <c r="BE34" i="67"/>
  <c r="AY34" i="67"/>
  <c r="AZ34" i="67"/>
  <c r="BA34" i="67"/>
  <c r="AL34" i="67"/>
  <c r="BB34" i="67"/>
  <c r="AM34" i="67"/>
  <c r="BC34" i="67"/>
  <c r="AN34" i="67"/>
  <c r="BD34" i="67"/>
  <c r="AK34" i="67"/>
  <c r="AP34" i="67"/>
  <c r="BF34" i="67"/>
  <c r="AQ34" i="67"/>
  <c r="BG34" i="67"/>
  <c r="AR34" i="67"/>
  <c r="BH34" i="67"/>
  <c r="AS34" i="67"/>
  <c r="BI34" i="67"/>
  <c r="AT34" i="67"/>
  <c r="BJ34" i="67"/>
  <c r="AU34" i="67"/>
  <c r="AM35" i="67"/>
  <c r="BC35" i="67"/>
  <c r="AN35" i="67"/>
  <c r="BD35" i="67"/>
  <c r="AO35" i="67"/>
  <c r="BE35" i="67"/>
  <c r="AP35" i="67"/>
  <c r="BF35" i="67"/>
  <c r="AQ35" i="67"/>
  <c r="BG35" i="67"/>
  <c r="AV35" i="67"/>
  <c r="AR35" i="67"/>
  <c r="BH35" i="67"/>
  <c r="AS35" i="67"/>
  <c r="BI35" i="67"/>
  <c r="AT35" i="67"/>
  <c r="BJ35" i="67"/>
  <c r="AU35" i="67"/>
  <c r="AK35" i="67"/>
  <c r="AW35" i="67"/>
  <c r="AX35" i="67"/>
  <c r="AY35" i="67"/>
  <c r="AZ35" i="67"/>
  <c r="BA35" i="67"/>
  <c r="AL35" i="67"/>
  <c r="BB35" i="67"/>
  <c r="AN8" i="67"/>
  <c r="BD8" i="67"/>
  <c r="AO8" i="67"/>
  <c r="BE8" i="67"/>
  <c r="AP8" i="67"/>
  <c r="BF8" i="67"/>
  <c r="AQ8" i="67"/>
  <c r="BG8" i="67"/>
  <c r="AR8" i="67"/>
  <c r="BH8" i="67"/>
  <c r="AS8" i="67"/>
  <c r="BI8" i="67"/>
  <c r="AT8" i="67"/>
  <c r="AV8" i="67"/>
  <c r="AX8" i="67"/>
  <c r="AK8" i="67"/>
  <c r="AY8" i="67"/>
  <c r="AW8" i="67"/>
  <c r="AZ8" i="67"/>
  <c r="BJ8" i="67"/>
  <c r="BA8" i="67"/>
  <c r="AL8" i="67"/>
  <c r="BB8" i="67"/>
  <c r="AU8" i="67"/>
  <c r="AM8" i="67"/>
  <c r="BC8" i="67"/>
  <c r="BJ29" i="67"/>
  <c r="AT29" i="67"/>
  <c r="BA29" i="67"/>
  <c r="BI29" i="67"/>
  <c r="AS29" i="67"/>
  <c r="BH29" i="67"/>
  <c r="AR29" i="67"/>
  <c r="BG29" i="67"/>
  <c r="AQ29" i="67"/>
  <c r="BF29" i="67"/>
  <c r="AP29" i="67"/>
  <c r="BE29" i="67"/>
  <c r="AO29" i="67"/>
  <c r="BD29" i="67"/>
  <c r="AN29" i="67"/>
  <c r="AK29" i="67"/>
  <c r="BC29" i="67"/>
  <c r="AM29" i="67"/>
  <c r="BB29" i="67"/>
  <c r="AL29" i="67"/>
  <c r="AZ29" i="67"/>
  <c r="AY29" i="67"/>
  <c r="AX29" i="67"/>
  <c r="AW29" i="67"/>
  <c r="AV29" i="67"/>
  <c r="AU29" i="67"/>
  <c r="BB60" i="67"/>
  <c r="AL60" i="67"/>
  <c r="BA60" i="67"/>
  <c r="AK60" i="67"/>
  <c r="AZ60" i="67"/>
  <c r="AY60" i="67"/>
  <c r="AX60" i="67"/>
  <c r="AW60" i="67"/>
  <c r="AV60" i="67"/>
  <c r="AS60" i="67"/>
  <c r="AU60" i="67"/>
  <c r="BJ60" i="67"/>
  <c r="AT60" i="67"/>
  <c r="BH60" i="67"/>
  <c r="AR60" i="67"/>
  <c r="BG60" i="67"/>
  <c r="AQ60" i="67"/>
  <c r="BF60" i="67"/>
  <c r="AP60" i="67"/>
  <c r="BI60" i="67"/>
  <c r="BE60" i="67"/>
  <c r="AO60" i="67"/>
  <c r="BD60" i="67"/>
  <c r="AN60" i="67"/>
  <c r="BC60" i="67"/>
  <c r="AM60" i="67"/>
  <c r="AX93" i="67"/>
  <c r="AW93" i="67"/>
  <c r="AV93" i="67"/>
  <c r="AU93" i="67"/>
  <c r="BJ93" i="67"/>
  <c r="AT93" i="67"/>
  <c r="AO93" i="67"/>
  <c r="BI93" i="67"/>
  <c r="AS93" i="67"/>
  <c r="BH93" i="67"/>
  <c r="AR93" i="67"/>
  <c r="BG93" i="67"/>
  <c r="AQ93" i="67"/>
  <c r="BF93" i="67"/>
  <c r="AP93" i="67"/>
  <c r="BD93" i="67"/>
  <c r="AN93" i="67"/>
  <c r="BC93" i="67"/>
  <c r="AM93" i="67"/>
  <c r="BB93" i="67"/>
  <c r="AL93" i="67"/>
  <c r="BE93" i="67"/>
  <c r="BA93" i="67"/>
  <c r="AK93" i="67"/>
  <c r="AZ93" i="67"/>
  <c r="AY93" i="67"/>
  <c r="BD88" i="67"/>
  <c r="AN88" i="67"/>
  <c r="BC88" i="67"/>
  <c r="AM88" i="67"/>
  <c r="BB88" i="67"/>
  <c r="AL88" i="67"/>
  <c r="BA88" i="67"/>
  <c r="AK88" i="67"/>
  <c r="AU88" i="67"/>
  <c r="AZ88" i="67"/>
  <c r="AY88" i="67"/>
  <c r="AX88" i="67"/>
  <c r="AW88" i="67"/>
  <c r="AV88" i="67"/>
  <c r="BJ88" i="67"/>
  <c r="AT88" i="67"/>
  <c r="BI88" i="67"/>
  <c r="AS88" i="67"/>
  <c r="BH88" i="67"/>
  <c r="AR88" i="67"/>
  <c r="BG88" i="67"/>
  <c r="AQ88" i="67"/>
  <c r="BF88" i="67"/>
  <c r="AP88" i="67"/>
  <c r="BE88" i="67"/>
  <c r="AO88" i="67"/>
  <c r="BJ58" i="67"/>
  <c r="AT58" i="67"/>
  <c r="BI58" i="67"/>
  <c r="AS58" i="67"/>
  <c r="BH58" i="67"/>
  <c r="AR58" i="67"/>
  <c r="BG58" i="67"/>
  <c r="AQ58" i="67"/>
  <c r="BF58" i="67"/>
  <c r="AP58" i="67"/>
  <c r="BE58" i="67"/>
  <c r="AO58" i="67"/>
  <c r="BD58" i="67"/>
  <c r="AN58" i="67"/>
  <c r="BC58" i="67"/>
  <c r="AM58" i="67"/>
  <c r="BB58" i="67"/>
  <c r="AL58" i="67"/>
  <c r="BA58" i="67"/>
  <c r="AZ58" i="67"/>
  <c r="AY58" i="67"/>
  <c r="AX58" i="67"/>
  <c r="AW58" i="67"/>
  <c r="AV58" i="67"/>
  <c r="AK58" i="67"/>
  <c r="AU58" i="67"/>
  <c r="C142" i="16"/>
  <c r="C175" i="16"/>
  <c r="B21" i="29"/>
  <c r="B24" i="29"/>
  <c r="B23" i="29"/>
  <c r="B22" i="29"/>
  <c r="B33" i="29"/>
  <c r="B36" i="29"/>
  <c r="C171" i="16"/>
  <c r="C160" i="16"/>
  <c r="H43" i="24"/>
  <c r="Q36" i="24" s="1"/>
  <c r="F34" i="16" s="1"/>
  <c r="E186" i="48" s="1"/>
  <c r="H42" i="24"/>
  <c r="C152" i="16"/>
  <c r="C156" i="16"/>
  <c r="C127" i="16"/>
  <c r="C119" i="16"/>
  <c r="C123" i="16"/>
  <c r="C138" i="16"/>
  <c r="C100" i="16"/>
  <c r="C81" i="16"/>
  <c r="C85" i="16"/>
  <c r="C89" i="16"/>
  <c r="H53" i="62"/>
  <c r="E293" i="48" s="1"/>
  <c r="M18" i="16"/>
  <c r="M17" i="16"/>
  <c r="M16" i="16"/>
  <c r="C51" i="16"/>
  <c r="C55" i="16"/>
  <c r="C59" i="16"/>
  <c r="C63" i="16"/>
  <c r="H102" i="24"/>
  <c r="B103" i="24"/>
  <c r="B104" i="24" s="1"/>
  <c r="B105" i="24" s="1"/>
  <c r="B106" i="24" s="1"/>
  <c r="H103" i="24"/>
  <c r="H104" i="24"/>
  <c r="H105" i="24"/>
  <c r="H106" i="24"/>
  <c r="C107" i="24"/>
  <c r="D107" i="24"/>
  <c r="E107" i="24"/>
  <c r="F107" i="24"/>
  <c r="G107" i="24"/>
  <c r="C108" i="24"/>
  <c r="D108" i="24"/>
  <c r="E108" i="24"/>
  <c r="F108" i="24"/>
  <c r="G108" i="24"/>
  <c r="H24" i="24"/>
  <c r="H89" i="24"/>
  <c r="B90" i="24"/>
  <c r="B91" i="24" s="1"/>
  <c r="B92" i="24" s="1"/>
  <c r="B93" i="24" s="1"/>
  <c r="H90" i="24"/>
  <c r="H91" i="24"/>
  <c r="H92" i="24"/>
  <c r="H93" i="24"/>
  <c r="C94" i="24"/>
  <c r="D94" i="24"/>
  <c r="E94" i="24"/>
  <c r="F94" i="24"/>
  <c r="G94" i="24"/>
  <c r="C95" i="24"/>
  <c r="D95" i="24"/>
  <c r="E95" i="24"/>
  <c r="F95" i="24"/>
  <c r="G95" i="24"/>
  <c r="I35" i="61"/>
  <c r="J35" i="61"/>
  <c r="H10" i="62"/>
  <c r="H11" i="62"/>
  <c r="H14" i="62"/>
  <c r="G15" i="61" s="1"/>
  <c r="H15" i="62"/>
  <c r="H12" i="62"/>
  <c r="G11" i="61" s="1"/>
  <c r="H16" i="62"/>
  <c r="H17" i="62"/>
  <c r="H13" i="62"/>
  <c r="G12" i="61" s="1"/>
  <c r="H9" i="62"/>
  <c r="G9" i="62"/>
  <c r="F10" i="62"/>
  <c r="F11" i="62"/>
  <c r="F14" i="62"/>
  <c r="E15" i="61" s="1"/>
  <c r="F15" i="62"/>
  <c r="F12" i="62"/>
  <c r="E11" i="61" s="1"/>
  <c r="F16" i="62"/>
  <c r="F17" i="62"/>
  <c r="F13" i="62"/>
  <c r="E12" i="61" s="1"/>
  <c r="F9" i="62"/>
  <c r="E10" i="62"/>
  <c r="E11" i="62"/>
  <c r="E14" i="62"/>
  <c r="D15" i="61" s="1"/>
  <c r="E15" i="62"/>
  <c r="E12" i="62"/>
  <c r="D11" i="61" s="1"/>
  <c r="E16" i="62"/>
  <c r="E17" i="62"/>
  <c r="E13" i="62"/>
  <c r="D12" i="61" s="1"/>
  <c r="E9" i="62"/>
  <c r="AW165" i="59" l="1"/>
  <c r="AM11" i="73"/>
  <c r="AL15" i="73"/>
  <c r="AA773" i="18"/>
  <c r="AA835" i="18"/>
  <c r="AA804" i="18"/>
  <c r="AA742" i="18"/>
  <c r="AA711" i="18"/>
  <c r="AA680" i="18"/>
  <c r="AA649" i="18"/>
  <c r="AA618" i="18"/>
  <c r="AE834" i="18"/>
  <c r="AE803" i="18"/>
  <c r="AE772" i="18"/>
  <c r="AE710" i="18"/>
  <c r="AE679" i="18"/>
  <c r="AE741" i="18"/>
  <c r="AE648" i="18"/>
  <c r="AE617" i="18"/>
  <c r="AD834" i="18"/>
  <c r="AD803" i="18"/>
  <c r="AD772" i="18"/>
  <c r="AD741" i="18"/>
  <c r="AD710" i="18"/>
  <c r="AD648" i="18"/>
  <c r="AD679" i="18"/>
  <c r="AD617" i="18"/>
  <c r="AA803" i="18"/>
  <c r="AA772" i="18"/>
  <c r="AA834" i="18"/>
  <c r="AA648" i="18"/>
  <c r="AA741" i="18"/>
  <c r="AA710" i="18"/>
  <c r="AA679" i="18"/>
  <c r="AA617" i="18"/>
  <c r="AF834" i="18"/>
  <c r="AF803" i="18"/>
  <c r="AF772" i="18"/>
  <c r="AF710" i="18"/>
  <c r="AF679" i="18"/>
  <c r="AF741" i="18"/>
  <c r="AF648" i="18"/>
  <c r="AF617" i="18"/>
  <c r="AB772" i="18"/>
  <c r="AB834" i="18"/>
  <c r="AB648" i="18"/>
  <c r="AB741" i="18"/>
  <c r="AB710" i="18"/>
  <c r="AB679" i="18"/>
  <c r="AB617" i="18"/>
  <c r="AB803" i="18"/>
  <c r="AG834" i="18"/>
  <c r="AG803" i="18"/>
  <c r="AG772" i="18"/>
  <c r="AG679" i="18"/>
  <c r="AG648" i="18"/>
  <c r="AG741" i="18"/>
  <c r="AG710" i="18"/>
  <c r="AG617" i="18"/>
  <c r="AH803" i="18"/>
  <c r="AH772" i="18"/>
  <c r="AH679" i="18"/>
  <c r="AH741" i="18"/>
  <c r="AH710" i="18"/>
  <c r="AH834" i="18"/>
  <c r="AH648" i="18"/>
  <c r="AH617" i="18"/>
  <c r="AC835" i="18"/>
  <c r="AC804" i="18"/>
  <c r="AC773" i="18"/>
  <c r="AC711" i="18"/>
  <c r="AC680" i="18"/>
  <c r="AC742" i="18"/>
  <c r="AC649" i="18"/>
  <c r="AC618" i="18"/>
  <c r="AC772" i="18"/>
  <c r="AC834" i="18"/>
  <c r="AC803" i="18"/>
  <c r="AC741" i="18"/>
  <c r="AC710" i="18"/>
  <c r="AC679" i="18"/>
  <c r="AC617" i="18"/>
  <c r="AC648" i="18"/>
  <c r="AE835" i="18"/>
  <c r="AE804" i="18"/>
  <c r="AE773" i="18"/>
  <c r="AE680" i="18"/>
  <c r="AE649" i="18"/>
  <c r="AE742" i="18"/>
  <c r="AE618" i="18"/>
  <c r="AE711" i="18"/>
  <c r="AG804" i="18"/>
  <c r="AG773" i="18"/>
  <c r="AG835" i="18"/>
  <c r="AG649" i="18"/>
  <c r="AG742" i="18"/>
  <c r="AG618" i="18"/>
  <c r="AG711" i="18"/>
  <c r="AG680" i="18"/>
  <c r="AH773" i="18"/>
  <c r="AH835" i="18"/>
  <c r="AH649" i="18"/>
  <c r="AH742" i="18"/>
  <c r="AH804" i="18"/>
  <c r="AH711" i="18"/>
  <c r="AH680" i="18"/>
  <c r="AH618" i="18"/>
  <c r="AD835" i="18"/>
  <c r="AD804" i="18"/>
  <c r="AD773" i="18"/>
  <c r="AD711" i="18"/>
  <c r="AD680" i="18"/>
  <c r="AD742" i="18"/>
  <c r="AD618" i="18"/>
  <c r="AD649" i="18"/>
  <c r="AF804" i="18"/>
  <c r="AF773" i="18"/>
  <c r="AF680" i="18"/>
  <c r="AF835" i="18"/>
  <c r="AF742" i="18"/>
  <c r="AF711" i="18"/>
  <c r="AF618" i="18"/>
  <c r="AF649" i="18"/>
  <c r="AB835" i="18"/>
  <c r="AB804" i="18"/>
  <c r="AB742" i="18"/>
  <c r="AB711" i="18"/>
  <c r="AB680" i="18"/>
  <c r="AB773" i="18"/>
  <c r="AB649" i="18"/>
  <c r="AB618" i="18"/>
  <c r="J674" i="18"/>
  <c r="J767" i="18"/>
  <c r="J612" i="18"/>
  <c r="J705" i="18"/>
  <c r="J798" i="18"/>
  <c r="J643" i="18"/>
  <c r="J736" i="18"/>
  <c r="J829" i="18"/>
  <c r="S549" i="18"/>
  <c r="S487" i="18"/>
  <c r="S518" i="18"/>
  <c r="S394" i="18"/>
  <c r="S425" i="18"/>
  <c r="S456" i="18"/>
  <c r="S332" i="18"/>
  <c r="S363" i="18"/>
  <c r="S548" i="18"/>
  <c r="S486" i="18"/>
  <c r="S517" i="18"/>
  <c r="S455" i="18"/>
  <c r="S362" i="18"/>
  <c r="S424" i="18"/>
  <c r="S331" i="18"/>
  <c r="S393" i="18"/>
  <c r="S516" i="18"/>
  <c r="S547" i="18"/>
  <c r="S454" i="18"/>
  <c r="S485" i="18"/>
  <c r="S392" i="18"/>
  <c r="S423" i="18"/>
  <c r="S330" i="18"/>
  <c r="S361" i="18"/>
  <c r="M546" i="18"/>
  <c r="M422" i="18"/>
  <c r="M453" i="18"/>
  <c r="M515" i="18"/>
  <c r="M391" i="18"/>
  <c r="M484" i="18"/>
  <c r="M360" i="18"/>
  <c r="M329" i="18"/>
  <c r="L486" i="18"/>
  <c r="L362" i="18"/>
  <c r="L455" i="18"/>
  <c r="L331" i="18"/>
  <c r="L548" i="18"/>
  <c r="L424" i="18"/>
  <c r="L517" i="18"/>
  <c r="L393" i="18"/>
  <c r="M516" i="18"/>
  <c r="M392" i="18"/>
  <c r="M547" i="18"/>
  <c r="M485" i="18"/>
  <c r="M361" i="18"/>
  <c r="M454" i="18"/>
  <c r="M330" i="18"/>
  <c r="M423" i="18"/>
  <c r="K487" i="18"/>
  <c r="K363" i="18"/>
  <c r="K456" i="18"/>
  <c r="K332" i="18"/>
  <c r="K518" i="18"/>
  <c r="K549" i="18"/>
  <c r="K425" i="18"/>
  <c r="K394" i="18"/>
  <c r="T812" i="18"/>
  <c r="T781" i="18"/>
  <c r="T843" i="18"/>
  <c r="T750" i="18"/>
  <c r="T719" i="18"/>
  <c r="T688" i="18"/>
  <c r="T626" i="18"/>
  <c r="T657" i="18"/>
  <c r="K527" i="18"/>
  <c r="K496" i="18"/>
  <c r="K558" i="18"/>
  <c r="K434" i="18"/>
  <c r="K403" i="18"/>
  <c r="K372" i="18"/>
  <c r="K465" i="18"/>
  <c r="K341" i="18"/>
  <c r="T249" i="18"/>
  <c r="T218" i="18"/>
  <c r="T156" i="18"/>
  <c r="T125" i="18"/>
  <c r="T187" i="18"/>
  <c r="T63" i="18"/>
  <c r="T32" i="18"/>
  <c r="T94" i="18"/>
  <c r="Z244" i="18"/>
  <c r="Z151" i="18"/>
  <c r="Z120" i="18"/>
  <c r="Z213" i="18"/>
  <c r="Z182" i="18"/>
  <c r="Z275" i="18"/>
  <c r="Z89" i="18"/>
  <c r="Z58" i="18"/>
  <c r="AD274" i="18"/>
  <c r="AD243" i="18"/>
  <c r="AD212" i="18"/>
  <c r="AD119" i="18"/>
  <c r="AD88" i="18"/>
  <c r="AD181" i="18"/>
  <c r="AD150" i="18"/>
  <c r="AD57" i="18"/>
  <c r="S844" i="18"/>
  <c r="S813" i="18"/>
  <c r="S782" i="18"/>
  <c r="S689" i="18"/>
  <c r="S751" i="18"/>
  <c r="S720" i="18"/>
  <c r="S658" i="18"/>
  <c r="S627" i="18"/>
  <c r="K821" i="18"/>
  <c r="K790" i="18"/>
  <c r="K728" i="18"/>
  <c r="K666" i="18"/>
  <c r="K635" i="18"/>
  <c r="K759" i="18"/>
  <c r="K697" i="18"/>
  <c r="K604" i="18"/>
  <c r="AE499" i="18"/>
  <c r="AE468" i="18"/>
  <c r="AE561" i="18"/>
  <c r="AE530" i="18"/>
  <c r="AE437" i="18"/>
  <c r="AE406" i="18"/>
  <c r="AE344" i="18"/>
  <c r="AE375" i="18"/>
  <c r="U271" i="18"/>
  <c r="U85" i="18"/>
  <c r="U209" i="18"/>
  <c r="U178" i="18"/>
  <c r="U147" i="18"/>
  <c r="U240" i="18"/>
  <c r="U54" i="18"/>
  <c r="U116" i="18"/>
  <c r="Z845" i="18"/>
  <c r="Z814" i="18"/>
  <c r="Z783" i="18"/>
  <c r="Z752" i="18"/>
  <c r="Z690" i="18"/>
  <c r="Z659" i="18"/>
  <c r="Z721" i="18"/>
  <c r="Z628" i="18"/>
  <c r="K816" i="18"/>
  <c r="K847" i="18"/>
  <c r="K754" i="18"/>
  <c r="K692" i="18"/>
  <c r="K723" i="18"/>
  <c r="K785" i="18"/>
  <c r="K661" i="18"/>
  <c r="K630" i="18"/>
  <c r="AB560" i="18"/>
  <c r="AB498" i="18"/>
  <c r="AB405" i="18"/>
  <c r="AB374" i="18"/>
  <c r="AB467" i="18"/>
  <c r="AB529" i="18"/>
  <c r="AB436" i="18"/>
  <c r="AB343" i="18"/>
  <c r="R497" i="18"/>
  <c r="R559" i="18"/>
  <c r="R435" i="18"/>
  <c r="R528" i="18"/>
  <c r="R466" i="18"/>
  <c r="R373" i="18"/>
  <c r="R342" i="18"/>
  <c r="R404" i="18"/>
  <c r="O495" i="18"/>
  <c r="O464" i="18"/>
  <c r="O557" i="18"/>
  <c r="O433" i="18"/>
  <c r="O402" i="18"/>
  <c r="O340" i="18"/>
  <c r="O526" i="18"/>
  <c r="O371" i="18"/>
  <c r="Y494" i="18"/>
  <c r="Y463" i="18"/>
  <c r="Y556" i="18"/>
  <c r="Y432" i="18"/>
  <c r="Y401" i="18"/>
  <c r="Y339" i="18"/>
  <c r="Y525" i="18"/>
  <c r="Y370" i="18"/>
  <c r="AC556" i="18"/>
  <c r="AC525" i="18"/>
  <c r="AC494" i="18"/>
  <c r="AC463" i="18"/>
  <c r="AC370" i="18"/>
  <c r="AC432" i="18"/>
  <c r="AC339" i="18"/>
  <c r="AC401" i="18"/>
  <c r="AG494" i="18"/>
  <c r="AG463" i="18"/>
  <c r="AG556" i="18"/>
  <c r="AG432" i="18"/>
  <c r="AG525" i="18"/>
  <c r="AG401" i="18"/>
  <c r="AG339" i="18"/>
  <c r="AG370" i="18"/>
  <c r="AE843" i="18"/>
  <c r="AE812" i="18"/>
  <c r="AE750" i="18"/>
  <c r="AE781" i="18"/>
  <c r="AE719" i="18"/>
  <c r="AE688" i="18"/>
  <c r="AE657" i="18"/>
  <c r="AE626" i="18"/>
  <c r="U843" i="18"/>
  <c r="U812" i="18"/>
  <c r="U781" i="18"/>
  <c r="U719" i="18"/>
  <c r="U688" i="18"/>
  <c r="U750" i="18"/>
  <c r="U626" i="18"/>
  <c r="U657" i="18"/>
  <c r="Z843" i="18"/>
  <c r="Z812" i="18"/>
  <c r="Z781" i="18"/>
  <c r="Z750" i="18"/>
  <c r="Z719" i="18"/>
  <c r="Z688" i="18"/>
  <c r="Z657" i="18"/>
  <c r="Z626" i="18"/>
  <c r="Y848" i="18"/>
  <c r="Y755" i="18"/>
  <c r="Y786" i="18"/>
  <c r="Y817" i="18"/>
  <c r="Y724" i="18"/>
  <c r="Y693" i="18"/>
  <c r="Y662" i="18"/>
  <c r="Y631" i="18"/>
  <c r="N817" i="18"/>
  <c r="N786" i="18"/>
  <c r="N662" i="18"/>
  <c r="N848" i="18"/>
  <c r="N755" i="18"/>
  <c r="N724" i="18"/>
  <c r="N693" i="18"/>
  <c r="N631" i="18"/>
  <c r="M848" i="18"/>
  <c r="M817" i="18"/>
  <c r="M755" i="18"/>
  <c r="M786" i="18"/>
  <c r="M693" i="18"/>
  <c r="M662" i="18"/>
  <c r="M724" i="18"/>
  <c r="M631" i="18"/>
  <c r="AA527" i="18"/>
  <c r="AA496" i="18"/>
  <c r="AA558" i="18"/>
  <c r="AA465" i="18"/>
  <c r="AA434" i="18"/>
  <c r="AA403" i="18"/>
  <c r="AA341" i="18"/>
  <c r="AA372" i="18"/>
  <c r="O465" i="18"/>
  <c r="O558" i="18"/>
  <c r="O403" i="18"/>
  <c r="O527" i="18"/>
  <c r="O372" i="18"/>
  <c r="O496" i="18"/>
  <c r="O341" i="18"/>
  <c r="O434" i="18"/>
  <c r="T496" i="18"/>
  <c r="T558" i="18"/>
  <c r="T527" i="18"/>
  <c r="T465" i="18"/>
  <c r="T434" i="18"/>
  <c r="T372" i="18"/>
  <c r="T403" i="18"/>
  <c r="T341" i="18"/>
  <c r="Z527" i="18"/>
  <c r="Z341" i="18"/>
  <c r="Z465" i="18"/>
  <c r="Z434" i="18"/>
  <c r="Z558" i="18"/>
  <c r="Z403" i="18"/>
  <c r="Z496" i="18"/>
  <c r="Z372" i="18"/>
  <c r="Z270" i="18"/>
  <c r="Z239" i="18"/>
  <c r="Z177" i="18"/>
  <c r="Z146" i="18"/>
  <c r="Z208" i="18"/>
  <c r="Z115" i="18"/>
  <c r="Z53" i="18"/>
  <c r="Z84" i="18"/>
  <c r="N239" i="18"/>
  <c r="N270" i="18"/>
  <c r="N115" i="18"/>
  <c r="N208" i="18"/>
  <c r="N84" i="18"/>
  <c r="N177" i="18"/>
  <c r="N146" i="18"/>
  <c r="N53" i="18"/>
  <c r="Y177" i="18"/>
  <c r="Y239" i="18"/>
  <c r="Y146" i="18"/>
  <c r="Y115" i="18"/>
  <c r="Y270" i="18"/>
  <c r="Y208" i="18"/>
  <c r="Y84" i="18"/>
  <c r="Y53" i="18"/>
  <c r="Y187" i="18"/>
  <c r="Y63" i="18"/>
  <c r="Y156" i="18"/>
  <c r="Y218" i="18"/>
  <c r="Y125" i="18"/>
  <c r="Y94" i="18"/>
  <c r="Y249" i="18"/>
  <c r="Y32" i="18"/>
  <c r="R249" i="18"/>
  <c r="R187" i="18"/>
  <c r="R218" i="18"/>
  <c r="R156" i="18"/>
  <c r="R94" i="18"/>
  <c r="R63" i="18"/>
  <c r="R32" i="18"/>
  <c r="R125" i="18"/>
  <c r="N249" i="18"/>
  <c r="N218" i="18"/>
  <c r="N125" i="18"/>
  <c r="N94" i="18"/>
  <c r="N187" i="18"/>
  <c r="N156" i="18"/>
  <c r="N32" i="18"/>
  <c r="N63" i="18"/>
  <c r="X276" i="18"/>
  <c r="X245" i="18"/>
  <c r="X152" i="18"/>
  <c r="X121" i="18"/>
  <c r="X214" i="18"/>
  <c r="X183" i="18"/>
  <c r="X59" i="18"/>
  <c r="X90" i="18"/>
  <c r="AG276" i="18"/>
  <c r="AG121" i="18"/>
  <c r="AG245" i="18"/>
  <c r="AG90" i="18"/>
  <c r="AG214" i="18"/>
  <c r="AG183" i="18"/>
  <c r="AG59" i="18"/>
  <c r="AG152" i="18"/>
  <c r="N276" i="18"/>
  <c r="N245" i="18"/>
  <c r="N183" i="18"/>
  <c r="N152" i="18"/>
  <c r="N214" i="18"/>
  <c r="N90" i="18"/>
  <c r="N121" i="18"/>
  <c r="N59" i="18"/>
  <c r="G99" i="48"/>
  <c r="AH244" i="18"/>
  <c r="AH275" i="18"/>
  <c r="AH151" i="18"/>
  <c r="AH120" i="18"/>
  <c r="AH182" i="18"/>
  <c r="AH89" i="18"/>
  <c r="AH213" i="18"/>
  <c r="AH58" i="18"/>
  <c r="AD275" i="18"/>
  <c r="AD213" i="18"/>
  <c r="AD244" i="18"/>
  <c r="AD89" i="18"/>
  <c r="AD182" i="18"/>
  <c r="AD58" i="18"/>
  <c r="AD120" i="18"/>
  <c r="AD151" i="18"/>
  <c r="J244" i="18"/>
  <c r="J151" i="18"/>
  <c r="J213" i="18"/>
  <c r="J275" i="18"/>
  <c r="J120" i="18"/>
  <c r="J182" i="18"/>
  <c r="J58" i="18"/>
  <c r="J89" i="18"/>
  <c r="T244" i="18"/>
  <c r="T275" i="18"/>
  <c r="T213" i="18"/>
  <c r="T120" i="18"/>
  <c r="T89" i="18"/>
  <c r="T182" i="18"/>
  <c r="T151" i="18"/>
  <c r="T58" i="18"/>
  <c r="Y181" i="18"/>
  <c r="Y57" i="18"/>
  <c r="Y243" i="18"/>
  <c r="Y212" i="18"/>
  <c r="Y150" i="18"/>
  <c r="Y274" i="18"/>
  <c r="Y119" i="18"/>
  <c r="Y88" i="18"/>
  <c r="R243" i="18"/>
  <c r="R181" i="18"/>
  <c r="R150" i="18"/>
  <c r="R274" i="18"/>
  <c r="R88" i="18"/>
  <c r="R212" i="18"/>
  <c r="R57" i="18"/>
  <c r="R119" i="18"/>
  <c r="N243" i="18"/>
  <c r="N212" i="18"/>
  <c r="N274" i="18"/>
  <c r="N119" i="18"/>
  <c r="N88" i="18"/>
  <c r="N181" i="18"/>
  <c r="N150" i="18"/>
  <c r="N57" i="18"/>
  <c r="W535" i="18"/>
  <c r="W504" i="18"/>
  <c r="W473" i="18"/>
  <c r="W442" i="18"/>
  <c r="W411" i="18"/>
  <c r="W318" i="18"/>
  <c r="W349" i="18"/>
  <c r="W380" i="18"/>
  <c r="M535" i="18"/>
  <c r="M380" i="18"/>
  <c r="M504" i="18"/>
  <c r="M473" i="18"/>
  <c r="M442" i="18"/>
  <c r="M349" i="18"/>
  <c r="M318" i="18"/>
  <c r="M411" i="18"/>
  <c r="Q504" i="18"/>
  <c r="Q473" i="18"/>
  <c r="Q535" i="18"/>
  <c r="Q442" i="18"/>
  <c r="Q411" i="18"/>
  <c r="Q380" i="18"/>
  <c r="Q349" i="18"/>
  <c r="Q318" i="18"/>
  <c r="S180" i="18"/>
  <c r="S56" i="18"/>
  <c r="S211" i="18"/>
  <c r="S149" i="18"/>
  <c r="S273" i="18"/>
  <c r="S118" i="18"/>
  <c r="S242" i="18"/>
  <c r="S87" i="18"/>
  <c r="P242" i="18"/>
  <c r="P211" i="18"/>
  <c r="P273" i="18"/>
  <c r="P118" i="18"/>
  <c r="P87" i="18"/>
  <c r="P180" i="18"/>
  <c r="P149" i="18"/>
  <c r="P56" i="18"/>
  <c r="K211" i="18"/>
  <c r="K180" i="18"/>
  <c r="K56" i="18"/>
  <c r="K242" i="18"/>
  <c r="K149" i="18"/>
  <c r="K118" i="18"/>
  <c r="K273" i="18"/>
  <c r="K87" i="18"/>
  <c r="T844" i="18"/>
  <c r="T813" i="18"/>
  <c r="T751" i="18"/>
  <c r="T782" i="18"/>
  <c r="T689" i="18"/>
  <c r="T720" i="18"/>
  <c r="T658" i="18"/>
  <c r="T627" i="18"/>
  <c r="K844" i="18"/>
  <c r="K813" i="18"/>
  <c r="K782" i="18"/>
  <c r="K689" i="18"/>
  <c r="K720" i="18"/>
  <c r="K751" i="18"/>
  <c r="K627" i="18"/>
  <c r="K658" i="18"/>
  <c r="AD844" i="18"/>
  <c r="AD813" i="18"/>
  <c r="AD782" i="18"/>
  <c r="AD658" i="18"/>
  <c r="AD720" i="18"/>
  <c r="AD627" i="18"/>
  <c r="AD751" i="18"/>
  <c r="AD689" i="18"/>
  <c r="AH813" i="18"/>
  <c r="AH782" i="18"/>
  <c r="AH844" i="18"/>
  <c r="AH751" i="18"/>
  <c r="AH689" i="18"/>
  <c r="AH720" i="18"/>
  <c r="AH658" i="18"/>
  <c r="AH627" i="18"/>
  <c r="U821" i="18"/>
  <c r="U790" i="18"/>
  <c r="U759" i="18"/>
  <c r="U697" i="18"/>
  <c r="U604" i="18"/>
  <c r="U728" i="18"/>
  <c r="U666" i="18"/>
  <c r="U635" i="18"/>
  <c r="AA821" i="18"/>
  <c r="AA790" i="18"/>
  <c r="AA728" i="18"/>
  <c r="AA666" i="18"/>
  <c r="AA635" i="18"/>
  <c r="AA697" i="18"/>
  <c r="AA604" i="18"/>
  <c r="AA759" i="18"/>
  <c r="AE790" i="18"/>
  <c r="AE759" i="18"/>
  <c r="AE821" i="18"/>
  <c r="AE697" i="18"/>
  <c r="AE728" i="18"/>
  <c r="AE666" i="18"/>
  <c r="AE635" i="18"/>
  <c r="AE604" i="18"/>
  <c r="K86" i="18"/>
  <c r="K179" i="18"/>
  <c r="K241" i="18"/>
  <c r="K272" i="18"/>
  <c r="K210" i="18"/>
  <c r="K148" i="18"/>
  <c r="K55" i="18"/>
  <c r="K117" i="18"/>
  <c r="T210" i="18"/>
  <c r="T272" i="18"/>
  <c r="T86" i="18"/>
  <c r="T179" i="18"/>
  <c r="T55" i="18"/>
  <c r="T241" i="18"/>
  <c r="T117" i="18"/>
  <c r="T148" i="18"/>
  <c r="P272" i="18"/>
  <c r="P241" i="18"/>
  <c r="P148" i="18"/>
  <c r="P210" i="18"/>
  <c r="P117" i="18"/>
  <c r="P179" i="18"/>
  <c r="P86" i="18"/>
  <c r="P55" i="18"/>
  <c r="O499" i="18"/>
  <c r="O468" i="18"/>
  <c r="O561" i="18"/>
  <c r="O530" i="18"/>
  <c r="O437" i="18"/>
  <c r="O406" i="18"/>
  <c r="O375" i="18"/>
  <c r="O344" i="18"/>
  <c r="K561" i="18"/>
  <c r="K530" i="18"/>
  <c r="K499" i="18"/>
  <c r="K375" i="18"/>
  <c r="K468" i="18"/>
  <c r="K437" i="18"/>
  <c r="K344" i="18"/>
  <c r="K406" i="18"/>
  <c r="T530" i="18"/>
  <c r="T344" i="18"/>
  <c r="T499" i="18"/>
  <c r="T561" i="18"/>
  <c r="T437" i="18"/>
  <c r="T468" i="18"/>
  <c r="T406" i="18"/>
  <c r="T375" i="18"/>
  <c r="S271" i="18"/>
  <c r="S116" i="18"/>
  <c r="S85" i="18"/>
  <c r="S209" i="18"/>
  <c r="S178" i="18"/>
  <c r="S240" i="18"/>
  <c r="S147" i="18"/>
  <c r="S54" i="18"/>
  <c r="O240" i="18"/>
  <c r="O209" i="18"/>
  <c r="O178" i="18"/>
  <c r="O271" i="18"/>
  <c r="O147" i="18"/>
  <c r="O116" i="18"/>
  <c r="O54" i="18"/>
  <c r="O85" i="18"/>
  <c r="J271" i="18"/>
  <c r="J240" i="18"/>
  <c r="J147" i="18"/>
  <c r="J116" i="18"/>
  <c r="J209" i="18"/>
  <c r="J178" i="18"/>
  <c r="J54" i="18"/>
  <c r="J85" i="18"/>
  <c r="T240" i="18"/>
  <c r="T271" i="18"/>
  <c r="T116" i="18"/>
  <c r="T85" i="18"/>
  <c r="T209" i="18"/>
  <c r="T178" i="18"/>
  <c r="T147" i="18"/>
  <c r="T54" i="18"/>
  <c r="AA531" i="18"/>
  <c r="AA500" i="18"/>
  <c r="AA562" i="18"/>
  <c r="AA438" i="18"/>
  <c r="AA469" i="18"/>
  <c r="AA407" i="18"/>
  <c r="AA376" i="18"/>
  <c r="AA345" i="18"/>
  <c r="AE469" i="18"/>
  <c r="AE562" i="18"/>
  <c r="AE500" i="18"/>
  <c r="AE407" i="18"/>
  <c r="AE531" i="18"/>
  <c r="AE376" i="18"/>
  <c r="AE438" i="18"/>
  <c r="AE345" i="18"/>
  <c r="T500" i="18"/>
  <c r="T562" i="18"/>
  <c r="T469" i="18"/>
  <c r="T438" i="18"/>
  <c r="T531" i="18"/>
  <c r="T376" i="18"/>
  <c r="T407" i="18"/>
  <c r="T345" i="18"/>
  <c r="K845" i="18"/>
  <c r="K814" i="18"/>
  <c r="K752" i="18"/>
  <c r="K783" i="18"/>
  <c r="K690" i="18"/>
  <c r="K659" i="18"/>
  <c r="K721" i="18"/>
  <c r="K628" i="18"/>
  <c r="P814" i="18"/>
  <c r="P783" i="18"/>
  <c r="P845" i="18"/>
  <c r="P752" i="18"/>
  <c r="P721" i="18"/>
  <c r="P690" i="18"/>
  <c r="P628" i="18"/>
  <c r="P659" i="18"/>
  <c r="U814" i="18"/>
  <c r="U721" i="18"/>
  <c r="U783" i="18"/>
  <c r="U845" i="18"/>
  <c r="U752" i="18"/>
  <c r="U659" i="18"/>
  <c r="U628" i="18"/>
  <c r="U690" i="18"/>
  <c r="AB842" i="18"/>
  <c r="AB811" i="18"/>
  <c r="AB780" i="18"/>
  <c r="AB749" i="18"/>
  <c r="AB718" i="18"/>
  <c r="AB687" i="18"/>
  <c r="AB656" i="18"/>
  <c r="AB625" i="18"/>
  <c r="P842" i="18"/>
  <c r="P811" i="18"/>
  <c r="P780" i="18"/>
  <c r="P749" i="18"/>
  <c r="P687" i="18"/>
  <c r="P718" i="18"/>
  <c r="P625" i="18"/>
  <c r="P656" i="18"/>
  <c r="V811" i="18"/>
  <c r="V842" i="18"/>
  <c r="V780" i="18"/>
  <c r="V749" i="18"/>
  <c r="V718" i="18"/>
  <c r="V687" i="18"/>
  <c r="V656" i="18"/>
  <c r="V625" i="18"/>
  <c r="V847" i="18"/>
  <c r="V785" i="18"/>
  <c r="V816" i="18"/>
  <c r="V754" i="18"/>
  <c r="V692" i="18"/>
  <c r="V661" i="18"/>
  <c r="V723" i="18"/>
  <c r="V630" i="18"/>
  <c r="AB816" i="18"/>
  <c r="AB785" i="18"/>
  <c r="AB847" i="18"/>
  <c r="AB754" i="18"/>
  <c r="AB723" i="18"/>
  <c r="AB692" i="18"/>
  <c r="AB630" i="18"/>
  <c r="AB661" i="18"/>
  <c r="P847" i="18"/>
  <c r="P816" i="18"/>
  <c r="P785" i="18"/>
  <c r="P661" i="18"/>
  <c r="P754" i="18"/>
  <c r="P723" i="18"/>
  <c r="P630" i="18"/>
  <c r="P692" i="18"/>
  <c r="T816" i="18"/>
  <c r="T847" i="18"/>
  <c r="T785" i="18"/>
  <c r="T754" i="18"/>
  <c r="T692" i="18"/>
  <c r="T661" i="18"/>
  <c r="T723" i="18"/>
  <c r="T630" i="18"/>
  <c r="U560" i="18"/>
  <c r="U529" i="18"/>
  <c r="U498" i="18"/>
  <c r="U467" i="18"/>
  <c r="U374" i="18"/>
  <c r="U436" i="18"/>
  <c r="U343" i="18"/>
  <c r="U405" i="18"/>
  <c r="AE529" i="18"/>
  <c r="AE498" i="18"/>
  <c r="AE560" i="18"/>
  <c r="AE467" i="18"/>
  <c r="AE436" i="18"/>
  <c r="AE405" i="18"/>
  <c r="AE343" i="18"/>
  <c r="AE374" i="18"/>
  <c r="L560" i="18"/>
  <c r="L498" i="18"/>
  <c r="L467" i="18"/>
  <c r="L405" i="18"/>
  <c r="L374" i="18"/>
  <c r="L529" i="18"/>
  <c r="L436" i="18"/>
  <c r="L343" i="18"/>
  <c r="Q846" i="18"/>
  <c r="Q815" i="18"/>
  <c r="Q753" i="18"/>
  <c r="Q784" i="18"/>
  <c r="Q722" i="18"/>
  <c r="Q691" i="18"/>
  <c r="Q660" i="18"/>
  <c r="Q629" i="18"/>
  <c r="X784" i="18"/>
  <c r="X846" i="18"/>
  <c r="X815" i="18"/>
  <c r="X753" i="18"/>
  <c r="X691" i="18"/>
  <c r="X722" i="18"/>
  <c r="X660" i="18"/>
  <c r="X629" i="18"/>
  <c r="AB846" i="18"/>
  <c r="AB815" i="18"/>
  <c r="AB784" i="18"/>
  <c r="AB753" i="18"/>
  <c r="AB691" i="18"/>
  <c r="AB660" i="18"/>
  <c r="AB722" i="18"/>
  <c r="AB629" i="18"/>
  <c r="AH497" i="18"/>
  <c r="AH559" i="18"/>
  <c r="AH466" i="18"/>
  <c r="AH435" i="18"/>
  <c r="AH528" i="18"/>
  <c r="AH373" i="18"/>
  <c r="AH404" i="18"/>
  <c r="AH342" i="18"/>
  <c r="J497" i="18"/>
  <c r="J559" i="18"/>
  <c r="J528" i="18"/>
  <c r="J435" i="18"/>
  <c r="J466" i="18"/>
  <c r="J373" i="18"/>
  <c r="J404" i="18"/>
  <c r="J342" i="18"/>
  <c r="AC466" i="18"/>
  <c r="AC559" i="18"/>
  <c r="AC528" i="18"/>
  <c r="AC497" i="18"/>
  <c r="AC404" i="18"/>
  <c r="AC373" i="18"/>
  <c r="AC342" i="18"/>
  <c r="AC435" i="18"/>
  <c r="U526" i="18"/>
  <c r="U495" i="18"/>
  <c r="U557" i="18"/>
  <c r="U464" i="18"/>
  <c r="U433" i="18"/>
  <c r="U402" i="18"/>
  <c r="U371" i="18"/>
  <c r="U340" i="18"/>
  <c r="Z557" i="18"/>
  <c r="Z495" i="18"/>
  <c r="Z464" i="18"/>
  <c r="Z402" i="18"/>
  <c r="Z526" i="18"/>
  <c r="Z371" i="18"/>
  <c r="Z433" i="18"/>
  <c r="Z340" i="18"/>
  <c r="AE495" i="18"/>
  <c r="AE464" i="18"/>
  <c r="AE557" i="18"/>
  <c r="AE433" i="18"/>
  <c r="AE402" i="18"/>
  <c r="AE526" i="18"/>
  <c r="AE340" i="18"/>
  <c r="AE371" i="18"/>
  <c r="T526" i="18"/>
  <c r="T557" i="18"/>
  <c r="T340" i="18"/>
  <c r="T464" i="18"/>
  <c r="T433" i="18"/>
  <c r="T402" i="18"/>
  <c r="T495" i="18"/>
  <c r="T371" i="18"/>
  <c r="J843" i="18"/>
  <c r="J812" i="18"/>
  <c r="J781" i="18"/>
  <c r="J750" i="18"/>
  <c r="J719" i="18"/>
  <c r="J688" i="18"/>
  <c r="J626" i="18"/>
  <c r="J657" i="18"/>
  <c r="AD558" i="18"/>
  <c r="AD527" i="18"/>
  <c r="AD434" i="18"/>
  <c r="AD465" i="18"/>
  <c r="AD403" i="18"/>
  <c r="AD496" i="18"/>
  <c r="AD372" i="18"/>
  <c r="AD341" i="18"/>
  <c r="J249" i="18"/>
  <c r="J218" i="18"/>
  <c r="J187" i="18"/>
  <c r="J156" i="18"/>
  <c r="J94" i="18"/>
  <c r="J63" i="18"/>
  <c r="J125" i="18"/>
  <c r="J32" i="18"/>
  <c r="O275" i="18"/>
  <c r="O244" i="18"/>
  <c r="O182" i="18"/>
  <c r="O58" i="18"/>
  <c r="O151" i="18"/>
  <c r="O120" i="18"/>
  <c r="O213" i="18"/>
  <c r="O89" i="18"/>
  <c r="G98" i="48"/>
  <c r="AH243" i="18"/>
  <c r="AH181" i="18"/>
  <c r="AH150" i="18"/>
  <c r="AH274" i="18"/>
  <c r="AH212" i="18"/>
  <c r="AH88" i="18"/>
  <c r="AH119" i="18"/>
  <c r="AH57" i="18"/>
  <c r="AA242" i="18"/>
  <c r="AA180" i="18"/>
  <c r="AA56" i="18"/>
  <c r="AA273" i="18"/>
  <c r="AA149" i="18"/>
  <c r="AA211" i="18"/>
  <c r="AA118" i="18"/>
  <c r="AA87" i="18"/>
  <c r="R813" i="18"/>
  <c r="R782" i="18"/>
  <c r="R844" i="18"/>
  <c r="R751" i="18"/>
  <c r="R689" i="18"/>
  <c r="R720" i="18"/>
  <c r="R658" i="18"/>
  <c r="R627" i="18"/>
  <c r="U179" i="18"/>
  <c r="U272" i="18"/>
  <c r="U148" i="18"/>
  <c r="U241" i="18"/>
  <c r="U210" i="18"/>
  <c r="U117" i="18"/>
  <c r="U55" i="18"/>
  <c r="U86" i="18"/>
  <c r="F95" i="48"/>
  <c r="I271" i="18"/>
  <c r="I147" i="18"/>
  <c r="I116" i="18"/>
  <c r="I240" i="18"/>
  <c r="I85" i="18"/>
  <c r="I209" i="18"/>
  <c r="I178" i="18"/>
  <c r="I54" i="18"/>
  <c r="S531" i="18"/>
  <c r="S500" i="18"/>
  <c r="S562" i="18"/>
  <c r="S469" i="18"/>
  <c r="S438" i="18"/>
  <c r="S407" i="18"/>
  <c r="S376" i="18"/>
  <c r="S345" i="18"/>
  <c r="L816" i="18"/>
  <c r="L785" i="18"/>
  <c r="L847" i="18"/>
  <c r="L754" i="18"/>
  <c r="L692" i="18"/>
  <c r="L723" i="18"/>
  <c r="L661" i="18"/>
  <c r="L630" i="18"/>
  <c r="P498" i="18"/>
  <c r="P560" i="18"/>
  <c r="P436" i="18"/>
  <c r="P529" i="18"/>
  <c r="P467" i="18"/>
  <c r="P374" i="18"/>
  <c r="P405" i="18"/>
  <c r="P343" i="18"/>
  <c r="L846" i="18"/>
  <c r="L815" i="18"/>
  <c r="L784" i="18"/>
  <c r="L753" i="18"/>
  <c r="L722" i="18"/>
  <c r="L691" i="18"/>
  <c r="L660" i="18"/>
  <c r="L629" i="18"/>
  <c r="J557" i="18"/>
  <c r="J495" i="18"/>
  <c r="J402" i="18"/>
  <c r="J526" i="18"/>
  <c r="J371" i="18"/>
  <c r="J464" i="18"/>
  <c r="J433" i="18"/>
  <c r="J340" i="18"/>
  <c r="S463" i="18"/>
  <c r="S556" i="18"/>
  <c r="S401" i="18"/>
  <c r="S525" i="18"/>
  <c r="S370" i="18"/>
  <c r="S494" i="18"/>
  <c r="S432" i="18"/>
  <c r="S339" i="18"/>
  <c r="J556" i="18"/>
  <c r="J525" i="18"/>
  <c r="J432" i="18"/>
  <c r="J494" i="18"/>
  <c r="J401" i="18"/>
  <c r="J463" i="18"/>
  <c r="J370" i="18"/>
  <c r="J339" i="18"/>
  <c r="N525" i="18"/>
  <c r="N339" i="18"/>
  <c r="N463" i="18"/>
  <c r="N432" i="18"/>
  <c r="N556" i="18"/>
  <c r="N401" i="18"/>
  <c r="N370" i="18"/>
  <c r="N494" i="18"/>
  <c r="R556" i="18"/>
  <c r="R525" i="18"/>
  <c r="R432" i="18"/>
  <c r="R463" i="18"/>
  <c r="R401" i="18"/>
  <c r="R494" i="18"/>
  <c r="R370" i="18"/>
  <c r="R339" i="18"/>
  <c r="P843" i="18"/>
  <c r="P812" i="18"/>
  <c r="P781" i="18"/>
  <c r="P657" i="18"/>
  <c r="P719" i="18"/>
  <c r="P750" i="18"/>
  <c r="P688" i="18"/>
  <c r="P626" i="18"/>
  <c r="V843" i="18"/>
  <c r="V812" i="18"/>
  <c r="V781" i="18"/>
  <c r="V750" i="18"/>
  <c r="V719" i="18"/>
  <c r="V688" i="18"/>
  <c r="V657" i="18"/>
  <c r="V626" i="18"/>
  <c r="K812" i="18"/>
  <c r="K781" i="18"/>
  <c r="K843" i="18"/>
  <c r="K750" i="18"/>
  <c r="K719" i="18"/>
  <c r="K688" i="18"/>
  <c r="K626" i="18"/>
  <c r="K657" i="18"/>
  <c r="AC848" i="18"/>
  <c r="AC817" i="18"/>
  <c r="AC755" i="18"/>
  <c r="AC786" i="18"/>
  <c r="AC724" i="18"/>
  <c r="AC693" i="18"/>
  <c r="AC662" i="18"/>
  <c r="AC631" i="18"/>
  <c r="AD817" i="18"/>
  <c r="AD786" i="18"/>
  <c r="AD848" i="18"/>
  <c r="AD755" i="18"/>
  <c r="AD662" i="18"/>
  <c r="AD693" i="18"/>
  <c r="AD724" i="18"/>
  <c r="AD631" i="18"/>
  <c r="R817" i="18"/>
  <c r="R786" i="18"/>
  <c r="R848" i="18"/>
  <c r="R755" i="18"/>
  <c r="R724" i="18"/>
  <c r="R693" i="18"/>
  <c r="R631" i="18"/>
  <c r="R662" i="18"/>
  <c r="L496" i="18"/>
  <c r="L558" i="18"/>
  <c r="L434" i="18"/>
  <c r="L527" i="18"/>
  <c r="L465" i="18"/>
  <c r="L372" i="18"/>
  <c r="L341" i="18"/>
  <c r="L403" i="18"/>
  <c r="AE465" i="18"/>
  <c r="AE558" i="18"/>
  <c r="AE403" i="18"/>
  <c r="AE527" i="18"/>
  <c r="AE372" i="18"/>
  <c r="AE496" i="18"/>
  <c r="AE434" i="18"/>
  <c r="AE341" i="18"/>
  <c r="U496" i="18"/>
  <c r="U465" i="18"/>
  <c r="U558" i="18"/>
  <c r="U434" i="18"/>
  <c r="U403" i="18"/>
  <c r="U527" i="18"/>
  <c r="U341" i="18"/>
  <c r="U372" i="18"/>
  <c r="S270" i="18"/>
  <c r="S146" i="18"/>
  <c r="S115" i="18"/>
  <c r="S208" i="18"/>
  <c r="S84" i="18"/>
  <c r="S53" i="18"/>
  <c r="S239" i="18"/>
  <c r="S177" i="18"/>
  <c r="K270" i="18"/>
  <c r="K146" i="18"/>
  <c r="K115" i="18"/>
  <c r="K239" i="18"/>
  <c r="K208" i="18"/>
  <c r="K84" i="18"/>
  <c r="K177" i="18"/>
  <c r="K53" i="18"/>
  <c r="AD239" i="18"/>
  <c r="AD270" i="18"/>
  <c r="AD115" i="18"/>
  <c r="AD208" i="18"/>
  <c r="AD84" i="18"/>
  <c r="AD177" i="18"/>
  <c r="AD146" i="18"/>
  <c r="AD53" i="18"/>
  <c r="R270" i="18"/>
  <c r="R239" i="18"/>
  <c r="R177" i="18"/>
  <c r="R146" i="18"/>
  <c r="R208" i="18"/>
  <c r="R84" i="18"/>
  <c r="R53" i="18"/>
  <c r="R115" i="18"/>
  <c r="G73" i="48"/>
  <c r="AH249" i="18"/>
  <c r="AH187" i="18"/>
  <c r="AH156" i="18"/>
  <c r="AH218" i="18"/>
  <c r="AH94" i="18"/>
  <c r="AH125" i="18"/>
  <c r="AH32" i="18"/>
  <c r="AH63" i="18"/>
  <c r="AG187" i="18"/>
  <c r="AG63" i="18"/>
  <c r="AG249" i="18"/>
  <c r="AG156" i="18"/>
  <c r="AG125" i="18"/>
  <c r="AG94" i="18"/>
  <c r="AG218" i="18"/>
  <c r="AG32" i="18"/>
  <c r="AC218" i="18"/>
  <c r="AC125" i="18"/>
  <c r="AC94" i="18"/>
  <c r="AC249" i="18"/>
  <c r="AC187" i="18"/>
  <c r="AC32" i="18"/>
  <c r="AC156" i="18"/>
  <c r="AC63" i="18"/>
  <c r="W276" i="18"/>
  <c r="W152" i="18"/>
  <c r="W121" i="18"/>
  <c r="W214" i="18"/>
  <c r="W90" i="18"/>
  <c r="W245" i="18"/>
  <c r="W59" i="18"/>
  <c r="W183" i="18"/>
  <c r="Q276" i="18"/>
  <c r="Q214" i="18"/>
  <c r="Q121" i="18"/>
  <c r="Q245" i="18"/>
  <c r="Q90" i="18"/>
  <c r="Q183" i="18"/>
  <c r="Q59" i="18"/>
  <c r="Q152" i="18"/>
  <c r="AC276" i="18"/>
  <c r="AC214" i="18"/>
  <c r="AC183" i="18"/>
  <c r="AC59" i="18"/>
  <c r="AC152" i="18"/>
  <c r="AC245" i="18"/>
  <c r="AC121" i="18"/>
  <c r="AC90" i="18"/>
  <c r="R244" i="18"/>
  <c r="R275" i="18"/>
  <c r="R151" i="18"/>
  <c r="R120" i="18"/>
  <c r="R213" i="18"/>
  <c r="R182" i="18"/>
  <c r="R58" i="18"/>
  <c r="R89" i="18"/>
  <c r="N275" i="18"/>
  <c r="N213" i="18"/>
  <c r="N89" i="18"/>
  <c r="N244" i="18"/>
  <c r="N182" i="18"/>
  <c r="N58" i="18"/>
  <c r="N120" i="18"/>
  <c r="N151" i="18"/>
  <c r="Y275" i="18"/>
  <c r="Y151" i="18"/>
  <c r="Y244" i="18"/>
  <c r="Y120" i="18"/>
  <c r="Y89" i="18"/>
  <c r="Y213" i="18"/>
  <c r="Y58" i="18"/>
  <c r="Y182" i="18"/>
  <c r="AB274" i="18"/>
  <c r="AB243" i="18"/>
  <c r="AB150" i="18"/>
  <c r="AB119" i="18"/>
  <c r="AB181" i="18"/>
  <c r="AB88" i="18"/>
  <c r="AB212" i="18"/>
  <c r="AB57" i="18"/>
  <c r="X274" i="18"/>
  <c r="X212" i="18"/>
  <c r="X88" i="18"/>
  <c r="X181" i="18"/>
  <c r="X57" i="18"/>
  <c r="X243" i="18"/>
  <c r="X119" i="18"/>
  <c r="X150" i="18"/>
  <c r="AG274" i="18"/>
  <c r="AG181" i="18"/>
  <c r="AG57" i="18"/>
  <c r="AG150" i="18"/>
  <c r="AG212" i="18"/>
  <c r="AG243" i="18"/>
  <c r="AG119" i="18"/>
  <c r="AG88" i="18"/>
  <c r="AC274" i="18"/>
  <c r="AC243" i="18"/>
  <c r="AC119" i="18"/>
  <c r="AC88" i="18"/>
  <c r="AC181" i="18"/>
  <c r="AC212" i="18"/>
  <c r="AC150" i="18"/>
  <c r="AC57" i="18"/>
  <c r="X504" i="18"/>
  <c r="X535" i="18"/>
  <c r="X473" i="18"/>
  <c r="X442" i="18"/>
  <c r="X318" i="18"/>
  <c r="X380" i="18"/>
  <c r="X349" i="18"/>
  <c r="X411" i="18"/>
  <c r="AC535" i="18"/>
  <c r="AC380" i="18"/>
  <c r="AC504" i="18"/>
  <c r="AC442" i="18"/>
  <c r="AC411" i="18"/>
  <c r="AC349" i="18"/>
  <c r="AC318" i="18"/>
  <c r="AC473" i="18"/>
  <c r="AG504" i="18"/>
  <c r="AG473" i="18"/>
  <c r="AG535" i="18"/>
  <c r="AG442" i="18"/>
  <c r="AG411" i="18"/>
  <c r="AG349" i="18"/>
  <c r="AG318" i="18"/>
  <c r="AG380" i="18"/>
  <c r="G97" i="48"/>
  <c r="AH211" i="18"/>
  <c r="AH273" i="18"/>
  <c r="AH87" i="18"/>
  <c r="AH180" i="18"/>
  <c r="AH56" i="18"/>
  <c r="AH242" i="18"/>
  <c r="AH118" i="18"/>
  <c r="AH149" i="18"/>
  <c r="AD273" i="18"/>
  <c r="AD242" i="18"/>
  <c r="AD149" i="18"/>
  <c r="AD211" i="18"/>
  <c r="AD118" i="18"/>
  <c r="AD180" i="18"/>
  <c r="AD56" i="18"/>
  <c r="AD87" i="18"/>
  <c r="Z211" i="18"/>
  <c r="Z273" i="18"/>
  <c r="Z87" i="18"/>
  <c r="Z242" i="18"/>
  <c r="Z180" i="18"/>
  <c r="Z56" i="18"/>
  <c r="Z118" i="18"/>
  <c r="Z149" i="18"/>
  <c r="U844" i="18"/>
  <c r="U813" i="18"/>
  <c r="U751" i="18"/>
  <c r="U782" i="18"/>
  <c r="U689" i="18"/>
  <c r="U720" i="18"/>
  <c r="U658" i="18"/>
  <c r="U627" i="18"/>
  <c r="AA844" i="18"/>
  <c r="AA813" i="18"/>
  <c r="AA751" i="18"/>
  <c r="AA689" i="18"/>
  <c r="AA782" i="18"/>
  <c r="AA720" i="18"/>
  <c r="AA658" i="18"/>
  <c r="AA627" i="18"/>
  <c r="O813" i="18"/>
  <c r="O782" i="18"/>
  <c r="O720" i="18"/>
  <c r="O844" i="18"/>
  <c r="O658" i="18"/>
  <c r="O627" i="18"/>
  <c r="O751" i="18"/>
  <c r="O689" i="18"/>
  <c r="Q821" i="18"/>
  <c r="Q759" i="18"/>
  <c r="Q790" i="18"/>
  <c r="Q697" i="18"/>
  <c r="Q728" i="18"/>
  <c r="Q666" i="18"/>
  <c r="Q635" i="18"/>
  <c r="Q604" i="18"/>
  <c r="V821" i="18"/>
  <c r="V790" i="18"/>
  <c r="V759" i="18"/>
  <c r="V697" i="18"/>
  <c r="V728" i="18"/>
  <c r="V666" i="18"/>
  <c r="V635" i="18"/>
  <c r="V604" i="18"/>
  <c r="L821" i="18"/>
  <c r="L790" i="18"/>
  <c r="L759" i="18"/>
  <c r="L697" i="18"/>
  <c r="L604" i="18"/>
  <c r="L666" i="18"/>
  <c r="L728" i="18"/>
  <c r="L635" i="18"/>
  <c r="P790" i="18"/>
  <c r="P821" i="18"/>
  <c r="P759" i="18"/>
  <c r="P697" i="18"/>
  <c r="P728" i="18"/>
  <c r="P666" i="18"/>
  <c r="P635" i="18"/>
  <c r="P604" i="18"/>
  <c r="W272" i="18"/>
  <c r="W148" i="18"/>
  <c r="W210" i="18"/>
  <c r="W117" i="18"/>
  <c r="W241" i="18"/>
  <c r="W86" i="18"/>
  <c r="W179" i="18"/>
  <c r="W55" i="18"/>
  <c r="F96" i="48"/>
  <c r="I272" i="18"/>
  <c r="I117" i="18"/>
  <c r="I86" i="18"/>
  <c r="I241" i="18"/>
  <c r="I179" i="18"/>
  <c r="I210" i="18"/>
  <c r="I148" i="18"/>
  <c r="I55" i="18"/>
  <c r="AE272" i="18"/>
  <c r="AE148" i="18"/>
  <c r="AE117" i="18"/>
  <c r="AE210" i="18"/>
  <c r="AE86" i="18"/>
  <c r="AE179" i="18"/>
  <c r="AE241" i="18"/>
  <c r="AE55" i="18"/>
  <c r="AD499" i="18"/>
  <c r="AD561" i="18"/>
  <c r="AD437" i="18"/>
  <c r="AD530" i="18"/>
  <c r="AD468" i="18"/>
  <c r="AD375" i="18"/>
  <c r="AD344" i="18"/>
  <c r="AD406" i="18"/>
  <c r="Y468" i="18"/>
  <c r="Y561" i="18"/>
  <c r="Y499" i="18"/>
  <c r="Y406" i="18"/>
  <c r="Y375" i="18"/>
  <c r="Y530" i="18"/>
  <c r="Y437" i="18"/>
  <c r="Y344" i="18"/>
  <c r="J561" i="18"/>
  <c r="J499" i="18"/>
  <c r="J406" i="18"/>
  <c r="J375" i="18"/>
  <c r="J530" i="18"/>
  <c r="J468" i="18"/>
  <c r="J437" i="18"/>
  <c r="J344" i="18"/>
  <c r="G95" i="48"/>
  <c r="AH271" i="18"/>
  <c r="AH240" i="18"/>
  <c r="AH209" i="18"/>
  <c r="AH147" i="18"/>
  <c r="AH116" i="18"/>
  <c r="AH178" i="18"/>
  <c r="AH54" i="18"/>
  <c r="AH85" i="18"/>
  <c r="AD209" i="18"/>
  <c r="AD271" i="18"/>
  <c r="AD240" i="18"/>
  <c r="AD85" i="18"/>
  <c r="AD178" i="18"/>
  <c r="AD54" i="18"/>
  <c r="AD116" i="18"/>
  <c r="AD147" i="18"/>
  <c r="AC240" i="18"/>
  <c r="AC85" i="18"/>
  <c r="AC178" i="18"/>
  <c r="AC209" i="18"/>
  <c r="AC147" i="18"/>
  <c r="AC271" i="18"/>
  <c r="AC54" i="18"/>
  <c r="AC116" i="18"/>
  <c r="W469" i="18"/>
  <c r="W562" i="18"/>
  <c r="W407" i="18"/>
  <c r="W376" i="18"/>
  <c r="W531" i="18"/>
  <c r="W500" i="18"/>
  <c r="W438" i="18"/>
  <c r="W345" i="18"/>
  <c r="L500" i="18"/>
  <c r="L562" i="18"/>
  <c r="L469" i="18"/>
  <c r="L531" i="18"/>
  <c r="L438" i="18"/>
  <c r="L376" i="18"/>
  <c r="L345" i="18"/>
  <c r="L407" i="18"/>
  <c r="P562" i="18"/>
  <c r="P500" i="18"/>
  <c r="P407" i="18"/>
  <c r="P376" i="18"/>
  <c r="P469" i="18"/>
  <c r="P438" i="18"/>
  <c r="P531" i="18"/>
  <c r="P345" i="18"/>
  <c r="U500" i="18"/>
  <c r="U469" i="18"/>
  <c r="U562" i="18"/>
  <c r="U531" i="18"/>
  <c r="U438" i="18"/>
  <c r="U407" i="18"/>
  <c r="U376" i="18"/>
  <c r="U345" i="18"/>
  <c r="AA845" i="18"/>
  <c r="AA814" i="18"/>
  <c r="AA783" i="18"/>
  <c r="AA752" i="18"/>
  <c r="AA690" i="18"/>
  <c r="AA659" i="18"/>
  <c r="AA721" i="18"/>
  <c r="AA628" i="18"/>
  <c r="AF814" i="18"/>
  <c r="AF783" i="18"/>
  <c r="AF845" i="18"/>
  <c r="AF752" i="18"/>
  <c r="AF721" i="18"/>
  <c r="AF690" i="18"/>
  <c r="AF628" i="18"/>
  <c r="AF659" i="18"/>
  <c r="V845" i="18"/>
  <c r="V814" i="18"/>
  <c r="V783" i="18"/>
  <c r="V752" i="18"/>
  <c r="V721" i="18"/>
  <c r="V690" i="18"/>
  <c r="V628" i="18"/>
  <c r="V659" i="18"/>
  <c r="M811" i="18"/>
  <c r="M842" i="18"/>
  <c r="M780" i="18"/>
  <c r="M749" i="18"/>
  <c r="M718" i="18"/>
  <c r="M687" i="18"/>
  <c r="M656" i="18"/>
  <c r="M625" i="18"/>
  <c r="AF842" i="18"/>
  <c r="AF811" i="18"/>
  <c r="AF780" i="18"/>
  <c r="AF749" i="18"/>
  <c r="AF687" i="18"/>
  <c r="AF656" i="18"/>
  <c r="AF718" i="18"/>
  <c r="AF625" i="18"/>
  <c r="W842" i="18"/>
  <c r="W780" i="18"/>
  <c r="W811" i="18"/>
  <c r="W718" i="18"/>
  <c r="W687" i="18"/>
  <c r="W749" i="18"/>
  <c r="W656" i="18"/>
  <c r="W625" i="18"/>
  <c r="W847" i="18"/>
  <c r="W816" i="18"/>
  <c r="W785" i="18"/>
  <c r="W754" i="18"/>
  <c r="W692" i="18"/>
  <c r="W661" i="18"/>
  <c r="W723" i="18"/>
  <c r="W630" i="18"/>
  <c r="M847" i="18"/>
  <c r="M816" i="18"/>
  <c r="M754" i="18"/>
  <c r="M785" i="18"/>
  <c r="M692" i="18"/>
  <c r="M723" i="18"/>
  <c r="M661" i="18"/>
  <c r="M630" i="18"/>
  <c r="AF847" i="18"/>
  <c r="AF816" i="18"/>
  <c r="AF785" i="18"/>
  <c r="AF661" i="18"/>
  <c r="AF723" i="18"/>
  <c r="AF754" i="18"/>
  <c r="AF692" i="18"/>
  <c r="AF630" i="18"/>
  <c r="Z560" i="18"/>
  <c r="Z529" i="18"/>
  <c r="Z436" i="18"/>
  <c r="Z405" i="18"/>
  <c r="Z467" i="18"/>
  <c r="Z498" i="18"/>
  <c r="Z374" i="18"/>
  <c r="Z343" i="18"/>
  <c r="S467" i="18"/>
  <c r="S560" i="18"/>
  <c r="S498" i="18"/>
  <c r="S405" i="18"/>
  <c r="S529" i="18"/>
  <c r="S374" i="18"/>
  <c r="S436" i="18"/>
  <c r="S343" i="18"/>
  <c r="O529" i="18"/>
  <c r="O498" i="18"/>
  <c r="O560" i="18"/>
  <c r="O436" i="18"/>
  <c r="O467" i="18"/>
  <c r="O405" i="18"/>
  <c r="O374" i="18"/>
  <c r="O343" i="18"/>
  <c r="AA467" i="18"/>
  <c r="AA560" i="18"/>
  <c r="AA405" i="18"/>
  <c r="AA374" i="18"/>
  <c r="AA498" i="18"/>
  <c r="AA343" i="18"/>
  <c r="AA529" i="18"/>
  <c r="AA436" i="18"/>
  <c r="AG846" i="18"/>
  <c r="AG815" i="18"/>
  <c r="AG753" i="18"/>
  <c r="AG784" i="18"/>
  <c r="AG691" i="18"/>
  <c r="AG722" i="18"/>
  <c r="AG660" i="18"/>
  <c r="AG629" i="18"/>
  <c r="I846" i="18"/>
  <c r="I815" i="18"/>
  <c r="I753" i="18"/>
  <c r="I784" i="18"/>
  <c r="I691" i="18"/>
  <c r="I660" i="18"/>
  <c r="I722" i="18"/>
  <c r="I629" i="18"/>
  <c r="M846" i="18"/>
  <c r="M753" i="18"/>
  <c r="M784" i="18"/>
  <c r="M722" i="18"/>
  <c r="M691" i="18"/>
  <c r="M815" i="18"/>
  <c r="M660" i="18"/>
  <c r="M629" i="18"/>
  <c r="S497" i="18"/>
  <c r="S466" i="18"/>
  <c r="S559" i="18"/>
  <c r="S528" i="18"/>
  <c r="S435" i="18"/>
  <c r="S404" i="18"/>
  <c r="S342" i="18"/>
  <c r="S373" i="18"/>
  <c r="Z497" i="18"/>
  <c r="Z559" i="18"/>
  <c r="Z466" i="18"/>
  <c r="Z528" i="18"/>
  <c r="Z435" i="18"/>
  <c r="Z373" i="18"/>
  <c r="Z342" i="18"/>
  <c r="Z404" i="18"/>
  <c r="N559" i="18"/>
  <c r="N497" i="18"/>
  <c r="N404" i="18"/>
  <c r="N466" i="18"/>
  <c r="N373" i="18"/>
  <c r="N528" i="18"/>
  <c r="N435" i="18"/>
  <c r="N342" i="18"/>
  <c r="V495" i="18"/>
  <c r="V557" i="18"/>
  <c r="V464" i="18"/>
  <c r="V433" i="18"/>
  <c r="V526" i="18"/>
  <c r="V371" i="18"/>
  <c r="V402" i="18"/>
  <c r="V340" i="18"/>
  <c r="L526" i="18"/>
  <c r="L557" i="18"/>
  <c r="L464" i="18"/>
  <c r="L340" i="18"/>
  <c r="L495" i="18"/>
  <c r="L433" i="18"/>
  <c r="L402" i="18"/>
  <c r="L371" i="18"/>
  <c r="P557" i="18"/>
  <c r="P526" i="18"/>
  <c r="P433" i="18"/>
  <c r="P495" i="18"/>
  <c r="P402" i="18"/>
  <c r="P340" i="18"/>
  <c r="P371" i="18"/>
  <c r="P464" i="18"/>
  <c r="Q494" i="18"/>
  <c r="Q463" i="18"/>
  <c r="Q556" i="18"/>
  <c r="Q432" i="18"/>
  <c r="Q525" i="18"/>
  <c r="Q401" i="18"/>
  <c r="Q370" i="18"/>
  <c r="Q339" i="18"/>
  <c r="J527" i="18"/>
  <c r="J465" i="18"/>
  <c r="J341" i="18"/>
  <c r="J434" i="18"/>
  <c r="J403" i="18"/>
  <c r="J558" i="18"/>
  <c r="J496" i="18"/>
  <c r="J372" i="18"/>
  <c r="AD245" i="18"/>
  <c r="AD276" i="18"/>
  <c r="AD183" i="18"/>
  <c r="AD152" i="18"/>
  <c r="AD90" i="18"/>
  <c r="AD214" i="18"/>
  <c r="AD121" i="18"/>
  <c r="AD59" i="18"/>
  <c r="AB504" i="18"/>
  <c r="AB473" i="18"/>
  <c r="AB411" i="18"/>
  <c r="AB380" i="18"/>
  <c r="AB442" i="18"/>
  <c r="AB535" i="18"/>
  <c r="AB349" i="18"/>
  <c r="AB318" i="18"/>
  <c r="W759" i="18"/>
  <c r="W821" i="18"/>
  <c r="W790" i="18"/>
  <c r="W697" i="18"/>
  <c r="W728" i="18"/>
  <c r="W666" i="18"/>
  <c r="W635" i="18"/>
  <c r="W604" i="18"/>
  <c r="U530" i="18"/>
  <c r="U499" i="18"/>
  <c r="U561" i="18"/>
  <c r="U437" i="18"/>
  <c r="U468" i="18"/>
  <c r="U406" i="18"/>
  <c r="U344" i="18"/>
  <c r="U375" i="18"/>
  <c r="T845" i="18"/>
  <c r="T814" i="18"/>
  <c r="T783" i="18"/>
  <c r="T752" i="18"/>
  <c r="T659" i="18"/>
  <c r="T721" i="18"/>
  <c r="T690" i="18"/>
  <c r="T628" i="18"/>
  <c r="Y528" i="18"/>
  <c r="Y497" i="18"/>
  <c r="Y559" i="18"/>
  <c r="Y466" i="18"/>
  <c r="Y435" i="18"/>
  <c r="Y404" i="18"/>
  <c r="Y342" i="18"/>
  <c r="Y373" i="18"/>
  <c r="AD525" i="18"/>
  <c r="AD463" i="18"/>
  <c r="AD339" i="18"/>
  <c r="AD556" i="18"/>
  <c r="AD432" i="18"/>
  <c r="AD401" i="18"/>
  <c r="AD494" i="18"/>
  <c r="AD370" i="18"/>
  <c r="AF843" i="18"/>
  <c r="AF812" i="18"/>
  <c r="AF781" i="18"/>
  <c r="AF750" i="18"/>
  <c r="AF657" i="18"/>
  <c r="AF688" i="18"/>
  <c r="AF719" i="18"/>
  <c r="AF626" i="18"/>
  <c r="W843" i="18"/>
  <c r="W812" i="18"/>
  <c r="W781" i="18"/>
  <c r="W750" i="18"/>
  <c r="W688" i="18"/>
  <c r="W657" i="18"/>
  <c r="W719" i="18"/>
  <c r="W626" i="18"/>
  <c r="AA843" i="18"/>
  <c r="AA781" i="18"/>
  <c r="AA750" i="18"/>
  <c r="AA719" i="18"/>
  <c r="AA688" i="18"/>
  <c r="AA812" i="18"/>
  <c r="AA657" i="18"/>
  <c r="AA626" i="18"/>
  <c r="J817" i="18"/>
  <c r="J848" i="18"/>
  <c r="J786" i="18"/>
  <c r="J755" i="18"/>
  <c r="J724" i="18"/>
  <c r="J693" i="18"/>
  <c r="J631" i="18"/>
  <c r="J662" i="18"/>
  <c r="O848" i="18"/>
  <c r="O817" i="18"/>
  <c r="O724" i="18"/>
  <c r="O786" i="18"/>
  <c r="O662" i="18"/>
  <c r="O631" i="18"/>
  <c r="O755" i="18"/>
  <c r="O693" i="18"/>
  <c r="AH817" i="18"/>
  <c r="AH786" i="18"/>
  <c r="AH848" i="18"/>
  <c r="AH755" i="18"/>
  <c r="AH693" i="18"/>
  <c r="AH724" i="18"/>
  <c r="AH631" i="18"/>
  <c r="AH662" i="18"/>
  <c r="AB496" i="18"/>
  <c r="AB558" i="18"/>
  <c r="AB465" i="18"/>
  <c r="AB434" i="18"/>
  <c r="AB527" i="18"/>
  <c r="AB372" i="18"/>
  <c r="AB341" i="18"/>
  <c r="AB403" i="18"/>
  <c r="P558" i="18"/>
  <c r="P496" i="18"/>
  <c r="P403" i="18"/>
  <c r="P527" i="18"/>
  <c r="P372" i="18"/>
  <c r="P465" i="18"/>
  <c r="P434" i="18"/>
  <c r="P341" i="18"/>
  <c r="V558" i="18"/>
  <c r="V527" i="18"/>
  <c r="V434" i="18"/>
  <c r="V496" i="18"/>
  <c r="V403" i="18"/>
  <c r="V465" i="18"/>
  <c r="V372" i="18"/>
  <c r="V341" i="18"/>
  <c r="T270" i="18"/>
  <c r="T239" i="18"/>
  <c r="T146" i="18"/>
  <c r="T115" i="18"/>
  <c r="T208" i="18"/>
  <c r="T177" i="18"/>
  <c r="T84" i="18"/>
  <c r="T53" i="18"/>
  <c r="AA270" i="18"/>
  <c r="AA146" i="18"/>
  <c r="AA239" i="18"/>
  <c r="AA115" i="18"/>
  <c r="AA208" i="18"/>
  <c r="AA84" i="18"/>
  <c r="AA53" i="18"/>
  <c r="AA177" i="18"/>
  <c r="O270" i="18"/>
  <c r="O208" i="18"/>
  <c r="O84" i="18"/>
  <c r="O239" i="18"/>
  <c r="O177" i="18"/>
  <c r="O146" i="18"/>
  <c r="O115" i="18"/>
  <c r="O53" i="18"/>
  <c r="G94" i="48"/>
  <c r="AH270" i="18"/>
  <c r="AH239" i="18"/>
  <c r="AH177" i="18"/>
  <c r="AH146" i="18"/>
  <c r="AH208" i="18"/>
  <c r="AH115" i="18"/>
  <c r="AH84" i="18"/>
  <c r="AH53" i="18"/>
  <c r="X218" i="18"/>
  <c r="X249" i="18"/>
  <c r="X94" i="18"/>
  <c r="X187" i="18"/>
  <c r="X63" i="18"/>
  <c r="X156" i="18"/>
  <c r="X125" i="18"/>
  <c r="X32" i="18"/>
  <c r="Q187" i="18"/>
  <c r="Q63" i="18"/>
  <c r="Q249" i="18"/>
  <c r="Q218" i="18"/>
  <c r="Q156" i="18"/>
  <c r="Q125" i="18"/>
  <c r="Q94" i="18"/>
  <c r="Q32" i="18"/>
  <c r="M125" i="18"/>
  <c r="M94" i="18"/>
  <c r="M249" i="18"/>
  <c r="M218" i="18"/>
  <c r="M187" i="18"/>
  <c r="M32" i="18"/>
  <c r="M156" i="18"/>
  <c r="M63" i="18"/>
  <c r="V276" i="18"/>
  <c r="V245" i="18"/>
  <c r="V183" i="18"/>
  <c r="V152" i="18"/>
  <c r="V214" i="18"/>
  <c r="V90" i="18"/>
  <c r="V59" i="18"/>
  <c r="V121" i="18"/>
  <c r="AF276" i="18"/>
  <c r="AF245" i="18"/>
  <c r="AF152" i="18"/>
  <c r="AF121" i="18"/>
  <c r="AF214" i="18"/>
  <c r="AF183" i="18"/>
  <c r="AF90" i="18"/>
  <c r="AF59" i="18"/>
  <c r="M276" i="18"/>
  <c r="M183" i="18"/>
  <c r="M59" i="18"/>
  <c r="M152" i="18"/>
  <c r="M245" i="18"/>
  <c r="M214" i="18"/>
  <c r="M121" i="18"/>
  <c r="M90" i="18"/>
  <c r="AG275" i="18"/>
  <c r="AG213" i="18"/>
  <c r="AG151" i="18"/>
  <c r="AG120" i="18"/>
  <c r="AG89" i="18"/>
  <c r="AG58" i="18"/>
  <c r="AG244" i="18"/>
  <c r="AG182" i="18"/>
  <c r="F99" i="48"/>
  <c r="I275" i="18"/>
  <c r="I151" i="18"/>
  <c r="I213" i="18"/>
  <c r="I120" i="18"/>
  <c r="I244" i="18"/>
  <c r="I89" i="18"/>
  <c r="I182" i="18"/>
  <c r="I58" i="18"/>
  <c r="X275" i="18"/>
  <c r="X244" i="18"/>
  <c r="X182" i="18"/>
  <c r="X151" i="18"/>
  <c r="X89" i="18"/>
  <c r="X58" i="18"/>
  <c r="X120" i="18"/>
  <c r="X213" i="18"/>
  <c r="L274" i="18"/>
  <c r="L243" i="18"/>
  <c r="L150" i="18"/>
  <c r="L119" i="18"/>
  <c r="L212" i="18"/>
  <c r="L181" i="18"/>
  <c r="L57" i="18"/>
  <c r="L88" i="18"/>
  <c r="F98" i="48"/>
  <c r="I274" i="18"/>
  <c r="I181" i="18"/>
  <c r="I57" i="18"/>
  <c r="I150" i="18"/>
  <c r="I243" i="18"/>
  <c r="I119" i="18"/>
  <c r="I212" i="18"/>
  <c r="I88" i="18"/>
  <c r="Q274" i="18"/>
  <c r="Q212" i="18"/>
  <c r="Q181" i="18"/>
  <c r="Q57" i="18"/>
  <c r="Q150" i="18"/>
  <c r="Q119" i="18"/>
  <c r="Q88" i="18"/>
  <c r="Q243" i="18"/>
  <c r="M274" i="18"/>
  <c r="M119" i="18"/>
  <c r="M243" i="18"/>
  <c r="M212" i="18"/>
  <c r="M88" i="18"/>
  <c r="M181" i="18"/>
  <c r="M150" i="18"/>
  <c r="M57" i="18"/>
  <c r="J535" i="18"/>
  <c r="J442" i="18"/>
  <c r="J411" i="18"/>
  <c r="J504" i="18"/>
  <c r="J473" i="18"/>
  <c r="J380" i="18"/>
  <c r="J349" i="18"/>
  <c r="J318" i="18"/>
  <c r="N535" i="18"/>
  <c r="N504" i="18"/>
  <c r="N473" i="18"/>
  <c r="N349" i="18"/>
  <c r="N442" i="18"/>
  <c r="N411" i="18"/>
  <c r="N318" i="18"/>
  <c r="N380" i="18"/>
  <c r="H73" i="48"/>
  <c r="I504" i="18"/>
  <c r="I473" i="18"/>
  <c r="I535" i="18"/>
  <c r="I442" i="18"/>
  <c r="I411" i="18"/>
  <c r="I380" i="18"/>
  <c r="I349" i="18"/>
  <c r="I318" i="18"/>
  <c r="R211" i="18"/>
  <c r="R273" i="18"/>
  <c r="R87" i="18"/>
  <c r="R180" i="18"/>
  <c r="R56" i="18"/>
  <c r="R118" i="18"/>
  <c r="R149" i="18"/>
  <c r="R242" i="18"/>
  <c r="N273" i="18"/>
  <c r="N242" i="18"/>
  <c r="N149" i="18"/>
  <c r="N118" i="18"/>
  <c r="N211" i="18"/>
  <c r="N180" i="18"/>
  <c r="N87" i="18"/>
  <c r="N56" i="18"/>
  <c r="J211" i="18"/>
  <c r="J273" i="18"/>
  <c r="J87" i="18"/>
  <c r="J180" i="18"/>
  <c r="J56" i="18"/>
  <c r="J242" i="18"/>
  <c r="J118" i="18"/>
  <c r="J149" i="18"/>
  <c r="V844" i="18"/>
  <c r="V813" i="18"/>
  <c r="V782" i="18"/>
  <c r="V720" i="18"/>
  <c r="V658" i="18"/>
  <c r="V751" i="18"/>
  <c r="V627" i="18"/>
  <c r="V689" i="18"/>
  <c r="L844" i="18"/>
  <c r="L813" i="18"/>
  <c r="L751" i="18"/>
  <c r="L782" i="18"/>
  <c r="L689" i="18"/>
  <c r="L720" i="18"/>
  <c r="L658" i="18"/>
  <c r="L627" i="18"/>
  <c r="AE813" i="18"/>
  <c r="AE720" i="18"/>
  <c r="AE844" i="18"/>
  <c r="AE782" i="18"/>
  <c r="AE658" i="18"/>
  <c r="AE627" i="18"/>
  <c r="AE751" i="18"/>
  <c r="AE689" i="18"/>
  <c r="AG821" i="18"/>
  <c r="AG759" i="18"/>
  <c r="AG790" i="18"/>
  <c r="AG697" i="18"/>
  <c r="AG666" i="18"/>
  <c r="AG728" i="18"/>
  <c r="AG635" i="18"/>
  <c r="AG604" i="18"/>
  <c r="X790" i="18"/>
  <c r="X821" i="18"/>
  <c r="X759" i="18"/>
  <c r="X697" i="18"/>
  <c r="X666" i="18"/>
  <c r="X728" i="18"/>
  <c r="X635" i="18"/>
  <c r="X604" i="18"/>
  <c r="AB821" i="18"/>
  <c r="AB790" i="18"/>
  <c r="AB759" i="18"/>
  <c r="AB728" i="18"/>
  <c r="AB697" i="18"/>
  <c r="AB635" i="18"/>
  <c r="AB604" i="18"/>
  <c r="AB666" i="18"/>
  <c r="AF790" i="18"/>
  <c r="AF821" i="18"/>
  <c r="AF759" i="18"/>
  <c r="AF697" i="18"/>
  <c r="AF666" i="18"/>
  <c r="AF728" i="18"/>
  <c r="AF635" i="18"/>
  <c r="AF604" i="18"/>
  <c r="Z241" i="18"/>
  <c r="Z272" i="18"/>
  <c r="Z210" i="18"/>
  <c r="Z117" i="18"/>
  <c r="Z86" i="18"/>
  <c r="Z179" i="18"/>
  <c r="Z148" i="18"/>
  <c r="Z55" i="18"/>
  <c r="S86" i="18"/>
  <c r="S272" i="18"/>
  <c r="S179" i="18"/>
  <c r="S148" i="18"/>
  <c r="S210" i="18"/>
  <c r="S241" i="18"/>
  <c r="S117" i="18"/>
  <c r="S55" i="18"/>
  <c r="O272" i="18"/>
  <c r="O241" i="18"/>
  <c r="O148" i="18"/>
  <c r="O210" i="18"/>
  <c r="O117" i="18"/>
  <c r="O86" i="18"/>
  <c r="O179" i="18"/>
  <c r="O55" i="18"/>
  <c r="N499" i="18"/>
  <c r="N561" i="18"/>
  <c r="N530" i="18"/>
  <c r="N468" i="18"/>
  <c r="N437" i="18"/>
  <c r="N375" i="18"/>
  <c r="N344" i="18"/>
  <c r="N406" i="18"/>
  <c r="I468" i="18"/>
  <c r="I561" i="18"/>
  <c r="I499" i="18"/>
  <c r="I406" i="18"/>
  <c r="I375" i="18"/>
  <c r="I530" i="18"/>
  <c r="I344" i="18"/>
  <c r="I437" i="18"/>
  <c r="S561" i="18"/>
  <c r="S530" i="18"/>
  <c r="S375" i="18"/>
  <c r="S499" i="18"/>
  <c r="S437" i="18"/>
  <c r="S406" i="18"/>
  <c r="S344" i="18"/>
  <c r="S468" i="18"/>
  <c r="R271" i="18"/>
  <c r="R240" i="18"/>
  <c r="R147" i="18"/>
  <c r="R116" i="18"/>
  <c r="R209" i="18"/>
  <c r="R178" i="18"/>
  <c r="R85" i="18"/>
  <c r="R54" i="18"/>
  <c r="N209" i="18"/>
  <c r="N271" i="18"/>
  <c r="N85" i="18"/>
  <c r="N240" i="18"/>
  <c r="N178" i="18"/>
  <c r="N54" i="18"/>
  <c r="N116" i="18"/>
  <c r="N147" i="18"/>
  <c r="Y271" i="18"/>
  <c r="Y209" i="18"/>
  <c r="Y147" i="18"/>
  <c r="Y240" i="18"/>
  <c r="Y116" i="18"/>
  <c r="Y85" i="18"/>
  <c r="Y178" i="18"/>
  <c r="Y54" i="18"/>
  <c r="X562" i="18"/>
  <c r="X500" i="18"/>
  <c r="X469" i="18"/>
  <c r="X407" i="18"/>
  <c r="X376" i="18"/>
  <c r="X531" i="18"/>
  <c r="X438" i="18"/>
  <c r="X345" i="18"/>
  <c r="AB500" i="18"/>
  <c r="AB562" i="18"/>
  <c r="AB438" i="18"/>
  <c r="AB531" i="18"/>
  <c r="AB469" i="18"/>
  <c r="AB376" i="18"/>
  <c r="AB407" i="18"/>
  <c r="AB345" i="18"/>
  <c r="AF562" i="18"/>
  <c r="AF500" i="18"/>
  <c r="AF407" i="18"/>
  <c r="AF531" i="18"/>
  <c r="AF469" i="18"/>
  <c r="AF376" i="18"/>
  <c r="AF438" i="18"/>
  <c r="AF345" i="18"/>
  <c r="V562" i="18"/>
  <c r="V531" i="18"/>
  <c r="V438" i="18"/>
  <c r="V469" i="18"/>
  <c r="V407" i="18"/>
  <c r="V500" i="18"/>
  <c r="V376" i="18"/>
  <c r="V345" i="18"/>
  <c r="L845" i="18"/>
  <c r="L814" i="18"/>
  <c r="L783" i="18"/>
  <c r="L659" i="18"/>
  <c r="L721" i="18"/>
  <c r="L752" i="18"/>
  <c r="L628" i="18"/>
  <c r="L690" i="18"/>
  <c r="Q845" i="18"/>
  <c r="Q783" i="18"/>
  <c r="Q814" i="18"/>
  <c r="Q752" i="18"/>
  <c r="Q690" i="18"/>
  <c r="Q721" i="18"/>
  <c r="Q659" i="18"/>
  <c r="Q628" i="18"/>
  <c r="O783" i="18"/>
  <c r="O814" i="18"/>
  <c r="O752" i="18"/>
  <c r="O721" i="18"/>
  <c r="O690" i="18"/>
  <c r="O845" i="18"/>
  <c r="O628" i="18"/>
  <c r="O659" i="18"/>
  <c r="AC780" i="18"/>
  <c r="AC811" i="18"/>
  <c r="AC749" i="18"/>
  <c r="AC718" i="18"/>
  <c r="AC687" i="18"/>
  <c r="AC625" i="18"/>
  <c r="AC842" i="18"/>
  <c r="AC656" i="18"/>
  <c r="R842" i="18"/>
  <c r="R811" i="18"/>
  <c r="R780" i="18"/>
  <c r="R656" i="18"/>
  <c r="R718" i="18"/>
  <c r="R749" i="18"/>
  <c r="R625" i="18"/>
  <c r="R687" i="18"/>
  <c r="X842" i="18"/>
  <c r="X811" i="18"/>
  <c r="X780" i="18"/>
  <c r="X749" i="18"/>
  <c r="X687" i="18"/>
  <c r="X718" i="18"/>
  <c r="X656" i="18"/>
  <c r="X625" i="18"/>
  <c r="X816" i="18"/>
  <c r="X785" i="18"/>
  <c r="X847" i="18"/>
  <c r="X754" i="18"/>
  <c r="X661" i="18"/>
  <c r="X723" i="18"/>
  <c r="X630" i="18"/>
  <c r="X692" i="18"/>
  <c r="AC847" i="18"/>
  <c r="AC754" i="18"/>
  <c r="AC816" i="18"/>
  <c r="AC785" i="18"/>
  <c r="AC692" i="18"/>
  <c r="AC723" i="18"/>
  <c r="AC661" i="18"/>
  <c r="AC630" i="18"/>
  <c r="Q847" i="18"/>
  <c r="Q816" i="18"/>
  <c r="Q723" i="18"/>
  <c r="Q785" i="18"/>
  <c r="Q661" i="18"/>
  <c r="Q754" i="18"/>
  <c r="Q630" i="18"/>
  <c r="Q692" i="18"/>
  <c r="J560" i="18"/>
  <c r="J529" i="18"/>
  <c r="J436" i="18"/>
  <c r="J467" i="18"/>
  <c r="J405" i="18"/>
  <c r="J498" i="18"/>
  <c r="J374" i="18"/>
  <c r="J343" i="18"/>
  <c r="AH560" i="18"/>
  <c r="AH529" i="18"/>
  <c r="AH436" i="18"/>
  <c r="AH498" i="18"/>
  <c r="AH405" i="18"/>
  <c r="AH374" i="18"/>
  <c r="AH343" i="18"/>
  <c r="AH467" i="18"/>
  <c r="AD529" i="18"/>
  <c r="AD467" i="18"/>
  <c r="AD343" i="18"/>
  <c r="AD498" i="18"/>
  <c r="AD436" i="18"/>
  <c r="AD560" i="18"/>
  <c r="AD405" i="18"/>
  <c r="AD374" i="18"/>
  <c r="K467" i="18"/>
  <c r="K560" i="18"/>
  <c r="K405" i="18"/>
  <c r="K374" i="18"/>
  <c r="K529" i="18"/>
  <c r="K498" i="18"/>
  <c r="K436" i="18"/>
  <c r="K343" i="18"/>
  <c r="R846" i="18"/>
  <c r="R815" i="18"/>
  <c r="R784" i="18"/>
  <c r="R753" i="18"/>
  <c r="R660" i="18"/>
  <c r="R691" i="18"/>
  <c r="R722" i="18"/>
  <c r="R629" i="18"/>
  <c r="Y846" i="18"/>
  <c r="Y815" i="18"/>
  <c r="Y753" i="18"/>
  <c r="Y784" i="18"/>
  <c r="Y691" i="18"/>
  <c r="Y722" i="18"/>
  <c r="Y660" i="18"/>
  <c r="Y629" i="18"/>
  <c r="AC815" i="18"/>
  <c r="AC784" i="18"/>
  <c r="AC846" i="18"/>
  <c r="AC753" i="18"/>
  <c r="AC691" i="18"/>
  <c r="AC722" i="18"/>
  <c r="AC660" i="18"/>
  <c r="AC629" i="18"/>
  <c r="T559" i="18"/>
  <c r="T528" i="18"/>
  <c r="T435" i="18"/>
  <c r="T404" i="18"/>
  <c r="T466" i="18"/>
  <c r="T497" i="18"/>
  <c r="T342" i="18"/>
  <c r="T373" i="18"/>
  <c r="W559" i="18"/>
  <c r="W528" i="18"/>
  <c r="W373" i="18"/>
  <c r="W466" i="18"/>
  <c r="W497" i="18"/>
  <c r="W435" i="18"/>
  <c r="W404" i="18"/>
  <c r="W342" i="18"/>
  <c r="AD559" i="18"/>
  <c r="AD497" i="18"/>
  <c r="AD404" i="18"/>
  <c r="AD373" i="18"/>
  <c r="AD466" i="18"/>
  <c r="AD435" i="18"/>
  <c r="AD528" i="18"/>
  <c r="AD342" i="18"/>
  <c r="W495" i="18"/>
  <c r="W464" i="18"/>
  <c r="W557" i="18"/>
  <c r="W433" i="18"/>
  <c r="W526" i="18"/>
  <c r="W402" i="18"/>
  <c r="W371" i="18"/>
  <c r="W340" i="18"/>
  <c r="AB526" i="18"/>
  <c r="AB557" i="18"/>
  <c r="AB340" i="18"/>
  <c r="AB495" i="18"/>
  <c r="AB433" i="18"/>
  <c r="AB464" i="18"/>
  <c r="AB402" i="18"/>
  <c r="AB371" i="18"/>
  <c r="AF557" i="18"/>
  <c r="AF526" i="18"/>
  <c r="AF433" i="18"/>
  <c r="AF495" i="18"/>
  <c r="AF402" i="18"/>
  <c r="AF464" i="18"/>
  <c r="AF340" i="18"/>
  <c r="AF371" i="18"/>
  <c r="X494" i="18"/>
  <c r="X556" i="18"/>
  <c r="X525" i="18"/>
  <c r="X432" i="18"/>
  <c r="X463" i="18"/>
  <c r="X370" i="18"/>
  <c r="X401" i="18"/>
  <c r="X339" i="18"/>
  <c r="AG848" i="18"/>
  <c r="AG786" i="18"/>
  <c r="AG817" i="18"/>
  <c r="AG755" i="18"/>
  <c r="AG693" i="18"/>
  <c r="AG724" i="18"/>
  <c r="AG631" i="18"/>
  <c r="AG662" i="18"/>
  <c r="AD249" i="18"/>
  <c r="AD218" i="18"/>
  <c r="AD125" i="18"/>
  <c r="AD94" i="18"/>
  <c r="AD187" i="18"/>
  <c r="AD156" i="18"/>
  <c r="AD63" i="18"/>
  <c r="AD32" i="18"/>
  <c r="AE273" i="18"/>
  <c r="AE211" i="18"/>
  <c r="AE118" i="18"/>
  <c r="AE87" i="18"/>
  <c r="AE180" i="18"/>
  <c r="AE56" i="18"/>
  <c r="AE149" i="18"/>
  <c r="AE242" i="18"/>
  <c r="AE842" i="18"/>
  <c r="AE780" i="18"/>
  <c r="AE811" i="18"/>
  <c r="AE718" i="18"/>
  <c r="AE749" i="18"/>
  <c r="AE687" i="18"/>
  <c r="AE656" i="18"/>
  <c r="AE625" i="18"/>
  <c r="Z556" i="18"/>
  <c r="Z525" i="18"/>
  <c r="Z432" i="18"/>
  <c r="Z494" i="18"/>
  <c r="Z401" i="18"/>
  <c r="Z463" i="18"/>
  <c r="Z370" i="18"/>
  <c r="Z339" i="18"/>
  <c r="K463" i="18"/>
  <c r="K556" i="18"/>
  <c r="K494" i="18"/>
  <c r="K401" i="18"/>
  <c r="K370" i="18"/>
  <c r="K525" i="18"/>
  <c r="K339" i="18"/>
  <c r="K432" i="18"/>
  <c r="X843" i="18"/>
  <c r="X812" i="18"/>
  <c r="X781" i="18"/>
  <c r="X657" i="18"/>
  <c r="X750" i="18"/>
  <c r="X719" i="18"/>
  <c r="X688" i="18"/>
  <c r="X626" i="18"/>
  <c r="F94" i="48"/>
  <c r="I177" i="18"/>
  <c r="I270" i="18"/>
  <c r="I146" i="18"/>
  <c r="I239" i="18"/>
  <c r="I115" i="18"/>
  <c r="I53" i="18"/>
  <c r="I208" i="18"/>
  <c r="I84" i="18"/>
  <c r="AA156" i="18"/>
  <c r="AA218" i="18"/>
  <c r="AA125" i="18"/>
  <c r="AA94" i="18"/>
  <c r="AA249" i="18"/>
  <c r="AA32" i="18"/>
  <c r="AA63" i="18"/>
  <c r="AA187" i="18"/>
  <c r="AF218" i="18"/>
  <c r="AF249" i="18"/>
  <c r="AF94" i="18"/>
  <c r="AF187" i="18"/>
  <c r="AF63" i="18"/>
  <c r="AF156" i="18"/>
  <c r="AF125" i="18"/>
  <c r="AF32" i="18"/>
  <c r="U245" i="18"/>
  <c r="U183" i="18"/>
  <c r="U59" i="18"/>
  <c r="U276" i="18"/>
  <c r="U152" i="18"/>
  <c r="U121" i="18"/>
  <c r="U214" i="18"/>
  <c r="U90" i="18"/>
  <c r="AB276" i="18"/>
  <c r="AB214" i="18"/>
  <c r="AB245" i="18"/>
  <c r="AB90" i="18"/>
  <c r="AB183" i="18"/>
  <c r="AB59" i="18"/>
  <c r="AB121" i="18"/>
  <c r="AB152" i="18"/>
  <c r="AB244" i="18"/>
  <c r="AB213" i="18"/>
  <c r="AB120" i="18"/>
  <c r="AB89" i="18"/>
  <c r="AB182" i="18"/>
  <c r="AB275" i="18"/>
  <c r="AB151" i="18"/>
  <c r="AB58" i="18"/>
  <c r="W274" i="18"/>
  <c r="W88" i="18"/>
  <c r="W212" i="18"/>
  <c r="W181" i="18"/>
  <c r="W243" i="18"/>
  <c r="W150" i="18"/>
  <c r="W57" i="18"/>
  <c r="W119" i="18"/>
  <c r="Y504" i="18"/>
  <c r="Y473" i="18"/>
  <c r="Y535" i="18"/>
  <c r="Y442" i="18"/>
  <c r="Y411" i="18"/>
  <c r="Y380" i="18"/>
  <c r="Y349" i="18"/>
  <c r="Y318" i="18"/>
  <c r="AD535" i="18"/>
  <c r="AD504" i="18"/>
  <c r="AD349" i="18"/>
  <c r="AD442" i="18"/>
  <c r="AD473" i="18"/>
  <c r="AD411" i="18"/>
  <c r="AD318" i="18"/>
  <c r="AD380" i="18"/>
  <c r="AC273" i="18"/>
  <c r="AC242" i="18"/>
  <c r="AC149" i="18"/>
  <c r="AC211" i="18"/>
  <c r="AC118" i="18"/>
  <c r="AC87" i="18"/>
  <c r="AC56" i="18"/>
  <c r="AC180" i="18"/>
  <c r="I813" i="18"/>
  <c r="I751" i="18"/>
  <c r="I782" i="18"/>
  <c r="I689" i="18"/>
  <c r="I720" i="18"/>
  <c r="I844" i="18"/>
  <c r="I627" i="18"/>
  <c r="I658" i="18"/>
  <c r="R821" i="18"/>
  <c r="R790" i="18"/>
  <c r="R728" i="18"/>
  <c r="R666" i="18"/>
  <c r="R759" i="18"/>
  <c r="R635" i="18"/>
  <c r="R604" i="18"/>
  <c r="R697" i="18"/>
  <c r="M821" i="18"/>
  <c r="M790" i="18"/>
  <c r="M759" i="18"/>
  <c r="M697" i="18"/>
  <c r="M728" i="18"/>
  <c r="M604" i="18"/>
  <c r="M666" i="18"/>
  <c r="M635" i="18"/>
  <c r="G96" i="48"/>
  <c r="AH241" i="18"/>
  <c r="AH210" i="18"/>
  <c r="AH272" i="18"/>
  <c r="AH117" i="18"/>
  <c r="AH86" i="18"/>
  <c r="AH179" i="18"/>
  <c r="AH148" i="18"/>
  <c r="AH55" i="18"/>
  <c r="X561" i="18"/>
  <c r="X530" i="18"/>
  <c r="X437" i="18"/>
  <c r="X499" i="18"/>
  <c r="X406" i="18"/>
  <c r="X468" i="18"/>
  <c r="X375" i="18"/>
  <c r="X344" i="18"/>
  <c r="AB240" i="18"/>
  <c r="AB271" i="18"/>
  <c r="AB116" i="18"/>
  <c r="AB85" i="18"/>
  <c r="AB178" i="18"/>
  <c r="AB209" i="18"/>
  <c r="AB147" i="18"/>
  <c r="AB54" i="18"/>
  <c r="I562" i="18"/>
  <c r="I531" i="18"/>
  <c r="I376" i="18"/>
  <c r="I469" i="18"/>
  <c r="I500" i="18"/>
  <c r="I438" i="18"/>
  <c r="I407" i="18"/>
  <c r="I345" i="18"/>
  <c r="AE814" i="18"/>
  <c r="AE845" i="18"/>
  <c r="AE783" i="18"/>
  <c r="AE752" i="18"/>
  <c r="AE721" i="18"/>
  <c r="AE690" i="18"/>
  <c r="AE628" i="18"/>
  <c r="AE659" i="18"/>
  <c r="W814" i="18"/>
  <c r="W783" i="18"/>
  <c r="W845" i="18"/>
  <c r="W752" i="18"/>
  <c r="W721" i="18"/>
  <c r="W690" i="18"/>
  <c r="W628" i="18"/>
  <c r="W659" i="18"/>
  <c r="AH842" i="18"/>
  <c r="AH811" i="18"/>
  <c r="AH780" i="18"/>
  <c r="AH749" i="18"/>
  <c r="AH656" i="18"/>
  <c r="AH718" i="18"/>
  <c r="AH687" i="18"/>
  <c r="AH625" i="18"/>
  <c r="N847" i="18"/>
  <c r="N785" i="18"/>
  <c r="N816" i="18"/>
  <c r="N754" i="18"/>
  <c r="N692" i="18"/>
  <c r="N661" i="18"/>
  <c r="N723" i="18"/>
  <c r="N630" i="18"/>
  <c r="R560" i="18"/>
  <c r="R529" i="18"/>
  <c r="R436" i="18"/>
  <c r="R498" i="18"/>
  <c r="R405" i="18"/>
  <c r="R467" i="18"/>
  <c r="R343" i="18"/>
  <c r="R374" i="18"/>
  <c r="AH846" i="18"/>
  <c r="AH815" i="18"/>
  <c r="AH784" i="18"/>
  <c r="AH722" i="18"/>
  <c r="AH660" i="18"/>
  <c r="AH753" i="18"/>
  <c r="AH629" i="18"/>
  <c r="AH691" i="18"/>
  <c r="K497" i="18"/>
  <c r="K466" i="18"/>
  <c r="K559" i="18"/>
  <c r="K435" i="18"/>
  <c r="K404" i="18"/>
  <c r="K342" i="18"/>
  <c r="K528" i="18"/>
  <c r="K373" i="18"/>
  <c r="M526" i="18"/>
  <c r="M495" i="18"/>
  <c r="M557" i="18"/>
  <c r="M464" i="18"/>
  <c r="M433" i="18"/>
  <c r="M402" i="18"/>
  <c r="M340" i="18"/>
  <c r="M371" i="18"/>
  <c r="O843" i="18"/>
  <c r="O812" i="18"/>
  <c r="O781" i="18"/>
  <c r="O750" i="18"/>
  <c r="O688" i="18"/>
  <c r="O657" i="18"/>
  <c r="O719" i="18"/>
  <c r="O626" i="18"/>
  <c r="AB848" i="18"/>
  <c r="AB786" i="18"/>
  <c r="AB817" i="18"/>
  <c r="AB755" i="18"/>
  <c r="AB724" i="18"/>
  <c r="AB693" i="18"/>
  <c r="AB662" i="18"/>
  <c r="AB631" i="18"/>
  <c r="J270" i="18"/>
  <c r="J239" i="18"/>
  <c r="J177" i="18"/>
  <c r="J146" i="18"/>
  <c r="J208" i="18"/>
  <c r="J115" i="18"/>
  <c r="J53" i="18"/>
  <c r="J84" i="18"/>
  <c r="AG208" i="18"/>
  <c r="AG177" i="18"/>
  <c r="AG146" i="18"/>
  <c r="AG270" i="18"/>
  <c r="AG115" i="18"/>
  <c r="AG239" i="18"/>
  <c r="AG84" i="18"/>
  <c r="AG53" i="18"/>
  <c r="R245" i="18"/>
  <c r="R214" i="18"/>
  <c r="R121" i="18"/>
  <c r="R90" i="18"/>
  <c r="R276" i="18"/>
  <c r="R183" i="18"/>
  <c r="R152" i="18"/>
  <c r="R59" i="18"/>
  <c r="J274" i="18"/>
  <c r="J243" i="18"/>
  <c r="J181" i="18"/>
  <c r="J150" i="18"/>
  <c r="J212" i="18"/>
  <c r="J88" i="18"/>
  <c r="J57" i="18"/>
  <c r="J119" i="18"/>
  <c r="AF504" i="18"/>
  <c r="AF442" i="18"/>
  <c r="AF318" i="18"/>
  <c r="AF473" i="18"/>
  <c r="AF535" i="18"/>
  <c r="AF380" i="18"/>
  <c r="AF349" i="18"/>
  <c r="AF411" i="18"/>
  <c r="Z813" i="18"/>
  <c r="Z782" i="18"/>
  <c r="Z844" i="18"/>
  <c r="Z751" i="18"/>
  <c r="Z689" i="18"/>
  <c r="Z720" i="18"/>
  <c r="Z658" i="18"/>
  <c r="Z627" i="18"/>
  <c r="O821" i="18"/>
  <c r="O790" i="18"/>
  <c r="O759" i="18"/>
  <c r="O697" i="18"/>
  <c r="O728" i="18"/>
  <c r="O666" i="18"/>
  <c r="O635" i="18"/>
  <c r="O604" i="18"/>
  <c r="AF272" i="18"/>
  <c r="AF241" i="18"/>
  <c r="AF148" i="18"/>
  <c r="AF117" i="18"/>
  <c r="AF210" i="18"/>
  <c r="AF179" i="18"/>
  <c r="AF55" i="18"/>
  <c r="AF86" i="18"/>
  <c r="AE178" i="18"/>
  <c r="AE209" i="18"/>
  <c r="AE147" i="18"/>
  <c r="AE116" i="18"/>
  <c r="AE271" i="18"/>
  <c r="AE54" i="18"/>
  <c r="AE240" i="18"/>
  <c r="AE85" i="18"/>
  <c r="K531" i="18"/>
  <c r="K500" i="18"/>
  <c r="K562" i="18"/>
  <c r="K469" i="18"/>
  <c r="K438" i="18"/>
  <c r="K407" i="18"/>
  <c r="K345" i="18"/>
  <c r="K376" i="18"/>
  <c r="AD845" i="18"/>
  <c r="AD814" i="18"/>
  <c r="AD783" i="18"/>
  <c r="AD752" i="18"/>
  <c r="AD721" i="18"/>
  <c r="AD690" i="18"/>
  <c r="AD659" i="18"/>
  <c r="AD628" i="18"/>
  <c r="U842" i="18"/>
  <c r="U780" i="18"/>
  <c r="U749" i="18"/>
  <c r="U811" i="18"/>
  <c r="U718" i="18"/>
  <c r="U687" i="18"/>
  <c r="U625" i="18"/>
  <c r="U656" i="18"/>
  <c r="V529" i="18"/>
  <c r="V467" i="18"/>
  <c r="V343" i="18"/>
  <c r="V436" i="18"/>
  <c r="V405" i="18"/>
  <c r="V560" i="18"/>
  <c r="V374" i="18"/>
  <c r="V498" i="18"/>
  <c r="W846" i="18"/>
  <c r="W784" i="18"/>
  <c r="W753" i="18"/>
  <c r="W815" i="18"/>
  <c r="W691" i="18"/>
  <c r="W722" i="18"/>
  <c r="W629" i="18"/>
  <c r="W660" i="18"/>
  <c r="K557" i="18"/>
  <c r="K526" i="18"/>
  <c r="K371" i="18"/>
  <c r="K464" i="18"/>
  <c r="K495" i="18"/>
  <c r="K433" i="18"/>
  <c r="K402" i="18"/>
  <c r="K340" i="18"/>
  <c r="S557" i="18"/>
  <c r="S526" i="18"/>
  <c r="S495" i="18"/>
  <c r="S371" i="18"/>
  <c r="S464" i="18"/>
  <c r="S433" i="18"/>
  <c r="S402" i="18"/>
  <c r="S340" i="18"/>
  <c r="I494" i="18"/>
  <c r="I463" i="18"/>
  <c r="I556" i="18"/>
  <c r="I432" i="18"/>
  <c r="I401" i="18"/>
  <c r="I370" i="18"/>
  <c r="I339" i="18"/>
  <c r="I525" i="18"/>
  <c r="AH556" i="18"/>
  <c r="AH525" i="18"/>
  <c r="AH432" i="18"/>
  <c r="AH401" i="18"/>
  <c r="AH463" i="18"/>
  <c r="AH494" i="18"/>
  <c r="AH339" i="18"/>
  <c r="AH370" i="18"/>
  <c r="T556" i="18"/>
  <c r="T494" i="18"/>
  <c r="T463" i="18"/>
  <c r="T401" i="18"/>
  <c r="T525" i="18"/>
  <c r="T370" i="18"/>
  <c r="T432" i="18"/>
  <c r="T339" i="18"/>
  <c r="O525" i="18"/>
  <c r="O494" i="18"/>
  <c r="O556" i="18"/>
  <c r="O463" i="18"/>
  <c r="O432" i="18"/>
  <c r="O401" i="18"/>
  <c r="O339" i="18"/>
  <c r="O370" i="18"/>
  <c r="M843" i="18"/>
  <c r="M812" i="18"/>
  <c r="M781" i="18"/>
  <c r="M719" i="18"/>
  <c r="M688" i="18"/>
  <c r="M750" i="18"/>
  <c r="M626" i="18"/>
  <c r="M657" i="18"/>
  <c r="Q812" i="18"/>
  <c r="Q719" i="18"/>
  <c r="Q843" i="18"/>
  <c r="Q781" i="18"/>
  <c r="Q657" i="18"/>
  <c r="Q626" i="18"/>
  <c r="Q750" i="18"/>
  <c r="Q688" i="18"/>
  <c r="L812" i="18"/>
  <c r="L781" i="18"/>
  <c r="L843" i="18"/>
  <c r="L750" i="18"/>
  <c r="L719" i="18"/>
  <c r="L688" i="18"/>
  <c r="L626" i="18"/>
  <c r="L657" i="18"/>
  <c r="Z817" i="18"/>
  <c r="Z848" i="18"/>
  <c r="Z786" i="18"/>
  <c r="Z755" i="18"/>
  <c r="Z724" i="18"/>
  <c r="Z693" i="18"/>
  <c r="Z662" i="18"/>
  <c r="Z631" i="18"/>
  <c r="AE848" i="18"/>
  <c r="AE817" i="18"/>
  <c r="AE724" i="18"/>
  <c r="AE786" i="18"/>
  <c r="AE662" i="18"/>
  <c r="AE631" i="18"/>
  <c r="AE693" i="18"/>
  <c r="AE755" i="18"/>
  <c r="S848" i="18"/>
  <c r="S817" i="18"/>
  <c r="S786" i="18"/>
  <c r="S755" i="18"/>
  <c r="S724" i="18"/>
  <c r="S693" i="18"/>
  <c r="S631" i="18"/>
  <c r="S662" i="18"/>
  <c r="M496" i="18"/>
  <c r="M465" i="18"/>
  <c r="M558" i="18"/>
  <c r="M434" i="18"/>
  <c r="M527" i="18"/>
  <c r="M403" i="18"/>
  <c r="M372" i="18"/>
  <c r="M341" i="18"/>
  <c r="AF558" i="18"/>
  <c r="AF496" i="18"/>
  <c r="AF465" i="18"/>
  <c r="AF403" i="18"/>
  <c r="AF527" i="18"/>
  <c r="AF372" i="18"/>
  <c r="AF434" i="18"/>
  <c r="AF341" i="18"/>
  <c r="W465" i="18"/>
  <c r="W558" i="18"/>
  <c r="W496" i="18"/>
  <c r="W403" i="18"/>
  <c r="W372" i="18"/>
  <c r="W527" i="18"/>
  <c r="W341" i="18"/>
  <c r="W434" i="18"/>
  <c r="U270" i="18"/>
  <c r="U115" i="18"/>
  <c r="U208" i="18"/>
  <c r="U84" i="18"/>
  <c r="U177" i="18"/>
  <c r="U239" i="18"/>
  <c r="U146" i="18"/>
  <c r="U53" i="18"/>
  <c r="AE239" i="18"/>
  <c r="AE208" i="18"/>
  <c r="AE84" i="18"/>
  <c r="AE177" i="18"/>
  <c r="AE270" i="18"/>
  <c r="AE146" i="18"/>
  <c r="AE53" i="18"/>
  <c r="AE115" i="18"/>
  <c r="U249" i="18"/>
  <c r="U125" i="18"/>
  <c r="U94" i="18"/>
  <c r="U187" i="18"/>
  <c r="U32" i="18"/>
  <c r="U156" i="18"/>
  <c r="U218" i="18"/>
  <c r="U63" i="18"/>
  <c r="AB249" i="18"/>
  <c r="AB156" i="18"/>
  <c r="AB218" i="18"/>
  <c r="AB125" i="18"/>
  <c r="AB187" i="18"/>
  <c r="AB94" i="18"/>
  <c r="AB63" i="18"/>
  <c r="AB32" i="18"/>
  <c r="P276" i="18"/>
  <c r="P245" i="18"/>
  <c r="P152" i="18"/>
  <c r="P214" i="18"/>
  <c r="P121" i="18"/>
  <c r="P183" i="18"/>
  <c r="P59" i="18"/>
  <c r="P90" i="18"/>
  <c r="Q275" i="18"/>
  <c r="Q151" i="18"/>
  <c r="Q120" i="18"/>
  <c r="Q213" i="18"/>
  <c r="Q89" i="18"/>
  <c r="Q244" i="18"/>
  <c r="Q58" i="18"/>
  <c r="Q182" i="18"/>
  <c r="W275" i="18"/>
  <c r="W213" i="18"/>
  <c r="W182" i="18"/>
  <c r="W58" i="18"/>
  <c r="W151" i="18"/>
  <c r="W244" i="18"/>
  <c r="W120" i="18"/>
  <c r="W89" i="18"/>
  <c r="V274" i="18"/>
  <c r="V243" i="18"/>
  <c r="V212" i="18"/>
  <c r="V119" i="18"/>
  <c r="V88" i="18"/>
  <c r="V181" i="18"/>
  <c r="V150" i="18"/>
  <c r="V57" i="18"/>
  <c r="AF274" i="18"/>
  <c r="AF212" i="18"/>
  <c r="AF88" i="18"/>
  <c r="AF181" i="18"/>
  <c r="AF57" i="18"/>
  <c r="AF243" i="18"/>
  <c r="AF119" i="18"/>
  <c r="AF150" i="18"/>
  <c r="Z535" i="18"/>
  <c r="Z442" i="18"/>
  <c r="Z473" i="18"/>
  <c r="Z411" i="18"/>
  <c r="Z504" i="18"/>
  <c r="Z380" i="18"/>
  <c r="Z349" i="18"/>
  <c r="Z318" i="18"/>
  <c r="R535" i="18"/>
  <c r="R504" i="18"/>
  <c r="R442" i="18"/>
  <c r="R411" i="18"/>
  <c r="R380" i="18"/>
  <c r="R349" i="18"/>
  <c r="R318" i="18"/>
  <c r="R473" i="18"/>
  <c r="O273" i="18"/>
  <c r="O242" i="18"/>
  <c r="O118" i="18"/>
  <c r="O87" i="18"/>
  <c r="O211" i="18"/>
  <c r="O180" i="18"/>
  <c r="O56" i="18"/>
  <c r="O149" i="18"/>
  <c r="Y87" i="18"/>
  <c r="Y273" i="18"/>
  <c r="Y242" i="18"/>
  <c r="Y180" i="18"/>
  <c r="Y211" i="18"/>
  <c r="Y149" i="18"/>
  <c r="Y118" i="18"/>
  <c r="Y56" i="18"/>
  <c r="AB844" i="18"/>
  <c r="AB813" i="18"/>
  <c r="AB751" i="18"/>
  <c r="AB782" i="18"/>
  <c r="AB689" i="18"/>
  <c r="AB658" i="18"/>
  <c r="AB720" i="18"/>
  <c r="AB627" i="18"/>
  <c r="P844" i="18"/>
  <c r="P813" i="18"/>
  <c r="P782" i="18"/>
  <c r="P751" i="18"/>
  <c r="P689" i="18"/>
  <c r="P720" i="18"/>
  <c r="P658" i="18"/>
  <c r="P627" i="18"/>
  <c r="I821" i="18"/>
  <c r="I759" i="18"/>
  <c r="I790" i="18"/>
  <c r="I697" i="18"/>
  <c r="I728" i="18"/>
  <c r="I666" i="18"/>
  <c r="I635" i="18"/>
  <c r="I604" i="18"/>
  <c r="AC272" i="18"/>
  <c r="AC241" i="18"/>
  <c r="AC179" i="18"/>
  <c r="AC55" i="18"/>
  <c r="AC148" i="18"/>
  <c r="AC117" i="18"/>
  <c r="AC210" i="18"/>
  <c r="AC86" i="18"/>
  <c r="J241" i="18"/>
  <c r="J272" i="18"/>
  <c r="J117" i="18"/>
  <c r="J86" i="18"/>
  <c r="J179" i="18"/>
  <c r="J210" i="18"/>
  <c r="J148" i="18"/>
  <c r="J55" i="18"/>
  <c r="AD272" i="18"/>
  <c r="AD241" i="18"/>
  <c r="AD179" i="18"/>
  <c r="AD148" i="18"/>
  <c r="AD210" i="18"/>
  <c r="AD86" i="18"/>
  <c r="AD55" i="18"/>
  <c r="AD117" i="18"/>
  <c r="AC530" i="18"/>
  <c r="AC499" i="18"/>
  <c r="AC561" i="18"/>
  <c r="AC437" i="18"/>
  <c r="AC406" i="18"/>
  <c r="AC375" i="18"/>
  <c r="AC344" i="18"/>
  <c r="AC468" i="18"/>
  <c r="AH561" i="18"/>
  <c r="AH499" i="18"/>
  <c r="AH406" i="18"/>
  <c r="AH530" i="18"/>
  <c r="AH375" i="18"/>
  <c r="AH468" i="18"/>
  <c r="AH437" i="18"/>
  <c r="AH344" i="18"/>
  <c r="AG271" i="18"/>
  <c r="AG209" i="18"/>
  <c r="AG147" i="18"/>
  <c r="AG116" i="18"/>
  <c r="AG85" i="18"/>
  <c r="AG240" i="18"/>
  <c r="AG54" i="18"/>
  <c r="AG178" i="18"/>
  <c r="X271" i="18"/>
  <c r="X240" i="18"/>
  <c r="X178" i="18"/>
  <c r="X209" i="18"/>
  <c r="X147" i="18"/>
  <c r="X54" i="18"/>
  <c r="X85" i="18"/>
  <c r="X116" i="18"/>
  <c r="AC500" i="18"/>
  <c r="AC469" i="18"/>
  <c r="AC562" i="18"/>
  <c r="AC531" i="18"/>
  <c r="AC438" i="18"/>
  <c r="AC407" i="18"/>
  <c r="AC345" i="18"/>
  <c r="AC376" i="18"/>
  <c r="Q562" i="18"/>
  <c r="Q531" i="18"/>
  <c r="Q500" i="18"/>
  <c r="Q376" i="18"/>
  <c r="Q469" i="18"/>
  <c r="Q438" i="18"/>
  <c r="Q407" i="18"/>
  <c r="Q345" i="18"/>
  <c r="AB845" i="18"/>
  <c r="AB814" i="18"/>
  <c r="AB783" i="18"/>
  <c r="AB659" i="18"/>
  <c r="AB721" i="18"/>
  <c r="AB752" i="18"/>
  <c r="AB690" i="18"/>
  <c r="AB628" i="18"/>
  <c r="AG845" i="18"/>
  <c r="AG814" i="18"/>
  <c r="AG783" i="18"/>
  <c r="AG721" i="18"/>
  <c r="AG690" i="18"/>
  <c r="AG752" i="18"/>
  <c r="AG628" i="18"/>
  <c r="AG659" i="18"/>
  <c r="AG842" i="18"/>
  <c r="AG811" i="18"/>
  <c r="AG749" i="18"/>
  <c r="AG687" i="18"/>
  <c r="AG780" i="18"/>
  <c r="AG656" i="18"/>
  <c r="AG718" i="18"/>
  <c r="AG625" i="18"/>
  <c r="I842" i="18"/>
  <c r="I811" i="18"/>
  <c r="I749" i="18"/>
  <c r="I687" i="18"/>
  <c r="I656" i="18"/>
  <c r="I780" i="18"/>
  <c r="I718" i="18"/>
  <c r="I625" i="18"/>
  <c r="I816" i="18"/>
  <c r="I785" i="18"/>
  <c r="I723" i="18"/>
  <c r="I847" i="18"/>
  <c r="I661" i="18"/>
  <c r="I630" i="18"/>
  <c r="I754" i="18"/>
  <c r="I692" i="18"/>
  <c r="AG847" i="18"/>
  <c r="AG816" i="18"/>
  <c r="AG723" i="18"/>
  <c r="AG785" i="18"/>
  <c r="AG661" i="18"/>
  <c r="AG630" i="18"/>
  <c r="AG754" i="18"/>
  <c r="AG692" i="18"/>
  <c r="Y498" i="18"/>
  <c r="Y467" i="18"/>
  <c r="Y560" i="18"/>
  <c r="Y529" i="18"/>
  <c r="Y436" i="18"/>
  <c r="Y405" i="18"/>
  <c r="Y374" i="18"/>
  <c r="Y343" i="18"/>
  <c r="N529" i="18"/>
  <c r="N560" i="18"/>
  <c r="N343" i="18"/>
  <c r="N498" i="18"/>
  <c r="N436" i="18"/>
  <c r="N467" i="18"/>
  <c r="N405" i="18"/>
  <c r="N374" i="18"/>
  <c r="O846" i="18"/>
  <c r="O815" i="18"/>
  <c r="O784" i="18"/>
  <c r="O753" i="18"/>
  <c r="O722" i="18"/>
  <c r="O691" i="18"/>
  <c r="O660" i="18"/>
  <c r="O629" i="18"/>
  <c r="J846" i="18"/>
  <c r="J815" i="18"/>
  <c r="J784" i="18"/>
  <c r="J660" i="18"/>
  <c r="J753" i="18"/>
  <c r="J722" i="18"/>
  <c r="J691" i="18"/>
  <c r="J629" i="18"/>
  <c r="N815" i="18"/>
  <c r="N784" i="18"/>
  <c r="N846" i="18"/>
  <c r="N753" i="18"/>
  <c r="N722" i="18"/>
  <c r="N691" i="18"/>
  <c r="N660" i="18"/>
  <c r="N629" i="18"/>
  <c r="U466" i="18"/>
  <c r="U559" i="18"/>
  <c r="U404" i="18"/>
  <c r="U528" i="18"/>
  <c r="U373" i="18"/>
  <c r="U497" i="18"/>
  <c r="U435" i="18"/>
  <c r="U342" i="18"/>
  <c r="O559" i="18"/>
  <c r="O528" i="18"/>
  <c r="O497" i="18"/>
  <c r="O466" i="18"/>
  <c r="O373" i="18"/>
  <c r="O435" i="18"/>
  <c r="O342" i="18"/>
  <c r="O404" i="18"/>
  <c r="X557" i="18"/>
  <c r="X526" i="18"/>
  <c r="X433" i="18"/>
  <c r="X464" i="18"/>
  <c r="X402" i="18"/>
  <c r="X495" i="18"/>
  <c r="X371" i="18"/>
  <c r="X340" i="18"/>
  <c r="Q464" i="18"/>
  <c r="Q557" i="18"/>
  <c r="Q495" i="18"/>
  <c r="Q402" i="18"/>
  <c r="Q371" i="18"/>
  <c r="Q526" i="18"/>
  <c r="Q340" i="18"/>
  <c r="Q433" i="18"/>
  <c r="U556" i="18"/>
  <c r="U525" i="18"/>
  <c r="U370" i="18"/>
  <c r="U494" i="18"/>
  <c r="U432" i="18"/>
  <c r="U463" i="18"/>
  <c r="U401" i="18"/>
  <c r="U339" i="18"/>
  <c r="AA463" i="18"/>
  <c r="AA556" i="18"/>
  <c r="AA494" i="18"/>
  <c r="AA401" i="18"/>
  <c r="AA370" i="18"/>
  <c r="AA525" i="18"/>
  <c r="AA432" i="18"/>
  <c r="AA339" i="18"/>
  <c r="AE525" i="18"/>
  <c r="AE494" i="18"/>
  <c r="AE556" i="18"/>
  <c r="AE432" i="18"/>
  <c r="AE401" i="18"/>
  <c r="AE463" i="18"/>
  <c r="AE370" i="18"/>
  <c r="AE339" i="18"/>
  <c r="AC843" i="18"/>
  <c r="AC781" i="18"/>
  <c r="AC812" i="18"/>
  <c r="AC750" i="18"/>
  <c r="AC719" i="18"/>
  <c r="AC688" i="18"/>
  <c r="AC657" i="18"/>
  <c r="AC626" i="18"/>
  <c r="AG812" i="18"/>
  <c r="AG843" i="18"/>
  <c r="AG781" i="18"/>
  <c r="AG719" i="18"/>
  <c r="AG657" i="18"/>
  <c r="AG626" i="18"/>
  <c r="AG688" i="18"/>
  <c r="AG750" i="18"/>
  <c r="S812" i="18"/>
  <c r="S843" i="18"/>
  <c r="S781" i="18"/>
  <c r="S750" i="18"/>
  <c r="S719" i="18"/>
  <c r="S688" i="18"/>
  <c r="S626" i="18"/>
  <c r="S657" i="18"/>
  <c r="AB812" i="18"/>
  <c r="AB781" i="18"/>
  <c r="AB843" i="18"/>
  <c r="AB750" i="18"/>
  <c r="AB719" i="18"/>
  <c r="AB688" i="18"/>
  <c r="AB657" i="18"/>
  <c r="AB626" i="18"/>
  <c r="K848" i="18"/>
  <c r="K817" i="18"/>
  <c r="K755" i="18"/>
  <c r="K724" i="18"/>
  <c r="K693" i="18"/>
  <c r="K786" i="18"/>
  <c r="K631" i="18"/>
  <c r="K662" i="18"/>
  <c r="P848" i="18"/>
  <c r="P817" i="18"/>
  <c r="P786" i="18"/>
  <c r="P755" i="18"/>
  <c r="P724" i="18"/>
  <c r="P693" i="18"/>
  <c r="P662" i="18"/>
  <c r="P631" i="18"/>
  <c r="T848" i="18"/>
  <c r="T786" i="18"/>
  <c r="T817" i="18"/>
  <c r="T755" i="18"/>
  <c r="T724" i="18"/>
  <c r="T693" i="18"/>
  <c r="T662" i="18"/>
  <c r="T631" i="18"/>
  <c r="AC496" i="18"/>
  <c r="AC465" i="18"/>
  <c r="AC558" i="18"/>
  <c r="AC434" i="18"/>
  <c r="AC527" i="18"/>
  <c r="AC403" i="18"/>
  <c r="AC372" i="18"/>
  <c r="AC341" i="18"/>
  <c r="R527" i="18"/>
  <c r="R465" i="18"/>
  <c r="R341" i="18"/>
  <c r="R496" i="18"/>
  <c r="R434" i="18"/>
  <c r="R558" i="18"/>
  <c r="R403" i="18"/>
  <c r="R372" i="18"/>
  <c r="X558" i="18"/>
  <c r="X496" i="18"/>
  <c r="X403" i="18"/>
  <c r="X372" i="18"/>
  <c r="X527" i="18"/>
  <c r="X465" i="18"/>
  <c r="X434" i="18"/>
  <c r="X341" i="18"/>
  <c r="V239" i="18"/>
  <c r="V270" i="18"/>
  <c r="V115" i="18"/>
  <c r="V208" i="18"/>
  <c r="V84" i="18"/>
  <c r="V177" i="18"/>
  <c r="V146" i="18"/>
  <c r="V53" i="18"/>
  <c r="L270" i="18"/>
  <c r="L239" i="18"/>
  <c r="L146" i="18"/>
  <c r="L115" i="18"/>
  <c r="L208" i="18"/>
  <c r="L177" i="18"/>
  <c r="L53" i="18"/>
  <c r="L84" i="18"/>
  <c r="P270" i="18"/>
  <c r="P208" i="18"/>
  <c r="P84" i="18"/>
  <c r="P239" i="18"/>
  <c r="P177" i="18"/>
  <c r="P53" i="18"/>
  <c r="P115" i="18"/>
  <c r="P146" i="18"/>
  <c r="K156" i="18"/>
  <c r="K125" i="18"/>
  <c r="K94" i="18"/>
  <c r="K249" i="18"/>
  <c r="K32" i="18"/>
  <c r="K218" i="18"/>
  <c r="K63" i="18"/>
  <c r="K187" i="18"/>
  <c r="W249" i="18"/>
  <c r="W94" i="18"/>
  <c r="W187" i="18"/>
  <c r="W156" i="18"/>
  <c r="W218" i="18"/>
  <c r="W32" i="18"/>
  <c r="W63" i="18"/>
  <c r="W125" i="18"/>
  <c r="P218" i="18"/>
  <c r="P249" i="18"/>
  <c r="P94" i="18"/>
  <c r="P187" i="18"/>
  <c r="P63" i="18"/>
  <c r="P156" i="18"/>
  <c r="P125" i="18"/>
  <c r="P32" i="18"/>
  <c r="L249" i="18"/>
  <c r="L156" i="18"/>
  <c r="L125" i="18"/>
  <c r="L218" i="18"/>
  <c r="L187" i="18"/>
  <c r="L32" i="18"/>
  <c r="L94" i="18"/>
  <c r="L63" i="18"/>
  <c r="F100" i="48"/>
  <c r="I121" i="18"/>
  <c r="I90" i="18"/>
  <c r="I276" i="18"/>
  <c r="I183" i="18"/>
  <c r="I245" i="18"/>
  <c r="I214" i="18"/>
  <c r="I152" i="18"/>
  <c r="I59" i="18"/>
  <c r="T276" i="18"/>
  <c r="T214" i="18"/>
  <c r="T245" i="18"/>
  <c r="T90" i="18"/>
  <c r="T183" i="18"/>
  <c r="T59" i="18"/>
  <c r="T121" i="18"/>
  <c r="T152" i="18"/>
  <c r="L276" i="18"/>
  <c r="L214" i="18"/>
  <c r="L245" i="18"/>
  <c r="L90" i="18"/>
  <c r="L183" i="18"/>
  <c r="L59" i="18"/>
  <c r="L121" i="18"/>
  <c r="L152" i="18"/>
  <c r="AF275" i="18"/>
  <c r="AF244" i="18"/>
  <c r="AF182" i="18"/>
  <c r="AF213" i="18"/>
  <c r="AF151" i="18"/>
  <c r="AF89" i="18"/>
  <c r="AF58" i="18"/>
  <c r="AF120" i="18"/>
  <c r="L244" i="18"/>
  <c r="L275" i="18"/>
  <c r="L213" i="18"/>
  <c r="L120" i="18"/>
  <c r="L89" i="18"/>
  <c r="L182" i="18"/>
  <c r="L151" i="18"/>
  <c r="L58" i="18"/>
  <c r="AC275" i="18"/>
  <c r="AC244" i="18"/>
  <c r="AC89" i="18"/>
  <c r="AC213" i="18"/>
  <c r="AC182" i="18"/>
  <c r="AC151" i="18"/>
  <c r="AC58" i="18"/>
  <c r="AC120" i="18"/>
  <c r="AA212" i="18"/>
  <c r="AA243" i="18"/>
  <c r="AA150" i="18"/>
  <c r="AA119" i="18"/>
  <c r="AA274" i="18"/>
  <c r="AA88" i="18"/>
  <c r="AA57" i="18"/>
  <c r="AA181" i="18"/>
  <c r="U274" i="18"/>
  <c r="U119" i="18"/>
  <c r="U88" i="18"/>
  <c r="U212" i="18"/>
  <c r="U243" i="18"/>
  <c r="U181" i="18"/>
  <c r="U57" i="18"/>
  <c r="U150" i="18"/>
  <c r="P274" i="18"/>
  <c r="P212" i="18"/>
  <c r="P243" i="18"/>
  <c r="P88" i="18"/>
  <c r="P181" i="18"/>
  <c r="P57" i="18"/>
  <c r="P119" i="18"/>
  <c r="P150" i="18"/>
  <c r="S473" i="18"/>
  <c r="S411" i="18"/>
  <c r="S535" i="18"/>
  <c r="S380" i="18"/>
  <c r="S442" i="18"/>
  <c r="S349" i="18"/>
  <c r="S504" i="18"/>
  <c r="S318" i="18"/>
  <c r="K473" i="18"/>
  <c r="K411" i="18"/>
  <c r="K504" i="18"/>
  <c r="K380" i="18"/>
  <c r="K535" i="18"/>
  <c r="K349" i="18"/>
  <c r="K318" i="18"/>
  <c r="K442" i="18"/>
  <c r="O535" i="18"/>
  <c r="O504" i="18"/>
  <c r="O473" i="18"/>
  <c r="O442" i="18"/>
  <c r="O411" i="18"/>
  <c r="O349" i="18"/>
  <c r="O318" i="18"/>
  <c r="O380" i="18"/>
  <c r="I73" i="48"/>
  <c r="AH535" i="18"/>
  <c r="AH504" i="18"/>
  <c r="AH442" i="18"/>
  <c r="AH411" i="18"/>
  <c r="AH473" i="18"/>
  <c r="AH380" i="18"/>
  <c r="AH349" i="18"/>
  <c r="AH318" i="18"/>
  <c r="F97" i="48"/>
  <c r="I211" i="18"/>
  <c r="I87" i="18"/>
  <c r="I180" i="18"/>
  <c r="I242" i="18"/>
  <c r="I149" i="18"/>
  <c r="I56" i="18"/>
  <c r="I273" i="18"/>
  <c r="I118" i="18"/>
  <c r="M273" i="18"/>
  <c r="M149" i="18"/>
  <c r="M242" i="18"/>
  <c r="M118" i="18"/>
  <c r="M87" i="18"/>
  <c r="M211" i="18"/>
  <c r="M56" i="18"/>
  <c r="M180" i="18"/>
  <c r="X242" i="18"/>
  <c r="X211" i="18"/>
  <c r="X273" i="18"/>
  <c r="X118" i="18"/>
  <c r="X87" i="18"/>
  <c r="X180" i="18"/>
  <c r="X149" i="18"/>
  <c r="X56" i="18"/>
  <c r="W813" i="18"/>
  <c r="W720" i="18"/>
  <c r="W782" i="18"/>
  <c r="W844" i="18"/>
  <c r="W658" i="18"/>
  <c r="W751" i="18"/>
  <c r="W627" i="18"/>
  <c r="W689" i="18"/>
  <c r="Y782" i="18"/>
  <c r="Y813" i="18"/>
  <c r="Y844" i="18"/>
  <c r="Y751" i="18"/>
  <c r="Y689" i="18"/>
  <c r="Y720" i="18"/>
  <c r="Y627" i="18"/>
  <c r="Y658" i="18"/>
  <c r="AF844" i="18"/>
  <c r="AF813" i="18"/>
  <c r="AF782" i="18"/>
  <c r="AF751" i="18"/>
  <c r="AF720" i="18"/>
  <c r="AF689" i="18"/>
  <c r="AF627" i="18"/>
  <c r="AF658" i="18"/>
  <c r="AH821" i="18"/>
  <c r="AH790" i="18"/>
  <c r="AH666" i="18"/>
  <c r="AH728" i="18"/>
  <c r="AH759" i="18"/>
  <c r="AH697" i="18"/>
  <c r="AH635" i="18"/>
  <c r="AH604" i="18"/>
  <c r="Y821" i="18"/>
  <c r="Y759" i="18"/>
  <c r="Y790" i="18"/>
  <c r="Y697" i="18"/>
  <c r="Y666" i="18"/>
  <c r="Y728" i="18"/>
  <c r="Y635" i="18"/>
  <c r="Y604" i="18"/>
  <c r="AC790" i="18"/>
  <c r="AC759" i="18"/>
  <c r="AC821" i="18"/>
  <c r="AC728" i="18"/>
  <c r="AC697" i="18"/>
  <c r="AC635" i="18"/>
  <c r="AC604" i="18"/>
  <c r="AC666" i="18"/>
  <c r="M179" i="18"/>
  <c r="M241" i="18"/>
  <c r="M148" i="18"/>
  <c r="M272" i="18"/>
  <c r="M210" i="18"/>
  <c r="M117" i="18"/>
  <c r="M86" i="18"/>
  <c r="M55" i="18"/>
  <c r="Y272" i="18"/>
  <c r="Y210" i="18"/>
  <c r="Y117" i="18"/>
  <c r="Y241" i="18"/>
  <c r="Y86" i="18"/>
  <c r="Y179" i="18"/>
  <c r="Y55" i="18"/>
  <c r="Y148" i="18"/>
  <c r="R241" i="18"/>
  <c r="R272" i="18"/>
  <c r="R117" i="18"/>
  <c r="R86" i="18"/>
  <c r="R179" i="18"/>
  <c r="R148" i="18"/>
  <c r="R210" i="18"/>
  <c r="R55" i="18"/>
  <c r="N272" i="18"/>
  <c r="N241" i="18"/>
  <c r="N179" i="18"/>
  <c r="N148" i="18"/>
  <c r="N210" i="18"/>
  <c r="N86" i="18"/>
  <c r="N117" i="18"/>
  <c r="N55" i="18"/>
  <c r="M530" i="18"/>
  <c r="M499" i="18"/>
  <c r="M561" i="18"/>
  <c r="M468" i="18"/>
  <c r="M437" i="18"/>
  <c r="M406" i="18"/>
  <c r="M344" i="18"/>
  <c r="M375" i="18"/>
  <c r="Z561" i="18"/>
  <c r="Z499" i="18"/>
  <c r="Z406" i="18"/>
  <c r="Z468" i="18"/>
  <c r="Z375" i="18"/>
  <c r="Z530" i="18"/>
  <c r="Z437" i="18"/>
  <c r="Z344" i="18"/>
  <c r="R561" i="18"/>
  <c r="R499" i="18"/>
  <c r="R530" i="18"/>
  <c r="R468" i="18"/>
  <c r="R406" i="18"/>
  <c r="R375" i="18"/>
  <c r="R437" i="18"/>
  <c r="R344" i="18"/>
  <c r="Q271" i="18"/>
  <c r="Q240" i="18"/>
  <c r="Q147" i="18"/>
  <c r="Q116" i="18"/>
  <c r="Q85" i="18"/>
  <c r="Q209" i="18"/>
  <c r="Q178" i="18"/>
  <c r="Q54" i="18"/>
  <c r="L240" i="18"/>
  <c r="L271" i="18"/>
  <c r="L116" i="18"/>
  <c r="L85" i="18"/>
  <c r="L209" i="18"/>
  <c r="L178" i="18"/>
  <c r="L147" i="18"/>
  <c r="L54" i="18"/>
  <c r="M85" i="18"/>
  <c r="M209" i="18"/>
  <c r="M271" i="18"/>
  <c r="M240" i="18"/>
  <c r="M178" i="18"/>
  <c r="M147" i="18"/>
  <c r="M116" i="18"/>
  <c r="M54" i="18"/>
  <c r="Y562" i="18"/>
  <c r="Y531" i="18"/>
  <c r="Y376" i="18"/>
  <c r="Y500" i="18"/>
  <c r="Y438" i="18"/>
  <c r="Y407" i="18"/>
  <c r="Y469" i="18"/>
  <c r="Y345" i="18"/>
  <c r="N562" i="18"/>
  <c r="N531" i="18"/>
  <c r="N438" i="18"/>
  <c r="N500" i="18"/>
  <c r="N407" i="18"/>
  <c r="N345" i="18"/>
  <c r="N469" i="18"/>
  <c r="N376" i="18"/>
  <c r="AG562" i="18"/>
  <c r="AG531" i="18"/>
  <c r="AG500" i="18"/>
  <c r="AG469" i="18"/>
  <c r="AG376" i="18"/>
  <c r="AG438" i="18"/>
  <c r="AG345" i="18"/>
  <c r="AG407" i="18"/>
  <c r="I845" i="18"/>
  <c r="I783" i="18"/>
  <c r="I814" i="18"/>
  <c r="I690" i="18"/>
  <c r="I752" i="18"/>
  <c r="I721" i="18"/>
  <c r="I659" i="18"/>
  <c r="I628" i="18"/>
  <c r="M814" i="18"/>
  <c r="M845" i="18"/>
  <c r="M721" i="18"/>
  <c r="M783" i="18"/>
  <c r="M659" i="18"/>
  <c r="M628" i="18"/>
  <c r="M752" i="18"/>
  <c r="M690" i="18"/>
  <c r="R845" i="18"/>
  <c r="R814" i="18"/>
  <c r="R783" i="18"/>
  <c r="R752" i="18"/>
  <c r="R690" i="18"/>
  <c r="R659" i="18"/>
  <c r="R721" i="18"/>
  <c r="R628" i="18"/>
  <c r="X814" i="18"/>
  <c r="X783" i="18"/>
  <c r="X845" i="18"/>
  <c r="X752" i="18"/>
  <c r="X721" i="18"/>
  <c r="X690" i="18"/>
  <c r="X628" i="18"/>
  <c r="X659" i="18"/>
  <c r="N811" i="18"/>
  <c r="N842" i="18"/>
  <c r="N780" i="18"/>
  <c r="N749" i="18"/>
  <c r="N718" i="18"/>
  <c r="N687" i="18"/>
  <c r="N656" i="18"/>
  <c r="N625" i="18"/>
  <c r="S811" i="18"/>
  <c r="S842" i="18"/>
  <c r="S780" i="18"/>
  <c r="S656" i="18"/>
  <c r="S625" i="18"/>
  <c r="S718" i="18"/>
  <c r="S749" i="18"/>
  <c r="S687" i="18"/>
  <c r="Y842" i="18"/>
  <c r="Y811" i="18"/>
  <c r="Y749" i="18"/>
  <c r="Y687" i="18"/>
  <c r="Y656" i="18"/>
  <c r="Y780" i="18"/>
  <c r="Y718" i="18"/>
  <c r="Y625" i="18"/>
  <c r="Y847" i="18"/>
  <c r="Y816" i="18"/>
  <c r="Y723" i="18"/>
  <c r="Y661" i="18"/>
  <c r="Y630" i="18"/>
  <c r="Y785" i="18"/>
  <c r="Y692" i="18"/>
  <c r="Y754" i="18"/>
  <c r="AD847" i="18"/>
  <c r="AD785" i="18"/>
  <c r="AD816" i="18"/>
  <c r="AD754" i="18"/>
  <c r="AD692" i="18"/>
  <c r="AD661" i="18"/>
  <c r="AD723" i="18"/>
  <c r="AD630" i="18"/>
  <c r="R847" i="18"/>
  <c r="R816" i="18"/>
  <c r="R785" i="18"/>
  <c r="R754" i="18"/>
  <c r="R723" i="18"/>
  <c r="R692" i="18"/>
  <c r="R630" i="18"/>
  <c r="R661" i="18"/>
  <c r="I498" i="18"/>
  <c r="I467" i="18"/>
  <c r="I560" i="18"/>
  <c r="I529" i="18"/>
  <c r="I436" i="18"/>
  <c r="I405" i="18"/>
  <c r="I374" i="18"/>
  <c r="I343" i="18"/>
  <c r="AG498" i="18"/>
  <c r="AG467" i="18"/>
  <c r="AG560" i="18"/>
  <c r="AG529" i="18"/>
  <c r="AG436" i="18"/>
  <c r="AG405" i="18"/>
  <c r="AG374" i="18"/>
  <c r="AG343" i="18"/>
  <c r="AC560" i="18"/>
  <c r="AC529" i="18"/>
  <c r="AC374" i="18"/>
  <c r="AC467" i="18"/>
  <c r="AC498" i="18"/>
  <c r="AC436" i="18"/>
  <c r="AC343" i="18"/>
  <c r="AC405" i="18"/>
  <c r="AE846" i="18"/>
  <c r="AE815" i="18"/>
  <c r="AE784" i="18"/>
  <c r="AE753" i="18"/>
  <c r="AE691" i="18"/>
  <c r="AE722" i="18"/>
  <c r="AE660" i="18"/>
  <c r="AE629" i="18"/>
  <c r="S815" i="18"/>
  <c r="S846" i="18"/>
  <c r="S722" i="18"/>
  <c r="S784" i="18"/>
  <c r="S660" i="18"/>
  <c r="S629" i="18"/>
  <c r="S691" i="18"/>
  <c r="S753" i="18"/>
  <c r="Z846" i="18"/>
  <c r="Z815" i="18"/>
  <c r="Z784" i="18"/>
  <c r="Z722" i="18"/>
  <c r="Z660" i="18"/>
  <c r="Z753" i="18"/>
  <c r="Z691" i="18"/>
  <c r="Z629" i="18"/>
  <c r="AD815" i="18"/>
  <c r="AD784" i="18"/>
  <c r="AD846" i="18"/>
  <c r="AD753" i="18"/>
  <c r="AD691" i="18"/>
  <c r="AD722" i="18"/>
  <c r="AD660" i="18"/>
  <c r="AD629" i="18"/>
  <c r="V559" i="18"/>
  <c r="V497" i="18"/>
  <c r="V404" i="18"/>
  <c r="V528" i="18"/>
  <c r="V373" i="18"/>
  <c r="V466" i="18"/>
  <c r="V435" i="18"/>
  <c r="V342" i="18"/>
  <c r="AA497" i="18"/>
  <c r="AA466" i="18"/>
  <c r="AA559" i="18"/>
  <c r="AA528" i="18"/>
  <c r="AA435" i="18"/>
  <c r="AA404" i="18"/>
  <c r="AA342" i="18"/>
  <c r="AA373" i="18"/>
  <c r="AE559" i="18"/>
  <c r="AE528" i="18"/>
  <c r="AE497" i="18"/>
  <c r="AE373" i="18"/>
  <c r="AE466" i="18"/>
  <c r="AE435" i="18"/>
  <c r="AE404" i="18"/>
  <c r="AE342" i="18"/>
  <c r="AA557" i="18"/>
  <c r="AA526" i="18"/>
  <c r="AA371" i="18"/>
  <c r="AA495" i="18"/>
  <c r="AA433" i="18"/>
  <c r="AA402" i="18"/>
  <c r="AA340" i="18"/>
  <c r="AA464" i="18"/>
  <c r="AC526" i="18"/>
  <c r="AC495" i="18"/>
  <c r="AC557" i="18"/>
  <c r="AC433" i="18"/>
  <c r="AC464" i="18"/>
  <c r="AC402" i="18"/>
  <c r="AC371" i="18"/>
  <c r="AC340" i="18"/>
  <c r="AG464" i="18"/>
  <c r="AG557" i="18"/>
  <c r="AG495" i="18"/>
  <c r="AG402" i="18"/>
  <c r="AG371" i="18"/>
  <c r="AG526" i="18"/>
  <c r="AG433" i="18"/>
  <c r="AG340" i="18"/>
  <c r="M556" i="18"/>
  <c r="M525" i="18"/>
  <c r="M494" i="18"/>
  <c r="M370" i="18"/>
  <c r="M463" i="18"/>
  <c r="M432" i="18"/>
  <c r="M339" i="18"/>
  <c r="M401" i="18"/>
  <c r="I848" i="18"/>
  <c r="I786" i="18"/>
  <c r="I817" i="18"/>
  <c r="I755" i="18"/>
  <c r="I724" i="18"/>
  <c r="I693" i="18"/>
  <c r="I631" i="18"/>
  <c r="I662" i="18"/>
  <c r="Q558" i="18"/>
  <c r="Q527" i="18"/>
  <c r="Q372" i="18"/>
  <c r="Q465" i="18"/>
  <c r="Q496" i="18"/>
  <c r="Q434" i="18"/>
  <c r="Q341" i="18"/>
  <c r="Q403" i="18"/>
  <c r="AC270" i="18"/>
  <c r="AC239" i="18"/>
  <c r="AC115" i="18"/>
  <c r="AC208" i="18"/>
  <c r="AC84" i="18"/>
  <c r="AC177" i="18"/>
  <c r="AC53" i="18"/>
  <c r="AC146" i="18"/>
  <c r="Y276" i="18"/>
  <c r="Y121" i="18"/>
  <c r="Y214" i="18"/>
  <c r="Y90" i="18"/>
  <c r="Y183" i="18"/>
  <c r="Y245" i="18"/>
  <c r="Y152" i="18"/>
  <c r="Y59" i="18"/>
  <c r="S275" i="18"/>
  <c r="S120" i="18"/>
  <c r="S213" i="18"/>
  <c r="S89" i="18"/>
  <c r="S182" i="18"/>
  <c r="S244" i="18"/>
  <c r="S151" i="18"/>
  <c r="S58" i="18"/>
  <c r="U275" i="18"/>
  <c r="U213" i="18"/>
  <c r="U89" i="18"/>
  <c r="U182" i="18"/>
  <c r="U244" i="18"/>
  <c r="U151" i="18"/>
  <c r="U58" i="18"/>
  <c r="U120" i="18"/>
  <c r="V535" i="18"/>
  <c r="V349" i="18"/>
  <c r="V473" i="18"/>
  <c r="V442" i="18"/>
  <c r="V504" i="18"/>
  <c r="V411" i="18"/>
  <c r="V318" i="18"/>
  <c r="V380" i="18"/>
  <c r="AF242" i="18"/>
  <c r="AF211" i="18"/>
  <c r="AF273" i="18"/>
  <c r="AF118" i="18"/>
  <c r="AF87" i="18"/>
  <c r="AF180" i="18"/>
  <c r="AF149" i="18"/>
  <c r="AF56" i="18"/>
  <c r="N844" i="18"/>
  <c r="N813" i="18"/>
  <c r="N782" i="18"/>
  <c r="N720" i="18"/>
  <c r="N658" i="18"/>
  <c r="N751" i="18"/>
  <c r="N689" i="18"/>
  <c r="N627" i="18"/>
  <c r="AA272" i="18"/>
  <c r="AA86" i="18"/>
  <c r="AA241" i="18"/>
  <c r="AA179" i="18"/>
  <c r="AA148" i="18"/>
  <c r="AA210" i="18"/>
  <c r="AA55" i="18"/>
  <c r="AA117" i="18"/>
  <c r="AA561" i="18"/>
  <c r="AA530" i="18"/>
  <c r="AA499" i="18"/>
  <c r="AA468" i="18"/>
  <c r="AA375" i="18"/>
  <c r="AA437" i="18"/>
  <c r="AA344" i="18"/>
  <c r="AA406" i="18"/>
  <c r="Z271" i="18"/>
  <c r="Z240" i="18"/>
  <c r="Z147" i="18"/>
  <c r="Z116" i="18"/>
  <c r="Z178" i="18"/>
  <c r="Z209" i="18"/>
  <c r="Z85" i="18"/>
  <c r="Z54" i="18"/>
  <c r="O469" i="18"/>
  <c r="O562" i="18"/>
  <c r="O531" i="18"/>
  <c r="O500" i="18"/>
  <c r="O407" i="18"/>
  <c r="O376" i="18"/>
  <c r="O345" i="18"/>
  <c r="O438" i="18"/>
  <c r="L842" i="18"/>
  <c r="L811" i="18"/>
  <c r="L780" i="18"/>
  <c r="L749" i="18"/>
  <c r="L718" i="18"/>
  <c r="L687" i="18"/>
  <c r="L625" i="18"/>
  <c r="L656" i="18"/>
  <c r="U785" i="18"/>
  <c r="U847" i="18"/>
  <c r="U754" i="18"/>
  <c r="U816" i="18"/>
  <c r="U692" i="18"/>
  <c r="U723" i="18"/>
  <c r="U661" i="18"/>
  <c r="U630" i="18"/>
  <c r="AA847" i="18"/>
  <c r="AA816" i="18"/>
  <c r="AA785" i="18"/>
  <c r="AA754" i="18"/>
  <c r="AA723" i="18"/>
  <c r="AA692" i="18"/>
  <c r="AA630" i="18"/>
  <c r="AA661" i="18"/>
  <c r="U784" i="18"/>
  <c r="U815" i="18"/>
  <c r="U753" i="18"/>
  <c r="U846" i="18"/>
  <c r="U691" i="18"/>
  <c r="U722" i="18"/>
  <c r="U629" i="18"/>
  <c r="U660" i="18"/>
  <c r="M466" i="18"/>
  <c r="M559" i="18"/>
  <c r="M497" i="18"/>
  <c r="M404" i="18"/>
  <c r="M373" i="18"/>
  <c r="M528" i="18"/>
  <c r="M435" i="18"/>
  <c r="M342" i="18"/>
  <c r="V525" i="18"/>
  <c r="V339" i="18"/>
  <c r="V494" i="18"/>
  <c r="V556" i="18"/>
  <c r="V432" i="18"/>
  <c r="V463" i="18"/>
  <c r="V401" i="18"/>
  <c r="V370" i="18"/>
  <c r="L556" i="18"/>
  <c r="L494" i="18"/>
  <c r="L401" i="18"/>
  <c r="L370" i="18"/>
  <c r="L525" i="18"/>
  <c r="L463" i="18"/>
  <c r="L432" i="18"/>
  <c r="L339" i="18"/>
  <c r="P494" i="18"/>
  <c r="P556" i="18"/>
  <c r="P463" i="18"/>
  <c r="P432" i="18"/>
  <c r="P525" i="18"/>
  <c r="P370" i="18"/>
  <c r="P339" i="18"/>
  <c r="P401" i="18"/>
  <c r="N843" i="18"/>
  <c r="N812" i="18"/>
  <c r="N781" i="18"/>
  <c r="N750" i="18"/>
  <c r="N688" i="18"/>
  <c r="N657" i="18"/>
  <c r="N719" i="18"/>
  <c r="N626" i="18"/>
  <c r="R843" i="18"/>
  <c r="R812" i="18"/>
  <c r="R781" i="18"/>
  <c r="R750" i="18"/>
  <c r="R719" i="18"/>
  <c r="R688" i="18"/>
  <c r="R657" i="18"/>
  <c r="R626" i="18"/>
  <c r="I812" i="18"/>
  <c r="I781" i="18"/>
  <c r="I843" i="18"/>
  <c r="I750" i="18"/>
  <c r="I657" i="18"/>
  <c r="I626" i="18"/>
  <c r="I719" i="18"/>
  <c r="I688" i="18"/>
  <c r="W848" i="18"/>
  <c r="W817" i="18"/>
  <c r="W786" i="18"/>
  <c r="W724" i="18"/>
  <c r="W662" i="18"/>
  <c r="W755" i="18"/>
  <c r="W631" i="18"/>
  <c r="W693" i="18"/>
  <c r="AA755" i="18"/>
  <c r="AA786" i="18"/>
  <c r="AA848" i="18"/>
  <c r="AA817" i="18"/>
  <c r="AA724" i="18"/>
  <c r="AA693" i="18"/>
  <c r="AA662" i="18"/>
  <c r="AA631" i="18"/>
  <c r="AF848" i="18"/>
  <c r="AF817" i="18"/>
  <c r="AF786" i="18"/>
  <c r="AF755" i="18"/>
  <c r="AF693" i="18"/>
  <c r="AF724" i="18"/>
  <c r="AF662" i="18"/>
  <c r="AF631" i="18"/>
  <c r="U848" i="18"/>
  <c r="U817" i="18"/>
  <c r="U786" i="18"/>
  <c r="U755" i="18"/>
  <c r="U693" i="18"/>
  <c r="U662" i="18"/>
  <c r="U724" i="18"/>
  <c r="U631" i="18"/>
  <c r="AG558" i="18"/>
  <c r="AG527" i="18"/>
  <c r="AG372" i="18"/>
  <c r="AG496" i="18"/>
  <c r="AG434" i="18"/>
  <c r="AG403" i="18"/>
  <c r="AG465" i="18"/>
  <c r="AG341" i="18"/>
  <c r="AH527" i="18"/>
  <c r="AH341" i="18"/>
  <c r="AH496" i="18"/>
  <c r="AH558" i="18"/>
  <c r="AH434" i="18"/>
  <c r="AH465" i="18"/>
  <c r="AH403" i="18"/>
  <c r="AH372" i="18"/>
  <c r="I558" i="18"/>
  <c r="I527" i="18"/>
  <c r="I496" i="18"/>
  <c r="I465" i="18"/>
  <c r="I372" i="18"/>
  <c r="I434" i="18"/>
  <c r="I341" i="18"/>
  <c r="I403" i="18"/>
  <c r="W208" i="18"/>
  <c r="W84" i="18"/>
  <c r="W177" i="18"/>
  <c r="W239" i="18"/>
  <c r="W146" i="18"/>
  <c r="W53" i="18"/>
  <c r="W270" i="18"/>
  <c r="W115" i="18"/>
  <c r="AB270" i="18"/>
  <c r="AB239" i="18"/>
  <c r="AB146" i="18"/>
  <c r="AB115" i="18"/>
  <c r="AB208" i="18"/>
  <c r="AB177" i="18"/>
  <c r="AB53" i="18"/>
  <c r="AB84" i="18"/>
  <c r="AF208" i="18"/>
  <c r="AF270" i="18"/>
  <c r="AF84" i="18"/>
  <c r="AF177" i="18"/>
  <c r="AF53" i="18"/>
  <c r="AF115" i="18"/>
  <c r="AF239" i="18"/>
  <c r="AF146" i="18"/>
  <c r="S218" i="18"/>
  <c r="S156" i="18"/>
  <c r="S249" i="18"/>
  <c r="S125" i="18"/>
  <c r="S94" i="18"/>
  <c r="S63" i="18"/>
  <c r="S32" i="18"/>
  <c r="S187" i="18"/>
  <c r="F73" i="48"/>
  <c r="I218" i="18"/>
  <c r="I187" i="18"/>
  <c r="I63" i="18"/>
  <c r="I156" i="18"/>
  <c r="I125" i="18"/>
  <c r="I94" i="18"/>
  <c r="I249" i="18"/>
  <c r="I32" i="18"/>
  <c r="AE218" i="18"/>
  <c r="AE94" i="18"/>
  <c r="AE187" i="18"/>
  <c r="AE249" i="18"/>
  <c r="AE156" i="18"/>
  <c r="AE32" i="18"/>
  <c r="AE125" i="18"/>
  <c r="AE63" i="18"/>
  <c r="Z245" i="18"/>
  <c r="Z214" i="18"/>
  <c r="Z276" i="18"/>
  <c r="Z121" i="18"/>
  <c r="Z90" i="18"/>
  <c r="Z183" i="18"/>
  <c r="Z152" i="18"/>
  <c r="Z59" i="18"/>
  <c r="S276" i="18"/>
  <c r="S245" i="18"/>
  <c r="S90" i="18"/>
  <c r="S183" i="18"/>
  <c r="S152" i="18"/>
  <c r="S121" i="18"/>
  <c r="S214" i="18"/>
  <c r="S59" i="18"/>
  <c r="AE276" i="18"/>
  <c r="AE152" i="18"/>
  <c r="AE245" i="18"/>
  <c r="AE121" i="18"/>
  <c r="AE90" i="18"/>
  <c r="AE214" i="18"/>
  <c r="AE183" i="18"/>
  <c r="AE59" i="18"/>
  <c r="AA276" i="18"/>
  <c r="AA214" i="18"/>
  <c r="AA90" i="18"/>
  <c r="AA183" i="18"/>
  <c r="AA245" i="18"/>
  <c r="AA152" i="18"/>
  <c r="AA59" i="18"/>
  <c r="AA121" i="18"/>
  <c r="P244" i="18"/>
  <c r="P275" i="18"/>
  <c r="P182" i="18"/>
  <c r="P151" i="18"/>
  <c r="P213" i="18"/>
  <c r="P89" i="18"/>
  <c r="P58" i="18"/>
  <c r="P120" i="18"/>
  <c r="AA275" i="18"/>
  <c r="AA120" i="18"/>
  <c r="AA244" i="18"/>
  <c r="AA89" i="18"/>
  <c r="AA213" i="18"/>
  <c r="AA182" i="18"/>
  <c r="AA58" i="18"/>
  <c r="AA151" i="18"/>
  <c r="V275" i="18"/>
  <c r="V213" i="18"/>
  <c r="V244" i="18"/>
  <c r="V89" i="18"/>
  <c r="V182" i="18"/>
  <c r="V58" i="18"/>
  <c r="V120" i="18"/>
  <c r="V151" i="18"/>
  <c r="K274" i="18"/>
  <c r="K150" i="18"/>
  <c r="K243" i="18"/>
  <c r="K119" i="18"/>
  <c r="K212" i="18"/>
  <c r="K88" i="18"/>
  <c r="K57" i="18"/>
  <c r="K181" i="18"/>
  <c r="T274" i="18"/>
  <c r="T243" i="18"/>
  <c r="T150" i="18"/>
  <c r="T119" i="18"/>
  <c r="T212" i="18"/>
  <c r="T181" i="18"/>
  <c r="T88" i="18"/>
  <c r="T57" i="18"/>
  <c r="AE274" i="18"/>
  <c r="AE88" i="18"/>
  <c r="AE181" i="18"/>
  <c r="AE212" i="18"/>
  <c r="AE150" i="18"/>
  <c r="AE119" i="18"/>
  <c r="AE243" i="18"/>
  <c r="AE57" i="18"/>
  <c r="T504" i="18"/>
  <c r="T411" i="18"/>
  <c r="T535" i="18"/>
  <c r="T380" i="18"/>
  <c r="T473" i="18"/>
  <c r="T442" i="18"/>
  <c r="T349" i="18"/>
  <c r="T318" i="18"/>
  <c r="AA473" i="18"/>
  <c r="AA535" i="18"/>
  <c r="AA411" i="18"/>
  <c r="AA504" i="18"/>
  <c r="AA380" i="18"/>
  <c r="AA442" i="18"/>
  <c r="AA349" i="18"/>
  <c r="AA318" i="18"/>
  <c r="AE535" i="18"/>
  <c r="AE504" i="18"/>
  <c r="AE442" i="18"/>
  <c r="AE473" i="18"/>
  <c r="AE411" i="18"/>
  <c r="AE318" i="18"/>
  <c r="AE349" i="18"/>
  <c r="AE380" i="18"/>
  <c r="U273" i="18"/>
  <c r="U211" i="18"/>
  <c r="U149" i="18"/>
  <c r="U118" i="18"/>
  <c r="U242" i="18"/>
  <c r="U87" i="18"/>
  <c r="U56" i="18"/>
  <c r="U180" i="18"/>
  <c r="AG273" i="18"/>
  <c r="AG87" i="18"/>
  <c r="AG180" i="18"/>
  <c r="AG149" i="18"/>
  <c r="AG242" i="18"/>
  <c r="AG211" i="18"/>
  <c r="AG118" i="18"/>
  <c r="AG56" i="18"/>
  <c r="AB273" i="18"/>
  <c r="AB242" i="18"/>
  <c r="AB180" i="18"/>
  <c r="AB149" i="18"/>
  <c r="AB211" i="18"/>
  <c r="AB87" i="18"/>
  <c r="AB118" i="18"/>
  <c r="AB56" i="18"/>
  <c r="W273" i="18"/>
  <c r="W118" i="18"/>
  <c r="W87" i="18"/>
  <c r="W242" i="18"/>
  <c r="W180" i="18"/>
  <c r="W211" i="18"/>
  <c r="W149" i="18"/>
  <c r="W56" i="18"/>
  <c r="X844" i="18"/>
  <c r="X813" i="18"/>
  <c r="X782" i="18"/>
  <c r="X751" i="18"/>
  <c r="X720" i="18"/>
  <c r="X689" i="18"/>
  <c r="X658" i="18"/>
  <c r="X627" i="18"/>
  <c r="M844" i="18"/>
  <c r="M813" i="18"/>
  <c r="M751" i="18"/>
  <c r="M782" i="18"/>
  <c r="M689" i="18"/>
  <c r="M720" i="18"/>
  <c r="M658" i="18"/>
  <c r="M627" i="18"/>
  <c r="Q813" i="18"/>
  <c r="Q844" i="18"/>
  <c r="Q751" i="18"/>
  <c r="Q689" i="18"/>
  <c r="Q782" i="18"/>
  <c r="Q720" i="18"/>
  <c r="Q658" i="18"/>
  <c r="Q627" i="18"/>
  <c r="S821" i="18"/>
  <c r="S790" i="18"/>
  <c r="S728" i="18"/>
  <c r="S666" i="18"/>
  <c r="S759" i="18"/>
  <c r="S635" i="18"/>
  <c r="S697" i="18"/>
  <c r="S604" i="18"/>
  <c r="J821" i="18"/>
  <c r="J790" i="18"/>
  <c r="J728" i="18"/>
  <c r="J666" i="18"/>
  <c r="J759" i="18"/>
  <c r="J635" i="18"/>
  <c r="J604" i="18"/>
  <c r="J697" i="18"/>
  <c r="N821" i="18"/>
  <c r="N790" i="18"/>
  <c r="N759" i="18"/>
  <c r="N697" i="18"/>
  <c r="N728" i="18"/>
  <c r="N666" i="18"/>
  <c r="N635" i="18"/>
  <c r="N604" i="18"/>
  <c r="AB210" i="18"/>
  <c r="AB272" i="18"/>
  <c r="AB86" i="18"/>
  <c r="AB241" i="18"/>
  <c r="AB179" i="18"/>
  <c r="AB55" i="18"/>
  <c r="AB117" i="18"/>
  <c r="AB148" i="18"/>
  <c r="X272" i="18"/>
  <c r="X241" i="18"/>
  <c r="X148" i="18"/>
  <c r="X210" i="18"/>
  <c r="X117" i="18"/>
  <c r="X179" i="18"/>
  <c r="X55" i="18"/>
  <c r="X86" i="18"/>
  <c r="AG272" i="18"/>
  <c r="AG117" i="18"/>
  <c r="AG210" i="18"/>
  <c r="AG86" i="18"/>
  <c r="AG179" i="18"/>
  <c r="AG241" i="18"/>
  <c r="AG148" i="18"/>
  <c r="AG55" i="18"/>
  <c r="AF561" i="18"/>
  <c r="AF530" i="18"/>
  <c r="AF437" i="18"/>
  <c r="AF406" i="18"/>
  <c r="AF468" i="18"/>
  <c r="AF499" i="18"/>
  <c r="AF344" i="18"/>
  <c r="AF375" i="18"/>
  <c r="AB530" i="18"/>
  <c r="AB468" i="18"/>
  <c r="AB344" i="18"/>
  <c r="AB561" i="18"/>
  <c r="AB437" i="18"/>
  <c r="AB406" i="18"/>
  <c r="AB499" i="18"/>
  <c r="AB375" i="18"/>
  <c r="W499" i="18"/>
  <c r="W468" i="18"/>
  <c r="W561" i="18"/>
  <c r="W530" i="18"/>
  <c r="W437" i="18"/>
  <c r="W406" i="18"/>
  <c r="W344" i="18"/>
  <c r="W375" i="18"/>
  <c r="AG468" i="18"/>
  <c r="AG561" i="18"/>
  <c r="AG406" i="18"/>
  <c r="AG530" i="18"/>
  <c r="AG375" i="18"/>
  <c r="AG499" i="18"/>
  <c r="AG437" i="18"/>
  <c r="AG344" i="18"/>
  <c r="AF271" i="18"/>
  <c r="AF240" i="18"/>
  <c r="AF178" i="18"/>
  <c r="AF209" i="18"/>
  <c r="AF147" i="18"/>
  <c r="AF85" i="18"/>
  <c r="AF54" i="18"/>
  <c r="AF116" i="18"/>
  <c r="AA271" i="18"/>
  <c r="AA116" i="18"/>
  <c r="AA240" i="18"/>
  <c r="AA85" i="18"/>
  <c r="AA178" i="18"/>
  <c r="AA209" i="18"/>
  <c r="AA147" i="18"/>
  <c r="AA54" i="18"/>
  <c r="W271" i="18"/>
  <c r="W178" i="18"/>
  <c r="W209" i="18"/>
  <c r="W147" i="18"/>
  <c r="W240" i="18"/>
  <c r="W116" i="18"/>
  <c r="W54" i="18"/>
  <c r="W85" i="18"/>
  <c r="J531" i="18"/>
  <c r="J562" i="18"/>
  <c r="J469" i="18"/>
  <c r="J345" i="18"/>
  <c r="J500" i="18"/>
  <c r="J438" i="18"/>
  <c r="J407" i="18"/>
  <c r="J376" i="18"/>
  <c r="AD562" i="18"/>
  <c r="AD531" i="18"/>
  <c r="AD438" i="18"/>
  <c r="AD500" i="18"/>
  <c r="AD407" i="18"/>
  <c r="AD469" i="18"/>
  <c r="AD345" i="18"/>
  <c r="AD376" i="18"/>
  <c r="R531" i="18"/>
  <c r="R562" i="18"/>
  <c r="R345" i="18"/>
  <c r="R469" i="18"/>
  <c r="R438" i="18"/>
  <c r="R407" i="18"/>
  <c r="R500" i="18"/>
  <c r="R376" i="18"/>
  <c r="Y845" i="18"/>
  <c r="Y814" i="18"/>
  <c r="Y783" i="18"/>
  <c r="Y721" i="18"/>
  <c r="Y690" i="18"/>
  <c r="Y628" i="18"/>
  <c r="Y659" i="18"/>
  <c r="Y752" i="18"/>
  <c r="AC814" i="18"/>
  <c r="AC721" i="18"/>
  <c r="AC845" i="18"/>
  <c r="AC659" i="18"/>
  <c r="AC783" i="18"/>
  <c r="AC628" i="18"/>
  <c r="AC752" i="18"/>
  <c r="AC690" i="18"/>
  <c r="AH845" i="18"/>
  <c r="AH814" i="18"/>
  <c r="AH752" i="18"/>
  <c r="AH783" i="18"/>
  <c r="AH721" i="18"/>
  <c r="AH690" i="18"/>
  <c r="AH659" i="18"/>
  <c r="AH628" i="18"/>
  <c r="K811" i="18"/>
  <c r="K842" i="18"/>
  <c r="K780" i="18"/>
  <c r="K656" i="18"/>
  <c r="K749" i="18"/>
  <c r="K625" i="18"/>
  <c r="K718" i="18"/>
  <c r="K687" i="18"/>
  <c r="AD811" i="18"/>
  <c r="AD842" i="18"/>
  <c r="AD780" i="18"/>
  <c r="AD749" i="18"/>
  <c r="AD718" i="18"/>
  <c r="AD687" i="18"/>
  <c r="AD625" i="18"/>
  <c r="AD656" i="18"/>
  <c r="T842" i="18"/>
  <c r="T811" i="18"/>
  <c r="T780" i="18"/>
  <c r="T749" i="18"/>
  <c r="T718" i="18"/>
  <c r="T687" i="18"/>
  <c r="T625" i="18"/>
  <c r="T656" i="18"/>
  <c r="J842" i="18"/>
  <c r="J811" i="18"/>
  <c r="J780" i="18"/>
  <c r="J656" i="18"/>
  <c r="J749" i="18"/>
  <c r="J718" i="18"/>
  <c r="J625" i="18"/>
  <c r="J687" i="18"/>
  <c r="J847" i="18"/>
  <c r="J816" i="18"/>
  <c r="J785" i="18"/>
  <c r="J754" i="18"/>
  <c r="J723" i="18"/>
  <c r="J692" i="18"/>
  <c r="J661" i="18"/>
  <c r="J630" i="18"/>
  <c r="O847" i="18"/>
  <c r="O816" i="18"/>
  <c r="O754" i="18"/>
  <c r="O785" i="18"/>
  <c r="O692" i="18"/>
  <c r="O661" i="18"/>
  <c r="O723" i="18"/>
  <c r="O630" i="18"/>
  <c r="AH847" i="18"/>
  <c r="AH816" i="18"/>
  <c r="AH785" i="18"/>
  <c r="AH754" i="18"/>
  <c r="AH723" i="18"/>
  <c r="AH692" i="18"/>
  <c r="AH630" i="18"/>
  <c r="AH661" i="18"/>
  <c r="X498" i="18"/>
  <c r="X560" i="18"/>
  <c r="X529" i="18"/>
  <c r="X436" i="18"/>
  <c r="X467" i="18"/>
  <c r="X374" i="18"/>
  <c r="X343" i="18"/>
  <c r="X405" i="18"/>
  <c r="Q498" i="18"/>
  <c r="Q467" i="18"/>
  <c r="Q560" i="18"/>
  <c r="Q529" i="18"/>
  <c r="Q436" i="18"/>
  <c r="Q405" i="18"/>
  <c r="Q343" i="18"/>
  <c r="Q374" i="18"/>
  <c r="M560" i="18"/>
  <c r="M529" i="18"/>
  <c r="M374" i="18"/>
  <c r="M498" i="18"/>
  <c r="M436" i="18"/>
  <c r="M467" i="18"/>
  <c r="M405" i="18"/>
  <c r="M343" i="18"/>
  <c r="P846" i="18"/>
  <c r="P815" i="18"/>
  <c r="P753" i="18"/>
  <c r="P784" i="18"/>
  <c r="P722" i="18"/>
  <c r="P691" i="18"/>
  <c r="P660" i="18"/>
  <c r="P629" i="18"/>
  <c r="T846" i="18"/>
  <c r="T815" i="18"/>
  <c r="T784" i="18"/>
  <c r="T753" i="18"/>
  <c r="T691" i="18"/>
  <c r="T722" i="18"/>
  <c r="T660" i="18"/>
  <c r="T629" i="18"/>
  <c r="K815" i="18"/>
  <c r="K784" i="18"/>
  <c r="K722" i="18"/>
  <c r="K846" i="18"/>
  <c r="K660" i="18"/>
  <c r="K753" i="18"/>
  <c r="K629" i="18"/>
  <c r="K691" i="18"/>
  <c r="Q528" i="18"/>
  <c r="Q497" i="18"/>
  <c r="Q559" i="18"/>
  <c r="Q435" i="18"/>
  <c r="Q404" i="18"/>
  <c r="Q466" i="18"/>
  <c r="Q373" i="18"/>
  <c r="Q342" i="18"/>
  <c r="X528" i="18"/>
  <c r="X559" i="18"/>
  <c r="X466" i="18"/>
  <c r="X342" i="18"/>
  <c r="X497" i="18"/>
  <c r="X435" i="18"/>
  <c r="X404" i="18"/>
  <c r="X373" i="18"/>
  <c r="L559" i="18"/>
  <c r="L528" i="18"/>
  <c r="L435" i="18"/>
  <c r="L497" i="18"/>
  <c r="L404" i="18"/>
  <c r="L466" i="18"/>
  <c r="L373" i="18"/>
  <c r="L342" i="18"/>
  <c r="P528" i="18"/>
  <c r="P466" i="18"/>
  <c r="P342" i="18"/>
  <c r="P559" i="18"/>
  <c r="P435" i="18"/>
  <c r="P404" i="18"/>
  <c r="P497" i="18"/>
  <c r="P373" i="18"/>
  <c r="I464" i="18"/>
  <c r="I557" i="18"/>
  <c r="I402" i="18"/>
  <c r="I526" i="18"/>
  <c r="I371" i="18"/>
  <c r="I495" i="18"/>
  <c r="I433" i="18"/>
  <c r="I340" i="18"/>
  <c r="N495" i="18"/>
  <c r="N557" i="18"/>
  <c r="N526" i="18"/>
  <c r="N464" i="18"/>
  <c r="N433" i="18"/>
  <c r="N371" i="18"/>
  <c r="N340" i="18"/>
  <c r="N402" i="18"/>
  <c r="R557" i="18"/>
  <c r="R495" i="18"/>
  <c r="R402" i="18"/>
  <c r="R371" i="18"/>
  <c r="R526" i="18"/>
  <c r="R464" i="18"/>
  <c r="R433" i="18"/>
  <c r="R340" i="18"/>
  <c r="W525" i="18"/>
  <c r="W494" i="18"/>
  <c r="W556" i="18"/>
  <c r="W432" i="18"/>
  <c r="W463" i="18"/>
  <c r="W401" i="18"/>
  <c r="W339" i="18"/>
  <c r="W370" i="18"/>
  <c r="AB556" i="18"/>
  <c r="AB494" i="18"/>
  <c r="AB401" i="18"/>
  <c r="AB463" i="18"/>
  <c r="AB370" i="18"/>
  <c r="AB525" i="18"/>
  <c r="AB432" i="18"/>
  <c r="AB339" i="18"/>
  <c r="AF494" i="18"/>
  <c r="AF556" i="18"/>
  <c r="AF432" i="18"/>
  <c r="AF525" i="18"/>
  <c r="AF463" i="18"/>
  <c r="AF370" i="18"/>
  <c r="AF339" i="18"/>
  <c r="AF401" i="18"/>
  <c r="AD843" i="18"/>
  <c r="AD812" i="18"/>
  <c r="AD750" i="18"/>
  <c r="AD781" i="18"/>
  <c r="AD719" i="18"/>
  <c r="AD688" i="18"/>
  <c r="AD657" i="18"/>
  <c r="AD626" i="18"/>
  <c r="AH843" i="18"/>
  <c r="AH812" i="18"/>
  <c r="AH750" i="18"/>
  <c r="AH688" i="18"/>
  <c r="AH719" i="18"/>
  <c r="AH657" i="18"/>
  <c r="AH781" i="18"/>
  <c r="AH626" i="18"/>
  <c r="Y812" i="18"/>
  <c r="Y719" i="18"/>
  <c r="Y843" i="18"/>
  <c r="Y781" i="18"/>
  <c r="Y657" i="18"/>
  <c r="Y750" i="18"/>
  <c r="Y626" i="18"/>
  <c r="Y688" i="18"/>
  <c r="X848" i="18"/>
  <c r="X817" i="18"/>
  <c r="X755" i="18"/>
  <c r="X786" i="18"/>
  <c r="X724" i="18"/>
  <c r="X693" i="18"/>
  <c r="X662" i="18"/>
  <c r="X631" i="18"/>
  <c r="L848" i="18"/>
  <c r="L786" i="18"/>
  <c r="L817" i="18"/>
  <c r="L755" i="18"/>
  <c r="L693" i="18"/>
  <c r="L662" i="18"/>
  <c r="L724" i="18"/>
  <c r="L631" i="18"/>
  <c r="Q848" i="18"/>
  <c r="Q817" i="18"/>
  <c r="Q786" i="18"/>
  <c r="Q755" i="18"/>
  <c r="Q724" i="18"/>
  <c r="Q693" i="18"/>
  <c r="Q631" i="18"/>
  <c r="Q662" i="18"/>
  <c r="V848" i="18"/>
  <c r="V817" i="18"/>
  <c r="V786" i="18"/>
  <c r="V662" i="18"/>
  <c r="V755" i="18"/>
  <c r="V724" i="18"/>
  <c r="V693" i="18"/>
  <c r="V631" i="18"/>
  <c r="N558" i="18"/>
  <c r="N527" i="18"/>
  <c r="N434" i="18"/>
  <c r="N403" i="18"/>
  <c r="N465" i="18"/>
  <c r="N496" i="18"/>
  <c r="N372" i="18"/>
  <c r="N341" i="18"/>
  <c r="S527" i="18"/>
  <c r="S496" i="18"/>
  <c r="S558" i="18"/>
  <c r="S465" i="18"/>
  <c r="S434" i="18"/>
  <c r="S403" i="18"/>
  <c r="S341" i="18"/>
  <c r="S372" i="18"/>
  <c r="Y558" i="18"/>
  <c r="Y527" i="18"/>
  <c r="Y496" i="18"/>
  <c r="Y372" i="18"/>
  <c r="Y465" i="18"/>
  <c r="Y434" i="18"/>
  <c r="Y341" i="18"/>
  <c r="Y403" i="18"/>
  <c r="X270" i="18"/>
  <c r="X208" i="18"/>
  <c r="X84" i="18"/>
  <c r="X177" i="18"/>
  <c r="X53" i="18"/>
  <c r="X239" i="18"/>
  <c r="X115" i="18"/>
  <c r="X146" i="18"/>
  <c r="M270" i="18"/>
  <c r="M115" i="18"/>
  <c r="M239" i="18"/>
  <c r="M208" i="18"/>
  <c r="M84" i="18"/>
  <c r="M177" i="18"/>
  <c r="M53" i="18"/>
  <c r="M146" i="18"/>
  <c r="Q270" i="18"/>
  <c r="Q239" i="18"/>
  <c r="Q177" i="18"/>
  <c r="Q146" i="18"/>
  <c r="Q115" i="18"/>
  <c r="Q84" i="18"/>
  <c r="Q208" i="18"/>
  <c r="Q53" i="18"/>
  <c r="Z249" i="18"/>
  <c r="Z187" i="18"/>
  <c r="Z156" i="18"/>
  <c r="Z218" i="18"/>
  <c r="Z94" i="18"/>
  <c r="Z32" i="18"/>
  <c r="Z63" i="18"/>
  <c r="Z125" i="18"/>
  <c r="V249" i="18"/>
  <c r="V218" i="18"/>
  <c r="V125" i="18"/>
  <c r="V94" i="18"/>
  <c r="V187" i="18"/>
  <c r="V156" i="18"/>
  <c r="V32" i="18"/>
  <c r="V63" i="18"/>
  <c r="O94" i="18"/>
  <c r="O187" i="18"/>
  <c r="O249" i="18"/>
  <c r="O218" i="18"/>
  <c r="O156" i="18"/>
  <c r="O125" i="18"/>
  <c r="O32" i="18"/>
  <c r="O63" i="18"/>
  <c r="J245" i="18"/>
  <c r="J214" i="18"/>
  <c r="J276" i="18"/>
  <c r="J121" i="18"/>
  <c r="J90" i="18"/>
  <c r="J183" i="18"/>
  <c r="J152" i="18"/>
  <c r="J59" i="18"/>
  <c r="G100" i="48"/>
  <c r="AH276" i="18"/>
  <c r="AH245" i="18"/>
  <c r="AH214" i="18"/>
  <c r="AH121" i="18"/>
  <c r="AH90" i="18"/>
  <c r="AH183" i="18"/>
  <c r="AH152" i="18"/>
  <c r="AH59" i="18"/>
  <c r="O276" i="18"/>
  <c r="O152" i="18"/>
  <c r="O214" i="18"/>
  <c r="O245" i="18"/>
  <c r="O121" i="18"/>
  <c r="O90" i="18"/>
  <c r="O59" i="18"/>
  <c r="O183" i="18"/>
  <c r="K90" i="18"/>
  <c r="K183" i="18"/>
  <c r="K276" i="18"/>
  <c r="K245" i="18"/>
  <c r="K214" i="18"/>
  <c r="K152" i="18"/>
  <c r="K121" i="18"/>
  <c r="K59" i="18"/>
  <c r="AE275" i="18"/>
  <c r="AE244" i="18"/>
  <c r="AE182" i="18"/>
  <c r="AE58" i="18"/>
  <c r="AE213" i="18"/>
  <c r="AE151" i="18"/>
  <c r="AE120" i="18"/>
  <c r="AE89" i="18"/>
  <c r="K275" i="18"/>
  <c r="K213" i="18"/>
  <c r="K120" i="18"/>
  <c r="K244" i="18"/>
  <c r="K89" i="18"/>
  <c r="K182" i="18"/>
  <c r="K58" i="18"/>
  <c r="K151" i="18"/>
  <c r="M275" i="18"/>
  <c r="M89" i="18"/>
  <c r="M244" i="18"/>
  <c r="M182" i="18"/>
  <c r="M151" i="18"/>
  <c r="M120" i="18"/>
  <c r="M213" i="18"/>
  <c r="M58" i="18"/>
  <c r="Z274" i="18"/>
  <c r="Z243" i="18"/>
  <c r="Z181" i="18"/>
  <c r="Z212" i="18"/>
  <c r="Z150" i="18"/>
  <c r="Z88" i="18"/>
  <c r="Z57" i="18"/>
  <c r="Z119" i="18"/>
  <c r="S274" i="18"/>
  <c r="S150" i="18"/>
  <c r="S119" i="18"/>
  <c r="S88" i="18"/>
  <c r="S243" i="18"/>
  <c r="S212" i="18"/>
  <c r="S181" i="18"/>
  <c r="S57" i="18"/>
  <c r="O243" i="18"/>
  <c r="O212" i="18"/>
  <c r="O88" i="18"/>
  <c r="O181" i="18"/>
  <c r="O150" i="18"/>
  <c r="O274" i="18"/>
  <c r="O57" i="18"/>
  <c r="O119" i="18"/>
  <c r="U535" i="18"/>
  <c r="U380" i="18"/>
  <c r="U473" i="18"/>
  <c r="U442" i="18"/>
  <c r="U504" i="18"/>
  <c r="U411" i="18"/>
  <c r="U349" i="18"/>
  <c r="U318" i="18"/>
  <c r="L504" i="18"/>
  <c r="L411" i="18"/>
  <c r="L380" i="18"/>
  <c r="L473" i="18"/>
  <c r="L535" i="18"/>
  <c r="L442" i="18"/>
  <c r="L349" i="18"/>
  <c r="L318" i="18"/>
  <c r="P504" i="18"/>
  <c r="P473" i="18"/>
  <c r="P442" i="18"/>
  <c r="P318" i="18"/>
  <c r="P535" i="18"/>
  <c r="P380" i="18"/>
  <c r="P411" i="18"/>
  <c r="P349" i="18"/>
  <c r="T273" i="18"/>
  <c r="T242" i="18"/>
  <c r="T180" i="18"/>
  <c r="T211" i="18"/>
  <c r="T149" i="18"/>
  <c r="T87" i="18"/>
  <c r="T56" i="18"/>
  <c r="T118" i="18"/>
  <c r="Q242" i="18"/>
  <c r="Q87" i="18"/>
  <c r="Q211" i="18"/>
  <c r="Q180" i="18"/>
  <c r="Q273" i="18"/>
  <c r="Q149" i="18"/>
  <c r="Q56" i="18"/>
  <c r="Q118" i="18"/>
  <c r="L273" i="18"/>
  <c r="L242" i="18"/>
  <c r="L180" i="18"/>
  <c r="L149" i="18"/>
  <c r="L87" i="18"/>
  <c r="L211" i="18"/>
  <c r="L56" i="18"/>
  <c r="L118" i="18"/>
  <c r="V273" i="18"/>
  <c r="V242" i="18"/>
  <c r="V149" i="18"/>
  <c r="V118" i="18"/>
  <c r="V180" i="18"/>
  <c r="V87" i="18"/>
  <c r="V211" i="18"/>
  <c r="V56" i="18"/>
  <c r="J813" i="18"/>
  <c r="J782" i="18"/>
  <c r="J844" i="18"/>
  <c r="J751" i="18"/>
  <c r="J689" i="18"/>
  <c r="J720" i="18"/>
  <c r="J627" i="18"/>
  <c r="J658" i="18"/>
  <c r="AC844" i="18"/>
  <c r="AC813" i="18"/>
  <c r="AC751" i="18"/>
  <c r="AC782" i="18"/>
  <c r="AC689" i="18"/>
  <c r="AC658" i="18"/>
  <c r="AC720" i="18"/>
  <c r="AC627" i="18"/>
  <c r="AG844" i="18"/>
  <c r="AG782" i="18"/>
  <c r="AG751" i="18"/>
  <c r="AG720" i="18"/>
  <c r="AG689" i="18"/>
  <c r="AG813" i="18"/>
  <c r="AG627" i="18"/>
  <c r="AG658" i="18"/>
  <c r="T821" i="18"/>
  <c r="T790" i="18"/>
  <c r="T759" i="18"/>
  <c r="T728" i="18"/>
  <c r="T697" i="18"/>
  <c r="T635" i="18"/>
  <c r="T604" i="18"/>
  <c r="T666" i="18"/>
  <c r="Z821" i="18"/>
  <c r="Z790" i="18"/>
  <c r="Z759" i="18"/>
  <c r="Z666" i="18"/>
  <c r="Z728" i="18"/>
  <c r="Z635" i="18"/>
  <c r="Z604" i="18"/>
  <c r="Z697" i="18"/>
  <c r="AD821" i="18"/>
  <c r="AD790" i="18"/>
  <c r="AD759" i="18"/>
  <c r="AD697" i="18"/>
  <c r="AD666" i="18"/>
  <c r="AD728" i="18"/>
  <c r="AD635" i="18"/>
  <c r="AD604" i="18"/>
  <c r="L210" i="18"/>
  <c r="L272" i="18"/>
  <c r="L86" i="18"/>
  <c r="L179" i="18"/>
  <c r="L55" i="18"/>
  <c r="L241" i="18"/>
  <c r="L117" i="18"/>
  <c r="L148" i="18"/>
  <c r="V272" i="18"/>
  <c r="V241" i="18"/>
  <c r="V179" i="18"/>
  <c r="V148" i="18"/>
  <c r="V210" i="18"/>
  <c r="V86" i="18"/>
  <c r="V117" i="18"/>
  <c r="V55" i="18"/>
  <c r="Q272" i="18"/>
  <c r="Q241" i="18"/>
  <c r="Q210" i="18"/>
  <c r="Q117" i="18"/>
  <c r="Q86" i="18"/>
  <c r="Q179" i="18"/>
  <c r="Q148" i="18"/>
  <c r="Q55" i="18"/>
  <c r="P561" i="18"/>
  <c r="P530" i="18"/>
  <c r="P437" i="18"/>
  <c r="P468" i="18"/>
  <c r="P406" i="18"/>
  <c r="P499" i="18"/>
  <c r="P375" i="18"/>
  <c r="P344" i="18"/>
  <c r="L530" i="18"/>
  <c r="L344" i="18"/>
  <c r="L468" i="18"/>
  <c r="L437" i="18"/>
  <c r="L561" i="18"/>
  <c r="L406" i="18"/>
  <c r="L375" i="18"/>
  <c r="L499" i="18"/>
  <c r="V499" i="18"/>
  <c r="V561" i="18"/>
  <c r="V437" i="18"/>
  <c r="V468" i="18"/>
  <c r="V375" i="18"/>
  <c r="V406" i="18"/>
  <c r="V344" i="18"/>
  <c r="V530" i="18"/>
  <c r="Q468" i="18"/>
  <c r="Q561" i="18"/>
  <c r="Q530" i="18"/>
  <c r="Q406" i="18"/>
  <c r="Q375" i="18"/>
  <c r="Q499" i="18"/>
  <c r="Q437" i="18"/>
  <c r="Q344" i="18"/>
  <c r="P271" i="18"/>
  <c r="P240" i="18"/>
  <c r="P209" i="18"/>
  <c r="P178" i="18"/>
  <c r="P147" i="18"/>
  <c r="P116" i="18"/>
  <c r="P85" i="18"/>
  <c r="P54" i="18"/>
  <c r="K271" i="18"/>
  <c r="K116" i="18"/>
  <c r="K85" i="18"/>
  <c r="K240" i="18"/>
  <c r="K209" i="18"/>
  <c r="K178" i="18"/>
  <c r="K54" i="18"/>
  <c r="K147" i="18"/>
  <c r="V209" i="18"/>
  <c r="V271" i="18"/>
  <c r="V85" i="18"/>
  <c r="V178" i="18"/>
  <c r="V54" i="18"/>
  <c r="V240" i="18"/>
  <c r="V116" i="18"/>
  <c r="V147" i="18"/>
  <c r="Z531" i="18"/>
  <c r="Z562" i="18"/>
  <c r="Z345" i="18"/>
  <c r="Z500" i="18"/>
  <c r="Z438" i="18"/>
  <c r="Z469" i="18"/>
  <c r="Z407" i="18"/>
  <c r="Z376" i="18"/>
  <c r="M500" i="18"/>
  <c r="M469" i="18"/>
  <c r="M562" i="18"/>
  <c r="M531" i="18"/>
  <c r="M438" i="18"/>
  <c r="M407" i="18"/>
  <c r="M345" i="18"/>
  <c r="M376" i="18"/>
  <c r="AH531" i="18"/>
  <c r="AH469" i="18"/>
  <c r="AH345" i="18"/>
  <c r="AH438" i="18"/>
  <c r="AH407" i="18"/>
  <c r="AH500" i="18"/>
  <c r="AH376" i="18"/>
  <c r="AH562" i="18"/>
  <c r="J845" i="18"/>
  <c r="J814" i="18"/>
  <c r="J752" i="18"/>
  <c r="J690" i="18"/>
  <c r="J659" i="18"/>
  <c r="J783" i="18"/>
  <c r="J721" i="18"/>
  <c r="J628" i="18"/>
  <c r="N845" i="18"/>
  <c r="N814" i="18"/>
  <c r="N783" i="18"/>
  <c r="N752" i="18"/>
  <c r="N721" i="18"/>
  <c r="N690" i="18"/>
  <c r="N659" i="18"/>
  <c r="N628" i="18"/>
  <c r="S845" i="18"/>
  <c r="S814" i="18"/>
  <c r="S752" i="18"/>
  <c r="S690" i="18"/>
  <c r="S659" i="18"/>
  <c r="S783" i="18"/>
  <c r="S721" i="18"/>
  <c r="S628" i="18"/>
  <c r="AA811" i="18"/>
  <c r="AA842" i="18"/>
  <c r="AA780" i="18"/>
  <c r="AA656" i="18"/>
  <c r="AA625" i="18"/>
  <c r="AA749" i="18"/>
  <c r="AA718" i="18"/>
  <c r="AA687" i="18"/>
  <c r="O842" i="18"/>
  <c r="O811" i="18"/>
  <c r="O780" i="18"/>
  <c r="O749" i="18"/>
  <c r="O718" i="18"/>
  <c r="O687" i="18"/>
  <c r="O625" i="18"/>
  <c r="O656" i="18"/>
  <c r="Q842" i="18"/>
  <c r="Q811" i="18"/>
  <c r="Q749" i="18"/>
  <c r="Q687" i="18"/>
  <c r="Q656" i="18"/>
  <c r="Q780" i="18"/>
  <c r="Q718" i="18"/>
  <c r="Q625" i="18"/>
  <c r="Z842" i="18"/>
  <c r="Z811" i="18"/>
  <c r="Z780" i="18"/>
  <c r="Z656" i="18"/>
  <c r="Z749" i="18"/>
  <c r="Z718" i="18"/>
  <c r="Z625" i="18"/>
  <c r="Z687" i="18"/>
  <c r="Z847" i="18"/>
  <c r="Z816" i="18"/>
  <c r="Z785" i="18"/>
  <c r="Z754" i="18"/>
  <c r="Z723" i="18"/>
  <c r="Z692" i="18"/>
  <c r="Z661" i="18"/>
  <c r="Z630" i="18"/>
  <c r="AE847" i="18"/>
  <c r="AE816" i="18"/>
  <c r="AE754" i="18"/>
  <c r="AE785" i="18"/>
  <c r="AE692" i="18"/>
  <c r="AE661" i="18"/>
  <c r="AE723" i="18"/>
  <c r="AE630" i="18"/>
  <c r="S847" i="18"/>
  <c r="S785" i="18"/>
  <c r="S754" i="18"/>
  <c r="S723" i="18"/>
  <c r="S816" i="18"/>
  <c r="S692" i="18"/>
  <c r="S630" i="18"/>
  <c r="S661" i="18"/>
  <c r="W529" i="18"/>
  <c r="W498" i="18"/>
  <c r="W560" i="18"/>
  <c r="W436" i="18"/>
  <c r="W405" i="18"/>
  <c r="W374" i="18"/>
  <c r="W467" i="18"/>
  <c r="W343" i="18"/>
  <c r="AF498" i="18"/>
  <c r="AF560" i="18"/>
  <c r="AF467" i="18"/>
  <c r="AF436" i="18"/>
  <c r="AF529" i="18"/>
  <c r="AF374" i="18"/>
  <c r="AF405" i="18"/>
  <c r="AF343" i="18"/>
  <c r="T560" i="18"/>
  <c r="T498" i="18"/>
  <c r="T405" i="18"/>
  <c r="T529" i="18"/>
  <c r="T467" i="18"/>
  <c r="T374" i="18"/>
  <c r="T436" i="18"/>
  <c r="T343" i="18"/>
  <c r="AF784" i="18"/>
  <c r="AF846" i="18"/>
  <c r="AF815" i="18"/>
  <c r="AF753" i="18"/>
  <c r="AF691" i="18"/>
  <c r="AF722" i="18"/>
  <c r="AF660" i="18"/>
  <c r="AF629" i="18"/>
  <c r="V815" i="18"/>
  <c r="V784" i="18"/>
  <c r="V846" i="18"/>
  <c r="V753" i="18"/>
  <c r="V691" i="18"/>
  <c r="V722" i="18"/>
  <c r="V629" i="18"/>
  <c r="V660" i="18"/>
  <c r="AA815" i="18"/>
  <c r="AA722" i="18"/>
  <c r="AA846" i="18"/>
  <c r="AA784" i="18"/>
  <c r="AA660" i="18"/>
  <c r="AA629" i="18"/>
  <c r="AA753" i="18"/>
  <c r="AA691" i="18"/>
  <c r="AG528" i="18"/>
  <c r="AG497" i="18"/>
  <c r="AG559" i="18"/>
  <c r="AG466" i="18"/>
  <c r="AG435" i="18"/>
  <c r="AG404" i="18"/>
  <c r="AG373" i="18"/>
  <c r="AG342" i="18"/>
  <c r="I528" i="18"/>
  <c r="I497" i="18"/>
  <c r="I559" i="18"/>
  <c r="I435" i="18"/>
  <c r="I466" i="18"/>
  <c r="I404" i="18"/>
  <c r="I342" i="18"/>
  <c r="I373" i="18"/>
  <c r="AB559" i="18"/>
  <c r="AB528" i="18"/>
  <c r="AB435" i="18"/>
  <c r="AB497" i="18"/>
  <c r="AB404" i="18"/>
  <c r="AB466" i="18"/>
  <c r="AB342" i="18"/>
  <c r="AB373" i="18"/>
  <c r="AF528" i="18"/>
  <c r="AF559" i="18"/>
  <c r="AF342" i="18"/>
  <c r="AF466" i="18"/>
  <c r="AF435" i="18"/>
  <c r="AF404" i="18"/>
  <c r="AF373" i="18"/>
  <c r="AF497" i="18"/>
  <c r="Y464" i="18"/>
  <c r="Y557" i="18"/>
  <c r="Y402" i="18"/>
  <c r="Y526" i="18"/>
  <c r="Y371" i="18"/>
  <c r="Y495" i="18"/>
  <c r="Y433" i="18"/>
  <c r="Y340" i="18"/>
  <c r="AD495" i="18"/>
  <c r="AD557" i="18"/>
  <c r="AD526" i="18"/>
  <c r="AD433" i="18"/>
  <c r="AD464" i="18"/>
  <c r="AD371" i="18"/>
  <c r="AD402" i="18"/>
  <c r="AD340" i="18"/>
  <c r="AH557" i="18"/>
  <c r="AH495" i="18"/>
  <c r="AH402" i="18"/>
  <c r="AH464" i="18"/>
  <c r="AH371" i="18"/>
  <c r="AH526" i="18"/>
  <c r="AH433" i="18"/>
  <c r="AH340" i="18"/>
  <c r="AI165" i="59"/>
  <c r="S624" i="72" s="1"/>
  <c r="AN165" i="59"/>
  <c r="X624" i="72" s="1"/>
  <c r="AF165" i="59"/>
  <c r="P624" i="72" s="1"/>
  <c r="AQ165" i="59"/>
  <c r="AA624" i="72" s="1"/>
  <c r="AU165" i="59"/>
  <c r="AE624" i="72" s="1"/>
  <c r="AE165" i="59"/>
  <c r="O624" i="72" s="1"/>
  <c r="AX165" i="59"/>
  <c r="H653" i="72" s="1"/>
  <c r="AH165" i="59"/>
  <c r="R624" i="72" s="1"/>
  <c r="Y165" i="59"/>
  <c r="I624" i="72" s="1"/>
  <c r="AD165" i="59"/>
  <c r="N624" i="72" s="1"/>
  <c r="H94" i="48"/>
  <c r="I99" i="48"/>
  <c r="H96" i="48"/>
  <c r="K97" i="48"/>
  <c r="H95" i="48"/>
  <c r="AS165" i="59"/>
  <c r="I98" i="48"/>
  <c r="K73" i="48"/>
  <c r="BS165" i="59"/>
  <c r="AC653" i="72" s="1"/>
  <c r="BW165" i="59"/>
  <c r="AG653" i="72" s="1"/>
  <c r="K86" i="48"/>
  <c r="J98" i="48"/>
  <c r="X165" i="59"/>
  <c r="H624" i="72" s="1"/>
  <c r="J100" i="48"/>
  <c r="AR165" i="59"/>
  <c r="AB624" i="72" s="1"/>
  <c r="BL165" i="59"/>
  <c r="V653" i="72" s="1"/>
  <c r="J73" i="48"/>
  <c r="H100" i="48"/>
  <c r="J94" i="48"/>
  <c r="BV165" i="59"/>
  <c r="AF653" i="72" s="1"/>
  <c r="J96" i="48"/>
  <c r="K94" i="48"/>
  <c r="H97" i="48"/>
  <c r="BU165" i="59"/>
  <c r="AE653" i="72" s="1"/>
  <c r="K87" i="48"/>
  <c r="BP165" i="59"/>
  <c r="Z653" i="72" s="1"/>
  <c r="H99" i="48"/>
  <c r="J99" i="48"/>
  <c r="H98" i="48"/>
  <c r="J95" i="48"/>
  <c r="I96" i="48"/>
  <c r="I95" i="48"/>
  <c r="K96" i="48"/>
  <c r="I97" i="48"/>
  <c r="I94" i="48"/>
  <c r="K100" i="48"/>
  <c r="K98" i="48"/>
  <c r="I100" i="48"/>
  <c r="BK165" i="59"/>
  <c r="U653" i="72" s="1"/>
  <c r="J97" i="48"/>
  <c r="K99" i="48"/>
  <c r="K95" i="48"/>
  <c r="BT165" i="59"/>
  <c r="AD653" i="72" s="1"/>
  <c r="BI118" i="59"/>
  <c r="S390" i="72" s="1"/>
  <c r="AB147" i="59"/>
  <c r="L606" i="72" s="1"/>
  <c r="BH118" i="59"/>
  <c r="R390" i="72" s="1"/>
  <c r="I12" i="61"/>
  <c r="I11" i="61"/>
  <c r="AL118" i="59"/>
  <c r="V361" i="72" s="1"/>
  <c r="BJ118" i="59"/>
  <c r="T390" i="72" s="1"/>
  <c r="AG165" i="59"/>
  <c r="Q624" i="72" s="1"/>
  <c r="AL165" i="59"/>
  <c r="V624" i="72" s="1"/>
  <c r="BJ165" i="59"/>
  <c r="T653" i="72" s="1"/>
  <c r="BB165" i="59"/>
  <c r="L653" i="72" s="1"/>
  <c r="Z165" i="59"/>
  <c r="J624" i="72" s="1"/>
  <c r="AT165" i="59"/>
  <c r="AD624" i="72" s="1"/>
  <c r="AA147" i="59"/>
  <c r="K606" i="72" s="1"/>
  <c r="BW118" i="59"/>
  <c r="AG390" i="72" s="1"/>
  <c r="AO165" i="59"/>
  <c r="Y624" i="72" s="1"/>
  <c r="BR165" i="59"/>
  <c r="AB653" i="72" s="1"/>
  <c r="BQ165" i="59"/>
  <c r="AA653" i="72" s="1"/>
  <c r="BO165" i="59"/>
  <c r="Y653" i="72" s="1"/>
  <c r="BC147" i="59"/>
  <c r="M635" i="72" s="1"/>
  <c r="BG118" i="59"/>
  <c r="Q390" i="72" s="1"/>
  <c r="AJ165" i="59"/>
  <c r="T624" i="72" s="1"/>
  <c r="BH165" i="59"/>
  <c r="R653" i="72" s="1"/>
  <c r="BF165" i="59"/>
  <c r="P653" i="72" s="1"/>
  <c r="BD165" i="59"/>
  <c r="N653" i="72" s="1"/>
  <c r="BU118" i="59"/>
  <c r="AE390" i="72" s="1"/>
  <c r="AK165" i="59"/>
  <c r="U624" i="72" s="1"/>
  <c r="BC165" i="59"/>
  <c r="M653" i="72" s="1"/>
  <c r="AB165" i="59"/>
  <c r="L624" i="72" s="1"/>
  <c r="AY165" i="59"/>
  <c r="I653" i="72" s="1"/>
  <c r="BG165" i="59"/>
  <c r="Q653" i="72" s="1"/>
  <c r="BM165" i="59"/>
  <c r="W653" i="72" s="1"/>
  <c r="BE165" i="59"/>
  <c r="O653" i="72" s="1"/>
  <c r="AC165" i="59"/>
  <c r="M624" i="72" s="1"/>
  <c r="AA165" i="59"/>
  <c r="K624" i="72" s="1"/>
  <c r="AM165" i="59"/>
  <c r="W624" i="72" s="1"/>
  <c r="AZ165" i="59"/>
  <c r="J653" i="72" s="1"/>
  <c r="AX93" i="59"/>
  <c r="H148" i="72" s="1"/>
  <c r="AQ93" i="59"/>
  <c r="AR93" i="59"/>
  <c r="AS93" i="59"/>
  <c r="AT93" i="59"/>
  <c r="AB93" i="59"/>
  <c r="AC93" i="59"/>
  <c r="AD93" i="59"/>
  <c r="AE93" i="59"/>
  <c r="AH93" i="59"/>
  <c r="Z93" i="59"/>
  <c r="AA93" i="59"/>
  <c r="AF93" i="59"/>
  <c r="AK93" i="59"/>
  <c r="AL93" i="59"/>
  <c r="AM93" i="59"/>
  <c r="AP93" i="59"/>
  <c r="X93" i="59"/>
  <c r="Y93" i="59"/>
  <c r="AG93" i="59"/>
  <c r="AI93" i="59"/>
  <c r="AO93" i="59"/>
  <c r="AV93" i="59"/>
  <c r="AJ93" i="59"/>
  <c r="AN93" i="59"/>
  <c r="AW93" i="59"/>
  <c r="AU93" i="59"/>
  <c r="AX120" i="59"/>
  <c r="H392" i="72" s="1"/>
  <c r="AE120" i="59"/>
  <c r="AF120" i="59"/>
  <c r="AG120" i="59"/>
  <c r="AH120" i="59"/>
  <c r="AN120" i="59"/>
  <c r="AO120" i="59"/>
  <c r="AP120" i="59"/>
  <c r="AQ120" i="59"/>
  <c r="AR120" i="59"/>
  <c r="AT120" i="59"/>
  <c r="AI120" i="59"/>
  <c r="AJ120" i="59"/>
  <c r="AU120" i="59"/>
  <c r="AV120" i="59"/>
  <c r="Y120" i="59"/>
  <c r="AK120" i="59"/>
  <c r="AW120" i="59"/>
  <c r="AD120" i="59"/>
  <c r="AB120" i="59"/>
  <c r="AL120" i="59"/>
  <c r="AS120" i="59"/>
  <c r="AA120" i="59"/>
  <c r="X120" i="59"/>
  <c r="Z120" i="59"/>
  <c r="AC120" i="59"/>
  <c r="AM120" i="59"/>
  <c r="AX94" i="59"/>
  <c r="H149" i="72" s="1"/>
  <c r="AW94" i="59"/>
  <c r="BN165" i="59"/>
  <c r="X653" i="72" s="1"/>
  <c r="BA165" i="59"/>
  <c r="K653" i="72" s="1"/>
  <c r="AX151" i="59"/>
  <c r="H639" i="72" s="1"/>
  <c r="AG151" i="59"/>
  <c r="Y151" i="59"/>
  <c r="AF151" i="59"/>
  <c r="AH151" i="59"/>
  <c r="AI151" i="59"/>
  <c r="Z151" i="59"/>
  <c r="X151" i="59"/>
  <c r="AM151" i="59"/>
  <c r="AN151" i="59"/>
  <c r="AT151" i="59"/>
  <c r="AK151" i="59"/>
  <c r="AW151" i="59"/>
  <c r="AL151" i="59"/>
  <c r="AJ151" i="59"/>
  <c r="AO151" i="59"/>
  <c r="AP151" i="59"/>
  <c r="AQ151" i="59"/>
  <c r="AA151" i="59"/>
  <c r="AV151" i="59"/>
  <c r="AC151" i="59"/>
  <c r="AD151" i="59"/>
  <c r="AE151" i="59"/>
  <c r="AU151" i="59"/>
  <c r="AB151" i="59"/>
  <c r="AR151" i="59"/>
  <c r="AS151" i="59"/>
  <c r="AX97" i="59"/>
  <c r="H152" i="72" s="1"/>
  <c r="Y97" i="59"/>
  <c r="AC97" i="59"/>
  <c r="X97" i="59"/>
  <c r="AV97" i="59"/>
  <c r="AA97" i="59"/>
  <c r="AD97" i="59"/>
  <c r="AU97" i="59"/>
  <c r="AI97" i="59"/>
  <c r="AJ97" i="59"/>
  <c r="AK97" i="59"/>
  <c r="AN97" i="59"/>
  <c r="AE97" i="59"/>
  <c r="AF97" i="59"/>
  <c r="AG97" i="59"/>
  <c r="AM97" i="59"/>
  <c r="AW97" i="59"/>
  <c r="AQ97" i="59"/>
  <c r="AR97" i="59"/>
  <c r="AS97" i="59"/>
  <c r="AT97" i="59"/>
  <c r="AO97" i="59"/>
  <c r="AB97" i="59"/>
  <c r="AH97" i="59"/>
  <c r="Z97" i="59"/>
  <c r="AL97" i="59"/>
  <c r="AP97" i="59"/>
  <c r="AX96" i="59"/>
  <c r="H151" i="72" s="1"/>
  <c r="AP96" i="59"/>
  <c r="AR96" i="59"/>
  <c r="AT96" i="59"/>
  <c r="AI96" i="59"/>
  <c r="AU96" i="59"/>
  <c r="AK96" i="59"/>
  <c r="AL96" i="59"/>
  <c r="AM96" i="59"/>
  <c r="AN96" i="59"/>
  <c r="AV96" i="59"/>
  <c r="AW96" i="59"/>
  <c r="X96" i="59"/>
  <c r="Y96" i="59"/>
  <c r="AE96" i="59"/>
  <c r="AO96" i="59"/>
  <c r="AB96" i="59"/>
  <c r="AH96" i="59"/>
  <c r="AQ96" i="59"/>
  <c r="AD96" i="59"/>
  <c r="AS96" i="59"/>
  <c r="Z96" i="59"/>
  <c r="AA96" i="59"/>
  <c r="AC96" i="59"/>
  <c r="AJ96" i="59"/>
  <c r="AF96" i="59"/>
  <c r="AG96" i="59"/>
  <c r="AX122" i="59"/>
  <c r="H394" i="72" s="1"/>
  <c r="Y122" i="59"/>
  <c r="AC122" i="59"/>
  <c r="AD122" i="59"/>
  <c r="AJ122" i="59"/>
  <c r="Z122" i="59"/>
  <c r="AK122" i="59"/>
  <c r="AA122" i="59"/>
  <c r="AL122" i="59"/>
  <c r="AE122" i="59"/>
  <c r="AF122" i="59"/>
  <c r="AG122" i="59"/>
  <c r="AO122" i="59"/>
  <c r="AP122" i="59"/>
  <c r="AB122" i="59"/>
  <c r="AH122" i="59"/>
  <c r="AI122" i="59"/>
  <c r="AQ122" i="59"/>
  <c r="AR122" i="59"/>
  <c r="AS122" i="59"/>
  <c r="AU122" i="59"/>
  <c r="AM122" i="59"/>
  <c r="AV122" i="59"/>
  <c r="AN122" i="59"/>
  <c r="AW122" i="59"/>
  <c r="X122" i="59"/>
  <c r="AT122" i="59"/>
  <c r="Q26" i="24"/>
  <c r="F24" i="16" s="1"/>
  <c r="AX123" i="59"/>
  <c r="H395" i="72" s="1"/>
  <c r="AB123" i="59"/>
  <c r="AI123" i="59"/>
  <c r="AF123" i="59"/>
  <c r="AD123" i="59"/>
  <c r="AG123" i="59"/>
  <c r="AE123" i="59"/>
  <c r="AH123" i="59"/>
  <c r="AK123" i="59"/>
  <c r="AL123" i="59"/>
  <c r="AM123" i="59"/>
  <c r="AN123" i="59"/>
  <c r="AO123" i="59"/>
  <c r="Y123" i="59"/>
  <c r="AW123" i="59"/>
  <c r="AU123" i="59"/>
  <c r="AV123" i="59"/>
  <c r="Z123" i="59"/>
  <c r="X123" i="59"/>
  <c r="AA123" i="59"/>
  <c r="AC123" i="59"/>
  <c r="AJ123" i="59"/>
  <c r="AP123" i="59"/>
  <c r="AQ123" i="59"/>
  <c r="AT123" i="59"/>
  <c r="AR123" i="59"/>
  <c r="AS123" i="59"/>
  <c r="AX121" i="59"/>
  <c r="H393" i="72" s="1"/>
  <c r="AQ121" i="59"/>
  <c r="AR121" i="59"/>
  <c r="AS121" i="59"/>
  <c r="AT121" i="59"/>
  <c r="AU121" i="59"/>
  <c r="Y121" i="59"/>
  <c r="Z121" i="59"/>
  <c r="AA121" i="59"/>
  <c r="AF121" i="59"/>
  <c r="AE121" i="59"/>
  <c r="X121" i="59"/>
  <c r="AB121" i="59"/>
  <c r="AC121" i="59"/>
  <c r="AD121" i="59"/>
  <c r="AG121" i="59"/>
  <c r="AJ121" i="59"/>
  <c r="AV121" i="59"/>
  <c r="AI121" i="59"/>
  <c r="AK121" i="59"/>
  <c r="AW121" i="59"/>
  <c r="AL121" i="59"/>
  <c r="AM121" i="59"/>
  <c r="AH121" i="59"/>
  <c r="AP121" i="59"/>
  <c r="AO121" i="59"/>
  <c r="AN121" i="59"/>
  <c r="AA92" i="59"/>
  <c r="AS92" i="59"/>
  <c r="AX92" i="59"/>
  <c r="H147" i="72" s="1"/>
  <c r="BR92" i="59"/>
  <c r="AB147" i="72" s="1"/>
  <c r="BV92" i="59"/>
  <c r="AF147" i="72" s="1"/>
  <c r="AT92" i="59"/>
  <c r="AB92" i="59"/>
  <c r="BS92" i="59"/>
  <c r="AC147" i="72" s="1"/>
  <c r="AY92" i="59"/>
  <c r="I147" i="72" s="1"/>
  <c r="AU92" i="59"/>
  <c r="BW92" i="59"/>
  <c r="AG147" i="72" s="1"/>
  <c r="BT92" i="59"/>
  <c r="AD147" i="72" s="1"/>
  <c r="BF92" i="59"/>
  <c r="P147" i="72" s="1"/>
  <c r="AZ92" i="59"/>
  <c r="J147" i="72" s="1"/>
  <c r="AW92" i="59"/>
  <c r="AJ92" i="59"/>
  <c r="AF92" i="59"/>
  <c r="X92" i="59"/>
  <c r="BG92" i="59"/>
  <c r="Q147" i="72" s="1"/>
  <c r="BC92" i="59"/>
  <c r="M147" i="72" s="1"/>
  <c r="BA92" i="59"/>
  <c r="K147" i="72" s="1"/>
  <c r="AN92" i="59"/>
  <c r="AD92" i="59"/>
  <c r="BK92" i="59"/>
  <c r="U147" i="72" s="1"/>
  <c r="BD92" i="59"/>
  <c r="N147" i="72" s="1"/>
  <c r="BN92" i="59"/>
  <c r="X147" i="72" s="1"/>
  <c r="AR92" i="59"/>
  <c r="Z92" i="59"/>
  <c r="BU92" i="59"/>
  <c r="AE147" i="72" s="1"/>
  <c r="AC92" i="59"/>
  <c r="Y92" i="59"/>
  <c r="BB92" i="59"/>
  <c r="L147" i="72" s="1"/>
  <c r="AE92" i="59"/>
  <c r="BE92" i="59"/>
  <c r="O147" i="72" s="1"/>
  <c r="AG92" i="59"/>
  <c r="BJ92" i="59"/>
  <c r="T147" i="72" s="1"/>
  <c r="AP92" i="59"/>
  <c r="AI92" i="59"/>
  <c r="AK92" i="59"/>
  <c r="BH92" i="59"/>
  <c r="R147" i="72" s="1"/>
  <c r="BO92" i="59"/>
  <c r="Y147" i="72" s="1"/>
  <c r="AQ92" i="59"/>
  <c r="AV92" i="59"/>
  <c r="BL92" i="59"/>
  <c r="V147" i="72" s="1"/>
  <c r="BM92" i="59"/>
  <c r="W147" i="72" s="1"/>
  <c r="BI92" i="59"/>
  <c r="S147" i="72" s="1"/>
  <c r="AH92" i="59"/>
  <c r="AL92" i="59"/>
  <c r="BP92" i="59"/>
  <c r="Z147" i="72" s="1"/>
  <c r="AM92" i="59"/>
  <c r="BQ92" i="59"/>
  <c r="AA147" i="72" s="1"/>
  <c r="AO92" i="59"/>
  <c r="AX98" i="59"/>
  <c r="H153" i="72" s="1"/>
  <c r="AK98" i="59"/>
  <c r="AN98" i="59"/>
  <c r="AF98" i="59"/>
  <c r="AG98" i="59"/>
  <c r="X98" i="59"/>
  <c r="AV98" i="59"/>
  <c r="Y98" i="59"/>
  <c r="AW98" i="59"/>
  <c r="Z98" i="59"/>
  <c r="AH98" i="59"/>
  <c r="AI98" i="59"/>
  <c r="AJ98" i="59"/>
  <c r="AL98" i="59"/>
  <c r="AM98" i="59"/>
  <c r="AC98" i="59"/>
  <c r="AP98" i="59"/>
  <c r="AO98" i="59"/>
  <c r="AT98" i="59"/>
  <c r="AU98" i="59"/>
  <c r="AA98" i="59"/>
  <c r="AB98" i="59"/>
  <c r="AD98" i="59"/>
  <c r="AS98" i="59"/>
  <c r="AE98" i="59"/>
  <c r="AQ98" i="59"/>
  <c r="AR98" i="59"/>
  <c r="AX124" i="59"/>
  <c r="H396" i="72" s="1"/>
  <c r="X124" i="59"/>
  <c r="AJ118" i="59"/>
  <c r="T361" i="72" s="1"/>
  <c r="BI165" i="59"/>
  <c r="S653" i="72" s="1"/>
  <c r="AP165" i="59"/>
  <c r="Z624" i="72" s="1"/>
  <c r="AX149" i="59"/>
  <c r="H637" i="72" s="1"/>
  <c r="AB149" i="59"/>
  <c r="AH149" i="59"/>
  <c r="AJ149" i="59"/>
  <c r="AK149" i="59"/>
  <c r="AO149" i="59"/>
  <c r="AL149" i="59"/>
  <c r="AP149" i="59"/>
  <c r="AM149" i="59"/>
  <c r="AV149" i="59"/>
  <c r="AN149" i="59"/>
  <c r="AQ149" i="59"/>
  <c r="AR149" i="59"/>
  <c r="AU149" i="59"/>
  <c r="AC149" i="59"/>
  <c r="AW149" i="59"/>
  <c r="Y149" i="59"/>
  <c r="AG149" i="59"/>
  <c r="AS149" i="59"/>
  <c r="AT149" i="59"/>
  <c r="AD149" i="59"/>
  <c r="X149" i="59"/>
  <c r="AE149" i="59"/>
  <c r="AA149" i="59"/>
  <c r="AF149" i="59"/>
  <c r="AI149" i="59"/>
  <c r="Z149" i="59"/>
  <c r="AX95" i="59"/>
  <c r="H150" i="72" s="1"/>
  <c r="AS95" i="59"/>
  <c r="AK95" i="59"/>
  <c r="AT95" i="59"/>
  <c r="AU95" i="59"/>
  <c r="Y95" i="59"/>
  <c r="AC95" i="59"/>
  <c r="Z95" i="59"/>
  <c r="AD95" i="59"/>
  <c r="AJ95" i="59"/>
  <c r="AL95" i="59"/>
  <c r="AQ95" i="59"/>
  <c r="AR95" i="59"/>
  <c r="X95" i="59"/>
  <c r="AN95" i="59"/>
  <c r="AO95" i="59"/>
  <c r="AH95" i="59"/>
  <c r="AM95" i="59"/>
  <c r="AF95" i="59"/>
  <c r="AG95" i="59"/>
  <c r="AI95" i="59"/>
  <c r="AA95" i="59"/>
  <c r="AB95" i="59"/>
  <c r="AP95" i="59"/>
  <c r="AW95" i="59"/>
  <c r="AV95" i="59"/>
  <c r="AE95" i="59"/>
  <c r="AP91" i="59"/>
  <c r="AQ91" i="59"/>
  <c r="Y91" i="59"/>
  <c r="AW91" i="59"/>
  <c r="Z91" i="59"/>
  <c r="AA91" i="59"/>
  <c r="X91" i="59"/>
  <c r="AE91" i="59"/>
  <c r="AC91" i="59"/>
  <c r="AG91" i="59"/>
  <c r="AK91" i="59"/>
  <c r="AM91" i="59"/>
  <c r="AN91" i="59"/>
  <c r="AO91" i="59"/>
  <c r="AB91" i="59"/>
  <c r="AD91" i="59"/>
  <c r="AF91" i="59"/>
  <c r="AL91" i="59"/>
  <c r="AR91" i="59"/>
  <c r="AS91" i="59"/>
  <c r="AT91" i="59"/>
  <c r="AU91" i="59"/>
  <c r="AH91" i="59"/>
  <c r="AI91" i="59"/>
  <c r="AJ91" i="59"/>
  <c r="AV91" i="59"/>
  <c r="AX150" i="59"/>
  <c r="H638" i="72" s="1"/>
  <c r="X150" i="59"/>
  <c r="AC150" i="59"/>
  <c r="AD150" i="59"/>
  <c r="AE150" i="59"/>
  <c r="AF150" i="59"/>
  <c r="AH150" i="59"/>
  <c r="AG150" i="59"/>
  <c r="AI150" i="59"/>
  <c r="AJ150" i="59"/>
  <c r="AN150" i="59"/>
  <c r="AV150" i="59"/>
  <c r="AW150" i="59"/>
  <c r="AP150" i="59"/>
  <c r="AQ150" i="59"/>
  <c r="AR150" i="59"/>
  <c r="AS150" i="59"/>
  <c r="AT150" i="59"/>
  <c r="AB150" i="59"/>
  <c r="AO150" i="59"/>
  <c r="AU150" i="59"/>
  <c r="AA150" i="59"/>
  <c r="Y150" i="59"/>
  <c r="AL150" i="59"/>
  <c r="AM150" i="59"/>
  <c r="Z150" i="59"/>
  <c r="AK150" i="59"/>
  <c r="AG51" i="72"/>
  <c r="Y51" i="72"/>
  <c r="AB297" i="72"/>
  <c r="R542" i="72"/>
  <c r="Z542" i="72"/>
  <c r="J51" i="72"/>
  <c r="K542" i="72"/>
  <c r="BS147" i="59"/>
  <c r="AC635" i="72" s="1"/>
  <c r="AF51" i="72"/>
  <c r="I51" i="72"/>
  <c r="L297" i="72"/>
  <c r="T542" i="72"/>
  <c r="J542" i="72"/>
  <c r="S542" i="72"/>
  <c r="Q51" i="72"/>
  <c r="X51" i="72"/>
  <c r="U297" i="72"/>
  <c r="AA297" i="72"/>
  <c r="AG542" i="72"/>
  <c r="Y542" i="72"/>
  <c r="BF147" i="59"/>
  <c r="P635" i="72" s="1"/>
  <c r="P51" i="72"/>
  <c r="H51" i="72"/>
  <c r="S297" i="72"/>
  <c r="K297" i="72"/>
  <c r="Q542" i="72"/>
  <c r="I542" i="72"/>
  <c r="AE51" i="72"/>
  <c r="W51" i="72"/>
  <c r="T297" i="72"/>
  <c r="Z297" i="72"/>
  <c r="AF542" i="72"/>
  <c r="X542" i="72"/>
  <c r="O51" i="72"/>
  <c r="V51" i="72"/>
  <c r="R297" i="72"/>
  <c r="J297" i="72"/>
  <c r="P542" i="72"/>
  <c r="H542" i="72"/>
  <c r="AD51" i="72"/>
  <c r="U51" i="72"/>
  <c r="AG297" i="72"/>
  <c r="Y297" i="72"/>
  <c r="AE542" i="72"/>
  <c r="W542" i="72"/>
  <c r="M297" i="72"/>
  <c r="AK118" i="59"/>
  <c r="U361" i="72" s="1"/>
  <c r="N51" i="72"/>
  <c r="T51" i="72"/>
  <c r="Q297" i="72"/>
  <c r="I297" i="72"/>
  <c r="O542" i="72"/>
  <c r="V542" i="72"/>
  <c r="AC51" i="72"/>
  <c r="S51" i="72"/>
  <c r="AF297" i="72"/>
  <c r="X297" i="72"/>
  <c r="AD542" i="72"/>
  <c r="AI118" i="59"/>
  <c r="S361" i="72" s="1"/>
  <c r="M51" i="72"/>
  <c r="R51" i="72"/>
  <c r="P297" i="72"/>
  <c r="H297" i="72"/>
  <c r="N542" i="72"/>
  <c r="AH118" i="59"/>
  <c r="R361" i="72" s="1"/>
  <c r="AB51" i="72"/>
  <c r="AE297" i="72"/>
  <c r="W297" i="72"/>
  <c r="AC542" i="72"/>
  <c r="AF147" i="59"/>
  <c r="P606" i="72" s="1"/>
  <c r="AV118" i="59"/>
  <c r="AF361" i="72" s="1"/>
  <c r="L51" i="72"/>
  <c r="O297" i="72"/>
  <c r="V297" i="72"/>
  <c r="M542" i="72"/>
  <c r="BE147" i="59"/>
  <c r="O635" i="72" s="1"/>
  <c r="AB118" i="59"/>
  <c r="L361" i="72" s="1"/>
  <c r="AX118" i="59"/>
  <c r="H390" i="72" s="1"/>
  <c r="AA51" i="72"/>
  <c r="AD297" i="72"/>
  <c r="AB542" i="72"/>
  <c r="BD147" i="59"/>
  <c r="N635" i="72" s="1"/>
  <c r="BB118" i="59"/>
  <c r="L390" i="72" s="1"/>
  <c r="K51" i="72"/>
  <c r="N297" i="72"/>
  <c r="L542" i="72"/>
  <c r="AR147" i="59"/>
  <c r="AB606" i="72" s="1"/>
  <c r="BK118" i="59"/>
  <c r="U390" i="72" s="1"/>
  <c r="Z51" i="72"/>
  <c r="AC297" i="72"/>
  <c r="U542" i="72"/>
  <c r="AA542" i="72"/>
  <c r="AW90" i="59"/>
  <c r="AJ89" i="59"/>
  <c r="T115" i="72" s="1"/>
  <c r="BT89" i="59"/>
  <c r="AD144" i="72" s="1"/>
  <c r="BN90" i="59"/>
  <c r="X145" i="72" s="1"/>
  <c r="AN89" i="59"/>
  <c r="X115" i="72" s="1"/>
  <c r="BD89" i="59"/>
  <c r="N144" i="72" s="1"/>
  <c r="AX89" i="59"/>
  <c r="H144" i="72" s="1"/>
  <c r="AN90" i="59"/>
  <c r="AM89" i="59"/>
  <c r="BS89" i="59"/>
  <c r="BF90" i="59"/>
  <c r="P145" i="72" s="1"/>
  <c r="AU89" i="59"/>
  <c r="AE115" i="72" s="1"/>
  <c r="BR89" i="59"/>
  <c r="AB144" i="72" s="1"/>
  <c r="AX147" i="59"/>
  <c r="H635" i="72" s="1"/>
  <c r="BU90" i="59"/>
  <c r="AE145" i="72" s="1"/>
  <c r="AE89" i="59"/>
  <c r="O115" i="72" s="1"/>
  <c r="BN89" i="59"/>
  <c r="X144" i="72" s="1"/>
  <c r="AX90" i="59"/>
  <c r="H145" i="72" s="1"/>
  <c r="AG624" i="72"/>
  <c r="AT89" i="59"/>
  <c r="AD115" i="72" s="1"/>
  <c r="BM89" i="59"/>
  <c r="W144" i="72" s="1"/>
  <c r="AD89" i="59"/>
  <c r="N115" i="72" s="1"/>
  <c r="BL89" i="59"/>
  <c r="V144" i="72" s="1"/>
  <c r="BW91" i="59"/>
  <c r="AG146" i="72" s="1"/>
  <c r="AX91" i="59"/>
  <c r="H146" i="72" s="1"/>
  <c r="BR147" i="59"/>
  <c r="AB635" i="72" s="1"/>
  <c r="AS89" i="59"/>
  <c r="AC115" i="72" s="1"/>
  <c r="BK89" i="59"/>
  <c r="U144" i="72" s="1"/>
  <c r="AE147" i="59"/>
  <c r="O606" i="72" s="1"/>
  <c r="BB147" i="59"/>
  <c r="L635" i="72" s="1"/>
  <c r="X118" i="59"/>
  <c r="H361" i="72" s="1"/>
  <c r="AW117" i="59"/>
  <c r="AC89" i="59"/>
  <c r="M115" i="72" s="1"/>
  <c r="BJ89" i="59"/>
  <c r="T144" i="72" s="1"/>
  <c r="AW160" i="59"/>
  <c r="AD147" i="59"/>
  <c r="N606" i="72" s="1"/>
  <c r="BQ147" i="59"/>
  <c r="AA635" i="72" s="1"/>
  <c r="X117" i="59"/>
  <c r="AR89" i="59"/>
  <c r="BI89" i="59"/>
  <c r="S144" i="72" s="1"/>
  <c r="AX117" i="59"/>
  <c r="H389" i="72" s="1"/>
  <c r="AQ146" i="59"/>
  <c r="AH147" i="59"/>
  <c r="R606" i="72" s="1"/>
  <c r="BA147" i="59"/>
  <c r="K635" i="72" s="1"/>
  <c r="AR118" i="59"/>
  <c r="AB361" i="72" s="1"/>
  <c r="BF117" i="59"/>
  <c r="P389" i="72" s="1"/>
  <c r="AB89" i="59"/>
  <c r="L115" i="72" s="1"/>
  <c r="BH89" i="59"/>
  <c r="R144" i="72" s="1"/>
  <c r="AF146" i="59"/>
  <c r="AC147" i="59"/>
  <c r="M606" i="72" s="1"/>
  <c r="BO147" i="59"/>
  <c r="Y635" i="72" s="1"/>
  <c r="BM117" i="59"/>
  <c r="W389" i="72" s="1"/>
  <c r="AP89" i="59"/>
  <c r="Z115" i="72" s="1"/>
  <c r="BC146" i="59"/>
  <c r="M634" i="72" s="1"/>
  <c r="AV147" i="59"/>
  <c r="AF606" i="72" s="1"/>
  <c r="BH147" i="59"/>
  <c r="R635" i="72" s="1"/>
  <c r="AQ118" i="59"/>
  <c r="AA361" i="72" s="1"/>
  <c r="BW89" i="59"/>
  <c r="AG144" i="72" s="1"/>
  <c r="AX119" i="59"/>
  <c r="H391" i="72" s="1"/>
  <c r="AX146" i="59"/>
  <c r="H634" i="72" s="1"/>
  <c r="AI147" i="59"/>
  <c r="S606" i="72" s="1"/>
  <c r="BW147" i="59"/>
  <c r="AG635" i="72" s="1"/>
  <c r="AA118" i="59"/>
  <c r="K361" i="72" s="1"/>
  <c r="BV89" i="59"/>
  <c r="AF144" i="72" s="1"/>
  <c r="AU160" i="59"/>
  <c r="AX160" i="59"/>
  <c r="H648" i="72" s="1"/>
  <c r="AD90" i="59"/>
  <c r="BU147" i="59"/>
  <c r="AE635" i="72" s="1"/>
  <c r="BG147" i="59"/>
  <c r="Q635" i="72" s="1"/>
  <c r="BR118" i="59"/>
  <c r="AB390" i="72" s="1"/>
  <c r="AL89" i="59"/>
  <c r="V115" i="72" s="1"/>
  <c r="BU89" i="59"/>
  <c r="AE144" i="72" s="1"/>
  <c r="X90" i="59"/>
  <c r="BT147" i="59"/>
  <c r="AD635" i="72" s="1"/>
  <c r="BV147" i="59"/>
  <c r="AF635" i="72" s="1"/>
  <c r="BQ118" i="59"/>
  <c r="AA390" i="72" s="1"/>
  <c r="AK89" i="59"/>
  <c r="U115" i="72" s="1"/>
  <c r="BG89" i="59"/>
  <c r="Q144" i="72" s="1"/>
  <c r="BO150" i="59"/>
  <c r="Y638" i="72" s="1"/>
  <c r="BG150" i="59"/>
  <c r="Q638" i="72" s="1"/>
  <c r="AZ150" i="59"/>
  <c r="J638" i="72" s="1"/>
  <c r="BW150" i="59"/>
  <c r="AG638" i="72" s="1"/>
  <c r="BP150" i="59"/>
  <c r="Z638" i="72" s="1"/>
  <c r="BH150" i="59"/>
  <c r="R638" i="72" s="1"/>
  <c r="BA150" i="59"/>
  <c r="K638" i="72" s="1"/>
  <c r="BQ150" i="59"/>
  <c r="AA638" i="72" s="1"/>
  <c r="BB150" i="59"/>
  <c r="L638" i="72" s="1"/>
  <c r="BI150" i="59"/>
  <c r="S638" i="72" s="1"/>
  <c r="BR150" i="59"/>
  <c r="AB638" i="72" s="1"/>
  <c r="BC150" i="59"/>
  <c r="M638" i="72" s="1"/>
  <c r="BJ150" i="59"/>
  <c r="T638" i="72" s="1"/>
  <c r="BS150" i="59"/>
  <c r="AC638" i="72" s="1"/>
  <c r="BD150" i="59"/>
  <c r="N638" i="72" s="1"/>
  <c r="BK150" i="59"/>
  <c r="U638" i="72" s="1"/>
  <c r="BT150" i="59"/>
  <c r="AD638" i="72" s="1"/>
  <c r="BL150" i="59"/>
  <c r="V638" i="72" s="1"/>
  <c r="BE150" i="59"/>
  <c r="O638" i="72" s="1"/>
  <c r="BM150" i="59"/>
  <c r="W638" i="72" s="1"/>
  <c r="BU150" i="59"/>
  <c r="AE638" i="72" s="1"/>
  <c r="BN150" i="59"/>
  <c r="X638" i="72" s="1"/>
  <c r="AY150" i="59"/>
  <c r="I638" i="72" s="1"/>
  <c r="BF150" i="59"/>
  <c r="P638" i="72" s="1"/>
  <c r="BV150" i="59"/>
  <c r="AF638" i="72" s="1"/>
  <c r="AJ108" i="59"/>
  <c r="AI108" i="59"/>
  <c r="BN108" i="59"/>
  <c r="X163" i="72" s="1"/>
  <c r="BF108" i="59"/>
  <c r="P163" i="72" s="1"/>
  <c r="Z108" i="59"/>
  <c r="AH108" i="59"/>
  <c r="AY108" i="59"/>
  <c r="I163" i="72" s="1"/>
  <c r="BV108" i="59"/>
  <c r="AF163" i="72" s="1"/>
  <c r="AP108" i="59"/>
  <c r="AO108" i="59"/>
  <c r="BO108" i="59"/>
  <c r="Y163" i="72" s="1"/>
  <c r="BG108" i="59"/>
  <c r="Q163" i="72" s="1"/>
  <c r="AA108" i="59"/>
  <c r="BW108" i="59"/>
  <c r="AG163" i="72" s="1"/>
  <c r="AQ108" i="59"/>
  <c r="AZ108" i="59"/>
  <c r="J163" i="72" s="1"/>
  <c r="BH108" i="59"/>
  <c r="R163" i="72" s="1"/>
  <c r="AB108" i="59"/>
  <c r="BP108" i="59"/>
  <c r="Z163" i="72" s="1"/>
  <c r="BI108" i="59"/>
  <c r="S163" i="72" s="1"/>
  <c r="AR108" i="59"/>
  <c r="BA108" i="59"/>
  <c r="K163" i="72" s="1"/>
  <c r="X108" i="59"/>
  <c r="AC108" i="59"/>
  <c r="BQ108" i="59"/>
  <c r="AA163" i="72" s="1"/>
  <c r="BJ108" i="59"/>
  <c r="T163" i="72" s="1"/>
  <c r="AS108" i="59"/>
  <c r="BB108" i="59"/>
  <c r="L163" i="72" s="1"/>
  <c r="BK108" i="59"/>
  <c r="U163" i="72" s="1"/>
  <c r="AD108" i="59"/>
  <c r="BM108" i="59"/>
  <c r="W163" i="72" s="1"/>
  <c r="BR108" i="59"/>
  <c r="AB163" i="72" s="1"/>
  <c r="BL108" i="59"/>
  <c r="V163" i="72" s="1"/>
  <c r="AT108" i="59"/>
  <c r="BU108" i="59"/>
  <c r="AE163" i="72" s="1"/>
  <c r="BC108" i="59"/>
  <c r="M163" i="72" s="1"/>
  <c r="AK108" i="59"/>
  <c r="AE108" i="59"/>
  <c r="BS108" i="59"/>
  <c r="AC163" i="72" s="1"/>
  <c r="AL108" i="59"/>
  <c r="AU108" i="59"/>
  <c r="BD108" i="59"/>
  <c r="N163" i="72" s="1"/>
  <c r="AM108" i="59"/>
  <c r="AF108" i="59"/>
  <c r="BT108" i="59"/>
  <c r="AD163" i="72" s="1"/>
  <c r="AN108" i="59"/>
  <c r="AV108" i="59"/>
  <c r="AW108" i="59"/>
  <c r="BE108" i="59"/>
  <c r="O163" i="72" s="1"/>
  <c r="Y108" i="59"/>
  <c r="AG108" i="59"/>
  <c r="AT130" i="59"/>
  <c r="BG130" i="59"/>
  <c r="Q402" i="72" s="1"/>
  <c r="X130" i="59"/>
  <c r="AW130" i="59"/>
  <c r="AR130" i="59"/>
  <c r="BW130" i="59"/>
  <c r="AG402" i="72" s="1"/>
  <c r="BT130" i="59"/>
  <c r="AD402" i="72" s="1"/>
  <c r="AH130" i="59"/>
  <c r="BH130" i="59"/>
  <c r="R402" i="72" s="1"/>
  <c r="BU130" i="59"/>
  <c r="AE402" i="72" s="1"/>
  <c r="AI130" i="59"/>
  <c r="BI130" i="59"/>
  <c r="S402" i="72" s="1"/>
  <c r="AY130" i="59"/>
  <c r="I402" i="72" s="1"/>
  <c r="AJ130" i="59"/>
  <c r="BJ130" i="59"/>
  <c r="T402" i="72" s="1"/>
  <c r="BV130" i="59"/>
  <c r="AF402" i="72" s="1"/>
  <c r="AK130" i="59"/>
  <c r="BK130" i="59"/>
  <c r="U402" i="72" s="1"/>
  <c r="AZ130" i="59"/>
  <c r="J402" i="72" s="1"/>
  <c r="AL130" i="59"/>
  <c r="AS130" i="59"/>
  <c r="BP130" i="59"/>
  <c r="Z402" i="72" s="1"/>
  <c r="Y130" i="59"/>
  <c r="AB130" i="59"/>
  <c r="BQ130" i="59"/>
  <c r="AA402" i="72" s="1"/>
  <c r="AO130" i="59"/>
  <c r="BR130" i="59"/>
  <c r="AB402" i="72" s="1"/>
  <c r="Z130" i="59"/>
  <c r="BS130" i="59"/>
  <c r="AC402" i="72" s="1"/>
  <c r="AP130" i="59"/>
  <c r="BA130" i="59"/>
  <c r="K402" i="72" s="1"/>
  <c r="AA130" i="59"/>
  <c r="BB130" i="59"/>
  <c r="L402" i="72" s="1"/>
  <c r="AQ130" i="59"/>
  <c r="BC130" i="59"/>
  <c r="M402" i="72" s="1"/>
  <c r="BD130" i="59"/>
  <c r="N402" i="72" s="1"/>
  <c r="AE130" i="59"/>
  <c r="AU130" i="59"/>
  <c r="AD130" i="59"/>
  <c r="BL130" i="59"/>
  <c r="V402" i="72" s="1"/>
  <c r="BE130" i="59"/>
  <c r="O402" i="72" s="1"/>
  <c r="BM130" i="59"/>
  <c r="W402" i="72" s="1"/>
  <c r="AF130" i="59"/>
  <c r="AV130" i="59"/>
  <c r="BF130" i="59"/>
  <c r="P402" i="72" s="1"/>
  <c r="AG130" i="59"/>
  <c r="AC130" i="59"/>
  <c r="BN130" i="59"/>
  <c r="X402" i="72" s="1"/>
  <c r="AM130" i="59"/>
  <c r="BO130" i="59"/>
  <c r="Y402" i="72" s="1"/>
  <c r="AN130" i="59"/>
  <c r="AH174" i="59"/>
  <c r="R633" i="72" s="1"/>
  <c r="AD174" i="59"/>
  <c r="N633" i="72" s="1"/>
  <c r="AE174" i="59"/>
  <c r="O633" i="72" s="1"/>
  <c r="AT174" i="59"/>
  <c r="AD633" i="72" s="1"/>
  <c r="AU174" i="59"/>
  <c r="AE633" i="72" s="1"/>
  <c r="AS174" i="59"/>
  <c r="AC633" i="72" s="1"/>
  <c r="AC174" i="59"/>
  <c r="M633" i="72" s="1"/>
  <c r="AP174" i="59"/>
  <c r="Z633" i="72" s="1"/>
  <c r="AN174" i="59"/>
  <c r="X633" i="72" s="1"/>
  <c r="AQ174" i="59"/>
  <c r="AA633" i="72" s="1"/>
  <c r="Z174" i="59"/>
  <c r="J633" i="72" s="1"/>
  <c r="AA174" i="59"/>
  <c r="K633" i="72" s="1"/>
  <c r="AR174" i="59"/>
  <c r="AB633" i="72" s="1"/>
  <c r="AB174" i="59"/>
  <c r="L633" i="72" s="1"/>
  <c r="AK174" i="59"/>
  <c r="U633" i="72" s="1"/>
  <c r="BH174" i="59"/>
  <c r="R662" i="72" s="1"/>
  <c r="AW174" i="59"/>
  <c r="AG633" i="72" s="1"/>
  <c r="BI174" i="59"/>
  <c r="S662" i="72" s="1"/>
  <c r="BK174" i="59"/>
  <c r="U662" i="72" s="1"/>
  <c r="BC174" i="59"/>
  <c r="M662" i="72" s="1"/>
  <c r="AY174" i="59"/>
  <c r="I662" i="72" s="1"/>
  <c r="AO174" i="59"/>
  <c r="Y633" i="72" s="1"/>
  <c r="BS174" i="59"/>
  <c r="AC662" i="72" s="1"/>
  <c r="AZ174" i="59"/>
  <c r="J662" i="72" s="1"/>
  <c r="AJ174" i="59"/>
  <c r="T633" i="72" s="1"/>
  <c r="BD174" i="59"/>
  <c r="N662" i="72" s="1"/>
  <c r="BA174" i="59"/>
  <c r="K662" i="72" s="1"/>
  <c r="BT174" i="59"/>
  <c r="AD662" i="72" s="1"/>
  <c r="BB174" i="59"/>
  <c r="L662" i="72" s="1"/>
  <c r="BE174" i="59"/>
  <c r="O662" i="72" s="1"/>
  <c r="BJ174" i="59"/>
  <c r="T662" i="72" s="1"/>
  <c r="BU174" i="59"/>
  <c r="AE662" i="72" s="1"/>
  <c r="AM174" i="59"/>
  <c r="W633" i="72" s="1"/>
  <c r="X174" i="59"/>
  <c r="H633" i="72" s="1"/>
  <c r="BM174" i="59"/>
  <c r="W662" i="72" s="1"/>
  <c r="BF174" i="59"/>
  <c r="P662" i="72" s="1"/>
  <c r="BN174" i="59"/>
  <c r="X662" i="72" s="1"/>
  <c r="BV174" i="59"/>
  <c r="AF662" i="72" s="1"/>
  <c r="BO174" i="59"/>
  <c r="Y662" i="72" s="1"/>
  <c r="BG174" i="59"/>
  <c r="Q662" i="72" s="1"/>
  <c r="BP174" i="59"/>
  <c r="Z662" i="72" s="1"/>
  <c r="BQ174" i="59"/>
  <c r="AA662" i="72" s="1"/>
  <c r="AV174" i="59"/>
  <c r="AF633" i="72" s="1"/>
  <c r="BR174" i="59"/>
  <c r="AB662" i="72" s="1"/>
  <c r="AF174" i="59"/>
  <c r="P633" i="72" s="1"/>
  <c r="BL174" i="59"/>
  <c r="V662" i="72" s="1"/>
  <c r="AG174" i="59"/>
  <c r="Q633" i="72" s="1"/>
  <c r="AI174" i="59"/>
  <c r="S633" i="72" s="1"/>
  <c r="AL174" i="59"/>
  <c r="V633" i="72" s="1"/>
  <c r="BW174" i="59"/>
  <c r="AG662" i="72" s="1"/>
  <c r="Y174" i="59"/>
  <c r="I633" i="72" s="1"/>
  <c r="AK170" i="59"/>
  <c r="U629" i="72" s="1"/>
  <c r="AH170" i="59"/>
  <c r="R629" i="72" s="1"/>
  <c r="AW170" i="59"/>
  <c r="AG629" i="72" s="1"/>
  <c r="AG170" i="59"/>
  <c r="Q629" i="72" s="1"/>
  <c r="AE170" i="59"/>
  <c r="O629" i="72" s="1"/>
  <c r="AJ170" i="59"/>
  <c r="T629" i="72" s="1"/>
  <c r="AR170" i="59"/>
  <c r="AB629" i="72" s="1"/>
  <c r="AV170" i="59"/>
  <c r="AF629" i="72" s="1"/>
  <c r="AB170" i="59"/>
  <c r="L629" i="72" s="1"/>
  <c r="AF170" i="59"/>
  <c r="P629" i="72" s="1"/>
  <c r="AS170" i="59"/>
  <c r="AC629" i="72" s="1"/>
  <c r="AT170" i="59"/>
  <c r="AD629" i="72" s="1"/>
  <c r="AC170" i="59"/>
  <c r="M629" i="72" s="1"/>
  <c r="AD170" i="59"/>
  <c r="N629" i="72" s="1"/>
  <c r="AP170" i="59"/>
  <c r="Z629" i="72" s="1"/>
  <c r="Z170" i="59"/>
  <c r="J629" i="72" s="1"/>
  <c r="AO170" i="59"/>
  <c r="Y629" i="72" s="1"/>
  <c r="AQ170" i="59"/>
  <c r="AA629" i="72" s="1"/>
  <c r="Y170" i="59"/>
  <c r="I629" i="72" s="1"/>
  <c r="AA170" i="59"/>
  <c r="K629" i="72" s="1"/>
  <c r="AN170" i="59"/>
  <c r="X629" i="72" s="1"/>
  <c r="AU170" i="59"/>
  <c r="AE629" i="72" s="1"/>
  <c r="AL170" i="59"/>
  <c r="V629" i="72" s="1"/>
  <c r="BT170" i="59"/>
  <c r="AD658" i="72" s="1"/>
  <c r="BS170" i="59"/>
  <c r="AC658" i="72" s="1"/>
  <c r="BJ170" i="59"/>
  <c r="T658" i="72" s="1"/>
  <c r="BD170" i="59"/>
  <c r="N658" i="72" s="1"/>
  <c r="BK170" i="59"/>
  <c r="U658" i="72" s="1"/>
  <c r="BE170" i="59"/>
  <c r="O658" i="72" s="1"/>
  <c r="BL170" i="59"/>
  <c r="V658" i="72" s="1"/>
  <c r="BF170" i="59"/>
  <c r="P658" i="72" s="1"/>
  <c r="BM170" i="59"/>
  <c r="W658" i="72" s="1"/>
  <c r="BP170" i="59"/>
  <c r="Z658" i="72" s="1"/>
  <c r="BC170" i="59"/>
  <c r="M658" i="72" s="1"/>
  <c r="BN170" i="59"/>
  <c r="X658" i="72" s="1"/>
  <c r="AY170" i="59"/>
  <c r="I658" i="72" s="1"/>
  <c r="BO170" i="59"/>
  <c r="Y658" i="72" s="1"/>
  <c r="BA170" i="59"/>
  <c r="K658" i="72" s="1"/>
  <c r="AI170" i="59"/>
  <c r="S629" i="72" s="1"/>
  <c r="AM170" i="59"/>
  <c r="W629" i="72" s="1"/>
  <c r="BQ170" i="59"/>
  <c r="AA658" i="72" s="1"/>
  <c r="BB170" i="59"/>
  <c r="L658" i="72" s="1"/>
  <c r="BR170" i="59"/>
  <c r="AB658" i="72" s="1"/>
  <c r="BU170" i="59"/>
  <c r="AE658" i="72" s="1"/>
  <c r="BI170" i="59"/>
  <c r="S658" i="72" s="1"/>
  <c r="BG170" i="59"/>
  <c r="Q658" i="72" s="1"/>
  <c r="BV170" i="59"/>
  <c r="AF658" i="72" s="1"/>
  <c r="BW170" i="59"/>
  <c r="AG658" i="72" s="1"/>
  <c r="X170" i="59"/>
  <c r="H629" i="72" s="1"/>
  <c r="BH170" i="59"/>
  <c r="R658" i="72" s="1"/>
  <c r="AZ170" i="59"/>
  <c r="J658" i="72" s="1"/>
  <c r="AD146" i="59"/>
  <c r="BK146" i="59"/>
  <c r="U634" i="72" s="1"/>
  <c r="BB146" i="59"/>
  <c r="L634" i="72" s="1"/>
  <c r="AC90" i="59"/>
  <c r="BM90" i="59"/>
  <c r="W145" i="72" s="1"/>
  <c r="BE90" i="59"/>
  <c r="O145" i="72" s="1"/>
  <c r="AV117" i="59"/>
  <c r="Y117" i="59"/>
  <c r="BE117" i="59"/>
  <c r="O389" i="72" s="1"/>
  <c r="AC119" i="59"/>
  <c r="BE119" i="59"/>
  <c r="O391" i="72" s="1"/>
  <c r="BQ119" i="59"/>
  <c r="AA391" i="72" s="1"/>
  <c r="AY96" i="59"/>
  <c r="I151" i="72" s="1"/>
  <c r="BL96" i="59"/>
  <c r="V151" i="72" s="1"/>
  <c r="BJ96" i="59"/>
  <c r="T151" i="72" s="1"/>
  <c r="BP96" i="59"/>
  <c r="Z151" i="72" s="1"/>
  <c r="BO96" i="59"/>
  <c r="Y151" i="72" s="1"/>
  <c r="BM96" i="59"/>
  <c r="W151" i="72" s="1"/>
  <c r="BH96" i="59"/>
  <c r="R151" i="72" s="1"/>
  <c r="BG96" i="59"/>
  <c r="Q151" i="72" s="1"/>
  <c r="BU96" i="59"/>
  <c r="AE151" i="72" s="1"/>
  <c r="BF96" i="59"/>
  <c r="P151" i="72" s="1"/>
  <c r="BE96" i="59"/>
  <c r="O151" i="72" s="1"/>
  <c r="BN96" i="59"/>
  <c r="X151" i="72" s="1"/>
  <c r="BK96" i="59"/>
  <c r="U151" i="72" s="1"/>
  <c r="AZ96" i="59"/>
  <c r="J151" i="72" s="1"/>
  <c r="BI96" i="59"/>
  <c r="S151" i="72" s="1"/>
  <c r="BW96" i="59"/>
  <c r="AG151" i="72" s="1"/>
  <c r="BC96" i="59"/>
  <c r="M151" i="72" s="1"/>
  <c r="BA96" i="59"/>
  <c r="K151" i="72" s="1"/>
  <c r="BD96" i="59"/>
  <c r="N151" i="72" s="1"/>
  <c r="BQ96" i="59"/>
  <c r="AA151" i="72" s="1"/>
  <c r="BR96" i="59"/>
  <c r="AB151" i="72" s="1"/>
  <c r="BB96" i="59"/>
  <c r="L151" i="72" s="1"/>
  <c r="BV96" i="59"/>
  <c r="AF151" i="72" s="1"/>
  <c r="BS96" i="59"/>
  <c r="AC151" i="72" s="1"/>
  <c r="BT96" i="59"/>
  <c r="AD151" i="72" s="1"/>
  <c r="BL117" i="59"/>
  <c r="V389" i="72" s="1"/>
  <c r="AZ91" i="59"/>
  <c r="J146" i="72" s="1"/>
  <c r="BP91" i="59"/>
  <c r="Z146" i="72" s="1"/>
  <c r="BF91" i="59"/>
  <c r="P146" i="72" s="1"/>
  <c r="BA91" i="59"/>
  <c r="K146" i="72" s="1"/>
  <c r="BV91" i="59"/>
  <c r="AF146" i="72" s="1"/>
  <c r="BQ91" i="59"/>
  <c r="AA146" i="72" s="1"/>
  <c r="BG91" i="59"/>
  <c r="Q146" i="72" s="1"/>
  <c r="BB91" i="59"/>
  <c r="L146" i="72" s="1"/>
  <c r="BC91" i="59"/>
  <c r="M146" i="72" s="1"/>
  <c r="BR91" i="59"/>
  <c r="AB146" i="72" s="1"/>
  <c r="BD91" i="59"/>
  <c r="N146" i="72" s="1"/>
  <c r="BE91" i="59"/>
  <c r="O146" i="72" s="1"/>
  <c r="BI91" i="59"/>
  <c r="S146" i="72" s="1"/>
  <c r="BT91" i="59"/>
  <c r="AD146" i="72" s="1"/>
  <c r="BK91" i="59"/>
  <c r="U146" i="72" s="1"/>
  <c r="BL91" i="59"/>
  <c r="V146" i="72" s="1"/>
  <c r="BM91" i="59"/>
  <c r="W146" i="72" s="1"/>
  <c r="BN91" i="59"/>
  <c r="X146" i="72" s="1"/>
  <c r="AY91" i="59"/>
  <c r="I146" i="72" s="1"/>
  <c r="BO91" i="59"/>
  <c r="Y146" i="72" s="1"/>
  <c r="BU91" i="59"/>
  <c r="AE146" i="72" s="1"/>
  <c r="BJ91" i="59"/>
  <c r="T146" i="72" s="1"/>
  <c r="BH91" i="59"/>
  <c r="R146" i="72" s="1"/>
  <c r="BS91" i="59"/>
  <c r="AC146" i="72" s="1"/>
  <c r="AD105" i="59"/>
  <c r="AT105" i="59"/>
  <c r="BJ105" i="59"/>
  <c r="T160" i="72" s="1"/>
  <c r="BT105" i="59"/>
  <c r="AD160" i="72" s="1"/>
  <c r="AM105" i="59"/>
  <c r="BK105" i="59"/>
  <c r="U160" i="72" s="1"/>
  <c r="BE105" i="59"/>
  <c r="O160" i="72" s="1"/>
  <c r="AN105" i="59"/>
  <c r="BL105" i="59"/>
  <c r="V160" i="72" s="1"/>
  <c r="BF105" i="59"/>
  <c r="P160" i="72" s="1"/>
  <c r="Y105" i="59"/>
  <c r="AE105" i="59"/>
  <c r="BM105" i="59"/>
  <c r="W160" i="72" s="1"/>
  <c r="BG105" i="59"/>
  <c r="Q160" i="72" s="1"/>
  <c r="AO105" i="59"/>
  <c r="BN105" i="59"/>
  <c r="X160" i="72" s="1"/>
  <c r="AY105" i="59"/>
  <c r="I160" i="72" s="1"/>
  <c r="BV105" i="59"/>
  <c r="AF160" i="72" s="1"/>
  <c r="Z105" i="59"/>
  <c r="AU105" i="59"/>
  <c r="BB105" i="59"/>
  <c r="L160" i="72" s="1"/>
  <c r="BW105" i="59"/>
  <c r="AG160" i="72" s="1"/>
  <c r="BR105" i="59"/>
  <c r="AB160" i="72" s="1"/>
  <c r="AP105" i="59"/>
  <c r="BC105" i="59"/>
  <c r="M160" i="72" s="1"/>
  <c r="AA105" i="59"/>
  <c r="BS105" i="59"/>
  <c r="AC160" i="72" s="1"/>
  <c r="AQ105" i="59"/>
  <c r="BD105" i="59"/>
  <c r="N160" i="72" s="1"/>
  <c r="AB105" i="59"/>
  <c r="AL105" i="59"/>
  <c r="BU105" i="59"/>
  <c r="AE160" i="72" s="1"/>
  <c r="AR105" i="59"/>
  <c r="AF105" i="59"/>
  <c r="AC105" i="59"/>
  <c r="BQ105" i="59"/>
  <c r="AA160" i="72" s="1"/>
  <c r="AV105" i="59"/>
  <c r="AS105" i="59"/>
  <c r="AG105" i="59"/>
  <c r="BH105" i="59"/>
  <c r="R160" i="72" s="1"/>
  <c r="AW105" i="59"/>
  <c r="BI105" i="59"/>
  <c r="S160" i="72" s="1"/>
  <c r="X105" i="59"/>
  <c r="BO105" i="59"/>
  <c r="Y160" i="72" s="1"/>
  <c r="AH105" i="59"/>
  <c r="AZ105" i="59"/>
  <c r="J160" i="72" s="1"/>
  <c r="AI105" i="59"/>
  <c r="BP105" i="59"/>
  <c r="Z160" i="72" s="1"/>
  <c r="AJ105" i="59"/>
  <c r="BA105" i="59"/>
  <c r="K160" i="72" s="1"/>
  <c r="AK105" i="59"/>
  <c r="AG158" i="59"/>
  <c r="AT158" i="59"/>
  <c r="AD158" i="59"/>
  <c r="AS158" i="59"/>
  <c r="AQ158" i="59"/>
  <c r="AA158" i="59"/>
  <c r="AN158" i="59"/>
  <c r="AC158" i="59"/>
  <c r="AR158" i="59"/>
  <c r="AB158" i="59"/>
  <c r="AO158" i="59"/>
  <c r="AP158" i="59"/>
  <c r="Y158" i="59"/>
  <c r="Z158" i="59"/>
  <c r="BL158" i="59"/>
  <c r="V646" i="72" s="1"/>
  <c r="AL158" i="59"/>
  <c r="BC158" i="59"/>
  <c r="M646" i="72" s="1"/>
  <c r="BM158" i="59"/>
  <c r="W646" i="72" s="1"/>
  <c r="AJ158" i="59"/>
  <c r="BS158" i="59"/>
  <c r="AC646" i="72" s="1"/>
  <c r="BN158" i="59"/>
  <c r="X646" i="72" s="1"/>
  <c r="AM158" i="59"/>
  <c r="BD158" i="59"/>
  <c r="N646" i="72" s="1"/>
  <c r="AY158" i="59"/>
  <c r="I646" i="72" s="1"/>
  <c r="BT158" i="59"/>
  <c r="AD646" i="72" s="1"/>
  <c r="BO158" i="59"/>
  <c r="Y646" i="72" s="1"/>
  <c r="BE158" i="59"/>
  <c r="O646" i="72" s="1"/>
  <c r="AZ158" i="59"/>
  <c r="J646" i="72" s="1"/>
  <c r="AK158" i="59"/>
  <c r="BU158" i="59"/>
  <c r="AE646" i="72" s="1"/>
  <c r="BP158" i="59"/>
  <c r="Z646" i="72" s="1"/>
  <c r="X158" i="59"/>
  <c r="BA158" i="59"/>
  <c r="K646" i="72" s="1"/>
  <c r="BF158" i="59"/>
  <c r="P646" i="72" s="1"/>
  <c r="BB158" i="59"/>
  <c r="L646" i="72" s="1"/>
  <c r="BV158" i="59"/>
  <c r="AF646" i="72" s="1"/>
  <c r="AW158" i="59"/>
  <c r="BG158" i="59"/>
  <c r="Q646" i="72" s="1"/>
  <c r="AH158" i="59"/>
  <c r="BW158" i="59"/>
  <c r="AG646" i="72" s="1"/>
  <c r="AI158" i="59"/>
  <c r="BH158" i="59"/>
  <c r="R646" i="72" s="1"/>
  <c r="BI158" i="59"/>
  <c r="S646" i="72" s="1"/>
  <c r="BJ158" i="59"/>
  <c r="T646" i="72" s="1"/>
  <c r="BK158" i="59"/>
  <c r="U646" i="72" s="1"/>
  <c r="BQ158" i="59"/>
  <c r="AA646" i="72" s="1"/>
  <c r="AU158" i="59"/>
  <c r="BR158" i="59"/>
  <c r="AB646" i="72" s="1"/>
  <c r="AE158" i="59"/>
  <c r="AV158" i="59"/>
  <c r="AF158" i="59"/>
  <c r="BB115" i="59"/>
  <c r="L170" i="72" s="1"/>
  <c r="BK115" i="59"/>
  <c r="U170" i="72" s="1"/>
  <c r="AS115" i="59"/>
  <c r="AC141" i="72" s="1"/>
  <c r="BR115" i="59"/>
  <c r="AB170" i="72" s="1"/>
  <c r="BL115" i="59"/>
  <c r="V170" i="72" s="1"/>
  <c r="AD115" i="59"/>
  <c r="N141" i="72" s="1"/>
  <c r="BC115" i="59"/>
  <c r="M170" i="72" s="1"/>
  <c r="BM115" i="59"/>
  <c r="W170" i="72" s="1"/>
  <c r="AT115" i="59"/>
  <c r="AD141" i="72" s="1"/>
  <c r="BS115" i="59"/>
  <c r="AC170" i="72" s="1"/>
  <c r="AL115" i="59"/>
  <c r="V141" i="72" s="1"/>
  <c r="AE115" i="59"/>
  <c r="O141" i="72" s="1"/>
  <c r="BD115" i="59"/>
  <c r="N170" i="72" s="1"/>
  <c r="AM115" i="59"/>
  <c r="W141" i="72" s="1"/>
  <c r="AU115" i="59"/>
  <c r="AE141" i="72" s="1"/>
  <c r="BT115" i="59"/>
  <c r="AD170" i="72" s="1"/>
  <c r="AN115" i="59"/>
  <c r="X141" i="72" s="1"/>
  <c r="AF115" i="59"/>
  <c r="P141" i="72" s="1"/>
  <c r="BE115" i="59"/>
  <c r="O170" i="72" s="1"/>
  <c r="Y115" i="59"/>
  <c r="I141" i="72" s="1"/>
  <c r="AV115" i="59"/>
  <c r="AF141" i="72" s="1"/>
  <c r="BN115" i="59"/>
  <c r="X170" i="72" s="1"/>
  <c r="BV115" i="59"/>
  <c r="AF170" i="72" s="1"/>
  <c r="AP115" i="59"/>
  <c r="Z141" i="72" s="1"/>
  <c r="AH115" i="59"/>
  <c r="R141" i="72" s="1"/>
  <c r="AY115" i="59"/>
  <c r="I170" i="72" s="1"/>
  <c r="BG115" i="59"/>
  <c r="Q170" i="72" s="1"/>
  <c r="X115" i="59"/>
  <c r="H141" i="72" s="1"/>
  <c r="AI115" i="59"/>
  <c r="S141" i="72" s="1"/>
  <c r="BO115" i="59"/>
  <c r="Y170" i="72" s="1"/>
  <c r="BW115" i="59"/>
  <c r="AG170" i="72" s="1"/>
  <c r="AA115" i="59"/>
  <c r="K141" i="72" s="1"/>
  <c r="AZ115" i="59"/>
  <c r="J170" i="72" s="1"/>
  <c r="AQ115" i="59"/>
  <c r="AA141" i="72" s="1"/>
  <c r="AW115" i="59"/>
  <c r="AG141" i="72" s="1"/>
  <c r="BP115" i="59"/>
  <c r="Z170" i="72" s="1"/>
  <c r="BA115" i="59"/>
  <c r="K170" i="72" s="1"/>
  <c r="AK115" i="59"/>
  <c r="U141" i="72" s="1"/>
  <c r="BQ115" i="59"/>
  <c r="AA170" i="72" s="1"/>
  <c r="BU115" i="59"/>
  <c r="AE170" i="72" s="1"/>
  <c r="BF115" i="59"/>
  <c r="P170" i="72" s="1"/>
  <c r="AJ115" i="59"/>
  <c r="T141" i="72" s="1"/>
  <c r="BH115" i="59"/>
  <c r="R170" i="72" s="1"/>
  <c r="BI115" i="59"/>
  <c r="S170" i="72" s="1"/>
  <c r="BJ115" i="59"/>
  <c r="T170" i="72" s="1"/>
  <c r="AO115" i="59"/>
  <c r="Y141" i="72" s="1"/>
  <c r="Z115" i="59"/>
  <c r="J141" i="72" s="1"/>
  <c r="AB115" i="59"/>
  <c r="L141" i="72" s="1"/>
  <c r="AR115" i="59"/>
  <c r="AB141" i="72" s="1"/>
  <c r="AC115" i="59"/>
  <c r="M141" i="72" s="1"/>
  <c r="AG115" i="59"/>
  <c r="Q141" i="72" s="1"/>
  <c r="AW154" i="59"/>
  <c r="AB154" i="59"/>
  <c r="AD154" i="59"/>
  <c r="AJ154" i="59"/>
  <c r="BE154" i="59"/>
  <c r="O642" i="72" s="1"/>
  <c r="AE154" i="59"/>
  <c r="BF154" i="59"/>
  <c r="P642" i="72" s="1"/>
  <c r="AG154" i="59"/>
  <c r="AU154" i="59"/>
  <c r="AM154" i="59"/>
  <c r="AA154" i="59"/>
  <c r="AS154" i="59"/>
  <c r="AH154" i="59"/>
  <c r="AT154" i="59"/>
  <c r="AF154" i="59"/>
  <c r="AR154" i="59"/>
  <c r="AZ154" i="59"/>
  <c r="J642" i="72" s="1"/>
  <c r="AP154" i="59"/>
  <c r="AQ154" i="59"/>
  <c r="BP154" i="59"/>
  <c r="Z642" i="72" s="1"/>
  <c r="AC154" i="59"/>
  <c r="BA154" i="59"/>
  <c r="K642" i="72" s="1"/>
  <c r="X154" i="59"/>
  <c r="BQ154" i="59"/>
  <c r="AA642" i="72" s="1"/>
  <c r="AI154" i="59"/>
  <c r="BB154" i="59"/>
  <c r="L642" i="72" s="1"/>
  <c r="Z154" i="59"/>
  <c r="AK154" i="59"/>
  <c r="BG154" i="59"/>
  <c r="Q642" i="72" s="1"/>
  <c r="BR154" i="59"/>
  <c r="AB642" i="72" s="1"/>
  <c r="AL154" i="59"/>
  <c r="BW154" i="59"/>
  <c r="AG642" i="72" s="1"/>
  <c r="BC154" i="59"/>
  <c r="M642" i="72" s="1"/>
  <c r="BH154" i="59"/>
  <c r="R642" i="72" s="1"/>
  <c r="BS154" i="59"/>
  <c r="AC642" i="72" s="1"/>
  <c r="BI154" i="59"/>
  <c r="S642" i="72" s="1"/>
  <c r="BD154" i="59"/>
  <c r="N642" i="72" s="1"/>
  <c r="BJ154" i="59"/>
  <c r="T642" i="72" s="1"/>
  <c r="BT154" i="59"/>
  <c r="AD642" i="72" s="1"/>
  <c r="BK154" i="59"/>
  <c r="U642" i="72" s="1"/>
  <c r="BU154" i="59"/>
  <c r="AE642" i="72" s="1"/>
  <c r="BL154" i="59"/>
  <c r="V642" i="72" s="1"/>
  <c r="BV154" i="59"/>
  <c r="AF642" i="72" s="1"/>
  <c r="BM154" i="59"/>
  <c r="W642" i="72" s="1"/>
  <c r="AN154" i="59"/>
  <c r="AV154" i="59"/>
  <c r="BN154" i="59"/>
  <c r="X642" i="72" s="1"/>
  <c r="Y154" i="59"/>
  <c r="AY154" i="59"/>
  <c r="I642" i="72" s="1"/>
  <c r="AO154" i="59"/>
  <c r="BO154" i="59"/>
  <c r="Y642" i="72" s="1"/>
  <c r="AO146" i="59"/>
  <c r="BJ146" i="59"/>
  <c r="T634" i="72" s="1"/>
  <c r="BQ146" i="59"/>
  <c r="AA634" i="72" s="1"/>
  <c r="AB90" i="59"/>
  <c r="AM90" i="59"/>
  <c r="BT90" i="59"/>
  <c r="AD145" i="72" s="1"/>
  <c r="AF117" i="59"/>
  <c r="AN117" i="59"/>
  <c r="BT117" i="59"/>
  <c r="AD389" i="72" s="1"/>
  <c r="AR119" i="59"/>
  <c r="AI119" i="59"/>
  <c r="BA119" i="59"/>
  <c r="K391" i="72" s="1"/>
  <c r="AP146" i="59"/>
  <c r="AS119" i="59"/>
  <c r="AA164" i="59"/>
  <c r="AQ164" i="59"/>
  <c r="AN164" i="59"/>
  <c r="AM164" i="59"/>
  <c r="BK164" i="59"/>
  <c r="U652" i="72" s="1"/>
  <c r="X164" i="59"/>
  <c r="BL164" i="59"/>
  <c r="V652" i="72" s="1"/>
  <c r="BO164" i="59"/>
  <c r="Y652" i="72" s="1"/>
  <c r="BW164" i="59"/>
  <c r="AG652" i="72" s="1"/>
  <c r="AZ164" i="59"/>
  <c r="J652" i="72" s="1"/>
  <c r="BH164" i="59"/>
  <c r="R652" i="72" s="1"/>
  <c r="AW164" i="59"/>
  <c r="BP164" i="59"/>
  <c r="Z652" i="72" s="1"/>
  <c r="BI164" i="59"/>
  <c r="S652" i="72" s="1"/>
  <c r="AI164" i="59"/>
  <c r="AG164" i="59"/>
  <c r="BA164" i="59"/>
  <c r="K652" i="72" s="1"/>
  <c r="BJ164" i="59"/>
  <c r="T652" i="72" s="1"/>
  <c r="BQ164" i="59"/>
  <c r="AA652" i="72" s="1"/>
  <c r="BB164" i="59"/>
  <c r="L652" i="72" s="1"/>
  <c r="BR164" i="59"/>
  <c r="AB652" i="72" s="1"/>
  <c r="BC164" i="59"/>
  <c r="M652" i="72" s="1"/>
  <c r="AJ164" i="59"/>
  <c r="AK164" i="59"/>
  <c r="BS164" i="59"/>
  <c r="AC652" i="72" s="1"/>
  <c r="BD164" i="59"/>
  <c r="N652" i="72" s="1"/>
  <c r="BT164" i="59"/>
  <c r="AD652" i="72" s="1"/>
  <c r="BE164" i="59"/>
  <c r="O652" i="72" s="1"/>
  <c r="BU164" i="59"/>
  <c r="AE652" i="72" s="1"/>
  <c r="BM164" i="59"/>
  <c r="W652" i="72" s="1"/>
  <c r="BF164" i="59"/>
  <c r="P652" i="72" s="1"/>
  <c r="AT164" i="59"/>
  <c r="BN164" i="59"/>
  <c r="X652" i="72" s="1"/>
  <c r="AD164" i="59"/>
  <c r="AY164" i="59"/>
  <c r="I652" i="72" s="1"/>
  <c r="AS164" i="59"/>
  <c r="BV164" i="59"/>
  <c r="AF652" i="72" s="1"/>
  <c r="AC164" i="59"/>
  <c r="BG164" i="59"/>
  <c r="Q652" i="72" s="1"/>
  <c r="AV164" i="59"/>
  <c r="AL164" i="59"/>
  <c r="AF164" i="59"/>
  <c r="AH164" i="59"/>
  <c r="AU164" i="59"/>
  <c r="AO164" i="59"/>
  <c r="AE164" i="59"/>
  <c r="Y164" i="59"/>
  <c r="AP164" i="59"/>
  <c r="Z164" i="59"/>
  <c r="AR164" i="59"/>
  <c r="AB164" i="59"/>
  <c r="Y88" i="59"/>
  <c r="AG88" i="59"/>
  <c r="AS88" i="59"/>
  <c r="AT88" i="59"/>
  <c r="AD88" i="59"/>
  <c r="AC88" i="59"/>
  <c r="AO88" i="59"/>
  <c r="AP88" i="59"/>
  <c r="AW88" i="59"/>
  <c r="AM88" i="59"/>
  <c r="Z88" i="59"/>
  <c r="BE88" i="59"/>
  <c r="O143" i="72" s="1"/>
  <c r="AK88" i="59"/>
  <c r="AQ88" i="59"/>
  <c r="AA88" i="59"/>
  <c r="BG88" i="59"/>
  <c r="Q143" i="72" s="1"/>
  <c r="BH88" i="59"/>
  <c r="R143" i="72" s="1"/>
  <c r="BI88" i="59"/>
  <c r="S143" i="72" s="1"/>
  <c r="AJ88" i="59"/>
  <c r="BJ88" i="59"/>
  <c r="T143" i="72" s="1"/>
  <c r="AN88" i="59"/>
  <c r="BK88" i="59"/>
  <c r="U143" i="72" s="1"/>
  <c r="BR88" i="59"/>
  <c r="AB143" i="72" s="1"/>
  <c r="AI88" i="59"/>
  <c r="BL88" i="59"/>
  <c r="V143" i="72" s="1"/>
  <c r="BT88" i="59"/>
  <c r="AD143" i="72" s="1"/>
  <c r="AR88" i="59"/>
  <c r="BM88" i="59"/>
  <c r="W143" i="72" s="1"/>
  <c r="BU88" i="59"/>
  <c r="AE143" i="72" s="1"/>
  <c r="AB88" i="59"/>
  <c r="BN88" i="59"/>
  <c r="X143" i="72" s="1"/>
  <c r="BV88" i="59"/>
  <c r="AF143" i="72" s="1"/>
  <c r="BD88" i="59"/>
  <c r="N143" i="72" s="1"/>
  <c r="BO88" i="59"/>
  <c r="Y143" i="72" s="1"/>
  <c r="BW88" i="59"/>
  <c r="AG143" i="72" s="1"/>
  <c r="AL88" i="59"/>
  <c r="AZ88" i="59"/>
  <c r="J143" i="72" s="1"/>
  <c r="AY88" i="59"/>
  <c r="I143" i="72" s="1"/>
  <c r="BP88" i="59"/>
  <c r="Z143" i="72" s="1"/>
  <c r="BB88" i="59"/>
  <c r="L143" i="72" s="1"/>
  <c r="BA88" i="59"/>
  <c r="K143" i="72" s="1"/>
  <c r="BQ88" i="59"/>
  <c r="AA143" i="72" s="1"/>
  <c r="BC88" i="59"/>
  <c r="M143" i="72" s="1"/>
  <c r="BS88" i="59"/>
  <c r="AC143" i="72" s="1"/>
  <c r="BF88" i="59"/>
  <c r="P143" i="72" s="1"/>
  <c r="AV88" i="59"/>
  <c r="AF88" i="59"/>
  <c r="AE88" i="59"/>
  <c r="X88" i="59"/>
  <c r="AH88" i="59"/>
  <c r="AU88" i="59"/>
  <c r="AW142" i="59"/>
  <c r="AG385" i="72" s="1"/>
  <c r="AT142" i="59"/>
  <c r="AD385" i="72" s="1"/>
  <c r="AS142" i="59"/>
  <c r="AC385" i="72" s="1"/>
  <c r="AP142" i="59"/>
  <c r="Z385" i="72" s="1"/>
  <c r="AR142" i="59"/>
  <c r="AB385" i="72" s="1"/>
  <c r="AF142" i="59"/>
  <c r="P385" i="72" s="1"/>
  <c r="AH142" i="59"/>
  <c r="R385" i="72" s="1"/>
  <c r="AG142" i="59"/>
  <c r="Q385" i="72" s="1"/>
  <c r="BE142" i="59"/>
  <c r="O414" i="72" s="1"/>
  <c r="AZ142" i="59"/>
  <c r="J414" i="72" s="1"/>
  <c r="AD142" i="59"/>
  <c r="N385" i="72" s="1"/>
  <c r="BU142" i="59"/>
  <c r="AE414" i="72" s="1"/>
  <c r="BP142" i="59"/>
  <c r="Z414" i="72" s="1"/>
  <c r="X142" i="59"/>
  <c r="H385" i="72" s="1"/>
  <c r="AI142" i="59"/>
  <c r="S385" i="72" s="1"/>
  <c r="AB142" i="59"/>
  <c r="L385" i="72" s="1"/>
  <c r="BF142" i="59"/>
  <c r="P414" i="72" s="1"/>
  <c r="AJ142" i="59"/>
  <c r="T385" i="72" s="1"/>
  <c r="BV142" i="59"/>
  <c r="AF414" i="72" s="1"/>
  <c r="AK142" i="59"/>
  <c r="U385" i="72" s="1"/>
  <c r="AC142" i="59"/>
  <c r="M385" i="72" s="1"/>
  <c r="BG142" i="59"/>
  <c r="Q414" i="72" s="1"/>
  <c r="AL142" i="59"/>
  <c r="V385" i="72" s="1"/>
  <c r="BW142" i="59"/>
  <c r="AG414" i="72" s="1"/>
  <c r="AM142" i="59"/>
  <c r="W385" i="72" s="1"/>
  <c r="BH142" i="59"/>
  <c r="R414" i="72" s="1"/>
  <c r="AN142" i="59"/>
  <c r="X385" i="72" s="1"/>
  <c r="BI142" i="59"/>
  <c r="S414" i="72" s="1"/>
  <c r="Y142" i="59"/>
  <c r="I385" i="72" s="1"/>
  <c r="AE142" i="59"/>
  <c r="O385" i="72" s="1"/>
  <c r="BJ142" i="59"/>
  <c r="T414" i="72" s="1"/>
  <c r="BK142" i="59"/>
  <c r="U414" i="72" s="1"/>
  <c r="BL142" i="59"/>
  <c r="V414" i="72" s="1"/>
  <c r="BM142" i="59"/>
  <c r="W414" i="72" s="1"/>
  <c r="BN142" i="59"/>
  <c r="X414" i="72" s="1"/>
  <c r="AY142" i="59"/>
  <c r="I414" i="72" s="1"/>
  <c r="BO142" i="59"/>
  <c r="Y414" i="72" s="1"/>
  <c r="AO142" i="59"/>
  <c r="Y385" i="72" s="1"/>
  <c r="BA142" i="59"/>
  <c r="K414" i="72" s="1"/>
  <c r="AA142" i="59"/>
  <c r="K385" i="72" s="1"/>
  <c r="AU142" i="59"/>
  <c r="AE385" i="72" s="1"/>
  <c r="BT142" i="59"/>
  <c r="AD414" i="72" s="1"/>
  <c r="AQ142" i="59"/>
  <c r="AA385" i="72" s="1"/>
  <c r="BB142" i="59"/>
  <c r="L414" i="72" s="1"/>
  <c r="BC142" i="59"/>
  <c r="M414" i="72" s="1"/>
  <c r="BQ142" i="59"/>
  <c r="AA414" i="72" s="1"/>
  <c r="Z142" i="59"/>
  <c r="J385" i="72" s="1"/>
  <c r="AV142" i="59"/>
  <c r="AF385" i="72" s="1"/>
  <c r="BS142" i="59"/>
  <c r="AC414" i="72" s="1"/>
  <c r="BR142" i="59"/>
  <c r="AB414" i="72" s="1"/>
  <c r="BD142" i="59"/>
  <c r="N414" i="72" s="1"/>
  <c r="BL101" i="59"/>
  <c r="V156" i="72" s="1"/>
  <c r="BU101" i="59"/>
  <c r="AE156" i="72" s="1"/>
  <c r="AO101" i="59"/>
  <c r="AW101" i="59"/>
  <c r="BM101" i="59"/>
  <c r="W156" i="72" s="1"/>
  <c r="BF101" i="59"/>
  <c r="P156" i="72" s="1"/>
  <c r="Z101" i="59"/>
  <c r="AI101" i="59"/>
  <c r="BN101" i="59"/>
  <c r="X156" i="72" s="1"/>
  <c r="BV101" i="59"/>
  <c r="AF156" i="72" s="1"/>
  <c r="AP101" i="59"/>
  <c r="AY101" i="59"/>
  <c r="I156" i="72" s="1"/>
  <c r="BG101" i="59"/>
  <c r="Q156" i="72" s="1"/>
  <c r="AA101" i="59"/>
  <c r="BO101" i="59"/>
  <c r="Y156" i="72" s="1"/>
  <c r="BW101" i="59"/>
  <c r="AG156" i="72" s="1"/>
  <c r="AQ101" i="59"/>
  <c r="X101" i="59"/>
  <c r="AZ101" i="59"/>
  <c r="J156" i="72" s="1"/>
  <c r="AB101" i="59"/>
  <c r="BP101" i="59"/>
  <c r="Z156" i="72" s="1"/>
  <c r="BH101" i="59"/>
  <c r="R156" i="72" s="1"/>
  <c r="AR101" i="59"/>
  <c r="BA101" i="59"/>
  <c r="K156" i="72" s="1"/>
  <c r="BI101" i="59"/>
  <c r="S156" i="72" s="1"/>
  <c r="AC101" i="59"/>
  <c r="BQ101" i="59"/>
  <c r="AA156" i="72" s="1"/>
  <c r="BJ101" i="59"/>
  <c r="T156" i="72" s="1"/>
  <c r="AS101" i="59"/>
  <c r="BB101" i="59"/>
  <c r="L156" i="72" s="1"/>
  <c r="BK101" i="59"/>
  <c r="U156" i="72" s="1"/>
  <c r="AD101" i="59"/>
  <c r="BR101" i="59"/>
  <c r="AB156" i="72" s="1"/>
  <c r="AJ101" i="59"/>
  <c r="AT101" i="59"/>
  <c r="BC101" i="59"/>
  <c r="M156" i="72" s="1"/>
  <c r="AK101" i="59"/>
  <c r="AE101" i="59"/>
  <c r="BS101" i="59"/>
  <c r="AC156" i="72" s="1"/>
  <c r="AL101" i="59"/>
  <c r="AU101" i="59"/>
  <c r="BD101" i="59"/>
  <c r="N156" i="72" s="1"/>
  <c r="AM101" i="59"/>
  <c r="AF101" i="59"/>
  <c r="BT101" i="59"/>
  <c r="AD156" i="72" s="1"/>
  <c r="BE101" i="59"/>
  <c r="O156" i="72" s="1"/>
  <c r="AN101" i="59"/>
  <c r="AH101" i="59"/>
  <c r="Y101" i="59"/>
  <c r="AV101" i="59"/>
  <c r="AG101" i="59"/>
  <c r="Y139" i="59"/>
  <c r="I382" i="72" s="1"/>
  <c r="AS139" i="59"/>
  <c r="AC382" i="72" s="1"/>
  <c r="AR139" i="59"/>
  <c r="AB382" i="72" s="1"/>
  <c r="AP139" i="59"/>
  <c r="Z382" i="72" s="1"/>
  <c r="AO139" i="59"/>
  <c r="Y382" i="72" s="1"/>
  <c r="AB139" i="59"/>
  <c r="L382" i="72" s="1"/>
  <c r="AQ139" i="59"/>
  <c r="AA382" i="72" s="1"/>
  <c r="AN139" i="59"/>
  <c r="X382" i="72" s="1"/>
  <c r="AM139" i="59"/>
  <c r="W382" i="72" s="1"/>
  <c r="AZ139" i="59"/>
  <c r="J411" i="72" s="1"/>
  <c r="X139" i="59"/>
  <c r="H382" i="72" s="1"/>
  <c r="BH139" i="59"/>
  <c r="R411" i="72" s="1"/>
  <c r="BW139" i="59"/>
  <c r="AG411" i="72" s="1"/>
  <c r="AH139" i="59"/>
  <c r="R382" i="72" s="1"/>
  <c r="BI139" i="59"/>
  <c r="S411" i="72" s="1"/>
  <c r="BA139" i="59"/>
  <c r="K411" i="72" s="1"/>
  <c r="AI139" i="59"/>
  <c r="S382" i="72" s="1"/>
  <c r="AW139" i="59"/>
  <c r="AG382" i="72" s="1"/>
  <c r="AC139" i="59"/>
  <c r="M382" i="72" s="1"/>
  <c r="BJ139" i="59"/>
  <c r="T411" i="72" s="1"/>
  <c r="BB139" i="59"/>
  <c r="L411" i="72" s="1"/>
  <c r="AJ139" i="59"/>
  <c r="T382" i="72" s="1"/>
  <c r="BK139" i="59"/>
  <c r="U411" i="72" s="1"/>
  <c r="BC139" i="59"/>
  <c r="M411" i="72" s="1"/>
  <c r="AL139" i="59"/>
  <c r="V382" i="72" s="1"/>
  <c r="BG139" i="59"/>
  <c r="Q411" i="72" s="1"/>
  <c r="BL139" i="59"/>
  <c r="V411" i="72" s="1"/>
  <c r="BD139" i="59"/>
  <c r="N411" i="72" s="1"/>
  <c r="BN139" i="59"/>
  <c r="X411" i="72" s="1"/>
  <c r="BE139" i="59"/>
  <c r="O411" i="72" s="1"/>
  <c r="BO139" i="59"/>
  <c r="Y411" i="72" s="1"/>
  <c r="AD139" i="59"/>
  <c r="N382" i="72" s="1"/>
  <c r="BP139" i="59"/>
  <c r="Z411" i="72" s="1"/>
  <c r="AT139" i="59"/>
  <c r="AD382" i="72" s="1"/>
  <c r="BQ139" i="59"/>
  <c r="AA411" i="72" s="1"/>
  <c r="BM139" i="59"/>
  <c r="W411" i="72" s="1"/>
  <c r="BR139" i="59"/>
  <c r="AB411" i="72" s="1"/>
  <c r="AE139" i="59"/>
  <c r="O382" i="72" s="1"/>
  <c r="BV139" i="59"/>
  <c r="AF411" i="72" s="1"/>
  <c r="BS139" i="59"/>
  <c r="AC411" i="72" s="1"/>
  <c r="AU139" i="59"/>
  <c r="AE382" i="72" s="1"/>
  <c r="BT139" i="59"/>
  <c r="AD411" i="72" s="1"/>
  <c r="AF139" i="59"/>
  <c r="P382" i="72" s="1"/>
  <c r="Z139" i="59"/>
  <c r="J382" i="72" s="1"/>
  <c r="BU139" i="59"/>
  <c r="AE411" i="72" s="1"/>
  <c r="AV139" i="59"/>
  <c r="AF382" i="72" s="1"/>
  <c r="AK139" i="59"/>
  <c r="U382" i="72" s="1"/>
  <c r="BF139" i="59"/>
  <c r="P411" i="72" s="1"/>
  <c r="AY139" i="59"/>
  <c r="I411" i="72" s="1"/>
  <c r="AG139" i="59"/>
  <c r="Q382" i="72" s="1"/>
  <c r="AA139" i="59"/>
  <c r="K382" i="72" s="1"/>
  <c r="AN146" i="59"/>
  <c r="BI146" i="59"/>
  <c r="S634" i="72" s="1"/>
  <c r="BA146" i="59"/>
  <c r="K634" i="72" s="1"/>
  <c r="AA90" i="59"/>
  <c r="BL90" i="59"/>
  <c r="V145" i="72" s="1"/>
  <c r="BD90" i="59"/>
  <c r="N145" i="72" s="1"/>
  <c r="AU117" i="59"/>
  <c r="AM117" i="59"/>
  <c r="BD117" i="59"/>
  <c r="N389" i="72" s="1"/>
  <c r="AB119" i="59"/>
  <c r="AH119" i="59"/>
  <c r="BP119" i="59"/>
  <c r="Z391" i="72" s="1"/>
  <c r="BG102" i="59"/>
  <c r="Q157" i="72" s="1"/>
  <c r="AA102" i="59"/>
  <c r="AI102" i="59"/>
  <c r="BW102" i="59"/>
  <c r="AG157" i="72" s="1"/>
  <c r="AQ102" i="59"/>
  <c r="BR102" i="59"/>
  <c r="AB157" i="72" s="1"/>
  <c r="BH102" i="59"/>
  <c r="R157" i="72" s="1"/>
  <c r="AB102" i="59"/>
  <c r="AJ102" i="59"/>
  <c r="AP102" i="59"/>
  <c r="BI102" i="59"/>
  <c r="S157" i="72" s="1"/>
  <c r="AR102" i="59"/>
  <c r="AK102" i="59"/>
  <c r="Y102" i="59"/>
  <c r="BJ102" i="59"/>
  <c r="T157" i="72" s="1"/>
  <c r="AC102" i="59"/>
  <c r="AL102" i="59"/>
  <c r="BK102" i="59"/>
  <c r="U157" i="72" s="1"/>
  <c r="AS102" i="59"/>
  <c r="AM102" i="59"/>
  <c r="BL102" i="59"/>
  <c r="V157" i="72" s="1"/>
  <c r="AD102" i="59"/>
  <c r="AN102" i="59"/>
  <c r="Z102" i="59"/>
  <c r="BM102" i="59"/>
  <c r="W157" i="72" s="1"/>
  <c r="AT102" i="59"/>
  <c r="X102" i="59"/>
  <c r="BC102" i="59"/>
  <c r="M157" i="72" s="1"/>
  <c r="BN102" i="59"/>
  <c r="X157" i="72" s="1"/>
  <c r="AE102" i="59"/>
  <c r="BS102" i="59"/>
  <c r="AC157" i="72" s="1"/>
  <c r="AY102" i="59"/>
  <c r="I157" i="72" s="1"/>
  <c r="AU102" i="59"/>
  <c r="BD102" i="59"/>
  <c r="N157" i="72" s="1"/>
  <c r="BO102" i="59"/>
  <c r="Y157" i="72" s="1"/>
  <c r="AF102" i="59"/>
  <c r="BT102" i="59"/>
  <c r="AD157" i="72" s="1"/>
  <c r="AV102" i="59"/>
  <c r="AO102" i="59"/>
  <c r="BE102" i="59"/>
  <c r="O157" i="72" s="1"/>
  <c r="AZ102" i="59"/>
  <c r="J157" i="72" s="1"/>
  <c r="AG102" i="59"/>
  <c r="BU102" i="59"/>
  <c r="AE157" i="72" s="1"/>
  <c r="BA102" i="59"/>
  <c r="K157" i="72" s="1"/>
  <c r="AW102" i="59"/>
  <c r="BF102" i="59"/>
  <c r="P157" i="72" s="1"/>
  <c r="BV102" i="59"/>
  <c r="AF157" i="72" s="1"/>
  <c r="BB102" i="59"/>
  <c r="L157" i="72" s="1"/>
  <c r="BP102" i="59"/>
  <c r="Z157" i="72" s="1"/>
  <c r="AH102" i="59"/>
  <c r="BQ102" i="59"/>
  <c r="AA157" i="72" s="1"/>
  <c r="AO117" i="59"/>
  <c r="AM148" i="59"/>
  <c r="AJ148" i="59"/>
  <c r="AH148" i="59"/>
  <c r="BS148" i="59"/>
  <c r="AC636" i="72" s="1"/>
  <c r="AF148" i="59"/>
  <c r="BD148" i="59"/>
  <c r="N636" i="72" s="1"/>
  <c r="AV148" i="59"/>
  <c r="BT148" i="59"/>
  <c r="AD636" i="72" s="1"/>
  <c r="AG148" i="59"/>
  <c r="AW148" i="59"/>
  <c r="AC148" i="59"/>
  <c r="BE148" i="59"/>
  <c r="O636" i="72" s="1"/>
  <c r="X148" i="59"/>
  <c r="Y148" i="59"/>
  <c r="BU148" i="59"/>
  <c r="AE636" i="72" s="1"/>
  <c r="AI148" i="59"/>
  <c r="BM148" i="59"/>
  <c r="W636" i="72" s="1"/>
  <c r="BF148" i="59"/>
  <c r="P636" i="72" s="1"/>
  <c r="BK148" i="59"/>
  <c r="U636" i="72" s="1"/>
  <c r="BN148" i="59"/>
  <c r="X636" i="72" s="1"/>
  <c r="BV148" i="59"/>
  <c r="AF636" i="72" s="1"/>
  <c r="BL148" i="59"/>
  <c r="V636" i="72" s="1"/>
  <c r="AY148" i="59"/>
  <c r="I636" i="72" s="1"/>
  <c r="BG148" i="59"/>
  <c r="Q636" i="72" s="1"/>
  <c r="Z148" i="59"/>
  <c r="BO148" i="59"/>
  <c r="Y636" i="72" s="1"/>
  <c r="BW148" i="59"/>
  <c r="AG636" i="72" s="1"/>
  <c r="AA148" i="59"/>
  <c r="AZ148" i="59"/>
  <c r="J636" i="72" s="1"/>
  <c r="BH148" i="59"/>
  <c r="R636" i="72" s="1"/>
  <c r="BP148" i="59"/>
  <c r="Z636" i="72" s="1"/>
  <c r="BI148" i="59"/>
  <c r="S636" i="72" s="1"/>
  <c r="BA148" i="59"/>
  <c r="K636" i="72" s="1"/>
  <c r="BJ148" i="59"/>
  <c r="T636" i="72" s="1"/>
  <c r="BQ148" i="59"/>
  <c r="AA636" i="72" s="1"/>
  <c r="AD148" i="59"/>
  <c r="AB148" i="59"/>
  <c r="BB148" i="59"/>
  <c r="L636" i="72" s="1"/>
  <c r="AT148" i="59"/>
  <c r="AQ148" i="59"/>
  <c r="AP148" i="59"/>
  <c r="BR148" i="59"/>
  <c r="AB636" i="72" s="1"/>
  <c r="BC148" i="59"/>
  <c r="M636" i="72" s="1"/>
  <c r="AE148" i="59"/>
  <c r="AU148" i="59"/>
  <c r="AS148" i="59"/>
  <c r="AR148" i="59"/>
  <c r="AK148" i="59"/>
  <c r="AO148" i="59"/>
  <c r="AL148" i="59"/>
  <c r="AN148" i="59"/>
  <c r="AO166" i="59"/>
  <c r="Y166" i="59"/>
  <c r="AK166" i="59"/>
  <c r="AL166" i="59"/>
  <c r="AJ166" i="59"/>
  <c r="BK166" i="59"/>
  <c r="U654" i="72" s="1"/>
  <c r="BU166" i="59"/>
  <c r="AE654" i="72" s="1"/>
  <c r="AH166" i="59"/>
  <c r="BL166" i="59"/>
  <c r="V654" i="72" s="1"/>
  <c r="BM166" i="59"/>
  <c r="W654" i="72" s="1"/>
  <c r="BF166" i="59"/>
  <c r="P654" i="72" s="1"/>
  <c r="BN166" i="59"/>
  <c r="X654" i="72" s="1"/>
  <c r="BV166" i="59"/>
  <c r="AF654" i="72" s="1"/>
  <c r="AY166" i="59"/>
  <c r="I654" i="72" s="1"/>
  <c r="BG166" i="59"/>
  <c r="Q654" i="72" s="1"/>
  <c r="BO166" i="59"/>
  <c r="Y654" i="72" s="1"/>
  <c r="BW166" i="59"/>
  <c r="AG654" i="72" s="1"/>
  <c r="AZ166" i="59"/>
  <c r="J654" i="72" s="1"/>
  <c r="BH166" i="59"/>
  <c r="R654" i="72" s="1"/>
  <c r="AI166" i="59"/>
  <c r="BP166" i="59"/>
  <c r="Z654" i="72" s="1"/>
  <c r="X166" i="59"/>
  <c r="BA166" i="59"/>
  <c r="K654" i="72" s="1"/>
  <c r="BI166" i="59"/>
  <c r="S654" i="72" s="1"/>
  <c r="BQ166" i="59"/>
  <c r="AA654" i="72" s="1"/>
  <c r="BJ166" i="59"/>
  <c r="T654" i="72" s="1"/>
  <c r="BB166" i="59"/>
  <c r="L654" i="72" s="1"/>
  <c r="BT166" i="59"/>
  <c r="AD654" i="72" s="1"/>
  <c r="AV166" i="59"/>
  <c r="BR166" i="59"/>
  <c r="AB654" i="72" s="1"/>
  <c r="BC166" i="59"/>
  <c r="M654" i="72" s="1"/>
  <c r="BS166" i="59"/>
  <c r="AC654" i="72" s="1"/>
  <c r="AQ166" i="59"/>
  <c r="AA166" i="59"/>
  <c r="AT166" i="59"/>
  <c r="AD166" i="59"/>
  <c r="BD166" i="59"/>
  <c r="N654" i="72" s="1"/>
  <c r="BE166" i="59"/>
  <c r="O654" i="72" s="1"/>
  <c r="AF166" i="59"/>
  <c r="AS166" i="59"/>
  <c r="AU166" i="59"/>
  <c r="AC166" i="59"/>
  <c r="AW166" i="59"/>
  <c r="AE166" i="59"/>
  <c r="AG166" i="59"/>
  <c r="AN166" i="59"/>
  <c r="AP166" i="59"/>
  <c r="AB166" i="59"/>
  <c r="Z166" i="59"/>
  <c r="AM166" i="59"/>
  <c r="AR166" i="59"/>
  <c r="AG126" i="59"/>
  <c r="AW126" i="59"/>
  <c r="BK126" i="59"/>
  <c r="U398" i="72" s="1"/>
  <c r="BJ126" i="59"/>
  <c r="T398" i="72" s="1"/>
  <c r="AO126" i="59"/>
  <c r="AV126" i="59"/>
  <c r="BL126" i="59"/>
  <c r="V398" i="72" s="1"/>
  <c r="BT126" i="59"/>
  <c r="AD398" i="72" s="1"/>
  <c r="Z126" i="59"/>
  <c r="BM126" i="59"/>
  <c r="W398" i="72" s="1"/>
  <c r="X126" i="59"/>
  <c r="AP126" i="59"/>
  <c r="BN126" i="59"/>
  <c r="X398" i="72" s="1"/>
  <c r="BU126" i="59"/>
  <c r="AE398" i="72" s="1"/>
  <c r="AA126" i="59"/>
  <c r="AY126" i="59"/>
  <c r="I398" i="72" s="1"/>
  <c r="BV126" i="59"/>
  <c r="AF398" i="72" s="1"/>
  <c r="AQ126" i="59"/>
  <c r="BO126" i="59"/>
  <c r="Y398" i="72" s="1"/>
  <c r="BW126" i="59"/>
  <c r="AG398" i="72" s="1"/>
  <c r="AB126" i="59"/>
  <c r="BD126" i="59"/>
  <c r="N398" i="72" s="1"/>
  <c r="AR126" i="59"/>
  <c r="BP126" i="59"/>
  <c r="Z398" i="72" s="1"/>
  <c r="BF126" i="59"/>
  <c r="P398" i="72" s="1"/>
  <c r="AC126" i="59"/>
  <c r="AH126" i="59"/>
  <c r="BQ126" i="59"/>
  <c r="AA398" i="72" s="1"/>
  <c r="BH126" i="59"/>
  <c r="R398" i="72" s="1"/>
  <c r="BB126" i="59"/>
  <c r="L398" i="72" s="1"/>
  <c r="AD126" i="59"/>
  <c r="BA126" i="59"/>
  <c r="K398" i="72" s="1"/>
  <c r="BR126" i="59"/>
  <c r="AB398" i="72" s="1"/>
  <c r="AT126" i="59"/>
  <c r="BC126" i="59"/>
  <c r="M398" i="72" s="1"/>
  <c r="AE126" i="59"/>
  <c r="BS126" i="59"/>
  <c r="AC398" i="72" s="1"/>
  <c r="AU126" i="59"/>
  <c r="BI126" i="59"/>
  <c r="S398" i="72" s="1"/>
  <c r="AF126" i="59"/>
  <c r="BE126" i="59"/>
  <c r="O398" i="72" s="1"/>
  <c r="AI126" i="59"/>
  <c r="AJ126" i="59"/>
  <c r="AK126" i="59"/>
  <c r="AL126" i="59"/>
  <c r="AS126" i="59"/>
  <c r="AM126" i="59"/>
  <c r="AN126" i="59"/>
  <c r="Y126" i="59"/>
  <c r="AZ126" i="59"/>
  <c r="J398" i="72" s="1"/>
  <c r="BG126" i="59"/>
  <c r="Q398" i="72" s="1"/>
  <c r="AV112" i="59"/>
  <c r="AF138" i="72" s="1"/>
  <c r="AF112" i="59"/>
  <c r="P138" i="72" s="1"/>
  <c r="AE112" i="59"/>
  <c r="O138" i="72" s="1"/>
  <c r="AU112" i="59"/>
  <c r="AE138" i="72" s="1"/>
  <c r="BL112" i="59"/>
  <c r="V167" i="72" s="1"/>
  <c r="BE112" i="59"/>
  <c r="O167" i="72" s="1"/>
  <c r="Y112" i="59"/>
  <c r="I138" i="72" s="1"/>
  <c r="BM112" i="59"/>
  <c r="W167" i="72" s="1"/>
  <c r="BU112" i="59"/>
  <c r="AE167" i="72" s="1"/>
  <c r="AO112" i="59"/>
  <c r="Y138" i="72" s="1"/>
  <c r="BN112" i="59"/>
  <c r="X167" i="72" s="1"/>
  <c r="X112" i="59"/>
  <c r="H138" i="72" s="1"/>
  <c r="Z112" i="59"/>
  <c r="J138" i="72" s="1"/>
  <c r="AY112" i="59"/>
  <c r="I167" i="72" s="1"/>
  <c r="BF112" i="59"/>
  <c r="P167" i="72" s="1"/>
  <c r="AP112" i="59"/>
  <c r="Z138" i="72" s="1"/>
  <c r="BO112" i="59"/>
  <c r="Y167" i="72" s="1"/>
  <c r="BG112" i="59"/>
  <c r="Q167" i="72" s="1"/>
  <c r="AA112" i="59"/>
  <c r="K138" i="72" s="1"/>
  <c r="BH112" i="59"/>
  <c r="R167" i="72" s="1"/>
  <c r="AQ112" i="59"/>
  <c r="AA138" i="72" s="1"/>
  <c r="AZ112" i="59"/>
  <c r="J167" i="72" s="1"/>
  <c r="BV112" i="59"/>
  <c r="AF167" i="72" s="1"/>
  <c r="AB112" i="59"/>
  <c r="L138" i="72" s="1"/>
  <c r="BP112" i="59"/>
  <c r="Z167" i="72" s="1"/>
  <c r="AG112" i="59"/>
  <c r="Q138" i="72" s="1"/>
  <c r="AR112" i="59"/>
  <c r="AB138" i="72" s="1"/>
  <c r="BA112" i="59"/>
  <c r="K167" i="72" s="1"/>
  <c r="AW112" i="59"/>
  <c r="AG138" i="72" s="1"/>
  <c r="AC112" i="59"/>
  <c r="M138" i="72" s="1"/>
  <c r="BQ112" i="59"/>
  <c r="AA167" i="72" s="1"/>
  <c r="AH112" i="59"/>
  <c r="R138" i="72" s="1"/>
  <c r="AS112" i="59"/>
  <c r="AC138" i="72" s="1"/>
  <c r="BB112" i="59"/>
  <c r="L167" i="72" s="1"/>
  <c r="AI112" i="59"/>
  <c r="S138" i="72" s="1"/>
  <c r="AD112" i="59"/>
  <c r="N138" i="72" s="1"/>
  <c r="BR112" i="59"/>
  <c r="AB167" i="72" s="1"/>
  <c r="AJ112" i="59"/>
  <c r="T138" i="72" s="1"/>
  <c r="AT112" i="59"/>
  <c r="AD138" i="72" s="1"/>
  <c r="BC112" i="59"/>
  <c r="M167" i="72" s="1"/>
  <c r="AK112" i="59"/>
  <c r="U138" i="72" s="1"/>
  <c r="BI112" i="59"/>
  <c r="S167" i="72" s="1"/>
  <c r="BS112" i="59"/>
  <c r="AC167" i="72" s="1"/>
  <c r="AL112" i="59"/>
  <c r="V138" i="72" s="1"/>
  <c r="BJ112" i="59"/>
  <c r="T167" i="72" s="1"/>
  <c r="BK112" i="59"/>
  <c r="U167" i="72" s="1"/>
  <c r="BD112" i="59"/>
  <c r="N167" i="72" s="1"/>
  <c r="BT112" i="59"/>
  <c r="AD167" i="72" s="1"/>
  <c r="AM112" i="59"/>
  <c r="W138" i="72" s="1"/>
  <c r="AN112" i="59"/>
  <c r="X138" i="72" s="1"/>
  <c r="BW112" i="59"/>
  <c r="AG167" i="72" s="1"/>
  <c r="BM121" i="59"/>
  <c r="W393" i="72" s="1"/>
  <c r="BC121" i="59"/>
  <c r="M393" i="72" s="1"/>
  <c r="BN121" i="59"/>
  <c r="X393" i="72" s="1"/>
  <c r="BE121" i="59"/>
  <c r="O393" i="72" s="1"/>
  <c r="AY121" i="59"/>
  <c r="I393" i="72" s="1"/>
  <c r="BO121" i="59"/>
  <c r="Y393" i="72" s="1"/>
  <c r="AZ121" i="59"/>
  <c r="J393" i="72" s="1"/>
  <c r="BP121" i="59"/>
  <c r="Z393" i="72" s="1"/>
  <c r="BB121" i="59"/>
  <c r="L393" i="72" s="1"/>
  <c r="BR121" i="59"/>
  <c r="AB393" i="72" s="1"/>
  <c r="BD121" i="59"/>
  <c r="N393" i="72" s="1"/>
  <c r="BF121" i="59"/>
  <c r="P393" i="72" s="1"/>
  <c r="BT121" i="59"/>
  <c r="AD393" i="72" s="1"/>
  <c r="BQ121" i="59"/>
  <c r="AA393" i="72" s="1"/>
  <c r="BG121" i="59"/>
  <c r="Q393" i="72" s="1"/>
  <c r="BH121" i="59"/>
  <c r="R393" i="72" s="1"/>
  <c r="BS121" i="59"/>
  <c r="AC393" i="72" s="1"/>
  <c r="BI121" i="59"/>
  <c r="S393" i="72" s="1"/>
  <c r="BU121" i="59"/>
  <c r="AE393" i="72" s="1"/>
  <c r="BJ121" i="59"/>
  <c r="T393" i="72" s="1"/>
  <c r="BV121" i="59"/>
  <c r="AF393" i="72" s="1"/>
  <c r="BK121" i="59"/>
  <c r="U393" i="72" s="1"/>
  <c r="BL121" i="59"/>
  <c r="V393" i="72" s="1"/>
  <c r="BW121" i="59"/>
  <c r="AG393" i="72" s="1"/>
  <c r="BA121" i="59"/>
  <c r="K393" i="72" s="1"/>
  <c r="AM146" i="59"/>
  <c r="BH146" i="59"/>
  <c r="R634" i="72" s="1"/>
  <c r="BP146" i="59"/>
  <c r="Z634" i="72" s="1"/>
  <c r="AL90" i="59"/>
  <c r="BS90" i="59"/>
  <c r="AC145" i="72" s="1"/>
  <c r="AE117" i="59"/>
  <c r="AL117" i="59"/>
  <c r="BS117" i="59"/>
  <c r="AC389" i="72" s="1"/>
  <c r="AQ119" i="59"/>
  <c r="BW119" i="59"/>
  <c r="AG391" i="72" s="1"/>
  <c r="AZ119" i="59"/>
  <c r="J391" i="72" s="1"/>
  <c r="AO127" i="59"/>
  <c r="AN127" i="59"/>
  <c r="Y127" i="59"/>
  <c r="BC127" i="59"/>
  <c r="M399" i="72" s="1"/>
  <c r="AZ127" i="59"/>
  <c r="J399" i="72" s="1"/>
  <c r="AT127" i="59"/>
  <c r="BS127" i="59"/>
  <c r="AC399" i="72" s="1"/>
  <c r="BA127" i="59"/>
  <c r="K399" i="72" s="1"/>
  <c r="AE127" i="59"/>
  <c r="BD127" i="59"/>
  <c r="N399" i="72" s="1"/>
  <c r="BK127" i="59"/>
  <c r="U399" i="72" s="1"/>
  <c r="AU127" i="59"/>
  <c r="BT127" i="59"/>
  <c r="AD399" i="72" s="1"/>
  <c r="BL127" i="59"/>
  <c r="V399" i="72" s="1"/>
  <c r="AF127" i="59"/>
  <c r="BE127" i="59"/>
  <c r="O399" i="72" s="1"/>
  <c r="BM127" i="59"/>
  <c r="W399" i="72" s="1"/>
  <c r="AV127" i="59"/>
  <c r="BU127" i="59"/>
  <c r="AE399" i="72" s="1"/>
  <c r="BN127" i="59"/>
  <c r="X399" i="72" s="1"/>
  <c r="AG127" i="59"/>
  <c r="BF127" i="59"/>
  <c r="P399" i="72" s="1"/>
  <c r="BO127" i="59"/>
  <c r="Y399" i="72" s="1"/>
  <c r="AW127" i="59"/>
  <c r="BV127" i="59"/>
  <c r="AF399" i="72" s="1"/>
  <c r="Z127" i="59"/>
  <c r="AH127" i="59"/>
  <c r="BG127" i="59"/>
  <c r="Q399" i="72" s="1"/>
  <c r="AP127" i="59"/>
  <c r="AI127" i="59"/>
  <c r="BW127" i="59"/>
  <c r="AG399" i="72" s="1"/>
  <c r="AA127" i="59"/>
  <c r="AJ127" i="59"/>
  <c r="AQ127" i="59"/>
  <c r="AK127" i="59"/>
  <c r="BH127" i="59"/>
  <c r="R399" i="72" s="1"/>
  <c r="AB127" i="59"/>
  <c r="BP127" i="59"/>
  <c r="Z399" i="72" s="1"/>
  <c r="BI127" i="59"/>
  <c r="S399" i="72" s="1"/>
  <c r="AR127" i="59"/>
  <c r="AL127" i="59"/>
  <c r="BJ127" i="59"/>
  <c r="T399" i="72" s="1"/>
  <c r="AC127" i="59"/>
  <c r="BQ127" i="59"/>
  <c r="AA399" i="72" s="1"/>
  <c r="AM127" i="59"/>
  <c r="BB127" i="59"/>
  <c r="L399" i="72" s="1"/>
  <c r="BR127" i="59"/>
  <c r="AB399" i="72" s="1"/>
  <c r="AD127" i="59"/>
  <c r="X127" i="59"/>
  <c r="AY127" i="59"/>
  <c r="I399" i="72" s="1"/>
  <c r="AS127" i="59"/>
  <c r="BK132" i="59"/>
  <c r="U404" i="72" s="1"/>
  <c r="AC132" i="59"/>
  <c r="AR132" i="59"/>
  <c r="AS132" i="59"/>
  <c r="BP132" i="59"/>
  <c r="Z404" i="72" s="1"/>
  <c r="AD132" i="59"/>
  <c r="BQ132" i="59"/>
  <c r="AA404" i="72" s="1"/>
  <c r="AT132" i="59"/>
  <c r="BR132" i="59"/>
  <c r="AB404" i="72" s="1"/>
  <c r="AE132" i="59"/>
  <c r="BS132" i="59"/>
  <c r="AC404" i="72" s="1"/>
  <c r="AU132" i="59"/>
  <c r="BT132" i="59"/>
  <c r="AD404" i="72" s="1"/>
  <c r="AF132" i="59"/>
  <c r="BE132" i="59"/>
  <c r="O404" i="72" s="1"/>
  <c r="AY132" i="59"/>
  <c r="I404" i="72" s="1"/>
  <c r="AV132" i="59"/>
  <c r="BU132" i="59"/>
  <c r="AE404" i="72" s="1"/>
  <c r="AZ132" i="59"/>
  <c r="J404" i="72" s="1"/>
  <c r="BN132" i="59"/>
  <c r="X404" i="72" s="1"/>
  <c r="BF132" i="59"/>
  <c r="P404" i="72" s="1"/>
  <c r="BA132" i="59"/>
  <c r="K404" i="72" s="1"/>
  <c r="AG132" i="59"/>
  <c r="BV132" i="59"/>
  <c r="AF404" i="72" s="1"/>
  <c r="X132" i="59"/>
  <c r="AW132" i="59"/>
  <c r="BG132" i="59"/>
  <c r="Q404" i="72" s="1"/>
  <c r="BB132" i="59"/>
  <c r="L404" i="72" s="1"/>
  <c r="BO132" i="59"/>
  <c r="Y404" i="72" s="1"/>
  <c r="BW132" i="59"/>
  <c r="AG404" i="72" s="1"/>
  <c r="BC132" i="59"/>
  <c r="M404" i="72" s="1"/>
  <c r="AH132" i="59"/>
  <c r="BH132" i="59"/>
  <c r="R404" i="72" s="1"/>
  <c r="BD132" i="59"/>
  <c r="N404" i="72" s="1"/>
  <c r="AI132" i="59"/>
  <c r="AL132" i="59"/>
  <c r="AP132" i="59"/>
  <c r="AO132" i="59"/>
  <c r="BI132" i="59"/>
  <c r="S404" i="72" s="1"/>
  <c r="BJ132" i="59"/>
  <c r="T404" i="72" s="1"/>
  <c r="BL132" i="59"/>
  <c r="V404" i="72" s="1"/>
  <c r="AQ132" i="59"/>
  <c r="AN132" i="59"/>
  <c r="BM132" i="59"/>
  <c r="W404" i="72" s="1"/>
  <c r="AJ132" i="59"/>
  <c r="Y132" i="59"/>
  <c r="Z132" i="59"/>
  <c r="AM132" i="59"/>
  <c r="AB132" i="59"/>
  <c r="AA132" i="59"/>
  <c r="AK132" i="59"/>
  <c r="AL161" i="59"/>
  <c r="AH161" i="59"/>
  <c r="AI161" i="59"/>
  <c r="AS161" i="59"/>
  <c r="AC161" i="59"/>
  <c r="BM161" i="59"/>
  <c r="W649" i="72" s="1"/>
  <c r="AW161" i="59"/>
  <c r="AG161" i="59"/>
  <c r="AU161" i="59"/>
  <c r="AD161" i="59"/>
  <c r="AE161" i="59"/>
  <c r="AV161" i="59"/>
  <c r="AF161" i="59"/>
  <c r="BJ161" i="59"/>
  <c r="T649" i="72" s="1"/>
  <c r="BT161" i="59"/>
  <c r="AD649" i="72" s="1"/>
  <c r="AB161" i="59"/>
  <c r="BK161" i="59"/>
  <c r="U649" i="72" s="1"/>
  <c r="BE161" i="59"/>
  <c r="O649" i="72" s="1"/>
  <c r="BL161" i="59"/>
  <c r="V649" i="72" s="1"/>
  <c r="BF161" i="59"/>
  <c r="P649" i="72" s="1"/>
  <c r="AP161" i="59"/>
  <c r="X161" i="59"/>
  <c r="BG161" i="59"/>
  <c r="Q649" i="72" s="1"/>
  <c r="Z161" i="59"/>
  <c r="BN161" i="59"/>
  <c r="X649" i="72" s="1"/>
  <c r="BV161" i="59"/>
  <c r="AF649" i="72" s="1"/>
  <c r="AY161" i="59"/>
  <c r="I649" i="72" s="1"/>
  <c r="BW161" i="59"/>
  <c r="AG649" i="72" s="1"/>
  <c r="BO161" i="59"/>
  <c r="Y649" i="72" s="1"/>
  <c r="AO161" i="59"/>
  <c r="AZ161" i="59"/>
  <c r="J649" i="72" s="1"/>
  <c r="Y161" i="59"/>
  <c r="BP161" i="59"/>
  <c r="Z649" i="72" s="1"/>
  <c r="BA161" i="59"/>
  <c r="K649" i="72" s="1"/>
  <c r="BQ161" i="59"/>
  <c r="AA649" i="72" s="1"/>
  <c r="BB161" i="59"/>
  <c r="L649" i="72" s="1"/>
  <c r="BR161" i="59"/>
  <c r="AB649" i="72" s="1"/>
  <c r="BC161" i="59"/>
  <c r="M649" i="72" s="1"/>
  <c r="AQ161" i="59"/>
  <c r="BH161" i="59"/>
  <c r="R649" i="72" s="1"/>
  <c r="BI161" i="59"/>
  <c r="S649" i="72" s="1"/>
  <c r="AJ161" i="59"/>
  <c r="BD161" i="59"/>
  <c r="N649" i="72" s="1"/>
  <c r="AA161" i="59"/>
  <c r="AK161" i="59"/>
  <c r="AM161" i="59"/>
  <c r="AN161" i="59"/>
  <c r="BE100" i="59"/>
  <c r="O155" i="72" s="1"/>
  <c r="AZ100" i="59"/>
  <c r="J155" i="72" s="1"/>
  <c r="AU100" i="59"/>
  <c r="BU100" i="59"/>
  <c r="AE155" i="72" s="1"/>
  <c r="BP100" i="59"/>
  <c r="Z155" i="72" s="1"/>
  <c r="AF100" i="59"/>
  <c r="BF100" i="59"/>
  <c r="P155" i="72" s="1"/>
  <c r="BA100" i="59"/>
  <c r="K155" i="72" s="1"/>
  <c r="AV100" i="59"/>
  <c r="BV100" i="59"/>
  <c r="AF155" i="72" s="1"/>
  <c r="BQ100" i="59"/>
  <c r="AA155" i="72" s="1"/>
  <c r="AG100" i="59"/>
  <c r="BG100" i="59"/>
  <c r="Q155" i="72" s="1"/>
  <c r="BB100" i="59"/>
  <c r="L155" i="72" s="1"/>
  <c r="AW100" i="59"/>
  <c r="BW100" i="59"/>
  <c r="AG155" i="72" s="1"/>
  <c r="BC100" i="59"/>
  <c r="M155" i="72" s="1"/>
  <c r="AH100" i="59"/>
  <c r="BH100" i="59"/>
  <c r="R155" i="72" s="1"/>
  <c r="BD100" i="59"/>
  <c r="N155" i="72" s="1"/>
  <c r="AI100" i="59"/>
  <c r="BI100" i="59"/>
  <c r="S155" i="72" s="1"/>
  <c r="BR100" i="59"/>
  <c r="AB155" i="72" s="1"/>
  <c r="AJ100" i="59"/>
  <c r="BJ100" i="59"/>
  <c r="T155" i="72" s="1"/>
  <c r="BS100" i="59"/>
  <c r="AC155" i="72" s="1"/>
  <c r="AK100" i="59"/>
  <c r="BK100" i="59"/>
  <c r="U155" i="72" s="1"/>
  <c r="BT100" i="59"/>
  <c r="AD155" i="72" s="1"/>
  <c r="AL100" i="59"/>
  <c r="BL100" i="59"/>
  <c r="V155" i="72" s="1"/>
  <c r="X100" i="59"/>
  <c r="AM100" i="59"/>
  <c r="BM100" i="59"/>
  <c r="W155" i="72" s="1"/>
  <c r="AC100" i="59"/>
  <c r="AN100" i="59"/>
  <c r="BN100" i="59"/>
  <c r="X155" i="72" s="1"/>
  <c r="AS100" i="59"/>
  <c r="Y100" i="59"/>
  <c r="AY100" i="59"/>
  <c r="I155" i="72" s="1"/>
  <c r="AD100" i="59"/>
  <c r="AO100" i="59"/>
  <c r="AQ100" i="59"/>
  <c r="AB100" i="59"/>
  <c r="BO100" i="59"/>
  <c r="Y155" i="72" s="1"/>
  <c r="AT100" i="59"/>
  <c r="AE100" i="59"/>
  <c r="Z100" i="59"/>
  <c r="AP100" i="59"/>
  <c r="AA100" i="59"/>
  <c r="AR100" i="59"/>
  <c r="BK94" i="59"/>
  <c r="U149" i="72" s="1"/>
  <c r="BL94" i="59"/>
  <c r="V149" i="72" s="1"/>
  <c r="BM94" i="59"/>
  <c r="W149" i="72" s="1"/>
  <c r="BN94" i="59"/>
  <c r="X149" i="72" s="1"/>
  <c r="AY94" i="59"/>
  <c r="I149" i="72" s="1"/>
  <c r="BO94" i="59"/>
  <c r="Y149" i="72" s="1"/>
  <c r="AZ94" i="59"/>
  <c r="J149" i="72" s="1"/>
  <c r="BP94" i="59"/>
  <c r="Z149" i="72" s="1"/>
  <c r="BA94" i="59"/>
  <c r="K149" i="72" s="1"/>
  <c r="BQ94" i="59"/>
  <c r="AA149" i="72" s="1"/>
  <c r="BB94" i="59"/>
  <c r="L149" i="72" s="1"/>
  <c r="BR94" i="59"/>
  <c r="AB149" i="72" s="1"/>
  <c r="BC94" i="59"/>
  <c r="M149" i="72" s="1"/>
  <c r="BS94" i="59"/>
  <c r="AC149" i="72" s="1"/>
  <c r="BD94" i="59"/>
  <c r="N149" i="72" s="1"/>
  <c r="BT94" i="59"/>
  <c r="AD149" i="72" s="1"/>
  <c r="BE94" i="59"/>
  <c r="O149" i="72" s="1"/>
  <c r="BU94" i="59"/>
  <c r="AE149" i="72" s="1"/>
  <c r="BF94" i="59"/>
  <c r="P149" i="72" s="1"/>
  <c r="BV94" i="59"/>
  <c r="AF149" i="72" s="1"/>
  <c r="BG94" i="59"/>
  <c r="Q149" i="72" s="1"/>
  <c r="BW94" i="59"/>
  <c r="AG149" i="72" s="1"/>
  <c r="AE94" i="59"/>
  <c r="AU94" i="59"/>
  <c r="AF94" i="59"/>
  <c r="AV94" i="59"/>
  <c r="X94" i="59"/>
  <c r="AG94" i="59"/>
  <c r="AH94" i="59"/>
  <c r="AI94" i="59"/>
  <c r="AJ94" i="59"/>
  <c r="BH94" i="59"/>
  <c r="R149" i="72" s="1"/>
  <c r="AK94" i="59"/>
  <c r="BI94" i="59"/>
  <c r="S149" i="72" s="1"/>
  <c r="BJ94" i="59"/>
  <c r="T149" i="72" s="1"/>
  <c r="Y94" i="59"/>
  <c r="Z94" i="59"/>
  <c r="AA94" i="59"/>
  <c r="AB94" i="59"/>
  <c r="AC94" i="59"/>
  <c r="AD94" i="59"/>
  <c r="AL94" i="59"/>
  <c r="AM94" i="59"/>
  <c r="AN94" i="59"/>
  <c r="AO94" i="59"/>
  <c r="AP94" i="59"/>
  <c r="AQ94" i="59"/>
  <c r="AR94" i="59"/>
  <c r="AS94" i="59"/>
  <c r="AT94" i="59"/>
  <c r="AM113" i="59"/>
  <c r="W139" i="72" s="1"/>
  <c r="AL113" i="59"/>
  <c r="V139" i="72" s="1"/>
  <c r="BD113" i="59"/>
  <c r="N168" i="72" s="1"/>
  <c r="BO113" i="59"/>
  <c r="Y168" i="72" s="1"/>
  <c r="AU113" i="59"/>
  <c r="AE139" i="72" s="1"/>
  <c r="BT113" i="59"/>
  <c r="AD168" i="72" s="1"/>
  <c r="X113" i="59"/>
  <c r="H139" i="72" s="1"/>
  <c r="AF113" i="59"/>
  <c r="P139" i="72" s="1"/>
  <c r="BE113" i="59"/>
  <c r="O168" i="72" s="1"/>
  <c r="AN113" i="59"/>
  <c r="X139" i="72" s="1"/>
  <c r="AV113" i="59"/>
  <c r="AF139" i="72" s="1"/>
  <c r="BU113" i="59"/>
  <c r="AE168" i="72" s="1"/>
  <c r="Y113" i="59"/>
  <c r="I139" i="72" s="1"/>
  <c r="AG113" i="59"/>
  <c r="Q139" i="72" s="1"/>
  <c r="BF113" i="59"/>
  <c r="P168" i="72" s="1"/>
  <c r="AO113" i="59"/>
  <c r="Y139" i="72" s="1"/>
  <c r="AW113" i="59"/>
  <c r="AG139" i="72" s="1"/>
  <c r="BV113" i="59"/>
  <c r="AF168" i="72" s="1"/>
  <c r="Z113" i="59"/>
  <c r="J139" i="72" s="1"/>
  <c r="AH113" i="59"/>
  <c r="R139" i="72" s="1"/>
  <c r="BG113" i="59"/>
  <c r="Q168" i="72" s="1"/>
  <c r="AP113" i="59"/>
  <c r="Z139" i="72" s="1"/>
  <c r="AI113" i="59"/>
  <c r="S139" i="72" s="1"/>
  <c r="BW113" i="59"/>
  <c r="AG168" i="72" s="1"/>
  <c r="AA113" i="59"/>
  <c r="K139" i="72" s="1"/>
  <c r="AJ113" i="59"/>
  <c r="T139" i="72" s="1"/>
  <c r="AZ113" i="59"/>
  <c r="J168" i="72" s="1"/>
  <c r="AQ113" i="59"/>
  <c r="AA139" i="72" s="1"/>
  <c r="AK113" i="59"/>
  <c r="U139" i="72" s="1"/>
  <c r="BP113" i="59"/>
  <c r="Z168" i="72" s="1"/>
  <c r="BH113" i="59"/>
  <c r="R168" i="72" s="1"/>
  <c r="AB113" i="59"/>
  <c r="L139" i="72" s="1"/>
  <c r="BA113" i="59"/>
  <c r="K168" i="72" s="1"/>
  <c r="BI113" i="59"/>
  <c r="S168" i="72" s="1"/>
  <c r="AR113" i="59"/>
  <c r="AB139" i="72" s="1"/>
  <c r="BQ113" i="59"/>
  <c r="AA168" i="72" s="1"/>
  <c r="BJ113" i="59"/>
  <c r="T168" i="72" s="1"/>
  <c r="AC113" i="59"/>
  <c r="M139" i="72" s="1"/>
  <c r="BB113" i="59"/>
  <c r="L168" i="72" s="1"/>
  <c r="BK113" i="59"/>
  <c r="U168" i="72" s="1"/>
  <c r="AS113" i="59"/>
  <c r="AC139" i="72" s="1"/>
  <c r="BR113" i="59"/>
  <c r="AB168" i="72" s="1"/>
  <c r="BL113" i="59"/>
  <c r="V168" i="72" s="1"/>
  <c r="AD113" i="59"/>
  <c r="N139" i="72" s="1"/>
  <c r="BC113" i="59"/>
  <c r="M168" i="72" s="1"/>
  <c r="AE113" i="59"/>
  <c r="O139" i="72" s="1"/>
  <c r="AT113" i="59"/>
  <c r="AD139" i="72" s="1"/>
  <c r="AY113" i="59"/>
  <c r="I168" i="72" s="1"/>
  <c r="BS113" i="59"/>
  <c r="AC168" i="72" s="1"/>
  <c r="BM113" i="59"/>
  <c r="W168" i="72" s="1"/>
  <c r="BN113" i="59"/>
  <c r="X168" i="72" s="1"/>
  <c r="AC146" i="59"/>
  <c r="AL146" i="59"/>
  <c r="BW146" i="59"/>
  <c r="AG634" i="72" s="1"/>
  <c r="AZ146" i="59"/>
  <c r="J634" i="72" s="1"/>
  <c r="Z90" i="59"/>
  <c r="AK90" i="59"/>
  <c r="BC90" i="59"/>
  <c r="M145" i="72" s="1"/>
  <c r="BP147" i="59"/>
  <c r="Z635" i="72" s="1"/>
  <c r="BV160" i="59"/>
  <c r="AF648" i="72" s="1"/>
  <c r="AW118" i="59"/>
  <c r="AG361" i="72" s="1"/>
  <c r="BP118" i="59"/>
  <c r="Z390" i="72" s="1"/>
  <c r="BV118" i="59"/>
  <c r="AF390" i="72" s="1"/>
  <c r="AT117" i="59"/>
  <c r="AK117" i="59"/>
  <c r="BC117" i="59"/>
  <c r="M389" i="72" s="1"/>
  <c r="AA119" i="59"/>
  <c r="BO119" i="59"/>
  <c r="Y391" i="72" s="1"/>
  <c r="AS162" i="59"/>
  <c r="AC162" i="59"/>
  <c r="AO162" i="59"/>
  <c r="AP162" i="59"/>
  <c r="Y162" i="59"/>
  <c r="Z162" i="59"/>
  <c r="BD162" i="59"/>
  <c r="N650" i="72" s="1"/>
  <c r="AN162" i="59"/>
  <c r="BT162" i="59"/>
  <c r="AD650" i="72" s="1"/>
  <c r="BE162" i="59"/>
  <c r="O650" i="72" s="1"/>
  <c r="AK162" i="59"/>
  <c r="BU162" i="59"/>
  <c r="AE650" i="72" s="1"/>
  <c r="AL162" i="59"/>
  <c r="X162" i="59"/>
  <c r="AI162" i="59"/>
  <c r="BF162" i="59"/>
  <c r="P650" i="72" s="1"/>
  <c r="AM162" i="59"/>
  <c r="AJ162" i="59"/>
  <c r="BV162" i="59"/>
  <c r="AF650" i="72" s="1"/>
  <c r="AW162" i="59"/>
  <c r="BG162" i="59"/>
  <c r="Q650" i="72" s="1"/>
  <c r="AG162" i="59"/>
  <c r="BW162" i="59"/>
  <c r="AG650" i="72" s="1"/>
  <c r="BH162" i="59"/>
  <c r="R650" i="72" s="1"/>
  <c r="BI162" i="59"/>
  <c r="S650" i="72" s="1"/>
  <c r="AV162" i="59"/>
  <c r="BJ162" i="59"/>
  <c r="T650" i="72" s="1"/>
  <c r="AF162" i="59"/>
  <c r="AY162" i="59"/>
  <c r="I650" i="72" s="1"/>
  <c r="BK162" i="59"/>
  <c r="U650" i="72" s="1"/>
  <c r="AU162" i="59"/>
  <c r="BO162" i="59"/>
  <c r="Y650" i="72" s="1"/>
  <c r="BL162" i="59"/>
  <c r="V650" i="72" s="1"/>
  <c r="AZ162" i="59"/>
  <c r="J650" i="72" s="1"/>
  <c r="BM162" i="59"/>
  <c r="W650" i="72" s="1"/>
  <c r="BP162" i="59"/>
  <c r="Z650" i="72" s="1"/>
  <c r="BN162" i="59"/>
  <c r="X650" i="72" s="1"/>
  <c r="BA162" i="59"/>
  <c r="K650" i="72" s="1"/>
  <c r="BQ162" i="59"/>
  <c r="AA650" i="72" s="1"/>
  <c r="BB162" i="59"/>
  <c r="L650" i="72" s="1"/>
  <c r="AH162" i="59"/>
  <c r="BR162" i="59"/>
  <c r="AB650" i="72" s="1"/>
  <c r="BC162" i="59"/>
  <c r="M650" i="72" s="1"/>
  <c r="AQ162" i="59"/>
  <c r="AA162" i="59"/>
  <c r="AR162" i="59"/>
  <c r="AB162" i="59"/>
  <c r="BS162" i="59"/>
  <c r="AC650" i="72" s="1"/>
  <c r="AT162" i="59"/>
  <c r="AD162" i="59"/>
  <c r="AE162" i="59"/>
  <c r="BR119" i="59"/>
  <c r="AB391" i="72" s="1"/>
  <c r="AB107" i="59"/>
  <c r="AS107" i="59"/>
  <c r="AC107" i="59"/>
  <c r="AR107" i="59"/>
  <c r="BN107" i="59"/>
  <c r="X162" i="72" s="1"/>
  <c r="AT107" i="59"/>
  <c r="AO107" i="59"/>
  <c r="AY107" i="59"/>
  <c r="I162" i="72" s="1"/>
  <c r="AE107" i="59"/>
  <c r="Z107" i="59"/>
  <c r="BO107" i="59"/>
  <c r="Y162" i="72" s="1"/>
  <c r="AU107" i="59"/>
  <c r="AP107" i="59"/>
  <c r="AZ107" i="59"/>
  <c r="J162" i="72" s="1"/>
  <c r="AF107" i="59"/>
  <c r="AA107" i="59"/>
  <c r="BM107" i="59"/>
  <c r="W162" i="72" s="1"/>
  <c r="BP107" i="59"/>
  <c r="Z162" i="72" s="1"/>
  <c r="AV107" i="59"/>
  <c r="AQ107" i="59"/>
  <c r="BF107" i="59"/>
  <c r="P162" i="72" s="1"/>
  <c r="BA107" i="59"/>
  <c r="K162" i="72" s="1"/>
  <c r="AG107" i="59"/>
  <c r="Y107" i="59"/>
  <c r="BV107" i="59"/>
  <c r="AF162" i="72" s="1"/>
  <c r="BQ107" i="59"/>
  <c r="AA162" i="72" s="1"/>
  <c r="AW107" i="59"/>
  <c r="BG107" i="59"/>
  <c r="Q162" i="72" s="1"/>
  <c r="BB107" i="59"/>
  <c r="L162" i="72" s="1"/>
  <c r="X107" i="59"/>
  <c r="BW107" i="59"/>
  <c r="AG162" i="72" s="1"/>
  <c r="BR107" i="59"/>
  <c r="AB162" i="72" s="1"/>
  <c r="AH107" i="59"/>
  <c r="BC107" i="59"/>
  <c r="M162" i="72" s="1"/>
  <c r="AI107" i="59"/>
  <c r="BH107" i="59"/>
  <c r="R162" i="72" s="1"/>
  <c r="BD107" i="59"/>
  <c r="N162" i="72" s="1"/>
  <c r="AJ107" i="59"/>
  <c r="BI107" i="59"/>
  <c r="S162" i="72" s="1"/>
  <c r="BE107" i="59"/>
  <c r="O162" i="72" s="1"/>
  <c r="AK107" i="59"/>
  <c r="BJ107" i="59"/>
  <c r="T162" i="72" s="1"/>
  <c r="BS107" i="59"/>
  <c r="AC162" i="72" s="1"/>
  <c r="AL107" i="59"/>
  <c r="BK107" i="59"/>
  <c r="U162" i="72" s="1"/>
  <c r="BT107" i="59"/>
  <c r="AD162" i="72" s="1"/>
  <c r="AM107" i="59"/>
  <c r="AD107" i="59"/>
  <c r="BL107" i="59"/>
  <c r="V162" i="72" s="1"/>
  <c r="BU107" i="59"/>
  <c r="AE162" i="72" s="1"/>
  <c r="AN107" i="59"/>
  <c r="AJ145" i="59"/>
  <c r="T388" i="72" s="1"/>
  <c r="AF145" i="59"/>
  <c r="P388" i="72" s="1"/>
  <c r="AG145" i="59"/>
  <c r="Q388" i="72" s="1"/>
  <c r="AW145" i="59"/>
  <c r="AG388" i="72" s="1"/>
  <c r="AZ145" i="59"/>
  <c r="J417" i="72" s="1"/>
  <c r="Z145" i="59"/>
  <c r="J388" i="72" s="1"/>
  <c r="AE145" i="59"/>
  <c r="O388" i="72" s="1"/>
  <c r="BO145" i="59"/>
  <c r="Y417" i="72" s="1"/>
  <c r="AP145" i="59"/>
  <c r="Z388" i="72" s="1"/>
  <c r="BP145" i="59"/>
  <c r="Z417" i="72" s="1"/>
  <c r="BG145" i="59"/>
  <c r="Q417" i="72" s="1"/>
  <c r="BA145" i="59"/>
  <c r="K417" i="72" s="1"/>
  <c r="AA145" i="59"/>
  <c r="K388" i="72" s="1"/>
  <c r="BQ145" i="59"/>
  <c r="AA417" i="72" s="1"/>
  <c r="AQ145" i="59"/>
  <c r="AA388" i="72" s="1"/>
  <c r="AU145" i="59"/>
  <c r="AE388" i="72" s="1"/>
  <c r="BB145" i="59"/>
  <c r="L417" i="72" s="1"/>
  <c r="BV145" i="59"/>
  <c r="AF417" i="72" s="1"/>
  <c r="BR145" i="59"/>
  <c r="AB417" i="72" s="1"/>
  <c r="AB145" i="59"/>
  <c r="L388" i="72" s="1"/>
  <c r="BC145" i="59"/>
  <c r="M417" i="72" s="1"/>
  <c r="AR145" i="59"/>
  <c r="AB388" i="72" s="1"/>
  <c r="AM145" i="59"/>
  <c r="W388" i="72" s="1"/>
  <c r="BH145" i="59"/>
  <c r="R417" i="72" s="1"/>
  <c r="BS145" i="59"/>
  <c r="AC417" i="72" s="1"/>
  <c r="BW145" i="59"/>
  <c r="AG417" i="72" s="1"/>
  <c r="BI145" i="59"/>
  <c r="S417" i="72" s="1"/>
  <c r="BD145" i="59"/>
  <c r="N417" i="72" s="1"/>
  <c r="AC145" i="59"/>
  <c r="M388" i="72" s="1"/>
  <c r="BJ145" i="59"/>
  <c r="T417" i="72" s="1"/>
  <c r="BT145" i="59"/>
  <c r="AD417" i="72" s="1"/>
  <c r="AS145" i="59"/>
  <c r="AC388" i="72" s="1"/>
  <c r="BK145" i="59"/>
  <c r="U417" i="72" s="1"/>
  <c r="BE145" i="59"/>
  <c r="O417" i="72" s="1"/>
  <c r="AD145" i="59"/>
  <c r="N388" i="72" s="1"/>
  <c r="BL145" i="59"/>
  <c r="V417" i="72" s="1"/>
  <c r="BU145" i="59"/>
  <c r="AE417" i="72" s="1"/>
  <c r="AT145" i="59"/>
  <c r="AD388" i="72" s="1"/>
  <c r="BM145" i="59"/>
  <c r="W417" i="72" s="1"/>
  <c r="AN145" i="59"/>
  <c r="X388" i="72" s="1"/>
  <c r="X145" i="59"/>
  <c r="H388" i="72" s="1"/>
  <c r="Y145" i="59"/>
  <c r="I388" i="72" s="1"/>
  <c r="BN145" i="59"/>
  <c r="X417" i="72" s="1"/>
  <c r="AO145" i="59"/>
  <c r="Y388" i="72" s="1"/>
  <c r="AY145" i="59"/>
  <c r="I417" i="72" s="1"/>
  <c r="AH145" i="59"/>
  <c r="R388" i="72" s="1"/>
  <c r="BF145" i="59"/>
  <c r="P417" i="72" s="1"/>
  <c r="AL145" i="59"/>
  <c r="V388" i="72" s="1"/>
  <c r="AI145" i="59"/>
  <c r="S388" i="72" s="1"/>
  <c r="AV145" i="59"/>
  <c r="AF388" i="72" s="1"/>
  <c r="AK145" i="59"/>
  <c r="U388" i="72" s="1"/>
  <c r="AP173" i="59"/>
  <c r="Z632" i="72" s="1"/>
  <c r="Z173" i="59"/>
  <c r="J632" i="72" s="1"/>
  <c r="AM173" i="59"/>
  <c r="W632" i="72" s="1"/>
  <c r="AL173" i="59"/>
  <c r="V632" i="72" s="1"/>
  <c r="AG173" i="59"/>
  <c r="Q632" i="72" s="1"/>
  <c r="AB173" i="59"/>
  <c r="L632" i="72" s="1"/>
  <c r="AK173" i="59"/>
  <c r="U632" i="72" s="1"/>
  <c r="AV173" i="59"/>
  <c r="AF632" i="72" s="1"/>
  <c r="AH173" i="59"/>
  <c r="R632" i="72" s="1"/>
  <c r="AF173" i="59"/>
  <c r="P632" i="72" s="1"/>
  <c r="AI173" i="59"/>
  <c r="S632" i="72" s="1"/>
  <c r="AJ173" i="59"/>
  <c r="T632" i="72" s="1"/>
  <c r="AD173" i="59"/>
  <c r="N632" i="72" s="1"/>
  <c r="BB173" i="59"/>
  <c r="L661" i="72" s="1"/>
  <c r="BR173" i="59"/>
  <c r="AB661" i="72" s="1"/>
  <c r="AS173" i="59"/>
  <c r="AC632" i="72" s="1"/>
  <c r="BC173" i="59"/>
  <c r="M661" i="72" s="1"/>
  <c r="BU173" i="59"/>
  <c r="AE661" i="72" s="1"/>
  <c r="AC173" i="59"/>
  <c r="M632" i="72" s="1"/>
  <c r="BD173" i="59"/>
  <c r="N661" i="72" s="1"/>
  <c r="AW173" i="59"/>
  <c r="AG632" i="72" s="1"/>
  <c r="AR173" i="59"/>
  <c r="AB632" i="72" s="1"/>
  <c r="BW173" i="59"/>
  <c r="AG661" i="72" s="1"/>
  <c r="AU173" i="59"/>
  <c r="AE632" i="72" s="1"/>
  <c r="AE173" i="59"/>
  <c r="O632" i="72" s="1"/>
  <c r="BN173" i="59"/>
  <c r="X661" i="72" s="1"/>
  <c r="AY173" i="59"/>
  <c r="I661" i="72" s="1"/>
  <c r="BO173" i="59"/>
  <c r="Y661" i="72" s="1"/>
  <c r="AN173" i="59"/>
  <c r="X632" i="72" s="1"/>
  <c r="AZ173" i="59"/>
  <c r="J661" i="72" s="1"/>
  <c r="BP173" i="59"/>
  <c r="Z661" i="72" s="1"/>
  <c r="BA173" i="59"/>
  <c r="K661" i="72" s="1"/>
  <c r="BQ173" i="59"/>
  <c r="AA661" i="72" s="1"/>
  <c r="BT173" i="59"/>
  <c r="AD661" i="72" s="1"/>
  <c r="BE173" i="59"/>
  <c r="O661" i="72" s="1"/>
  <c r="AO173" i="59"/>
  <c r="Y632" i="72" s="1"/>
  <c r="BV173" i="59"/>
  <c r="AF661" i="72" s="1"/>
  <c r="BF173" i="59"/>
  <c r="P661" i="72" s="1"/>
  <c r="Y173" i="59"/>
  <c r="I632" i="72" s="1"/>
  <c r="BG173" i="59"/>
  <c r="Q661" i="72" s="1"/>
  <c r="BH173" i="59"/>
  <c r="R661" i="72" s="1"/>
  <c r="BI173" i="59"/>
  <c r="S661" i="72" s="1"/>
  <c r="AQ173" i="59"/>
  <c r="AA632" i="72" s="1"/>
  <c r="BL173" i="59"/>
  <c r="V661" i="72" s="1"/>
  <c r="BJ173" i="59"/>
  <c r="T661" i="72" s="1"/>
  <c r="AA173" i="59"/>
  <c r="K632" i="72" s="1"/>
  <c r="X173" i="59"/>
  <c r="H632" i="72" s="1"/>
  <c r="AT173" i="59"/>
  <c r="AD632" i="72" s="1"/>
  <c r="BM173" i="59"/>
  <c r="W661" i="72" s="1"/>
  <c r="BK173" i="59"/>
  <c r="U661" i="72" s="1"/>
  <c r="BS173" i="59"/>
  <c r="AC661" i="72" s="1"/>
  <c r="AV167" i="59"/>
  <c r="AF167" i="59"/>
  <c r="AR167" i="59"/>
  <c r="AB167" i="59"/>
  <c r="AC167" i="59"/>
  <c r="AS167" i="59"/>
  <c r="BS167" i="59"/>
  <c r="AC655" i="72" s="1"/>
  <c r="AY167" i="59"/>
  <c r="I655" i="72" s="1"/>
  <c r="BD167" i="59"/>
  <c r="N655" i="72" s="1"/>
  <c r="BO167" i="59"/>
  <c r="Y655" i="72" s="1"/>
  <c r="BT167" i="59"/>
  <c r="AD655" i="72" s="1"/>
  <c r="X167" i="59"/>
  <c r="BE167" i="59"/>
  <c r="O655" i="72" s="1"/>
  <c r="AZ167" i="59"/>
  <c r="J655" i="72" s="1"/>
  <c r="BU167" i="59"/>
  <c r="AE655" i="72" s="1"/>
  <c r="BA167" i="59"/>
  <c r="K655" i="72" s="1"/>
  <c r="AP167" i="59"/>
  <c r="BF167" i="59"/>
  <c r="P655" i="72" s="1"/>
  <c r="BK167" i="59"/>
  <c r="U655" i="72" s="1"/>
  <c r="Z167" i="59"/>
  <c r="BV167" i="59"/>
  <c r="AF655" i="72" s="1"/>
  <c r="BP167" i="59"/>
  <c r="Z655" i="72" s="1"/>
  <c r="BG167" i="59"/>
  <c r="Q655" i="72" s="1"/>
  <c r="BQ167" i="59"/>
  <c r="AA655" i="72" s="1"/>
  <c r="BW167" i="59"/>
  <c r="AG655" i="72" s="1"/>
  <c r="BH167" i="59"/>
  <c r="R655" i="72" s="1"/>
  <c r="BI167" i="59"/>
  <c r="S655" i="72" s="1"/>
  <c r="BJ167" i="59"/>
  <c r="T655" i="72" s="1"/>
  <c r="AQ167" i="59"/>
  <c r="BL167" i="59"/>
  <c r="V655" i="72" s="1"/>
  <c r="AA167" i="59"/>
  <c r="BB167" i="59"/>
  <c r="L655" i="72" s="1"/>
  <c r="BM167" i="59"/>
  <c r="W655" i="72" s="1"/>
  <c r="AN167" i="59"/>
  <c r="BR167" i="59"/>
  <c r="AB655" i="72" s="1"/>
  <c r="AK167" i="59"/>
  <c r="BC167" i="59"/>
  <c r="M655" i="72" s="1"/>
  <c r="BN167" i="59"/>
  <c r="X655" i="72" s="1"/>
  <c r="AM167" i="59"/>
  <c r="AJ167" i="59"/>
  <c r="AL167" i="59"/>
  <c r="AO167" i="59"/>
  <c r="Y167" i="59"/>
  <c r="AI167" i="59"/>
  <c r="AE167" i="59"/>
  <c r="AW167" i="59"/>
  <c r="AG167" i="59"/>
  <c r="AT167" i="59"/>
  <c r="AD167" i="59"/>
  <c r="AH167" i="59"/>
  <c r="AU167" i="59"/>
  <c r="BB95" i="59"/>
  <c r="L150" i="72" s="1"/>
  <c r="BR95" i="59"/>
  <c r="AB150" i="72" s="1"/>
  <c r="BC95" i="59"/>
  <c r="M150" i="72" s="1"/>
  <c r="BS95" i="59"/>
  <c r="AC150" i="72" s="1"/>
  <c r="BD95" i="59"/>
  <c r="N150" i="72" s="1"/>
  <c r="BT95" i="59"/>
  <c r="AD150" i="72" s="1"/>
  <c r="BE95" i="59"/>
  <c r="O150" i="72" s="1"/>
  <c r="BU95" i="59"/>
  <c r="AE150" i="72" s="1"/>
  <c r="BF95" i="59"/>
  <c r="P150" i="72" s="1"/>
  <c r="BV95" i="59"/>
  <c r="AF150" i="72" s="1"/>
  <c r="BG95" i="59"/>
  <c r="Q150" i="72" s="1"/>
  <c r="BW95" i="59"/>
  <c r="AG150" i="72" s="1"/>
  <c r="BH95" i="59"/>
  <c r="R150" i="72" s="1"/>
  <c r="BI95" i="59"/>
  <c r="S150" i="72" s="1"/>
  <c r="BJ95" i="59"/>
  <c r="T150" i="72" s="1"/>
  <c r="BK95" i="59"/>
  <c r="U150" i="72" s="1"/>
  <c r="BL95" i="59"/>
  <c r="V150" i="72" s="1"/>
  <c r="BM95" i="59"/>
  <c r="W150" i="72" s="1"/>
  <c r="BN95" i="59"/>
  <c r="X150" i="72" s="1"/>
  <c r="AY95" i="59"/>
  <c r="I150" i="72" s="1"/>
  <c r="AZ95" i="59"/>
  <c r="J150" i="72" s="1"/>
  <c r="BA95" i="59"/>
  <c r="K150" i="72" s="1"/>
  <c r="BO95" i="59"/>
  <c r="Y150" i="72" s="1"/>
  <c r="BP95" i="59"/>
  <c r="Z150" i="72" s="1"/>
  <c r="BQ95" i="59"/>
  <c r="AA150" i="72" s="1"/>
  <c r="AE146" i="59"/>
  <c r="BN146" i="59"/>
  <c r="X634" i="72" s="1"/>
  <c r="BG146" i="59"/>
  <c r="Q634" i="72" s="1"/>
  <c r="BO146" i="59"/>
  <c r="Y634" i="72" s="1"/>
  <c r="AV90" i="59"/>
  <c r="AJ90" i="59"/>
  <c r="BR90" i="59"/>
  <c r="AB145" i="72" s="1"/>
  <c r="AW147" i="59"/>
  <c r="AG606" i="72" s="1"/>
  <c r="AQ147" i="59"/>
  <c r="AA606" i="72" s="1"/>
  <c r="AZ147" i="59"/>
  <c r="J635" i="72" s="1"/>
  <c r="AG118" i="59"/>
  <c r="Q361" i="72" s="1"/>
  <c r="BN118" i="59"/>
  <c r="X390" i="72" s="1"/>
  <c r="BF118" i="59"/>
  <c r="P390" i="72" s="1"/>
  <c r="AD117" i="59"/>
  <c r="AJ117" i="59"/>
  <c r="BR117" i="59"/>
  <c r="AB389" i="72" s="1"/>
  <c r="BC89" i="59"/>
  <c r="M144" i="72" s="1"/>
  <c r="AP119" i="59"/>
  <c r="BU119" i="59"/>
  <c r="AE391" i="72" s="1"/>
  <c r="AY119" i="59"/>
  <c r="I391" i="72" s="1"/>
  <c r="BU117" i="59"/>
  <c r="AE389" i="72" s="1"/>
  <c r="BQ129" i="59"/>
  <c r="AA401" i="72" s="1"/>
  <c r="BL129" i="59"/>
  <c r="V401" i="72" s="1"/>
  <c r="AS129" i="59"/>
  <c r="BR129" i="59"/>
  <c r="AB401" i="72" s="1"/>
  <c r="BN129" i="59"/>
  <c r="X401" i="72" s="1"/>
  <c r="AU129" i="59"/>
  <c r="BC129" i="59"/>
  <c r="M401" i="72" s="1"/>
  <c r="BO129" i="59"/>
  <c r="Y401" i="72" s="1"/>
  <c r="AF129" i="59"/>
  <c r="BS129" i="59"/>
  <c r="AC401" i="72" s="1"/>
  <c r="BW129" i="59"/>
  <c r="AG401" i="72" s="1"/>
  <c r="AV129" i="59"/>
  <c r="BD129" i="59"/>
  <c r="N401" i="72" s="1"/>
  <c r="AN129" i="59"/>
  <c r="AG129" i="59"/>
  <c r="BT129" i="59"/>
  <c r="AD401" i="72" s="1"/>
  <c r="Y129" i="59"/>
  <c r="AW129" i="59"/>
  <c r="AM129" i="59"/>
  <c r="BE129" i="59"/>
  <c r="O401" i="72" s="1"/>
  <c r="AO129" i="59"/>
  <c r="AH129" i="59"/>
  <c r="BU129" i="59"/>
  <c r="AE401" i="72" s="1"/>
  <c r="Z129" i="59"/>
  <c r="AI129" i="59"/>
  <c r="BF129" i="59"/>
  <c r="P401" i="72" s="1"/>
  <c r="AP129" i="59"/>
  <c r="AJ129" i="59"/>
  <c r="BV129" i="59"/>
  <c r="AF401" i="72" s="1"/>
  <c r="AA129" i="59"/>
  <c r="AQ129" i="59"/>
  <c r="BH129" i="59"/>
  <c r="R401" i="72" s="1"/>
  <c r="AB129" i="59"/>
  <c r="BI129" i="59"/>
  <c r="S401" i="72" s="1"/>
  <c r="AR129" i="59"/>
  <c r="AZ129" i="59"/>
  <c r="J401" i="72" s="1"/>
  <c r="BJ129" i="59"/>
  <c r="T401" i="72" s="1"/>
  <c r="AC129" i="59"/>
  <c r="BP129" i="59"/>
  <c r="Z401" i="72" s="1"/>
  <c r="BK129" i="59"/>
  <c r="U401" i="72" s="1"/>
  <c r="AD129" i="59"/>
  <c r="BA129" i="59"/>
  <c r="K401" i="72" s="1"/>
  <c r="BM129" i="59"/>
  <c r="W401" i="72" s="1"/>
  <c r="AT129" i="59"/>
  <c r="BG129" i="59"/>
  <c r="Q401" i="72" s="1"/>
  <c r="AY129" i="59"/>
  <c r="I401" i="72" s="1"/>
  <c r="BB129" i="59"/>
  <c r="L401" i="72" s="1"/>
  <c r="AL129" i="59"/>
  <c r="AK129" i="59"/>
  <c r="X129" i="59"/>
  <c r="AE129" i="59"/>
  <c r="AN157" i="59"/>
  <c r="AK157" i="59"/>
  <c r="AJ157" i="59"/>
  <c r="AP157" i="59"/>
  <c r="AH157" i="59"/>
  <c r="AW157" i="59"/>
  <c r="AI157" i="59"/>
  <c r="AF157" i="59"/>
  <c r="AG157" i="59"/>
  <c r="BM157" i="59"/>
  <c r="W645" i="72" s="1"/>
  <c r="AS157" i="59"/>
  <c r="X157" i="59"/>
  <c r="BF157" i="59"/>
  <c r="P645" i="72" s="1"/>
  <c r="AA157" i="59"/>
  <c r="BN157" i="59"/>
  <c r="X645" i="72" s="1"/>
  <c r="BV157" i="59"/>
  <c r="AF645" i="72" s="1"/>
  <c r="AV157" i="59"/>
  <c r="AY157" i="59"/>
  <c r="I645" i="72" s="1"/>
  <c r="BG157" i="59"/>
  <c r="Q645" i="72" s="1"/>
  <c r="AB157" i="59"/>
  <c r="AZ157" i="59"/>
  <c r="J645" i="72" s="1"/>
  <c r="BH157" i="59"/>
  <c r="R645" i="72" s="1"/>
  <c r="AR157" i="59"/>
  <c r="Z157" i="59"/>
  <c r="AQ157" i="59"/>
  <c r="Y157" i="59"/>
  <c r="AD157" i="59"/>
  <c r="BL157" i="59"/>
  <c r="V645" i="72" s="1"/>
  <c r="AT157" i="59"/>
  <c r="BO157" i="59"/>
  <c r="Y645" i="72" s="1"/>
  <c r="AE157" i="59"/>
  <c r="BP157" i="59"/>
  <c r="Z645" i="72" s="1"/>
  <c r="AU157" i="59"/>
  <c r="AC157" i="59"/>
  <c r="BA157" i="59"/>
  <c r="K645" i="72" s="1"/>
  <c r="BJ157" i="59"/>
  <c r="T645" i="72" s="1"/>
  <c r="AO157" i="59"/>
  <c r="BQ157" i="59"/>
  <c r="AA645" i="72" s="1"/>
  <c r="BK157" i="59"/>
  <c r="U645" i="72" s="1"/>
  <c r="BB157" i="59"/>
  <c r="L645" i="72" s="1"/>
  <c r="BI157" i="59"/>
  <c r="S645" i="72" s="1"/>
  <c r="BR157" i="59"/>
  <c r="AB645" i="72" s="1"/>
  <c r="BC157" i="59"/>
  <c r="M645" i="72" s="1"/>
  <c r="BS157" i="59"/>
  <c r="AC645" i="72" s="1"/>
  <c r="BD157" i="59"/>
  <c r="N645" i="72" s="1"/>
  <c r="BT157" i="59"/>
  <c r="AD645" i="72" s="1"/>
  <c r="AL157" i="59"/>
  <c r="BE157" i="59"/>
  <c r="O645" i="72" s="1"/>
  <c r="AM157" i="59"/>
  <c r="BU157" i="59"/>
  <c r="AE645" i="72" s="1"/>
  <c r="BW157" i="59"/>
  <c r="AG645" i="72" s="1"/>
  <c r="AN111" i="59"/>
  <c r="X137" i="72" s="1"/>
  <c r="Y111" i="59"/>
  <c r="I137" i="72" s="1"/>
  <c r="BR111" i="59"/>
  <c r="AB166" i="72" s="1"/>
  <c r="BL111" i="59"/>
  <c r="V166" i="72" s="1"/>
  <c r="AC111" i="59"/>
  <c r="M137" i="72" s="1"/>
  <c r="BC111" i="59"/>
  <c r="M166" i="72" s="1"/>
  <c r="BM111" i="59"/>
  <c r="W166" i="72" s="1"/>
  <c r="AS111" i="59"/>
  <c r="AC137" i="72" s="1"/>
  <c r="BS111" i="59"/>
  <c r="AC166" i="72" s="1"/>
  <c r="BN111" i="59"/>
  <c r="X166" i="72" s="1"/>
  <c r="AD111" i="59"/>
  <c r="N137" i="72" s="1"/>
  <c r="BD111" i="59"/>
  <c r="N166" i="72" s="1"/>
  <c r="X111" i="59"/>
  <c r="H137" i="72" s="1"/>
  <c r="AT111" i="59"/>
  <c r="AD137" i="72" s="1"/>
  <c r="BT111" i="59"/>
  <c r="AD166" i="72" s="1"/>
  <c r="AY111" i="59"/>
  <c r="I166" i="72" s="1"/>
  <c r="AE111" i="59"/>
  <c r="O137" i="72" s="1"/>
  <c r="BE111" i="59"/>
  <c r="O166" i="72" s="1"/>
  <c r="AZ111" i="59"/>
  <c r="J166" i="72" s="1"/>
  <c r="AU111" i="59"/>
  <c r="AE137" i="72" s="1"/>
  <c r="BU111" i="59"/>
  <c r="AE166" i="72" s="1"/>
  <c r="BA111" i="59"/>
  <c r="K166" i="72" s="1"/>
  <c r="AF111" i="59"/>
  <c r="P137" i="72" s="1"/>
  <c r="BF111" i="59"/>
  <c r="P166" i="72" s="1"/>
  <c r="BO111" i="59"/>
  <c r="Y166" i="72" s="1"/>
  <c r="AV111" i="59"/>
  <c r="AF137" i="72" s="1"/>
  <c r="BV111" i="59"/>
  <c r="AF166" i="72" s="1"/>
  <c r="BP111" i="59"/>
  <c r="Z166" i="72" s="1"/>
  <c r="AG111" i="59"/>
  <c r="Q137" i="72" s="1"/>
  <c r="BG111" i="59"/>
  <c r="Q166" i="72" s="1"/>
  <c r="BQ111" i="59"/>
  <c r="AA166" i="72" s="1"/>
  <c r="AW111" i="59"/>
  <c r="AG137" i="72" s="1"/>
  <c r="BW111" i="59"/>
  <c r="AG166" i="72" s="1"/>
  <c r="Z111" i="59"/>
  <c r="J137" i="72" s="1"/>
  <c r="AH111" i="59"/>
  <c r="R137" i="72" s="1"/>
  <c r="AP111" i="59"/>
  <c r="Z137" i="72" s="1"/>
  <c r="AI111" i="59"/>
  <c r="S137" i="72" s="1"/>
  <c r="BH111" i="59"/>
  <c r="R166" i="72" s="1"/>
  <c r="AA111" i="59"/>
  <c r="K137" i="72" s="1"/>
  <c r="AJ111" i="59"/>
  <c r="T137" i="72" s="1"/>
  <c r="BI111" i="59"/>
  <c r="S166" i="72" s="1"/>
  <c r="AQ111" i="59"/>
  <c r="AA137" i="72" s="1"/>
  <c r="AK111" i="59"/>
  <c r="U137" i="72" s="1"/>
  <c r="BB111" i="59"/>
  <c r="L166" i="72" s="1"/>
  <c r="BJ111" i="59"/>
  <c r="T166" i="72" s="1"/>
  <c r="BK111" i="59"/>
  <c r="U166" i="72" s="1"/>
  <c r="AB111" i="59"/>
  <c r="L137" i="72" s="1"/>
  <c r="AR111" i="59"/>
  <c r="AB137" i="72" s="1"/>
  <c r="AO111" i="59"/>
  <c r="Y137" i="72" s="1"/>
  <c r="AL111" i="59"/>
  <c r="V137" i="72" s="1"/>
  <c r="AM111" i="59"/>
  <c r="W137" i="72" s="1"/>
  <c r="AN169" i="59"/>
  <c r="X628" i="72" s="1"/>
  <c r="AI169" i="59"/>
  <c r="S628" i="72" s="1"/>
  <c r="AK169" i="59"/>
  <c r="U628" i="72" s="1"/>
  <c r="AO169" i="59"/>
  <c r="Y628" i="72" s="1"/>
  <c r="Y169" i="59"/>
  <c r="I628" i="72" s="1"/>
  <c r="AL169" i="59"/>
  <c r="V628" i="72" s="1"/>
  <c r="AM169" i="59"/>
  <c r="W628" i="72" s="1"/>
  <c r="AP169" i="59"/>
  <c r="Z628" i="72" s="1"/>
  <c r="BW169" i="59"/>
  <c r="AG657" i="72" s="1"/>
  <c r="AZ169" i="59"/>
  <c r="J657" i="72" s="1"/>
  <c r="BH169" i="59"/>
  <c r="R657" i="72" s="1"/>
  <c r="BP169" i="59"/>
  <c r="Z657" i="72" s="1"/>
  <c r="BJ169" i="59"/>
  <c r="T657" i="72" s="1"/>
  <c r="BA169" i="59"/>
  <c r="K657" i="72" s="1"/>
  <c r="BK169" i="59"/>
  <c r="U657" i="72" s="1"/>
  <c r="BQ169" i="59"/>
  <c r="AA657" i="72" s="1"/>
  <c r="BL169" i="59"/>
  <c r="V657" i="72" s="1"/>
  <c r="BB169" i="59"/>
  <c r="L657" i="72" s="1"/>
  <c r="AY169" i="59"/>
  <c r="I657" i="72" s="1"/>
  <c r="BR169" i="59"/>
  <c r="AB657" i="72" s="1"/>
  <c r="BI169" i="59"/>
  <c r="S657" i="72" s="1"/>
  <c r="AH169" i="59"/>
  <c r="R628" i="72" s="1"/>
  <c r="AJ169" i="59"/>
  <c r="T628" i="72" s="1"/>
  <c r="BC169" i="59"/>
  <c r="M657" i="72" s="1"/>
  <c r="X169" i="59"/>
  <c r="H628" i="72" s="1"/>
  <c r="BS169" i="59"/>
  <c r="AC657" i="72" s="1"/>
  <c r="BM169" i="59"/>
  <c r="W657" i="72" s="1"/>
  <c r="BD169" i="59"/>
  <c r="N657" i="72" s="1"/>
  <c r="BN169" i="59"/>
  <c r="X657" i="72" s="1"/>
  <c r="AW169" i="59"/>
  <c r="AG628" i="72" s="1"/>
  <c r="AQ169" i="59"/>
  <c r="AA628" i="72" s="1"/>
  <c r="BT169" i="59"/>
  <c r="AD657" i="72" s="1"/>
  <c r="BO169" i="59"/>
  <c r="Y657" i="72" s="1"/>
  <c r="AG169" i="59"/>
  <c r="Q628" i="72" s="1"/>
  <c r="Z169" i="59"/>
  <c r="J628" i="72" s="1"/>
  <c r="BE169" i="59"/>
  <c r="O657" i="72" s="1"/>
  <c r="AA169" i="59"/>
  <c r="K628" i="72" s="1"/>
  <c r="BU169" i="59"/>
  <c r="AE657" i="72" s="1"/>
  <c r="BF169" i="59"/>
  <c r="P657" i="72" s="1"/>
  <c r="BV169" i="59"/>
  <c r="AF657" i="72" s="1"/>
  <c r="BG169" i="59"/>
  <c r="Q657" i="72" s="1"/>
  <c r="AU169" i="59"/>
  <c r="AE628" i="72" s="1"/>
  <c r="AD169" i="59"/>
  <c r="N628" i="72" s="1"/>
  <c r="AE169" i="59"/>
  <c r="O628" i="72" s="1"/>
  <c r="AT169" i="59"/>
  <c r="AD628" i="72" s="1"/>
  <c r="AR169" i="59"/>
  <c r="AB628" i="72" s="1"/>
  <c r="AV169" i="59"/>
  <c r="AF628" i="72" s="1"/>
  <c r="AB169" i="59"/>
  <c r="L628" i="72" s="1"/>
  <c r="AF169" i="59"/>
  <c r="P628" i="72" s="1"/>
  <c r="AS169" i="59"/>
  <c r="AC628" i="72" s="1"/>
  <c r="AC169" i="59"/>
  <c r="M628" i="72" s="1"/>
  <c r="AB146" i="59"/>
  <c r="AK146" i="59"/>
  <c r="BV146" i="59"/>
  <c r="AF634" i="72" s="1"/>
  <c r="AY146" i="59"/>
  <c r="I634" i="72" s="1"/>
  <c r="AU90" i="59"/>
  <c r="AI90" i="59"/>
  <c r="BB90" i="59"/>
  <c r="L145" i="72" s="1"/>
  <c r="AS117" i="59"/>
  <c r="BW117" i="59"/>
  <c r="AG389" i="72" s="1"/>
  <c r="BB117" i="59"/>
  <c r="L389" i="72" s="1"/>
  <c r="BS161" i="59"/>
  <c r="AC649" i="72" s="1"/>
  <c r="Z119" i="59"/>
  <c r="BI119" i="59"/>
  <c r="S391" i="72" s="1"/>
  <c r="BN119" i="59"/>
  <c r="X391" i="72" s="1"/>
  <c r="BL146" i="59"/>
  <c r="V634" i="72" s="1"/>
  <c r="BB119" i="59"/>
  <c r="L391" i="72" s="1"/>
  <c r="BF137" i="59"/>
  <c r="P409" i="72" s="1"/>
  <c r="AG137" i="59"/>
  <c r="BG137" i="59"/>
  <c r="Q409" i="72" s="1"/>
  <c r="AW137" i="59"/>
  <c r="BO137" i="59"/>
  <c r="Y409" i="72" s="1"/>
  <c r="X137" i="59"/>
  <c r="BP137" i="59"/>
  <c r="Z409" i="72" s="1"/>
  <c r="AH137" i="59"/>
  <c r="AM137" i="59"/>
  <c r="BQ137" i="59"/>
  <c r="AA409" i="72" s="1"/>
  <c r="AI137" i="59"/>
  <c r="AQ137" i="59"/>
  <c r="BR137" i="59"/>
  <c r="AB409" i="72" s="1"/>
  <c r="AJ137" i="59"/>
  <c r="BS137" i="59"/>
  <c r="AC409" i="72" s="1"/>
  <c r="AK137" i="59"/>
  <c r="BH137" i="59"/>
  <c r="R409" i="72" s="1"/>
  <c r="BT137" i="59"/>
  <c r="AD409" i="72" s="1"/>
  <c r="AL137" i="59"/>
  <c r="AD137" i="59"/>
  <c r="BI137" i="59"/>
  <c r="S409" i="72" s="1"/>
  <c r="BU137" i="59"/>
  <c r="AE409" i="72" s="1"/>
  <c r="AN137" i="59"/>
  <c r="BJ137" i="59"/>
  <c r="T409" i="72" s="1"/>
  <c r="AY137" i="59"/>
  <c r="I409" i="72" s="1"/>
  <c r="BB137" i="59"/>
  <c r="L409" i="72" s="1"/>
  <c r="AO137" i="59"/>
  <c r="AP137" i="59"/>
  <c r="BK137" i="59"/>
  <c r="U409" i="72" s="1"/>
  <c r="BV137" i="59"/>
  <c r="AF409" i="72" s="1"/>
  <c r="BC137" i="59"/>
  <c r="M409" i="72" s="1"/>
  <c r="BL137" i="59"/>
  <c r="V409" i="72" s="1"/>
  <c r="AZ137" i="59"/>
  <c r="J409" i="72" s="1"/>
  <c r="BM137" i="59"/>
  <c r="W409" i="72" s="1"/>
  <c r="BW137" i="59"/>
  <c r="AG409" i="72" s="1"/>
  <c r="BN137" i="59"/>
  <c r="X409" i="72" s="1"/>
  <c r="BA137" i="59"/>
  <c r="K409" i="72" s="1"/>
  <c r="AE137" i="59"/>
  <c r="AB137" i="59"/>
  <c r="BD137" i="59"/>
  <c r="N409" i="72" s="1"/>
  <c r="BE137" i="59"/>
  <c r="O409" i="72" s="1"/>
  <c r="AF137" i="59"/>
  <c r="AA137" i="59"/>
  <c r="AV137" i="59"/>
  <c r="AC137" i="59"/>
  <c r="Z137" i="59"/>
  <c r="Y137" i="59"/>
  <c r="AU137" i="59"/>
  <c r="AT137" i="59"/>
  <c r="AS137" i="59"/>
  <c r="AR137" i="59"/>
  <c r="BB104" i="59"/>
  <c r="L159" i="72" s="1"/>
  <c r="BL104" i="59"/>
  <c r="V159" i="72" s="1"/>
  <c r="AR104" i="59"/>
  <c r="BR104" i="59"/>
  <c r="AB159" i="72" s="1"/>
  <c r="BM104" i="59"/>
  <c r="W159" i="72" s="1"/>
  <c r="AC104" i="59"/>
  <c r="BC104" i="59"/>
  <c r="M159" i="72" s="1"/>
  <c r="AS104" i="59"/>
  <c r="BS104" i="59"/>
  <c r="AC159" i="72" s="1"/>
  <c r="AY104" i="59"/>
  <c r="I159" i="72" s="1"/>
  <c r="AD104" i="59"/>
  <c r="BD104" i="59"/>
  <c r="N159" i="72" s="1"/>
  <c r="AZ104" i="59"/>
  <c r="J159" i="72" s="1"/>
  <c r="AT104" i="59"/>
  <c r="BT104" i="59"/>
  <c r="AD159" i="72" s="1"/>
  <c r="BN104" i="59"/>
  <c r="X159" i="72" s="1"/>
  <c r="AE104" i="59"/>
  <c r="BE104" i="59"/>
  <c r="O159" i="72" s="1"/>
  <c r="BO104" i="59"/>
  <c r="Y159" i="72" s="1"/>
  <c r="AU104" i="59"/>
  <c r="BU104" i="59"/>
  <c r="AE159" i="72" s="1"/>
  <c r="BP104" i="59"/>
  <c r="Z159" i="72" s="1"/>
  <c r="AF104" i="59"/>
  <c r="BF104" i="59"/>
  <c r="P159" i="72" s="1"/>
  <c r="Y104" i="59"/>
  <c r="AV104" i="59"/>
  <c r="BV104" i="59"/>
  <c r="AF159" i="72" s="1"/>
  <c r="AO104" i="59"/>
  <c r="AG104" i="59"/>
  <c r="BG104" i="59"/>
  <c r="Q159" i="72" s="1"/>
  <c r="X104" i="59"/>
  <c r="AW104" i="59"/>
  <c r="BW104" i="59"/>
  <c r="AG159" i="72" s="1"/>
  <c r="Z104" i="59"/>
  <c r="AH104" i="59"/>
  <c r="BH104" i="59"/>
  <c r="R159" i="72" s="1"/>
  <c r="AP104" i="59"/>
  <c r="AI104" i="59"/>
  <c r="BI104" i="59"/>
  <c r="S159" i="72" s="1"/>
  <c r="AA104" i="59"/>
  <c r="AJ104" i="59"/>
  <c r="BA104" i="59"/>
  <c r="K159" i="72" s="1"/>
  <c r="BQ104" i="59"/>
  <c r="AA159" i="72" s="1"/>
  <c r="BJ104" i="59"/>
  <c r="T159" i="72" s="1"/>
  <c r="BK104" i="59"/>
  <c r="U159" i="72" s="1"/>
  <c r="AQ104" i="59"/>
  <c r="AB104" i="59"/>
  <c r="AK104" i="59"/>
  <c r="AL104" i="59"/>
  <c r="AN104" i="59"/>
  <c r="AM104" i="59"/>
  <c r="AM141" i="59"/>
  <c r="W384" i="72" s="1"/>
  <c r="AL141" i="59"/>
  <c r="V384" i="72" s="1"/>
  <c r="AI141" i="59"/>
  <c r="S384" i="72" s="1"/>
  <c r="Y141" i="59"/>
  <c r="I384" i="72" s="1"/>
  <c r="AK141" i="59"/>
  <c r="U384" i="72" s="1"/>
  <c r="AA141" i="59"/>
  <c r="K384" i="72" s="1"/>
  <c r="Z141" i="59"/>
  <c r="J384" i="72" s="1"/>
  <c r="BN141" i="59"/>
  <c r="X413" i="72" s="1"/>
  <c r="BV141" i="59"/>
  <c r="AF413" i="72" s="1"/>
  <c r="AW141" i="59"/>
  <c r="AG384" i="72" s="1"/>
  <c r="BB141" i="59"/>
  <c r="L413" i="72" s="1"/>
  <c r="AS141" i="59"/>
  <c r="AC384" i="72" s="1"/>
  <c r="BR141" i="59"/>
  <c r="AB413" i="72" s="1"/>
  <c r="AD141" i="59"/>
  <c r="N384" i="72" s="1"/>
  <c r="AQ141" i="59"/>
  <c r="AA384" i="72" s="1"/>
  <c r="BC141" i="59"/>
  <c r="M413" i="72" s="1"/>
  <c r="AT141" i="59"/>
  <c r="AD384" i="72" s="1"/>
  <c r="AP141" i="59"/>
  <c r="Z384" i="72" s="1"/>
  <c r="BS141" i="59"/>
  <c r="AC413" i="72" s="1"/>
  <c r="AE141" i="59"/>
  <c r="O384" i="72" s="1"/>
  <c r="BD141" i="59"/>
  <c r="N413" i="72" s="1"/>
  <c r="AU141" i="59"/>
  <c r="AE384" i="72" s="1"/>
  <c r="BT141" i="59"/>
  <c r="AD413" i="72" s="1"/>
  <c r="AF141" i="59"/>
  <c r="P384" i="72" s="1"/>
  <c r="BE141" i="59"/>
  <c r="O413" i="72" s="1"/>
  <c r="AV141" i="59"/>
  <c r="AF384" i="72" s="1"/>
  <c r="BL141" i="59"/>
  <c r="V413" i="72" s="1"/>
  <c r="BU141" i="59"/>
  <c r="AE413" i="72" s="1"/>
  <c r="AG141" i="59"/>
  <c r="Q384" i="72" s="1"/>
  <c r="BM141" i="59"/>
  <c r="W413" i="72" s="1"/>
  <c r="BF141" i="59"/>
  <c r="P413" i="72" s="1"/>
  <c r="BJ141" i="59"/>
  <c r="T413" i="72" s="1"/>
  <c r="X141" i="59"/>
  <c r="H384" i="72" s="1"/>
  <c r="BG141" i="59"/>
  <c r="Q413" i="72" s="1"/>
  <c r="AH141" i="59"/>
  <c r="R384" i="72" s="1"/>
  <c r="AY141" i="59"/>
  <c r="I413" i="72" s="1"/>
  <c r="BW141" i="59"/>
  <c r="AG413" i="72" s="1"/>
  <c r="BK141" i="59"/>
  <c r="U413" i="72" s="1"/>
  <c r="AN141" i="59"/>
  <c r="X384" i="72" s="1"/>
  <c r="BQ141" i="59"/>
  <c r="AA413" i="72" s="1"/>
  <c r="BO141" i="59"/>
  <c r="Y413" i="72" s="1"/>
  <c r="BH141" i="59"/>
  <c r="R413" i="72" s="1"/>
  <c r="AJ141" i="59"/>
  <c r="T384" i="72" s="1"/>
  <c r="AZ141" i="59"/>
  <c r="J413" i="72" s="1"/>
  <c r="BI141" i="59"/>
  <c r="S413" i="72" s="1"/>
  <c r="AC141" i="59"/>
  <c r="M384" i="72" s="1"/>
  <c r="BP141" i="59"/>
  <c r="Z413" i="72" s="1"/>
  <c r="AB141" i="59"/>
  <c r="L384" i="72" s="1"/>
  <c r="AO141" i="59"/>
  <c r="Y384" i="72" s="1"/>
  <c r="BA141" i="59"/>
  <c r="K413" i="72" s="1"/>
  <c r="AR141" i="59"/>
  <c r="AB384" i="72" s="1"/>
  <c r="BS97" i="59"/>
  <c r="AC152" i="72" s="1"/>
  <c r="BD97" i="59"/>
  <c r="N152" i="72" s="1"/>
  <c r="BT97" i="59"/>
  <c r="AD152" i="72" s="1"/>
  <c r="AY97" i="59"/>
  <c r="I152" i="72" s="1"/>
  <c r="BE97" i="59"/>
  <c r="O152" i="72" s="1"/>
  <c r="BU97" i="59"/>
  <c r="AE152" i="72" s="1"/>
  <c r="BM97" i="59"/>
  <c r="W152" i="72" s="1"/>
  <c r="BF97" i="59"/>
  <c r="P152" i="72" s="1"/>
  <c r="BV97" i="59"/>
  <c r="AF152" i="72" s="1"/>
  <c r="BN97" i="59"/>
  <c r="X152" i="72" s="1"/>
  <c r="BG97" i="59"/>
  <c r="Q152" i="72" s="1"/>
  <c r="BW97" i="59"/>
  <c r="AG152" i="72" s="1"/>
  <c r="BO97" i="59"/>
  <c r="Y152" i="72" s="1"/>
  <c r="AZ97" i="59"/>
  <c r="J152" i="72" s="1"/>
  <c r="BP97" i="59"/>
  <c r="Z152" i="72" s="1"/>
  <c r="BH97" i="59"/>
  <c r="R152" i="72" s="1"/>
  <c r="BA97" i="59"/>
  <c r="K152" i="72" s="1"/>
  <c r="BI97" i="59"/>
  <c r="S152" i="72" s="1"/>
  <c r="BQ97" i="59"/>
  <c r="AA152" i="72" s="1"/>
  <c r="BJ97" i="59"/>
  <c r="T152" i="72" s="1"/>
  <c r="BB97" i="59"/>
  <c r="L152" i="72" s="1"/>
  <c r="BK97" i="59"/>
  <c r="U152" i="72" s="1"/>
  <c r="BR97" i="59"/>
  <c r="AB152" i="72" s="1"/>
  <c r="BC97" i="59"/>
  <c r="M152" i="72" s="1"/>
  <c r="BL97" i="59"/>
  <c r="V152" i="72" s="1"/>
  <c r="AD153" i="59"/>
  <c r="AB153" i="59"/>
  <c r="AE153" i="59"/>
  <c r="AM153" i="59"/>
  <c r="Y153" i="59"/>
  <c r="AF153" i="59"/>
  <c r="AS153" i="59"/>
  <c r="BC153" i="59"/>
  <c r="M641" i="72" s="1"/>
  <c r="AG153" i="59"/>
  <c r="BS153" i="59"/>
  <c r="AC641" i="72" s="1"/>
  <c r="AW153" i="59"/>
  <c r="BD153" i="59"/>
  <c r="N641" i="72" s="1"/>
  <c r="AH153" i="59"/>
  <c r="AR153" i="59"/>
  <c r="AC153" i="59"/>
  <c r="BT153" i="59"/>
  <c r="AD641" i="72" s="1"/>
  <c r="AI153" i="59"/>
  <c r="BE153" i="59"/>
  <c r="O641" i="72" s="1"/>
  <c r="AL153" i="59"/>
  <c r="BU153" i="59"/>
  <c r="AE641" i="72" s="1"/>
  <c r="AY153" i="59"/>
  <c r="I641" i="72" s="1"/>
  <c r="BF153" i="59"/>
  <c r="P641" i="72" s="1"/>
  <c r="X153" i="59"/>
  <c r="AU153" i="59"/>
  <c r="BV153" i="59"/>
  <c r="AF641" i="72" s="1"/>
  <c r="BN153" i="59"/>
  <c r="X641" i="72" s="1"/>
  <c r="AA153" i="59"/>
  <c r="BG153" i="59"/>
  <c r="Q641" i="72" s="1"/>
  <c r="BO153" i="59"/>
  <c r="Y641" i="72" s="1"/>
  <c r="AV153" i="59"/>
  <c r="BW153" i="59"/>
  <c r="AG641" i="72" s="1"/>
  <c r="AZ153" i="59"/>
  <c r="J641" i="72" s="1"/>
  <c r="BH153" i="59"/>
  <c r="R641" i="72" s="1"/>
  <c r="AJ153" i="59"/>
  <c r="BP153" i="59"/>
  <c r="Z641" i="72" s="1"/>
  <c r="BI153" i="59"/>
  <c r="S641" i="72" s="1"/>
  <c r="AK153" i="59"/>
  <c r="AT153" i="59"/>
  <c r="BA153" i="59"/>
  <c r="K641" i="72" s="1"/>
  <c r="BJ153" i="59"/>
  <c r="T641" i="72" s="1"/>
  <c r="Z153" i="59"/>
  <c r="BQ153" i="59"/>
  <c r="AA641" i="72" s="1"/>
  <c r="BK153" i="59"/>
  <c r="U641" i="72" s="1"/>
  <c r="AN153" i="59"/>
  <c r="AO153" i="59"/>
  <c r="BB153" i="59"/>
  <c r="L641" i="72" s="1"/>
  <c r="BR153" i="59"/>
  <c r="AB641" i="72" s="1"/>
  <c r="AQ153" i="59"/>
  <c r="BL153" i="59"/>
  <c r="V641" i="72" s="1"/>
  <c r="BM153" i="59"/>
  <c r="W641" i="72" s="1"/>
  <c r="AP153" i="59"/>
  <c r="AA146" i="59"/>
  <c r="BM146" i="59"/>
  <c r="W634" i="72" s="1"/>
  <c r="BF146" i="59"/>
  <c r="P634" i="72" s="1"/>
  <c r="AT90" i="59"/>
  <c r="BK90" i="59"/>
  <c r="U145" i="72" s="1"/>
  <c r="BQ90" i="59"/>
  <c r="AA145" i="72" s="1"/>
  <c r="AU147" i="59"/>
  <c r="AE606" i="72" s="1"/>
  <c r="X147" i="59"/>
  <c r="H606" i="72" s="1"/>
  <c r="AY147" i="59"/>
  <c r="I635" i="72" s="1"/>
  <c r="AF118" i="59"/>
  <c r="P361" i="72" s="1"/>
  <c r="BA118" i="59"/>
  <c r="K390" i="72" s="1"/>
  <c r="BE118" i="59"/>
  <c r="O390" i="72" s="1"/>
  <c r="AC117" i="59"/>
  <c r="BK117" i="59"/>
  <c r="U389" i="72" s="1"/>
  <c r="BQ117" i="59"/>
  <c r="AA389" i="72" s="1"/>
  <c r="AI89" i="59"/>
  <c r="S115" i="72" s="1"/>
  <c r="Z89" i="59"/>
  <c r="J115" i="72" s="1"/>
  <c r="BB89" i="59"/>
  <c r="L144" i="72" s="1"/>
  <c r="AW119" i="59"/>
  <c r="X119" i="59"/>
  <c r="BH119" i="59"/>
  <c r="R391" i="72" s="1"/>
  <c r="BM119" i="59"/>
  <c r="W391" i="72" s="1"/>
  <c r="AF133" i="59"/>
  <c r="AG133" i="59"/>
  <c r="BA133" i="59"/>
  <c r="K405" i="72" s="1"/>
  <c r="BK133" i="59"/>
  <c r="U405" i="72" s="1"/>
  <c r="BQ133" i="59"/>
  <c r="AA405" i="72" s="1"/>
  <c r="AJ133" i="59"/>
  <c r="AC133" i="59"/>
  <c r="BB133" i="59"/>
  <c r="L405" i="72" s="1"/>
  <c r="AK133" i="59"/>
  <c r="BR133" i="59"/>
  <c r="AB405" i="72" s="1"/>
  <c r="AL133" i="59"/>
  <c r="AM133" i="59"/>
  <c r="BU133" i="59"/>
  <c r="AE405" i="72" s="1"/>
  <c r="AN133" i="59"/>
  <c r="BV133" i="59"/>
  <c r="AF405" i="72" s="1"/>
  <c r="Y133" i="59"/>
  <c r="X133" i="59"/>
  <c r="AD133" i="59"/>
  <c r="BW133" i="59"/>
  <c r="AG405" i="72" s="1"/>
  <c r="AO133" i="59"/>
  <c r="BC133" i="59"/>
  <c r="M405" i="72" s="1"/>
  <c r="BS133" i="59"/>
  <c r="AC405" i="72" s="1"/>
  <c r="BL133" i="59"/>
  <c r="V405" i="72" s="1"/>
  <c r="BD133" i="59"/>
  <c r="N405" i="72" s="1"/>
  <c r="Z133" i="59"/>
  <c r="BM133" i="59"/>
  <c r="W405" i="72" s="1"/>
  <c r="BE133" i="59"/>
  <c r="O405" i="72" s="1"/>
  <c r="AP133" i="59"/>
  <c r="BN133" i="59"/>
  <c r="X405" i="72" s="1"/>
  <c r="BF133" i="59"/>
  <c r="P405" i="72" s="1"/>
  <c r="BT133" i="59"/>
  <c r="AD405" i="72" s="1"/>
  <c r="AY133" i="59"/>
  <c r="I405" i="72" s="1"/>
  <c r="BG133" i="59"/>
  <c r="Q405" i="72" s="1"/>
  <c r="AA133" i="59"/>
  <c r="AE133" i="59"/>
  <c r="BO133" i="59"/>
  <c r="Y405" i="72" s="1"/>
  <c r="BH133" i="59"/>
  <c r="R405" i="72" s="1"/>
  <c r="AQ133" i="59"/>
  <c r="BP133" i="59"/>
  <c r="Z405" i="72" s="1"/>
  <c r="BI133" i="59"/>
  <c r="S405" i="72" s="1"/>
  <c r="BJ133" i="59"/>
  <c r="T405" i="72" s="1"/>
  <c r="AU133" i="59"/>
  <c r="AB133" i="59"/>
  <c r="AR133" i="59"/>
  <c r="AW133" i="59"/>
  <c r="AH133" i="59"/>
  <c r="AI133" i="59"/>
  <c r="AV133" i="59"/>
  <c r="AT133" i="59"/>
  <c r="AS133" i="59"/>
  <c r="AZ133" i="59"/>
  <c r="J405" i="72" s="1"/>
  <c r="AD119" i="59"/>
  <c r="BR146" i="59"/>
  <c r="AB634" i="72" s="1"/>
  <c r="AJ163" i="59"/>
  <c r="AW163" i="59"/>
  <c r="AF163" i="59"/>
  <c r="AG163" i="59"/>
  <c r="X163" i="59"/>
  <c r="AV163" i="59"/>
  <c r="AU163" i="59"/>
  <c r="BP163" i="59"/>
  <c r="Z651" i="72" s="1"/>
  <c r="AE163" i="59"/>
  <c r="BA163" i="59"/>
  <c r="K651" i="72" s="1"/>
  <c r="BF163" i="59"/>
  <c r="P651" i="72" s="1"/>
  <c r="BQ163" i="59"/>
  <c r="AA651" i="72" s="1"/>
  <c r="AS163" i="59"/>
  <c r="AR163" i="59"/>
  <c r="BV163" i="59"/>
  <c r="AF651" i="72" s="1"/>
  <c r="BB163" i="59"/>
  <c r="L651" i="72" s="1"/>
  <c r="AP163" i="59"/>
  <c r="AC163" i="59"/>
  <c r="BG163" i="59"/>
  <c r="Q651" i="72" s="1"/>
  <c r="BR163" i="59"/>
  <c r="AB651" i="72" s="1"/>
  <c r="BW163" i="59"/>
  <c r="AG651" i="72" s="1"/>
  <c r="BC163" i="59"/>
  <c r="M651" i="72" s="1"/>
  <c r="BH163" i="59"/>
  <c r="R651" i="72" s="1"/>
  <c r="BS163" i="59"/>
  <c r="AC651" i="72" s="1"/>
  <c r="BI163" i="59"/>
  <c r="S651" i="72" s="1"/>
  <c r="BD163" i="59"/>
  <c r="N651" i="72" s="1"/>
  <c r="BJ163" i="59"/>
  <c r="T651" i="72" s="1"/>
  <c r="BE163" i="59"/>
  <c r="O651" i="72" s="1"/>
  <c r="AT163" i="59"/>
  <c r="BK163" i="59"/>
  <c r="U651" i="72" s="1"/>
  <c r="BT163" i="59"/>
  <c r="AD651" i="72" s="1"/>
  <c r="AB163" i="59"/>
  <c r="AD163" i="59"/>
  <c r="BL163" i="59"/>
  <c r="V651" i="72" s="1"/>
  <c r="BU163" i="59"/>
  <c r="AE651" i="72" s="1"/>
  <c r="BM163" i="59"/>
  <c r="W651" i="72" s="1"/>
  <c r="BN163" i="59"/>
  <c r="X651" i="72" s="1"/>
  <c r="AY163" i="59"/>
  <c r="I651" i="72" s="1"/>
  <c r="AM163" i="59"/>
  <c r="AL163" i="59"/>
  <c r="BO163" i="59"/>
  <c r="Y651" i="72" s="1"/>
  <c r="AO163" i="59"/>
  <c r="AZ163" i="59"/>
  <c r="J651" i="72" s="1"/>
  <c r="Y163" i="59"/>
  <c r="AQ163" i="59"/>
  <c r="AA163" i="59"/>
  <c r="Z163" i="59"/>
  <c r="AN163" i="59"/>
  <c r="AH163" i="59"/>
  <c r="AI163" i="59"/>
  <c r="AK163" i="59"/>
  <c r="AR160" i="59"/>
  <c r="AQ160" i="59"/>
  <c r="AJ160" i="59"/>
  <c r="AL160" i="59"/>
  <c r="AP160" i="59"/>
  <c r="Z160" i="59"/>
  <c r="AE160" i="59"/>
  <c r="AM160" i="59"/>
  <c r="AN160" i="59"/>
  <c r="AB160" i="59"/>
  <c r="AK160" i="59"/>
  <c r="BG160" i="59"/>
  <c r="Q648" i="72" s="1"/>
  <c r="AA160" i="59"/>
  <c r="BH160" i="59"/>
  <c r="R648" i="72" s="1"/>
  <c r="BA160" i="59"/>
  <c r="K648" i="72" s="1"/>
  <c r="BI160" i="59"/>
  <c r="S648" i="72" s="1"/>
  <c r="BQ160" i="59"/>
  <c r="AA648" i="72" s="1"/>
  <c r="BJ160" i="59"/>
  <c r="T648" i="72" s="1"/>
  <c r="AI160" i="59"/>
  <c r="BB160" i="59"/>
  <c r="L648" i="72" s="1"/>
  <c r="BK160" i="59"/>
  <c r="U648" i="72" s="1"/>
  <c r="BR160" i="59"/>
  <c r="AB648" i="72" s="1"/>
  <c r="BL160" i="59"/>
  <c r="V648" i="72" s="1"/>
  <c r="BC160" i="59"/>
  <c r="M648" i="72" s="1"/>
  <c r="BM160" i="59"/>
  <c r="W648" i="72" s="1"/>
  <c r="BS160" i="59"/>
  <c r="AC648" i="72" s="1"/>
  <c r="BN160" i="59"/>
  <c r="X648" i="72" s="1"/>
  <c r="AH160" i="59"/>
  <c r="BD160" i="59"/>
  <c r="N648" i="72" s="1"/>
  <c r="AY160" i="59"/>
  <c r="I648" i="72" s="1"/>
  <c r="BT160" i="59"/>
  <c r="AD648" i="72" s="1"/>
  <c r="AZ160" i="59"/>
  <c r="J648" i="72" s="1"/>
  <c r="AO160" i="59"/>
  <c r="BE160" i="59"/>
  <c r="O648" i="72" s="1"/>
  <c r="BO160" i="59"/>
  <c r="Y648" i="72" s="1"/>
  <c r="Y160" i="59"/>
  <c r="BU160" i="59"/>
  <c r="AE648" i="72" s="1"/>
  <c r="BP160" i="59"/>
  <c r="Z648" i="72" s="1"/>
  <c r="X160" i="59"/>
  <c r="AF160" i="59"/>
  <c r="AG160" i="59"/>
  <c r="BF160" i="59"/>
  <c r="P648" i="72" s="1"/>
  <c r="AV160" i="59"/>
  <c r="AS160" i="59"/>
  <c r="AC160" i="59"/>
  <c r="AT160" i="59"/>
  <c r="AD160" i="59"/>
  <c r="AP125" i="59"/>
  <c r="AQ125" i="59"/>
  <c r="BJ125" i="59"/>
  <c r="T397" i="72" s="1"/>
  <c r="AR125" i="59"/>
  <c r="AL125" i="59"/>
  <c r="BF125" i="59"/>
  <c r="P397" i="72" s="1"/>
  <c r="BO125" i="59"/>
  <c r="Y397" i="72" s="1"/>
  <c r="AH125" i="59"/>
  <c r="BV125" i="59"/>
  <c r="AF397" i="72" s="1"/>
  <c r="BP125" i="59"/>
  <c r="Z397" i="72" s="1"/>
  <c r="AI125" i="59"/>
  <c r="AW125" i="59"/>
  <c r="BG125" i="59"/>
  <c r="Q397" i="72" s="1"/>
  <c r="BQ125" i="59"/>
  <c r="AA397" i="72" s="1"/>
  <c r="AJ125" i="59"/>
  <c r="BU125" i="59"/>
  <c r="AE397" i="72" s="1"/>
  <c r="BW125" i="59"/>
  <c r="AG397" i="72" s="1"/>
  <c r="BR125" i="59"/>
  <c r="AB397" i="72" s="1"/>
  <c r="AY125" i="59"/>
  <c r="I397" i="72" s="1"/>
  <c r="BS125" i="59"/>
  <c r="AC397" i="72" s="1"/>
  <c r="AK125" i="59"/>
  <c r="BH125" i="59"/>
  <c r="R397" i="72" s="1"/>
  <c r="AB125" i="59"/>
  <c r="AM125" i="59"/>
  <c r="BI125" i="59"/>
  <c r="S397" i="72" s="1"/>
  <c r="AC125" i="59"/>
  <c r="AN125" i="59"/>
  <c r="BK125" i="59"/>
  <c r="U397" i="72" s="1"/>
  <c r="AS125" i="59"/>
  <c r="Y125" i="59"/>
  <c r="BL125" i="59"/>
  <c r="V397" i="72" s="1"/>
  <c r="AD125" i="59"/>
  <c r="AO125" i="59"/>
  <c r="AZ125" i="59"/>
  <c r="J397" i="72" s="1"/>
  <c r="AT125" i="59"/>
  <c r="BN125" i="59"/>
  <c r="X397" i="72" s="1"/>
  <c r="BA125" i="59"/>
  <c r="K397" i="72" s="1"/>
  <c r="AE125" i="59"/>
  <c r="AA125" i="59"/>
  <c r="Z125" i="59"/>
  <c r="X125" i="59"/>
  <c r="AU125" i="59"/>
  <c r="BD125" i="59"/>
  <c r="N397" i="72" s="1"/>
  <c r="BB125" i="59"/>
  <c r="L397" i="72" s="1"/>
  <c r="AF125" i="59"/>
  <c r="BT125" i="59"/>
  <c r="AD397" i="72" s="1"/>
  <c r="BC125" i="59"/>
  <c r="M397" i="72" s="1"/>
  <c r="AV125" i="59"/>
  <c r="BE125" i="59"/>
  <c r="O397" i="72" s="1"/>
  <c r="BM125" i="59"/>
  <c r="W397" i="72" s="1"/>
  <c r="AG125" i="59"/>
  <c r="BF93" i="59"/>
  <c r="P148" i="72" s="1"/>
  <c r="BA93" i="59"/>
  <c r="K148" i="72" s="1"/>
  <c r="BV93" i="59"/>
  <c r="AF148" i="72" s="1"/>
  <c r="BG93" i="59"/>
  <c r="Q148" i="72" s="1"/>
  <c r="BB93" i="59"/>
  <c r="L148" i="72" s="1"/>
  <c r="BW93" i="59"/>
  <c r="AG148" i="72" s="1"/>
  <c r="BH93" i="59"/>
  <c r="R148" i="72" s="1"/>
  <c r="BI93" i="59"/>
  <c r="S148" i="72" s="1"/>
  <c r="BC93" i="59"/>
  <c r="M148" i="72" s="1"/>
  <c r="BJ93" i="59"/>
  <c r="T148" i="72" s="1"/>
  <c r="BK93" i="59"/>
  <c r="U148" i="72" s="1"/>
  <c r="BL93" i="59"/>
  <c r="V148" i="72" s="1"/>
  <c r="BQ93" i="59"/>
  <c r="AA148" i="72" s="1"/>
  <c r="BM93" i="59"/>
  <c r="W148" i="72" s="1"/>
  <c r="BN93" i="59"/>
  <c r="X148" i="72" s="1"/>
  <c r="BD93" i="59"/>
  <c r="N148" i="72" s="1"/>
  <c r="AY93" i="59"/>
  <c r="I148" i="72" s="1"/>
  <c r="BR93" i="59"/>
  <c r="AB148" i="72" s="1"/>
  <c r="BT93" i="59"/>
  <c r="AD148" i="72" s="1"/>
  <c r="BO93" i="59"/>
  <c r="Y148" i="72" s="1"/>
  <c r="BE93" i="59"/>
  <c r="O148" i="72" s="1"/>
  <c r="BU93" i="59"/>
  <c r="AE148" i="72" s="1"/>
  <c r="AZ93" i="59"/>
  <c r="J148" i="72" s="1"/>
  <c r="BP93" i="59"/>
  <c r="Z148" i="72" s="1"/>
  <c r="BS93" i="59"/>
  <c r="AC148" i="72" s="1"/>
  <c r="BU120" i="59"/>
  <c r="AE392" i="72" s="1"/>
  <c r="BP120" i="59"/>
  <c r="Z392" i="72" s="1"/>
  <c r="BF120" i="59"/>
  <c r="P392" i="72" s="1"/>
  <c r="BV120" i="59"/>
  <c r="AF392" i="72" s="1"/>
  <c r="BG120" i="59"/>
  <c r="Q392" i="72" s="1"/>
  <c r="BW120" i="59"/>
  <c r="AG392" i="72" s="1"/>
  <c r="BH120" i="59"/>
  <c r="R392" i="72" s="1"/>
  <c r="BI120" i="59"/>
  <c r="S392" i="72" s="1"/>
  <c r="BA120" i="59"/>
  <c r="K392" i="72" s="1"/>
  <c r="BK120" i="59"/>
  <c r="U392" i="72" s="1"/>
  <c r="BQ120" i="59"/>
  <c r="AA392" i="72" s="1"/>
  <c r="BM120" i="59"/>
  <c r="W392" i="72" s="1"/>
  <c r="BB120" i="59"/>
  <c r="L392" i="72" s="1"/>
  <c r="BR120" i="59"/>
  <c r="AB392" i="72" s="1"/>
  <c r="AY120" i="59"/>
  <c r="I392" i="72" s="1"/>
  <c r="BC120" i="59"/>
  <c r="M392" i="72" s="1"/>
  <c r="AZ120" i="59"/>
  <c r="J392" i="72" s="1"/>
  <c r="BS120" i="59"/>
  <c r="AC392" i="72" s="1"/>
  <c r="BJ120" i="59"/>
  <c r="T392" i="72" s="1"/>
  <c r="BD120" i="59"/>
  <c r="N392" i="72" s="1"/>
  <c r="BL120" i="59"/>
  <c r="V392" i="72" s="1"/>
  <c r="BT120" i="59"/>
  <c r="AD392" i="72" s="1"/>
  <c r="BE120" i="59"/>
  <c r="O392" i="72" s="1"/>
  <c r="BN120" i="59"/>
  <c r="X392" i="72" s="1"/>
  <c r="BO120" i="59"/>
  <c r="Y392" i="72" s="1"/>
  <c r="Z146" i="59"/>
  <c r="AJ146" i="59"/>
  <c r="X146" i="59"/>
  <c r="BA99" i="59"/>
  <c r="K154" i="72" s="1"/>
  <c r="BI99" i="59"/>
  <c r="S154" i="72" s="1"/>
  <c r="AB99" i="59"/>
  <c r="BQ99" i="59"/>
  <c r="AA154" i="72" s="1"/>
  <c r="BJ99" i="59"/>
  <c r="T154" i="72" s="1"/>
  <c r="AS99" i="59"/>
  <c r="BB99" i="59"/>
  <c r="L154" i="72" s="1"/>
  <c r="BM99" i="59"/>
  <c r="W154" i="72" s="1"/>
  <c r="AC99" i="59"/>
  <c r="BR99" i="59"/>
  <c r="AB154" i="72" s="1"/>
  <c r="AJ99" i="59"/>
  <c r="AT99" i="59"/>
  <c r="BC99" i="59"/>
  <c r="M154" i="72" s="1"/>
  <c r="AL99" i="59"/>
  <c r="AD99" i="59"/>
  <c r="BS99" i="59"/>
  <c r="AC154" i="72" s="1"/>
  <c r="AM99" i="59"/>
  <c r="AU99" i="59"/>
  <c r="BD99" i="59"/>
  <c r="N154" i="72" s="1"/>
  <c r="AN99" i="59"/>
  <c r="AE99" i="59"/>
  <c r="BU99" i="59"/>
  <c r="AE154" i="72" s="1"/>
  <c r="AP99" i="59"/>
  <c r="AW99" i="59"/>
  <c r="BF99" i="59"/>
  <c r="P154" i="72" s="1"/>
  <c r="BN99" i="59"/>
  <c r="X154" i="72" s="1"/>
  <c r="BV99" i="59"/>
  <c r="AF154" i="72" s="1"/>
  <c r="AQ99" i="59"/>
  <c r="X99" i="59"/>
  <c r="AY99" i="59"/>
  <c r="I154" i="72" s="1"/>
  <c r="BG99" i="59"/>
  <c r="Q154" i="72" s="1"/>
  <c r="AV99" i="59"/>
  <c r="BO99" i="59"/>
  <c r="Y154" i="72" s="1"/>
  <c r="AF99" i="59"/>
  <c r="AZ99" i="59"/>
  <c r="J154" i="72" s="1"/>
  <c r="AG99" i="59"/>
  <c r="BP99" i="59"/>
  <c r="Z154" i="72" s="1"/>
  <c r="AH99" i="59"/>
  <c r="BT99" i="59"/>
  <c r="AD154" i="72" s="1"/>
  <c r="BE99" i="59"/>
  <c r="O154" i="72" s="1"/>
  <c r="BW99" i="59"/>
  <c r="AG154" i="72" s="1"/>
  <c r="BH99" i="59"/>
  <c r="R154" i="72" s="1"/>
  <c r="AO99" i="59"/>
  <c r="Y99" i="59"/>
  <c r="Z99" i="59"/>
  <c r="BK99" i="59"/>
  <c r="U154" i="72" s="1"/>
  <c r="AA99" i="59"/>
  <c r="AR99" i="59"/>
  <c r="BL99" i="59"/>
  <c r="V154" i="72" s="1"/>
  <c r="AK99" i="59"/>
  <c r="AI99" i="59"/>
  <c r="AS90" i="59"/>
  <c r="BJ90" i="59"/>
  <c r="T145" i="72" s="1"/>
  <c r="BA90" i="59"/>
  <c r="K145" i="72" s="1"/>
  <c r="AT147" i="59"/>
  <c r="AD606" i="72" s="1"/>
  <c r="AP147" i="59"/>
  <c r="Z606" i="72" s="1"/>
  <c r="BN147" i="59"/>
  <c r="X635" i="72" s="1"/>
  <c r="Z118" i="59"/>
  <c r="J361" i="72" s="1"/>
  <c r="AU118" i="59"/>
  <c r="AE361" i="72" s="1"/>
  <c r="AZ118" i="59"/>
  <c r="J390" i="72" s="1"/>
  <c r="BT118" i="59"/>
  <c r="AD390" i="72" s="1"/>
  <c r="AR117" i="59"/>
  <c r="BJ117" i="59"/>
  <c r="T389" i="72" s="1"/>
  <c r="BA117" i="59"/>
  <c r="K389" i="72" s="1"/>
  <c r="Y89" i="59"/>
  <c r="I115" i="72" s="1"/>
  <c r="AQ89" i="59"/>
  <c r="AA115" i="72" s="1"/>
  <c r="BQ89" i="59"/>
  <c r="AA144" i="72" s="1"/>
  <c r="AV119" i="59"/>
  <c r="AO119" i="59"/>
  <c r="BV119" i="59"/>
  <c r="AF391" i="72" s="1"/>
  <c r="BL119" i="59"/>
  <c r="V391" i="72" s="1"/>
  <c r="AH110" i="59"/>
  <c r="R136" i="72" s="1"/>
  <c r="AW110" i="59"/>
  <c r="AG136" i="72" s="1"/>
  <c r="BD110" i="59"/>
  <c r="N165" i="72" s="1"/>
  <c r="AM110" i="59"/>
  <c r="W136" i="72" s="1"/>
  <c r="AF110" i="59"/>
  <c r="P136" i="72" s="1"/>
  <c r="BK110" i="59"/>
  <c r="U165" i="72" s="1"/>
  <c r="BT110" i="59"/>
  <c r="AD165" i="72" s="1"/>
  <c r="AN110" i="59"/>
  <c r="X136" i="72" s="1"/>
  <c r="AV110" i="59"/>
  <c r="AF136" i="72" s="1"/>
  <c r="BL110" i="59"/>
  <c r="V165" i="72" s="1"/>
  <c r="BE110" i="59"/>
  <c r="O165" i="72" s="1"/>
  <c r="Y110" i="59"/>
  <c r="I136" i="72" s="1"/>
  <c r="BM110" i="59"/>
  <c r="W165" i="72" s="1"/>
  <c r="BU110" i="59"/>
  <c r="AE165" i="72" s="1"/>
  <c r="AO110" i="59"/>
  <c r="Y136" i="72" s="1"/>
  <c r="BN110" i="59"/>
  <c r="X165" i="72" s="1"/>
  <c r="BF110" i="59"/>
  <c r="P165" i="72" s="1"/>
  <c r="Z110" i="59"/>
  <c r="J136" i="72" s="1"/>
  <c r="AY110" i="59"/>
  <c r="I165" i="72" s="1"/>
  <c r="BV110" i="59"/>
  <c r="AF165" i="72" s="1"/>
  <c r="AP110" i="59"/>
  <c r="Z136" i="72" s="1"/>
  <c r="BO110" i="59"/>
  <c r="Y165" i="72" s="1"/>
  <c r="BG110" i="59"/>
  <c r="Q165" i="72" s="1"/>
  <c r="AA110" i="59"/>
  <c r="K136" i="72" s="1"/>
  <c r="AZ110" i="59"/>
  <c r="J165" i="72" s="1"/>
  <c r="BH110" i="59"/>
  <c r="R165" i="72" s="1"/>
  <c r="AB110" i="59"/>
  <c r="L136" i="72" s="1"/>
  <c r="X110" i="59"/>
  <c r="H136" i="72" s="1"/>
  <c r="BJ110" i="59"/>
  <c r="T165" i="72" s="1"/>
  <c r="AG110" i="59"/>
  <c r="Q136" i="72" s="1"/>
  <c r="AI110" i="59"/>
  <c r="S136" i="72" s="1"/>
  <c r="AJ110" i="59"/>
  <c r="T136" i="72" s="1"/>
  <c r="AK110" i="59"/>
  <c r="U136" i="72" s="1"/>
  <c r="AL110" i="59"/>
  <c r="V136" i="72" s="1"/>
  <c r="AQ110" i="59"/>
  <c r="AA136" i="72" s="1"/>
  <c r="BP110" i="59"/>
  <c r="Z165" i="72" s="1"/>
  <c r="AR110" i="59"/>
  <c r="AB136" i="72" s="1"/>
  <c r="BA110" i="59"/>
  <c r="K165" i="72" s="1"/>
  <c r="AC110" i="59"/>
  <c r="M136" i="72" s="1"/>
  <c r="BQ110" i="59"/>
  <c r="AA165" i="72" s="1"/>
  <c r="AS110" i="59"/>
  <c r="AC136" i="72" s="1"/>
  <c r="BB110" i="59"/>
  <c r="L165" i="72" s="1"/>
  <c r="AD110" i="59"/>
  <c r="N136" i="72" s="1"/>
  <c r="BR110" i="59"/>
  <c r="AB165" i="72" s="1"/>
  <c r="AT110" i="59"/>
  <c r="AD136" i="72" s="1"/>
  <c r="BC110" i="59"/>
  <c r="M165" i="72" s="1"/>
  <c r="AE110" i="59"/>
  <c r="O136" i="72" s="1"/>
  <c r="BS110" i="59"/>
  <c r="AC165" i="72" s="1"/>
  <c r="AU110" i="59"/>
  <c r="AE136" i="72" s="1"/>
  <c r="BI110" i="59"/>
  <c r="S165" i="72" s="1"/>
  <c r="BW110" i="59"/>
  <c r="AG165" i="72" s="1"/>
  <c r="AJ119" i="59"/>
  <c r="AE144" i="59"/>
  <c r="O387" i="72" s="1"/>
  <c r="AA144" i="59"/>
  <c r="K387" i="72" s="1"/>
  <c r="AB144" i="59"/>
  <c r="L387" i="72" s="1"/>
  <c r="AZ144" i="59"/>
  <c r="J416" i="72" s="1"/>
  <c r="AS144" i="59"/>
  <c r="AC387" i="72" s="1"/>
  <c r="Z144" i="59"/>
  <c r="J387" i="72" s="1"/>
  <c r="AU144" i="59"/>
  <c r="AE387" i="72" s="1"/>
  <c r="AT144" i="59"/>
  <c r="AD387" i="72" s="1"/>
  <c r="BB144" i="59"/>
  <c r="L416" i="72" s="1"/>
  <c r="BK144" i="59"/>
  <c r="U416" i="72" s="1"/>
  <c r="BR144" i="59"/>
  <c r="AB416" i="72" s="1"/>
  <c r="BL144" i="59"/>
  <c r="V416" i="72" s="1"/>
  <c r="BC144" i="59"/>
  <c r="M416" i="72" s="1"/>
  <c r="BM144" i="59"/>
  <c r="W416" i="72" s="1"/>
  <c r="BS144" i="59"/>
  <c r="AC416" i="72" s="1"/>
  <c r="BN144" i="59"/>
  <c r="X416" i="72" s="1"/>
  <c r="BD144" i="59"/>
  <c r="N416" i="72" s="1"/>
  <c r="BO144" i="59"/>
  <c r="Y416" i="72" s="1"/>
  <c r="AP144" i="59"/>
  <c r="Z387" i="72" s="1"/>
  <c r="BT144" i="59"/>
  <c r="AD416" i="72" s="1"/>
  <c r="AG144" i="59"/>
  <c r="Q387" i="72" s="1"/>
  <c r="AY144" i="59"/>
  <c r="I416" i="72" s="1"/>
  <c r="BE144" i="59"/>
  <c r="O416" i="72" s="1"/>
  <c r="AW144" i="59"/>
  <c r="AG387" i="72" s="1"/>
  <c r="BU144" i="59"/>
  <c r="AE416" i="72" s="1"/>
  <c r="BP144" i="59"/>
  <c r="Z416" i="72" s="1"/>
  <c r="AO144" i="59"/>
  <c r="Y387" i="72" s="1"/>
  <c r="X144" i="59"/>
  <c r="H387" i="72" s="1"/>
  <c r="AH144" i="59"/>
  <c r="R387" i="72" s="1"/>
  <c r="BF144" i="59"/>
  <c r="P416" i="72" s="1"/>
  <c r="AI144" i="59"/>
  <c r="S387" i="72" s="1"/>
  <c r="BV144" i="59"/>
  <c r="AF416" i="72" s="1"/>
  <c r="AJ144" i="59"/>
  <c r="T387" i="72" s="1"/>
  <c r="BG144" i="59"/>
  <c r="Q416" i="72" s="1"/>
  <c r="AK144" i="59"/>
  <c r="U387" i="72" s="1"/>
  <c r="AR144" i="59"/>
  <c r="AB387" i="72" s="1"/>
  <c r="BW144" i="59"/>
  <c r="AG416" i="72" s="1"/>
  <c r="AL144" i="59"/>
  <c r="V387" i="72" s="1"/>
  <c r="AV144" i="59"/>
  <c r="AF387" i="72" s="1"/>
  <c r="BH144" i="59"/>
  <c r="R416" i="72" s="1"/>
  <c r="AM144" i="59"/>
  <c r="W387" i="72" s="1"/>
  <c r="AF144" i="59"/>
  <c r="P387" i="72" s="1"/>
  <c r="BA144" i="59"/>
  <c r="K416" i="72" s="1"/>
  <c r="BQ144" i="59"/>
  <c r="AA416" i="72" s="1"/>
  <c r="AC144" i="59"/>
  <c r="M387" i="72" s="1"/>
  <c r="BI144" i="59"/>
  <c r="S416" i="72" s="1"/>
  <c r="BJ144" i="59"/>
  <c r="T416" i="72" s="1"/>
  <c r="AN144" i="59"/>
  <c r="X387" i="72" s="1"/>
  <c r="Y144" i="59"/>
  <c r="I387" i="72" s="1"/>
  <c r="AD144" i="59"/>
  <c r="N387" i="72" s="1"/>
  <c r="AQ144" i="59"/>
  <c r="AA387" i="72" s="1"/>
  <c r="AF172" i="59"/>
  <c r="P631" i="72" s="1"/>
  <c r="AV172" i="59"/>
  <c r="AF631" i="72" s="1"/>
  <c r="AP172" i="59"/>
  <c r="Z631" i="72" s="1"/>
  <c r="AT172" i="59"/>
  <c r="AD631" i="72" s="1"/>
  <c r="Z172" i="59"/>
  <c r="J631" i="72" s="1"/>
  <c r="AD172" i="59"/>
  <c r="N631" i="72" s="1"/>
  <c r="AQ172" i="59"/>
  <c r="AA631" i="72" s="1"/>
  <c r="AO172" i="59"/>
  <c r="Y631" i="72" s="1"/>
  <c r="AR172" i="59"/>
  <c r="AB631" i="72" s="1"/>
  <c r="AA172" i="59"/>
  <c r="K631" i="72" s="1"/>
  <c r="Y172" i="59"/>
  <c r="I631" i="72" s="1"/>
  <c r="AB172" i="59"/>
  <c r="L631" i="72" s="1"/>
  <c r="AE172" i="59"/>
  <c r="O631" i="72" s="1"/>
  <c r="AH172" i="59"/>
  <c r="R631" i="72" s="1"/>
  <c r="AS172" i="59"/>
  <c r="AC631" i="72" s="1"/>
  <c r="AC172" i="59"/>
  <c r="M631" i="72" s="1"/>
  <c r="AM172" i="59"/>
  <c r="W631" i="72" s="1"/>
  <c r="AL172" i="59"/>
  <c r="V631" i="72" s="1"/>
  <c r="BN172" i="59"/>
  <c r="X660" i="72" s="1"/>
  <c r="AN172" i="59"/>
  <c r="X631" i="72" s="1"/>
  <c r="BE172" i="59"/>
  <c r="O660" i="72" s="1"/>
  <c r="BR172" i="59"/>
  <c r="AB660" i="72" s="1"/>
  <c r="BU172" i="59"/>
  <c r="AE660" i="72" s="1"/>
  <c r="BS172" i="59"/>
  <c r="AC660" i="72" s="1"/>
  <c r="X172" i="59"/>
  <c r="H631" i="72" s="1"/>
  <c r="BT172" i="59"/>
  <c r="AD660" i="72" s="1"/>
  <c r="BF172" i="59"/>
  <c r="P660" i="72" s="1"/>
  <c r="AY172" i="59"/>
  <c r="I660" i="72" s="1"/>
  <c r="AW172" i="59"/>
  <c r="AG631" i="72" s="1"/>
  <c r="BD172" i="59"/>
  <c r="N660" i="72" s="1"/>
  <c r="BV172" i="59"/>
  <c r="AF660" i="72" s="1"/>
  <c r="AZ172" i="59"/>
  <c r="J660" i="72" s="1"/>
  <c r="AG172" i="59"/>
  <c r="Q631" i="72" s="1"/>
  <c r="BG172" i="59"/>
  <c r="Q660" i="72" s="1"/>
  <c r="BA172" i="59"/>
  <c r="K660" i="72" s="1"/>
  <c r="AK172" i="59"/>
  <c r="U631" i="72" s="1"/>
  <c r="BW172" i="59"/>
  <c r="AG660" i="72" s="1"/>
  <c r="BB172" i="59"/>
  <c r="L660" i="72" s="1"/>
  <c r="AI172" i="59"/>
  <c r="S631" i="72" s="1"/>
  <c r="BH172" i="59"/>
  <c r="R660" i="72" s="1"/>
  <c r="BC172" i="59"/>
  <c r="M660" i="72" s="1"/>
  <c r="AU172" i="59"/>
  <c r="AE631" i="72" s="1"/>
  <c r="BI172" i="59"/>
  <c r="S660" i="72" s="1"/>
  <c r="BJ172" i="59"/>
  <c r="T660" i="72" s="1"/>
  <c r="BK172" i="59"/>
  <c r="U660" i="72" s="1"/>
  <c r="BQ172" i="59"/>
  <c r="AA660" i="72" s="1"/>
  <c r="BL172" i="59"/>
  <c r="V660" i="72" s="1"/>
  <c r="BM172" i="59"/>
  <c r="W660" i="72" s="1"/>
  <c r="BO172" i="59"/>
  <c r="Y660" i="72" s="1"/>
  <c r="AJ172" i="59"/>
  <c r="T631" i="72" s="1"/>
  <c r="BP172" i="59"/>
  <c r="Z660" i="72" s="1"/>
  <c r="AN152" i="59"/>
  <c r="BO152" i="59"/>
  <c r="Y640" i="72" s="1"/>
  <c r="Z152" i="59"/>
  <c r="AZ152" i="59"/>
  <c r="J640" i="72" s="1"/>
  <c r="AP152" i="59"/>
  <c r="BP152" i="59"/>
  <c r="Z640" i="72" s="1"/>
  <c r="AA152" i="59"/>
  <c r="AI152" i="59"/>
  <c r="AG152" i="59"/>
  <c r="BA152" i="59"/>
  <c r="K640" i="72" s="1"/>
  <c r="AQ152" i="59"/>
  <c r="AJ152" i="59"/>
  <c r="BQ152" i="59"/>
  <c r="AA640" i="72" s="1"/>
  <c r="AB152" i="59"/>
  <c r="BB152" i="59"/>
  <c r="L640" i="72" s="1"/>
  <c r="AR152" i="59"/>
  <c r="BR152" i="59"/>
  <c r="AB640" i="72" s="1"/>
  <c r="AE152" i="59"/>
  <c r="AU152" i="59"/>
  <c r="BC152" i="59"/>
  <c r="M640" i="72" s="1"/>
  <c r="BG152" i="59"/>
  <c r="Q640" i="72" s="1"/>
  <c r="BI152" i="59"/>
  <c r="S640" i="72" s="1"/>
  <c r="BS152" i="59"/>
  <c r="AC640" i="72" s="1"/>
  <c r="BH152" i="59"/>
  <c r="R640" i="72" s="1"/>
  <c r="AK152" i="59"/>
  <c r="BJ152" i="59"/>
  <c r="T640" i="72" s="1"/>
  <c r="BD152" i="59"/>
  <c r="N640" i="72" s="1"/>
  <c r="BW152" i="59"/>
  <c r="AG640" i="72" s="1"/>
  <c r="BK152" i="59"/>
  <c r="U640" i="72" s="1"/>
  <c r="BT152" i="59"/>
  <c r="AD640" i="72" s="1"/>
  <c r="X152" i="59"/>
  <c r="BL152" i="59"/>
  <c r="V640" i="72" s="1"/>
  <c r="BE152" i="59"/>
  <c r="O640" i="72" s="1"/>
  <c r="BM152" i="59"/>
  <c r="W640" i="72" s="1"/>
  <c r="BU152" i="59"/>
  <c r="AE640" i="72" s="1"/>
  <c r="AL152" i="59"/>
  <c r="BN152" i="59"/>
  <c r="X640" i="72" s="1"/>
  <c r="AY152" i="59"/>
  <c r="I640" i="72" s="1"/>
  <c r="AC152" i="59"/>
  <c r="BF152" i="59"/>
  <c r="P640" i="72" s="1"/>
  <c r="BV152" i="59"/>
  <c r="AF640" i="72" s="1"/>
  <c r="AM152" i="59"/>
  <c r="AW152" i="59"/>
  <c r="AH152" i="59"/>
  <c r="Y152" i="59"/>
  <c r="AF152" i="59"/>
  <c r="AD152" i="59"/>
  <c r="AO152" i="59"/>
  <c r="AS152" i="59"/>
  <c r="AV152" i="59"/>
  <c r="AT152" i="59"/>
  <c r="AU146" i="59"/>
  <c r="AI146" i="59"/>
  <c r="BU146" i="59"/>
  <c r="AE634" i="72" s="1"/>
  <c r="AR161" i="59"/>
  <c r="AR90" i="59"/>
  <c r="BI90" i="59"/>
  <c r="S145" i="72" s="1"/>
  <c r="BP90" i="59"/>
  <c r="Z145" i="72" s="1"/>
  <c r="AG147" i="59"/>
  <c r="Q606" i="72" s="1"/>
  <c r="Z147" i="59"/>
  <c r="J606" i="72" s="1"/>
  <c r="BM147" i="59"/>
  <c r="W635" i="72" s="1"/>
  <c r="Y118" i="59"/>
  <c r="I361" i="72" s="1"/>
  <c r="AE118" i="59"/>
  <c r="O361" i="72" s="1"/>
  <c r="BD118" i="59"/>
  <c r="N390" i="72" s="1"/>
  <c r="AB117" i="59"/>
  <c r="BI117" i="59"/>
  <c r="S389" i="72" s="1"/>
  <c r="BP117" i="59"/>
  <c r="Z389" i="72" s="1"/>
  <c r="AH89" i="59"/>
  <c r="R115" i="72" s="1"/>
  <c r="AA89" i="59"/>
  <c r="K115" i="72" s="1"/>
  <c r="BA89" i="59"/>
  <c r="K144" i="72" s="1"/>
  <c r="AG119" i="59"/>
  <c r="Y119" i="59"/>
  <c r="BF119" i="59"/>
  <c r="P391" i="72" s="1"/>
  <c r="BK119" i="59"/>
  <c r="U391" i="72" s="1"/>
  <c r="AK131" i="59"/>
  <c r="AU131" i="59"/>
  <c r="BA131" i="59"/>
  <c r="K403" i="72" s="1"/>
  <c r="BF131" i="59"/>
  <c r="P403" i="72" s="1"/>
  <c r="AC131" i="59"/>
  <c r="BQ131" i="59"/>
  <c r="AA403" i="72" s="1"/>
  <c r="BG131" i="59"/>
  <c r="Q403" i="72" s="1"/>
  <c r="AS131" i="59"/>
  <c r="BB131" i="59"/>
  <c r="L403" i="72" s="1"/>
  <c r="BH131" i="59"/>
  <c r="R403" i="72" s="1"/>
  <c r="AD131" i="59"/>
  <c r="BR131" i="59"/>
  <c r="AB403" i="72" s="1"/>
  <c r="AL131" i="59"/>
  <c r="AT131" i="59"/>
  <c r="BC131" i="59"/>
  <c r="M403" i="72" s="1"/>
  <c r="AM131" i="59"/>
  <c r="AE131" i="59"/>
  <c r="BS131" i="59"/>
  <c r="AC403" i="72" s="1"/>
  <c r="BI131" i="59"/>
  <c r="S403" i="72" s="1"/>
  <c r="AF131" i="59"/>
  <c r="BD131" i="59"/>
  <c r="N403" i="72" s="1"/>
  <c r="AN131" i="59"/>
  <c r="AV131" i="59"/>
  <c r="BT131" i="59"/>
  <c r="AD403" i="72" s="1"/>
  <c r="BJ131" i="59"/>
  <c r="T403" i="72" s="1"/>
  <c r="AG131" i="59"/>
  <c r="AI131" i="59"/>
  <c r="Y131" i="59"/>
  <c r="AW131" i="59"/>
  <c r="BK131" i="59"/>
  <c r="U403" i="72" s="1"/>
  <c r="AO131" i="59"/>
  <c r="X131" i="59"/>
  <c r="BL131" i="59"/>
  <c r="V403" i="72" s="1"/>
  <c r="Z131" i="59"/>
  <c r="AH131" i="59"/>
  <c r="BN131" i="59"/>
  <c r="X403" i="72" s="1"/>
  <c r="BM131" i="59"/>
  <c r="W403" i="72" s="1"/>
  <c r="AP131" i="59"/>
  <c r="AY131" i="59"/>
  <c r="I403" i="72" s="1"/>
  <c r="BU131" i="59"/>
  <c r="AE403" i="72" s="1"/>
  <c r="AA131" i="59"/>
  <c r="BO131" i="59"/>
  <c r="Y403" i="72" s="1"/>
  <c r="BV131" i="59"/>
  <c r="AF403" i="72" s="1"/>
  <c r="AQ131" i="59"/>
  <c r="AB131" i="59"/>
  <c r="AR131" i="59"/>
  <c r="AZ131" i="59"/>
  <c r="J403" i="72" s="1"/>
  <c r="AJ131" i="59"/>
  <c r="BP131" i="59"/>
  <c r="Z403" i="72" s="1"/>
  <c r="BW131" i="59"/>
  <c r="AG403" i="72" s="1"/>
  <c r="BE131" i="59"/>
  <c r="O403" i="72" s="1"/>
  <c r="AF128" i="59"/>
  <c r="AT128" i="59"/>
  <c r="AD128" i="59"/>
  <c r="BJ128" i="59"/>
  <c r="T400" i="72" s="1"/>
  <c r="X128" i="59"/>
  <c r="AL128" i="59"/>
  <c r="BK128" i="59"/>
  <c r="U400" i="72" s="1"/>
  <c r="BG128" i="59"/>
  <c r="Q400" i="72" s="1"/>
  <c r="AM128" i="59"/>
  <c r="BL128" i="59"/>
  <c r="V400" i="72" s="1"/>
  <c r="BH128" i="59"/>
  <c r="R400" i="72" s="1"/>
  <c r="AN128" i="59"/>
  <c r="BM128" i="59"/>
  <c r="W400" i="72" s="1"/>
  <c r="BP128" i="59"/>
  <c r="Z400" i="72" s="1"/>
  <c r="Y128" i="59"/>
  <c r="BN128" i="59"/>
  <c r="X400" i="72" s="1"/>
  <c r="BR128" i="59"/>
  <c r="AB400" i="72" s="1"/>
  <c r="AO128" i="59"/>
  <c r="AY128" i="59"/>
  <c r="I400" i="72" s="1"/>
  <c r="BS128" i="59"/>
  <c r="AC400" i="72" s="1"/>
  <c r="Z128" i="59"/>
  <c r="BO128" i="59"/>
  <c r="Y400" i="72" s="1"/>
  <c r="BT128" i="59"/>
  <c r="AD400" i="72" s="1"/>
  <c r="AP128" i="59"/>
  <c r="BU128" i="59"/>
  <c r="AE400" i="72" s="1"/>
  <c r="AA128" i="59"/>
  <c r="AZ128" i="59"/>
  <c r="J400" i="72" s="1"/>
  <c r="BV128" i="59"/>
  <c r="AF400" i="72" s="1"/>
  <c r="AQ128" i="59"/>
  <c r="BA128" i="59"/>
  <c r="K400" i="72" s="1"/>
  <c r="BW128" i="59"/>
  <c r="AG400" i="72" s="1"/>
  <c r="AB128" i="59"/>
  <c r="BQ128" i="59"/>
  <c r="AA400" i="72" s="1"/>
  <c r="AG128" i="59"/>
  <c r="AR128" i="59"/>
  <c r="BB128" i="59"/>
  <c r="L400" i="72" s="1"/>
  <c r="AW128" i="59"/>
  <c r="AC128" i="59"/>
  <c r="BC128" i="59"/>
  <c r="M400" i="72" s="1"/>
  <c r="AH128" i="59"/>
  <c r="AS128" i="59"/>
  <c r="BD128" i="59"/>
  <c r="N400" i="72" s="1"/>
  <c r="AI128" i="59"/>
  <c r="AE128" i="59"/>
  <c r="AK128" i="59"/>
  <c r="AU128" i="59"/>
  <c r="AJ128" i="59"/>
  <c r="AV128" i="59"/>
  <c r="BI128" i="59"/>
  <c r="S400" i="72" s="1"/>
  <c r="BE128" i="59"/>
  <c r="O400" i="72" s="1"/>
  <c r="BF128" i="59"/>
  <c r="P400" i="72" s="1"/>
  <c r="Y156" i="59"/>
  <c r="AR156" i="59"/>
  <c r="AO156" i="59"/>
  <c r="AC156" i="59"/>
  <c r="AP156" i="59"/>
  <c r="AJ156" i="59"/>
  <c r="AI156" i="59"/>
  <c r="AG156" i="59"/>
  <c r="AH156" i="59"/>
  <c r="AF156" i="59"/>
  <c r="AK156" i="59"/>
  <c r="AE156" i="59"/>
  <c r="BI156" i="59"/>
  <c r="S644" i="72" s="1"/>
  <c r="AN156" i="59"/>
  <c r="AT156" i="59"/>
  <c r="BJ156" i="59"/>
  <c r="T644" i="72" s="1"/>
  <c r="BC156" i="59"/>
  <c r="M644" i="72" s="1"/>
  <c r="AA156" i="59"/>
  <c r="BK156" i="59"/>
  <c r="U644" i="72" s="1"/>
  <c r="BD156" i="59"/>
  <c r="N644" i="72" s="1"/>
  <c r="BH156" i="59"/>
  <c r="R644" i="72" s="1"/>
  <c r="BL156" i="59"/>
  <c r="V644" i="72" s="1"/>
  <c r="BS156" i="59"/>
  <c r="AC644" i="72" s="1"/>
  <c r="AU156" i="59"/>
  <c r="BM156" i="59"/>
  <c r="W644" i="72" s="1"/>
  <c r="BT156" i="59"/>
  <c r="AD644" i="72" s="1"/>
  <c r="AB156" i="59"/>
  <c r="AW156" i="59"/>
  <c r="AV156" i="59"/>
  <c r="BN156" i="59"/>
  <c r="X644" i="72" s="1"/>
  <c r="AD156" i="59"/>
  <c r="AY156" i="59"/>
  <c r="I644" i="72" s="1"/>
  <c r="BO156" i="59"/>
  <c r="Y644" i="72" s="1"/>
  <c r="BE156" i="59"/>
  <c r="O644" i="72" s="1"/>
  <c r="AZ156" i="59"/>
  <c r="J644" i="72" s="1"/>
  <c r="AQ156" i="59"/>
  <c r="BU156" i="59"/>
  <c r="AE644" i="72" s="1"/>
  <c r="BP156" i="59"/>
  <c r="Z644" i="72" s="1"/>
  <c r="AM156" i="59"/>
  <c r="X156" i="59"/>
  <c r="BA156" i="59"/>
  <c r="K644" i="72" s="1"/>
  <c r="BF156" i="59"/>
  <c r="P644" i="72" s="1"/>
  <c r="BQ156" i="59"/>
  <c r="AA644" i="72" s="1"/>
  <c r="BV156" i="59"/>
  <c r="AF644" i="72" s="1"/>
  <c r="BB156" i="59"/>
  <c r="L644" i="72" s="1"/>
  <c r="AS156" i="59"/>
  <c r="BG156" i="59"/>
  <c r="Q644" i="72" s="1"/>
  <c r="BR156" i="59"/>
  <c r="AB644" i="72" s="1"/>
  <c r="Z156" i="59"/>
  <c r="BW156" i="59"/>
  <c r="AG644" i="72" s="1"/>
  <c r="AL156" i="59"/>
  <c r="BE116" i="59"/>
  <c r="O171" i="72" s="1"/>
  <c r="AZ116" i="59"/>
  <c r="J171" i="72" s="1"/>
  <c r="AU116" i="59"/>
  <c r="AE142" i="72" s="1"/>
  <c r="BU116" i="59"/>
  <c r="AE171" i="72" s="1"/>
  <c r="BP116" i="59"/>
  <c r="Z171" i="72" s="1"/>
  <c r="AF116" i="59"/>
  <c r="P142" i="72" s="1"/>
  <c r="BF116" i="59"/>
  <c r="P171" i="72" s="1"/>
  <c r="BA116" i="59"/>
  <c r="K171" i="72" s="1"/>
  <c r="AV116" i="59"/>
  <c r="AF142" i="72" s="1"/>
  <c r="BV116" i="59"/>
  <c r="AF171" i="72" s="1"/>
  <c r="BQ116" i="59"/>
  <c r="AA171" i="72" s="1"/>
  <c r="AG116" i="59"/>
  <c r="Q142" i="72" s="1"/>
  <c r="BG116" i="59"/>
  <c r="Q171" i="72" s="1"/>
  <c r="BS116" i="59"/>
  <c r="AC171" i="72" s="1"/>
  <c r="AW116" i="59"/>
  <c r="AG142" i="72" s="1"/>
  <c r="BW116" i="59"/>
  <c r="AG171" i="72" s="1"/>
  <c r="BT116" i="59"/>
  <c r="AD171" i="72" s="1"/>
  <c r="AH116" i="59"/>
  <c r="R142" i="72" s="1"/>
  <c r="BH116" i="59"/>
  <c r="R171" i="72" s="1"/>
  <c r="X116" i="59"/>
  <c r="H142" i="72" s="1"/>
  <c r="AI116" i="59"/>
  <c r="S142" i="72" s="1"/>
  <c r="BI116" i="59"/>
  <c r="S171" i="72" s="1"/>
  <c r="BB116" i="59"/>
  <c r="L171" i="72" s="1"/>
  <c r="AJ116" i="59"/>
  <c r="T142" i="72" s="1"/>
  <c r="BJ116" i="59"/>
  <c r="T171" i="72" s="1"/>
  <c r="BC116" i="59"/>
  <c r="M171" i="72" s="1"/>
  <c r="AK116" i="59"/>
  <c r="U142" i="72" s="1"/>
  <c r="BK116" i="59"/>
  <c r="U171" i="72" s="1"/>
  <c r="BD116" i="59"/>
  <c r="N171" i="72" s="1"/>
  <c r="AL116" i="59"/>
  <c r="V142" i="72" s="1"/>
  <c r="BL116" i="59"/>
  <c r="V171" i="72" s="1"/>
  <c r="AC116" i="59"/>
  <c r="M142" i="72" s="1"/>
  <c r="AM116" i="59"/>
  <c r="W142" i="72" s="1"/>
  <c r="BM116" i="59"/>
  <c r="W171" i="72" s="1"/>
  <c r="AS116" i="59"/>
  <c r="AC142" i="72" s="1"/>
  <c r="AN116" i="59"/>
  <c r="X142" i="72" s="1"/>
  <c r="BN116" i="59"/>
  <c r="X171" i="72" s="1"/>
  <c r="BR116" i="59"/>
  <c r="AB171" i="72" s="1"/>
  <c r="Y116" i="59"/>
  <c r="I142" i="72" s="1"/>
  <c r="AY116" i="59"/>
  <c r="I171" i="72" s="1"/>
  <c r="AD116" i="59"/>
  <c r="N142" i="72" s="1"/>
  <c r="AO116" i="59"/>
  <c r="Y142" i="72" s="1"/>
  <c r="BO116" i="59"/>
  <c r="Y171" i="72" s="1"/>
  <c r="AT116" i="59"/>
  <c r="AD142" i="72" s="1"/>
  <c r="AE116" i="59"/>
  <c r="O142" i="72" s="1"/>
  <c r="Z116" i="59"/>
  <c r="J142" i="72" s="1"/>
  <c r="AP116" i="59"/>
  <c r="Z142" i="72" s="1"/>
  <c r="AQ116" i="59"/>
  <c r="AA142" i="72" s="1"/>
  <c r="AB116" i="59"/>
  <c r="L142" i="72" s="1"/>
  <c r="AR116" i="59"/>
  <c r="AB142" i="72" s="1"/>
  <c r="AA116" i="59"/>
  <c r="K142" i="72" s="1"/>
  <c r="BQ122" i="59"/>
  <c r="AA394" i="72" s="1"/>
  <c r="BK122" i="59"/>
  <c r="U394" i="72" s="1"/>
  <c r="BB122" i="59"/>
  <c r="L394" i="72" s="1"/>
  <c r="BL122" i="59"/>
  <c r="V394" i="72" s="1"/>
  <c r="BR122" i="59"/>
  <c r="AB394" i="72" s="1"/>
  <c r="BM122" i="59"/>
  <c r="W394" i="72" s="1"/>
  <c r="BC122" i="59"/>
  <c r="M394" i="72" s="1"/>
  <c r="BN122" i="59"/>
  <c r="X394" i="72" s="1"/>
  <c r="BS122" i="59"/>
  <c r="AC394" i="72" s="1"/>
  <c r="BD122" i="59"/>
  <c r="N394" i="72" s="1"/>
  <c r="BT122" i="59"/>
  <c r="AD394" i="72" s="1"/>
  <c r="BA122" i="59"/>
  <c r="K394" i="72" s="1"/>
  <c r="BE122" i="59"/>
  <c r="O394" i="72" s="1"/>
  <c r="BU122" i="59"/>
  <c r="AE394" i="72" s="1"/>
  <c r="BF122" i="59"/>
  <c r="P394" i="72" s="1"/>
  <c r="AY122" i="59"/>
  <c r="I394" i="72" s="1"/>
  <c r="BV122" i="59"/>
  <c r="AF394" i="72" s="1"/>
  <c r="BJ122" i="59"/>
  <c r="T394" i="72" s="1"/>
  <c r="BO122" i="59"/>
  <c r="Y394" i="72" s="1"/>
  <c r="BG122" i="59"/>
  <c r="Q394" i="72" s="1"/>
  <c r="BW122" i="59"/>
  <c r="AG394" i="72" s="1"/>
  <c r="AZ122" i="59"/>
  <c r="J394" i="72" s="1"/>
  <c r="BI122" i="59"/>
  <c r="S394" i="72" s="1"/>
  <c r="BP122" i="59"/>
  <c r="Z394" i="72" s="1"/>
  <c r="BH122" i="59"/>
  <c r="R394" i="72" s="1"/>
  <c r="Y146" i="59"/>
  <c r="AH146" i="59"/>
  <c r="BE146" i="59"/>
  <c r="O634" i="72" s="1"/>
  <c r="AH90" i="59"/>
  <c r="AQ90" i="59"/>
  <c r="BH90" i="59"/>
  <c r="R145" i="72" s="1"/>
  <c r="AZ90" i="59"/>
  <c r="J145" i="72" s="1"/>
  <c r="AS147" i="59"/>
  <c r="AC606" i="72" s="1"/>
  <c r="AO147" i="59"/>
  <c r="Y606" i="72" s="1"/>
  <c r="BL147" i="59"/>
  <c r="V635" i="72" s="1"/>
  <c r="AP118" i="59"/>
  <c r="Z361" i="72" s="1"/>
  <c r="AT118" i="59"/>
  <c r="AD361" i="72" s="1"/>
  <c r="BO118" i="59"/>
  <c r="Y390" i="72" s="1"/>
  <c r="BS118" i="59"/>
  <c r="AC390" i="72" s="1"/>
  <c r="AQ117" i="59"/>
  <c r="BG117" i="59"/>
  <c r="Q389" i="72" s="1"/>
  <c r="AZ117" i="59"/>
  <c r="J389" i="72" s="1"/>
  <c r="AW89" i="59"/>
  <c r="AG115" i="72" s="1"/>
  <c r="AO89" i="59"/>
  <c r="Y115" i="72" s="1"/>
  <c r="BP89" i="59"/>
  <c r="Z144" i="72" s="1"/>
  <c r="AF119" i="59"/>
  <c r="AN119" i="59"/>
  <c r="BT119" i="59"/>
  <c r="AD391" i="72" s="1"/>
  <c r="BJ119" i="59"/>
  <c r="T391" i="72" s="1"/>
  <c r="BH114" i="59"/>
  <c r="R169" i="72" s="1"/>
  <c r="BC114" i="59"/>
  <c r="M169" i="72" s="1"/>
  <c r="AI114" i="59"/>
  <c r="S140" i="72" s="1"/>
  <c r="BI114" i="59"/>
  <c r="S169" i="72" s="1"/>
  <c r="BS114" i="59"/>
  <c r="AC169" i="72" s="1"/>
  <c r="AJ114" i="59"/>
  <c r="T140" i="72" s="1"/>
  <c r="BJ114" i="59"/>
  <c r="T169" i="72" s="1"/>
  <c r="BD114" i="59"/>
  <c r="N169" i="72" s="1"/>
  <c r="AK114" i="59"/>
  <c r="U140" i="72" s="1"/>
  <c r="BK114" i="59"/>
  <c r="U169" i="72" s="1"/>
  <c r="BE114" i="59"/>
  <c r="O169" i="72" s="1"/>
  <c r="AL114" i="59"/>
  <c r="V140" i="72" s="1"/>
  <c r="BL114" i="59"/>
  <c r="V169" i="72" s="1"/>
  <c r="BF114" i="59"/>
  <c r="P169" i="72" s="1"/>
  <c r="AM114" i="59"/>
  <c r="W140" i="72" s="1"/>
  <c r="BM114" i="59"/>
  <c r="W169" i="72" s="1"/>
  <c r="BT114" i="59"/>
  <c r="AD169" i="72" s="1"/>
  <c r="AN114" i="59"/>
  <c r="X140" i="72" s="1"/>
  <c r="BB114" i="59"/>
  <c r="L169" i="72" s="1"/>
  <c r="AA114" i="59"/>
  <c r="K140" i="72" s="1"/>
  <c r="BR114" i="59"/>
  <c r="AB169" i="72" s="1"/>
  <c r="AQ114" i="59"/>
  <c r="AA140" i="72" s="1"/>
  <c r="X114" i="59"/>
  <c r="H140" i="72" s="1"/>
  <c r="AB114" i="59"/>
  <c r="L140" i="72" s="1"/>
  <c r="BU114" i="59"/>
  <c r="AE169" i="72" s="1"/>
  <c r="AR114" i="59"/>
  <c r="AB140" i="72" s="1"/>
  <c r="BV114" i="59"/>
  <c r="AF169" i="72" s="1"/>
  <c r="AE114" i="59"/>
  <c r="O140" i="72" s="1"/>
  <c r="BG114" i="59"/>
  <c r="Q169" i="72" s="1"/>
  <c r="AU114" i="59"/>
  <c r="AE140" i="72" s="1"/>
  <c r="BW114" i="59"/>
  <c r="AG169" i="72" s="1"/>
  <c r="AF114" i="59"/>
  <c r="P140" i="72" s="1"/>
  <c r="BN114" i="59"/>
  <c r="X169" i="72" s="1"/>
  <c r="AV114" i="59"/>
  <c r="AF140" i="72" s="1"/>
  <c r="AY114" i="59"/>
  <c r="I169" i="72" s="1"/>
  <c r="AG114" i="59"/>
  <c r="Q140" i="72" s="1"/>
  <c r="BO114" i="59"/>
  <c r="Y169" i="72" s="1"/>
  <c r="AW114" i="59"/>
  <c r="AG140" i="72" s="1"/>
  <c r="AH114" i="59"/>
  <c r="R140" i="72" s="1"/>
  <c r="AZ114" i="59"/>
  <c r="J169" i="72" s="1"/>
  <c r="Y114" i="59"/>
  <c r="I140" i="72" s="1"/>
  <c r="BP114" i="59"/>
  <c r="Z169" i="72" s="1"/>
  <c r="AO114" i="59"/>
  <c r="Y140" i="72" s="1"/>
  <c r="BA114" i="59"/>
  <c r="K169" i="72" s="1"/>
  <c r="Z114" i="59"/>
  <c r="J140" i="72" s="1"/>
  <c r="AC114" i="59"/>
  <c r="M140" i="72" s="1"/>
  <c r="AD114" i="59"/>
  <c r="N140" i="72" s="1"/>
  <c r="AT114" i="59"/>
  <c r="AD140" i="72" s="1"/>
  <c r="AS114" i="59"/>
  <c r="AC140" i="72" s="1"/>
  <c r="BQ114" i="59"/>
  <c r="AA169" i="72" s="1"/>
  <c r="AP114" i="59"/>
  <c r="Z140" i="72" s="1"/>
  <c r="AO134" i="59"/>
  <c r="AP134" i="59"/>
  <c r="BD134" i="59"/>
  <c r="N406" i="72" s="1"/>
  <c r="BK134" i="59"/>
  <c r="U406" i="72" s="1"/>
  <c r="AF134" i="59"/>
  <c r="AL134" i="59"/>
  <c r="BT134" i="59"/>
  <c r="AD406" i="72" s="1"/>
  <c r="BL134" i="59"/>
  <c r="V406" i="72" s="1"/>
  <c r="AV134" i="59"/>
  <c r="X134" i="59"/>
  <c r="BE134" i="59"/>
  <c r="O406" i="72" s="1"/>
  <c r="BM134" i="59"/>
  <c r="W406" i="72" s="1"/>
  <c r="AG134" i="59"/>
  <c r="BU134" i="59"/>
  <c r="AE406" i="72" s="1"/>
  <c r="BN134" i="59"/>
  <c r="X406" i="72" s="1"/>
  <c r="AW134" i="59"/>
  <c r="BF134" i="59"/>
  <c r="P406" i="72" s="1"/>
  <c r="BO134" i="59"/>
  <c r="Y406" i="72" s="1"/>
  <c r="AH134" i="59"/>
  <c r="BV134" i="59"/>
  <c r="AF406" i="72" s="1"/>
  <c r="BP134" i="59"/>
  <c r="Z406" i="72" s="1"/>
  <c r="BQ134" i="59"/>
  <c r="AA406" i="72" s="1"/>
  <c r="BG134" i="59"/>
  <c r="Q406" i="72" s="1"/>
  <c r="AA134" i="59"/>
  <c r="AI134" i="59"/>
  <c r="AM134" i="59"/>
  <c r="BW134" i="59"/>
  <c r="AG406" i="72" s="1"/>
  <c r="AQ134" i="59"/>
  <c r="BR134" i="59"/>
  <c r="AB406" i="72" s="1"/>
  <c r="BH134" i="59"/>
  <c r="R406" i="72" s="1"/>
  <c r="AB134" i="59"/>
  <c r="BI134" i="59"/>
  <c r="S406" i="72" s="1"/>
  <c r="AR134" i="59"/>
  <c r="AY134" i="59"/>
  <c r="I406" i="72" s="1"/>
  <c r="AC134" i="59"/>
  <c r="AZ134" i="59"/>
  <c r="J406" i="72" s="1"/>
  <c r="AS134" i="59"/>
  <c r="AN134" i="59"/>
  <c r="AD134" i="59"/>
  <c r="BA134" i="59"/>
  <c r="K406" i="72" s="1"/>
  <c r="AT134" i="59"/>
  <c r="BJ134" i="59"/>
  <c r="T406" i="72" s="1"/>
  <c r="AE134" i="59"/>
  <c r="AU134" i="59"/>
  <c r="AK134" i="59"/>
  <c r="Z134" i="59"/>
  <c r="Y134" i="59"/>
  <c r="AJ134" i="59"/>
  <c r="BC134" i="59"/>
  <c r="M406" i="72" s="1"/>
  <c r="BS134" i="59"/>
  <c r="AC406" i="72" s="1"/>
  <c r="BB134" i="59"/>
  <c r="L406" i="72" s="1"/>
  <c r="AG117" i="59"/>
  <c r="AK106" i="59"/>
  <c r="AL106" i="59"/>
  <c r="BP106" i="59"/>
  <c r="Z161" i="72" s="1"/>
  <c r="BI106" i="59"/>
  <c r="S161" i="72" s="1"/>
  <c r="AC106" i="59"/>
  <c r="BA106" i="59"/>
  <c r="K161" i="72" s="1"/>
  <c r="BJ106" i="59"/>
  <c r="T161" i="72" s="1"/>
  <c r="AS106" i="59"/>
  <c r="BH106" i="59"/>
  <c r="R161" i="72" s="1"/>
  <c r="BQ106" i="59"/>
  <c r="AA161" i="72" s="1"/>
  <c r="BK106" i="59"/>
  <c r="U161" i="72" s="1"/>
  <c r="AD106" i="59"/>
  <c r="BB106" i="59"/>
  <c r="L161" i="72" s="1"/>
  <c r="BM106" i="59"/>
  <c r="W161" i="72" s="1"/>
  <c r="AT106" i="59"/>
  <c r="BR106" i="59"/>
  <c r="AB161" i="72" s="1"/>
  <c r="BN106" i="59"/>
  <c r="X161" i="72" s="1"/>
  <c r="AE106" i="59"/>
  <c r="BC106" i="59"/>
  <c r="M161" i="72" s="1"/>
  <c r="AM106" i="59"/>
  <c r="AU106" i="59"/>
  <c r="BS106" i="59"/>
  <c r="AC161" i="72" s="1"/>
  <c r="AN106" i="59"/>
  <c r="AF106" i="59"/>
  <c r="BD106" i="59"/>
  <c r="N161" i="72" s="1"/>
  <c r="Y106" i="59"/>
  <c r="AV106" i="59"/>
  <c r="BT106" i="59"/>
  <c r="AD161" i="72" s="1"/>
  <c r="AO106" i="59"/>
  <c r="AG106" i="59"/>
  <c r="BE106" i="59"/>
  <c r="O161" i="72" s="1"/>
  <c r="X106" i="59"/>
  <c r="AW106" i="59"/>
  <c r="AZ106" i="59"/>
  <c r="J161" i="72" s="1"/>
  <c r="BU106" i="59"/>
  <c r="AE161" i="72" s="1"/>
  <c r="Z106" i="59"/>
  <c r="BL106" i="59"/>
  <c r="V161" i="72" s="1"/>
  <c r="BF106" i="59"/>
  <c r="P161" i="72" s="1"/>
  <c r="AP106" i="59"/>
  <c r="AH106" i="59"/>
  <c r="AY106" i="59"/>
  <c r="I161" i="72" s="1"/>
  <c r="BV106" i="59"/>
  <c r="AF161" i="72" s="1"/>
  <c r="AA106" i="59"/>
  <c r="AI106" i="59"/>
  <c r="BO106" i="59"/>
  <c r="Y161" i="72" s="1"/>
  <c r="BG106" i="59"/>
  <c r="Q161" i="72" s="1"/>
  <c r="AQ106" i="59"/>
  <c r="AJ106" i="59"/>
  <c r="AR106" i="59"/>
  <c r="BW106" i="59"/>
  <c r="AG161" i="72" s="1"/>
  <c r="AB106" i="59"/>
  <c r="AG103" i="59"/>
  <c r="BM103" i="59"/>
  <c r="W158" i="72" s="1"/>
  <c r="BF103" i="59"/>
  <c r="P158" i="72" s="1"/>
  <c r="AO103" i="59"/>
  <c r="BN103" i="59"/>
  <c r="X158" i="72" s="1"/>
  <c r="BV103" i="59"/>
  <c r="AF158" i="72" s="1"/>
  <c r="Z103" i="59"/>
  <c r="AY103" i="59"/>
  <c r="I158" i="72" s="1"/>
  <c r="AP103" i="59"/>
  <c r="BO103" i="59"/>
  <c r="Y158" i="72" s="1"/>
  <c r="BG103" i="59"/>
  <c r="Q158" i="72" s="1"/>
  <c r="AA103" i="59"/>
  <c r="AZ103" i="59"/>
  <c r="J158" i="72" s="1"/>
  <c r="BH103" i="59"/>
  <c r="R158" i="72" s="1"/>
  <c r="AQ103" i="59"/>
  <c r="BP103" i="59"/>
  <c r="Z158" i="72" s="1"/>
  <c r="BI103" i="59"/>
  <c r="S158" i="72" s="1"/>
  <c r="AB103" i="59"/>
  <c r="BA103" i="59"/>
  <c r="K158" i="72" s="1"/>
  <c r="BW103" i="59"/>
  <c r="AG158" i="72" s="1"/>
  <c r="AR103" i="59"/>
  <c r="BQ103" i="59"/>
  <c r="AA158" i="72" s="1"/>
  <c r="X103" i="59"/>
  <c r="AC103" i="59"/>
  <c r="BB103" i="59"/>
  <c r="L158" i="72" s="1"/>
  <c r="AH103" i="59"/>
  <c r="AS103" i="59"/>
  <c r="BR103" i="59"/>
  <c r="AB158" i="72" s="1"/>
  <c r="AI103" i="59"/>
  <c r="AD103" i="59"/>
  <c r="BC103" i="59"/>
  <c r="M158" i="72" s="1"/>
  <c r="AJ103" i="59"/>
  <c r="AT103" i="59"/>
  <c r="BS103" i="59"/>
  <c r="AC158" i="72" s="1"/>
  <c r="AK103" i="59"/>
  <c r="AE103" i="59"/>
  <c r="AF103" i="59"/>
  <c r="BD103" i="59"/>
  <c r="N158" i="72" s="1"/>
  <c r="AL103" i="59"/>
  <c r="AU103" i="59"/>
  <c r="BJ103" i="59"/>
  <c r="T158" i="72" s="1"/>
  <c r="BT103" i="59"/>
  <c r="AD158" i="72" s="1"/>
  <c r="AM103" i="59"/>
  <c r="BK103" i="59"/>
  <c r="U158" i="72" s="1"/>
  <c r="BL103" i="59"/>
  <c r="V158" i="72" s="1"/>
  <c r="BE103" i="59"/>
  <c r="O158" i="72" s="1"/>
  <c r="BU103" i="59"/>
  <c r="AE158" i="72" s="1"/>
  <c r="AN103" i="59"/>
  <c r="Y103" i="59"/>
  <c r="AV103" i="59"/>
  <c r="AW103" i="59"/>
  <c r="AF140" i="59"/>
  <c r="P383" i="72" s="1"/>
  <c r="AB140" i="59"/>
  <c r="L383" i="72" s="1"/>
  <c r="AD140" i="59"/>
  <c r="N383" i="72" s="1"/>
  <c r="AH140" i="59"/>
  <c r="R383" i="72" s="1"/>
  <c r="AV140" i="59"/>
  <c r="AF383" i="72" s="1"/>
  <c r="AU140" i="59"/>
  <c r="AE383" i="72" s="1"/>
  <c r="AT140" i="59"/>
  <c r="AD383" i="72" s="1"/>
  <c r="AE140" i="59"/>
  <c r="O383" i="72" s="1"/>
  <c r="BH140" i="59"/>
  <c r="R412" i="72" s="1"/>
  <c r="AL140" i="59"/>
  <c r="V383" i="72" s="1"/>
  <c r="AK140" i="59"/>
  <c r="U383" i="72" s="1"/>
  <c r="BI140" i="59"/>
  <c r="S412" i="72" s="1"/>
  <c r="BC140" i="59"/>
  <c r="M412" i="72" s="1"/>
  <c r="AW140" i="59"/>
  <c r="AG383" i="72" s="1"/>
  <c r="AJ140" i="59"/>
  <c r="T383" i="72" s="1"/>
  <c r="BJ140" i="59"/>
  <c r="T412" i="72" s="1"/>
  <c r="AM140" i="59"/>
  <c r="W383" i="72" s="1"/>
  <c r="BW140" i="59"/>
  <c r="AG412" i="72" s="1"/>
  <c r="AI140" i="59"/>
  <c r="S383" i="72" s="1"/>
  <c r="BK140" i="59"/>
  <c r="U412" i="72" s="1"/>
  <c r="BD140" i="59"/>
  <c r="N412" i="72" s="1"/>
  <c r="BL140" i="59"/>
  <c r="V412" i="72" s="1"/>
  <c r="AN140" i="59"/>
  <c r="X383" i="72" s="1"/>
  <c r="BM140" i="59"/>
  <c r="W412" i="72" s="1"/>
  <c r="BS140" i="59"/>
  <c r="AC412" i="72" s="1"/>
  <c r="BN140" i="59"/>
  <c r="X412" i="72" s="1"/>
  <c r="Y140" i="59"/>
  <c r="I383" i="72" s="1"/>
  <c r="AY140" i="59"/>
  <c r="I412" i="72" s="1"/>
  <c r="AO140" i="59"/>
  <c r="Y383" i="72" s="1"/>
  <c r="BO140" i="59"/>
  <c r="Y412" i="72" s="1"/>
  <c r="BT140" i="59"/>
  <c r="AD412" i="72" s="1"/>
  <c r="BE140" i="59"/>
  <c r="O412" i="72" s="1"/>
  <c r="AZ140" i="59"/>
  <c r="J412" i="72" s="1"/>
  <c r="Z140" i="59"/>
  <c r="J383" i="72" s="1"/>
  <c r="BU140" i="59"/>
  <c r="AE412" i="72" s="1"/>
  <c r="BP140" i="59"/>
  <c r="Z412" i="72" s="1"/>
  <c r="AP140" i="59"/>
  <c r="Z383" i="72" s="1"/>
  <c r="X140" i="59"/>
  <c r="H383" i="72" s="1"/>
  <c r="BA140" i="59"/>
  <c r="K412" i="72" s="1"/>
  <c r="AA140" i="59"/>
  <c r="K383" i="72" s="1"/>
  <c r="AG140" i="59"/>
  <c r="Q383" i="72" s="1"/>
  <c r="BF140" i="59"/>
  <c r="P412" i="72" s="1"/>
  <c r="BQ140" i="59"/>
  <c r="AA412" i="72" s="1"/>
  <c r="AQ140" i="59"/>
  <c r="AA383" i="72" s="1"/>
  <c r="AR140" i="59"/>
  <c r="AB383" i="72" s="1"/>
  <c r="BV140" i="59"/>
  <c r="AF412" i="72" s="1"/>
  <c r="BB140" i="59"/>
  <c r="L412" i="72" s="1"/>
  <c r="AC140" i="59"/>
  <c r="M383" i="72" s="1"/>
  <c r="BG140" i="59"/>
  <c r="Q412" i="72" s="1"/>
  <c r="BR140" i="59"/>
  <c r="AB412" i="72" s="1"/>
  <c r="AS140" i="59"/>
  <c r="AC383" i="72" s="1"/>
  <c r="BH98" i="59"/>
  <c r="R153" i="72" s="1"/>
  <c r="BC98" i="59"/>
  <c r="M153" i="72" s="1"/>
  <c r="BI98" i="59"/>
  <c r="S153" i="72" s="1"/>
  <c r="BS98" i="59"/>
  <c r="AC153" i="72" s="1"/>
  <c r="BJ98" i="59"/>
  <c r="T153" i="72" s="1"/>
  <c r="BK98" i="59"/>
  <c r="U153" i="72" s="1"/>
  <c r="BL98" i="59"/>
  <c r="V153" i="72" s="1"/>
  <c r="BM98" i="59"/>
  <c r="W153" i="72" s="1"/>
  <c r="BD98" i="59"/>
  <c r="N153" i="72" s="1"/>
  <c r="BG98" i="59"/>
  <c r="Q153" i="72" s="1"/>
  <c r="BE98" i="59"/>
  <c r="O153" i="72" s="1"/>
  <c r="BW98" i="59"/>
  <c r="AG153" i="72" s="1"/>
  <c r="BF98" i="59"/>
  <c r="P153" i="72" s="1"/>
  <c r="BN98" i="59"/>
  <c r="X153" i="72" s="1"/>
  <c r="BT98" i="59"/>
  <c r="AD153" i="72" s="1"/>
  <c r="AY98" i="59"/>
  <c r="I153" i="72" s="1"/>
  <c r="BU98" i="59"/>
  <c r="AE153" i="72" s="1"/>
  <c r="BO98" i="59"/>
  <c r="Y153" i="72" s="1"/>
  <c r="BV98" i="59"/>
  <c r="AF153" i="72" s="1"/>
  <c r="AZ98" i="59"/>
  <c r="J153" i="72" s="1"/>
  <c r="BP98" i="59"/>
  <c r="Z153" i="72" s="1"/>
  <c r="BA98" i="59"/>
  <c r="K153" i="72" s="1"/>
  <c r="BQ98" i="59"/>
  <c r="AA153" i="72" s="1"/>
  <c r="BB98" i="59"/>
  <c r="L153" i="72" s="1"/>
  <c r="BR98" i="59"/>
  <c r="AB153" i="72" s="1"/>
  <c r="AJ168" i="59"/>
  <c r="T627" i="72" s="1"/>
  <c r="BC168" i="59"/>
  <c r="M656" i="72" s="1"/>
  <c r="AW168" i="59"/>
  <c r="AG627" i="72" s="1"/>
  <c r="BS168" i="59"/>
  <c r="AC656" i="72" s="1"/>
  <c r="AG168" i="59"/>
  <c r="Q627" i="72" s="1"/>
  <c r="BD168" i="59"/>
  <c r="N656" i="72" s="1"/>
  <c r="BT168" i="59"/>
  <c r="AD656" i="72" s="1"/>
  <c r="BI168" i="59"/>
  <c r="S656" i="72" s="1"/>
  <c r="BE168" i="59"/>
  <c r="O656" i="72" s="1"/>
  <c r="BJ168" i="59"/>
  <c r="T656" i="72" s="1"/>
  <c r="BU168" i="59"/>
  <c r="AE656" i="72" s="1"/>
  <c r="AH168" i="59"/>
  <c r="R627" i="72" s="1"/>
  <c r="AU168" i="59"/>
  <c r="AE627" i="72" s="1"/>
  <c r="AD168" i="59"/>
  <c r="N627" i="72" s="1"/>
  <c r="AV168" i="59"/>
  <c r="AF627" i="72" s="1"/>
  <c r="AE168" i="59"/>
  <c r="O627" i="72" s="1"/>
  <c r="AF168" i="59"/>
  <c r="P627" i="72" s="1"/>
  <c r="BB168" i="59"/>
  <c r="L656" i="72" s="1"/>
  <c r="BK168" i="59"/>
  <c r="U656" i="72" s="1"/>
  <c r="BF168" i="59"/>
  <c r="P656" i="72" s="1"/>
  <c r="BL168" i="59"/>
  <c r="V656" i="72" s="1"/>
  <c r="AR168" i="59"/>
  <c r="AB627" i="72" s="1"/>
  <c r="BM168" i="59"/>
  <c r="W656" i="72" s="1"/>
  <c r="AB168" i="59"/>
  <c r="L627" i="72" s="1"/>
  <c r="BN168" i="59"/>
  <c r="X656" i="72" s="1"/>
  <c r="AY168" i="59"/>
  <c r="I656" i="72" s="1"/>
  <c r="BO168" i="59"/>
  <c r="Y656" i="72" s="1"/>
  <c r="AT168" i="59"/>
  <c r="AD627" i="72" s="1"/>
  <c r="AZ168" i="59"/>
  <c r="J656" i="72" s="1"/>
  <c r="AQ168" i="59"/>
  <c r="AA627" i="72" s="1"/>
  <c r="BP168" i="59"/>
  <c r="Z656" i="72" s="1"/>
  <c r="AS168" i="59"/>
  <c r="AC627" i="72" s="1"/>
  <c r="AA168" i="59"/>
  <c r="K627" i="72" s="1"/>
  <c r="BA168" i="59"/>
  <c r="K656" i="72" s="1"/>
  <c r="AC168" i="59"/>
  <c r="M627" i="72" s="1"/>
  <c r="BQ168" i="59"/>
  <c r="AA656" i="72" s="1"/>
  <c r="AP168" i="59"/>
  <c r="Z627" i="72" s="1"/>
  <c r="BR168" i="59"/>
  <c r="AB656" i="72" s="1"/>
  <c r="AI168" i="59"/>
  <c r="S627" i="72" s="1"/>
  <c r="Z168" i="59"/>
  <c r="J627" i="72" s="1"/>
  <c r="BV168" i="59"/>
  <c r="AF656" i="72" s="1"/>
  <c r="BW168" i="59"/>
  <c r="AG656" i="72" s="1"/>
  <c r="AN168" i="59"/>
  <c r="X627" i="72" s="1"/>
  <c r="X168" i="59"/>
  <c r="H627" i="72" s="1"/>
  <c r="BG168" i="59"/>
  <c r="Q656" i="72" s="1"/>
  <c r="AM168" i="59"/>
  <c r="W627" i="72" s="1"/>
  <c r="BH168" i="59"/>
  <c r="R656" i="72" s="1"/>
  <c r="AK168" i="59"/>
  <c r="U627" i="72" s="1"/>
  <c r="AO168" i="59"/>
  <c r="Y627" i="72" s="1"/>
  <c r="Y168" i="59"/>
  <c r="I627" i="72" s="1"/>
  <c r="AL168" i="59"/>
  <c r="V627" i="72" s="1"/>
  <c r="AT146" i="59"/>
  <c r="AW146" i="59"/>
  <c r="BT146" i="59"/>
  <c r="AD634" i="72" s="1"/>
  <c r="AG90" i="59"/>
  <c r="AP90" i="59"/>
  <c r="BW90" i="59"/>
  <c r="AG145" i="72" s="1"/>
  <c r="AL147" i="59"/>
  <c r="V606" i="72" s="1"/>
  <c r="Y147" i="59"/>
  <c r="I606" i="72" s="1"/>
  <c r="BK147" i="59"/>
  <c r="U635" i="72" s="1"/>
  <c r="AO118" i="59"/>
  <c r="Y361" i="72" s="1"/>
  <c r="AD118" i="59"/>
  <c r="N361" i="72" s="1"/>
  <c r="AY118" i="59"/>
  <c r="I390" i="72" s="1"/>
  <c r="BC118" i="59"/>
  <c r="M390" i="72" s="1"/>
  <c r="AA117" i="59"/>
  <c r="BH117" i="59"/>
  <c r="R389" i="72" s="1"/>
  <c r="BO117" i="59"/>
  <c r="Y389" i="72" s="1"/>
  <c r="AG89" i="59"/>
  <c r="Q115" i="72" s="1"/>
  <c r="BF89" i="59"/>
  <c r="P144" i="72" s="1"/>
  <c r="AZ89" i="59"/>
  <c r="J144" i="72" s="1"/>
  <c r="AU119" i="59"/>
  <c r="AM119" i="59"/>
  <c r="BD119" i="59"/>
  <c r="N391" i="72" s="1"/>
  <c r="AT161" i="59"/>
  <c r="AN159" i="59"/>
  <c r="AJ159" i="59"/>
  <c r="AK159" i="59"/>
  <c r="AH159" i="59"/>
  <c r="BI159" i="59"/>
  <c r="S647" i="72" s="1"/>
  <c r="AU159" i="59"/>
  <c r="AE159" i="59"/>
  <c r="AI159" i="59"/>
  <c r="AB159" i="59"/>
  <c r="AV159" i="59"/>
  <c r="AW159" i="59"/>
  <c r="AF159" i="59"/>
  <c r="AG159" i="59"/>
  <c r="BH159" i="59"/>
  <c r="R647" i="72" s="1"/>
  <c r="AC159" i="59"/>
  <c r="X159" i="59"/>
  <c r="BF159" i="59"/>
  <c r="P647" i="72" s="1"/>
  <c r="AT159" i="59"/>
  <c r="BN159" i="59"/>
  <c r="X647" i="72" s="1"/>
  <c r="BV159" i="59"/>
  <c r="AF647" i="72" s="1"/>
  <c r="AD159" i="59"/>
  <c r="AY159" i="59"/>
  <c r="I647" i="72" s="1"/>
  <c r="BG159" i="59"/>
  <c r="Q647" i="72" s="1"/>
  <c r="BO159" i="59"/>
  <c r="Y647" i="72" s="1"/>
  <c r="BW159" i="59"/>
  <c r="AG647" i="72" s="1"/>
  <c r="AZ159" i="59"/>
  <c r="J647" i="72" s="1"/>
  <c r="AR159" i="59"/>
  <c r="BP159" i="59"/>
  <c r="Z647" i="72" s="1"/>
  <c r="BA159" i="59"/>
  <c r="K647" i="72" s="1"/>
  <c r="BQ159" i="59"/>
  <c r="AA647" i="72" s="1"/>
  <c r="BB159" i="59"/>
  <c r="L647" i="72" s="1"/>
  <c r="BR159" i="59"/>
  <c r="AB647" i="72" s="1"/>
  <c r="AQ159" i="59"/>
  <c r="BC159" i="59"/>
  <c r="M647" i="72" s="1"/>
  <c r="AA159" i="59"/>
  <c r="BS159" i="59"/>
  <c r="AC647" i="72" s="1"/>
  <c r="BJ159" i="59"/>
  <c r="T647" i="72" s="1"/>
  <c r="BD159" i="59"/>
  <c r="N647" i="72" s="1"/>
  <c r="BK159" i="59"/>
  <c r="U647" i="72" s="1"/>
  <c r="BT159" i="59"/>
  <c r="AD647" i="72" s="1"/>
  <c r="AO159" i="59"/>
  <c r="BL159" i="59"/>
  <c r="V647" i="72" s="1"/>
  <c r="AP159" i="59"/>
  <c r="Y159" i="59"/>
  <c r="BM159" i="59"/>
  <c r="W647" i="72" s="1"/>
  <c r="Z159" i="59"/>
  <c r="BE159" i="59"/>
  <c r="O647" i="72" s="1"/>
  <c r="BU159" i="59"/>
  <c r="AE647" i="72" s="1"/>
  <c r="AL159" i="59"/>
  <c r="AS159" i="59"/>
  <c r="AM159" i="59"/>
  <c r="BC124" i="59"/>
  <c r="M396" i="72" s="1"/>
  <c r="AL124" i="59"/>
  <c r="AE124" i="59"/>
  <c r="BR124" i="59"/>
  <c r="AB396" i="72" s="1"/>
  <c r="BS124" i="59"/>
  <c r="AC396" i="72" s="1"/>
  <c r="AM124" i="59"/>
  <c r="AU124" i="59"/>
  <c r="AK124" i="59"/>
  <c r="BD124" i="59"/>
  <c r="N396" i="72" s="1"/>
  <c r="AN124" i="59"/>
  <c r="AF124" i="59"/>
  <c r="BT124" i="59"/>
  <c r="AD396" i="72" s="1"/>
  <c r="Y124" i="59"/>
  <c r="AV124" i="59"/>
  <c r="AI124" i="59"/>
  <c r="BE124" i="59"/>
  <c r="O396" i="72" s="1"/>
  <c r="AO124" i="59"/>
  <c r="AG124" i="59"/>
  <c r="BM124" i="59"/>
  <c r="W396" i="72" s="1"/>
  <c r="BU124" i="59"/>
  <c r="AE396" i="72" s="1"/>
  <c r="Z124" i="59"/>
  <c r="AW124" i="59"/>
  <c r="AJ124" i="59"/>
  <c r="BN124" i="59"/>
  <c r="X396" i="72" s="1"/>
  <c r="BG124" i="59"/>
  <c r="Q396" i="72" s="1"/>
  <c r="AP124" i="59"/>
  <c r="AH124" i="59"/>
  <c r="AY124" i="59"/>
  <c r="I396" i="72" s="1"/>
  <c r="AA124" i="59"/>
  <c r="BO124" i="59"/>
  <c r="Y396" i="72" s="1"/>
  <c r="BF124" i="59"/>
  <c r="P396" i="72" s="1"/>
  <c r="AQ124" i="59"/>
  <c r="AT124" i="59"/>
  <c r="BH124" i="59"/>
  <c r="R396" i="72" s="1"/>
  <c r="AB124" i="59"/>
  <c r="AZ124" i="59"/>
  <c r="J396" i="72" s="1"/>
  <c r="BI124" i="59"/>
  <c r="S396" i="72" s="1"/>
  <c r="AR124" i="59"/>
  <c r="BP124" i="59"/>
  <c r="Z396" i="72" s="1"/>
  <c r="BJ124" i="59"/>
  <c r="T396" i="72" s="1"/>
  <c r="BW124" i="59"/>
  <c r="AG396" i="72" s="1"/>
  <c r="BA124" i="59"/>
  <c r="K396" i="72" s="1"/>
  <c r="BK124" i="59"/>
  <c r="U396" i="72" s="1"/>
  <c r="AC124" i="59"/>
  <c r="BQ124" i="59"/>
  <c r="AA396" i="72" s="1"/>
  <c r="BL124" i="59"/>
  <c r="V396" i="72" s="1"/>
  <c r="AS124" i="59"/>
  <c r="BB124" i="59"/>
  <c r="L396" i="72" s="1"/>
  <c r="BV124" i="59"/>
  <c r="AF396" i="72" s="1"/>
  <c r="AD124" i="59"/>
  <c r="AH155" i="59"/>
  <c r="AT155" i="59"/>
  <c r="AB155" i="59"/>
  <c r="AA155" i="59"/>
  <c r="AR155" i="59"/>
  <c r="Y155" i="59"/>
  <c r="AO155" i="59"/>
  <c r="AS155" i="59"/>
  <c r="Z155" i="59"/>
  <c r="AJ155" i="59"/>
  <c r="AI155" i="59"/>
  <c r="AM155" i="59"/>
  <c r="AN155" i="59"/>
  <c r="AL155" i="59"/>
  <c r="AQ155" i="59"/>
  <c r="AP155" i="59"/>
  <c r="AK155" i="59"/>
  <c r="BO155" i="59"/>
  <c r="Y643" i="72" s="1"/>
  <c r="BW155" i="59"/>
  <c r="AG643" i="72" s="1"/>
  <c r="AZ155" i="59"/>
  <c r="J643" i="72" s="1"/>
  <c r="BH155" i="59"/>
  <c r="R643" i="72" s="1"/>
  <c r="BP155" i="59"/>
  <c r="Z643" i="72" s="1"/>
  <c r="BI155" i="59"/>
  <c r="S643" i="72" s="1"/>
  <c r="AD155" i="59"/>
  <c r="BA155" i="59"/>
  <c r="K643" i="72" s="1"/>
  <c r="BJ155" i="59"/>
  <c r="T643" i="72" s="1"/>
  <c r="BQ155" i="59"/>
  <c r="AA643" i="72" s="1"/>
  <c r="BK155" i="59"/>
  <c r="U643" i="72" s="1"/>
  <c r="BB155" i="59"/>
  <c r="L643" i="72" s="1"/>
  <c r="AE155" i="59"/>
  <c r="BR155" i="59"/>
  <c r="AB643" i="72" s="1"/>
  <c r="AU155" i="59"/>
  <c r="BG155" i="59"/>
  <c r="Q643" i="72" s="1"/>
  <c r="BC155" i="59"/>
  <c r="M643" i="72" s="1"/>
  <c r="BL155" i="59"/>
  <c r="V643" i="72" s="1"/>
  <c r="BS155" i="59"/>
  <c r="AC643" i="72" s="1"/>
  <c r="AF155" i="59"/>
  <c r="BD155" i="59"/>
  <c r="N643" i="72" s="1"/>
  <c r="AV155" i="59"/>
  <c r="BT155" i="59"/>
  <c r="AD643" i="72" s="1"/>
  <c r="BM155" i="59"/>
  <c r="W643" i="72" s="1"/>
  <c r="BE155" i="59"/>
  <c r="O643" i="72" s="1"/>
  <c r="AG155" i="59"/>
  <c r="BU155" i="59"/>
  <c r="AE643" i="72" s="1"/>
  <c r="AW155" i="59"/>
  <c r="BF155" i="59"/>
  <c r="P643" i="72" s="1"/>
  <c r="X155" i="59"/>
  <c r="BN155" i="59"/>
  <c r="X643" i="72" s="1"/>
  <c r="BV155" i="59"/>
  <c r="AF643" i="72" s="1"/>
  <c r="AC155" i="59"/>
  <c r="AY155" i="59"/>
  <c r="I643" i="72" s="1"/>
  <c r="BF151" i="59"/>
  <c r="P639" i="72" s="1"/>
  <c r="BV151" i="59"/>
  <c r="AF639" i="72" s="1"/>
  <c r="AZ151" i="59"/>
  <c r="J639" i="72" s="1"/>
  <c r="BG151" i="59"/>
  <c r="Q639" i="72" s="1"/>
  <c r="BA151" i="59"/>
  <c r="K639" i="72" s="1"/>
  <c r="BW151" i="59"/>
  <c r="AG639" i="72" s="1"/>
  <c r="BP151" i="59"/>
  <c r="Z639" i="72" s="1"/>
  <c r="BH151" i="59"/>
  <c r="R639" i="72" s="1"/>
  <c r="BI151" i="59"/>
  <c r="S639" i="72" s="1"/>
  <c r="BQ151" i="59"/>
  <c r="AA639" i="72" s="1"/>
  <c r="BJ151" i="59"/>
  <c r="T639" i="72" s="1"/>
  <c r="BB151" i="59"/>
  <c r="L639" i="72" s="1"/>
  <c r="BK151" i="59"/>
  <c r="U639" i="72" s="1"/>
  <c r="BR151" i="59"/>
  <c r="AB639" i="72" s="1"/>
  <c r="BL151" i="59"/>
  <c r="V639" i="72" s="1"/>
  <c r="BC151" i="59"/>
  <c r="M639" i="72" s="1"/>
  <c r="BM151" i="59"/>
  <c r="W639" i="72" s="1"/>
  <c r="BS151" i="59"/>
  <c r="AC639" i="72" s="1"/>
  <c r="BN151" i="59"/>
  <c r="X639" i="72" s="1"/>
  <c r="BD151" i="59"/>
  <c r="N639" i="72" s="1"/>
  <c r="AY151" i="59"/>
  <c r="I639" i="72" s="1"/>
  <c r="BT151" i="59"/>
  <c r="AD639" i="72" s="1"/>
  <c r="BO151" i="59"/>
  <c r="Y639" i="72" s="1"/>
  <c r="BE151" i="59"/>
  <c r="O639" i="72" s="1"/>
  <c r="BU151" i="59"/>
  <c r="AE639" i="72" s="1"/>
  <c r="AS146" i="59"/>
  <c r="AG146" i="59"/>
  <c r="BD146" i="59"/>
  <c r="N634" i="72" s="1"/>
  <c r="AF90" i="59"/>
  <c r="AO90" i="59"/>
  <c r="BG90" i="59"/>
  <c r="Q145" i="72" s="1"/>
  <c r="BO90" i="59"/>
  <c r="Y145" i="72" s="1"/>
  <c r="AK147" i="59"/>
  <c r="U606" i="72" s="1"/>
  <c r="AN147" i="59"/>
  <c r="X606" i="72" s="1"/>
  <c r="BJ147" i="59"/>
  <c r="T635" i="72" s="1"/>
  <c r="AN118" i="59"/>
  <c r="X361" i="72" s="1"/>
  <c r="AS118" i="59"/>
  <c r="AC361" i="72" s="1"/>
  <c r="BM118" i="59"/>
  <c r="W390" i="72" s="1"/>
  <c r="AI117" i="59"/>
  <c r="AP117" i="59"/>
  <c r="AY117" i="59"/>
  <c r="I389" i="72" s="1"/>
  <c r="AV89" i="59"/>
  <c r="AF115" i="72" s="1"/>
  <c r="BE89" i="59"/>
  <c r="O144" i="72" s="1"/>
  <c r="BO89" i="59"/>
  <c r="Y144" i="72" s="1"/>
  <c r="AE119" i="59"/>
  <c r="AL119" i="59"/>
  <c r="BS119" i="59"/>
  <c r="AC391" i="72" s="1"/>
  <c r="BU161" i="59"/>
  <c r="AE649" i="72" s="1"/>
  <c r="BG119" i="59"/>
  <c r="Q391" i="72" s="1"/>
  <c r="BF149" i="59"/>
  <c r="P637" i="72" s="1"/>
  <c r="BQ149" i="59"/>
  <c r="AA637" i="72" s="1"/>
  <c r="BV149" i="59"/>
  <c r="AF637" i="72" s="1"/>
  <c r="BR149" i="59"/>
  <c r="AB637" i="72" s="1"/>
  <c r="BG149" i="59"/>
  <c r="Q637" i="72" s="1"/>
  <c r="BS149" i="59"/>
  <c r="AC637" i="72" s="1"/>
  <c r="BW149" i="59"/>
  <c r="AG637" i="72" s="1"/>
  <c r="BC149" i="59"/>
  <c r="M637" i="72" s="1"/>
  <c r="BH149" i="59"/>
  <c r="R637" i="72" s="1"/>
  <c r="BI149" i="59"/>
  <c r="S637" i="72" s="1"/>
  <c r="BJ149" i="59"/>
  <c r="T637" i="72" s="1"/>
  <c r="BK149" i="59"/>
  <c r="U637" i="72" s="1"/>
  <c r="BL149" i="59"/>
  <c r="V637" i="72" s="1"/>
  <c r="BM149" i="59"/>
  <c r="W637" i="72" s="1"/>
  <c r="BN149" i="59"/>
  <c r="X637" i="72" s="1"/>
  <c r="AY149" i="59"/>
  <c r="I637" i="72" s="1"/>
  <c r="BD149" i="59"/>
  <c r="N637" i="72" s="1"/>
  <c r="BO149" i="59"/>
  <c r="Y637" i="72" s="1"/>
  <c r="BT149" i="59"/>
  <c r="AD637" i="72" s="1"/>
  <c r="AZ149" i="59"/>
  <c r="J637" i="72" s="1"/>
  <c r="BB149" i="59"/>
  <c r="L637" i="72" s="1"/>
  <c r="BE149" i="59"/>
  <c r="O637" i="72" s="1"/>
  <c r="BU149" i="59"/>
  <c r="AE637" i="72" s="1"/>
  <c r="BP149" i="59"/>
  <c r="Z637" i="72" s="1"/>
  <c r="BA149" i="59"/>
  <c r="K637" i="72" s="1"/>
  <c r="AI136" i="59"/>
  <c r="BS136" i="59"/>
  <c r="AC408" i="72" s="1"/>
  <c r="AD136" i="59"/>
  <c r="BD136" i="59"/>
  <c r="N408" i="72" s="1"/>
  <c r="BM136" i="59"/>
  <c r="W408" i="72" s="1"/>
  <c r="AT136" i="59"/>
  <c r="BT136" i="59"/>
  <c r="AD408" i="72" s="1"/>
  <c r="BN136" i="59"/>
  <c r="X408" i="72" s="1"/>
  <c r="AE136" i="59"/>
  <c r="BE136" i="59"/>
  <c r="O408" i="72" s="1"/>
  <c r="BO136" i="59"/>
  <c r="Y408" i="72" s="1"/>
  <c r="AU136" i="59"/>
  <c r="BU136" i="59"/>
  <c r="AE408" i="72" s="1"/>
  <c r="BP136" i="59"/>
  <c r="Z408" i="72" s="1"/>
  <c r="AF136" i="59"/>
  <c r="BF136" i="59"/>
  <c r="P408" i="72" s="1"/>
  <c r="Y136" i="59"/>
  <c r="AV136" i="59"/>
  <c r="BV136" i="59"/>
  <c r="AF408" i="72" s="1"/>
  <c r="AO136" i="59"/>
  <c r="AG136" i="59"/>
  <c r="BG136" i="59"/>
  <c r="Q408" i="72" s="1"/>
  <c r="X136" i="59"/>
  <c r="AW136" i="59"/>
  <c r="BW136" i="59"/>
  <c r="AG408" i="72" s="1"/>
  <c r="Z136" i="59"/>
  <c r="AY136" i="59"/>
  <c r="I408" i="72" s="1"/>
  <c r="AP136" i="59"/>
  <c r="AZ136" i="59"/>
  <c r="J408" i="72" s="1"/>
  <c r="AA136" i="59"/>
  <c r="BA136" i="59"/>
  <c r="K408" i="72" s="1"/>
  <c r="BH136" i="59"/>
  <c r="R408" i="72" s="1"/>
  <c r="AQ136" i="59"/>
  <c r="BQ136" i="59"/>
  <c r="AA408" i="72" s="1"/>
  <c r="BI136" i="59"/>
  <c r="S408" i="72" s="1"/>
  <c r="AB136" i="59"/>
  <c r="BB136" i="59"/>
  <c r="L408" i="72" s="1"/>
  <c r="BJ136" i="59"/>
  <c r="T408" i="72" s="1"/>
  <c r="AR136" i="59"/>
  <c r="AC136" i="59"/>
  <c r="AS136" i="59"/>
  <c r="BR136" i="59"/>
  <c r="AB408" i="72" s="1"/>
  <c r="BC136" i="59"/>
  <c r="M408" i="72" s="1"/>
  <c r="AH136" i="59"/>
  <c r="BK136" i="59"/>
  <c r="U408" i="72" s="1"/>
  <c r="BL136" i="59"/>
  <c r="V408" i="72" s="1"/>
  <c r="AN136" i="59"/>
  <c r="AK136" i="59"/>
  <c r="AM136" i="59"/>
  <c r="AL136" i="59"/>
  <c r="AJ136" i="59"/>
  <c r="AM143" i="59"/>
  <c r="W386" i="72" s="1"/>
  <c r="AJ143" i="59"/>
  <c r="T386" i="72" s="1"/>
  <c r="AO143" i="59"/>
  <c r="Y386" i="72" s="1"/>
  <c r="AN143" i="59"/>
  <c r="X386" i="72" s="1"/>
  <c r="AK143" i="59"/>
  <c r="U386" i="72" s="1"/>
  <c r="BQ143" i="59"/>
  <c r="AA415" i="72" s="1"/>
  <c r="AQ143" i="59"/>
  <c r="AA386" i="72" s="1"/>
  <c r="BB143" i="59"/>
  <c r="L415" i="72" s="1"/>
  <c r="AB143" i="59"/>
  <c r="L386" i="72" s="1"/>
  <c r="BR143" i="59"/>
  <c r="AB415" i="72" s="1"/>
  <c r="AR143" i="59"/>
  <c r="AB386" i="72" s="1"/>
  <c r="BC143" i="59"/>
  <c r="M415" i="72" s="1"/>
  <c r="AC143" i="59"/>
  <c r="M386" i="72" s="1"/>
  <c r="BS143" i="59"/>
  <c r="AC415" i="72" s="1"/>
  <c r="AS143" i="59"/>
  <c r="AC386" i="72" s="1"/>
  <c r="BJ143" i="59"/>
  <c r="T415" i="72" s="1"/>
  <c r="BD143" i="59"/>
  <c r="N415" i="72" s="1"/>
  <c r="AD143" i="59"/>
  <c r="N386" i="72" s="1"/>
  <c r="BK143" i="59"/>
  <c r="U415" i="72" s="1"/>
  <c r="BT143" i="59"/>
  <c r="AD415" i="72" s="1"/>
  <c r="AT143" i="59"/>
  <c r="AD386" i="72" s="1"/>
  <c r="BL143" i="59"/>
  <c r="V415" i="72" s="1"/>
  <c r="BE143" i="59"/>
  <c r="O415" i="72" s="1"/>
  <c r="AE143" i="59"/>
  <c r="O386" i="72" s="1"/>
  <c r="BM143" i="59"/>
  <c r="W415" i="72" s="1"/>
  <c r="BU143" i="59"/>
  <c r="AE415" i="72" s="1"/>
  <c r="AU143" i="59"/>
  <c r="AE386" i="72" s="1"/>
  <c r="AI143" i="59"/>
  <c r="S386" i="72" s="1"/>
  <c r="X143" i="59"/>
  <c r="H386" i="72" s="1"/>
  <c r="BF143" i="59"/>
  <c r="P415" i="72" s="1"/>
  <c r="AF143" i="59"/>
  <c r="P386" i="72" s="1"/>
  <c r="BN143" i="59"/>
  <c r="X415" i="72" s="1"/>
  <c r="BV143" i="59"/>
  <c r="AF415" i="72" s="1"/>
  <c r="AV143" i="59"/>
  <c r="AF386" i="72" s="1"/>
  <c r="AY143" i="59"/>
  <c r="I415" i="72" s="1"/>
  <c r="BG143" i="59"/>
  <c r="Q415" i="72" s="1"/>
  <c r="AH143" i="59"/>
  <c r="R386" i="72" s="1"/>
  <c r="BO143" i="59"/>
  <c r="Y415" i="72" s="1"/>
  <c r="BW143" i="59"/>
  <c r="AG415" i="72" s="1"/>
  <c r="BH143" i="59"/>
  <c r="R415" i="72" s="1"/>
  <c r="AL143" i="59"/>
  <c r="V386" i="72" s="1"/>
  <c r="AZ143" i="59"/>
  <c r="J415" i="72" s="1"/>
  <c r="Z143" i="59"/>
  <c r="J386" i="72" s="1"/>
  <c r="BI143" i="59"/>
  <c r="S415" i="72" s="1"/>
  <c r="AW143" i="59"/>
  <c r="AG386" i="72" s="1"/>
  <c r="Y143" i="59"/>
  <c r="I386" i="72" s="1"/>
  <c r="BP143" i="59"/>
  <c r="Z415" i="72" s="1"/>
  <c r="BA143" i="59"/>
  <c r="K415" i="72" s="1"/>
  <c r="AP143" i="59"/>
  <c r="Z386" i="72" s="1"/>
  <c r="AA143" i="59"/>
  <c r="K386" i="72" s="1"/>
  <c r="AG143" i="59"/>
  <c r="Q386" i="72" s="1"/>
  <c r="AR171" i="59"/>
  <c r="AB630" i="72" s="1"/>
  <c r="AB171" i="59"/>
  <c r="L630" i="72" s="1"/>
  <c r="AN171" i="59"/>
  <c r="X630" i="72" s="1"/>
  <c r="AO171" i="59"/>
  <c r="Y630" i="72" s="1"/>
  <c r="Y171" i="59"/>
  <c r="I630" i="72" s="1"/>
  <c r="AI171" i="59"/>
  <c r="S630" i="72" s="1"/>
  <c r="AM171" i="59"/>
  <c r="W630" i="72" s="1"/>
  <c r="AJ171" i="59"/>
  <c r="T630" i="72" s="1"/>
  <c r="AK171" i="59"/>
  <c r="U630" i="72" s="1"/>
  <c r="AC171" i="59"/>
  <c r="M630" i="72" s="1"/>
  <c r="AV171" i="59"/>
  <c r="AF630" i="72" s="1"/>
  <c r="AF171" i="59"/>
  <c r="P630" i="72" s="1"/>
  <c r="AH171" i="59"/>
  <c r="R630" i="72" s="1"/>
  <c r="AU171" i="59"/>
  <c r="AE630" i="72" s="1"/>
  <c r="AE171" i="59"/>
  <c r="O630" i="72" s="1"/>
  <c r="AT171" i="59"/>
  <c r="AD630" i="72" s="1"/>
  <c r="AL171" i="59"/>
  <c r="V630" i="72" s="1"/>
  <c r="BE171" i="59"/>
  <c r="O659" i="72" s="1"/>
  <c r="BU171" i="59"/>
  <c r="AE659" i="72" s="1"/>
  <c r="BF171" i="59"/>
  <c r="P659" i="72" s="1"/>
  <c r="BN171" i="59"/>
  <c r="X659" i="72" s="1"/>
  <c r="BV171" i="59"/>
  <c r="AF659" i="72" s="1"/>
  <c r="AY171" i="59"/>
  <c r="I659" i="72" s="1"/>
  <c r="BH171" i="59"/>
  <c r="R659" i="72" s="1"/>
  <c r="BO171" i="59"/>
  <c r="Y659" i="72" s="1"/>
  <c r="BG171" i="59"/>
  <c r="Q659" i="72" s="1"/>
  <c r="AP171" i="59"/>
  <c r="Z630" i="72" s="1"/>
  <c r="AZ171" i="59"/>
  <c r="J659" i="72" s="1"/>
  <c r="BI171" i="59"/>
  <c r="S659" i="72" s="1"/>
  <c r="Z171" i="59"/>
  <c r="J630" i="72" s="1"/>
  <c r="AW171" i="59"/>
  <c r="AG630" i="72" s="1"/>
  <c r="AD171" i="59"/>
  <c r="N630" i="72" s="1"/>
  <c r="BP171" i="59"/>
  <c r="Z659" i="72" s="1"/>
  <c r="BJ171" i="59"/>
  <c r="T659" i="72" s="1"/>
  <c r="AG171" i="59"/>
  <c r="Q630" i="72" s="1"/>
  <c r="BA171" i="59"/>
  <c r="K659" i="72" s="1"/>
  <c r="BK171" i="59"/>
  <c r="U659" i="72" s="1"/>
  <c r="BQ171" i="59"/>
  <c r="AA659" i="72" s="1"/>
  <c r="BL171" i="59"/>
  <c r="V659" i="72" s="1"/>
  <c r="BB171" i="59"/>
  <c r="L659" i="72" s="1"/>
  <c r="X171" i="59"/>
  <c r="H630" i="72" s="1"/>
  <c r="AQ171" i="59"/>
  <c r="AA630" i="72" s="1"/>
  <c r="BR171" i="59"/>
  <c r="AB659" i="72" s="1"/>
  <c r="BM171" i="59"/>
  <c r="W659" i="72" s="1"/>
  <c r="AA171" i="59"/>
  <c r="K630" i="72" s="1"/>
  <c r="AS171" i="59"/>
  <c r="AC630" i="72" s="1"/>
  <c r="BC171" i="59"/>
  <c r="M659" i="72" s="1"/>
  <c r="BW171" i="59"/>
  <c r="AG659" i="72" s="1"/>
  <c r="BT171" i="59"/>
  <c r="AD659" i="72" s="1"/>
  <c r="BS171" i="59"/>
  <c r="AC659" i="72" s="1"/>
  <c r="BD171" i="59"/>
  <c r="N659" i="72" s="1"/>
  <c r="BN123" i="59"/>
  <c r="X395" i="72" s="1"/>
  <c r="AZ123" i="59"/>
  <c r="J395" i="72" s="1"/>
  <c r="BP123" i="59"/>
  <c r="Z395" i="72" s="1"/>
  <c r="BE123" i="59"/>
  <c r="O395" i="72" s="1"/>
  <c r="BO123" i="59"/>
  <c r="Y395" i="72" s="1"/>
  <c r="BF123" i="59"/>
  <c r="P395" i="72" s="1"/>
  <c r="BQ123" i="59"/>
  <c r="AA395" i="72" s="1"/>
  <c r="BV123" i="59"/>
  <c r="AF395" i="72" s="1"/>
  <c r="BR123" i="59"/>
  <c r="AB395" i="72" s="1"/>
  <c r="BG123" i="59"/>
  <c r="Q395" i="72" s="1"/>
  <c r="BS123" i="59"/>
  <c r="AC395" i="72" s="1"/>
  <c r="BC123" i="59"/>
  <c r="M395" i="72" s="1"/>
  <c r="BW123" i="59"/>
  <c r="AG395" i="72" s="1"/>
  <c r="BT123" i="59"/>
  <c r="AD395" i="72" s="1"/>
  <c r="BU123" i="59"/>
  <c r="AE395" i="72" s="1"/>
  <c r="BD123" i="59"/>
  <c r="N395" i="72" s="1"/>
  <c r="BH123" i="59"/>
  <c r="R395" i="72" s="1"/>
  <c r="AY123" i="59"/>
  <c r="I395" i="72" s="1"/>
  <c r="BI123" i="59"/>
  <c r="S395" i="72" s="1"/>
  <c r="BA123" i="59"/>
  <c r="K395" i="72" s="1"/>
  <c r="BM123" i="59"/>
  <c r="W395" i="72" s="1"/>
  <c r="BJ123" i="59"/>
  <c r="T395" i="72" s="1"/>
  <c r="BB123" i="59"/>
  <c r="L395" i="72" s="1"/>
  <c r="BK123" i="59"/>
  <c r="U395" i="72" s="1"/>
  <c r="BL123" i="59"/>
  <c r="V395" i="72" s="1"/>
  <c r="BA135" i="59"/>
  <c r="K407" i="72" s="1"/>
  <c r="AH135" i="59"/>
  <c r="BB135" i="59"/>
  <c r="L407" i="72" s="1"/>
  <c r="AI135" i="59"/>
  <c r="BC135" i="59"/>
  <c r="M407" i="72" s="1"/>
  <c r="AJ135" i="59"/>
  <c r="BD135" i="59"/>
  <c r="N407" i="72" s="1"/>
  <c r="AK135" i="59"/>
  <c r="BE135" i="59"/>
  <c r="O407" i="72" s="1"/>
  <c r="AL135" i="59"/>
  <c r="BF135" i="59"/>
  <c r="P407" i="72" s="1"/>
  <c r="AM135" i="59"/>
  <c r="AV135" i="59"/>
  <c r="AN135" i="59"/>
  <c r="BJ135" i="59"/>
  <c r="T407" i="72" s="1"/>
  <c r="BG135" i="59"/>
  <c r="Q407" i="72" s="1"/>
  <c r="Y135" i="59"/>
  <c r="BK135" i="59"/>
  <c r="U407" i="72" s="1"/>
  <c r="BH135" i="59"/>
  <c r="R407" i="72" s="1"/>
  <c r="AO135" i="59"/>
  <c r="BL135" i="59"/>
  <c r="V407" i="72" s="1"/>
  <c r="BI135" i="59"/>
  <c r="S407" i="72" s="1"/>
  <c r="Z135" i="59"/>
  <c r="BM135" i="59"/>
  <c r="W407" i="72" s="1"/>
  <c r="BQ135" i="59"/>
  <c r="AA407" i="72" s="1"/>
  <c r="AP135" i="59"/>
  <c r="BN135" i="59"/>
  <c r="X407" i="72" s="1"/>
  <c r="BR135" i="59"/>
  <c r="AB407" i="72" s="1"/>
  <c r="BV135" i="59"/>
  <c r="AF407" i="72" s="1"/>
  <c r="AW135" i="59"/>
  <c r="AY135" i="59"/>
  <c r="I407" i="72" s="1"/>
  <c r="BS135" i="59"/>
  <c r="AC407" i="72" s="1"/>
  <c r="BW135" i="59"/>
  <c r="AG407" i="72" s="1"/>
  <c r="BO135" i="59"/>
  <c r="Y407" i="72" s="1"/>
  <c r="BT135" i="59"/>
  <c r="AD407" i="72" s="1"/>
  <c r="AU135" i="59"/>
  <c r="AT135" i="59"/>
  <c r="AE135" i="59"/>
  <c r="AR135" i="59"/>
  <c r="AQ135" i="59"/>
  <c r="AS135" i="59"/>
  <c r="AG135" i="59"/>
  <c r="AZ135" i="59"/>
  <c r="J407" i="72" s="1"/>
  <c r="BP135" i="59"/>
  <c r="Z407" i="72" s="1"/>
  <c r="AF135" i="59"/>
  <c r="BU135" i="59"/>
  <c r="AE407" i="72" s="1"/>
  <c r="AB135" i="59"/>
  <c r="X135" i="59"/>
  <c r="AD135" i="59"/>
  <c r="AC135" i="59"/>
  <c r="AA135" i="59"/>
  <c r="AR146" i="59"/>
  <c r="AV146" i="59"/>
  <c r="AE90" i="59"/>
  <c r="Y90" i="59"/>
  <c r="BV90" i="59"/>
  <c r="AF145" i="72" s="1"/>
  <c r="AJ147" i="59"/>
  <c r="T606" i="72" s="1"/>
  <c r="AM147" i="59"/>
  <c r="W606" i="72" s="1"/>
  <c r="AM118" i="59"/>
  <c r="W361" i="72" s="1"/>
  <c r="AC118" i="59"/>
  <c r="M361" i="72" s="1"/>
  <c r="AH117" i="59"/>
  <c r="Z117" i="59"/>
  <c r="BV117" i="59"/>
  <c r="AF389" i="72" s="1"/>
  <c r="AF89" i="59"/>
  <c r="P115" i="72" s="1"/>
  <c r="X89" i="59"/>
  <c r="H115" i="72" s="1"/>
  <c r="AT119" i="59"/>
  <c r="AK119" i="59"/>
  <c r="E57" i="24"/>
  <c r="G18" i="24"/>
  <c r="C57" i="24"/>
  <c r="D57" i="24"/>
  <c r="AU48" i="67"/>
  <c r="AV51" i="67"/>
  <c r="AV50" i="67"/>
  <c r="AV49" i="67"/>
  <c r="AO50" i="67"/>
  <c r="AP49" i="67"/>
  <c r="AN51" i="67"/>
  <c r="AP48" i="67"/>
  <c r="G57" i="24"/>
  <c r="F57" i="24"/>
  <c r="E44" i="24"/>
  <c r="D44" i="24"/>
  <c r="G44" i="24"/>
  <c r="F44" i="24"/>
  <c r="H11" i="61"/>
  <c r="H15" i="61"/>
  <c r="H12" i="61"/>
  <c r="I15" i="61"/>
  <c r="E18" i="24"/>
  <c r="C44" i="24"/>
  <c r="C18" i="24"/>
  <c r="Q12" i="24" s="1"/>
  <c r="F18" i="24"/>
  <c r="D18" i="24"/>
  <c r="C159" i="16"/>
  <c r="C163" i="16"/>
  <c r="C167" i="16"/>
  <c r="C155" i="16"/>
  <c r="C122" i="16"/>
  <c r="C126" i="16"/>
  <c r="C130" i="16"/>
  <c r="C134" i="16"/>
  <c r="C84" i="16"/>
  <c r="C88" i="16"/>
  <c r="C92" i="16"/>
  <c r="C96" i="16"/>
  <c r="H108" i="24"/>
  <c r="Q41" i="24" s="1"/>
  <c r="F39" i="16" s="1"/>
  <c r="E211" i="48" s="1"/>
  <c r="H107" i="24"/>
  <c r="H95" i="24"/>
  <c r="Q40" i="24" s="1"/>
  <c r="F38" i="16" s="1"/>
  <c r="E206" i="48" s="1"/>
  <c r="H94" i="24"/>
  <c r="G69" i="24"/>
  <c r="F69" i="24"/>
  <c r="E69" i="24"/>
  <c r="D69" i="24"/>
  <c r="C69" i="24"/>
  <c r="G68" i="24"/>
  <c r="F68" i="24"/>
  <c r="E68" i="24"/>
  <c r="D68" i="24"/>
  <c r="C68" i="24"/>
  <c r="H67" i="24"/>
  <c r="H66" i="24"/>
  <c r="H65" i="24"/>
  <c r="H64" i="24"/>
  <c r="B64" i="24"/>
  <c r="B65" i="24" s="1"/>
  <c r="B66" i="24" s="1"/>
  <c r="B67" i="24" s="1"/>
  <c r="H63" i="24"/>
  <c r="T10" i="24" s="1"/>
  <c r="H25" i="24"/>
  <c r="G29" i="24"/>
  <c r="C30" i="24"/>
  <c r="H26" i="24"/>
  <c r="H27" i="24"/>
  <c r="H28" i="24"/>
  <c r="D29" i="24"/>
  <c r="E29" i="24"/>
  <c r="F29" i="24"/>
  <c r="C29" i="24"/>
  <c r="B25" i="24"/>
  <c r="B26" i="24" s="1"/>
  <c r="B27" i="24" s="1"/>
  <c r="B28" i="24" s="1"/>
  <c r="AO11" i="73" l="1"/>
  <c r="AN11" i="73"/>
  <c r="AN15" i="73" s="1"/>
  <c r="AM15" i="73"/>
  <c r="BY84" i="67"/>
  <c r="CG84" i="67"/>
  <c r="BO84" i="67"/>
  <c r="T548" i="18"/>
  <c r="T486" i="18"/>
  <c r="T393" i="18"/>
  <c r="T424" i="18"/>
  <c r="T517" i="18"/>
  <c r="T455" i="18"/>
  <c r="T362" i="18"/>
  <c r="T331" i="18"/>
  <c r="T547" i="18"/>
  <c r="T485" i="18"/>
  <c r="T516" i="18"/>
  <c r="T454" i="18"/>
  <c r="T361" i="18"/>
  <c r="T330" i="18"/>
  <c r="T392" i="18"/>
  <c r="T423" i="18"/>
  <c r="T518" i="18"/>
  <c r="T549" i="18"/>
  <c r="T363" i="18"/>
  <c r="T394" i="18"/>
  <c r="T425" i="18"/>
  <c r="T487" i="18"/>
  <c r="T332" i="18"/>
  <c r="T456" i="18"/>
  <c r="S515" i="18"/>
  <c r="S532" i="18" s="1"/>
  <c r="S577" i="18" s="1"/>
  <c r="S484" i="18"/>
  <c r="S501" i="18" s="1"/>
  <c r="S575" i="18" s="1"/>
  <c r="S422" i="18"/>
  <c r="S453" i="18"/>
  <c r="S546" i="18"/>
  <c r="S563" i="18" s="1"/>
  <c r="S578" i="18" s="1"/>
  <c r="S391" i="18"/>
  <c r="S329" i="18"/>
  <c r="S360" i="18"/>
  <c r="S377" i="18" s="1"/>
  <c r="S569" i="18" s="1"/>
  <c r="N515" i="18"/>
  <c r="N391" i="18"/>
  <c r="N484" i="18"/>
  <c r="N360" i="18"/>
  <c r="N453" i="18"/>
  <c r="N329" i="18"/>
  <c r="N546" i="18"/>
  <c r="N422" i="18"/>
  <c r="L456" i="18"/>
  <c r="L332" i="18"/>
  <c r="L549" i="18"/>
  <c r="L425" i="18"/>
  <c r="L518" i="18"/>
  <c r="L394" i="18"/>
  <c r="L487" i="18"/>
  <c r="L501" i="18" s="1"/>
  <c r="L575" i="18" s="1"/>
  <c r="L363" i="18"/>
  <c r="L377" i="18" s="1"/>
  <c r="L569" i="18" s="1"/>
  <c r="N485" i="18"/>
  <c r="N361" i="18"/>
  <c r="N454" i="18"/>
  <c r="N330" i="18"/>
  <c r="N547" i="18"/>
  <c r="N423" i="18"/>
  <c r="N516" i="18"/>
  <c r="N392" i="18"/>
  <c r="M486" i="18"/>
  <c r="M362" i="18"/>
  <c r="M455" i="18"/>
  <c r="M331" i="18"/>
  <c r="M517" i="18"/>
  <c r="M548" i="18"/>
  <c r="M424" i="18"/>
  <c r="M393" i="18"/>
  <c r="CH84" i="67"/>
  <c r="BQ84" i="67"/>
  <c r="BS84" i="67"/>
  <c r="CF84" i="67"/>
  <c r="CD84" i="67"/>
  <c r="BK84" i="67"/>
  <c r="J124" i="48" s="1"/>
  <c r="CJ84" i="67"/>
  <c r="K124" i="48" s="1"/>
  <c r="BY37" i="67"/>
  <c r="BM84" i="67"/>
  <c r="AC624" i="72"/>
  <c r="CI84" i="67"/>
  <c r="CE84" i="67"/>
  <c r="BP84" i="67"/>
  <c r="BT84" i="67"/>
  <c r="BU84" i="67"/>
  <c r="BV84" i="67"/>
  <c r="CB84" i="67"/>
  <c r="BX84" i="67"/>
  <c r="CA8" i="67"/>
  <c r="BR84" i="67"/>
  <c r="BL84" i="67"/>
  <c r="Q60" i="18"/>
  <c r="Q282" i="18" s="1"/>
  <c r="BW84" i="67"/>
  <c r="L60" i="18"/>
  <c r="L282" i="18" s="1"/>
  <c r="AG277" i="18"/>
  <c r="AG292" i="18" s="1"/>
  <c r="L663" i="18"/>
  <c r="L855" i="18" s="1"/>
  <c r="Q346" i="18"/>
  <c r="Q568" i="18" s="1"/>
  <c r="AC122" i="18"/>
  <c r="AC285" i="18" s="1"/>
  <c r="Y818" i="18"/>
  <c r="Y863" i="18" s="1"/>
  <c r="Y756" i="18"/>
  <c r="Y860" i="18" s="1"/>
  <c r="AA153" i="18"/>
  <c r="AA286" i="18" s="1"/>
  <c r="AD632" i="18"/>
  <c r="AD854" i="18" s="1"/>
  <c r="P756" i="18"/>
  <c r="P860" i="18" s="1"/>
  <c r="M694" i="18"/>
  <c r="M857" i="18" s="1"/>
  <c r="I439" i="18"/>
  <c r="I572" i="18" s="1"/>
  <c r="I588" i="18" s="1"/>
  <c r="Z818" i="18"/>
  <c r="Z863" i="18" s="1"/>
  <c r="S849" i="18"/>
  <c r="S864" i="18" s="1"/>
  <c r="BN84" i="67"/>
  <c r="AG849" i="18"/>
  <c r="AG864" i="18" s="1"/>
  <c r="Q725" i="18"/>
  <c r="Q858" i="18" s="1"/>
  <c r="AE787" i="18"/>
  <c r="AE861" i="18" s="1"/>
  <c r="M632" i="18"/>
  <c r="M854" i="18" s="1"/>
  <c r="R377" i="18"/>
  <c r="R569" i="18" s="1"/>
  <c r="AB632" i="18"/>
  <c r="AB854" i="18" s="1"/>
  <c r="I377" i="18"/>
  <c r="I569" i="18" s="1"/>
  <c r="J60" i="18"/>
  <c r="J282" i="18" s="1"/>
  <c r="AB91" i="18"/>
  <c r="AB283" i="18" s="1"/>
  <c r="M277" i="18"/>
  <c r="M292" i="18" s="1"/>
  <c r="V694" i="18"/>
  <c r="V857" i="18" s="1"/>
  <c r="N60" i="18"/>
  <c r="N282" i="18" s="1"/>
  <c r="AA725" i="18"/>
  <c r="AA858" i="18" s="1"/>
  <c r="Z694" i="18"/>
  <c r="Z857" i="18" s="1"/>
  <c r="CA84" i="67"/>
  <c r="I818" i="18"/>
  <c r="I863" i="18" s="1"/>
  <c r="X694" i="18"/>
  <c r="X857" i="18" s="1"/>
  <c r="AG787" i="18"/>
  <c r="AG861" i="18" s="1"/>
  <c r="Q663" i="18"/>
  <c r="Q855" i="18" s="1"/>
  <c r="M818" i="18"/>
  <c r="M863" i="18" s="1"/>
  <c r="R470" i="18"/>
  <c r="R574" i="18" s="1"/>
  <c r="AB725" i="18"/>
  <c r="AB858" i="18" s="1"/>
  <c r="I532" i="18"/>
  <c r="I577" i="18" s="1"/>
  <c r="AB277" i="18"/>
  <c r="AB292" i="18" s="1"/>
  <c r="Z663" i="18"/>
  <c r="Z855" i="18" s="1"/>
  <c r="W725" i="18"/>
  <c r="W858" i="18" s="1"/>
  <c r="S632" i="18"/>
  <c r="S854" i="18" s="1"/>
  <c r="K470" i="18"/>
  <c r="K574" i="18" s="1"/>
  <c r="P122" i="18"/>
  <c r="P285" i="18" s="1"/>
  <c r="I725" i="18"/>
  <c r="I858" i="18" s="1"/>
  <c r="X756" i="18"/>
  <c r="X860" i="18" s="1"/>
  <c r="M663" i="18"/>
  <c r="M855" i="18" s="1"/>
  <c r="I563" i="18"/>
  <c r="I578" i="18" s="1"/>
  <c r="CC84" i="67"/>
  <c r="S663" i="18"/>
  <c r="S855" i="18" s="1"/>
  <c r="J694" i="18"/>
  <c r="J857" i="18" s="1"/>
  <c r="L725" i="18"/>
  <c r="L858" i="18" s="1"/>
  <c r="V632" i="18"/>
  <c r="V854" i="18" s="1"/>
  <c r="W849" i="18"/>
  <c r="W864" i="18" s="1"/>
  <c r="S787" i="18"/>
  <c r="S861" i="18" s="1"/>
  <c r="I694" i="18"/>
  <c r="I857" i="18" s="1"/>
  <c r="L818" i="18"/>
  <c r="L863" i="18" s="1"/>
  <c r="AB60" i="18"/>
  <c r="AB282" i="18" s="1"/>
  <c r="Y725" i="18"/>
  <c r="Y858" i="18" s="1"/>
  <c r="BZ84" i="67"/>
  <c r="BS66" i="67"/>
  <c r="I756" i="18"/>
  <c r="I860" i="18" s="1"/>
  <c r="AG694" i="18"/>
  <c r="AG857" i="18" s="1"/>
  <c r="AE663" i="18"/>
  <c r="AE855" i="18" s="1"/>
  <c r="R532" i="18"/>
  <c r="R577" i="18" s="1"/>
  <c r="AB694" i="18"/>
  <c r="AB857" i="18" s="1"/>
  <c r="J246" i="18"/>
  <c r="J291" i="18" s="1"/>
  <c r="U632" i="18"/>
  <c r="U854" i="18" s="1"/>
  <c r="AA663" i="18"/>
  <c r="AA855" i="18" s="1"/>
  <c r="O184" i="18"/>
  <c r="O288" i="18" s="1"/>
  <c r="AH694" i="18"/>
  <c r="AH857" i="18" s="1"/>
  <c r="K501" i="18"/>
  <c r="K575" i="18" s="1"/>
  <c r="P215" i="18"/>
  <c r="P289" i="18" s="1"/>
  <c r="S215" i="18"/>
  <c r="S289" i="18" s="1"/>
  <c r="J91" i="18"/>
  <c r="J283" i="18" s="1"/>
  <c r="N246" i="18"/>
  <c r="N291" i="18" s="1"/>
  <c r="AA849" i="18"/>
  <c r="AA864" i="18" s="1"/>
  <c r="AB115" i="72"/>
  <c r="CE8" i="67"/>
  <c r="AH663" i="18"/>
  <c r="AH855" i="18" s="1"/>
  <c r="J756" i="18"/>
  <c r="J860" i="18" s="1"/>
  <c r="E198" i="48" a="1"/>
  <c r="E198" i="48" s="1"/>
  <c r="R501" i="18"/>
  <c r="R575" i="18" s="1"/>
  <c r="AB184" i="18"/>
  <c r="AB288" i="18" s="1"/>
  <c r="V849" i="18"/>
  <c r="V864" i="18" s="1"/>
  <c r="AA787" i="18"/>
  <c r="AA861" i="18" s="1"/>
  <c r="Z787" i="18"/>
  <c r="Z861" i="18" s="1"/>
  <c r="AH725" i="18"/>
  <c r="AH858" i="18" s="1"/>
  <c r="P184" i="18"/>
  <c r="P288" i="18" s="1"/>
  <c r="X818" i="18"/>
  <c r="X863" i="18" s="1"/>
  <c r="Q694" i="18"/>
  <c r="Q857" i="18" s="1"/>
  <c r="Q408" i="18"/>
  <c r="Q571" i="18" s="1"/>
  <c r="AB215" i="18"/>
  <c r="AB289" i="18" s="1"/>
  <c r="AA818" i="18"/>
  <c r="AA863" i="18" s="1"/>
  <c r="Z632" i="18"/>
  <c r="Z854" i="18" s="1"/>
  <c r="K377" i="18"/>
  <c r="K569" i="18" s="1"/>
  <c r="K849" i="18"/>
  <c r="K864" i="18" s="1"/>
  <c r="M91" i="18"/>
  <c r="M283" i="18" s="1"/>
  <c r="L122" i="18"/>
  <c r="L285" i="18" s="1"/>
  <c r="W787" i="18"/>
  <c r="W861" i="18" s="1"/>
  <c r="M215" i="18"/>
  <c r="M289" i="18" s="1"/>
  <c r="V818" i="18"/>
  <c r="V863" i="18" s="1"/>
  <c r="Q787" i="18"/>
  <c r="Q861" i="18" s="1"/>
  <c r="AB663" i="18"/>
  <c r="AB855" i="18" s="1"/>
  <c r="J277" i="18"/>
  <c r="J292" i="18" s="1"/>
  <c r="M184" i="18"/>
  <c r="M288" i="18" s="1"/>
  <c r="N184" i="18"/>
  <c r="N288" i="18" s="1"/>
  <c r="W818" i="18"/>
  <c r="W863" i="18" s="1"/>
  <c r="K346" i="18"/>
  <c r="K568" i="18" s="1"/>
  <c r="I663" i="18"/>
  <c r="I855" i="18" s="1"/>
  <c r="K787" i="18"/>
  <c r="K861" i="18" s="1"/>
  <c r="M60" i="18"/>
  <c r="M282" i="18" s="1"/>
  <c r="N153" i="18"/>
  <c r="N286" i="18" s="1"/>
  <c r="AH756" i="18"/>
  <c r="AH860" i="18" s="1"/>
  <c r="P91" i="18"/>
  <c r="P283" i="18" s="1"/>
  <c r="J818" i="18"/>
  <c r="J863" i="18" s="1"/>
  <c r="X787" i="18"/>
  <c r="X861" i="18" s="1"/>
  <c r="Q756" i="18"/>
  <c r="Q860" i="18" s="1"/>
  <c r="Q439" i="18"/>
  <c r="Q572" i="18" s="1"/>
  <c r="Q588" i="18" s="1"/>
  <c r="V725" i="18"/>
  <c r="V858" i="18" s="1"/>
  <c r="N277" i="18"/>
  <c r="N292" i="18" s="1"/>
  <c r="AE153" i="18"/>
  <c r="AE286" i="18" s="1"/>
  <c r="AF663" i="18"/>
  <c r="AF855" i="18" s="1"/>
  <c r="AD663" i="18"/>
  <c r="AD855" i="18" s="1"/>
  <c r="V153" i="18"/>
  <c r="V286" i="18" s="1"/>
  <c r="I122" i="18"/>
  <c r="I285" i="18" s="1"/>
  <c r="J849" i="18"/>
  <c r="J864" i="18" s="1"/>
  <c r="X725" i="18"/>
  <c r="X858" i="18" s="1"/>
  <c r="W663" i="18"/>
  <c r="W855" i="18" s="1"/>
  <c r="AE122" i="18"/>
  <c r="AE285" i="18" s="1"/>
  <c r="AF818" i="18"/>
  <c r="AF863" i="18" s="1"/>
  <c r="AD725" i="18"/>
  <c r="AD858" i="18" s="1"/>
  <c r="V91" i="18"/>
  <c r="V283" i="18" s="1"/>
  <c r="I153" i="18"/>
  <c r="I286" i="18" s="1"/>
  <c r="J787" i="18"/>
  <c r="J861" i="18" s="1"/>
  <c r="L184" i="18"/>
  <c r="L288" i="18" s="1"/>
  <c r="W246" i="18"/>
  <c r="W291" i="18" s="1"/>
  <c r="AF122" i="18"/>
  <c r="AF285" i="18" s="1"/>
  <c r="AD215" i="18"/>
  <c r="AD289" i="18" s="1"/>
  <c r="AC663" i="18"/>
  <c r="AC855" i="18" s="1"/>
  <c r="T632" i="18"/>
  <c r="T854" i="18" s="1"/>
  <c r="AE215" i="18"/>
  <c r="AE289" i="18" s="1"/>
  <c r="AF787" i="18"/>
  <c r="AF861" i="18" s="1"/>
  <c r="V184" i="18"/>
  <c r="V288" i="18" s="1"/>
  <c r="I215" i="18"/>
  <c r="I289" i="18" s="1"/>
  <c r="W60" i="18"/>
  <c r="W282" i="18" s="1"/>
  <c r="AA184" i="18"/>
  <c r="AA288" i="18" s="1"/>
  <c r="Q215" i="18"/>
  <c r="Q289" i="18" s="1"/>
  <c r="AF60" i="18"/>
  <c r="AF282" i="18" s="1"/>
  <c r="T122" i="18"/>
  <c r="T285" i="18" s="1"/>
  <c r="AG246" i="18"/>
  <c r="AG291" i="18" s="1"/>
  <c r="R153" i="18"/>
  <c r="R286" i="18" s="1"/>
  <c r="U153" i="18"/>
  <c r="U286" i="18" s="1"/>
  <c r="AH153" i="18"/>
  <c r="AH286" i="18" s="1"/>
  <c r="Y246" i="18"/>
  <c r="Y291" i="18" s="1"/>
  <c r="X153" i="18"/>
  <c r="X286" i="18" s="1"/>
  <c r="Z153" i="18"/>
  <c r="Z286" i="18" s="1"/>
  <c r="AC246" i="18"/>
  <c r="AC291" i="18" s="1"/>
  <c r="Y632" i="18"/>
  <c r="Y854" i="18" s="1"/>
  <c r="L91" i="18"/>
  <c r="L283" i="18" s="1"/>
  <c r="T694" i="18"/>
  <c r="T857" i="18" s="1"/>
  <c r="BW37" i="67"/>
  <c r="AD184" i="18"/>
  <c r="AD288" i="18" s="1"/>
  <c r="AC632" i="18"/>
  <c r="AC854" i="18" s="1"/>
  <c r="T849" i="18"/>
  <c r="T864" i="18" s="1"/>
  <c r="AE60" i="18"/>
  <c r="AE282" i="18" s="1"/>
  <c r="AF756" i="18"/>
  <c r="AF860" i="18" s="1"/>
  <c r="AD787" i="18"/>
  <c r="AD861" i="18" s="1"/>
  <c r="V122" i="18"/>
  <c r="V285" i="18" s="1"/>
  <c r="I60" i="18"/>
  <c r="I282" i="18" s="1"/>
  <c r="W277" i="18"/>
  <c r="W292" i="18" s="1"/>
  <c r="AA122" i="18"/>
  <c r="AA285" i="18" s="1"/>
  <c r="AD60" i="18"/>
  <c r="AD282" i="18" s="1"/>
  <c r="AC787" i="18"/>
  <c r="AC861" i="18" s="1"/>
  <c r="T756" i="18"/>
  <c r="T860" i="18" s="1"/>
  <c r="R756" i="18"/>
  <c r="R860" i="18" s="1"/>
  <c r="J532" i="18"/>
  <c r="J577" i="18" s="1"/>
  <c r="O694" i="18"/>
  <c r="O857" i="18" s="1"/>
  <c r="N725" i="18"/>
  <c r="N858" i="18" s="1"/>
  <c r="W184" i="18"/>
  <c r="W288" i="18" s="1"/>
  <c r="AC144" i="72"/>
  <c r="CF8" i="67"/>
  <c r="Y849" i="18"/>
  <c r="Y864" i="18" s="1"/>
  <c r="W115" i="72"/>
  <c r="BZ8" i="67"/>
  <c r="Q153" i="18"/>
  <c r="Q286" i="18" s="1"/>
  <c r="L277" i="18"/>
  <c r="L292" i="18" s="1"/>
  <c r="Y153" i="18"/>
  <c r="Y286" i="18" s="1"/>
  <c r="K663" i="18"/>
  <c r="K855" i="18" s="1"/>
  <c r="AA246" i="18"/>
  <c r="AA291" i="18" s="1"/>
  <c r="Q246" i="18"/>
  <c r="Q291" i="18" s="1"/>
  <c r="AG60" i="18"/>
  <c r="AG282" i="18" s="1"/>
  <c r="L787" i="18"/>
  <c r="L861" i="18" s="1"/>
  <c r="Y91" i="18"/>
  <c r="Y283" i="18" s="1"/>
  <c r="Q470" i="18"/>
  <c r="Q574" i="18" s="1"/>
  <c r="K632" i="18"/>
  <c r="K854" i="18" s="1"/>
  <c r="AC153" i="18"/>
  <c r="AC286" i="18" s="1"/>
  <c r="AD246" i="18"/>
  <c r="AD291" i="18" s="1"/>
  <c r="AC849" i="18"/>
  <c r="AC864" i="18" s="1"/>
  <c r="AE91" i="18"/>
  <c r="AE283" i="18" s="1"/>
  <c r="AF632" i="18"/>
  <c r="AF854" i="18" s="1"/>
  <c r="AD849" i="18"/>
  <c r="AD864" i="18" s="1"/>
  <c r="V60" i="18"/>
  <c r="V282" i="18" s="1"/>
  <c r="I184" i="18"/>
  <c r="I288" i="18" s="1"/>
  <c r="T153" i="18"/>
  <c r="T286" i="18" s="1"/>
  <c r="AG184" i="18"/>
  <c r="AG288" i="18" s="1"/>
  <c r="R122" i="18"/>
  <c r="R285" i="18" s="1"/>
  <c r="L632" i="18"/>
  <c r="L854" i="18" s="1"/>
  <c r="Y184" i="18"/>
  <c r="Y288" i="18" s="1"/>
  <c r="Q501" i="18"/>
  <c r="Q575" i="18" s="1"/>
  <c r="K725" i="18"/>
  <c r="K858" i="18" s="1"/>
  <c r="AC277" i="18"/>
  <c r="AC292" i="18" s="1"/>
  <c r="Q10" i="24"/>
  <c r="F8" i="16" s="1"/>
  <c r="O60" i="18"/>
  <c r="O282" i="18" s="1"/>
  <c r="AH849" i="18"/>
  <c r="AH864" i="18" s="1"/>
  <c r="K408" i="18"/>
  <c r="K571" i="18" s="1"/>
  <c r="S60" i="18"/>
  <c r="S282" i="18" s="1"/>
  <c r="P849" i="18"/>
  <c r="P864" i="18" s="1"/>
  <c r="R408" i="18"/>
  <c r="R571" i="18" s="1"/>
  <c r="I408" i="18"/>
  <c r="I571" i="18" s="1"/>
  <c r="AB122" i="18"/>
  <c r="AB285" i="18" s="1"/>
  <c r="M122" i="18"/>
  <c r="M285" i="18" s="1"/>
  <c r="W694" i="18"/>
  <c r="W857" i="18" s="1"/>
  <c r="S818" i="18"/>
  <c r="S863" i="18" s="1"/>
  <c r="AH787" i="18"/>
  <c r="AH861" i="18" s="1"/>
  <c r="K532" i="18"/>
  <c r="K577" i="18" s="1"/>
  <c r="P60" i="18"/>
  <c r="P282" i="18" s="1"/>
  <c r="J663" i="18"/>
  <c r="J855" i="18" s="1"/>
  <c r="AG663" i="18"/>
  <c r="AG855" i="18" s="1"/>
  <c r="Q849" i="18"/>
  <c r="Q864" i="18" s="1"/>
  <c r="AE632" i="18"/>
  <c r="AE854" i="18" s="1"/>
  <c r="M725" i="18"/>
  <c r="M858" i="18" s="1"/>
  <c r="R346" i="18"/>
  <c r="R568" i="18" s="1"/>
  <c r="AB787" i="18"/>
  <c r="AB861" i="18" s="1"/>
  <c r="I501" i="18"/>
  <c r="I575" i="18" s="1"/>
  <c r="J122" i="18"/>
  <c r="J285" i="18" s="1"/>
  <c r="AB153" i="18"/>
  <c r="AB286" i="18" s="1"/>
  <c r="M246" i="18"/>
  <c r="M291" i="18" s="1"/>
  <c r="U787" i="18"/>
  <c r="U861" i="18" s="1"/>
  <c r="AA694" i="18"/>
  <c r="AA857" i="18" s="1"/>
  <c r="Z725" i="18"/>
  <c r="Z858" i="18" s="1"/>
  <c r="W632" i="18"/>
  <c r="W854" i="18" s="1"/>
  <c r="S756" i="18"/>
  <c r="S860" i="18" s="1"/>
  <c r="P246" i="18"/>
  <c r="P291" i="18" s="1"/>
  <c r="AG632" i="18"/>
  <c r="AG854" i="18" s="1"/>
  <c r="AE849" i="18"/>
  <c r="AE864" i="18" s="1"/>
  <c r="M756" i="18"/>
  <c r="M860" i="18" s="1"/>
  <c r="AB849" i="18"/>
  <c r="AB864" i="18" s="1"/>
  <c r="J153" i="18"/>
  <c r="J286" i="18" s="1"/>
  <c r="U756" i="18"/>
  <c r="U860" i="18" s="1"/>
  <c r="AA632" i="18"/>
  <c r="AA854" i="18" s="1"/>
  <c r="Z756" i="18"/>
  <c r="Z860" i="18" s="1"/>
  <c r="Q11" i="24"/>
  <c r="F9" i="16" s="1"/>
  <c r="S470" i="18"/>
  <c r="S574" i="18" s="1"/>
  <c r="S346" i="18"/>
  <c r="S568" i="18" s="1"/>
  <c r="S408" i="18"/>
  <c r="S571" i="18" s="1"/>
  <c r="S439" i="18"/>
  <c r="S572" i="18" s="1"/>
  <c r="S588" i="18" s="1"/>
  <c r="W756" i="18"/>
  <c r="W860" i="18" s="1"/>
  <c r="S725" i="18"/>
  <c r="S858" i="18" s="1"/>
  <c r="AH818" i="18"/>
  <c r="AH863" i="18" s="1"/>
  <c r="K563" i="18"/>
  <c r="K578" i="18" s="1"/>
  <c r="P277" i="18"/>
  <c r="P292" i="18" s="1"/>
  <c r="J725" i="18"/>
  <c r="J858" i="18" s="1"/>
  <c r="I632" i="18"/>
  <c r="I854" i="18" s="1"/>
  <c r="X849" i="18"/>
  <c r="X864" i="18" s="1"/>
  <c r="AG756" i="18"/>
  <c r="AG860" i="18" s="1"/>
  <c r="Q818" i="18"/>
  <c r="Q863" i="18" s="1"/>
  <c r="AE756" i="18"/>
  <c r="AE860" i="18" s="1"/>
  <c r="M787" i="18"/>
  <c r="M861" i="18" s="1"/>
  <c r="R563" i="18"/>
  <c r="R578" i="18" s="1"/>
  <c r="AB756" i="18"/>
  <c r="AB860" i="18" s="1"/>
  <c r="I346" i="18"/>
  <c r="I568" i="18" s="1"/>
  <c r="J215" i="18"/>
  <c r="J289" i="18" s="1"/>
  <c r="AB246" i="18"/>
  <c r="AB291" i="18" s="1"/>
  <c r="M153" i="18"/>
  <c r="M286" i="18" s="1"/>
  <c r="U663" i="18"/>
  <c r="U855" i="18" s="1"/>
  <c r="AA756" i="18"/>
  <c r="AA860" i="18" s="1"/>
  <c r="Z849" i="18"/>
  <c r="Z864" i="18" s="1"/>
  <c r="AD122" i="18"/>
  <c r="AD285" i="18" s="1"/>
  <c r="AC818" i="18"/>
  <c r="AC863" i="18" s="1"/>
  <c r="AE184" i="18"/>
  <c r="AE288" i="18" s="1"/>
  <c r="AF725" i="18"/>
  <c r="AF858" i="18" s="1"/>
  <c r="AD694" i="18"/>
  <c r="AD857" i="18" s="1"/>
  <c r="V246" i="18"/>
  <c r="V291" i="18" s="1"/>
  <c r="I277" i="18"/>
  <c r="I292" i="18" s="1"/>
  <c r="J632" i="18"/>
  <c r="J854" i="18" s="1"/>
  <c r="I787" i="18"/>
  <c r="I861" i="18" s="1"/>
  <c r="X663" i="18"/>
  <c r="X855" i="18" s="1"/>
  <c r="Q632" i="18"/>
  <c r="Q854" i="18" s="1"/>
  <c r="L694" i="18"/>
  <c r="L857" i="18" s="1"/>
  <c r="Q532" i="18"/>
  <c r="Q577" i="18" s="1"/>
  <c r="K694" i="18"/>
  <c r="K857" i="18" s="1"/>
  <c r="V756" i="18"/>
  <c r="V860" i="18" s="1"/>
  <c r="N122" i="18"/>
  <c r="N285" i="18" s="1"/>
  <c r="Y694" i="18"/>
  <c r="Y857" i="18" s="1"/>
  <c r="L153" i="18"/>
  <c r="L286" i="18" s="1"/>
  <c r="AD153" i="18"/>
  <c r="AD286" i="18" s="1"/>
  <c r="AC694" i="18"/>
  <c r="AC857" i="18" s="1"/>
  <c r="T663" i="18"/>
  <c r="T855" i="18" s="1"/>
  <c r="AE246" i="18"/>
  <c r="AE291" i="18" s="1"/>
  <c r="AF849" i="18"/>
  <c r="AF864" i="18" s="1"/>
  <c r="AD818" i="18"/>
  <c r="AD863" i="18" s="1"/>
  <c r="V277" i="18"/>
  <c r="V292" i="18" s="1"/>
  <c r="I246" i="18"/>
  <c r="I291" i="18" s="1"/>
  <c r="W122" i="18"/>
  <c r="W285" i="18" s="1"/>
  <c r="I849" i="18"/>
  <c r="I864" i="18" s="1"/>
  <c r="X632" i="18"/>
  <c r="X854" i="18" s="1"/>
  <c r="AG122" i="18"/>
  <c r="AG285" i="18" s="1"/>
  <c r="L756" i="18"/>
  <c r="L860" i="18" s="1"/>
  <c r="Y122" i="18"/>
  <c r="Y285" i="18" s="1"/>
  <c r="Q377" i="18"/>
  <c r="Q569" i="18" s="1"/>
  <c r="K818" i="18"/>
  <c r="K863" i="18" s="1"/>
  <c r="V663" i="18"/>
  <c r="V855" i="18" s="1"/>
  <c r="N91" i="18"/>
  <c r="N283" i="18" s="1"/>
  <c r="Y663" i="18"/>
  <c r="Y855" i="18" s="1"/>
  <c r="L215" i="18"/>
  <c r="L289" i="18" s="1"/>
  <c r="AD277" i="18"/>
  <c r="AD292" i="18" s="1"/>
  <c r="AC725" i="18"/>
  <c r="AC858" i="18" s="1"/>
  <c r="T725" i="18"/>
  <c r="T858" i="18" s="1"/>
  <c r="AE277" i="18"/>
  <c r="AE292" i="18" s="1"/>
  <c r="AF694" i="18"/>
  <c r="AF857" i="18" s="1"/>
  <c r="AD756" i="18"/>
  <c r="AD860" i="18" s="1"/>
  <c r="V215" i="18"/>
  <c r="V289" i="18" s="1"/>
  <c r="I91" i="18"/>
  <c r="I283" i="18" s="1"/>
  <c r="W153" i="18"/>
  <c r="W286" i="18" s="1"/>
  <c r="AA277" i="18"/>
  <c r="AA292" i="18" s="1"/>
  <c r="Q122" i="18"/>
  <c r="Q285" i="18" s="1"/>
  <c r="AG153" i="18"/>
  <c r="AG286" i="18" s="1"/>
  <c r="L849" i="18"/>
  <c r="L864" i="18" s="1"/>
  <c r="Y215" i="18"/>
  <c r="Y289" i="18" s="1"/>
  <c r="Q563" i="18"/>
  <c r="Q578" i="18" s="1"/>
  <c r="K756" i="18"/>
  <c r="K860" i="18" s="1"/>
  <c r="V787" i="18"/>
  <c r="V861" i="18" s="1"/>
  <c r="N215" i="18"/>
  <c r="N289" i="18" s="1"/>
  <c r="Y787" i="18"/>
  <c r="Y861" i="18" s="1"/>
  <c r="L246" i="18"/>
  <c r="L291" i="18" s="1"/>
  <c r="AD91" i="18"/>
  <c r="AD283" i="18" s="1"/>
  <c r="AC756" i="18"/>
  <c r="AC860" i="18" s="1"/>
  <c r="T787" i="18"/>
  <c r="T861" i="18" s="1"/>
  <c r="R694" i="18"/>
  <c r="R857" i="18" s="1"/>
  <c r="J470" i="18"/>
  <c r="J574" i="18" s="1"/>
  <c r="O725" i="18"/>
  <c r="O858" i="18" s="1"/>
  <c r="N756" i="18"/>
  <c r="N860" i="18" s="1"/>
  <c r="W215" i="18"/>
  <c r="W289" i="18" s="1"/>
  <c r="AA215" i="18"/>
  <c r="AA289" i="18" s="1"/>
  <c r="Q277" i="18"/>
  <c r="Q292" i="18" s="1"/>
  <c r="AF277" i="18"/>
  <c r="AF292" i="18" s="1"/>
  <c r="T246" i="18"/>
  <c r="T291" i="18" s="1"/>
  <c r="AG215" i="18"/>
  <c r="AG289" i="18" s="1"/>
  <c r="R91" i="18"/>
  <c r="R283" i="18" s="1"/>
  <c r="U215" i="18"/>
  <c r="U289" i="18" s="1"/>
  <c r="AH277" i="18"/>
  <c r="AH292" i="18" s="1"/>
  <c r="Y277" i="18"/>
  <c r="Y292" i="18" s="1"/>
  <c r="X246" i="18"/>
  <c r="X291" i="18" s="1"/>
  <c r="Z122" i="18"/>
  <c r="Z285" i="18" s="1"/>
  <c r="AC215" i="18"/>
  <c r="AC289" i="18" s="1"/>
  <c r="K246" i="18"/>
  <c r="K291" i="18" s="1"/>
  <c r="T818" i="18"/>
  <c r="T863" i="18" s="1"/>
  <c r="R725" i="18"/>
  <c r="R858" i="18" s="1"/>
  <c r="J377" i="18"/>
  <c r="J569" i="18" s="1"/>
  <c r="O818" i="18"/>
  <c r="O863" i="18" s="1"/>
  <c r="N694" i="18"/>
  <c r="N857" i="18" s="1"/>
  <c r="W91" i="18"/>
  <c r="W283" i="18" s="1"/>
  <c r="AA91" i="18"/>
  <c r="AA283" i="18" s="1"/>
  <c r="Q91" i="18"/>
  <c r="Q283" i="18" s="1"/>
  <c r="AF153" i="18"/>
  <c r="AF286" i="18" s="1"/>
  <c r="T184" i="18"/>
  <c r="T288" i="18" s="1"/>
  <c r="AG91" i="18"/>
  <c r="AG283" i="18" s="1"/>
  <c r="R60" i="18"/>
  <c r="R282" i="18" s="1"/>
  <c r="U277" i="18"/>
  <c r="U292" i="18" s="1"/>
  <c r="AH215" i="18"/>
  <c r="AH289" i="18" s="1"/>
  <c r="Y60" i="18"/>
  <c r="Y282" i="18" s="1"/>
  <c r="X277" i="18"/>
  <c r="X292" i="18" s="1"/>
  <c r="Z246" i="18"/>
  <c r="Z291" i="18" s="1"/>
  <c r="AC184" i="18"/>
  <c r="AC288" i="18" s="1"/>
  <c r="K153" i="18"/>
  <c r="K286" i="18" s="1"/>
  <c r="O246" i="18"/>
  <c r="O291" i="18" s="1"/>
  <c r="R818" i="18"/>
  <c r="R863" i="18" s="1"/>
  <c r="J563" i="18"/>
  <c r="J578" i="18" s="1"/>
  <c r="O632" i="18"/>
  <c r="O854" i="18" s="1"/>
  <c r="N818" i="18"/>
  <c r="N863" i="18" s="1"/>
  <c r="S153" i="18"/>
  <c r="S286" i="18" s="1"/>
  <c r="AA60" i="18"/>
  <c r="AA282" i="18" s="1"/>
  <c r="Q184" i="18"/>
  <c r="Q288" i="18" s="1"/>
  <c r="AF246" i="18"/>
  <c r="AF291" i="18" s="1"/>
  <c r="T277" i="18"/>
  <c r="T292" i="18" s="1"/>
  <c r="P725" i="18"/>
  <c r="P858" i="18" s="1"/>
  <c r="R277" i="18"/>
  <c r="R292" i="18" s="1"/>
  <c r="U122" i="18"/>
  <c r="U285" i="18" s="1"/>
  <c r="AH246" i="18"/>
  <c r="AH291" i="18" s="1"/>
  <c r="X215" i="18"/>
  <c r="X289" i="18" s="1"/>
  <c r="Z215" i="18"/>
  <c r="Z289" i="18" s="1"/>
  <c r="AC91" i="18"/>
  <c r="AC283" i="18" s="1"/>
  <c r="K277" i="18"/>
  <c r="K292" i="18" s="1"/>
  <c r="O153" i="18"/>
  <c r="O286" i="18" s="1"/>
  <c r="R787" i="18"/>
  <c r="R861" i="18" s="1"/>
  <c r="J408" i="18"/>
  <c r="J571" i="18" s="1"/>
  <c r="O849" i="18"/>
  <c r="O864" i="18" s="1"/>
  <c r="N849" i="18"/>
  <c r="N864" i="18" s="1"/>
  <c r="S91" i="18"/>
  <c r="S283" i="18" s="1"/>
  <c r="AF215" i="18"/>
  <c r="AF289" i="18" s="1"/>
  <c r="T60" i="18"/>
  <c r="T282" i="18" s="1"/>
  <c r="P818" i="18"/>
  <c r="P863" i="18" s="1"/>
  <c r="R184" i="18"/>
  <c r="R288" i="18" s="1"/>
  <c r="U246" i="18"/>
  <c r="U291" i="18" s="1"/>
  <c r="AH184" i="18"/>
  <c r="AH288" i="18" s="1"/>
  <c r="X122" i="18"/>
  <c r="X285" i="18" s="1"/>
  <c r="Z91" i="18"/>
  <c r="Z283" i="18" s="1"/>
  <c r="AC60" i="18"/>
  <c r="AC282" i="18" s="1"/>
  <c r="K122" i="18"/>
  <c r="K285" i="18" s="1"/>
  <c r="L470" i="18"/>
  <c r="L574" i="18" s="1"/>
  <c r="L346" i="18"/>
  <c r="L568" i="18" s="1"/>
  <c r="L563" i="18"/>
  <c r="L578" i="18" s="1"/>
  <c r="L532" i="18"/>
  <c r="L577" i="18" s="1"/>
  <c r="L439" i="18"/>
  <c r="L572" i="18" s="1"/>
  <c r="L588" i="18" s="1"/>
  <c r="L408" i="18"/>
  <c r="L571" i="18" s="1"/>
  <c r="O122" i="18"/>
  <c r="O285" i="18" s="1"/>
  <c r="R849" i="18"/>
  <c r="R864" i="18" s="1"/>
  <c r="J501" i="18"/>
  <c r="J575" i="18" s="1"/>
  <c r="O787" i="18"/>
  <c r="O861" i="18" s="1"/>
  <c r="N632" i="18"/>
  <c r="N854" i="18" s="1"/>
  <c r="S122" i="18"/>
  <c r="S285" i="18" s="1"/>
  <c r="AF184" i="18"/>
  <c r="AF288" i="18" s="1"/>
  <c r="T91" i="18"/>
  <c r="T283" i="18" s="1"/>
  <c r="P694" i="18"/>
  <c r="P857" i="18" s="1"/>
  <c r="R246" i="18"/>
  <c r="R291" i="18" s="1"/>
  <c r="U91" i="18"/>
  <c r="U283" i="18" s="1"/>
  <c r="AH91" i="18"/>
  <c r="AH283" i="18" s="1"/>
  <c r="X91" i="18"/>
  <c r="X283" i="18" s="1"/>
  <c r="Z277" i="18"/>
  <c r="Z292" i="18" s="1"/>
  <c r="U725" i="18"/>
  <c r="U858" i="18" s="1"/>
  <c r="K184" i="18"/>
  <c r="K288" i="18" s="1"/>
  <c r="O91" i="18"/>
  <c r="O283" i="18" s="1"/>
  <c r="R663" i="18"/>
  <c r="R855" i="18" s="1"/>
  <c r="J346" i="18"/>
  <c r="J568" i="18" s="1"/>
  <c r="O756" i="18"/>
  <c r="O860" i="18" s="1"/>
  <c r="N787" i="18"/>
  <c r="N861" i="18" s="1"/>
  <c r="S246" i="18"/>
  <c r="S291" i="18" s="1"/>
  <c r="AF91" i="18"/>
  <c r="AF283" i="18" s="1"/>
  <c r="T215" i="18"/>
  <c r="T289" i="18" s="1"/>
  <c r="P787" i="18"/>
  <c r="P861" i="18" s="1"/>
  <c r="AE725" i="18"/>
  <c r="AE858" i="18" s="1"/>
  <c r="R215" i="18"/>
  <c r="R289" i="18" s="1"/>
  <c r="U60" i="18"/>
  <c r="U282" i="18" s="1"/>
  <c r="AH122" i="18"/>
  <c r="AH285" i="18" s="1"/>
  <c r="X184" i="18"/>
  <c r="X288" i="18" s="1"/>
  <c r="Z184" i="18"/>
  <c r="Z288" i="18" s="1"/>
  <c r="U694" i="18"/>
  <c r="U857" i="18" s="1"/>
  <c r="K60" i="18"/>
  <c r="K282" i="18" s="1"/>
  <c r="O215" i="18"/>
  <c r="O289" i="18" s="1"/>
  <c r="R632" i="18"/>
  <c r="R854" i="18" s="1"/>
  <c r="J439" i="18"/>
  <c r="J572" i="18" s="1"/>
  <c r="J588" i="18" s="1"/>
  <c r="O663" i="18"/>
  <c r="O855" i="18" s="1"/>
  <c r="N663" i="18"/>
  <c r="N855" i="18" s="1"/>
  <c r="S277" i="18"/>
  <c r="S292" i="18" s="1"/>
  <c r="AG725" i="18"/>
  <c r="AG858" i="18" s="1"/>
  <c r="P663" i="18"/>
  <c r="P855" i="18" s="1"/>
  <c r="AE818" i="18"/>
  <c r="AE863" i="18" s="1"/>
  <c r="U184" i="18"/>
  <c r="U288" i="18" s="1"/>
  <c r="AH60" i="18"/>
  <c r="AH282" i="18" s="1"/>
  <c r="X60" i="18"/>
  <c r="X282" i="18" s="1"/>
  <c r="Z60" i="18"/>
  <c r="Z282" i="18" s="1"/>
  <c r="U818" i="18"/>
  <c r="U863" i="18" s="1"/>
  <c r="K91" i="18"/>
  <c r="K283" i="18" s="1"/>
  <c r="O277" i="18"/>
  <c r="O292" i="18" s="1"/>
  <c r="S694" i="18"/>
  <c r="S857" i="18" s="1"/>
  <c r="AH632" i="18"/>
  <c r="AH854" i="18" s="1"/>
  <c r="K439" i="18"/>
  <c r="K572" i="18" s="1"/>
  <c r="K588" i="18" s="1"/>
  <c r="P153" i="18"/>
  <c r="P286" i="18" s="1"/>
  <c r="S184" i="18"/>
  <c r="S288" i="18" s="1"/>
  <c r="AG818" i="18"/>
  <c r="AG863" i="18" s="1"/>
  <c r="P632" i="18"/>
  <c r="P854" i="18" s="1"/>
  <c r="AE694" i="18"/>
  <c r="AE857" i="18" s="1"/>
  <c r="M849" i="18"/>
  <c r="M864" i="18" s="1"/>
  <c r="R439" i="18"/>
  <c r="R572" i="18" s="1"/>
  <c r="R588" i="18" s="1"/>
  <c r="AB818" i="18"/>
  <c r="AB863" i="18" s="1"/>
  <c r="I470" i="18"/>
  <c r="I574" i="18" s="1"/>
  <c r="J184" i="18"/>
  <c r="J288" i="18" s="1"/>
  <c r="U849" i="18"/>
  <c r="U864" i="18" s="1"/>
  <c r="K215" i="18"/>
  <c r="K289" i="18" s="1"/>
  <c r="BX37" i="67"/>
  <c r="CA61" i="67"/>
  <c r="BV37" i="67"/>
  <c r="BU37" i="67"/>
  <c r="BQ8" i="67"/>
  <c r="CI66" i="67"/>
  <c r="BN66" i="67"/>
  <c r="BO37" i="67"/>
  <c r="CE37" i="67"/>
  <c r="Y366" i="72"/>
  <c r="CB42" i="67"/>
  <c r="L379" i="72"/>
  <c r="BO55" i="67"/>
  <c r="L378" i="72"/>
  <c r="BO54" i="67"/>
  <c r="K608" i="72"/>
  <c r="BN68" i="67"/>
  <c r="Q378" i="72"/>
  <c r="BT54" i="67"/>
  <c r="Z378" i="72"/>
  <c r="CC54" i="67"/>
  <c r="V378" i="72"/>
  <c r="BY54" i="67"/>
  <c r="W366" i="72"/>
  <c r="BZ42" i="67"/>
  <c r="AF366" i="72"/>
  <c r="CI42" i="67"/>
  <c r="AD379" i="72"/>
  <c r="CG55" i="67"/>
  <c r="X608" i="72"/>
  <c r="CA68" i="67"/>
  <c r="AE608" i="72"/>
  <c r="CH68" i="67"/>
  <c r="AC608" i="72"/>
  <c r="CF68" i="67"/>
  <c r="AC605" i="72"/>
  <c r="CF65" i="67"/>
  <c r="AC610" i="72"/>
  <c r="CF70" i="67"/>
  <c r="AF614" i="72"/>
  <c r="CI74" i="67"/>
  <c r="Y614" i="72"/>
  <c r="CB74" i="67"/>
  <c r="Z367" i="72"/>
  <c r="CC43" i="67"/>
  <c r="X367" i="72"/>
  <c r="CA43" i="67"/>
  <c r="Q618" i="72"/>
  <c r="BT78" i="67"/>
  <c r="AE362" i="72"/>
  <c r="CH38" i="67"/>
  <c r="Q116" i="72"/>
  <c r="BT9" i="67"/>
  <c r="X124" i="72"/>
  <c r="CA17" i="67"/>
  <c r="X129" i="72"/>
  <c r="CA22" i="67"/>
  <c r="T129" i="72"/>
  <c r="BW22" i="67"/>
  <c r="L132" i="72"/>
  <c r="BO25" i="67"/>
  <c r="N377" i="72"/>
  <c r="BQ53" i="67"/>
  <c r="R605" i="72"/>
  <c r="BU65" i="67"/>
  <c r="K365" i="72"/>
  <c r="BN41" i="67"/>
  <c r="AF365" i="72"/>
  <c r="CI41" i="67"/>
  <c r="N365" i="72"/>
  <c r="BQ41" i="67"/>
  <c r="L615" i="72"/>
  <c r="BO75" i="67"/>
  <c r="U615" i="72"/>
  <c r="BX75" i="67"/>
  <c r="AE371" i="72"/>
  <c r="CH47" i="67"/>
  <c r="O374" i="72"/>
  <c r="U374" i="72"/>
  <c r="AG611" i="72"/>
  <c r="CJ71" i="67"/>
  <c r="K111" i="48" s="1"/>
  <c r="AA611" i="72"/>
  <c r="CD71" i="67"/>
  <c r="I125" i="72"/>
  <c r="BL18" i="67"/>
  <c r="AA125" i="72"/>
  <c r="CD18" i="67"/>
  <c r="AD125" i="72"/>
  <c r="CG18" i="67"/>
  <c r="AE363" i="72"/>
  <c r="CH39" i="67"/>
  <c r="K363" i="72"/>
  <c r="BN39" i="67"/>
  <c r="V119" i="72"/>
  <c r="BY12" i="67"/>
  <c r="J368" i="72"/>
  <c r="BM44" i="67"/>
  <c r="W368" i="72"/>
  <c r="BZ44" i="67"/>
  <c r="R368" i="72"/>
  <c r="BU44" i="67"/>
  <c r="H619" i="72"/>
  <c r="BK79" i="67"/>
  <c r="J119" i="48" s="1"/>
  <c r="O619" i="72"/>
  <c r="BR79" i="67"/>
  <c r="Y622" i="72"/>
  <c r="CB82" i="67"/>
  <c r="S376" i="72"/>
  <c r="BV52" i="67"/>
  <c r="AE612" i="72"/>
  <c r="CH72" i="67"/>
  <c r="J123" i="72"/>
  <c r="BM16" i="67"/>
  <c r="V130" i="72"/>
  <c r="BY23" i="67"/>
  <c r="O130" i="72"/>
  <c r="BR23" i="67"/>
  <c r="N380" i="72"/>
  <c r="BQ56" i="67"/>
  <c r="AG380" i="72"/>
  <c r="CJ56" i="67"/>
  <c r="I125" i="48" s="1"/>
  <c r="AD616" i="72"/>
  <c r="CG76" i="67"/>
  <c r="V372" i="72"/>
  <c r="AF116" i="72"/>
  <c r="CI9" i="67"/>
  <c r="Q121" i="72"/>
  <c r="BT14" i="67"/>
  <c r="I121" i="72"/>
  <c r="BL14" i="67"/>
  <c r="I626" i="72"/>
  <c r="BL86" i="67"/>
  <c r="AA133" i="72"/>
  <c r="CD26" i="67"/>
  <c r="AB133" i="72"/>
  <c r="CE26" i="67"/>
  <c r="X621" i="72"/>
  <c r="CA81" i="67"/>
  <c r="Z120" i="72"/>
  <c r="CC13" i="67"/>
  <c r="S120" i="72"/>
  <c r="BV13" i="67"/>
  <c r="K126" i="72"/>
  <c r="BN19" i="67"/>
  <c r="R126" i="72"/>
  <c r="BU19" i="67"/>
  <c r="V620" i="72"/>
  <c r="BY80" i="67"/>
  <c r="V375" i="72"/>
  <c r="AC375" i="72"/>
  <c r="R364" i="72"/>
  <c r="BU40" i="67"/>
  <c r="T369" i="72"/>
  <c r="BW45" i="67"/>
  <c r="R369" i="72"/>
  <c r="BU45" i="67"/>
  <c r="H369" i="72"/>
  <c r="BK45" i="67"/>
  <c r="H114" i="48" s="1"/>
  <c r="X625" i="72"/>
  <c r="CA85" i="67"/>
  <c r="Y607" i="72"/>
  <c r="CB67" i="67"/>
  <c r="W607" i="72"/>
  <c r="BZ67" i="67"/>
  <c r="AA128" i="72"/>
  <c r="CD21" i="67"/>
  <c r="X605" i="72"/>
  <c r="CA65" i="67"/>
  <c r="AB127" i="72"/>
  <c r="CE20" i="67"/>
  <c r="J127" i="72"/>
  <c r="BM20" i="67"/>
  <c r="U114" i="72"/>
  <c r="BX7" i="67"/>
  <c r="Z623" i="72"/>
  <c r="CC83" i="67"/>
  <c r="AD623" i="72"/>
  <c r="CG83" i="67"/>
  <c r="Q623" i="72"/>
  <c r="BT83" i="67"/>
  <c r="AC362" i="72"/>
  <c r="CF38" i="67"/>
  <c r="AG613" i="72"/>
  <c r="CJ73" i="67"/>
  <c r="K113" i="48" s="1"/>
  <c r="R617" i="72"/>
  <c r="BU77" i="67"/>
  <c r="X617" i="72"/>
  <c r="CA77" i="67"/>
  <c r="K131" i="72"/>
  <c r="BN24" i="67"/>
  <c r="M117" i="72"/>
  <c r="BP10" i="67"/>
  <c r="Y117" i="72"/>
  <c r="CB10" i="67"/>
  <c r="R122" i="72"/>
  <c r="BU15" i="67"/>
  <c r="P118" i="72"/>
  <c r="BS11" i="67"/>
  <c r="R118" i="72"/>
  <c r="BU11" i="67"/>
  <c r="L373" i="72"/>
  <c r="BO49" i="67"/>
  <c r="R373" i="72"/>
  <c r="BU49" i="67"/>
  <c r="W134" i="72"/>
  <c r="BZ27" i="67"/>
  <c r="AC134" i="72"/>
  <c r="CF27" i="67"/>
  <c r="CE92" i="67"/>
  <c r="BP37" i="67"/>
  <c r="CE30" i="67"/>
  <c r="CJ8" i="67"/>
  <c r="G106" i="48" s="1"/>
  <c r="BW64" i="67"/>
  <c r="BV92" i="67"/>
  <c r="BU32" i="67"/>
  <c r="BQ59" i="67"/>
  <c r="CG32" i="67"/>
  <c r="BS58" i="67"/>
  <c r="BU92" i="67"/>
  <c r="BV32" i="67"/>
  <c r="BY58" i="67"/>
  <c r="CI63" i="67"/>
  <c r="BU8" i="67"/>
  <c r="CF35" i="67"/>
  <c r="BN30" i="67"/>
  <c r="BR8" i="67"/>
  <c r="CI92" i="67"/>
  <c r="BT37" i="67"/>
  <c r="BV58" i="67"/>
  <c r="BY8" i="67"/>
  <c r="CF61" i="67"/>
  <c r="CH66" i="67"/>
  <c r="CB29" i="67"/>
  <c r="BY92" i="67"/>
  <c r="BZ37" i="67"/>
  <c r="BT8" i="67"/>
  <c r="BW90" i="67"/>
  <c r="CE58" i="67"/>
  <c r="BO61" i="67"/>
  <c r="BQ66" i="67"/>
  <c r="BX30" i="67"/>
  <c r="BX8" i="67"/>
  <c r="BY30" i="67"/>
  <c r="CC61" i="67"/>
  <c r="CI90" i="67"/>
  <c r="BY34" i="67"/>
  <c r="Z360" i="72"/>
  <c r="CC36" i="67"/>
  <c r="X378" i="72"/>
  <c r="CA54" i="67"/>
  <c r="AC378" i="72"/>
  <c r="CF54" i="67"/>
  <c r="Q379" i="72"/>
  <c r="BT55" i="67"/>
  <c r="Y608" i="72"/>
  <c r="CB68" i="67"/>
  <c r="J608" i="72"/>
  <c r="BM68" i="67"/>
  <c r="M610" i="72"/>
  <c r="BP70" i="67"/>
  <c r="Y610" i="72"/>
  <c r="CB70" i="67"/>
  <c r="I610" i="72"/>
  <c r="BL70" i="67"/>
  <c r="I614" i="72"/>
  <c r="BL74" i="67"/>
  <c r="I618" i="72"/>
  <c r="BL78" i="67"/>
  <c r="P618" i="72"/>
  <c r="BS78" i="67"/>
  <c r="P124" i="72"/>
  <c r="BS17" i="67"/>
  <c r="J124" i="72"/>
  <c r="BM17" i="67"/>
  <c r="AA129" i="72"/>
  <c r="CD22" i="67"/>
  <c r="O132" i="72"/>
  <c r="BR25" i="67"/>
  <c r="V132" i="72"/>
  <c r="BY25" i="67"/>
  <c r="X377" i="72"/>
  <c r="CA53" i="67"/>
  <c r="V377" i="72"/>
  <c r="BY53" i="67"/>
  <c r="I605" i="72"/>
  <c r="BL65" i="67"/>
  <c r="X365" i="72"/>
  <c r="CA41" i="67"/>
  <c r="P615" i="72"/>
  <c r="BS75" i="67"/>
  <c r="U371" i="72"/>
  <c r="BX47" i="67"/>
  <c r="AA371" i="72"/>
  <c r="CD47" i="67"/>
  <c r="T374" i="72"/>
  <c r="H374" i="72"/>
  <c r="BK50" i="67"/>
  <c r="H119" i="48" s="1"/>
  <c r="W374" i="72"/>
  <c r="W611" i="72"/>
  <c r="BZ71" i="67"/>
  <c r="T362" i="72"/>
  <c r="BW38" i="67"/>
  <c r="Y125" i="72"/>
  <c r="CB18" i="67"/>
  <c r="T125" i="72"/>
  <c r="BW18" i="67"/>
  <c r="M363" i="72"/>
  <c r="BP39" i="67"/>
  <c r="AA119" i="72"/>
  <c r="CD12" i="67"/>
  <c r="M119" i="72"/>
  <c r="BP12" i="67"/>
  <c r="K368" i="72"/>
  <c r="BN44" i="67"/>
  <c r="L368" i="72"/>
  <c r="BO44" i="67"/>
  <c r="J619" i="72"/>
  <c r="BM79" i="67"/>
  <c r="O622" i="72"/>
  <c r="BR82" i="67"/>
  <c r="R376" i="72"/>
  <c r="BU52" i="67"/>
  <c r="X376" i="72"/>
  <c r="CA52" i="67"/>
  <c r="H362" i="72"/>
  <c r="BK38" i="67"/>
  <c r="H107" i="48" s="1"/>
  <c r="AD116" i="72"/>
  <c r="CG9" i="67"/>
  <c r="H612" i="72"/>
  <c r="BK72" i="67"/>
  <c r="J112" i="48" s="1"/>
  <c r="AC612" i="72"/>
  <c r="CF72" i="67"/>
  <c r="O123" i="72"/>
  <c r="BR16" i="67"/>
  <c r="T123" i="72"/>
  <c r="BW16" i="67"/>
  <c r="U130" i="72"/>
  <c r="BX23" i="67"/>
  <c r="AG130" i="72"/>
  <c r="CJ23" i="67"/>
  <c r="G121" i="48" s="1"/>
  <c r="AB380" i="72"/>
  <c r="CE56" i="67"/>
  <c r="V380" i="72"/>
  <c r="BY56" i="67"/>
  <c r="H616" i="72"/>
  <c r="BK76" i="67"/>
  <c r="J116" i="48" s="1"/>
  <c r="AA372" i="72"/>
  <c r="Q372" i="72"/>
  <c r="BT48" i="67"/>
  <c r="P121" i="72"/>
  <c r="BS14" i="67"/>
  <c r="H121" i="72"/>
  <c r="BK14" i="67"/>
  <c r="F112" i="48" s="1"/>
  <c r="Y626" i="72"/>
  <c r="CB86" i="67"/>
  <c r="X133" i="72"/>
  <c r="CA26" i="67"/>
  <c r="S133" i="72"/>
  <c r="BV26" i="67"/>
  <c r="AF133" i="72"/>
  <c r="CI26" i="67"/>
  <c r="M133" i="72"/>
  <c r="BP26" i="67"/>
  <c r="Y120" i="72"/>
  <c r="CB13" i="67"/>
  <c r="R120" i="72"/>
  <c r="BU13" i="67"/>
  <c r="Z126" i="72"/>
  <c r="CC19" i="67"/>
  <c r="W126" i="72"/>
  <c r="BZ19" i="67"/>
  <c r="I620" i="72"/>
  <c r="BL80" i="67"/>
  <c r="L620" i="72"/>
  <c r="BO80" i="67"/>
  <c r="U375" i="72"/>
  <c r="S375" i="72"/>
  <c r="BV51" i="67"/>
  <c r="AB375" i="72"/>
  <c r="AD370" i="72"/>
  <c r="CG46" i="67"/>
  <c r="W605" i="72"/>
  <c r="BZ65" i="67"/>
  <c r="U364" i="72"/>
  <c r="BX40" i="67"/>
  <c r="S369" i="72"/>
  <c r="BV45" i="67"/>
  <c r="M369" i="72"/>
  <c r="BP45" i="67"/>
  <c r="Q625" i="72"/>
  <c r="BT85" i="67"/>
  <c r="AF625" i="72"/>
  <c r="CI85" i="67"/>
  <c r="U607" i="72"/>
  <c r="BX67" i="67"/>
  <c r="S607" i="72"/>
  <c r="BV67" i="67"/>
  <c r="Y360" i="72"/>
  <c r="CB36" i="67"/>
  <c r="P128" i="72"/>
  <c r="BS21" i="67"/>
  <c r="W128" i="72"/>
  <c r="BZ21" i="67"/>
  <c r="O127" i="72"/>
  <c r="BR20" i="67"/>
  <c r="I623" i="72"/>
  <c r="BL83" i="67"/>
  <c r="S623" i="72"/>
  <c r="BV83" i="67"/>
  <c r="Z605" i="72"/>
  <c r="CC65" i="67"/>
  <c r="I613" i="72"/>
  <c r="BL73" i="67"/>
  <c r="AB613" i="72"/>
  <c r="CE73" i="67"/>
  <c r="W617" i="72"/>
  <c r="BZ77" i="67"/>
  <c r="K617" i="72"/>
  <c r="BN77" i="67"/>
  <c r="AG131" i="72"/>
  <c r="CJ24" i="67"/>
  <c r="G122" i="48" s="1"/>
  <c r="AB117" i="72"/>
  <c r="CE10" i="67"/>
  <c r="I122" i="72"/>
  <c r="BL15" i="67"/>
  <c r="V122" i="72"/>
  <c r="BY15" i="67"/>
  <c r="W118" i="72"/>
  <c r="BZ11" i="67"/>
  <c r="N373" i="72"/>
  <c r="I373" i="72"/>
  <c r="BL49" i="67"/>
  <c r="Y134" i="72"/>
  <c r="CB27" i="67"/>
  <c r="W609" i="72"/>
  <c r="BZ69" i="67"/>
  <c r="L609" i="72"/>
  <c r="BO69" i="67"/>
  <c r="BZ87" i="67"/>
  <c r="BO33" i="67"/>
  <c r="CJ30" i="67"/>
  <c r="G128" i="48" s="1"/>
  <c r="CF29" i="67"/>
  <c r="BN64" i="67"/>
  <c r="CD92" i="67"/>
  <c r="BP33" i="67"/>
  <c r="BM59" i="67"/>
  <c r="CF33" i="67"/>
  <c r="BR29" i="67"/>
  <c r="CB92" i="67"/>
  <c r="BN37" i="67"/>
  <c r="CF34" i="67"/>
  <c r="AA605" i="72"/>
  <c r="CD65" i="67"/>
  <c r="CD63" i="67"/>
  <c r="CD29" i="67"/>
  <c r="CD93" i="67"/>
  <c r="BT63" i="67"/>
  <c r="BM8" i="67"/>
  <c r="BK92" i="67"/>
  <c r="J132" i="48" s="1"/>
  <c r="CB37" i="67"/>
  <c r="BO35" i="67"/>
  <c r="BV61" i="67"/>
  <c r="BZ66" i="67"/>
  <c r="CJ33" i="67"/>
  <c r="G131" i="48" s="1"/>
  <c r="CH87" i="67"/>
  <c r="CI33" i="67"/>
  <c r="CG88" i="67"/>
  <c r="BM90" i="67"/>
  <c r="BL29" i="67"/>
  <c r="BT61" i="67"/>
  <c r="BW34" i="67"/>
  <c r="BR30" i="67"/>
  <c r="BS29" i="67"/>
  <c r="CH30" i="67"/>
  <c r="CF91" i="67"/>
  <c r="CG90" i="67"/>
  <c r="BS34" i="67"/>
  <c r="N129" i="72"/>
  <c r="BQ22" i="67"/>
  <c r="R615" i="72"/>
  <c r="BU75" i="67"/>
  <c r="X371" i="72"/>
  <c r="CA47" i="67"/>
  <c r="Y374" i="72"/>
  <c r="R363" i="72"/>
  <c r="BU39" i="67"/>
  <c r="P119" i="72"/>
  <c r="BS12" i="67"/>
  <c r="O368" i="72"/>
  <c r="BR44" i="67"/>
  <c r="Z619" i="72"/>
  <c r="CC79" i="67"/>
  <c r="V622" i="72"/>
  <c r="BY82" i="67"/>
  <c r="AG376" i="72"/>
  <c r="CJ52" i="67"/>
  <c r="I121" i="48" s="1"/>
  <c r="AG362" i="72"/>
  <c r="CJ38" i="67"/>
  <c r="I107" i="48" s="1"/>
  <c r="AD612" i="72"/>
  <c r="CG72" i="67"/>
  <c r="P612" i="72"/>
  <c r="BS72" i="67"/>
  <c r="AC123" i="72"/>
  <c r="CF16" i="67"/>
  <c r="W123" i="72"/>
  <c r="BZ16" i="67"/>
  <c r="L130" i="72"/>
  <c r="BO23" i="67"/>
  <c r="H130" i="72"/>
  <c r="BK23" i="67"/>
  <c r="F121" i="48" s="1"/>
  <c r="AC380" i="72"/>
  <c r="CF56" i="67"/>
  <c r="Q380" i="72"/>
  <c r="BT56" i="67"/>
  <c r="U605" i="72"/>
  <c r="BX65" i="67"/>
  <c r="N616" i="72"/>
  <c r="BQ76" i="67"/>
  <c r="AC616" i="72"/>
  <c r="CF76" i="67"/>
  <c r="K372" i="72"/>
  <c r="BN48" i="67"/>
  <c r="X372" i="72"/>
  <c r="O121" i="72"/>
  <c r="BR14" i="67"/>
  <c r="X121" i="72"/>
  <c r="CA14" i="67"/>
  <c r="V626" i="72"/>
  <c r="BY86" i="67"/>
  <c r="AC133" i="72"/>
  <c r="CF26" i="67"/>
  <c r="Q621" i="72"/>
  <c r="BT81" i="67"/>
  <c r="J621" i="72"/>
  <c r="BM81" i="67"/>
  <c r="X120" i="72"/>
  <c r="CA13" i="67"/>
  <c r="AG120" i="72"/>
  <c r="CJ13" i="67"/>
  <c r="G111" i="48" s="1"/>
  <c r="J126" i="72"/>
  <c r="BM19" i="67"/>
  <c r="H126" i="72"/>
  <c r="BK19" i="67"/>
  <c r="F117" i="48" s="1"/>
  <c r="X620" i="72"/>
  <c r="CA80" i="67"/>
  <c r="K375" i="72"/>
  <c r="BN51" i="67"/>
  <c r="M375" i="72"/>
  <c r="L370" i="72"/>
  <c r="BO46" i="67"/>
  <c r="Q370" i="72"/>
  <c r="BT46" i="67"/>
  <c r="N364" i="72"/>
  <c r="BQ40" i="67"/>
  <c r="AA364" i="72"/>
  <c r="CD40" i="67"/>
  <c r="Y364" i="72"/>
  <c r="CB40" i="67"/>
  <c r="J369" i="72"/>
  <c r="BM45" i="67"/>
  <c r="O625" i="72"/>
  <c r="BR85" i="67"/>
  <c r="AB607" i="72"/>
  <c r="CE67" i="67"/>
  <c r="AC128" i="72"/>
  <c r="CF21" i="67"/>
  <c r="S128" i="72"/>
  <c r="BV21" i="67"/>
  <c r="U127" i="72"/>
  <c r="BX20" i="67"/>
  <c r="AB114" i="72"/>
  <c r="CE7" i="67"/>
  <c r="J114" i="72"/>
  <c r="BM7" i="67"/>
  <c r="O623" i="72"/>
  <c r="BR83" i="67"/>
  <c r="V613" i="72"/>
  <c r="BY73" i="67"/>
  <c r="P613" i="72"/>
  <c r="BS73" i="67"/>
  <c r="AG617" i="72"/>
  <c r="CJ77" i="67"/>
  <c r="K117" i="48" s="1"/>
  <c r="AA617" i="72"/>
  <c r="CD77" i="67"/>
  <c r="Z131" i="72"/>
  <c r="CC24" i="67"/>
  <c r="X131" i="72"/>
  <c r="CA24" i="67"/>
  <c r="L117" i="72"/>
  <c r="BO10" i="67"/>
  <c r="X117" i="72"/>
  <c r="CA10" i="67"/>
  <c r="T117" i="72"/>
  <c r="BW10" i="67"/>
  <c r="N122" i="72"/>
  <c r="BQ15" i="67"/>
  <c r="M362" i="72"/>
  <c r="BP38" i="67"/>
  <c r="V118" i="72"/>
  <c r="BY11" i="67"/>
  <c r="K118" i="72"/>
  <c r="BN11" i="67"/>
  <c r="AE118" i="72"/>
  <c r="CH11" i="67"/>
  <c r="AE373" i="72"/>
  <c r="AE134" i="72"/>
  <c r="CH27" i="67"/>
  <c r="Z134" i="72"/>
  <c r="CC27" i="67"/>
  <c r="AD609" i="72"/>
  <c r="CG69" i="67"/>
  <c r="CE87" i="67"/>
  <c r="BK33" i="67"/>
  <c r="F131" i="48" s="1"/>
  <c r="CA63" i="67"/>
  <c r="BU29" i="67"/>
  <c r="N116" i="72"/>
  <c r="BQ9" i="67"/>
  <c r="BX87" i="67"/>
  <c r="CA33" i="67"/>
  <c r="BL33" i="67"/>
  <c r="BS87" i="67"/>
  <c r="BQ33" i="67"/>
  <c r="CB88" i="67"/>
  <c r="BP59" i="67"/>
  <c r="CI31" i="67"/>
  <c r="BK60" i="67"/>
  <c r="H129" i="48" s="1"/>
  <c r="CF88" i="67"/>
  <c r="AG619" i="72"/>
  <c r="CJ79" i="67"/>
  <c r="K119" i="48" s="1"/>
  <c r="BO63" i="67"/>
  <c r="BN29" i="67"/>
  <c r="CJ87" i="67"/>
  <c r="K127" i="48" s="1"/>
  <c r="CH33" i="67"/>
  <c r="CJ29" i="67"/>
  <c r="G127" i="48" s="1"/>
  <c r="CA91" i="67"/>
  <c r="CG89" i="67"/>
  <c r="BX90" i="67"/>
  <c r="CD33" i="67"/>
  <c r="CH32" i="67"/>
  <c r="CG64" i="67"/>
  <c r="BN93" i="67"/>
  <c r="BY91" i="67"/>
  <c r="BS60" i="67"/>
  <c r="BX63" i="67"/>
  <c r="BZ29" i="67"/>
  <c r="X116" i="72"/>
  <c r="CA9" i="67"/>
  <c r="BY63" i="67"/>
  <c r="BU91" i="67"/>
  <c r="CE64" i="67"/>
  <c r="BR35" i="67"/>
  <c r="L610" i="72"/>
  <c r="BO70" i="67"/>
  <c r="AC377" i="72"/>
  <c r="CF53" i="67"/>
  <c r="O371" i="72"/>
  <c r="BR47" i="67"/>
  <c r="U611" i="72"/>
  <c r="BX71" i="67"/>
  <c r="AB378" i="72"/>
  <c r="CE54" i="67"/>
  <c r="J378" i="72"/>
  <c r="BM54" i="67"/>
  <c r="S366" i="72"/>
  <c r="BV42" i="67"/>
  <c r="J366" i="72"/>
  <c r="BM42" i="67"/>
  <c r="T379" i="72"/>
  <c r="BW55" i="67"/>
  <c r="N379" i="72"/>
  <c r="BQ55" i="67"/>
  <c r="L608" i="72"/>
  <c r="BO68" i="67"/>
  <c r="AG608" i="72"/>
  <c r="CJ68" i="67"/>
  <c r="K108" i="48" s="1"/>
  <c r="S360" i="72"/>
  <c r="BV36" i="67"/>
  <c r="K610" i="72"/>
  <c r="BN70" i="67"/>
  <c r="AF610" i="72"/>
  <c r="CI70" i="67"/>
  <c r="K614" i="72"/>
  <c r="BN74" i="67"/>
  <c r="AB367" i="72"/>
  <c r="CE43" i="67"/>
  <c r="T367" i="72"/>
  <c r="BW43" i="67"/>
  <c r="AE367" i="72"/>
  <c r="CH43" i="67"/>
  <c r="AF618" i="72"/>
  <c r="CI78" i="67"/>
  <c r="AD605" i="72"/>
  <c r="CG65" i="67"/>
  <c r="O124" i="72"/>
  <c r="BR17" i="67"/>
  <c r="H124" i="72"/>
  <c r="BK17" i="67"/>
  <c r="F115" i="48" s="1"/>
  <c r="S129" i="72"/>
  <c r="BV22" i="67"/>
  <c r="T132" i="72"/>
  <c r="BW25" i="67"/>
  <c r="H132" i="72"/>
  <c r="BK25" i="67"/>
  <c r="F123" i="48" s="1"/>
  <c r="Q360" i="72"/>
  <c r="BT36" i="67"/>
  <c r="AA360" i="72"/>
  <c r="CD36" i="67"/>
  <c r="R365" i="72"/>
  <c r="BU41" i="67"/>
  <c r="P365" i="72"/>
  <c r="BS41" i="67"/>
  <c r="U365" i="72"/>
  <c r="BX41" i="67"/>
  <c r="H615" i="72"/>
  <c r="BK75" i="67"/>
  <c r="J115" i="48" s="1"/>
  <c r="AE615" i="72"/>
  <c r="CH75" i="67"/>
  <c r="Q615" i="72"/>
  <c r="BT75" i="67"/>
  <c r="S371" i="72"/>
  <c r="BV47" i="67"/>
  <c r="AB374" i="72"/>
  <c r="AD374" i="72"/>
  <c r="I362" i="72"/>
  <c r="BL38" i="67"/>
  <c r="AB116" i="72"/>
  <c r="CE9" i="67"/>
  <c r="S611" i="72"/>
  <c r="BV71" i="67"/>
  <c r="M125" i="72"/>
  <c r="BP18" i="67"/>
  <c r="V363" i="72"/>
  <c r="BY39" i="67"/>
  <c r="Z363" i="72"/>
  <c r="CC39" i="67"/>
  <c r="AB119" i="72"/>
  <c r="CE12" i="67"/>
  <c r="U119" i="72"/>
  <c r="BX12" i="67"/>
  <c r="Y119" i="72"/>
  <c r="CB12" i="67"/>
  <c r="U368" i="72"/>
  <c r="BX44" i="67"/>
  <c r="V368" i="72"/>
  <c r="BY44" i="67"/>
  <c r="I619" i="72"/>
  <c r="BL79" i="67"/>
  <c r="V619" i="72"/>
  <c r="BY79" i="67"/>
  <c r="W622" i="72"/>
  <c r="BZ82" i="67"/>
  <c r="AE622" i="72"/>
  <c r="CH82" i="67"/>
  <c r="AB376" i="72"/>
  <c r="CE52" i="67"/>
  <c r="Z376" i="72"/>
  <c r="CC52" i="67"/>
  <c r="W376" i="72"/>
  <c r="BZ52" i="67"/>
  <c r="U612" i="72"/>
  <c r="BX72" i="67"/>
  <c r="I612" i="72"/>
  <c r="BL72" i="67"/>
  <c r="AA130" i="72"/>
  <c r="CD23" i="67"/>
  <c r="AD130" i="72"/>
  <c r="CG23" i="67"/>
  <c r="AD380" i="72"/>
  <c r="CG56" i="67"/>
  <c r="L605" i="72"/>
  <c r="BO65" i="67"/>
  <c r="I616" i="72"/>
  <c r="BL76" i="67"/>
  <c r="Z362" i="72"/>
  <c r="CC38" i="67"/>
  <c r="N121" i="72"/>
  <c r="BQ14" i="67"/>
  <c r="W121" i="72"/>
  <c r="BZ14" i="67"/>
  <c r="T626" i="72"/>
  <c r="BW86" i="67"/>
  <c r="R133" i="72"/>
  <c r="BU26" i="67"/>
  <c r="L133" i="72"/>
  <c r="BO26" i="67"/>
  <c r="I621" i="72"/>
  <c r="BL81" i="67"/>
  <c r="U116" i="72"/>
  <c r="BX9" i="67"/>
  <c r="W120" i="72"/>
  <c r="BZ13" i="67"/>
  <c r="Q120" i="72"/>
  <c r="BT13" i="67"/>
  <c r="O126" i="72"/>
  <c r="BR19" i="67"/>
  <c r="AG126" i="72"/>
  <c r="CJ19" i="67"/>
  <c r="G117" i="48" s="1"/>
  <c r="W620" i="72"/>
  <c r="BZ80" i="67"/>
  <c r="Y620" i="72"/>
  <c r="CB80" i="67"/>
  <c r="L375" i="72"/>
  <c r="AF375" i="72"/>
  <c r="AE364" i="72"/>
  <c r="CH40" i="67"/>
  <c r="AG364" i="72"/>
  <c r="CJ40" i="67"/>
  <c r="I109" i="48" s="1"/>
  <c r="P369" i="72"/>
  <c r="BS45" i="67"/>
  <c r="AG625" i="72"/>
  <c r="CJ85" i="67"/>
  <c r="K125" i="48" s="1"/>
  <c r="AC607" i="72"/>
  <c r="CF67" i="67"/>
  <c r="I607" i="72"/>
  <c r="BL67" i="67"/>
  <c r="R128" i="72"/>
  <c r="BU21" i="67"/>
  <c r="K128" i="72"/>
  <c r="BN21" i="67"/>
  <c r="L127" i="72"/>
  <c r="BO20" i="67"/>
  <c r="AG127" i="72"/>
  <c r="CJ20" i="67"/>
  <c r="G118" i="48" s="1"/>
  <c r="W114" i="72"/>
  <c r="BZ7" i="67"/>
  <c r="Y623" i="72"/>
  <c r="CB83" i="67"/>
  <c r="S362" i="72"/>
  <c r="BV38" i="67"/>
  <c r="AF613" i="72"/>
  <c r="CI73" i="67"/>
  <c r="AD613" i="72"/>
  <c r="CG73" i="67"/>
  <c r="AC617" i="72"/>
  <c r="CF77" i="67"/>
  <c r="Q131" i="72"/>
  <c r="BT24" i="67"/>
  <c r="P117" i="72"/>
  <c r="BS10" i="67"/>
  <c r="X122" i="72"/>
  <c r="CA15" i="67"/>
  <c r="AG118" i="72"/>
  <c r="CJ11" i="67"/>
  <c r="G109" i="48" s="1"/>
  <c r="O373" i="72"/>
  <c r="AC373" i="72"/>
  <c r="AB373" i="72"/>
  <c r="V134" i="72"/>
  <c r="BY27" i="67"/>
  <c r="M134" i="72"/>
  <c r="BP27" i="67"/>
  <c r="BS90" i="67"/>
  <c r="BZ34" i="67"/>
  <c r="CG31" i="67"/>
  <c r="CG60" i="67"/>
  <c r="CD87" i="67"/>
  <c r="BL34" i="67"/>
  <c r="BN91" i="67"/>
  <c r="BU34" i="67"/>
  <c r="CC87" i="67"/>
  <c r="CB33" i="67"/>
  <c r="BU89" i="67"/>
  <c r="BR61" i="67"/>
  <c r="CD31" i="67"/>
  <c r="CI60" i="67"/>
  <c r="CG37" i="67"/>
  <c r="CE59" i="67"/>
  <c r="BT31" i="67"/>
  <c r="CE60" i="67"/>
  <c r="BY90" i="67"/>
  <c r="BX33" i="67"/>
  <c r="BX60" i="67"/>
  <c r="BM62" i="67"/>
  <c r="BX89" i="67"/>
  <c r="CC90" i="67"/>
  <c r="BP34" i="67"/>
  <c r="CI29" i="67"/>
  <c r="BV30" i="67"/>
  <c r="BW93" i="67"/>
  <c r="CD62" i="67"/>
  <c r="BR34" i="67"/>
  <c r="CJ59" i="67"/>
  <c r="I128" i="48" s="1"/>
  <c r="BR63" i="67"/>
  <c r="BU60" i="67"/>
  <c r="BT59" i="67"/>
  <c r="CH63" i="67"/>
  <c r="CE62" i="67"/>
  <c r="BZ30" i="67"/>
  <c r="CD8" i="67"/>
  <c r="I116" i="72"/>
  <c r="BL9" i="67"/>
  <c r="O116" i="72"/>
  <c r="BR9" i="67"/>
  <c r="O378" i="72"/>
  <c r="BR54" i="67"/>
  <c r="T378" i="72"/>
  <c r="BW54" i="67"/>
  <c r="V366" i="72"/>
  <c r="BY42" i="67"/>
  <c r="P366" i="72"/>
  <c r="BS42" i="67"/>
  <c r="V379" i="72"/>
  <c r="BY55" i="67"/>
  <c r="AF379" i="72"/>
  <c r="CI55" i="67"/>
  <c r="AB608" i="72"/>
  <c r="CE68" i="67"/>
  <c r="AE610" i="72"/>
  <c r="CH70" i="67"/>
  <c r="R610" i="72"/>
  <c r="BU70" i="67"/>
  <c r="L614" i="72"/>
  <c r="BO74" i="67"/>
  <c r="AG367" i="72"/>
  <c r="CJ43" i="67"/>
  <c r="I112" i="48" s="1"/>
  <c r="W367" i="72"/>
  <c r="BZ43" i="67"/>
  <c r="Y618" i="72"/>
  <c r="CB78" i="67"/>
  <c r="L618" i="72"/>
  <c r="BO78" i="67"/>
  <c r="V124" i="72"/>
  <c r="BY17" i="67"/>
  <c r="AE124" i="72"/>
  <c r="CH17" i="67"/>
  <c r="K129" i="72"/>
  <c r="BN22" i="67"/>
  <c r="AA132" i="72"/>
  <c r="CD25" i="67"/>
  <c r="AD132" i="72"/>
  <c r="CG25" i="67"/>
  <c r="M377" i="72"/>
  <c r="BP53" i="67"/>
  <c r="R377" i="72"/>
  <c r="BU53" i="67"/>
  <c r="Z365" i="72"/>
  <c r="CC41" i="67"/>
  <c r="W365" i="72"/>
  <c r="BZ41" i="67"/>
  <c r="V365" i="72"/>
  <c r="BY41" i="67"/>
  <c r="W615" i="72"/>
  <c r="BZ75" i="67"/>
  <c r="S615" i="72"/>
  <c r="BV75" i="67"/>
  <c r="K371" i="72"/>
  <c r="BN47" i="67"/>
  <c r="L374" i="72"/>
  <c r="BO50" i="67"/>
  <c r="AG374" i="72"/>
  <c r="V374" i="72"/>
  <c r="Q362" i="72"/>
  <c r="BT38" i="67"/>
  <c r="AB620" i="72"/>
  <c r="CE80" i="67"/>
  <c r="M611" i="72"/>
  <c r="BP71" i="67"/>
  <c r="K611" i="72"/>
  <c r="BN71" i="67"/>
  <c r="AG125" i="72"/>
  <c r="CJ18" i="67"/>
  <c r="G116" i="48" s="1"/>
  <c r="AB363" i="72"/>
  <c r="CE39" i="67"/>
  <c r="K119" i="72"/>
  <c r="BN12" i="67"/>
  <c r="AG119" i="72"/>
  <c r="CJ12" i="67"/>
  <c r="G110" i="48" s="1"/>
  <c r="AB368" i="72"/>
  <c r="CE44" i="67"/>
  <c r="S619" i="72"/>
  <c r="BV79" i="67"/>
  <c r="T619" i="72"/>
  <c r="BW79" i="67"/>
  <c r="AF622" i="72"/>
  <c r="CI82" i="67"/>
  <c r="L376" i="72"/>
  <c r="BO52" i="67"/>
  <c r="V376" i="72"/>
  <c r="BY52" i="67"/>
  <c r="K605" i="72"/>
  <c r="BN65" i="67"/>
  <c r="W612" i="72"/>
  <c r="BZ72" i="67"/>
  <c r="N123" i="72"/>
  <c r="BQ16" i="67"/>
  <c r="S123" i="72"/>
  <c r="BV16" i="67"/>
  <c r="Q130" i="72"/>
  <c r="BT23" i="67"/>
  <c r="AE380" i="72"/>
  <c r="CH56" i="67"/>
  <c r="U380" i="72"/>
  <c r="BX56" i="67"/>
  <c r="AA616" i="72"/>
  <c r="CD76" i="67"/>
  <c r="Q616" i="72"/>
  <c r="BT76" i="67"/>
  <c r="AD372" i="72"/>
  <c r="T372" i="72"/>
  <c r="AF372" i="72"/>
  <c r="O605" i="72"/>
  <c r="BR65" i="67"/>
  <c r="V121" i="72"/>
  <c r="BY14" i="67"/>
  <c r="W626" i="72"/>
  <c r="BZ86" i="67"/>
  <c r="N133" i="72"/>
  <c r="BQ26" i="67"/>
  <c r="K133" i="72"/>
  <c r="BN26" i="67"/>
  <c r="AG621" i="72"/>
  <c r="CJ81" i="67"/>
  <c r="K121" i="48" s="1"/>
  <c r="Z621" i="72"/>
  <c r="CC81" i="67"/>
  <c r="J116" i="72"/>
  <c r="BM9" i="67"/>
  <c r="V120" i="72"/>
  <c r="BY13" i="67"/>
  <c r="H120" i="72"/>
  <c r="BK13" i="67"/>
  <c r="F111" i="48" s="1"/>
  <c r="AD126" i="72"/>
  <c r="CG19" i="67"/>
  <c r="V126" i="72"/>
  <c r="BY19" i="67"/>
  <c r="U620" i="72"/>
  <c r="BX80" i="67"/>
  <c r="P620" i="72"/>
  <c r="BS80" i="67"/>
  <c r="W375" i="72"/>
  <c r="R375" i="72"/>
  <c r="BU51" i="67"/>
  <c r="AC370" i="72"/>
  <c r="CF46" i="67"/>
  <c r="U370" i="72"/>
  <c r="BX46" i="67"/>
  <c r="I370" i="72"/>
  <c r="BL46" i="67"/>
  <c r="O364" i="72"/>
  <c r="BR40" i="67"/>
  <c r="AB369" i="72"/>
  <c r="CE45" i="67"/>
  <c r="M625" i="72"/>
  <c r="BP85" i="67"/>
  <c r="AE607" i="72"/>
  <c r="CH67" i="67"/>
  <c r="H607" i="72"/>
  <c r="BK67" i="67"/>
  <c r="J107" i="48" s="1"/>
  <c r="AE128" i="72"/>
  <c r="CH21" i="67"/>
  <c r="V128" i="72"/>
  <c r="BY21" i="67"/>
  <c r="Q127" i="72"/>
  <c r="BT20" i="67"/>
  <c r="AD127" i="72"/>
  <c r="CG20" i="67"/>
  <c r="Y127" i="72"/>
  <c r="CB20" i="67"/>
  <c r="AG114" i="72"/>
  <c r="CJ7" i="67"/>
  <c r="G105" i="48" s="1"/>
  <c r="AE623" i="72"/>
  <c r="CH83" i="67"/>
  <c r="AG623" i="72"/>
  <c r="CJ83" i="67"/>
  <c r="K123" i="48" s="1"/>
  <c r="AB362" i="72"/>
  <c r="CE38" i="67"/>
  <c r="X613" i="72"/>
  <c r="CA73" i="67"/>
  <c r="R613" i="72"/>
  <c r="BU73" i="67"/>
  <c r="P617" i="72"/>
  <c r="BS77" i="67"/>
  <c r="T617" i="72"/>
  <c r="BW77" i="67"/>
  <c r="N617" i="72"/>
  <c r="BQ77" i="67"/>
  <c r="AC131" i="72"/>
  <c r="CF24" i="67"/>
  <c r="AA117" i="72"/>
  <c r="CD10" i="67"/>
  <c r="I360" i="72"/>
  <c r="BL36" i="67"/>
  <c r="V373" i="72"/>
  <c r="AG373" i="72"/>
  <c r="H134" i="72"/>
  <c r="BK27" i="67"/>
  <c r="F125" i="48" s="1"/>
  <c r="S609" i="72"/>
  <c r="BV69" i="67"/>
  <c r="N609" i="72"/>
  <c r="BQ69" i="67"/>
  <c r="BX64" i="67"/>
  <c r="CI34" i="67"/>
  <c r="BY31" i="67"/>
  <c r="BT93" i="67"/>
  <c r="AE619" i="72"/>
  <c r="CH79" i="67"/>
  <c r="BR90" i="67"/>
  <c r="CJ34" i="67"/>
  <c r="G132" i="48" s="1"/>
  <c r="BW91" i="67"/>
  <c r="BP90" i="67"/>
  <c r="BM34" i="67"/>
  <c r="BV8" i="67"/>
  <c r="BZ61" i="67"/>
  <c r="BL66" i="67"/>
  <c r="CH93" i="67"/>
  <c r="CH29" i="67"/>
  <c r="CG61" i="67"/>
  <c r="BO31" i="67"/>
  <c r="CD88" i="67"/>
  <c r="CD90" i="67"/>
  <c r="CD34" i="67"/>
  <c r="BQ93" i="67"/>
  <c r="CJ62" i="67"/>
  <c r="I131" i="48" s="1"/>
  <c r="BP32" i="67"/>
  <c r="BR64" i="67"/>
  <c r="CE35" i="67"/>
  <c r="BO58" i="67"/>
  <c r="BQ30" i="67"/>
  <c r="CB63" i="67"/>
  <c r="BX62" i="67"/>
  <c r="CC93" i="67"/>
  <c r="CA59" i="67"/>
  <c r="BX31" i="67"/>
  <c r="BX93" i="67"/>
  <c r="BK59" i="67"/>
  <c r="H128" i="48" s="1"/>
  <c r="BZ31" i="67"/>
  <c r="BK62" i="67"/>
  <c r="H131" i="48" s="1"/>
  <c r="CI30" i="67"/>
  <c r="BW8" i="67"/>
  <c r="U367" i="72"/>
  <c r="BX43" i="67"/>
  <c r="W379" i="72"/>
  <c r="BZ55" i="67"/>
  <c r="AA379" i="72"/>
  <c r="CD55" i="67"/>
  <c r="I379" i="72"/>
  <c r="BL55" i="67"/>
  <c r="S379" i="72"/>
  <c r="BV55" i="67"/>
  <c r="AD608" i="72"/>
  <c r="CG68" i="67"/>
  <c r="J610" i="72"/>
  <c r="BM70" i="67"/>
  <c r="W610" i="72"/>
  <c r="BZ70" i="67"/>
  <c r="M614" i="72"/>
  <c r="BP74" i="67"/>
  <c r="AD614" i="72"/>
  <c r="CG74" i="67"/>
  <c r="J367" i="72"/>
  <c r="BM43" i="67"/>
  <c r="S618" i="72"/>
  <c r="BV78" i="67"/>
  <c r="AA124" i="72"/>
  <c r="CD17" i="67"/>
  <c r="AD124" i="72"/>
  <c r="CG17" i="67"/>
  <c r="W129" i="72"/>
  <c r="BZ22" i="67"/>
  <c r="AC129" i="72"/>
  <c r="CF22" i="67"/>
  <c r="Q132" i="72"/>
  <c r="BT25" i="67"/>
  <c r="Z377" i="72"/>
  <c r="CC53" i="67"/>
  <c r="AB365" i="72"/>
  <c r="CE41" i="67"/>
  <c r="T615" i="72"/>
  <c r="BW75" i="67"/>
  <c r="AC371" i="72"/>
  <c r="CF47" i="67"/>
  <c r="W371" i="72"/>
  <c r="BZ47" i="67"/>
  <c r="AA374" i="72"/>
  <c r="I374" i="72"/>
  <c r="BL50" i="67"/>
  <c r="Z125" i="72"/>
  <c r="CC18" i="67"/>
  <c r="O363" i="72"/>
  <c r="BR39" i="67"/>
  <c r="H363" i="72"/>
  <c r="BK39" i="67"/>
  <c r="H108" i="48" s="1"/>
  <c r="O119" i="72"/>
  <c r="BR12" i="67"/>
  <c r="Q368" i="72"/>
  <c r="BT44" i="67"/>
  <c r="AD368" i="72"/>
  <c r="CG44" i="67"/>
  <c r="AA619" i="72"/>
  <c r="CD79" i="67"/>
  <c r="H622" i="72"/>
  <c r="BK82" i="67"/>
  <c r="J122" i="48" s="1"/>
  <c r="AE376" i="72"/>
  <c r="CH52" i="67"/>
  <c r="Z612" i="72"/>
  <c r="CC72" i="67"/>
  <c r="V612" i="72"/>
  <c r="BY72" i="67"/>
  <c r="O612" i="72"/>
  <c r="BR72" i="67"/>
  <c r="AB123" i="72"/>
  <c r="CE16" i="67"/>
  <c r="V123" i="72"/>
  <c r="BY16" i="67"/>
  <c r="Y130" i="72"/>
  <c r="CB23" i="67"/>
  <c r="I380" i="72"/>
  <c r="BL56" i="67"/>
  <c r="J616" i="72"/>
  <c r="BM76" i="67"/>
  <c r="P616" i="72"/>
  <c r="BS76" i="67"/>
  <c r="Z372" i="72"/>
  <c r="M121" i="72"/>
  <c r="BP14" i="67"/>
  <c r="AC626" i="72"/>
  <c r="CF86" i="67"/>
  <c r="W133" i="72"/>
  <c r="BZ26" i="67"/>
  <c r="P133" i="72"/>
  <c r="BS26" i="67"/>
  <c r="O621" i="72"/>
  <c r="BR81" i="67"/>
  <c r="Y621" i="72"/>
  <c r="CB81" i="67"/>
  <c r="N120" i="72"/>
  <c r="BQ13" i="67"/>
  <c r="AF120" i="72"/>
  <c r="CI13" i="67"/>
  <c r="K620" i="72"/>
  <c r="BN80" i="67"/>
  <c r="AF620" i="72"/>
  <c r="CI80" i="67"/>
  <c r="J375" i="72"/>
  <c r="BM51" i="67"/>
  <c r="AA370" i="72"/>
  <c r="CD46" i="67"/>
  <c r="AF370" i="72"/>
  <c r="CI46" i="67"/>
  <c r="X370" i="72"/>
  <c r="CA46" i="67"/>
  <c r="I364" i="72"/>
  <c r="BL40" i="67"/>
  <c r="K364" i="72"/>
  <c r="BN40" i="67"/>
  <c r="AE369" i="72"/>
  <c r="CH45" i="67"/>
  <c r="AF369" i="72"/>
  <c r="CI45" i="67"/>
  <c r="AE625" i="72"/>
  <c r="CH85" i="67"/>
  <c r="O607" i="72"/>
  <c r="BR67" i="67"/>
  <c r="K607" i="72"/>
  <c r="BN67" i="67"/>
  <c r="M128" i="72"/>
  <c r="BP21" i="67"/>
  <c r="AF127" i="72"/>
  <c r="CI20" i="67"/>
  <c r="T127" i="72"/>
  <c r="BW20" i="67"/>
  <c r="H127" i="72"/>
  <c r="BK20" i="67"/>
  <c r="F118" i="48" s="1"/>
  <c r="S114" i="72"/>
  <c r="BV7" i="67"/>
  <c r="Z114" i="72"/>
  <c r="CC7" i="67"/>
  <c r="R623" i="72"/>
  <c r="BU83" i="67"/>
  <c r="U613" i="72"/>
  <c r="BX73" i="67"/>
  <c r="AC613" i="72"/>
  <c r="CF73" i="67"/>
  <c r="AF617" i="72"/>
  <c r="CI77" i="67"/>
  <c r="AD617" i="72"/>
  <c r="CG77" i="67"/>
  <c r="AF131" i="72"/>
  <c r="CI24" i="67"/>
  <c r="W131" i="72"/>
  <c r="BZ24" i="67"/>
  <c r="K117" i="72"/>
  <c r="BN10" i="67"/>
  <c r="AA122" i="72"/>
  <c r="CD15" i="67"/>
  <c r="W122" i="72"/>
  <c r="BZ15" i="67"/>
  <c r="Y122" i="72"/>
  <c r="CB15" i="67"/>
  <c r="AF360" i="72"/>
  <c r="CI36" i="67"/>
  <c r="AA118" i="72"/>
  <c r="CD11" i="67"/>
  <c r="J118" i="72"/>
  <c r="BM11" i="67"/>
  <c r="X373" i="72"/>
  <c r="H373" i="72"/>
  <c r="BK49" i="67"/>
  <c r="H118" i="48" s="1"/>
  <c r="O134" i="72"/>
  <c r="BR27" i="67"/>
  <c r="R134" i="72"/>
  <c r="BU27" i="67"/>
  <c r="X609" i="72"/>
  <c r="CA69" i="67"/>
  <c r="CD64" i="67"/>
  <c r="CH35" i="67"/>
  <c r="CE93" i="67"/>
  <c r="BR59" i="67"/>
  <c r="BV64" i="67"/>
  <c r="CI35" i="67"/>
  <c r="BR62" i="67"/>
  <c r="CE29" i="67"/>
  <c r="CC92" i="67"/>
  <c r="CJ64" i="67"/>
  <c r="I133" i="48" s="1"/>
  <c r="BM35" i="67"/>
  <c r="BQ88" i="67"/>
  <c r="BM91" i="67"/>
  <c r="BS89" i="67"/>
  <c r="BY93" i="67"/>
  <c r="BN58" i="67"/>
  <c r="BX61" i="67"/>
  <c r="CA66" i="67"/>
  <c r="CG58" i="67"/>
  <c r="AG360" i="72"/>
  <c r="CJ36" i="67"/>
  <c r="I105" i="48" s="1"/>
  <c r="BS64" i="67"/>
  <c r="CD35" i="67"/>
  <c r="CH88" i="67"/>
  <c r="BS92" i="67"/>
  <c r="BK37" i="67"/>
  <c r="H106" i="48" s="1"/>
  <c r="BY64" i="67"/>
  <c r="BY35" i="67"/>
  <c r="BO89" i="67"/>
  <c r="BV63" i="67"/>
  <c r="BW33" i="67"/>
  <c r="BM92" i="67"/>
  <c r="CA31" i="67"/>
  <c r="CD61" i="67"/>
  <c r="CF66" i="67"/>
  <c r="BX34" i="67"/>
  <c r="BN61" i="67"/>
  <c r="BP66" i="67"/>
  <c r="CF92" i="67"/>
  <c r="AG116" i="72"/>
  <c r="CJ9" i="67"/>
  <c r="G107" i="48" s="1"/>
  <c r="BZ63" i="67"/>
  <c r="CG29" i="67"/>
  <c r="X610" i="72"/>
  <c r="CA70" i="67"/>
  <c r="U132" i="72"/>
  <c r="BX25" i="67"/>
  <c r="AD378" i="72"/>
  <c r="CG54" i="67"/>
  <c r="Y378" i="72"/>
  <c r="CB54" i="67"/>
  <c r="U379" i="72"/>
  <c r="BX55" i="67"/>
  <c r="S608" i="72"/>
  <c r="BV68" i="67"/>
  <c r="AF608" i="72"/>
  <c r="CI68" i="67"/>
  <c r="W608" i="72"/>
  <c r="BZ68" i="67"/>
  <c r="O608" i="72"/>
  <c r="BR68" i="67"/>
  <c r="AD610" i="72"/>
  <c r="CG70" i="67"/>
  <c r="Z610" i="72"/>
  <c r="CC70" i="67"/>
  <c r="U614" i="72"/>
  <c r="BX74" i="67"/>
  <c r="R614" i="72"/>
  <c r="BU74" i="67"/>
  <c r="L367" i="72"/>
  <c r="BO43" i="67"/>
  <c r="O618" i="72"/>
  <c r="BR78" i="67"/>
  <c r="K360" i="72"/>
  <c r="BN36" i="67"/>
  <c r="U124" i="72"/>
  <c r="BX17" i="67"/>
  <c r="R129" i="72"/>
  <c r="BU22" i="67"/>
  <c r="Y132" i="72"/>
  <c r="CB25" i="67"/>
  <c r="AB377" i="72"/>
  <c r="CE53" i="67"/>
  <c r="Y377" i="72"/>
  <c r="CB53" i="67"/>
  <c r="H365" i="72"/>
  <c r="BK41" i="67"/>
  <c r="H110" i="48" s="1"/>
  <c r="AE365" i="72"/>
  <c r="CH41" i="67"/>
  <c r="Z615" i="72"/>
  <c r="CC75" i="67"/>
  <c r="R371" i="72"/>
  <c r="BU47" i="67"/>
  <c r="Z371" i="72"/>
  <c r="CC47" i="67"/>
  <c r="S374" i="72"/>
  <c r="BV50" i="67"/>
  <c r="N374" i="72"/>
  <c r="S605" i="72"/>
  <c r="BV65" i="67"/>
  <c r="Z611" i="72"/>
  <c r="CC71" i="67"/>
  <c r="R125" i="72"/>
  <c r="BU18" i="67"/>
  <c r="AC125" i="72"/>
  <c r="CF18" i="67"/>
  <c r="J363" i="72"/>
  <c r="BM39" i="67"/>
  <c r="T119" i="72"/>
  <c r="BW12" i="67"/>
  <c r="I119" i="72"/>
  <c r="BL12" i="67"/>
  <c r="AA368" i="72"/>
  <c r="CD44" i="67"/>
  <c r="Y619" i="72"/>
  <c r="CB79" i="67"/>
  <c r="AB619" i="72"/>
  <c r="CE79" i="67"/>
  <c r="Q622" i="72"/>
  <c r="BT82" i="67"/>
  <c r="J376" i="72"/>
  <c r="BM52" i="67"/>
  <c r="U376" i="72"/>
  <c r="BX52" i="67"/>
  <c r="T612" i="72"/>
  <c r="BW72" i="67"/>
  <c r="L612" i="72"/>
  <c r="BO72" i="67"/>
  <c r="H123" i="72"/>
  <c r="BK16" i="67"/>
  <c r="F114" i="48" s="1"/>
  <c r="N130" i="72"/>
  <c r="BQ23" i="67"/>
  <c r="J380" i="72"/>
  <c r="BM56" i="67"/>
  <c r="T380" i="72"/>
  <c r="BW56" i="67"/>
  <c r="AB616" i="72"/>
  <c r="CE76" i="67"/>
  <c r="S616" i="72"/>
  <c r="BV76" i="67"/>
  <c r="T360" i="72"/>
  <c r="BW36" i="67"/>
  <c r="AG121" i="72"/>
  <c r="CJ14" i="67"/>
  <c r="G112" i="48" s="1"/>
  <c r="M626" i="72"/>
  <c r="BP86" i="67"/>
  <c r="H133" i="72"/>
  <c r="BK26" i="67"/>
  <c r="F124" i="48" s="1"/>
  <c r="N621" i="72"/>
  <c r="BQ81" i="67"/>
  <c r="T621" i="72"/>
  <c r="BW81" i="67"/>
  <c r="M621" i="72"/>
  <c r="BP81" i="67"/>
  <c r="M120" i="72"/>
  <c r="BP13" i="67"/>
  <c r="P120" i="72"/>
  <c r="BS13" i="67"/>
  <c r="L126" i="72"/>
  <c r="BO19" i="67"/>
  <c r="Q126" i="72"/>
  <c r="BT19" i="67"/>
  <c r="O620" i="72"/>
  <c r="BR80" i="67"/>
  <c r="I375" i="72"/>
  <c r="BL51" i="67"/>
  <c r="P375" i="72"/>
  <c r="BS51" i="67"/>
  <c r="H370" i="72"/>
  <c r="BK46" i="67"/>
  <c r="H115" i="48" s="1"/>
  <c r="T370" i="72"/>
  <c r="BW46" i="67"/>
  <c r="Y370" i="72"/>
  <c r="CB46" i="67"/>
  <c r="X364" i="72"/>
  <c r="CA40" i="67"/>
  <c r="AC364" i="72"/>
  <c r="CF40" i="67"/>
  <c r="Q364" i="72"/>
  <c r="BT40" i="67"/>
  <c r="L369" i="72"/>
  <c r="BO45" i="67"/>
  <c r="Y369" i="72"/>
  <c r="CB45" i="67"/>
  <c r="AC625" i="72"/>
  <c r="CF85" i="67"/>
  <c r="R625" i="72"/>
  <c r="BU85" i="67"/>
  <c r="M607" i="72"/>
  <c r="BP67" i="67"/>
  <c r="R362" i="72"/>
  <c r="BU38" i="67"/>
  <c r="I127" i="72"/>
  <c r="BL20" i="67"/>
  <c r="AA127" i="72"/>
  <c r="CD20" i="67"/>
  <c r="Y114" i="72"/>
  <c r="CB7" i="67"/>
  <c r="P623" i="72"/>
  <c r="BS83" i="67"/>
  <c r="X360" i="72"/>
  <c r="CA36" i="67"/>
  <c r="J613" i="72"/>
  <c r="BM73" i="67"/>
  <c r="K613" i="72"/>
  <c r="BN73" i="67"/>
  <c r="O617" i="72"/>
  <c r="BR77" i="67"/>
  <c r="Q617" i="72"/>
  <c r="BT77" i="67"/>
  <c r="AE131" i="72"/>
  <c r="CH24" i="67"/>
  <c r="Z117" i="72"/>
  <c r="CC10" i="67"/>
  <c r="H117" i="72"/>
  <c r="BK10" i="67"/>
  <c r="F108" i="48" s="1"/>
  <c r="O118" i="72"/>
  <c r="BR11" i="67"/>
  <c r="Q118" i="72"/>
  <c r="BT11" i="67"/>
  <c r="AA373" i="72"/>
  <c r="U134" i="72"/>
  <c r="BX27" i="67"/>
  <c r="AB134" i="72"/>
  <c r="CE27" i="67"/>
  <c r="J134" i="72"/>
  <c r="BM27" i="67"/>
  <c r="T609" i="72"/>
  <c r="BW69" i="67"/>
  <c r="CA30" i="67"/>
  <c r="BO8" i="67"/>
  <c r="CC89" i="67"/>
  <c r="BX88" i="67"/>
  <c r="BX59" i="67"/>
  <c r="CC64" i="67"/>
  <c r="BP8" i="67"/>
  <c r="BN92" i="67"/>
  <c r="BL60" i="67"/>
  <c r="BU64" i="67"/>
  <c r="CB64" i="67"/>
  <c r="CJ35" i="67"/>
  <c r="G133" i="48" s="1"/>
  <c r="CA88" i="67"/>
  <c r="BR91" i="67"/>
  <c r="BZ89" i="67"/>
  <c r="BT88" i="67"/>
  <c r="CA89" i="67"/>
  <c r="CB91" i="67"/>
  <c r="CH89" i="67"/>
  <c r="BT33" i="67"/>
  <c r="BK64" i="67"/>
  <c r="H133" i="48" s="1"/>
  <c r="BW35" i="67"/>
  <c r="BK58" i="67"/>
  <c r="H127" i="48" s="1"/>
  <c r="BZ92" i="67"/>
  <c r="BL37" i="67"/>
  <c r="CF30" i="67"/>
  <c r="CI8" i="67"/>
  <c r="CB35" i="67"/>
  <c r="BV59" i="67"/>
  <c r="BQ63" i="67"/>
  <c r="BW92" i="67"/>
  <c r="BX29" i="67"/>
  <c r="CI61" i="67"/>
  <c r="BV66" i="67"/>
  <c r="BK8" i="67"/>
  <c r="F106" i="48" s="1"/>
  <c r="BS61" i="67"/>
  <c r="BV33" i="67"/>
  <c r="CA87" i="67"/>
  <c r="BS59" i="67"/>
  <c r="CF31" i="67"/>
  <c r="BW29" i="67"/>
  <c r="AG605" i="72"/>
  <c r="CJ65" i="67"/>
  <c r="K105" i="48" s="1"/>
  <c r="L124" i="72"/>
  <c r="BO17" i="67"/>
  <c r="Q611" i="72"/>
  <c r="BT71" i="67"/>
  <c r="AF605" i="72"/>
  <c r="CI65" i="67"/>
  <c r="AB605" i="72"/>
  <c r="CE65" i="67"/>
  <c r="S378" i="72"/>
  <c r="BV54" i="67"/>
  <c r="H366" i="72"/>
  <c r="BK42" i="67"/>
  <c r="H111" i="48" s="1"/>
  <c r="U362" i="72"/>
  <c r="BX38" i="67"/>
  <c r="K378" i="72"/>
  <c r="BN54" i="67"/>
  <c r="U366" i="72"/>
  <c r="BX42" i="67"/>
  <c r="AE366" i="72"/>
  <c r="CH42" i="67"/>
  <c r="X379" i="72"/>
  <c r="CA55" i="67"/>
  <c r="P379" i="72"/>
  <c r="BS55" i="67"/>
  <c r="Q608" i="72"/>
  <c r="BT68" i="67"/>
  <c r="N608" i="72"/>
  <c r="BQ68" i="67"/>
  <c r="P610" i="72"/>
  <c r="BS70" i="67"/>
  <c r="AE614" i="72"/>
  <c r="CH74" i="67"/>
  <c r="Z614" i="72"/>
  <c r="CC74" i="67"/>
  <c r="N367" i="72"/>
  <c r="BQ43" i="67"/>
  <c r="O367" i="72"/>
  <c r="BR43" i="67"/>
  <c r="AE618" i="72"/>
  <c r="CH78" i="67"/>
  <c r="Z124" i="72"/>
  <c r="CC17" i="67"/>
  <c r="N124" i="72"/>
  <c r="BQ17" i="67"/>
  <c r="I124" i="72"/>
  <c r="BL17" i="67"/>
  <c r="Z129" i="72"/>
  <c r="CC22" i="67"/>
  <c r="S132" i="72"/>
  <c r="BV25" i="67"/>
  <c r="N132" i="72"/>
  <c r="BQ25" i="67"/>
  <c r="T377" i="72"/>
  <c r="BW53" i="67"/>
  <c r="AG377" i="72"/>
  <c r="CJ53" i="67"/>
  <c r="I122" i="48" s="1"/>
  <c r="J365" i="72"/>
  <c r="BM41" i="67"/>
  <c r="AA615" i="72"/>
  <c r="CD75" i="67"/>
  <c r="M615" i="72"/>
  <c r="BP75" i="67"/>
  <c r="Q374" i="72"/>
  <c r="BT50" i="67"/>
  <c r="AE605" i="72"/>
  <c r="CH65" i="67"/>
  <c r="V611" i="72"/>
  <c r="BY71" i="67"/>
  <c r="Y362" i="72"/>
  <c r="CB38" i="67"/>
  <c r="O125" i="72"/>
  <c r="BR18" i="67"/>
  <c r="U363" i="72"/>
  <c r="BX39" i="67"/>
  <c r="AF119" i="72"/>
  <c r="CI12" i="67"/>
  <c r="Y368" i="72"/>
  <c r="CB44" i="67"/>
  <c r="Z368" i="72"/>
  <c r="CC44" i="67"/>
  <c r="U622" i="72"/>
  <c r="BX82" i="67"/>
  <c r="P622" i="72"/>
  <c r="BS82" i="67"/>
  <c r="S612" i="72"/>
  <c r="BV72" i="67"/>
  <c r="N612" i="72"/>
  <c r="BQ72" i="67"/>
  <c r="AG123" i="72"/>
  <c r="CJ16" i="67"/>
  <c r="G114" i="48" s="1"/>
  <c r="L123" i="72"/>
  <c r="BO16" i="67"/>
  <c r="AF130" i="72"/>
  <c r="CI23" i="67"/>
  <c r="M380" i="72"/>
  <c r="BP56" i="67"/>
  <c r="AG616" i="72"/>
  <c r="CJ76" i="67"/>
  <c r="K116" i="48" s="1"/>
  <c r="N372" i="72"/>
  <c r="S372" i="72"/>
  <c r="P372" i="72"/>
  <c r="BS48" i="67"/>
  <c r="N360" i="72"/>
  <c r="BQ36" i="67"/>
  <c r="AF121" i="72"/>
  <c r="CI14" i="67"/>
  <c r="U626" i="72"/>
  <c r="BX86" i="67"/>
  <c r="J626" i="72"/>
  <c r="BM86" i="67"/>
  <c r="L626" i="72"/>
  <c r="BO86" i="67"/>
  <c r="Z133" i="72"/>
  <c r="CC26" i="67"/>
  <c r="AD621" i="72"/>
  <c r="CG81" i="67"/>
  <c r="W621" i="72"/>
  <c r="BZ81" i="67"/>
  <c r="AC621" i="72"/>
  <c r="CF81" i="67"/>
  <c r="V605" i="72"/>
  <c r="BY65" i="67"/>
  <c r="L120" i="72"/>
  <c r="BO13" i="67"/>
  <c r="AE120" i="72"/>
  <c r="CH13" i="67"/>
  <c r="AA126" i="72"/>
  <c r="CD19" i="67"/>
  <c r="U126" i="72"/>
  <c r="BX19" i="67"/>
  <c r="T620" i="72"/>
  <c r="BW80" i="67"/>
  <c r="N620" i="72"/>
  <c r="BQ80" i="67"/>
  <c r="T375" i="72"/>
  <c r="N370" i="72"/>
  <c r="BQ46" i="67"/>
  <c r="K370" i="72"/>
  <c r="BN46" i="67"/>
  <c r="T364" i="72"/>
  <c r="BW40" i="67"/>
  <c r="O369" i="72"/>
  <c r="BR45" i="67"/>
  <c r="P625" i="72"/>
  <c r="BS85" i="67"/>
  <c r="AG607" i="72"/>
  <c r="CJ67" i="67"/>
  <c r="K107" i="48" s="1"/>
  <c r="O128" i="72"/>
  <c r="BR21" i="67"/>
  <c r="I128" i="72"/>
  <c r="BL21" i="67"/>
  <c r="L362" i="72"/>
  <c r="BO38" i="67"/>
  <c r="R127" i="72"/>
  <c r="BU20" i="67"/>
  <c r="N127" i="72"/>
  <c r="BQ20" i="67"/>
  <c r="M114" i="72"/>
  <c r="BP7" i="67"/>
  <c r="V623" i="72"/>
  <c r="BY83" i="67"/>
  <c r="P360" i="72"/>
  <c r="BS36" i="67"/>
  <c r="W613" i="72"/>
  <c r="BZ73" i="67"/>
  <c r="H617" i="72"/>
  <c r="BK77" i="67"/>
  <c r="J117" i="48" s="1"/>
  <c r="V617" i="72"/>
  <c r="BY77" i="67"/>
  <c r="U131" i="72"/>
  <c r="BX24" i="67"/>
  <c r="M131" i="72"/>
  <c r="BP24" i="67"/>
  <c r="J131" i="72"/>
  <c r="BM24" i="67"/>
  <c r="R117" i="72"/>
  <c r="BU10" i="67"/>
  <c r="AE117" i="72"/>
  <c r="CH10" i="67"/>
  <c r="Z122" i="72"/>
  <c r="CC15" i="67"/>
  <c r="J122" i="72"/>
  <c r="BM15" i="67"/>
  <c r="U118" i="72"/>
  <c r="BX11" i="67"/>
  <c r="AD118" i="72"/>
  <c r="CG11" i="67"/>
  <c r="W373" i="72"/>
  <c r="U373" i="72"/>
  <c r="AD373" i="72"/>
  <c r="U609" i="72"/>
  <c r="BX69" i="67"/>
  <c r="AE609" i="72"/>
  <c r="CH69" i="67"/>
  <c r="BT30" i="67"/>
  <c r="CB32" i="67"/>
  <c r="BL58" i="67"/>
  <c r="CB61" i="67"/>
  <c r="BL30" i="67"/>
  <c r="BW87" i="67"/>
  <c r="BK93" i="67"/>
  <c r="J133" i="48" s="1"/>
  <c r="BK30" i="67"/>
  <c r="F128" i="48" s="1"/>
  <c r="BM30" i="67"/>
  <c r="CI32" i="67"/>
  <c r="BS62" i="67"/>
  <c r="CD32" i="67"/>
  <c r="BR58" i="67"/>
  <c r="CE34" i="67"/>
  <c r="CG91" i="67"/>
  <c r="BY89" i="67"/>
  <c r="CC60" i="67"/>
  <c r="CD30" i="67"/>
  <c r="CH8" i="67"/>
  <c r="BZ35" i="67"/>
  <c r="BT87" i="67"/>
  <c r="BS33" i="67"/>
  <c r="BL63" i="67"/>
  <c r="BT29" i="67"/>
  <c r="CE66" i="67"/>
  <c r="CB59" i="67"/>
  <c r="BV31" i="67"/>
  <c r="CG87" i="67"/>
  <c r="BX91" i="67"/>
  <c r="CE89" i="67"/>
  <c r="CJ66" i="67"/>
  <c r="K106" i="48" s="1"/>
  <c r="BV91" i="67"/>
  <c r="BK88" i="67"/>
  <c r="J128" i="48" s="1"/>
  <c r="BP87" i="67"/>
  <c r="BZ59" i="67"/>
  <c r="BL31" i="67"/>
  <c r="CH60" i="67"/>
  <c r="AA378" i="72"/>
  <c r="CD54" i="67"/>
  <c r="AB614" i="72"/>
  <c r="CE74" i="67"/>
  <c r="AG618" i="72"/>
  <c r="CJ78" i="67"/>
  <c r="K118" i="48" s="1"/>
  <c r="W124" i="72"/>
  <c r="BZ17" i="67"/>
  <c r="M378" i="72"/>
  <c r="BP54" i="67"/>
  <c r="R378" i="72"/>
  <c r="BU54" i="67"/>
  <c r="K379" i="72"/>
  <c r="BN55" i="67"/>
  <c r="T608" i="72"/>
  <c r="BW68" i="67"/>
  <c r="V608" i="72"/>
  <c r="BY68" i="67"/>
  <c r="R608" i="72"/>
  <c r="BU68" i="67"/>
  <c r="T610" i="72"/>
  <c r="BW70" i="67"/>
  <c r="H614" i="72"/>
  <c r="BK74" i="67"/>
  <c r="J114" i="48" s="1"/>
  <c r="AA614" i="72"/>
  <c r="CD74" i="67"/>
  <c r="AD367" i="72"/>
  <c r="CG43" i="67"/>
  <c r="Q367" i="72"/>
  <c r="BT43" i="67"/>
  <c r="V367" i="72"/>
  <c r="BY43" i="67"/>
  <c r="N618" i="72"/>
  <c r="BQ78" i="67"/>
  <c r="Y124" i="72"/>
  <c r="CB17" i="67"/>
  <c r="AG124" i="72"/>
  <c r="CJ17" i="67"/>
  <c r="G115" i="48" s="1"/>
  <c r="AE129" i="72"/>
  <c r="CH22" i="67"/>
  <c r="M129" i="72"/>
  <c r="BP22" i="67"/>
  <c r="K132" i="72"/>
  <c r="BN25" i="67"/>
  <c r="AF132" i="72"/>
  <c r="CI25" i="67"/>
  <c r="I377" i="72"/>
  <c r="BL53" i="67"/>
  <c r="L377" i="72"/>
  <c r="BO53" i="67"/>
  <c r="L365" i="72"/>
  <c r="BO41" i="67"/>
  <c r="V615" i="72"/>
  <c r="BY75" i="67"/>
  <c r="Y615" i="72"/>
  <c r="CB75" i="67"/>
  <c r="M371" i="72"/>
  <c r="BP47" i="67"/>
  <c r="V371" i="72"/>
  <c r="BY47" i="67"/>
  <c r="K374" i="72"/>
  <c r="BN50" i="67"/>
  <c r="AD611" i="72"/>
  <c r="CG71" i="67"/>
  <c r="AE611" i="72"/>
  <c r="CH71" i="67"/>
  <c r="J611" i="72"/>
  <c r="BM71" i="67"/>
  <c r="AF362" i="72"/>
  <c r="CI38" i="67"/>
  <c r="AC116" i="72"/>
  <c r="CF9" i="67"/>
  <c r="Q125" i="72"/>
  <c r="BT18" i="67"/>
  <c r="X125" i="72"/>
  <c r="CA18" i="67"/>
  <c r="AD363" i="72"/>
  <c r="CG39" i="67"/>
  <c r="L363" i="72"/>
  <c r="BO39" i="67"/>
  <c r="X363" i="72"/>
  <c r="CA39" i="67"/>
  <c r="AE119" i="72"/>
  <c r="CH12" i="67"/>
  <c r="AD119" i="72"/>
  <c r="CG12" i="67"/>
  <c r="AF368" i="72"/>
  <c r="CI44" i="67"/>
  <c r="N368" i="72"/>
  <c r="BQ44" i="67"/>
  <c r="N619" i="72"/>
  <c r="BQ79" i="67"/>
  <c r="S622" i="72"/>
  <c r="BV82" i="67"/>
  <c r="M622" i="72"/>
  <c r="BP82" i="67"/>
  <c r="AG622" i="72"/>
  <c r="CJ82" i="67"/>
  <c r="K122" i="48" s="1"/>
  <c r="M376" i="72"/>
  <c r="BP52" i="67"/>
  <c r="M360" i="72"/>
  <c r="BP36" i="67"/>
  <c r="AA612" i="72"/>
  <c r="CD72" i="67"/>
  <c r="R123" i="72"/>
  <c r="BU16" i="67"/>
  <c r="AA123" i="72"/>
  <c r="CD16" i="67"/>
  <c r="K123" i="72"/>
  <c r="BN16" i="67"/>
  <c r="T130" i="72"/>
  <c r="BW23" i="67"/>
  <c r="I130" i="72"/>
  <c r="BL23" i="67"/>
  <c r="AF380" i="72"/>
  <c r="CI56" i="67"/>
  <c r="Z380" i="72"/>
  <c r="CC56" i="67"/>
  <c r="AA380" i="72"/>
  <c r="CD56" i="67"/>
  <c r="J362" i="72"/>
  <c r="BM38" i="67"/>
  <c r="Y616" i="72"/>
  <c r="CB76" i="67"/>
  <c r="R616" i="72"/>
  <c r="BU76" i="67"/>
  <c r="J372" i="72"/>
  <c r="BM48" i="67"/>
  <c r="AE121" i="72"/>
  <c r="CH14" i="67"/>
  <c r="AE626" i="72"/>
  <c r="CH86" i="67"/>
  <c r="AB626" i="72"/>
  <c r="CE86" i="67"/>
  <c r="V133" i="72"/>
  <c r="BY26" i="67"/>
  <c r="AE133" i="72"/>
  <c r="CH26" i="67"/>
  <c r="M605" i="72"/>
  <c r="BP65" i="67"/>
  <c r="K120" i="72"/>
  <c r="BN13" i="67"/>
  <c r="O120" i="72"/>
  <c r="BR13" i="67"/>
  <c r="Y126" i="72"/>
  <c r="CB19" i="67"/>
  <c r="AE620" i="72"/>
  <c r="CH80" i="67"/>
  <c r="AE375" i="72"/>
  <c r="P370" i="72"/>
  <c r="BS46" i="67"/>
  <c r="AD364" i="72"/>
  <c r="CG40" i="67"/>
  <c r="H625" i="72"/>
  <c r="BK85" i="67"/>
  <c r="J125" i="48" s="1"/>
  <c r="Z607" i="72"/>
  <c r="CC67" i="67"/>
  <c r="J607" i="72"/>
  <c r="BM67" i="67"/>
  <c r="Q607" i="72"/>
  <c r="BT67" i="67"/>
  <c r="AG128" i="72"/>
  <c r="CJ21" i="67"/>
  <c r="G119" i="48" s="1"/>
  <c r="U128" i="72"/>
  <c r="BX21" i="67"/>
  <c r="X127" i="72"/>
  <c r="CA20" i="67"/>
  <c r="X114" i="72"/>
  <c r="CA7" i="67"/>
  <c r="N114" i="72"/>
  <c r="BQ7" i="67"/>
  <c r="AF623" i="72"/>
  <c r="CI83" i="67"/>
  <c r="U623" i="72"/>
  <c r="BX83" i="67"/>
  <c r="S613" i="72"/>
  <c r="BV73" i="67"/>
  <c r="AE613" i="72"/>
  <c r="CH73" i="67"/>
  <c r="AE617" i="72"/>
  <c r="CH77" i="67"/>
  <c r="P131" i="72"/>
  <c r="BS24" i="67"/>
  <c r="AD131" i="72"/>
  <c r="CG24" i="67"/>
  <c r="J117" i="72"/>
  <c r="BM10" i="67"/>
  <c r="M122" i="72"/>
  <c r="BP15" i="67"/>
  <c r="S122" i="72"/>
  <c r="BV15" i="67"/>
  <c r="M116" i="72"/>
  <c r="BP9" i="67"/>
  <c r="AF118" i="72"/>
  <c r="CI11" i="67"/>
  <c r="K373" i="72"/>
  <c r="BN49" i="67"/>
  <c r="Q134" i="72"/>
  <c r="BT27" i="67"/>
  <c r="H609" i="72"/>
  <c r="BK69" i="67"/>
  <c r="J109" i="48" s="1"/>
  <c r="AC609" i="72"/>
  <c r="CF69" i="67"/>
  <c r="H116" i="72"/>
  <c r="BK9" i="67"/>
  <c r="F107" i="48" s="1"/>
  <c r="BK63" i="67"/>
  <c r="H132" i="48" s="1"/>
  <c r="BQ29" i="67"/>
  <c r="CJ32" i="67"/>
  <c r="G130" i="48" s="1"/>
  <c r="CI93" i="67"/>
  <c r="BO91" i="67"/>
  <c r="BU30" i="67"/>
  <c r="BP29" i="67"/>
  <c r="BN87" i="67"/>
  <c r="CC31" i="67"/>
  <c r="BS63" i="67"/>
  <c r="CB8" i="67"/>
  <c r="BY29" i="67"/>
  <c r="CJ92" i="67"/>
  <c r="K132" i="48" s="1"/>
  <c r="BW32" i="67"/>
  <c r="BX58" i="67"/>
  <c r="CC58" i="67"/>
  <c r="CI62" i="67"/>
  <c r="BO32" i="67"/>
  <c r="CH37" i="67"/>
  <c r="CJ63" i="67"/>
  <c r="I132" i="48" s="1"/>
  <c r="CC8" i="67"/>
  <c r="BV60" i="67"/>
  <c r="BQ90" i="67"/>
  <c r="BN33" i="67"/>
  <c r="CF63" i="67"/>
  <c r="BM29" i="67"/>
  <c r="BT60" i="67"/>
  <c r="CE61" i="67"/>
  <c r="CG66" i="67"/>
  <c r="BV90" i="67"/>
  <c r="BV62" i="67"/>
  <c r="BX32" i="67"/>
  <c r="BV35" i="67"/>
  <c r="BO62" i="67"/>
  <c r="CE88" i="67"/>
  <c r="BT90" i="67"/>
  <c r="BM61" i="67"/>
  <c r="BO66" i="67"/>
  <c r="BU93" i="67"/>
  <c r="P614" i="72"/>
  <c r="BS74" i="67"/>
  <c r="AB618" i="72"/>
  <c r="CE78" i="67"/>
  <c r="AG132" i="72"/>
  <c r="CJ25" i="67"/>
  <c r="G123" i="48" s="1"/>
  <c r="P377" i="72"/>
  <c r="BS53" i="67"/>
  <c r="M365" i="72"/>
  <c r="BP41" i="67"/>
  <c r="AE378" i="72"/>
  <c r="CH54" i="67"/>
  <c r="R366" i="72"/>
  <c r="BU42" i="67"/>
  <c r="AD362" i="72"/>
  <c r="CG38" i="67"/>
  <c r="N378" i="72"/>
  <c r="BQ54" i="67"/>
  <c r="I378" i="72"/>
  <c r="BL54" i="67"/>
  <c r="AA366" i="72"/>
  <c r="CD42" i="67"/>
  <c r="M366" i="72"/>
  <c r="BP42" i="67"/>
  <c r="P608" i="72"/>
  <c r="BS68" i="67"/>
  <c r="Q610" i="72"/>
  <c r="BT70" i="67"/>
  <c r="O614" i="72"/>
  <c r="BR74" i="67"/>
  <c r="V614" i="72"/>
  <c r="BY74" i="67"/>
  <c r="AA367" i="72"/>
  <c r="CD43" i="67"/>
  <c r="Y367" i="72"/>
  <c r="CB43" i="67"/>
  <c r="R618" i="72"/>
  <c r="BU78" i="67"/>
  <c r="AC124" i="72"/>
  <c r="CF17" i="67"/>
  <c r="V129" i="72"/>
  <c r="BY22" i="67"/>
  <c r="H129" i="72"/>
  <c r="BK22" i="67"/>
  <c r="F120" i="48" s="1"/>
  <c r="J129" i="72"/>
  <c r="BM22" i="67"/>
  <c r="I132" i="72"/>
  <c r="BL25" i="67"/>
  <c r="J377" i="72"/>
  <c r="BM53" i="67"/>
  <c r="AG365" i="72"/>
  <c r="CJ41" i="67"/>
  <c r="I110" i="48" s="1"/>
  <c r="AC365" i="72"/>
  <c r="CF41" i="67"/>
  <c r="K615" i="72"/>
  <c r="BN75" i="67"/>
  <c r="AB615" i="72"/>
  <c r="CE75" i="67"/>
  <c r="AG371" i="72"/>
  <c r="CJ47" i="67"/>
  <c r="I116" i="48" s="1"/>
  <c r="J371" i="72"/>
  <c r="BM47" i="67"/>
  <c r="H371" i="72"/>
  <c r="BK47" i="67"/>
  <c r="H116" i="48" s="1"/>
  <c r="AC374" i="72"/>
  <c r="AF611" i="72"/>
  <c r="CI71" i="67"/>
  <c r="O611" i="72"/>
  <c r="BR71" i="67"/>
  <c r="S125" i="72"/>
  <c r="BV18" i="67"/>
  <c r="L125" i="72"/>
  <c r="BO18" i="67"/>
  <c r="AG363" i="72"/>
  <c r="CJ39" i="67"/>
  <c r="I108" i="48" s="1"/>
  <c r="L119" i="72"/>
  <c r="BO12" i="67"/>
  <c r="S119" i="72"/>
  <c r="BV12" i="67"/>
  <c r="H119" i="72"/>
  <c r="BK12" i="67"/>
  <c r="F110" i="48" s="1"/>
  <c r="T368" i="72"/>
  <c r="BW44" i="67"/>
  <c r="AD619" i="72"/>
  <c r="CG79" i="67"/>
  <c r="R622" i="72"/>
  <c r="BU82" i="67"/>
  <c r="N622" i="72"/>
  <c r="BQ82" i="67"/>
  <c r="Z622" i="72"/>
  <c r="CC82" i="67"/>
  <c r="T622" i="72"/>
  <c r="BW82" i="67"/>
  <c r="AA376" i="72"/>
  <c r="CD52" i="67"/>
  <c r="T376" i="72"/>
  <c r="BW52" i="67"/>
  <c r="M612" i="72"/>
  <c r="BP72" i="67"/>
  <c r="Q123" i="72"/>
  <c r="BT16" i="67"/>
  <c r="AE123" i="72"/>
  <c r="CH16" i="67"/>
  <c r="K130" i="72"/>
  <c r="BN23" i="67"/>
  <c r="AC130" i="72"/>
  <c r="CF23" i="67"/>
  <c r="K380" i="72"/>
  <c r="BN56" i="67"/>
  <c r="Y380" i="72"/>
  <c r="CB56" i="67"/>
  <c r="S380" i="72"/>
  <c r="BV56" i="67"/>
  <c r="L616" i="72"/>
  <c r="BO76" i="67"/>
  <c r="Z616" i="72"/>
  <c r="CC76" i="67"/>
  <c r="AD121" i="72"/>
  <c r="CG14" i="67"/>
  <c r="AB121" i="72"/>
  <c r="CE14" i="67"/>
  <c r="R626" i="72"/>
  <c r="BU86" i="67"/>
  <c r="X626" i="72"/>
  <c r="CA86" i="67"/>
  <c r="P626" i="72"/>
  <c r="BS86" i="67"/>
  <c r="AG133" i="72"/>
  <c r="CJ26" i="67"/>
  <c r="G124" i="48" s="1"/>
  <c r="L621" i="72"/>
  <c r="BO81" i="67"/>
  <c r="AE621" i="72"/>
  <c r="CH81" i="67"/>
  <c r="S621" i="72"/>
  <c r="BV81" i="67"/>
  <c r="K362" i="72"/>
  <c r="BN38" i="67"/>
  <c r="J120" i="72"/>
  <c r="BM13" i="67"/>
  <c r="N126" i="72"/>
  <c r="BQ19" i="67"/>
  <c r="AF126" i="72"/>
  <c r="CI19" i="67"/>
  <c r="J620" i="72"/>
  <c r="BM80" i="67"/>
  <c r="Q620" i="72"/>
  <c r="BT80" i="67"/>
  <c r="X375" i="72"/>
  <c r="S370" i="72"/>
  <c r="BV46" i="67"/>
  <c r="AA362" i="72"/>
  <c r="CD38" i="67"/>
  <c r="M364" i="72"/>
  <c r="BP40" i="67"/>
  <c r="Z364" i="72"/>
  <c r="CC40" i="67"/>
  <c r="AD369" i="72"/>
  <c r="CG45" i="67"/>
  <c r="AA369" i="72"/>
  <c r="CD45" i="67"/>
  <c r="AG369" i="72"/>
  <c r="CJ45" i="67"/>
  <c r="I114" i="48" s="1"/>
  <c r="T625" i="72"/>
  <c r="BW85" i="67"/>
  <c r="AA607" i="72"/>
  <c r="CD67" i="67"/>
  <c r="AB128" i="72"/>
  <c r="CE21" i="67"/>
  <c r="W360" i="72"/>
  <c r="BZ36" i="67"/>
  <c r="K127" i="72"/>
  <c r="BN20" i="67"/>
  <c r="V114" i="72"/>
  <c r="BY7" i="67"/>
  <c r="AD114" i="72"/>
  <c r="CG7" i="67"/>
  <c r="T623" i="72"/>
  <c r="BW83" i="67"/>
  <c r="W116" i="72"/>
  <c r="BZ9" i="67"/>
  <c r="Q613" i="72"/>
  <c r="BT73" i="67"/>
  <c r="J617" i="72"/>
  <c r="BM77" i="67"/>
  <c r="T131" i="72"/>
  <c r="BW24" i="67"/>
  <c r="AB131" i="72"/>
  <c r="CE24" i="67"/>
  <c r="N131" i="72"/>
  <c r="BQ24" i="67"/>
  <c r="Q117" i="72"/>
  <c r="BT10" i="67"/>
  <c r="S117" i="72"/>
  <c r="BV10" i="67"/>
  <c r="AD122" i="72"/>
  <c r="CG15" i="67"/>
  <c r="N118" i="72"/>
  <c r="BQ11" i="67"/>
  <c r="H118" i="72"/>
  <c r="BK11" i="67"/>
  <c r="F109" i="48" s="1"/>
  <c r="M373" i="72"/>
  <c r="BP49" i="67"/>
  <c r="I134" i="72"/>
  <c r="BL27" i="67"/>
  <c r="AD134" i="72"/>
  <c r="CG27" i="67"/>
  <c r="L134" i="72"/>
  <c r="BO27" i="67"/>
  <c r="S134" i="72"/>
  <c r="BV27" i="67"/>
  <c r="M609" i="72"/>
  <c r="BP69" i="67"/>
  <c r="CH59" i="67"/>
  <c r="BQ31" i="67"/>
  <c r="BV29" i="67"/>
  <c r="BZ58" i="67"/>
  <c r="CI91" i="67"/>
  <c r="BM63" i="67"/>
  <c r="CB60" i="67"/>
  <c r="CF90" i="67"/>
  <c r="BT89" i="67"/>
  <c r="P605" i="72"/>
  <c r="BS65" i="67"/>
  <c r="BN63" i="67"/>
  <c r="BO29" i="67"/>
  <c r="BP31" i="67"/>
  <c r="BL92" i="67"/>
  <c r="CC37" i="67"/>
  <c r="BZ60" i="67"/>
  <c r="BT92" i="67"/>
  <c r="CJ37" i="67"/>
  <c r="I106" i="48" s="1"/>
  <c r="CA35" i="67"/>
  <c r="CE63" i="67"/>
  <c r="BK29" i="67"/>
  <c r="F127" i="48" s="1"/>
  <c r="BY66" i="67"/>
  <c r="BN90" i="67"/>
  <c r="BK34" i="67"/>
  <c r="F132" i="48" s="1"/>
  <c r="BN59" i="67"/>
  <c r="BK31" i="67"/>
  <c r="F129" i="48" s="1"/>
  <c r="BW60" i="67"/>
  <c r="CJ61" i="67"/>
  <c r="I130" i="48" s="1"/>
  <c r="BW66" i="67"/>
  <c r="CB90" i="67"/>
  <c r="BY62" i="67"/>
  <c r="BS32" i="67"/>
  <c r="BZ62" i="67"/>
  <c r="BK90" i="67"/>
  <c r="J130" i="48" s="1"/>
  <c r="BP91" i="67"/>
  <c r="BT66" i="67"/>
  <c r="CB93" i="67"/>
  <c r="AG610" i="72"/>
  <c r="CJ70" i="67"/>
  <c r="K110" i="48" s="1"/>
  <c r="Z618" i="72"/>
  <c r="CC78" i="67"/>
  <c r="AB132" i="72"/>
  <c r="CE25" i="67"/>
  <c r="H378" i="72"/>
  <c r="BK54" i="67"/>
  <c r="H123" i="48" s="1"/>
  <c r="I366" i="72"/>
  <c r="BL42" i="67"/>
  <c r="O366" i="72"/>
  <c r="BR42" i="67"/>
  <c r="AG366" i="72"/>
  <c r="CJ42" i="67"/>
  <c r="I111" i="48" s="1"/>
  <c r="L366" i="72"/>
  <c r="BO42" i="67"/>
  <c r="R379" i="72"/>
  <c r="BU55" i="67"/>
  <c r="Z379" i="72"/>
  <c r="CC55" i="67"/>
  <c r="AE379" i="72"/>
  <c r="CH55" i="67"/>
  <c r="H608" i="72"/>
  <c r="BK68" i="67"/>
  <c r="J108" i="48" s="1"/>
  <c r="S610" i="72"/>
  <c r="BV70" i="67"/>
  <c r="AG614" i="72"/>
  <c r="CJ74" i="67"/>
  <c r="K114" i="48" s="1"/>
  <c r="X614" i="72"/>
  <c r="CA74" i="67"/>
  <c r="AC367" i="72"/>
  <c r="CF43" i="67"/>
  <c r="W618" i="72"/>
  <c r="BZ78" i="67"/>
  <c r="K618" i="72"/>
  <c r="BN78" i="67"/>
  <c r="U618" i="72"/>
  <c r="BX78" i="67"/>
  <c r="T124" i="72"/>
  <c r="BW17" i="67"/>
  <c r="U377" i="72"/>
  <c r="BX53" i="67"/>
  <c r="Q377" i="72"/>
  <c r="BT53" i="67"/>
  <c r="T365" i="72"/>
  <c r="BW41" i="67"/>
  <c r="Y365" i="72"/>
  <c r="CB41" i="67"/>
  <c r="O365" i="72"/>
  <c r="BR41" i="67"/>
  <c r="J615" i="72"/>
  <c r="BM75" i="67"/>
  <c r="I615" i="72"/>
  <c r="BL75" i="67"/>
  <c r="AF374" i="72"/>
  <c r="L360" i="72"/>
  <c r="BO36" i="67"/>
  <c r="AC611" i="72"/>
  <c r="CF71" i="67"/>
  <c r="X611" i="72"/>
  <c r="CA71" i="67"/>
  <c r="U125" i="72"/>
  <c r="BX18" i="67"/>
  <c r="P125" i="72"/>
  <c r="BS18" i="67"/>
  <c r="AE125" i="72"/>
  <c r="CH18" i="67"/>
  <c r="Y363" i="72"/>
  <c r="CB39" i="67"/>
  <c r="Z119" i="72"/>
  <c r="CC12" i="67"/>
  <c r="I368" i="72"/>
  <c r="BL44" i="67"/>
  <c r="M619" i="72"/>
  <c r="BP79" i="67"/>
  <c r="K619" i="72"/>
  <c r="BN79" i="67"/>
  <c r="X622" i="72"/>
  <c r="CA82" i="67"/>
  <c r="L622" i="72"/>
  <c r="BO82" i="67"/>
  <c r="AF612" i="72"/>
  <c r="CI72" i="67"/>
  <c r="AB612" i="72"/>
  <c r="CE72" i="67"/>
  <c r="U123" i="72"/>
  <c r="BX16" i="67"/>
  <c r="M123" i="72"/>
  <c r="BP16" i="67"/>
  <c r="AF123" i="72"/>
  <c r="CI16" i="67"/>
  <c r="P130" i="72"/>
  <c r="BS23" i="67"/>
  <c r="P380" i="72"/>
  <c r="BS56" i="67"/>
  <c r="T616" i="72"/>
  <c r="BW76" i="67"/>
  <c r="M372" i="72"/>
  <c r="BP48" i="67"/>
  <c r="R372" i="72"/>
  <c r="BU48" i="67"/>
  <c r="AE372" i="72"/>
  <c r="AC121" i="72"/>
  <c r="CF14" i="67"/>
  <c r="L121" i="72"/>
  <c r="BO14" i="67"/>
  <c r="N626" i="72"/>
  <c r="BQ86" i="67"/>
  <c r="Z626" i="72"/>
  <c r="CC86" i="67"/>
  <c r="AF626" i="72"/>
  <c r="CI86" i="67"/>
  <c r="J133" i="72"/>
  <c r="BM26" i="67"/>
  <c r="AB621" i="72"/>
  <c r="CE81" i="67"/>
  <c r="H621" i="72"/>
  <c r="BK81" i="67"/>
  <c r="J121" i="48" s="1"/>
  <c r="I120" i="72"/>
  <c r="BL13" i="67"/>
  <c r="T126" i="72"/>
  <c r="BW19" i="67"/>
  <c r="AA620" i="72"/>
  <c r="CD80" i="67"/>
  <c r="AG620" i="72"/>
  <c r="CJ80" i="67"/>
  <c r="K120" i="48" s="1"/>
  <c r="AA375" i="72"/>
  <c r="AG375" i="72"/>
  <c r="O375" i="72"/>
  <c r="W370" i="72"/>
  <c r="BZ46" i="67"/>
  <c r="Z370" i="72"/>
  <c r="CC46" i="67"/>
  <c r="AF364" i="72"/>
  <c r="CI40" i="67"/>
  <c r="I369" i="72"/>
  <c r="BL45" i="67"/>
  <c r="Q369" i="72"/>
  <c r="BT45" i="67"/>
  <c r="N625" i="72"/>
  <c r="BQ85" i="67"/>
  <c r="S625" i="72"/>
  <c r="BV85" i="67"/>
  <c r="V625" i="72"/>
  <c r="BY85" i="67"/>
  <c r="AD607" i="72"/>
  <c r="CG67" i="67"/>
  <c r="AF607" i="72"/>
  <c r="CI67" i="67"/>
  <c r="H128" i="72"/>
  <c r="BK21" i="67"/>
  <c r="F119" i="48" s="1"/>
  <c r="AE360" i="72"/>
  <c r="CH36" i="67"/>
  <c r="AC127" i="72"/>
  <c r="CF20" i="67"/>
  <c r="AE114" i="72"/>
  <c r="CH7" i="67"/>
  <c r="T114" i="72"/>
  <c r="BW7" i="67"/>
  <c r="AC114" i="72"/>
  <c r="CF7" i="67"/>
  <c r="M623" i="72"/>
  <c r="BP83" i="67"/>
  <c r="H623" i="72"/>
  <c r="BK83" i="67"/>
  <c r="J123" i="48" s="1"/>
  <c r="L116" i="72"/>
  <c r="BO9" i="67"/>
  <c r="H613" i="72"/>
  <c r="BK73" i="67"/>
  <c r="J113" i="48" s="1"/>
  <c r="U617" i="72"/>
  <c r="BX77" i="67"/>
  <c r="I617" i="72"/>
  <c r="BL77" i="67"/>
  <c r="O117" i="72"/>
  <c r="BR10" i="67"/>
  <c r="O122" i="72"/>
  <c r="BR15" i="67"/>
  <c r="K122" i="72"/>
  <c r="BN15" i="67"/>
  <c r="T118" i="72"/>
  <c r="BW11" i="67"/>
  <c r="Z118" i="72"/>
  <c r="CC11" i="67"/>
  <c r="Q373" i="72"/>
  <c r="BT49" i="67"/>
  <c r="Z373" i="72"/>
  <c r="T373" i="72"/>
  <c r="T134" i="72"/>
  <c r="BW27" i="67"/>
  <c r="J609" i="72"/>
  <c r="BM69" i="67"/>
  <c r="BY59" i="67"/>
  <c r="CB31" i="67"/>
  <c r="BR60" i="67"/>
  <c r="CE33" i="67"/>
  <c r="BM93" i="67"/>
  <c r="BQ62" i="67"/>
  <c r="CG59" i="67"/>
  <c r="BR31" i="67"/>
  <c r="BQ60" i="67"/>
  <c r="BM64" i="67"/>
  <c r="CC32" i="67"/>
  <c r="CF59" i="67"/>
  <c r="BS31" i="67"/>
  <c r="CA60" i="67"/>
  <c r="CH34" i="67"/>
  <c r="BV87" i="67"/>
  <c r="CG33" i="67"/>
  <c r="BR93" i="67"/>
  <c r="CA92" i="67"/>
  <c r="BM37" i="67"/>
  <c r="BL88" i="67"/>
  <c r="BO59" i="67"/>
  <c r="CJ31" i="67"/>
  <c r="G129" i="48" s="1"/>
  <c r="BY60" i="67"/>
  <c r="BQ34" i="67"/>
  <c r="CH64" i="67"/>
  <c r="BX35" i="67"/>
  <c r="BP61" i="67"/>
  <c r="BR66" i="67"/>
  <c r="BN60" i="67"/>
  <c r="BZ91" i="67"/>
  <c r="CF89" i="67"/>
  <c r="BQ64" i="67"/>
  <c r="CG92" i="67"/>
  <c r="BR37" i="67"/>
  <c r="BQ92" i="67"/>
  <c r="BP64" i="67"/>
  <c r="CJ91" i="67"/>
  <c r="K131" i="48" s="1"/>
  <c r="CD89" i="67"/>
  <c r="BZ88" i="67"/>
  <c r="U608" i="72"/>
  <c r="BX68" i="67"/>
  <c r="W614" i="72"/>
  <c r="BZ74" i="67"/>
  <c r="S367" i="72"/>
  <c r="BV43" i="67"/>
  <c r="AC618" i="72"/>
  <c r="CF78" i="67"/>
  <c r="AD618" i="72"/>
  <c r="CG78" i="67"/>
  <c r="T618" i="72"/>
  <c r="BW78" i="67"/>
  <c r="S124" i="72"/>
  <c r="BV17" i="67"/>
  <c r="K124" i="72"/>
  <c r="BN17" i="67"/>
  <c r="P129" i="72"/>
  <c r="BS22" i="67"/>
  <c r="AB129" i="72"/>
  <c r="CE22" i="67"/>
  <c r="R132" i="72"/>
  <c r="BU25" i="67"/>
  <c r="P132" i="72"/>
  <c r="BS25" i="67"/>
  <c r="AC132" i="72"/>
  <c r="CF25" i="67"/>
  <c r="AE377" i="72"/>
  <c r="CH53" i="67"/>
  <c r="AA377" i="72"/>
  <c r="CD53" i="67"/>
  <c r="AA365" i="72"/>
  <c r="CD41" i="67"/>
  <c r="AB371" i="72"/>
  <c r="CE47" i="67"/>
  <c r="N371" i="72"/>
  <c r="BQ47" i="67"/>
  <c r="Z374" i="72"/>
  <c r="X374" i="72"/>
  <c r="Y611" i="72"/>
  <c r="CB71" i="67"/>
  <c r="AB611" i="72"/>
  <c r="CE71" i="67"/>
  <c r="W125" i="72"/>
  <c r="BZ18" i="67"/>
  <c r="N363" i="72"/>
  <c r="BQ39" i="67"/>
  <c r="T363" i="72"/>
  <c r="BW39" i="67"/>
  <c r="N119" i="72"/>
  <c r="BQ12" i="67"/>
  <c r="P368" i="72"/>
  <c r="BS44" i="67"/>
  <c r="AC368" i="72"/>
  <c r="CF44" i="67"/>
  <c r="AC619" i="72"/>
  <c r="CF79" i="67"/>
  <c r="R619" i="72"/>
  <c r="BU79" i="67"/>
  <c r="J622" i="72"/>
  <c r="BM82" i="67"/>
  <c r="N362" i="72"/>
  <c r="BQ38" i="67"/>
  <c r="Y376" i="72"/>
  <c r="CB52" i="67"/>
  <c r="Y612" i="72"/>
  <c r="CB72" i="67"/>
  <c r="R612" i="72"/>
  <c r="BU72" i="67"/>
  <c r="Z123" i="72"/>
  <c r="CC16" i="67"/>
  <c r="S130" i="72"/>
  <c r="BV23" i="67"/>
  <c r="M130" i="72"/>
  <c r="BP23" i="67"/>
  <c r="W380" i="72"/>
  <c r="BZ56" i="67"/>
  <c r="M616" i="72"/>
  <c r="BP76" i="67"/>
  <c r="U616" i="72"/>
  <c r="BX76" i="67"/>
  <c r="Y372" i="72"/>
  <c r="U121" i="72"/>
  <c r="BX14" i="67"/>
  <c r="AA121" i="72"/>
  <c r="CD14" i="67"/>
  <c r="AD626" i="72"/>
  <c r="CG86" i="67"/>
  <c r="U133" i="72"/>
  <c r="BX26" i="67"/>
  <c r="O133" i="72"/>
  <c r="BR26" i="67"/>
  <c r="K621" i="72"/>
  <c r="BN81" i="67"/>
  <c r="V621" i="72"/>
  <c r="BY81" i="67"/>
  <c r="U360" i="72"/>
  <c r="BX36" i="67"/>
  <c r="I126" i="72"/>
  <c r="BL19" i="67"/>
  <c r="H620" i="72"/>
  <c r="BK80" i="67"/>
  <c r="J120" i="48" s="1"/>
  <c r="H375" i="72"/>
  <c r="BK51" i="67"/>
  <c r="H120" i="48" s="1"/>
  <c r="AE370" i="72"/>
  <c r="CH46" i="67"/>
  <c r="V360" i="72"/>
  <c r="BY36" i="67"/>
  <c r="W364" i="72"/>
  <c r="BZ40" i="67"/>
  <c r="X369" i="72"/>
  <c r="CA45" i="67"/>
  <c r="AB625" i="72"/>
  <c r="CE85" i="67"/>
  <c r="AD625" i="72"/>
  <c r="CG85" i="67"/>
  <c r="U625" i="72"/>
  <c r="BX85" i="67"/>
  <c r="Q128" i="72"/>
  <c r="BT21" i="67"/>
  <c r="AD128" i="72"/>
  <c r="CG21" i="67"/>
  <c r="Z128" i="72"/>
  <c r="CC21" i="67"/>
  <c r="P127" i="72"/>
  <c r="BS20" i="67"/>
  <c r="R114" i="72"/>
  <c r="BU7" i="67"/>
  <c r="Q114" i="72"/>
  <c r="BT7" i="67"/>
  <c r="O613" i="72"/>
  <c r="BR73" i="67"/>
  <c r="Z617" i="72"/>
  <c r="CC77" i="67"/>
  <c r="S131" i="72"/>
  <c r="BV24" i="67"/>
  <c r="V131" i="72"/>
  <c r="BY24" i="67"/>
  <c r="Y131" i="72"/>
  <c r="CB24" i="67"/>
  <c r="W117" i="72"/>
  <c r="BZ10" i="67"/>
  <c r="U122" i="72"/>
  <c r="BX15" i="67"/>
  <c r="N605" i="72"/>
  <c r="BQ65" i="67"/>
  <c r="AB118" i="72"/>
  <c r="CE11" i="67"/>
  <c r="AC118" i="72"/>
  <c r="CF11" i="67"/>
  <c r="AG134" i="72"/>
  <c r="CJ27" i="67"/>
  <c r="G125" i="48" s="1"/>
  <c r="R609" i="72"/>
  <c r="BU69" i="67"/>
  <c r="AG609" i="72"/>
  <c r="CJ69" i="67"/>
  <c r="K109" i="48" s="1"/>
  <c r="Z609" i="72"/>
  <c r="CC69" i="67"/>
  <c r="AF609" i="72"/>
  <c r="CI69" i="67"/>
  <c r="BY61" i="67"/>
  <c r="CD66" i="67"/>
  <c r="CJ93" i="67"/>
  <c r="K133" i="48" s="1"/>
  <c r="BZ33" i="67"/>
  <c r="CB62" i="67"/>
  <c r="BW59" i="67"/>
  <c r="BM31" i="67"/>
  <c r="BO93" i="67"/>
  <c r="CB30" i="67"/>
  <c r="CD37" i="67"/>
  <c r="CH61" i="67"/>
  <c r="BN31" i="67"/>
  <c r="BP60" i="67"/>
  <c r="BM87" i="67"/>
  <c r="BM33" i="67"/>
  <c r="CI88" i="67"/>
  <c r="BU87" i="67"/>
  <c r="BR33" i="67"/>
  <c r="BU66" i="67"/>
  <c r="BQ61" i="67"/>
  <c r="CE31" i="67"/>
  <c r="BO60" i="67"/>
  <c r="BM60" i="67"/>
  <c r="BZ64" i="67"/>
  <c r="BS8" i="67"/>
  <c r="BU61" i="67"/>
  <c r="BX66" i="67"/>
  <c r="CF93" i="67"/>
  <c r="BN62" i="67"/>
  <c r="BV89" i="67"/>
  <c r="BW30" i="67"/>
  <c r="CB87" i="67"/>
  <c r="BU33" i="67"/>
  <c r="BL87" i="67"/>
  <c r="BO30" i="67"/>
  <c r="BP62" i="67"/>
  <c r="CA32" i="67"/>
  <c r="BO88" i="67"/>
  <c r="J360" i="72"/>
  <c r="BM36" i="67"/>
  <c r="K366" i="72"/>
  <c r="BN42" i="67"/>
  <c r="Y116" i="72"/>
  <c r="CB9" i="67"/>
  <c r="AA610" i="72"/>
  <c r="CD70" i="67"/>
  <c r="K367" i="72"/>
  <c r="BN43" i="67"/>
  <c r="V618" i="72"/>
  <c r="BY78" i="67"/>
  <c r="X618" i="72"/>
  <c r="CA78" i="67"/>
  <c r="M124" i="72"/>
  <c r="BP17" i="67"/>
  <c r="O129" i="72"/>
  <c r="BR22" i="67"/>
  <c r="Y129" i="72"/>
  <c r="CB22" i="67"/>
  <c r="Z132" i="72"/>
  <c r="CC25" i="67"/>
  <c r="X132" i="72"/>
  <c r="CA25" i="67"/>
  <c r="O377" i="72"/>
  <c r="BR53" i="67"/>
  <c r="X362" i="72"/>
  <c r="CA38" i="67"/>
  <c r="N615" i="72"/>
  <c r="BQ75" i="67"/>
  <c r="AD615" i="72"/>
  <c r="CG75" i="67"/>
  <c r="Q371" i="72"/>
  <c r="BT47" i="67"/>
  <c r="Y371" i="72"/>
  <c r="CB47" i="67"/>
  <c r="AD371" i="72"/>
  <c r="CG47" i="67"/>
  <c r="M374" i="72"/>
  <c r="N611" i="72"/>
  <c r="BQ71" i="67"/>
  <c r="H611" i="72"/>
  <c r="BK71" i="67"/>
  <c r="J111" i="48" s="1"/>
  <c r="AB125" i="72"/>
  <c r="CE18" i="67"/>
  <c r="AF125" i="72"/>
  <c r="CI18" i="67"/>
  <c r="H605" i="72"/>
  <c r="BK65" i="67"/>
  <c r="J105" i="48" s="1"/>
  <c r="AA363" i="72"/>
  <c r="CD39" i="67"/>
  <c r="Q363" i="72"/>
  <c r="BT39" i="67"/>
  <c r="W119" i="72"/>
  <c r="BZ12" i="67"/>
  <c r="R119" i="72"/>
  <c r="BU12" i="67"/>
  <c r="AG368" i="72"/>
  <c r="CJ44" i="67"/>
  <c r="I113" i="48" s="1"/>
  <c r="AF619" i="72"/>
  <c r="CI79" i="67"/>
  <c r="U619" i="72"/>
  <c r="BX79" i="67"/>
  <c r="K622" i="72"/>
  <c r="BN82" i="67"/>
  <c r="AB622" i="72"/>
  <c r="CE82" i="67"/>
  <c r="O376" i="72"/>
  <c r="BR52" i="67"/>
  <c r="X612" i="72"/>
  <c r="CA72" i="67"/>
  <c r="AD123" i="72"/>
  <c r="CG16" i="67"/>
  <c r="X123" i="72"/>
  <c r="CA16" i="67"/>
  <c r="Z130" i="72"/>
  <c r="CC23" i="67"/>
  <c r="R380" i="72"/>
  <c r="BU56" i="67"/>
  <c r="AC360" i="72"/>
  <c r="CF36" i="67"/>
  <c r="W616" i="72"/>
  <c r="BZ76" i="67"/>
  <c r="AE616" i="72"/>
  <c r="CH76" i="67"/>
  <c r="AF616" i="72"/>
  <c r="CI76" i="67"/>
  <c r="X616" i="72"/>
  <c r="CA76" i="67"/>
  <c r="T121" i="72"/>
  <c r="BW14" i="67"/>
  <c r="K121" i="72"/>
  <c r="BN14" i="67"/>
  <c r="Q626" i="72"/>
  <c r="BT86" i="67"/>
  <c r="K626" i="72"/>
  <c r="BN86" i="67"/>
  <c r="I133" i="72"/>
  <c r="BL26" i="67"/>
  <c r="AA621" i="72"/>
  <c r="CD81" i="67"/>
  <c r="P621" i="72"/>
  <c r="BS81" i="67"/>
  <c r="AD360" i="72"/>
  <c r="CG36" i="67"/>
  <c r="AD120" i="72"/>
  <c r="CG13" i="67"/>
  <c r="AC126" i="72"/>
  <c r="CF19" i="67"/>
  <c r="P126" i="72"/>
  <c r="BS19" i="67"/>
  <c r="Z620" i="72"/>
  <c r="CC80" i="67"/>
  <c r="M620" i="72"/>
  <c r="BP80" i="67"/>
  <c r="AD375" i="72"/>
  <c r="M370" i="72"/>
  <c r="BP46" i="67"/>
  <c r="R370" i="72"/>
  <c r="BU46" i="67"/>
  <c r="O360" i="72"/>
  <c r="BR36" i="67"/>
  <c r="AB364" i="72"/>
  <c r="CE40" i="67"/>
  <c r="J364" i="72"/>
  <c r="BM40" i="67"/>
  <c r="W369" i="72"/>
  <c r="BZ45" i="67"/>
  <c r="N369" i="72"/>
  <c r="BQ45" i="67"/>
  <c r="K369" i="72"/>
  <c r="BN45" i="67"/>
  <c r="W625" i="72"/>
  <c r="BZ85" i="67"/>
  <c r="K625" i="72"/>
  <c r="BN85" i="67"/>
  <c r="I625" i="72"/>
  <c r="BL85" i="67"/>
  <c r="L607" i="72"/>
  <c r="BO67" i="67"/>
  <c r="P607" i="72"/>
  <c r="BS67" i="67"/>
  <c r="T128" i="72"/>
  <c r="BW21" i="67"/>
  <c r="W127" i="72"/>
  <c r="BZ20" i="67"/>
  <c r="Z127" i="72"/>
  <c r="CC20" i="67"/>
  <c r="H114" i="72"/>
  <c r="BK7" i="67"/>
  <c r="F105" i="48" s="1"/>
  <c r="I114" i="72"/>
  <c r="BL7" i="67"/>
  <c r="AC623" i="72"/>
  <c r="CF83" i="67"/>
  <c r="W623" i="72"/>
  <c r="BZ83" i="67"/>
  <c r="M613" i="72"/>
  <c r="BP73" i="67"/>
  <c r="Y617" i="72"/>
  <c r="CB77" i="67"/>
  <c r="L131" i="72"/>
  <c r="BO24" i="67"/>
  <c r="AD117" i="72"/>
  <c r="CG10" i="67"/>
  <c r="I117" i="72"/>
  <c r="BL10" i="67"/>
  <c r="AG122" i="72"/>
  <c r="CJ15" i="67"/>
  <c r="G113" i="48" s="1"/>
  <c r="P122" i="72"/>
  <c r="BS15" i="67"/>
  <c r="M118" i="72"/>
  <c r="BP11" i="67"/>
  <c r="I118" i="72"/>
  <c r="BL11" i="67"/>
  <c r="AF373" i="72"/>
  <c r="J373" i="72"/>
  <c r="BM49" i="67"/>
  <c r="AF134" i="72"/>
  <c r="CI27" i="67"/>
  <c r="AA134" i="72"/>
  <c r="CD27" i="67"/>
  <c r="O609" i="72"/>
  <c r="BR69" i="67"/>
  <c r="I609" i="72"/>
  <c r="BL69" i="67"/>
  <c r="CE91" i="67"/>
  <c r="BL93" i="67"/>
  <c r="CA34" i="67"/>
  <c r="BO92" i="67"/>
  <c r="BL61" i="67"/>
  <c r="CC66" i="67"/>
  <c r="CA93" i="67"/>
  <c r="CC63" i="67"/>
  <c r="CB34" i="67"/>
  <c r="BK61" i="67"/>
  <c r="H130" i="48" s="1"/>
  <c r="CB66" i="67"/>
  <c r="BS93" i="67"/>
  <c r="CE90" i="67"/>
  <c r="CC34" i="67"/>
  <c r="BW58" i="67"/>
  <c r="BZ90" i="67"/>
  <c r="CC33" i="67"/>
  <c r="CG35" i="67"/>
  <c r="BW61" i="67"/>
  <c r="BK66" i="67"/>
  <c r="J106" i="48" s="1"/>
  <c r="CG93" i="67"/>
  <c r="CD58" i="67"/>
  <c r="BP30" i="67"/>
  <c r="CC29" i="67"/>
  <c r="BK91" i="67"/>
  <c r="J131" i="48" s="1"/>
  <c r="BQ89" i="67"/>
  <c r="BM88" i="67"/>
  <c r="BW62" i="67"/>
  <c r="BR32" i="67"/>
  <c r="CG30" i="67"/>
  <c r="BQ87" i="67"/>
  <c r="BO34" i="67"/>
  <c r="CF87" i="67"/>
  <c r="BZ32" i="67"/>
  <c r="CA62" i="67"/>
  <c r="BQ32" i="67"/>
  <c r="BM58" i="67"/>
  <c r="U378" i="72"/>
  <c r="BX54" i="67"/>
  <c r="Y379" i="72"/>
  <c r="CB55" i="67"/>
  <c r="AA608" i="72"/>
  <c r="CD68" i="67"/>
  <c r="Q614" i="72"/>
  <c r="BT74" i="67"/>
  <c r="AF367" i="72"/>
  <c r="CI43" i="67"/>
  <c r="AA618" i="72"/>
  <c r="CD78" i="67"/>
  <c r="R360" i="72"/>
  <c r="BU36" i="67"/>
  <c r="P378" i="72"/>
  <c r="BS54" i="67"/>
  <c r="AF378" i="72"/>
  <c r="CI54" i="67"/>
  <c r="X366" i="72"/>
  <c r="CA42" i="67"/>
  <c r="T366" i="72"/>
  <c r="BW42" i="67"/>
  <c r="Q366" i="72"/>
  <c r="BT42" i="67"/>
  <c r="AC379" i="72"/>
  <c r="CF55" i="67"/>
  <c r="O379" i="72"/>
  <c r="BR55" i="67"/>
  <c r="Z608" i="72"/>
  <c r="CC68" i="67"/>
  <c r="O362" i="72"/>
  <c r="BR38" i="67"/>
  <c r="P116" i="72"/>
  <c r="BS9" i="67"/>
  <c r="N610" i="72"/>
  <c r="BQ70" i="67"/>
  <c r="H610" i="72"/>
  <c r="BK70" i="67"/>
  <c r="J110" i="48" s="1"/>
  <c r="U610" i="72"/>
  <c r="BX70" i="67"/>
  <c r="T614" i="72"/>
  <c r="BW74" i="67"/>
  <c r="M367" i="72"/>
  <c r="BP43" i="67"/>
  <c r="H367" i="72"/>
  <c r="BK43" i="67"/>
  <c r="H112" i="48" s="1"/>
  <c r="I367" i="72"/>
  <c r="BL43" i="67"/>
  <c r="H618" i="72"/>
  <c r="BK78" i="67"/>
  <c r="J118" i="48" s="1"/>
  <c r="AD620" i="72"/>
  <c r="CG80" i="67"/>
  <c r="R124" i="72"/>
  <c r="BU17" i="67"/>
  <c r="AG129" i="72"/>
  <c r="CJ22" i="67"/>
  <c r="G120" i="48" s="1"/>
  <c r="U129" i="72"/>
  <c r="BX22" i="67"/>
  <c r="W377" i="72"/>
  <c r="BZ53" i="67"/>
  <c r="H377" i="72"/>
  <c r="BK53" i="67"/>
  <c r="H122" i="48" s="1"/>
  <c r="P362" i="72"/>
  <c r="BS38" i="67"/>
  <c r="AA116" i="72"/>
  <c r="CD9" i="67"/>
  <c r="Q365" i="72"/>
  <c r="BT41" i="67"/>
  <c r="AD365" i="72"/>
  <c r="CG41" i="67"/>
  <c r="AC615" i="72"/>
  <c r="CF75" i="67"/>
  <c r="X615" i="72"/>
  <c r="CA75" i="67"/>
  <c r="P371" i="72"/>
  <c r="BS47" i="67"/>
  <c r="P374" i="72"/>
  <c r="BS50" i="67"/>
  <c r="P611" i="72"/>
  <c r="BS71" i="67"/>
  <c r="L611" i="72"/>
  <c r="BO71" i="67"/>
  <c r="K125" i="72"/>
  <c r="BN18" i="67"/>
  <c r="N125" i="72"/>
  <c r="BQ18" i="67"/>
  <c r="T605" i="72"/>
  <c r="BW65" i="67"/>
  <c r="I363" i="72"/>
  <c r="BL39" i="67"/>
  <c r="J119" i="72"/>
  <c r="BM12" i="67"/>
  <c r="X368" i="72"/>
  <c r="CA44" i="67"/>
  <c r="S368" i="72"/>
  <c r="BV44" i="67"/>
  <c r="L619" i="72"/>
  <c r="BO79" i="67"/>
  <c r="AA622" i="72"/>
  <c r="CD82" i="67"/>
  <c r="AD622" i="72"/>
  <c r="CG82" i="67"/>
  <c r="AC622" i="72"/>
  <c r="CF82" i="67"/>
  <c r="AC376" i="72"/>
  <c r="CF52" i="67"/>
  <c r="K376" i="72"/>
  <c r="BN52" i="67"/>
  <c r="N376" i="72"/>
  <c r="BQ52" i="67"/>
  <c r="Q376" i="72"/>
  <c r="BT52" i="67"/>
  <c r="K612" i="72"/>
  <c r="BN72" i="67"/>
  <c r="AG612" i="72"/>
  <c r="CJ72" i="67"/>
  <c r="K112" i="48" s="1"/>
  <c r="AE130" i="72"/>
  <c r="CH23" i="67"/>
  <c r="L380" i="72"/>
  <c r="BO56" i="67"/>
  <c r="X380" i="72"/>
  <c r="CA56" i="67"/>
  <c r="O372" i="72"/>
  <c r="AB372" i="72"/>
  <c r="W372" i="72"/>
  <c r="AC372" i="72"/>
  <c r="S121" i="72"/>
  <c r="BV14" i="67"/>
  <c r="Z121" i="72"/>
  <c r="CC14" i="67"/>
  <c r="AG626" i="72"/>
  <c r="CJ86" i="67"/>
  <c r="K126" i="48" s="1"/>
  <c r="Q133" i="72"/>
  <c r="BT26" i="67"/>
  <c r="Y133" i="72"/>
  <c r="CB26" i="67"/>
  <c r="U621" i="72"/>
  <c r="BX81" i="67"/>
  <c r="AC120" i="72"/>
  <c r="CF13" i="67"/>
  <c r="U120" i="72"/>
  <c r="BX13" i="67"/>
  <c r="S126" i="72"/>
  <c r="BV19" i="67"/>
  <c r="AC620" i="72"/>
  <c r="CF80" i="67"/>
  <c r="Q375" i="72"/>
  <c r="BT51" i="67"/>
  <c r="J370" i="72"/>
  <c r="BM46" i="67"/>
  <c r="S364" i="72"/>
  <c r="BV40" i="67"/>
  <c r="P364" i="72"/>
  <c r="BS40" i="67"/>
  <c r="AC369" i="72"/>
  <c r="CF45" i="67"/>
  <c r="J625" i="72"/>
  <c r="BM85" i="67"/>
  <c r="AA625" i="72"/>
  <c r="CD85" i="67"/>
  <c r="Y625" i="72"/>
  <c r="CB85" i="67"/>
  <c r="N607" i="72"/>
  <c r="BQ67" i="67"/>
  <c r="J128" i="72"/>
  <c r="BM21" i="67"/>
  <c r="L128" i="72"/>
  <c r="BO21" i="67"/>
  <c r="K116" i="72"/>
  <c r="BN9" i="67"/>
  <c r="M127" i="72"/>
  <c r="BP20" i="67"/>
  <c r="O114" i="72"/>
  <c r="BR7" i="67"/>
  <c r="L623" i="72"/>
  <c r="BO83" i="67"/>
  <c r="X623" i="72"/>
  <c r="CA83" i="67"/>
  <c r="Y605" i="72"/>
  <c r="CB65" i="67"/>
  <c r="T613" i="72"/>
  <c r="BW73" i="67"/>
  <c r="L617" i="72"/>
  <c r="BO77" i="67"/>
  <c r="R131" i="72"/>
  <c r="BU24" i="67"/>
  <c r="N117" i="72"/>
  <c r="BQ10" i="67"/>
  <c r="AC122" i="72"/>
  <c r="CF15" i="67"/>
  <c r="L122" i="72"/>
  <c r="BO15" i="67"/>
  <c r="Q122" i="72"/>
  <c r="BT15" i="67"/>
  <c r="T122" i="72"/>
  <c r="BW15" i="67"/>
  <c r="S118" i="72"/>
  <c r="BV11" i="67"/>
  <c r="P373" i="72"/>
  <c r="BS49" i="67"/>
  <c r="S373" i="72"/>
  <c r="BV49" i="67"/>
  <c r="X134" i="72"/>
  <c r="CA27" i="67"/>
  <c r="N134" i="72"/>
  <c r="BQ27" i="67"/>
  <c r="K609" i="72"/>
  <c r="BN69" i="67"/>
  <c r="P609" i="72"/>
  <c r="BS69" i="67"/>
  <c r="BT91" i="67"/>
  <c r="BN89" i="67"/>
  <c r="BY88" i="67"/>
  <c r="BT34" i="67"/>
  <c r="BY87" i="67"/>
  <c r="CD91" i="67"/>
  <c r="CJ89" i="67"/>
  <c r="K129" i="48" s="1"/>
  <c r="BW88" i="67"/>
  <c r="CH31" i="67"/>
  <c r="BT35" i="67"/>
  <c r="CC91" i="67"/>
  <c r="CI89" i="67"/>
  <c r="BZ93" i="67"/>
  <c r="BT64" i="67"/>
  <c r="CC35" i="67"/>
  <c r="BP35" i="67"/>
  <c r="BO90" i="67"/>
  <c r="BN34" i="67"/>
  <c r="BP88" i="67"/>
  <c r="BL91" i="67"/>
  <c r="BR89" i="67"/>
  <c r="BN88" i="67"/>
  <c r="BY32" i="67"/>
  <c r="BU63" i="67"/>
  <c r="CD60" i="67"/>
  <c r="CC62" i="67"/>
  <c r="BW89" i="67"/>
  <c r="BR88" i="67"/>
  <c r="BR92" i="67"/>
  <c r="BS37" i="67"/>
  <c r="BW63" i="67"/>
  <c r="BU90" i="67"/>
  <c r="CG34" i="67"/>
  <c r="CJ90" i="67"/>
  <c r="K130" i="48" s="1"/>
  <c r="BQ37" i="67"/>
  <c r="BP92" i="67"/>
  <c r="CF37" i="67"/>
  <c r="BT58" i="67"/>
  <c r="AD366" i="72"/>
  <c r="CG42" i="67"/>
  <c r="M379" i="72"/>
  <c r="BP55" i="67"/>
  <c r="AG379" i="72"/>
  <c r="CJ55" i="67"/>
  <c r="I124" i="48" s="1"/>
  <c r="V610" i="72"/>
  <c r="BY70" i="67"/>
  <c r="J614" i="72"/>
  <c r="BM74" i="67"/>
  <c r="M618" i="72"/>
  <c r="BP78" i="67"/>
  <c r="AF124" i="72"/>
  <c r="CI17" i="67"/>
  <c r="AF129" i="72"/>
  <c r="CI22" i="67"/>
  <c r="L129" i="72"/>
  <c r="BO22" i="67"/>
  <c r="AE132" i="72"/>
  <c r="CH25" i="67"/>
  <c r="M132" i="72"/>
  <c r="BP25" i="67"/>
  <c r="AD377" i="72"/>
  <c r="CG53" i="67"/>
  <c r="S377" i="72"/>
  <c r="BV53" i="67"/>
  <c r="AF377" i="72"/>
  <c r="CI53" i="67"/>
  <c r="R116" i="72"/>
  <c r="BU9" i="67"/>
  <c r="I365" i="72"/>
  <c r="BL41" i="67"/>
  <c r="AF615" i="72"/>
  <c r="CI75" i="67"/>
  <c r="AF371" i="72"/>
  <c r="CI47" i="67"/>
  <c r="L371" i="72"/>
  <c r="BO47" i="67"/>
  <c r="R374" i="72"/>
  <c r="BU50" i="67"/>
  <c r="I611" i="72"/>
  <c r="BL71" i="67"/>
  <c r="AB360" i="72"/>
  <c r="CE36" i="67"/>
  <c r="V125" i="72"/>
  <c r="BY18" i="67"/>
  <c r="J605" i="72"/>
  <c r="BM65" i="67"/>
  <c r="AC363" i="72"/>
  <c r="CF39" i="67"/>
  <c r="W363" i="72"/>
  <c r="BZ39" i="67"/>
  <c r="AC119" i="72"/>
  <c r="CF12" i="67"/>
  <c r="AE368" i="72"/>
  <c r="CH44" i="67"/>
  <c r="M368" i="72"/>
  <c r="BP44" i="67"/>
  <c r="Q619" i="72"/>
  <c r="BT79" i="67"/>
  <c r="X619" i="72"/>
  <c r="CA79" i="67"/>
  <c r="I622" i="72"/>
  <c r="BL82" i="67"/>
  <c r="AD376" i="72"/>
  <c r="CG52" i="67"/>
  <c r="H376" i="72"/>
  <c r="BK52" i="67"/>
  <c r="H121" i="48" s="1"/>
  <c r="P376" i="72"/>
  <c r="BS52" i="67"/>
  <c r="P123" i="72"/>
  <c r="BS16" i="67"/>
  <c r="Y123" i="72"/>
  <c r="CB16" i="67"/>
  <c r="W130" i="72"/>
  <c r="BZ23" i="67"/>
  <c r="R130" i="72"/>
  <c r="BU23" i="67"/>
  <c r="AB130" i="72"/>
  <c r="CE23" i="67"/>
  <c r="O380" i="72"/>
  <c r="BR56" i="67"/>
  <c r="H380" i="72"/>
  <c r="BK56" i="67"/>
  <c r="H125" i="48" s="1"/>
  <c r="S116" i="72"/>
  <c r="BV9" i="67"/>
  <c r="V616" i="72"/>
  <c r="BY76" i="67"/>
  <c r="O616" i="72"/>
  <c r="BR76" i="67"/>
  <c r="H372" i="72"/>
  <c r="BK48" i="67"/>
  <c r="H117" i="48" s="1"/>
  <c r="AG372" i="72"/>
  <c r="R121" i="72"/>
  <c r="BU14" i="67"/>
  <c r="J121" i="72"/>
  <c r="BM14" i="67"/>
  <c r="O626" i="72"/>
  <c r="BR86" i="67"/>
  <c r="AA626" i="72"/>
  <c r="CD86" i="67"/>
  <c r="T133" i="72"/>
  <c r="BW26" i="67"/>
  <c r="AD133" i="72"/>
  <c r="CG26" i="67"/>
  <c r="AF621" i="72"/>
  <c r="CI81" i="67"/>
  <c r="AB120" i="72"/>
  <c r="CE13" i="67"/>
  <c r="X126" i="72"/>
  <c r="CA19" i="67"/>
  <c r="S620" i="72"/>
  <c r="BV80" i="67"/>
  <c r="Y375" i="72"/>
  <c r="N375" i="72"/>
  <c r="V370" i="72"/>
  <c r="BY46" i="67"/>
  <c r="O370" i="72"/>
  <c r="BR46" i="67"/>
  <c r="V116" i="72"/>
  <c r="BY9" i="67"/>
  <c r="V364" i="72"/>
  <c r="BY40" i="67"/>
  <c r="V369" i="72"/>
  <c r="BY45" i="67"/>
  <c r="L625" i="72"/>
  <c r="BO85" i="67"/>
  <c r="X607" i="72"/>
  <c r="CA67" i="67"/>
  <c r="R607" i="72"/>
  <c r="BU67" i="67"/>
  <c r="Y128" i="72"/>
  <c r="CB21" i="67"/>
  <c r="X128" i="72"/>
  <c r="CA21" i="67"/>
  <c r="AE127" i="72"/>
  <c r="CH20" i="67"/>
  <c r="P114" i="72"/>
  <c r="BS7" i="67"/>
  <c r="K114" i="72"/>
  <c r="BN7" i="67"/>
  <c r="AB623" i="72"/>
  <c r="CE83" i="67"/>
  <c r="N623" i="72"/>
  <c r="BQ83" i="67"/>
  <c r="AA623" i="72"/>
  <c r="CD83" i="67"/>
  <c r="AA613" i="72"/>
  <c r="CD73" i="67"/>
  <c r="N613" i="72"/>
  <c r="BQ73" i="67"/>
  <c r="S617" i="72"/>
  <c r="BV77" i="67"/>
  <c r="AB617" i="72"/>
  <c r="CE77" i="67"/>
  <c r="AA131" i="72"/>
  <c r="CD24" i="67"/>
  <c r="O131" i="72"/>
  <c r="BR24" i="67"/>
  <c r="AC117" i="72"/>
  <c r="CF10" i="67"/>
  <c r="AG117" i="72"/>
  <c r="CJ10" i="67"/>
  <c r="G108" i="48" s="1"/>
  <c r="U117" i="72"/>
  <c r="BX10" i="67"/>
  <c r="AB122" i="72"/>
  <c r="CE15" i="67"/>
  <c r="AE122" i="72"/>
  <c r="CH15" i="67"/>
  <c r="H122" i="72"/>
  <c r="BK15" i="67"/>
  <c r="F113" i="48" s="1"/>
  <c r="Y118" i="72"/>
  <c r="CB11" i="67"/>
  <c r="Y373" i="72"/>
  <c r="K134" i="72"/>
  <c r="BN27" i="67"/>
  <c r="AA609" i="72"/>
  <c r="CD69" i="67"/>
  <c r="Y609" i="72"/>
  <c r="CB69" i="67"/>
  <c r="CF62" i="67"/>
  <c r="BL32" i="67"/>
  <c r="CJ58" i="67"/>
  <c r="I127" i="48" s="1"/>
  <c r="BS35" i="67"/>
  <c r="BO87" i="67"/>
  <c r="BS91" i="67"/>
  <c r="BM89" i="67"/>
  <c r="CI58" i="67"/>
  <c r="BM66" i="67"/>
  <c r="BL8" i="67"/>
  <c r="CH91" i="67"/>
  <c r="BL89" i="67"/>
  <c r="CJ88" i="67"/>
  <c r="K128" i="48" s="1"/>
  <c r="BL64" i="67"/>
  <c r="BU35" i="67"/>
  <c r="BP93" i="67"/>
  <c r="H360" i="72"/>
  <c r="BK36" i="67"/>
  <c r="H105" i="48" s="1"/>
  <c r="CI64" i="67"/>
  <c r="BN35" i="67"/>
  <c r="BK32" i="67"/>
  <c r="F130" i="48" s="1"/>
  <c r="BQ91" i="67"/>
  <c r="BK89" i="67"/>
  <c r="J129" i="48" s="1"/>
  <c r="BS88" i="67"/>
  <c r="CJ60" i="67"/>
  <c r="I129" i="48" s="1"/>
  <c r="BP63" i="67"/>
  <c r="CC88" i="67"/>
  <c r="BU62" i="67"/>
  <c r="CF32" i="67"/>
  <c r="BP58" i="67"/>
  <c r="BX92" i="67"/>
  <c r="BV34" i="67"/>
  <c r="BU59" i="67"/>
  <c r="CG63" i="67"/>
  <c r="BL90" i="67"/>
  <c r="BQ35" i="67"/>
  <c r="CA90" i="67"/>
  <c r="CI59" i="67"/>
  <c r="BU88" i="67"/>
  <c r="BK87" i="67"/>
  <c r="J127" i="48" s="1"/>
  <c r="CA37" i="67"/>
  <c r="BV88" i="67"/>
  <c r="AC366" i="72"/>
  <c r="CF42" i="67"/>
  <c r="AG378" i="72"/>
  <c r="CJ54" i="67"/>
  <c r="I123" i="48" s="1"/>
  <c r="AB366" i="72"/>
  <c r="CE42" i="67"/>
  <c r="J379" i="72"/>
  <c r="BM55" i="67"/>
  <c r="V362" i="72"/>
  <c r="BY38" i="67"/>
  <c r="S614" i="72"/>
  <c r="BV74" i="67"/>
  <c r="W378" i="72"/>
  <c r="BZ54" i="67"/>
  <c r="N366" i="72"/>
  <c r="BQ42" i="67"/>
  <c r="Z366" i="72"/>
  <c r="CC42" i="67"/>
  <c r="AB379" i="72"/>
  <c r="CE55" i="67"/>
  <c r="H379" i="72"/>
  <c r="BK55" i="67"/>
  <c r="H124" i="48" s="1"/>
  <c r="I608" i="72"/>
  <c r="BL68" i="67"/>
  <c r="M608" i="72"/>
  <c r="BP68" i="67"/>
  <c r="Q605" i="72"/>
  <c r="BT65" i="67"/>
  <c r="O610" i="72"/>
  <c r="BR70" i="67"/>
  <c r="AB610" i="72"/>
  <c r="CE70" i="67"/>
  <c r="N614" i="72"/>
  <c r="BQ74" i="67"/>
  <c r="AC614" i="72"/>
  <c r="CF74" i="67"/>
  <c r="R367" i="72"/>
  <c r="BU43" i="67"/>
  <c r="P367" i="72"/>
  <c r="BS43" i="67"/>
  <c r="J618" i="72"/>
  <c r="BM78" i="67"/>
  <c r="W362" i="72"/>
  <c r="BZ38" i="67"/>
  <c r="Z116" i="72"/>
  <c r="CC9" i="67"/>
  <c r="Q124" i="72"/>
  <c r="BT17" i="67"/>
  <c r="AB124" i="72"/>
  <c r="CE17" i="67"/>
  <c r="I129" i="72"/>
  <c r="BL22" i="67"/>
  <c r="AD129" i="72"/>
  <c r="CG22" i="67"/>
  <c r="Q129" i="72"/>
  <c r="BT22" i="67"/>
  <c r="J132" i="72"/>
  <c r="BM25" i="67"/>
  <c r="W132" i="72"/>
  <c r="BZ25" i="67"/>
  <c r="K377" i="72"/>
  <c r="BN53" i="67"/>
  <c r="S365" i="72"/>
  <c r="BV41" i="67"/>
  <c r="AG615" i="72"/>
  <c r="CJ75" i="67"/>
  <c r="K115" i="48" s="1"/>
  <c r="O615" i="72"/>
  <c r="BR75" i="67"/>
  <c r="T371" i="72"/>
  <c r="BW47" i="67"/>
  <c r="I371" i="72"/>
  <c r="BL47" i="67"/>
  <c r="J374" i="72"/>
  <c r="BM50" i="67"/>
  <c r="AE374" i="72"/>
  <c r="R611" i="72"/>
  <c r="BU71" i="67"/>
  <c r="T611" i="72"/>
  <c r="BW71" i="67"/>
  <c r="J125" i="72"/>
  <c r="BM18" i="67"/>
  <c r="H125" i="72"/>
  <c r="BK18" i="67"/>
  <c r="F116" i="48" s="1"/>
  <c r="P363" i="72"/>
  <c r="BS39" i="67"/>
  <c r="S363" i="72"/>
  <c r="BV39" i="67"/>
  <c r="AF363" i="72"/>
  <c r="CI39" i="67"/>
  <c r="Q119" i="72"/>
  <c r="BT12" i="67"/>
  <c r="X119" i="72"/>
  <c r="CA12" i="67"/>
  <c r="H368" i="72"/>
  <c r="BK44" i="67"/>
  <c r="H113" i="48" s="1"/>
  <c r="P619" i="72"/>
  <c r="BS79" i="67"/>
  <c r="W619" i="72"/>
  <c r="BZ79" i="67"/>
  <c r="AF376" i="72"/>
  <c r="CI52" i="67"/>
  <c r="I376" i="72"/>
  <c r="BL52" i="67"/>
  <c r="J612" i="72"/>
  <c r="BM72" i="67"/>
  <c r="Q612" i="72"/>
  <c r="BT72" i="67"/>
  <c r="I123" i="72"/>
  <c r="BL16" i="67"/>
  <c r="X130" i="72"/>
  <c r="CA23" i="67"/>
  <c r="J130" i="72"/>
  <c r="BM23" i="67"/>
  <c r="AE116" i="72"/>
  <c r="CH9" i="67"/>
  <c r="K616" i="72"/>
  <c r="BN76" i="67"/>
  <c r="U372" i="72"/>
  <c r="L372" i="72"/>
  <c r="BO48" i="67"/>
  <c r="I372" i="72"/>
  <c r="BL48" i="67"/>
  <c r="T116" i="72"/>
  <c r="BW9" i="67"/>
  <c r="Y121" i="72"/>
  <c r="CB14" i="67"/>
  <c r="S626" i="72"/>
  <c r="BV86" i="67"/>
  <c r="H626" i="72"/>
  <c r="BK86" i="67"/>
  <c r="J126" i="48" s="1"/>
  <c r="R621" i="72"/>
  <c r="BU81" i="67"/>
  <c r="AA120" i="72"/>
  <c r="CD13" i="67"/>
  <c r="T120" i="72"/>
  <c r="BW13" i="67"/>
  <c r="AB126" i="72"/>
  <c r="CE19" i="67"/>
  <c r="M126" i="72"/>
  <c r="BP19" i="67"/>
  <c r="AE126" i="72"/>
  <c r="CH19" i="67"/>
  <c r="R620" i="72"/>
  <c r="BU80" i="67"/>
  <c r="Z375" i="72"/>
  <c r="AB370" i="72"/>
  <c r="CE46" i="67"/>
  <c r="AG370" i="72"/>
  <c r="CJ46" i="67"/>
  <c r="I115" i="48" s="1"/>
  <c r="L364" i="72"/>
  <c r="BO40" i="67"/>
  <c r="H364" i="72"/>
  <c r="BK40" i="67"/>
  <c r="H109" i="48" s="1"/>
  <c r="U369" i="72"/>
  <c r="BX45" i="67"/>
  <c r="Z369" i="72"/>
  <c r="CC45" i="67"/>
  <c r="Z625" i="72"/>
  <c r="CC85" i="67"/>
  <c r="V607" i="72"/>
  <c r="BY67" i="67"/>
  <c r="T607" i="72"/>
  <c r="BW67" i="67"/>
  <c r="AF128" i="72"/>
  <c r="CI21" i="67"/>
  <c r="N128" i="72"/>
  <c r="BQ21" i="67"/>
  <c r="V127" i="72"/>
  <c r="BY20" i="67"/>
  <c r="S127" i="72"/>
  <c r="BV20" i="67"/>
  <c r="AF114" i="72"/>
  <c r="CI7" i="67"/>
  <c r="L114" i="72"/>
  <c r="BO7" i="67"/>
  <c r="AA114" i="72"/>
  <c r="CD7" i="67"/>
  <c r="J623" i="72"/>
  <c r="BM83" i="67"/>
  <c r="K623" i="72"/>
  <c r="BN83" i="67"/>
  <c r="Y613" i="72"/>
  <c r="CB73" i="67"/>
  <c r="Z613" i="72"/>
  <c r="CC73" i="67"/>
  <c r="L613" i="72"/>
  <c r="BO73" i="67"/>
  <c r="M617" i="72"/>
  <c r="BP77" i="67"/>
  <c r="H131" i="72"/>
  <c r="BK24" i="67"/>
  <c r="F122" i="48" s="1"/>
  <c r="I131" i="72"/>
  <c r="BL24" i="67"/>
  <c r="V117" i="72"/>
  <c r="BY10" i="67"/>
  <c r="AF117" i="72"/>
  <c r="CI10" i="67"/>
  <c r="AF122" i="72"/>
  <c r="CI15" i="67"/>
  <c r="X118" i="72"/>
  <c r="CA11" i="67"/>
  <c r="L118" i="72"/>
  <c r="BO11" i="67"/>
  <c r="P134" i="72"/>
  <c r="BS27" i="67"/>
  <c r="V609" i="72"/>
  <c r="BY69" i="67"/>
  <c r="Q609" i="72"/>
  <c r="BT69" i="67"/>
  <c r="AB609" i="72"/>
  <c r="CE69" i="67"/>
  <c r="BL62" i="67"/>
  <c r="BT32" i="67"/>
  <c r="CB58" i="67"/>
  <c r="CH90" i="67"/>
  <c r="CG62" i="67"/>
  <c r="BM32" i="67"/>
  <c r="CA58" i="67"/>
  <c r="CB89" i="67"/>
  <c r="CF60" i="67"/>
  <c r="CH62" i="67"/>
  <c r="BN32" i="67"/>
  <c r="CH58" i="67"/>
  <c r="CC30" i="67"/>
  <c r="CG8" i="67"/>
  <c r="BP89" i="67"/>
  <c r="CA64" i="67"/>
  <c r="BK35" i="67"/>
  <c r="F133" i="48" s="1"/>
  <c r="BV93" i="67"/>
  <c r="BT62" i="67"/>
  <c r="CE32" i="67"/>
  <c r="BQ58" i="67"/>
  <c r="BS30" i="67"/>
  <c r="CD59" i="67"/>
  <c r="BU31" i="67"/>
  <c r="CF58" i="67"/>
  <c r="CH92" i="67"/>
  <c r="CI37" i="67"/>
  <c r="BU58" i="67"/>
  <c r="BR87" i="67"/>
  <c r="CA29" i="67"/>
  <c r="BL59" i="67"/>
  <c r="BW31" i="67"/>
  <c r="BO64" i="67"/>
  <c r="BL35" i="67"/>
  <c r="CF64" i="67"/>
  <c r="CC59" i="67"/>
  <c r="CI87" i="67"/>
  <c r="BY33" i="67"/>
  <c r="BN8" i="67"/>
  <c r="Q21" i="24"/>
  <c r="F19" i="16" s="1"/>
  <c r="Q19" i="24"/>
  <c r="F17" i="16" s="1"/>
  <c r="Q20" i="24"/>
  <c r="F18" i="16" s="1"/>
  <c r="T12" i="24"/>
  <c r="T11" i="24"/>
  <c r="T13" i="24"/>
  <c r="T14" i="24"/>
  <c r="F10" i="16"/>
  <c r="AV48" i="67"/>
  <c r="AW49" i="67"/>
  <c r="AW51" i="67"/>
  <c r="AW50" i="67"/>
  <c r="AQ49" i="67"/>
  <c r="AR49" i="67"/>
  <c r="AP50" i="67"/>
  <c r="AO51" i="67"/>
  <c r="AR48" i="67"/>
  <c r="AQ48" i="67"/>
  <c r="F32" i="16"/>
  <c r="E176" i="48" s="1"/>
  <c r="J11" i="61"/>
  <c r="D7" i="48" s="1"/>
  <c r="J12" i="61"/>
  <c r="D8" i="48" s="1"/>
  <c r="J15" i="61"/>
  <c r="D10" i="48" s="1"/>
  <c r="C109" i="24"/>
  <c r="Q33" i="24" s="1"/>
  <c r="F31" i="16" s="1"/>
  <c r="G109" i="24"/>
  <c r="Q31" i="24" s="1"/>
  <c r="F29" i="16" s="1"/>
  <c r="E109" i="24"/>
  <c r="F109" i="24"/>
  <c r="D109" i="24"/>
  <c r="C96" i="24"/>
  <c r="Q30" i="24" s="1"/>
  <c r="F28" i="16" s="1"/>
  <c r="F96" i="24"/>
  <c r="D96" i="24"/>
  <c r="G96" i="24"/>
  <c r="Q28" i="24" s="1"/>
  <c r="F26" i="16" s="1"/>
  <c r="E96" i="24"/>
  <c r="H69" i="24"/>
  <c r="Q38" i="24" s="1"/>
  <c r="F36" i="16" s="1"/>
  <c r="E196" i="48" s="1"/>
  <c r="H68" i="24"/>
  <c r="H29" i="24"/>
  <c r="AP11" i="73" l="1"/>
  <c r="AP15" i="73" s="1"/>
  <c r="AO15" i="73"/>
  <c r="O287" i="18"/>
  <c r="O890" i="18" s="1"/>
  <c r="AF290" i="18"/>
  <c r="AF891" i="18" s="1"/>
  <c r="L856" i="18"/>
  <c r="L897" i="18" s="1"/>
  <c r="T865" i="18"/>
  <c r="T900" i="18" s="1"/>
  <c r="J859" i="18"/>
  <c r="J898" i="18" s="1"/>
  <c r="U487" i="18"/>
  <c r="U518" i="18"/>
  <c r="U394" i="18"/>
  <c r="U425" i="18"/>
  <c r="U549" i="18"/>
  <c r="U456" i="18"/>
  <c r="U332" i="18"/>
  <c r="U363" i="18"/>
  <c r="U517" i="18"/>
  <c r="U548" i="18"/>
  <c r="U362" i="18"/>
  <c r="U393" i="18"/>
  <c r="U486" i="18"/>
  <c r="U424" i="18"/>
  <c r="U331" i="18"/>
  <c r="U455" i="18"/>
  <c r="U547" i="18"/>
  <c r="U485" i="18"/>
  <c r="U516" i="18"/>
  <c r="U423" i="18"/>
  <c r="U454" i="18"/>
  <c r="U330" i="18"/>
  <c r="U392" i="18"/>
  <c r="U361" i="18"/>
  <c r="T515" i="18"/>
  <c r="T532" i="18" s="1"/>
  <c r="T577" i="18" s="1"/>
  <c r="T546" i="18"/>
  <c r="T484" i="18"/>
  <c r="T501" i="18" s="1"/>
  <c r="T575" i="18" s="1"/>
  <c r="T453" i="18"/>
  <c r="T391" i="18"/>
  <c r="T422" i="18"/>
  <c r="T439" i="18" s="1"/>
  <c r="T572" i="18" s="1"/>
  <c r="T588" i="18" s="1"/>
  <c r="T329" i="18"/>
  <c r="T346" i="18" s="1"/>
  <c r="T568" i="18" s="1"/>
  <c r="T360" i="18"/>
  <c r="T377" i="18" s="1"/>
  <c r="T569" i="18" s="1"/>
  <c r="S865" i="18"/>
  <c r="S900" i="18" s="1"/>
  <c r="AG865" i="18"/>
  <c r="AG900" i="18" s="1"/>
  <c r="I862" i="18"/>
  <c r="I899" i="18" s="1"/>
  <c r="P454" i="18"/>
  <c r="P330" i="18"/>
  <c r="P547" i="18"/>
  <c r="P423" i="18"/>
  <c r="P516" i="18"/>
  <c r="P392" i="18"/>
  <c r="P485" i="18"/>
  <c r="P361" i="18"/>
  <c r="O485" i="18"/>
  <c r="O361" i="18"/>
  <c r="O516" i="18"/>
  <c r="O454" i="18"/>
  <c r="O330" i="18"/>
  <c r="O547" i="18"/>
  <c r="O423" i="18"/>
  <c r="O392" i="18"/>
  <c r="O515" i="18"/>
  <c r="O391" i="18"/>
  <c r="O484" i="18"/>
  <c r="O360" i="18"/>
  <c r="O546" i="18"/>
  <c r="O453" i="18"/>
  <c r="O329" i="18"/>
  <c r="O422" i="18"/>
  <c r="P484" i="18"/>
  <c r="P360" i="18"/>
  <c r="P453" i="18"/>
  <c r="P329" i="18"/>
  <c r="P546" i="18"/>
  <c r="P422" i="18"/>
  <c r="P515" i="18"/>
  <c r="P391" i="18"/>
  <c r="M456" i="18"/>
  <c r="M470" i="18" s="1"/>
  <c r="M574" i="18" s="1"/>
  <c r="M332" i="18"/>
  <c r="M346" i="18" s="1"/>
  <c r="M568" i="18" s="1"/>
  <c r="M549" i="18"/>
  <c r="M425" i="18"/>
  <c r="M518" i="18"/>
  <c r="M394" i="18"/>
  <c r="M487" i="18"/>
  <c r="M363" i="18"/>
  <c r="M377" i="18" s="1"/>
  <c r="M569" i="18" s="1"/>
  <c r="N455" i="18"/>
  <c r="N331" i="18"/>
  <c r="N548" i="18"/>
  <c r="N424" i="18"/>
  <c r="N517" i="18"/>
  <c r="N393" i="18"/>
  <c r="N486" i="18"/>
  <c r="N362" i="18"/>
  <c r="V287" i="18"/>
  <c r="V890" i="18" s="1"/>
  <c r="R287" i="18"/>
  <c r="R890" i="18" s="1"/>
  <c r="AA865" i="18"/>
  <c r="AA900" i="18" s="1"/>
  <c r="Q859" i="18"/>
  <c r="Q898" i="18" s="1"/>
  <c r="I856" i="18"/>
  <c r="I897" i="18" s="1"/>
  <c r="W293" i="18"/>
  <c r="W892" i="18" s="1"/>
  <c r="Q284" i="18"/>
  <c r="Q889" i="18" s="1"/>
  <c r="AB856" i="18"/>
  <c r="AB897" i="18" s="1"/>
  <c r="P862" i="18"/>
  <c r="P899" i="18" s="1"/>
  <c r="AG859" i="18"/>
  <c r="AG898" i="18" s="1"/>
  <c r="I579" i="18"/>
  <c r="I896" i="18" s="1"/>
  <c r="H109" i="24"/>
  <c r="V859" i="18"/>
  <c r="V898" i="18" s="1"/>
  <c r="S290" i="18"/>
  <c r="S891" i="18" s="1"/>
  <c r="X862" i="18"/>
  <c r="X899" i="18" s="1"/>
  <c r="V856" i="18"/>
  <c r="V897" i="18" s="1"/>
  <c r="AA287" i="18"/>
  <c r="AA890" i="18" s="1"/>
  <c r="Y862" i="18"/>
  <c r="Y899" i="18" s="1"/>
  <c r="Q290" i="18"/>
  <c r="Q891" i="18" s="1"/>
  <c r="K293" i="18"/>
  <c r="K892" i="18" s="1"/>
  <c r="AC865" i="18"/>
  <c r="AC900" i="18" s="1"/>
  <c r="L284" i="18"/>
  <c r="L889" i="18" s="1"/>
  <c r="R570" i="18"/>
  <c r="R893" i="18" s="1"/>
  <c r="V862" i="18"/>
  <c r="V899" i="18" s="1"/>
  <c r="U862" i="18"/>
  <c r="U899" i="18" s="1"/>
  <c r="L865" i="18"/>
  <c r="L900" i="18" s="1"/>
  <c r="M290" i="18"/>
  <c r="M891" i="18" s="1"/>
  <c r="N284" i="18"/>
  <c r="N889" i="18" s="1"/>
  <c r="K576" i="18"/>
  <c r="K895" i="18" s="1"/>
  <c r="P287" i="18"/>
  <c r="P890" i="18" s="1"/>
  <c r="N859" i="18"/>
  <c r="N898" i="18" s="1"/>
  <c r="AD859" i="18"/>
  <c r="AD898" i="18" s="1"/>
  <c r="Y859" i="18"/>
  <c r="Y898" i="18" s="1"/>
  <c r="Z862" i="18"/>
  <c r="Z899" i="18" s="1"/>
  <c r="Y856" i="18"/>
  <c r="Y897" i="18" s="1"/>
  <c r="N287" i="18"/>
  <c r="N890" i="18" s="1"/>
  <c r="P284" i="18"/>
  <c r="P889" i="18" s="1"/>
  <c r="AB284" i="18"/>
  <c r="AB889" i="18" s="1"/>
  <c r="AE862" i="18"/>
  <c r="AE899" i="18" s="1"/>
  <c r="AA293" i="18"/>
  <c r="AA892" i="18" s="1"/>
  <c r="Y293" i="18"/>
  <c r="Y892" i="18" s="1"/>
  <c r="Q293" i="18"/>
  <c r="Q892" i="18" s="1"/>
  <c r="J576" i="18"/>
  <c r="J895" i="18" s="1"/>
  <c r="L859" i="18"/>
  <c r="L898" i="18" s="1"/>
  <c r="AG862" i="18"/>
  <c r="AG899" i="18" s="1"/>
  <c r="W865" i="18"/>
  <c r="W900" i="18" s="1"/>
  <c r="Z865" i="18"/>
  <c r="Z900" i="18" s="1"/>
  <c r="S862" i="18"/>
  <c r="S899" i="18" s="1"/>
  <c r="I859" i="18"/>
  <c r="I898" i="18" s="1"/>
  <c r="K284" i="18"/>
  <c r="K889" i="18" s="1"/>
  <c r="AF293" i="18"/>
  <c r="AF892" i="18" s="1"/>
  <c r="Q570" i="18"/>
  <c r="Q893" i="18" s="1"/>
  <c r="K287" i="18"/>
  <c r="K890" i="18" s="1"/>
  <c r="U293" i="18"/>
  <c r="U892" i="18" s="1"/>
  <c r="AE290" i="18"/>
  <c r="AE891" i="18" s="1"/>
  <c r="Y865" i="18"/>
  <c r="Y900" i="18" s="1"/>
  <c r="L287" i="18"/>
  <c r="L890" i="18" s="1"/>
  <c r="I573" i="18"/>
  <c r="I894" i="18" s="1"/>
  <c r="V290" i="18"/>
  <c r="V891" i="18" s="1"/>
  <c r="K290" i="18"/>
  <c r="K891" i="18" s="1"/>
  <c r="S573" i="18"/>
  <c r="S894" i="18" s="1"/>
  <c r="R293" i="18"/>
  <c r="R892" i="18" s="1"/>
  <c r="J856" i="18"/>
  <c r="J897" i="18" s="1"/>
  <c r="R573" i="18"/>
  <c r="R894" i="18" s="1"/>
  <c r="K570" i="18"/>
  <c r="K893" i="18" s="1"/>
  <c r="X290" i="18"/>
  <c r="X891" i="18" s="1"/>
  <c r="P859" i="18"/>
  <c r="P898" i="18" s="1"/>
  <c r="R290" i="18"/>
  <c r="R891" i="18" s="1"/>
  <c r="AA284" i="18"/>
  <c r="AA889" i="18" s="1"/>
  <c r="Q32" i="24"/>
  <c r="F30" i="16" s="1"/>
  <c r="E208" i="48" s="1" a="1"/>
  <c r="E208" i="48" s="1"/>
  <c r="AH865" i="18"/>
  <c r="AH900" i="18" s="1"/>
  <c r="AG293" i="18"/>
  <c r="AG892" i="18" s="1"/>
  <c r="N290" i="18"/>
  <c r="N891" i="18" s="1"/>
  <c r="O856" i="18"/>
  <c r="O897" i="18" s="1"/>
  <c r="E188" i="48" a="1"/>
  <c r="E188" i="48" s="1"/>
  <c r="I865" i="18"/>
  <c r="I900" i="18" s="1"/>
  <c r="I284" i="18"/>
  <c r="I889" i="18" s="1"/>
  <c r="U865" i="18"/>
  <c r="U900" i="18" s="1"/>
  <c r="W287" i="18"/>
  <c r="W890" i="18" s="1"/>
  <c r="M293" i="18"/>
  <c r="M892" i="18" s="1"/>
  <c r="I287" i="18"/>
  <c r="I890" i="18" s="1"/>
  <c r="M856" i="18"/>
  <c r="M897" i="18" s="1"/>
  <c r="Z287" i="18"/>
  <c r="Z890" i="18" s="1"/>
  <c r="Z284" i="18"/>
  <c r="Z889" i="18" s="1"/>
  <c r="I293" i="18"/>
  <c r="I892" i="18" s="1"/>
  <c r="AD287" i="18"/>
  <c r="AD890" i="18" s="1"/>
  <c r="X284" i="18"/>
  <c r="X889" i="18" s="1"/>
  <c r="AF284" i="18"/>
  <c r="AF889" i="18" s="1"/>
  <c r="J573" i="18"/>
  <c r="J894" i="18" s="1"/>
  <c r="Q287" i="18"/>
  <c r="Q890" i="18" s="1"/>
  <c r="AD856" i="18"/>
  <c r="AD897" i="18" s="1"/>
  <c r="AH284" i="18"/>
  <c r="AH889" i="18" s="1"/>
  <c r="AD865" i="18"/>
  <c r="AD900" i="18" s="1"/>
  <c r="W290" i="18"/>
  <c r="W891" i="18" s="1"/>
  <c r="AE865" i="18"/>
  <c r="AE900" i="18" s="1"/>
  <c r="AE293" i="18"/>
  <c r="AE892" i="18" s="1"/>
  <c r="O862" i="18"/>
  <c r="O899" i="18" s="1"/>
  <c r="Y284" i="18"/>
  <c r="Y889" i="18" s="1"/>
  <c r="AB293" i="18"/>
  <c r="AB892" i="18" s="1"/>
  <c r="M859" i="18"/>
  <c r="M898" i="18" s="1"/>
  <c r="AH859" i="18"/>
  <c r="AH898" i="18" s="1"/>
  <c r="J293" i="18"/>
  <c r="J892" i="18" s="1"/>
  <c r="W859" i="18"/>
  <c r="W898" i="18" s="1"/>
  <c r="AC862" i="18"/>
  <c r="AC899" i="18" s="1"/>
  <c r="J570" i="18"/>
  <c r="J893" i="18" s="1"/>
  <c r="L579" i="18"/>
  <c r="L896" i="18" s="1"/>
  <c r="AD862" i="18"/>
  <c r="AD899" i="18" s="1"/>
  <c r="AC287" i="18"/>
  <c r="AC890" i="18" s="1"/>
  <c r="AB859" i="18"/>
  <c r="AB898" i="18" s="1"/>
  <c r="L570" i="18"/>
  <c r="L893" i="18" s="1"/>
  <c r="Z856" i="18"/>
  <c r="Z897" i="18" s="1"/>
  <c r="AF287" i="18"/>
  <c r="AF890" i="18" s="1"/>
  <c r="AC293" i="18"/>
  <c r="AC892" i="18" s="1"/>
  <c r="L290" i="18"/>
  <c r="L891" i="18" s="1"/>
  <c r="M865" i="18"/>
  <c r="M900" i="18" s="1"/>
  <c r="Q856" i="18"/>
  <c r="Q897" i="18" s="1"/>
  <c r="M862" i="18"/>
  <c r="M899" i="18" s="1"/>
  <c r="L293" i="18"/>
  <c r="L892" i="18" s="1"/>
  <c r="AG856" i="18"/>
  <c r="AG897" i="18" s="1"/>
  <c r="U284" i="18"/>
  <c r="U889" i="18" s="1"/>
  <c r="K862" i="18"/>
  <c r="K899" i="18" s="1"/>
  <c r="Z859" i="18"/>
  <c r="Z898" i="18" s="1"/>
  <c r="V284" i="18"/>
  <c r="V889" i="18" s="1"/>
  <c r="X856" i="18"/>
  <c r="X897" i="18" s="1"/>
  <c r="AA859" i="18"/>
  <c r="AA898" i="18" s="1"/>
  <c r="X859" i="18"/>
  <c r="X898" i="18" s="1"/>
  <c r="R576" i="18"/>
  <c r="R895" i="18" s="1"/>
  <c r="I570" i="18"/>
  <c r="I893" i="18" s="1"/>
  <c r="K856" i="18"/>
  <c r="K897" i="18" s="1"/>
  <c r="J284" i="18"/>
  <c r="J889" i="18" s="1"/>
  <c r="S856" i="18"/>
  <c r="S897" i="18" s="1"/>
  <c r="L573" i="18"/>
  <c r="L894" i="18" s="1"/>
  <c r="S576" i="18"/>
  <c r="S895" i="18" s="1"/>
  <c r="M287" i="18"/>
  <c r="M890" i="18" s="1"/>
  <c r="T859" i="18"/>
  <c r="T898" i="18" s="1"/>
  <c r="AH856" i="18"/>
  <c r="AH897" i="18" s="1"/>
  <c r="O284" i="18"/>
  <c r="O889" i="18" s="1"/>
  <c r="V293" i="18"/>
  <c r="V892" i="18" s="1"/>
  <c r="Q865" i="18"/>
  <c r="Q900" i="18" s="1"/>
  <c r="AB287" i="18"/>
  <c r="AB890" i="18" s="1"/>
  <c r="BO51" i="67"/>
  <c r="M563" i="18"/>
  <c r="M578" i="18" s="1"/>
  <c r="M408" i="18"/>
  <c r="M571" i="18" s="1"/>
  <c r="M501" i="18"/>
  <c r="M575" i="18" s="1"/>
  <c r="M439" i="18"/>
  <c r="M572" i="18" s="1"/>
  <c r="M588" i="18" s="1"/>
  <c r="M532" i="18"/>
  <c r="M577" i="18" s="1"/>
  <c r="O865" i="18"/>
  <c r="O900" i="18" s="1"/>
  <c r="R859" i="18"/>
  <c r="R898" i="18" s="1"/>
  <c r="AF859" i="18"/>
  <c r="AF898" i="18" s="1"/>
  <c r="J287" i="18"/>
  <c r="J890" i="18" s="1"/>
  <c r="AB290" i="18"/>
  <c r="AB891" i="18" s="1"/>
  <c r="BP50" i="67"/>
  <c r="S859" i="18"/>
  <c r="S898" i="18" s="1"/>
  <c r="U859" i="18"/>
  <c r="U898" i="18" s="1"/>
  <c r="N865" i="18"/>
  <c r="N900" i="18" s="1"/>
  <c r="AA856" i="18"/>
  <c r="AA897" i="18" s="1"/>
  <c r="O290" i="18"/>
  <c r="O891" i="18" s="1"/>
  <c r="U856" i="18"/>
  <c r="U897" i="18" s="1"/>
  <c r="BW51" i="67"/>
  <c r="R865" i="18"/>
  <c r="R900" i="18" s="1"/>
  <c r="Y290" i="18"/>
  <c r="Y891" i="18" s="1"/>
  <c r="J290" i="18"/>
  <c r="J891" i="18" s="1"/>
  <c r="AC859" i="18"/>
  <c r="AC898" i="18" s="1"/>
  <c r="BR48" i="67"/>
  <c r="BQ48" i="67"/>
  <c r="AH287" i="18"/>
  <c r="AH890" i="18" s="1"/>
  <c r="AA862" i="18"/>
  <c r="AA899" i="18" s="1"/>
  <c r="K573" i="18"/>
  <c r="K894" i="18" s="1"/>
  <c r="S284" i="18"/>
  <c r="S889" i="18" s="1"/>
  <c r="O293" i="18"/>
  <c r="O892" i="18" s="1"/>
  <c r="I576" i="18"/>
  <c r="I895" i="18" s="1"/>
  <c r="AC290" i="18"/>
  <c r="AC891" i="18" s="1"/>
  <c r="X293" i="18"/>
  <c r="X892" i="18" s="1"/>
  <c r="AE856" i="18"/>
  <c r="AE897" i="18" s="1"/>
  <c r="R579" i="18"/>
  <c r="R896" i="18" s="1"/>
  <c r="BR49" i="67"/>
  <c r="BQ49" i="67"/>
  <c r="Z290" i="18"/>
  <c r="Z891" i="18" s="1"/>
  <c r="BW50" i="67"/>
  <c r="L576" i="18"/>
  <c r="L895" i="18" s="1"/>
  <c r="Q576" i="18"/>
  <c r="Q895" i="18" s="1"/>
  <c r="T856" i="18"/>
  <c r="T897" i="18" s="1"/>
  <c r="BW49" i="67"/>
  <c r="BV48" i="67"/>
  <c r="T470" i="18"/>
  <c r="T574" i="18" s="1"/>
  <c r="T408" i="18"/>
  <c r="T571" i="18" s="1"/>
  <c r="T563" i="18"/>
  <c r="T578" i="18" s="1"/>
  <c r="Q29" i="24"/>
  <c r="F27" i="16" s="1"/>
  <c r="E203" i="48" s="1" a="1"/>
  <c r="E203" i="48" s="1"/>
  <c r="AB865" i="18"/>
  <c r="AB900" i="18" s="1"/>
  <c r="U290" i="18"/>
  <c r="U891" i="18" s="1"/>
  <c r="Z293" i="18"/>
  <c r="Z892" i="18" s="1"/>
  <c r="AG290" i="18"/>
  <c r="AG891" i="18" s="1"/>
  <c r="AG284" i="18"/>
  <c r="AG889" i="18" s="1"/>
  <c r="J862" i="18"/>
  <c r="J899" i="18" s="1"/>
  <c r="I290" i="18"/>
  <c r="I891" i="18" s="1"/>
  <c r="AE859" i="18"/>
  <c r="AE898" i="18" s="1"/>
  <c r="S570" i="18"/>
  <c r="S893" i="18" s="1"/>
  <c r="X287" i="18"/>
  <c r="X890" i="18" s="1"/>
  <c r="AH293" i="18"/>
  <c r="AH892" i="18" s="1"/>
  <c r="T293" i="18"/>
  <c r="T892" i="18" s="1"/>
  <c r="Y287" i="18"/>
  <c r="Y890" i="18" s="1"/>
  <c r="P293" i="18"/>
  <c r="P892" i="18" s="1"/>
  <c r="O859" i="18"/>
  <c r="O898" i="18" s="1"/>
  <c r="O910" i="18" s="1"/>
  <c r="AF862" i="18"/>
  <c r="AF899" i="18" s="1"/>
  <c r="AF911" i="18" s="1"/>
  <c r="V865" i="18"/>
  <c r="V900" i="18" s="1"/>
  <c r="Q573" i="18"/>
  <c r="Q894" i="18" s="1"/>
  <c r="Q862" i="18"/>
  <c r="Q899" i="18" s="1"/>
  <c r="Q579" i="18"/>
  <c r="Q896" i="18" s="1"/>
  <c r="P856" i="18"/>
  <c r="P897" i="18" s="1"/>
  <c r="AH290" i="18"/>
  <c r="AH891" i="18" s="1"/>
  <c r="U287" i="18"/>
  <c r="U890" i="18" s="1"/>
  <c r="R284" i="18"/>
  <c r="R889" i="18" s="1"/>
  <c r="L862" i="18"/>
  <c r="L899" i="18" s="1"/>
  <c r="J579" i="18"/>
  <c r="J896" i="18" s="1"/>
  <c r="AE284" i="18"/>
  <c r="AE889" i="18" s="1"/>
  <c r="S293" i="18"/>
  <c r="S892" i="18" s="1"/>
  <c r="S287" i="18"/>
  <c r="S890" i="18" s="1"/>
  <c r="S579" i="18"/>
  <c r="S896" i="18" s="1"/>
  <c r="AB862" i="18"/>
  <c r="AB899" i="18" s="1"/>
  <c r="W856" i="18"/>
  <c r="W897" i="18" s="1"/>
  <c r="AF856" i="18"/>
  <c r="AF897" i="18" s="1"/>
  <c r="T287" i="18"/>
  <c r="T890" i="18" s="1"/>
  <c r="AH862" i="18"/>
  <c r="AH899" i="18" s="1"/>
  <c r="X865" i="18"/>
  <c r="X900" i="18" s="1"/>
  <c r="AC284" i="18"/>
  <c r="AC889" i="18" s="1"/>
  <c r="T290" i="18"/>
  <c r="T891" i="18" s="1"/>
  <c r="K579" i="18"/>
  <c r="K896" i="18" s="1"/>
  <c r="R862" i="18"/>
  <c r="R899" i="18" s="1"/>
  <c r="P290" i="18"/>
  <c r="P891" i="18" s="1"/>
  <c r="K859" i="18"/>
  <c r="K898" i="18" s="1"/>
  <c r="N862" i="18"/>
  <c r="N899" i="18" s="1"/>
  <c r="N856" i="18"/>
  <c r="N897" i="18" s="1"/>
  <c r="P865" i="18"/>
  <c r="P900" i="18" s="1"/>
  <c r="AG287" i="18"/>
  <c r="AG890" i="18" s="1"/>
  <c r="AC856" i="18"/>
  <c r="AC897" i="18" s="1"/>
  <c r="AF865" i="18"/>
  <c r="AF900" i="18" s="1"/>
  <c r="M284" i="18"/>
  <c r="M889" i="18" s="1"/>
  <c r="N293" i="18"/>
  <c r="N892" i="18" s="1"/>
  <c r="W862" i="18"/>
  <c r="W899" i="18" s="1"/>
  <c r="T284" i="18"/>
  <c r="T889" i="18" s="1"/>
  <c r="T862" i="18"/>
  <c r="T899" i="18" s="1"/>
  <c r="AD290" i="18"/>
  <c r="AD891" i="18" s="1"/>
  <c r="AE287" i="18"/>
  <c r="AE890" i="18" s="1"/>
  <c r="R856" i="18"/>
  <c r="R897" i="18" s="1"/>
  <c r="AD293" i="18"/>
  <c r="AD892" i="18" s="1"/>
  <c r="AA290" i="18"/>
  <c r="AA891" i="18" s="1"/>
  <c r="K865" i="18"/>
  <c r="K900" i="18" s="1"/>
  <c r="J865" i="18"/>
  <c r="J900" i="18" s="1"/>
  <c r="AD284" i="18"/>
  <c r="AD889" i="18" s="1"/>
  <c r="W284" i="18"/>
  <c r="W889" i="18" s="1"/>
  <c r="H70" i="24"/>
  <c r="H31" i="24"/>
  <c r="H83" i="24"/>
  <c r="H44" i="24"/>
  <c r="H18" i="24" s="1"/>
  <c r="H57" i="24"/>
  <c r="H96" i="24"/>
  <c r="AW48" i="67"/>
  <c r="AX50" i="67"/>
  <c r="AX51" i="67"/>
  <c r="AX49" i="67"/>
  <c r="AP51" i="67"/>
  <c r="AR50" i="67"/>
  <c r="AQ50" i="67"/>
  <c r="C70" i="24"/>
  <c r="F22" i="16" s="1"/>
  <c r="G70" i="24"/>
  <c r="F20" i="16" s="1"/>
  <c r="E70" i="24"/>
  <c r="D70" i="24"/>
  <c r="F70" i="24"/>
  <c r="L30" i="62"/>
  <c r="L31" i="62"/>
  <c r="L32" i="62"/>
  <c r="L33" i="62"/>
  <c r="L34" i="62"/>
  <c r="L35" i="62"/>
  <c r="L36" i="62"/>
  <c r="L37" i="62"/>
  <c r="L38" i="62"/>
  <c r="L39" i="62"/>
  <c r="L40" i="62"/>
  <c r="L41" i="62"/>
  <c r="L42" i="62"/>
  <c r="L43" i="62"/>
  <c r="L44" i="62"/>
  <c r="L45" i="62"/>
  <c r="L46" i="62"/>
  <c r="L47" i="62"/>
  <c r="L48" i="62"/>
  <c r="L49" i="62"/>
  <c r="L50" i="62"/>
  <c r="L51" i="62"/>
  <c r="L52" i="62"/>
  <c r="B28" i="62"/>
  <c r="E83" i="61"/>
  <c r="AQ11" i="73" l="1"/>
  <c r="AG912" i="18"/>
  <c r="L909" i="18"/>
  <c r="V516" i="18"/>
  <c r="V547" i="18"/>
  <c r="V485" i="18"/>
  <c r="V392" i="18"/>
  <c r="V423" i="18"/>
  <c r="V330" i="18"/>
  <c r="V454" i="18"/>
  <c r="V361" i="18"/>
  <c r="V487" i="18"/>
  <c r="V549" i="18"/>
  <c r="V518" i="18"/>
  <c r="V394" i="18"/>
  <c r="V425" i="18"/>
  <c r="V456" i="18"/>
  <c r="V363" i="18"/>
  <c r="V332" i="18"/>
  <c r="V486" i="18"/>
  <c r="V517" i="18"/>
  <c r="V393" i="18"/>
  <c r="V548" i="18"/>
  <c r="V424" i="18"/>
  <c r="V455" i="18"/>
  <c r="V362" i="18"/>
  <c r="V331" i="18"/>
  <c r="U546" i="18"/>
  <c r="U484" i="18"/>
  <c r="U515" i="18"/>
  <c r="U532" i="18" s="1"/>
  <c r="U577" i="18" s="1"/>
  <c r="U453" i="18"/>
  <c r="U470" i="18" s="1"/>
  <c r="U574" i="18" s="1"/>
  <c r="U422" i="18"/>
  <c r="U439" i="18" s="1"/>
  <c r="U572" i="18" s="1"/>
  <c r="U588" i="18" s="1"/>
  <c r="U329" i="18"/>
  <c r="U346" i="18" s="1"/>
  <c r="U568" i="18" s="1"/>
  <c r="U391" i="18"/>
  <c r="U408" i="18" s="1"/>
  <c r="U571" i="18" s="1"/>
  <c r="U360" i="18"/>
  <c r="Q910" i="18"/>
  <c r="P548" i="18"/>
  <c r="P424" i="18"/>
  <c r="P517" i="18"/>
  <c r="P393" i="18"/>
  <c r="P486" i="18"/>
  <c r="P362" i="18"/>
  <c r="P455" i="18"/>
  <c r="P331" i="18"/>
  <c r="N549" i="18"/>
  <c r="N563" i="18" s="1"/>
  <c r="N578" i="18" s="1"/>
  <c r="N425" i="18"/>
  <c r="N439" i="18" s="1"/>
  <c r="N572" i="18" s="1"/>
  <c r="N588" i="18" s="1"/>
  <c r="N518" i="18"/>
  <c r="N394" i="18"/>
  <c r="N487" i="18"/>
  <c r="N363" i="18"/>
  <c r="N456" i="18"/>
  <c r="N332" i="18"/>
  <c r="N346" i="18" s="1"/>
  <c r="N568" i="18" s="1"/>
  <c r="O455" i="18"/>
  <c r="O331" i="18"/>
  <c r="O486" i="18"/>
  <c r="O548" i="18"/>
  <c r="O424" i="18"/>
  <c r="O517" i="18"/>
  <c r="O393" i="18"/>
  <c r="O362" i="18"/>
  <c r="V910" i="18"/>
  <c r="R906" i="18"/>
  <c r="R910" i="18"/>
  <c r="AA910" i="18"/>
  <c r="S911" i="18"/>
  <c r="AA912" i="18"/>
  <c r="X911" i="18"/>
  <c r="AC912" i="18"/>
  <c r="AE911" i="18"/>
  <c r="T570" i="18"/>
  <c r="T893" i="18" s="1"/>
  <c r="T905" i="18" s="1"/>
  <c r="S907" i="18"/>
  <c r="I912" i="18"/>
  <c r="AB909" i="18"/>
  <c r="K908" i="18"/>
  <c r="Q909" i="18"/>
  <c r="W912" i="18"/>
  <c r="K906" i="18"/>
  <c r="Q905" i="18"/>
  <c r="Q911" i="18"/>
  <c r="L905" i="18"/>
  <c r="F899" i="18"/>
  <c r="F897" i="18"/>
  <c r="V909" i="18"/>
  <c r="F891" i="18"/>
  <c r="R907" i="18"/>
  <c r="Z909" i="18"/>
  <c r="F898" i="18"/>
  <c r="Q907" i="18"/>
  <c r="F890" i="18"/>
  <c r="F900" i="18"/>
  <c r="K912" i="18"/>
  <c r="I908" i="18"/>
  <c r="F892" i="18"/>
  <c r="M911" i="18"/>
  <c r="V911" i="18"/>
  <c r="N910" i="18"/>
  <c r="F889" i="18"/>
  <c r="AE912" i="18"/>
  <c r="Y912" i="18"/>
  <c r="J909" i="18"/>
  <c r="P909" i="18"/>
  <c r="Q908" i="18"/>
  <c r="U912" i="18"/>
  <c r="N909" i="18"/>
  <c r="Q912" i="18"/>
  <c r="Q906" i="18"/>
  <c r="X909" i="18"/>
  <c r="R912" i="18"/>
  <c r="K905" i="18"/>
  <c r="N911" i="18"/>
  <c r="M579" i="18"/>
  <c r="M896" i="18" s="1"/>
  <c r="L907" i="18"/>
  <c r="Y909" i="18"/>
  <c r="Z910" i="18"/>
  <c r="I905" i="18"/>
  <c r="K907" i="18"/>
  <c r="K911" i="18"/>
  <c r="J905" i="18"/>
  <c r="L911" i="18"/>
  <c r="AD910" i="18"/>
  <c r="P910" i="18"/>
  <c r="T576" i="18"/>
  <c r="T895" i="18" s="1"/>
  <c r="T907" i="18" s="1"/>
  <c r="M576" i="18"/>
  <c r="M895" i="18" s="1"/>
  <c r="M907" i="18" s="1"/>
  <c r="AA909" i="18"/>
  <c r="K910" i="18"/>
  <c r="W911" i="18"/>
  <c r="AC910" i="18"/>
  <c r="K909" i="18"/>
  <c r="AF912" i="18"/>
  <c r="AB912" i="18"/>
  <c r="L910" i="18"/>
  <c r="AF910" i="18"/>
  <c r="L906" i="18"/>
  <c r="I910" i="18"/>
  <c r="I906" i="18"/>
  <c r="AF909" i="18"/>
  <c r="J912" i="18"/>
  <c r="M570" i="18"/>
  <c r="M893" i="18" s="1"/>
  <c r="M905" i="18" s="1"/>
  <c r="R908" i="18"/>
  <c r="L908" i="18"/>
  <c r="AH909" i="18"/>
  <c r="M912" i="18"/>
  <c r="R911" i="18"/>
  <c r="I909" i="18"/>
  <c r="L912" i="18"/>
  <c r="U909" i="18"/>
  <c r="T579" i="18"/>
  <c r="T896" i="18" s="1"/>
  <c r="T908" i="18" s="1"/>
  <c r="W910" i="18"/>
  <c r="T912" i="18"/>
  <c r="AD909" i="18"/>
  <c r="T910" i="18"/>
  <c r="AG910" i="18"/>
  <c r="O911" i="18"/>
  <c r="AA911" i="18"/>
  <c r="S906" i="18"/>
  <c r="S910" i="18"/>
  <c r="Z911" i="18"/>
  <c r="AG911" i="18"/>
  <c r="J907" i="18"/>
  <c r="J911" i="18"/>
  <c r="Z912" i="18"/>
  <c r="AD912" i="18"/>
  <c r="AC911" i="18"/>
  <c r="S908" i="18"/>
  <c r="S912" i="18"/>
  <c r="AG909" i="18"/>
  <c r="M910" i="18"/>
  <c r="AE910" i="18"/>
  <c r="P912" i="18"/>
  <c r="U911" i="18"/>
  <c r="Y911" i="18"/>
  <c r="M573" i="18"/>
  <c r="M894" i="18" s="1"/>
  <c r="M906" i="18" s="1"/>
  <c r="I907" i="18"/>
  <c r="I911" i="18"/>
  <c r="F21" i="16"/>
  <c r="E193" i="48" s="1" a="1"/>
  <c r="E193" i="48" s="1"/>
  <c r="AD911" i="18"/>
  <c r="Y910" i="18"/>
  <c r="O912" i="18"/>
  <c r="AH912" i="18"/>
  <c r="AB910" i="18"/>
  <c r="P911" i="18"/>
  <c r="S905" i="18"/>
  <c r="S909" i="18"/>
  <c r="T911" i="18"/>
  <c r="AE909" i="18"/>
  <c r="T909" i="18"/>
  <c r="BR50" i="67"/>
  <c r="BP51" i="67"/>
  <c r="N501" i="18"/>
  <c r="N575" i="18" s="1"/>
  <c r="N532" i="18"/>
  <c r="N577" i="18" s="1"/>
  <c r="N408" i="18"/>
  <c r="N571" i="18" s="1"/>
  <c r="N377" i="18"/>
  <c r="N569" i="18" s="1"/>
  <c r="N470" i="18"/>
  <c r="N574" i="18" s="1"/>
  <c r="BX49" i="67"/>
  <c r="AB911" i="18"/>
  <c r="V912" i="18"/>
  <c r="J908" i="18"/>
  <c r="J910" i="18"/>
  <c r="J906" i="18"/>
  <c r="O909" i="18"/>
  <c r="X910" i="18"/>
  <c r="BX50" i="67"/>
  <c r="R909" i="18"/>
  <c r="R905" i="18"/>
  <c r="BX51" i="67"/>
  <c r="BW48" i="67"/>
  <c r="U377" i="18"/>
  <c r="U569" i="18" s="1"/>
  <c r="U501" i="18"/>
  <c r="U575" i="18" s="1"/>
  <c r="U563" i="18"/>
  <c r="U578" i="18" s="1"/>
  <c r="U910" i="18"/>
  <c r="AH910" i="18"/>
  <c r="N912" i="18"/>
  <c r="AC909" i="18"/>
  <c r="AH911" i="18"/>
  <c r="T573" i="18"/>
  <c r="T894" i="18" s="1"/>
  <c r="T906" i="18" s="1"/>
  <c r="BQ50" i="67"/>
  <c r="W909" i="18"/>
  <c r="M909" i="18"/>
  <c r="X912" i="18"/>
  <c r="AX48" i="67"/>
  <c r="AY50" i="67"/>
  <c r="AY49" i="67"/>
  <c r="AY51" i="67"/>
  <c r="AR51" i="67"/>
  <c r="AQ51" i="67"/>
  <c r="B29" i="62"/>
  <c r="B30" i="62" s="1"/>
  <c r="B31" i="62" s="1"/>
  <c r="B32" i="62" s="1"/>
  <c r="B33" i="62" s="1"/>
  <c r="B34" i="62" s="1"/>
  <c r="B35" i="62" s="1"/>
  <c r="B36" i="62" s="1"/>
  <c r="B37" i="62" s="1"/>
  <c r="B38" i="62" s="1"/>
  <c r="B39" i="62" s="1"/>
  <c r="B40" i="62" s="1"/>
  <c r="B41" i="62" s="1"/>
  <c r="B42" i="62" s="1"/>
  <c r="B43" i="62" s="1"/>
  <c r="B44" i="62" s="1"/>
  <c r="B45" i="62" s="1"/>
  <c r="B46" i="62" s="1"/>
  <c r="B47" i="62" s="1"/>
  <c r="B48" i="62" s="1"/>
  <c r="B49" i="62" s="1"/>
  <c r="B50" i="62" s="1"/>
  <c r="B51" i="62" s="1"/>
  <c r="B52" i="62" s="1"/>
  <c r="G18" i="61"/>
  <c r="G17" i="61"/>
  <c r="G16" i="61"/>
  <c r="F18" i="61"/>
  <c r="F17" i="61"/>
  <c r="F16" i="61"/>
  <c r="E18" i="61"/>
  <c r="E17" i="61"/>
  <c r="E16" i="61"/>
  <c r="D18" i="61"/>
  <c r="D17" i="61"/>
  <c r="D16" i="61"/>
  <c r="C17" i="61"/>
  <c r="C18" i="61"/>
  <c r="C16" i="61"/>
  <c r="G10" i="61"/>
  <c r="G9" i="61"/>
  <c r="G8" i="61"/>
  <c r="F10" i="61"/>
  <c r="F9" i="61"/>
  <c r="F8" i="61"/>
  <c r="E10" i="61"/>
  <c r="E9" i="61"/>
  <c r="E8" i="61"/>
  <c r="D9" i="61"/>
  <c r="D10" i="61"/>
  <c r="D8" i="61"/>
  <c r="C9" i="61"/>
  <c r="C10" i="61"/>
  <c r="F18" i="62"/>
  <c r="G18" i="62"/>
  <c r="H18" i="62"/>
  <c r="E18" i="62"/>
  <c r="D18" i="62"/>
  <c r="AR11" i="73" l="1"/>
  <c r="AQ15" i="73"/>
  <c r="W485" i="18"/>
  <c r="W516" i="18"/>
  <c r="W392" i="18"/>
  <c r="W423" i="18"/>
  <c r="W454" i="18"/>
  <c r="W547" i="18"/>
  <c r="W330" i="18"/>
  <c r="W361" i="18"/>
  <c r="V546" i="18"/>
  <c r="V563" i="18" s="1"/>
  <c r="V578" i="18" s="1"/>
  <c r="V484" i="18"/>
  <c r="V501" i="18" s="1"/>
  <c r="V575" i="18" s="1"/>
  <c r="V515" i="18"/>
  <c r="V422" i="18"/>
  <c r="V453" i="18"/>
  <c r="V329" i="18"/>
  <c r="V346" i="18" s="1"/>
  <c r="V568" i="18" s="1"/>
  <c r="V391" i="18"/>
  <c r="V408" i="18" s="1"/>
  <c r="V571" i="18" s="1"/>
  <c r="V360" i="18"/>
  <c r="V377" i="18" s="1"/>
  <c r="V569" i="18" s="1"/>
  <c r="W486" i="18"/>
  <c r="W548" i="18"/>
  <c r="W393" i="18"/>
  <c r="W424" i="18"/>
  <c r="W455" i="18"/>
  <c r="W517" i="18"/>
  <c r="W362" i="18"/>
  <c r="W331" i="18"/>
  <c r="W487" i="18"/>
  <c r="W518" i="18"/>
  <c r="W549" i="18"/>
  <c r="W425" i="18"/>
  <c r="W456" i="18"/>
  <c r="W363" i="18"/>
  <c r="W394" i="18"/>
  <c r="W332" i="18"/>
  <c r="O549" i="18"/>
  <c r="O425" i="18"/>
  <c r="O456" i="18"/>
  <c r="O518" i="18"/>
  <c r="O394" i="18"/>
  <c r="O408" i="18" s="1"/>
  <c r="O571" i="18" s="1"/>
  <c r="O487" i="18"/>
  <c r="O363" i="18"/>
  <c r="O332" i="18"/>
  <c r="O346" i="18" s="1"/>
  <c r="O568" i="18" s="1"/>
  <c r="P518" i="18"/>
  <c r="P394" i="18"/>
  <c r="P487" i="18"/>
  <c r="P363" i="18"/>
  <c r="P377" i="18" s="1"/>
  <c r="P569" i="18" s="1"/>
  <c r="P456" i="18"/>
  <c r="P470" i="18" s="1"/>
  <c r="P574" i="18" s="1"/>
  <c r="P332" i="18"/>
  <c r="P346" i="18" s="1"/>
  <c r="P568" i="18" s="1"/>
  <c r="P549" i="18"/>
  <c r="P563" i="18" s="1"/>
  <c r="P578" i="18" s="1"/>
  <c r="P425" i="18"/>
  <c r="P439" i="18" s="1"/>
  <c r="P572" i="18" s="1"/>
  <c r="P588" i="18" s="1"/>
  <c r="I8" i="61"/>
  <c r="I9" i="61"/>
  <c r="I10" i="61"/>
  <c r="F912" i="18"/>
  <c r="E285" i="48" s="1"/>
  <c r="F910" i="18"/>
  <c r="E283" i="48" s="1"/>
  <c r="F911" i="18"/>
  <c r="E284" i="48" s="1"/>
  <c r="F909" i="18"/>
  <c r="E282" i="48" s="1"/>
  <c r="U576" i="18"/>
  <c r="U895" i="18" s="1"/>
  <c r="U907" i="18" s="1"/>
  <c r="M908" i="18"/>
  <c r="N573" i="18"/>
  <c r="N894" i="18" s="1"/>
  <c r="U570" i="18"/>
  <c r="U893" i="18" s="1"/>
  <c r="U905" i="18" s="1"/>
  <c r="U579" i="18"/>
  <c r="U896" i="18" s="1"/>
  <c r="U908" i="18" s="1"/>
  <c r="N570" i="18"/>
  <c r="N893" i="18" s="1"/>
  <c r="BR51" i="67"/>
  <c r="P501" i="18"/>
  <c r="P575" i="18" s="1"/>
  <c r="P408" i="18"/>
  <c r="P571" i="18" s="1"/>
  <c r="P532" i="18"/>
  <c r="P577" i="18" s="1"/>
  <c r="N576" i="18"/>
  <c r="N895" i="18" s="1"/>
  <c r="N579" i="18"/>
  <c r="N896" i="18" s="1"/>
  <c r="BY51" i="67"/>
  <c r="BY49" i="67"/>
  <c r="BY50" i="67"/>
  <c r="U573" i="18"/>
  <c r="U894" i="18" s="1"/>
  <c r="U906" i="18" s="1"/>
  <c r="BX48" i="67"/>
  <c r="V470" i="18"/>
  <c r="V574" i="18" s="1"/>
  <c r="V532" i="18"/>
  <c r="V577" i="18" s="1"/>
  <c r="V439" i="18"/>
  <c r="V572" i="18" s="1"/>
  <c r="V588" i="18" s="1"/>
  <c r="BQ51" i="67"/>
  <c r="O470" i="18"/>
  <c r="O574" i="18" s="1"/>
  <c r="O501" i="18"/>
  <c r="O575" i="18" s="1"/>
  <c r="O532" i="18"/>
  <c r="O577" i="18" s="1"/>
  <c r="O563" i="18"/>
  <c r="O578" i="18" s="1"/>
  <c r="O377" i="18"/>
  <c r="O569" i="18" s="1"/>
  <c r="O439" i="18"/>
  <c r="O572" i="18" s="1"/>
  <c r="O588" i="18" s="1"/>
  <c r="AY48" i="67"/>
  <c r="AZ50" i="67"/>
  <c r="AZ51" i="67"/>
  <c r="AZ49" i="67"/>
  <c r="C19" i="61"/>
  <c r="C13" i="61"/>
  <c r="F13" i="61"/>
  <c r="F19" i="61"/>
  <c r="D13" i="61"/>
  <c r="D19" i="61"/>
  <c r="E13" i="61"/>
  <c r="E19" i="61"/>
  <c r="G19" i="61"/>
  <c r="G13" i="61"/>
  <c r="G19" i="62"/>
  <c r="E19" i="62"/>
  <c r="H35" i="61"/>
  <c r="I16" i="61"/>
  <c r="H9" i="61"/>
  <c r="H10" i="61"/>
  <c r="H16" i="61"/>
  <c r="AS11" i="73" l="1"/>
  <c r="AS15" i="73" s="1"/>
  <c r="AR15" i="73"/>
  <c r="X486" i="18"/>
  <c r="X517" i="18"/>
  <c r="X548" i="18"/>
  <c r="X424" i="18"/>
  <c r="X455" i="18"/>
  <c r="X362" i="18"/>
  <c r="X393" i="18"/>
  <c r="X331" i="18"/>
  <c r="X518" i="18"/>
  <c r="X487" i="18"/>
  <c r="X425" i="18"/>
  <c r="X456" i="18"/>
  <c r="X549" i="18"/>
  <c r="X363" i="18"/>
  <c r="X394" i="18"/>
  <c r="X332" i="18"/>
  <c r="W515" i="18"/>
  <c r="W546" i="18"/>
  <c r="W563" i="18" s="1"/>
  <c r="W578" i="18" s="1"/>
  <c r="W391" i="18"/>
  <c r="W422" i="18"/>
  <c r="W484" i="18"/>
  <c r="W453" i="18"/>
  <c r="W470" i="18" s="1"/>
  <c r="W574" i="18" s="1"/>
  <c r="W329" i="18"/>
  <c r="W346" i="18" s="1"/>
  <c r="W568" i="18" s="1"/>
  <c r="W360" i="18"/>
  <c r="X485" i="18"/>
  <c r="X547" i="18"/>
  <c r="X392" i="18"/>
  <c r="X423" i="18"/>
  <c r="X516" i="18"/>
  <c r="X454" i="18"/>
  <c r="X361" i="18"/>
  <c r="X330" i="18"/>
  <c r="I13" i="61"/>
  <c r="O579" i="18"/>
  <c r="O896" i="18" s="1"/>
  <c r="O908" i="18" s="1"/>
  <c r="V579" i="18"/>
  <c r="V896" i="18" s="1"/>
  <c r="V908" i="18" s="1"/>
  <c r="N906" i="18"/>
  <c r="P576" i="18"/>
  <c r="P895" i="18" s="1"/>
  <c r="P907" i="18" s="1"/>
  <c r="V576" i="18"/>
  <c r="V895" i="18" s="1"/>
  <c r="V907" i="18" s="1"/>
  <c r="P570" i="18"/>
  <c r="P893" i="18" s="1"/>
  <c r="P905" i="18" s="1"/>
  <c r="P579" i="18"/>
  <c r="P896" i="18" s="1"/>
  <c r="P573" i="18"/>
  <c r="P894" i="18" s="1"/>
  <c r="P906" i="18" s="1"/>
  <c r="BZ49" i="67"/>
  <c r="N905" i="18"/>
  <c r="BZ51" i="67"/>
  <c r="O573" i="18"/>
  <c r="O894" i="18" s="1"/>
  <c r="O906" i="18" s="1"/>
  <c r="V573" i="18"/>
  <c r="V894" i="18" s="1"/>
  <c r="V906" i="18" s="1"/>
  <c r="BY48" i="67"/>
  <c r="W377" i="18"/>
  <c r="W569" i="18" s="1"/>
  <c r="W408" i="18"/>
  <c r="W571" i="18" s="1"/>
  <c r="W532" i="18"/>
  <c r="W577" i="18" s="1"/>
  <c r="W501" i="18"/>
  <c r="W575" i="18" s="1"/>
  <c r="W439" i="18"/>
  <c r="W572" i="18" s="1"/>
  <c r="W588" i="18" s="1"/>
  <c r="O576" i="18"/>
  <c r="O895" i="18" s="1"/>
  <c r="O907" i="18" s="1"/>
  <c r="BZ50" i="67"/>
  <c r="O570" i="18"/>
  <c r="O893" i="18" s="1"/>
  <c r="V570" i="18"/>
  <c r="V893" i="18" s="1"/>
  <c r="V905" i="18" s="1"/>
  <c r="N908" i="18"/>
  <c r="N907" i="18"/>
  <c r="AZ48" i="67"/>
  <c r="BA50" i="67"/>
  <c r="BA49" i="67"/>
  <c r="BA51" i="67"/>
  <c r="J27" i="62"/>
  <c r="L27" i="62" s="1"/>
  <c r="J28" i="62"/>
  <c r="L28" i="62" s="1"/>
  <c r="J29" i="62"/>
  <c r="L29" i="62" s="1"/>
  <c r="H19" i="62"/>
  <c r="J16" i="61"/>
  <c r="D11" i="48" s="1"/>
  <c r="J9" i="61"/>
  <c r="D5" i="48" s="1"/>
  <c r="J10" i="61"/>
  <c r="D6" i="48" s="1"/>
  <c r="F145" i="48"/>
  <c r="D145" i="48"/>
  <c r="C145" i="48"/>
  <c r="F143" i="48"/>
  <c r="D143" i="48"/>
  <c r="C143" i="48"/>
  <c r="E20" i="1"/>
  <c r="C168" i="48"/>
  <c r="D168" i="48"/>
  <c r="E168" i="48"/>
  <c r="C169" i="48"/>
  <c r="D169" i="48"/>
  <c r="E169" i="48"/>
  <c r="C170" i="48"/>
  <c r="D170" i="48"/>
  <c r="E170" i="48"/>
  <c r="C171" i="48"/>
  <c r="D171" i="48"/>
  <c r="E171" i="48"/>
  <c r="F171" i="48"/>
  <c r="AT11" i="73" l="1"/>
  <c r="Y485" i="18"/>
  <c r="Y516" i="18"/>
  <c r="Y547" i="18"/>
  <c r="Y423" i="18"/>
  <c r="Y454" i="18"/>
  <c r="Y392" i="18"/>
  <c r="Y361" i="18"/>
  <c r="Y330" i="18"/>
  <c r="X484" i="18"/>
  <c r="X515" i="18"/>
  <c r="X391" i="18"/>
  <c r="X422" i="18"/>
  <c r="X439" i="18" s="1"/>
  <c r="X572" i="18" s="1"/>
  <c r="X588" i="18" s="1"/>
  <c r="X546" i="18"/>
  <c r="X563" i="18" s="1"/>
  <c r="X578" i="18" s="1"/>
  <c r="X453" i="18"/>
  <c r="X470" i="18" s="1"/>
  <c r="X574" i="18" s="1"/>
  <c r="X329" i="18"/>
  <c r="X346" i="18" s="1"/>
  <c r="X568" i="18" s="1"/>
  <c r="X360" i="18"/>
  <c r="X377" i="18" s="1"/>
  <c r="X569" i="18" s="1"/>
  <c r="Y517" i="18"/>
  <c r="Y486" i="18"/>
  <c r="Y424" i="18"/>
  <c r="Y548" i="18"/>
  <c r="Y455" i="18"/>
  <c r="Y393" i="18"/>
  <c r="Y362" i="18"/>
  <c r="Y331" i="18"/>
  <c r="Y518" i="18"/>
  <c r="Y549" i="18"/>
  <c r="Y456" i="18"/>
  <c r="Y394" i="18"/>
  <c r="Y425" i="18"/>
  <c r="Y487" i="18"/>
  <c r="Y332" i="18"/>
  <c r="Y363" i="18"/>
  <c r="W579" i="18"/>
  <c r="W896" i="18" s="1"/>
  <c r="W908" i="18" s="1"/>
  <c r="O905" i="18"/>
  <c r="P908" i="18"/>
  <c r="W573" i="18"/>
  <c r="W894" i="18" s="1"/>
  <c r="W906" i="18" s="1"/>
  <c r="W576" i="18"/>
  <c r="W895" i="18" s="1"/>
  <c r="W907" i="18" s="1"/>
  <c r="W570" i="18"/>
  <c r="W893" i="18" s="1"/>
  <c r="W905" i="18" s="1"/>
  <c r="CA49" i="67"/>
  <c r="BZ48" i="67"/>
  <c r="X501" i="18"/>
  <c r="X575" i="18" s="1"/>
  <c r="X532" i="18"/>
  <c r="X577" i="18" s="1"/>
  <c r="X408" i="18"/>
  <c r="X571" i="18" s="1"/>
  <c r="CA51" i="67"/>
  <c r="CA50" i="67"/>
  <c r="BA48" i="67"/>
  <c r="BB50" i="67"/>
  <c r="BB51" i="67"/>
  <c r="BB49" i="67"/>
  <c r="E143" i="48"/>
  <c r="L53" i="62"/>
  <c r="E294" i="48" s="1"/>
  <c r="AU11" i="73" l="1"/>
  <c r="AT15" i="73"/>
  <c r="Z516" i="18"/>
  <c r="Z485" i="18"/>
  <c r="Z423" i="18"/>
  <c r="Z454" i="18"/>
  <c r="Z392" i="18"/>
  <c r="Z361" i="18"/>
  <c r="Z547" i="18"/>
  <c r="Z330" i="18"/>
  <c r="Z517" i="18"/>
  <c r="Z548" i="18"/>
  <c r="Z455" i="18"/>
  <c r="Z486" i="18"/>
  <c r="Z393" i="18"/>
  <c r="Z424" i="18"/>
  <c r="Z362" i="18"/>
  <c r="Z331" i="18"/>
  <c r="Z549" i="18"/>
  <c r="Z487" i="18"/>
  <c r="Z518" i="18"/>
  <c r="Z456" i="18"/>
  <c r="Z363" i="18"/>
  <c r="Z394" i="18"/>
  <c r="Z332" i="18"/>
  <c r="Z425" i="18"/>
  <c r="Y484" i="18"/>
  <c r="Y501" i="18" s="1"/>
  <c r="Y575" i="18" s="1"/>
  <c r="Y546" i="18"/>
  <c r="Y563" i="18" s="1"/>
  <c r="Y578" i="18" s="1"/>
  <c r="Y391" i="18"/>
  <c r="Y515" i="18"/>
  <c r="Y532" i="18" s="1"/>
  <c r="Y577" i="18" s="1"/>
  <c r="Y422" i="18"/>
  <c r="Y439" i="18" s="1"/>
  <c r="Y572" i="18" s="1"/>
  <c r="Y588" i="18" s="1"/>
  <c r="Y453" i="18"/>
  <c r="Y470" i="18" s="1"/>
  <c r="Y574" i="18" s="1"/>
  <c r="Y360" i="18"/>
  <c r="Y377" i="18" s="1"/>
  <c r="Y569" i="18" s="1"/>
  <c r="Y329" i="18"/>
  <c r="Y346" i="18" s="1"/>
  <c r="Y568" i="18" s="1"/>
  <c r="X576" i="18"/>
  <c r="X895" i="18" s="1"/>
  <c r="X907" i="18" s="1"/>
  <c r="CA48" i="67"/>
  <c r="Y408" i="18"/>
  <c r="Y571" i="18" s="1"/>
  <c r="X573" i="18"/>
  <c r="X894" i="18" s="1"/>
  <c r="X906" i="18" s="1"/>
  <c r="X579" i="18"/>
  <c r="X896" i="18" s="1"/>
  <c r="CB49" i="67"/>
  <c r="CB51" i="67"/>
  <c r="CB50" i="67"/>
  <c r="X570" i="18"/>
  <c r="X893" i="18" s="1"/>
  <c r="X905" i="18" s="1"/>
  <c r="BB48" i="67"/>
  <c r="BC50" i="67"/>
  <c r="BC49" i="67"/>
  <c r="BC51" i="67"/>
  <c r="F140" i="48"/>
  <c r="F139" i="48"/>
  <c r="F137" i="48"/>
  <c r="E137" i="48" a="1"/>
  <c r="E137" i="48" s="1"/>
  <c r="D137" i="48" a="1"/>
  <c r="D137" i="48" s="1"/>
  <c r="C137" i="48" a="1"/>
  <c r="C137" i="48" s="1"/>
  <c r="F295" i="48"/>
  <c r="E295" i="48"/>
  <c r="D295" i="48"/>
  <c r="C295" i="48"/>
  <c r="AV11" i="73" l="1"/>
  <c r="AV15" i="73" s="1"/>
  <c r="AU15" i="73"/>
  <c r="Z484" i="18"/>
  <c r="Z501" i="18" s="1"/>
  <c r="Z575" i="18" s="1"/>
  <c r="Z515" i="18"/>
  <c r="Z546" i="18"/>
  <c r="Z563" i="18" s="1"/>
  <c r="Z578" i="18" s="1"/>
  <c r="Z422" i="18"/>
  <c r="Z439" i="18" s="1"/>
  <c r="Z572" i="18" s="1"/>
  <c r="Z588" i="18" s="1"/>
  <c r="Z453" i="18"/>
  <c r="Z360" i="18"/>
  <c r="Z377" i="18" s="1"/>
  <c r="Z569" i="18" s="1"/>
  <c r="Z391" i="18"/>
  <c r="Z408" i="18" s="1"/>
  <c r="Z571" i="18" s="1"/>
  <c r="Z329" i="18"/>
  <c r="Z346" i="18" s="1"/>
  <c r="Z568" i="18" s="1"/>
  <c r="AA548" i="18"/>
  <c r="AA486" i="18"/>
  <c r="AA517" i="18"/>
  <c r="AA455" i="18"/>
  <c r="AA362" i="18"/>
  <c r="AA393" i="18"/>
  <c r="AA424" i="18"/>
  <c r="AA331" i="18"/>
  <c r="AA549" i="18"/>
  <c r="AA487" i="18"/>
  <c r="AA394" i="18"/>
  <c r="AA425" i="18"/>
  <c r="AA518" i="18"/>
  <c r="AA456" i="18"/>
  <c r="AA332" i="18"/>
  <c r="AA363" i="18"/>
  <c r="AA516" i="18"/>
  <c r="AA547" i="18"/>
  <c r="AA485" i="18"/>
  <c r="AA454" i="18"/>
  <c r="AA392" i="18"/>
  <c r="AA423" i="18"/>
  <c r="AA361" i="18"/>
  <c r="AA330" i="18"/>
  <c r="CC50" i="67"/>
  <c r="CC49" i="67"/>
  <c r="CB48" i="67"/>
  <c r="Z532" i="18"/>
  <c r="Z577" i="18" s="1"/>
  <c r="Z470" i="18"/>
  <c r="Z574" i="18" s="1"/>
  <c r="X908" i="18"/>
  <c r="CC51" i="67"/>
  <c r="Y579" i="18"/>
  <c r="Y896" i="18" s="1"/>
  <c r="Y908" i="18" s="1"/>
  <c r="Y570" i="18"/>
  <c r="Y893" i="18" s="1"/>
  <c r="Y905" i="18" s="1"/>
  <c r="Y576" i="18"/>
  <c r="Y895" i="18" s="1"/>
  <c r="Y907" i="18" s="1"/>
  <c r="Y573" i="18"/>
  <c r="Y894" i="18" s="1"/>
  <c r="Y906" i="18" s="1"/>
  <c r="BC48" i="67"/>
  <c r="BD51" i="67"/>
  <c r="BD49" i="67"/>
  <c r="BD50" i="67"/>
  <c r="F144" i="48"/>
  <c r="F141" i="48"/>
  <c r="E142" i="48"/>
  <c r="E141" i="48"/>
  <c r="D144" i="48"/>
  <c r="D142" i="48"/>
  <c r="D141" i="48"/>
  <c r="C144" i="48"/>
  <c r="C142" i="48"/>
  <c r="C141" i="48"/>
  <c r="C18" i="48"/>
  <c r="AA515" i="18" l="1"/>
  <c r="AA484" i="18"/>
  <c r="AA422" i="18"/>
  <c r="AA453" i="18"/>
  <c r="AA546" i="18"/>
  <c r="AA563" i="18" s="1"/>
  <c r="AA578" i="18" s="1"/>
  <c r="AA391" i="18"/>
  <c r="AA329" i="18"/>
  <c r="AA346" i="18" s="1"/>
  <c r="AA568" i="18" s="1"/>
  <c r="AA360" i="18"/>
  <c r="AA377" i="18" s="1"/>
  <c r="AA569" i="18" s="1"/>
  <c r="AB548" i="18"/>
  <c r="AB486" i="18"/>
  <c r="AB393" i="18"/>
  <c r="AB517" i="18"/>
  <c r="AB424" i="18"/>
  <c r="AB455" i="18"/>
  <c r="AB331" i="18"/>
  <c r="AB362" i="18"/>
  <c r="AB547" i="18"/>
  <c r="AB485" i="18"/>
  <c r="AB516" i="18"/>
  <c r="AB454" i="18"/>
  <c r="AB361" i="18"/>
  <c r="AB392" i="18"/>
  <c r="AB330" i="18"/>
  <c r="AB423" i="18"/>
  <c r="AB518" i="18"/>
  <c r="AB549" i="18"/>
  <c r="AB363" i="18"/>
  <c r="AB394" i="18"/>
  <c r="AB425" i="18"/>
  <c r="AB487" i="18"/>
  <c r="AB456" i="18"/>
  <c r="AB332" i="18"/>
  <c r="Z570" i="18"/>
  <c r="Z893" i="18" s="1"/>
  <c r="Z905" i="18" s="1"/>
  <c r="Z579" i="18"/>
  <c r="Z896" i="18" s="1"/>
  <c r="Z908" i="18" s="1"/>
  <c r="CC48" i="67"/>
  <c r="AA501" i="18"/>
  <c r="AA575" i="18" s="1"/>
  <c r="AA532" i="18"/>
  <c r="AA577" i="18" s="1"/>
  <c r="AA470" i="18"/>
  <c r="AA574" i="18" s="1"/>
  <c r="AA439" i="18"/>
  <c r="AA572" i="18" s="1"/>
  <c r="AA588" i="18" s="1"/>
  <c r="AA408" i="18"/>
  <c r="AA571" i="18" s="1"/>
  <c r="CD49" i="67"/>
  <c r="CD51" i="67"/>
  <c r="Z573" i="18"/>
  <c r="Z894" i="18" s="1"/>
  <c r="Z906" i="18" s="1"/>
  <c r="CD50" i="67"/>
  <c r="Z576" i="18"/>
  <c r="Z895" i="18" s="1"/>
  <c r="Z907" i="18" s="1"/>
  <c r="BE50" i="67"/>
  <c r="BE49" i="67"/>
  <c r="BE51" i="67"/>
  <c r="BD48" i="67"/>
  <c r="C243" i="68"/>
  <c r="D14" i="68"/>
  <c r="C14" i="68"/>
  <c r="D13" i="68"/>
  <c r="C13" i="68"/>
  <c r="D12" i="68"/>
  <c r="D11" i="68"/>
  <c r="D9" i="68"/>
  <c r="D8" i="68"/>
  <c r="AB515" i="18" l="1"/>
  <c r="AB546" i="18"/>
  <c r="AB453" i="18"/>
  <c r="AB391" i="18"/>
  <c r="AB408" i="18" s="1"/>
  <c r="AB571" i="18" s="1"/>
  <c r="AB422" i="18"/>
  <c r="AB439" i="18" s="1"/>
  <c r="AB572" i="18" s="1"/>
  <c r="AB588" i="18" s="1"/>
  <c r="AB360" i="18"/>
  <c r="AB377" i="18" s="1"/>
  <c r="AB569" i="18" s="1"/>
  <c r="AB484" i="18"/>
  <c r="AB501" i="18" s="1"/>
  <c r="AB575" i="18" s="1"/>
  <c r="AB329" i="18"/>
  <c r="AB346" i="18" s="1"/>
  <c r="AB568" i="18" s="1"/>
  <c r="AC487" i="18"/>
  <c r="AC518" i="18"/>
  <c r="AC394" i="18"/>
  <c r="AC549" i="18"/>
  <c r="AC425" i="18"/>
  <c r="AC456" i="18"/>
  <c r="AC332" i="18"/>
  <c r="AC363" i="18"/>
  <c r="AC547" i="18"/>
  <c r="AC485" i="18"/>
  <c r="AC516" i="18"/>
  <c r="AC392" i="18"/>
  <c r="AC423" i="18"/>
  <c r="AC454" i="18"/>
  <c r="AC330" i="18"/>
  <c r="AC361" i="18"/>
  <c r="AC517" i="18"/>
  <c r="AC548" i="18"/>
  <c r="AC362" i="18"/>
  <c r="AC486" i="18"/>
  <c r="AC393" i="18"/>
  <c r="AC424" i="18"/>
  <c r="AC331" i="18"/>
  <c r="AC455" i="18"/>
  <c r="AA570" i="18"/>
  <c r="AA893" i="18" s="1"/>
  <c r="AA905" i="18" s="1"/>
  <c r="AA576" i="18"/>
  <c r="AA895" i="18" s="1"/>
  <c r="AA907" i="18" s="1"/>
  <c r="CE50" i="67"/>
  <c r="CE51" i="67"/>
  <c r="AA579" i="18"/>
  <c r="AA896" i="18" s="1"/>
  <c r="AA908" i="18" s="1"/>
  <c r="CE49" i="67"/>
  <c r="CD48" i="67"/>
  <c r="AB563" i="18"/>
  <c r="AB578" i="18" s="1"/>
  <c r="AB470" i="18"/>
  <c r="AB574" i="18" s="1"/>
  <c r="AB532" i="18"/>
  <c r="AB577" i="18" s="1"/>
  <c r="AA573" i="18"/>
  <c r="AA894" i="18" s="1"/>
  <c r="AA906" i="18" s="1"/>
  <c r="BF51" i="67"/>
  <c r="BF49" i="67"/>
  <c r="BF50" i="67"/>
  <c r="BE48" i="67"/>
  <c r="C7" i="16"/>
  <c r="D7" i="16"/>
  <c r="F7" i="16"/>
  <c r="H30" i="24"/>
  <c r="Q35" i="24" s="1"/>
  <c r="F33" i="16" s="1"/>
  <c r="E181" i="48" s="1"/>
  <c r="G30" i="24"/>
  <c r="F30" i="24"/>
  <c r="E30" i="24"/>
  <c r="D30" i="24"/>
  <c r="I8" i="29"/>
  <c r="I9" i="29"/>
  <c r="C16" i="64"/>
  <c r="E17" i="1"/>
  <c r="H8" i="61"/>
  <c r="AC546" i="18" l="1"/>
  <c r="AC484" i="18"/>
  <c r="AC515" i="18"/>
  <c r="AC453" i="18"/>
  <c r="AC470" i="18" s="1"/>
  <c r="AC574" i="18" s="1"/>
  <c r="AC360" i="18"/>
  <c r="AC377" i="18" s="1"/>
  <c r="AC569" i="18" s="1"/>
  <c r="AC391" i="18"/>
  <c r="AC408" i="18" s="1"/>
  <c r="AC571" i="18" s="1"/>
  <c r="AC422" i="18"/>
  <c r="AC439" i="18" s="1"/>
  <c r="AC572" i="18" s="1"/>
  <c r="AC588" i="18" s="1"/>
  <c r="AC329" i="18"/>
  <c r="AC346" i="18" s="1"/>
  <c r="AC568" i="18" s="1"/>
  <c r="AD486" i="18"/>
  <c r="AD517" i="18"/>
  <c r="AD548" i="18"/>
  <c r="AD393" i="18"/>
  <c r="AD424" i="18"/>
  <c r="AD455" i="18"/>
  <c r="AD331" i="18"/>
  <c r="AD362" i="18"/>
  <c r="AD516" i="18"/>
  <c r="AD547" i="18"/>
  <c r="AD361" i="18"/>
  <c r="AD392" i="18"/>
  <c r="AD423" i="18"/>
  <c r="AD485" i="18"/>
  <c r="AD454" i="18"/>
  <c r="AD330" i="18"/>
  <c r="AD487" i="18"/>
  <c r="AD549" i="18"/>
  <c r="AD456" i="18"/>
  <c r="AD394" i="18"/>
  <c r="AD425" i="18"/>
  <c r="AD518" i="18"/>
  <c r="AD363" i="18"/>
  <c r="AD332" i="18"/>
  <c r="H302" i="48"/>
  <c r="H310" i="48"/>
  <c r="H318" i="48"/>
  <c r="F302" i="48"/>
  <c r="F310" i="48"/>
  <c r="F318" i="48"/>
  <c r="D302" i="48"/>
  <c r="D310" i="48"/>
  <c r="D318" i="48"/>
  <c r="F300" i="48"/>
  <c r="H303" i="48"/>
  <c r="H311" i="48"/>
  <c r="H319" i="48"/>
  <c r="F303" i="48"/>
  <c r="F311" i="48"/>
  <c r="F319" i="48"/>
  <c r="D303" i="48"/>
  <c r="D311" i="48"/>
  <c r="D319" i="48"/>
  <c r="D300" i="48"/>
  <c r="H308" i="48"/>
  <c r="H320" i="48"/>
  <c r="F306" i="48"/>
  <c r="F316" i="48"/>
  <c r="D304" i="48"/>
  <c r="D314" i="48"/>
  <c r="D324" i="48"/>
  <c r="H309" i="48"/>
  <c r="H321" i="48"/>
  <c r="F307" i="48"/>
  <c r="F317" i="48"/>
  <c r="D305" i="48"/>
  <c r="D315" i="48"/>
  <c r="H300" i="48"/>
  <c r="H312" i="48"/>
  <c r="H322" i="48"/>
  <c r="F308" i="48"/>
  <c r="F320" i="48"/>
  <c r="D306" i="48"/>
  <c r="D316" i="48"/>
  <c r="H314" i="48"/>
  <c r="F312" i="48"/>
  <c r="H301" i="48"/>
  <c r="H313" i="48"/>
  <c r="H323" i="48"/>
  <c r="F309" i="48"/>
  <c r="F321" i="48"/>
  <c r="D307" i="48"/>
  <c r="D317" i="48"/>
  <c r="H304" i="48"/>
  <c r="F301" i="48"/>
  <c r="F324" i="48"/>
  <c r="D322" i="48"/>
  <c r="H316" i="48"/>
  <c r="H324" i="48"/>
  <c r="H305" i="48"/>
  <c r="F304" i="48"/>
  <c r="D301" i="48"/>
  <c r="D323" i="48"/>
  <c r="D309" i="48"/>
  <c r="H315" i="48"/>
  <c r="F315" i="48"/>
  <c r="D313" i="48"/>
  <c r="H317" i="48"/>
  <c r="D320" i="48"/>
  <c r="F323" i="48"/>
  <c r="H306" i="48"/>
  <c r="F305" i="48"/>
  <c r="D308" i="48"/>
  <c r="H307" i="48"/>
  <c r="F313" i="48"/>
  <c r="F314" i="48"/>
  <c r="D312" i="48"/>
  <c r="F322" i="48"/>
  <c r="D321" i="48"/>
  <c r="H50" i="61"/>
  <c r="H13" i="61"/>
  <c r="O15" i="65"/>
  <c r="W15" i="65"/>
  <c r="AE15" i="65"/>
  <c r="R12" i="65"/>
  <c r="Z12" i="65"/>
  <c r="M9" i="65"/>
  <c r="U9" i="65"/>
  <c r="AC9" i="65"/>
  <c r="S15" i="65"/>
  <c r="Q9" i="65"/>
  <c r="AC15" i="65"/>
  <c r="X12" i="65"/>
  <c r="S9" i="65"/>
  <c r="N15" i="65"/>
  <c r="AD15" i="65"/>
  <c r="Q12" i="65"/>
  <c r="Y12" i="65"/>
  <c r="L9" i="65"/>
  <c r="T9" i="65"/>
  <c r="AB9" i="65"/>
  <c r="P15" i="65"/>
  <c r="X15" i="65"/>
  <c r="K15" i="65"/>
  <c r="S12" i="65"/>
  <c r="AA12" i="65"/>
  <c r="N9" i="65"/>
  <c r="V9" i="65"/>
  <c r="AD9" i="65"/>
  <c r="T15" i="65"/>
  <c r="M15" i="65"/>
  <c r="Q15" i="65"/>
  <c r="Y15" i="65"/>
  <c r="L12" i="65"/>
  <c r="T12" i="65"/>
  <c r="AB12" i="65"/>
  <c r="O9" i="65"/>
  <c r="W9" i="65"/>
  <c r="AE9" i="65"/>
  <c r="L15" i="65"/>
  <c r="AB15" i="65"/>
  <c r="W12" i="65"/>
  <c r="AE12" i="65"/>
  <c r="R9" i="65"/>
  <c r="U15" i="65"/>
  <c r="P12" i="65"/>
  <c r="K12" i="65"/>
  <c r="AA9" i="65"/>
  <c r="V15" i="65"/>
  <c r="R15" i="65"/>
  <c r="Z15" i="65"/>
  <c r="M12" i="65"/>
  <c r="U12" i="65"/>
  <c r="AC12" i="65"/>
  <c r="P9" i="65"/>
  <c r="X9" i="65"/>
  <c r="K9" i="65"/>
  <c r="AA15" i="65"/>
  <c r="N12" i="65"/>
  <c r="V12" i="65"/>
  <c r="AD12" i="65"/>
  <c r="Y9" i="65"/>
  <c r="O12" i="65"/>
  <c r="Z9" i="65"/>
  <c r="AB576" i="18"/>
  <c r="AB895" i="18" s="1"/>
  <c r="AB907" i="18" s="1"/>
  <c r="AB579" i="18"/>
  <c r="AB896" i="18" s="1"/>
  <c r="AB908" i="18" s="1"/>
  <c r="AB573" i="18"/>
  <c r="AB894" i="18" s="1"/>
  <c r="AB906" i="18" s="1"/>
  <c r="AB570" i="18"/>
  <c r="AB893" i="18" s="1"/>
  <c r="AB905" i="18" s="1"/>
  <c r="CE48" i="67"/>
  <c r="AC532" i="18"/>
  <c r="AC577" i="18" s="1"/>
  <c r="AC563" i="18"/>
  <c r="AC578" i="18" s="1"/>
  <c r="AC501" i="18"/>
  <c r="AC575" i="18" s="1"/>
  <c r="CF50" i="67"/>
  <c r="CF49" i="67"/>
  <c r="CF51" i="67"/>
  <c r="BG50" i="67"/>
  <c r="BG49" i="67"/>
  <c r="BG51" i="67"/>
  <c r="BF48" i="67"/>
  <c r="C50" i="61"/>
  <c r="C54" i="61"/>
  <c r="C57" i="61"/>
  <c r="C13" i="29" s="1"/>
  <c r="C53" i="61"/>
  <c r="F53" i="61"/>
  <c r="F57" i="61"/>
  <c r="D13" i="29" s="1"/>
  <c r="F54" i="61"/>
  <c r="G53" i="61"/>
  <c r="E54" i="61"/>
  <c r="D57" i="61"/>
  <c r="E57" i="61"/>
  <c r="G54" i="61"/>
  <c r="D54" i="61"/>
  <c r="G57" i="61"/>
  <c r="E53" i="61"/>
  <c r="D53" i="61"/>
  <c r="H53" i="61"/>
  <c r="H57" i="61"/>
  <c r="I53" i="61"/>
  <c r="I57" i="61"/>
  <c r="I54" i="61"/>
  <c r="H54" i="61"/>
  <c r="J54" i="61"/>
  <c r="J53" i="61"/>
  <c r="J57" i="61"/>
  <c r="C59" i="61"/>
  <c r="C15" i="29" s="1"/>
  <c r="G51" i="61"/>
  <c r="F58" i="61"/>
  <c r="D14" i="29" s="1"/>
  <c r="D58" i="61"/>
  <c r="G52" i="61"/>
  <c r="D50" i="61"/>
  <c r="D59" i="61"/>
  <c r="F52" i="61"/>
  <c r="G60" i="61"/>
  <c r="D51" i="61"/>
  <c r="C52" i="61"/>
  <c r="D60" i="61"/>
  <c r="E59" i="61"/>
  <c r="C58" i="61"/>
  <c r="C14" i="29" s="1"/>
  <c r="C60" i="61"/>
  <c r="C16" i="29" s="1"/>
  <c r="E50" i="61"/>
  <c r="C51" i="61"/>
  <c r="F59" i="61"/>
  <c r="D15" i="29" s="1"/>
  <c r="D52" i="61"/>
  <c r="G59" i="61"/>
  <c r="G58" i="61"/>
  <c r="E52" i="61"/>
  <c r="E58" i="61"/>
  <c r="E51" i="61"/>
  <c r="F51" i="61"/>
  <c r="E60" i="61"/>
  <c r="F60" i="61"/>
  <c r="D16" i="29" s="1"/>
  <c r="G50" i="61"/>
  <c r="F50" i="61"/>
  <c r="H58" i="61"/>
  <c r="H52" i="61"/>
  <c r="H51" i="61"/>
  <c r="I58" i="61"/>
  <c r="I52" i="61"/>
  <c r="I51" i="61"/>
  <c r="J51" i="61"/>
  <c r="J58" i="61"/>
  <c r="J52" i="61"/>
  <c r="C47" i="16"/>
  <c r="C31" i="24"/>
  <c r="Q15" i="24" s="1"/>
  <c r="F13" i="16" s="1"/>
  <c r="C118" i="16"/>
  <c r="C151" i="16"/>
  <c r="C80" i="16"/>
  <c r="D31" i="24"/>
  <c r="F31" i="24"/>
  <c r="E31" i="24"/>
  <c r="G31" i="24"/>
  <c r="Q13" i="24" s="1"/>
  <c r="F11" i="16" s="1"/>
  <c r="I18" i="61"/>
  <c r="I60" i="61" s="1"/>
  <c r="H18" i="61"/>
  <c r="H60" i="61" s="1"/>
  <c r="I17" i="61"/>
  <c r="I59" i="61" s="1"/>
  <c r="I50" i="61"/>
  <c r="H17" i="61"/>
  <c r="H59" i="61" s="1"/>
  <c r="AE485" i="18" l="1"/>
  <c r="AE516" i="18"/>
  <c r="AE392" i="18"/>
  <c r="AE423" i="18"/>
  <c r="AE547" i="18"/>
  <c r="AE454" i="18"/>
  <c r="AE330" i="18"/>
  <c r="AE361" i="18"/>
  <c r="AE486" i="18"/>
  <c r="AE548" i="18"/>
  <c r="AE393" i="18"/>
  <c r="AE424" i="18"/>
  <c r="AE517" i="18"/>
  <c r="AE455" i="18"/>
  <c r="AE362" i="18"/>
  <c r="AE331" i="18"/>
  <c r="AD546" i="18"/>
  <c r="AD484" i="18"/>
  <c r="AD515" i="18"/>
  <c r="AD422" i="18"/>
  <c r="AD453" i="18"/>
  <c r="AD329" i="18"/>
  <c r="AD346" i="18" s="1"/>
  <c r="AD568" i="18" s="1"/>
  <c r="AD360" i="18"/>
  <c r="AD377" i="18" s="1"/>
  <c r="AD569" i="18" s="1"/>
  <c r="AD391" i="18"/>
  <c r="AE487" i="18"/>
  <c r="AE518" i="18"/>
  <c r="AE549" i="18"/>
  <c r="AE425" i="18"/>
  <c r="AE456" i="18"/>
  <c r="AE394" i="18"/>
  <c r="AE332" i="18"/>
  <c r="AE363" i="18"/>
  <c r="W74" i="61"/>
  <c r="X74" i="61"/>
  <c r="Y74" i="61"/>
  <c r="Z74" i="61"/>
  <c r="AC74" i="61"/>
  <c r="AD74" i="61"/>
  <c r="AE74" i="61"/>
  <c r="E74" i="61"/>
  <c r="F74" i="61"/>
  <c r="G74" i="61"/>
  <c r="M74" i="61"/>
  <c r="J74" i="61"/>
  <c r="O74" i="61"/>
  <c r="P74" i="61"/>
  <c r="Q74" i="61"/>
  <c r="K74" i="61"/>
  <c r="H74" i="61"/>
  <c r="L74" i="61"/>
  <c r="I74" i="61"/>
  <c r="N74" i="61"/>
  <c r="D74" i="61"/>
  <c r="AB74" i="61"/>
  <c r="S74" i="61"/>
  <c r="AA74" i="61"/>
  <c r="R74" i="61"/>
  <c r="T74" i="61"/>
  <c r="U74" i="61"/>
  <c r="V74" i="61"/>
  <c r="Z69" i="61"/>
  <c r="AA69" i="61"/>
  <c r="F69" i="61"/>
  <c r="AD69" i="61"/>
  <c r="AD79" i="61" s="1"/>
  <c r="G69" i="61"/>
  <c r="AE69" i="61"/>
  <c r="H69" i="61"/>
  <c r="E69" i="61"/>
  <c r="I69" i="61"/>
  <c r="J69" i="61"/>
  <c r="K69" i="61"/>
  <c r="L69" i="61"/>
  <c r="M69" i="61"/>
  <c r="N69" i="61"/>
  <c r="O69" i="61"/>
  <c r="P69" i="61"/>
  <c r="Q69" i="61"/>
  <c r="W69" i="61"/>
  <c r="R69" i="61"/>
  <c r="U69" i="61"/>
  <c r="V69" i="61"/>
  <c r="S69" i="61"/>
  <c r="AC69" i="61"/>
  <c r="T69" i="61"/>
  <c r="X69" i="61"/>
  <c r="Y69" i="61"/>
  <c r="AB69" i="61"/>
  <c r="AA68" i="61"/>
  <c r="AB68" i="61"/>
  <c r="AC68" i="61"/>
  <c r="H68" i="61"/>
  <c r="I68" i="61"/>
  <c r="J68" i="61"/>
  <c r="K68" i="61"/>
  <c r="E68" i="61"/>
  <c r="L68" i="61"/>
  <c r="M68" i="61"/>
  <c r="P68" i="61"/>
  <c r="N68" i="61"/>
  <c r="O68" i="61"/>
  <c r="Q68" i="61"/>
  <c r="R68" i="61"/>
  <c r="S68" i="61"/>
  <c r="W68" i="61"/>
  <c r="Y68" i="61"/>
  <c r="Z68" i="61"/>
  <c r="AE68" i="61"/>
  <c r="G68" i="61"/>
  <c r="T68" i="61"/>
  <c r="U68" i="61"/>
  <c r="X68" i="61"/>
  <c r="AD68" i="61"/>
  <c r="F68" i="61"/>
  <c r="V68" i="61"/>
  <c r="AC67" i="61"/>
  <c r="F67" i="61"/>
  <c r="AD67" i="61"/>
  <c r="G67" i="61"/>
  <c r="AE67" i="61"/>
  <c r="J67" i="61"/>
  <c r="K67" i="61"/>
  <c r="L67" i="61"/>
  <c r="M67" i="61"/>
  <c r="N67" i="61"/>
  <c r="E67" i="61"/>
  <c r="O67" i="61"/>
  <c r="R67" i="61"/>
  <c r="T67" i="61"/>
  <c r="P67" i="61"/>
  <c r="Q67" i="61"/>
  <c r="S67" i="61"/>
  <c r="U67" i="61"/>
  <c r="I67" i="61"/>
  <c r="Z67" i="61"/>
  <c r="H67" i="61"/>
  <c r="AA67" i="61"/>
  <c r="AB67" i="61"/>
  <c r="V67" i="61"/>
  <c r="W67" i="61"/>
  <c r="X67" i="61"/>
  <c r="Y67" i="61"/>
  <c r="N71" i="61"/>
  <c r="O71" i="61"/>
  <c r="P71" i="61"/>
  <c r="Q71" i="61"/>
  <c r="S71" i="61"/>
  <c r="T71" i="61"/>
  <c r="U71" i="61"/>
  <c r="V71" i="61"/>
  <c r="W71" i="61"/>
  <c r="X71" i="61"/>
  <c r="Y71" i="61"/>
  <c r="AC71" i="61"/>
  <c r="Z71" i="61"/>
  <c r="AA71" i="61"/>
  <c r="AB71" i="61"/>
  <c r="E71" i="61"/>
  <c r="AD71" i="61"/>
  <c r="F71" i="61"/>
  <c r="AE71" i="61"/>
  <c r="G71" i="61"/>
  <c r="K71" i="61"/>
  <c r="I71" i="61"/>
  <c r="L71" i="61"/>
  <c r="J71" i="61"/>
  <c r="D71" i="61"/>
  <c r="H71" i="61"/>
  <c r="M71" i="61"/>
  <c r="R71" i="61"/>
  <c r="H65" i="61"/>
  <c r="I65" i="61"/>
  <c r="J65" i="61"/>
  <c r="K65" i="61"/>
  <c r="N65" i="61"/>
  <c r="O65" i="61"/>
  <c r="P65" i="61"/>
  <c r="Q65" i="61"/>
  <c r="R65" i="61"/>
  <c r="S65" i="61"/>
  <c r="V65" i="61"/>
  <c r="X65" i="61"/>
  <c r="T65" i="61"/>
  <c r="U65" i="61"/>
  <c r="W65" i="61"/>
  <c r="Y65" i="61"/>
  <c r="G65" i="61"/>
  <c r="L65" i="61"/>
  <c r="M65" i="61"/>
  <c r="AC65" i="61"/>
  <c r="AD65" i="61"/>
  <c r="AE65" i="61"/>
  <c r="F65" i="61"/>
  <c r="Z65" i="61"/>
  <c r="AA65" i="61"/>
  <c r="AB65" i="61"/>
  <c r="K70" i="61"/>
  <c r="L70" i="61"/>
  <c r="M70" i="61"/>
  <c r="N70" i="61"/>
  <c r="O70" i="61"/>
  <c r="P70" i="61"/>
  <c r="Q70" i="61"/>
  <c r="R70" i="61"/>
  <c r="R75" i="61" s="1"/>
  <c r="S70" i="61"/>
  <c r="T70" i="61"/>
  <c r="E70" i="61"/>
  <c r="U70" i="61"/>
  <c r="F70" i="61"/>
  <c r="V70" i="61"/>
  <c r="G70" i="61"/>
  <c r="Y70" i="61"/>
  <c r="AA70" i="61"/>
  <c r="W70" i="61"/>
  <c r="H70" i="61"/>
  <c r="X70" i="61"/>
  <c r="I70" i="61"/>
  <c r="J70" i="61"/>
  <c r="Z70" i="61"/>
  <c r="AB70" i="61"/>
  <c r="AC70" i="61"/>
  <c r="AD70" i="61"/>
  <c r="AE70" i="61"/>
  <c r="D70" i="61"/>
  <c r="D93" i="61"/>
  <c r="T73" i="61"/>
  <c r="U73" i="61"/>
  <c r="V73" i="61"/>
  <c r="V78" i="61" s="1"/>
  <c r="W73" i="61"/>
  <c r="E73" i="61"/>
  <c r="Y73" i="61"/>
  <c r="Z73" i="61"/>
  <c r="H73" i="61"/>
  <c r="AA73" i="61"/>
  <c r="I73" i="61"/>
  <c r="AB73" i="61"/>
  <c r="J73" i="61"/>
  <c r="AC73" i="61"/>
  <c r="AD73" i="61"/>
  <c r="AE73" i="61"/>
  <c r="AE78" i="61" s="1"/>
  <c r="K73" i="61"/>
  <c r="L73" i="61"/>
  <c r="M73" i="61"/>
  <c r="D73" i="61"/>
  <c r="G73" i="61"/>
  <c r="N73" i="61"/>
  <c r="R73" i="61"/>
  <c r="F73" i="61"/>
  <c r="O73" i="61"/>
  <c r="P73" i="61"/>
  <c r="Q73" i="61"/>
  <c r="Q78" i="61" s="1"/>
  <c r="S73" i="61"/>
  <c r="X73" i="61"/>
  <c r="G66" i="61"/>
  <c r="AE66" i="61"/>
  <c r="H66" i="61"/>
  <c r="H76" i="61" s="1"/>
  <c r="I66" i="61"/>
  <c r="L66" i="61"/>
  <c r="M66" i="61"/>
  <c r="N66" i="61"/>
  <c r="O66" i="61"/>
  <c r="P66" i="61"/>
  <c r="Q66" i="61"/>
  <c r="E66" i="61"/>
  <c r="R66" i="61"/>
  <c r="S66" i="61"/>
  <c r="T66" i="61"/>
  <c r="U66" i="61"/>
  <c r="V66" i="61"/>
  <c r="W66" i="61"/>
  <c r="W76" i="61" s="1"/>
  <c r="F66" i="61"/>
  <c r="K66" i="61"/>
  <c r="Y66" i="61"/>
  <c r="AA66" i="61"/>
  <c r="AC66" i="61"/>
  <c r="J66" i="61"/>
  <c r="X66" i="61"/>
  <c r="Z66" i="61"/>
  <c r="AB66" i="61"/>
  <c r="AD66" i="61"/>
  <c r="Q72" i="61"/>
  <c r="H72" i="61"/>
  <c r="R72" i="61"/>
  <c r="I72" i="61"/>
  <c r="S72" i="61"/>
  <c r="J72" i="61"/>
  <c r="T72" i="61"/>
  <c r="U72" i="61"/>
  <c r="V72" i="61"/>
  <c r="W72" i="61"/>
  <c r="X72" i="61"/>
  <c r="Y72" i="61"/>
  <c r="Z72" i="61"/>
  <c r="AA72" i="61"/>
  <c r="AB72" i="61"/>
  <c r="K72" i="61"/>
  <c r="AC72" i="61"/>
  <c r="AD72" i="61"/>
  <c r="AE72" i="61"/>
  <c r="F72" i="61"/>
  <c r="L72" i="61"/>
  <c r="P72" i="61"/>
  <c r="E72" i="61"/>
  <c r="G72" i="61"/>
  <c r="D72" i="61"/>
  <c r="M72" i="61"/>
  <c r="N72" i="61"/>
  <c r="O72" i="61"/>
  <c r="K93" i="61"/>
  <c r="I93" i="61"/>
  <c r="J93" i="61"/>
  <c r="H93" i="61"/>
  <c r="G93" i="61"/>
  <c r="E93" i="61"/>
  <c r="F93" i="61"/>
  <c r="E65" i="61"/>
  <c r="D66" i="61"/>
  <c r="D67" i="61"/>
  <c r="D69" i="61"/>
  <c r="D68" i="61"/>
  <c r="D65" i="61"/>
  <c r="D84" i="61"/>
  <c r="AD88" i="61"/>
  <c r="AC88" i="61"/>
  <c r="X88" i="61"/>
  <c r="L88" i="61"/>
  <c r="T88" i="61"/>
  <c r="AB88" i="61"/>
  <c r="W88" i="61"/>
  <c r="M88" i="61"/>
  <c r="V88" i="61"/>
  <c r="Y88" i="61"/>
  <c r="N88" i="61"/>
  <c r="Z88" i="61"/>
  <c r="O88" i="61"/>
  <c r="U88" i="61"/>
  <c r="AA88" i="61"/>
  <c r="Q88" i="61"/>
  <c r="R88" i="61"/>
  <c r="S88" i="61"/>
  <c r="AE88" i="61"/>
  <c r="P88" i="61"/>
  <c r="E325" i="48"/>
  <c r="AA97" i="61"/>
  <c r="Q97" i="61"/>
  <c r="AC97" i="61"/>
  <c r="X97" i="61"/>
  <c r="N97" i="61"/>
  <c r="Y97" i="61"/>
  <c r="O97" i="61"/>
  <c r="Z97" i="61"/>
  <c r="P97" i="61"/>
  <c r="W97" i="61"/>
  <c r="L97" i="61"/>
  <c r="M97" i="61"/>
  <c r="R97" i="61"/>
  <c r="AD97" i="61"/>
  <c r="AE97" i="61"/>
  <c r="S97" i="61"/>
  <c r="T97" i="61"/>
  <c r="AB97" i="61"/>
  <c r="U97" i="61"/>
  <c r="V97" i="61"/>
  <c r="G325" i="48"/>
  <c r="Y91" i="61"/>
  <c r="S91" i="61"/>
  <c r="AA91" i="61"/>
  <c r="P91" i="61"/>
  <c r="Q91" i="61"/>
  <c r="R91" i="61"/>
  <c r="AB91" i="61"/>
  <c r="W91" i="61"/>
  <c r="T91" i="61"/>
  <c r="AC91" i="61"/>
  <c r="X91" i="61"/>
  <c r="U91" i="61"/>
  <c r="Z91" i="61"/>
  <c r="V91" i="61"/>
  <c r="M91" i="61"/>
  <c r="N91" i="61"/>
  <c r="O91" i="61"/>
  <c r="AD91" i="61"/>
  <c r="L91" i="61"/>
  <c r="AE91" i="61"/>
  <c r="W101" i="61"/>
  <c r="M101" i="61"/>
  <c r="U101" i="61"/>
  <c r="P101" i="61"/>
  <c r="X101" i="61"/>
  <c r="Q101" i="61"/>
  <c r="Y101" i="61"/>
  <c r="R101" i="61"/>
  <c r="AD101" i="61"/>
  <c r="L101" i="61"/>
  <c r="AE101" i="61"/>
  <c r="N101" i="61"/>
  <c r="AB101" i="61"/>
  <c r="O101" i="61"/>
  <c r="T101" i="61"/>
  <c r="V101" i="61"/>
  <c r="Z101" i="61"/>
  <c r="AA101" i="61"/>
  <c r="AC101" i="61"/>
  <c r="S101" i="61"/>
  <c r="D85" i="61"/>
  <c r="W85" i="61"/>
  <c r="M85" i="61"/>
  <c r="U85" i="61"/>
  <c r="R85" i="61"/>
  <c r="AD85" i="61"/>
  <c r="S85" i="61"/>
  <c r="AE85" i="61"/>
  <c r="AB85" i="61"/>
  <c r="T85" i="61"/>
  <c r="Y85" i="61"/>
  <c r="L85" i="61"/>
  <c r="AC85" i="61"/>
  <c r="Z85" i="61"/>
  <c r="N85" i="61"/>
  <c r="AA85" i="61"/>
  <c r="O85" i="61"/>
  <c r="P85" i="61"/>
  <c r="V85" i="61"/>
  <c r="Q85" i="61"/>
  <c r="X85" i="61"/>
  <c r="AA89" i="61"/>
  <c r="Q89" i="61"/>
  <c r="AD89" i="61"/>
  <c r="T89" i="61"/>
  <c r="AE89" i="61"/>
  <c r="AB89" i="61"/>
  <c r="L89" i="61"/>
  <c r="U89" i="61"/>
  <c r="AC89" i="61"/>
  <c r="M89" i="61"/>
  <c r="V89" i="61"/>
  <c r="N89" i="61"/>
  <c r="W89" i="61"/>
  <c r="O89" i="61"/>
  <c r="X89" i="61"/>
  <c r="P89" i="61"/>
  <c r="S89" i="61"/>
  <c r="Y89" i="61"/>
  <c r="R89" i="61"/>
  <c r="Z89" i="61"/>
  <c r="D325" i="48"/>
  <c r="AD100" i="61"/>
  <c r="AC100" i="61"/>
  <c r="P100" i="61"/>
  <c r="AA100" i="61"/>
  <c r="R100" i="61"/>
  <c r="S100" i="61"/>
  <c r="T100" i="61"/>
  <c r="AE100" i="61"/>
  <c r="W100" i="61"/>
  <c r="V100" i="61"/>
  <c r="X100" i="61"/>
  <c r="AB100" i="61"/>
  <c r="Y100" i="61"/>
  <c r="L100" i="61"/>
  <c r="Z100" i="61"/>
  <c r="M100" i="61"/>
  <c r="O100" i="61"/>
  <c r="N100" i="61"/>
  <c r="Q100" i="61"/>
  <c r="U100" i="61"/>
  <c r="Y99" i="61"/>
  <c r="S99" i="61"/>
  <c r="W99" i="61"/>
  <c r="T99" i="61"/>
  <c r="X99" i="61"/>
  <c r="L99" i="61"/>
  <c r="U99" i="61"/>
  <c r="AD99" i="61"/>
  <c r="Z99" i="61"/>
  <c r="M99" i="61"/>
  <c r="V99" i="61"/>
  <c r="AB99" i="61"/>
  <c r="Q99" i="61"/>
  <c r="AC99" i="61"/>
  <c r="R99" i="61"/>
  <c r="N99" i="61"/>
  <c r="O99" i="61"/>
  <c r="AE99" i="61"/>
  <c r="AA99" i="61"/>
  <c r="P99" i="61"/>
  <c r="AD84" i="61"/>
  <c r="AC84" i="61"/>
  <c r="P84" i="61"/>
  <c r="AE84" i="61"/>
  <c r="Y84" i="61"/>
  <c r="T84" i="61"/>
  <c r="AB84" i="61"/>
  <c r="Z84" i="61"/>
  <c r="L84" i="61"/>
  <c r="U84" i="61"/>
  <c r="AA84" i="61"/>
  <c r="M84" i="61"/>
  <c r="V84" i="61"/>
  <c r="N84" i="61"/>
  <c r="W84" i="61"/>
  <c r="Q84" i="61"/>
  <c r="O84" i="61"/>
  <c r="X84" i="61"/>
  <c r="R84" i="61"/>
  <c r="S84" i="61"/>
  <c r="AD92" i="61"/>
  <c r="AC92" i="61"/>
  <c r="P92" i="61"/>
  <c r="N92" i="61"/>
  <c r="W92" i="61"/>
  <c r="O92" i="61"/>
  <c r="X92" i="61"/>
  <c r="Q92" i="61"/>
  <c r="AE92" i="61"/>
  <c r="U92" i="61"/>
  <c r="V92" i="61"/>
  <c r="AB92" i="61"/>
  <c r="Y92" i="61"/>
  <c r="L92" i="61"/>
  <c r="AA92" i="61"/>
  <c r="M92" i="61"/>
  <c r="R92" i="61"/>
  <c r="T92" i="61"/>
  <c r="Z92" i="61"/>
  <c r="S92" i="61"/>
  <c r="D86" i="61"/>
  <c r="Z86" i="61"/>
  <c r="R86" i="61"/>
  <c r="X86" i="61"/>
  <c r="P86" i="61"/>
  <c r="Y86" i="61"/>
  <c r="Q86" i="61"/>
  <c r="AA86" i="61"/>
  <c r="S86" i="61"/>
  <c r="AD86" i="61"/>
  <c r="N86" i="61"/>
  <c r="AE86" i="61"/>
  <c r="O86" i="61"/>
  <c r="AB86" i="61"/>
  <c r="T86" i="61"/>
  <c r="AC86" i="61"/>
  <c r="W86" i="61"/>
  <c r="U86" i="61"/>
  <c r="L86" i="61"/>
  <c r="M86" i="61"/>
  <c r="V86" i="61"/>
  <c r="D87" i="61"/>
  <c r="O87" i="61"/>
  <c r="N87" i="61"/>
  <c r="P87" i="61"/>
  <c r="Q87" i="61"/>
  <c r="AA87" i="61"/>
  <c r="S87" i="61"/>
  <c r="T87" i="61"/>
  <c r="AD87" i="61"/>
  <c r="U87" i="61"/>
  <c r="AE87" i="61"/>
  <c r="V87" i="61"/>
  <c r="AC87" i="61"/>
  <c r="X87" i="61"/>
  <c r="Y87" i="61"/>
  <c r="Z87" i="61"/>
  <c r="L87" i="61"/>
  <c r="W87" i="61"/>
  <c r="AB87" i="61"/>
  <c r="M87" i="61"/>
  <c r="R87" i="61"/>
  <c r="N90" i="61"/>
  <c r="V90" i="61"/>
  <c r="W90" i="61"/>
  <c r="R90" i="61"/>
  <c r="X90" i="61"/>
  <c r="S90" i="61"/>
  <c r="AD90" i="61"/>
  <c r="Y90" i="61"/>
  <c r="T90" i="61"/>
  <c r="O90" i="61"/>
  <c r="P90" i="61"/>
  <c r="Q90" i="61"/>
  <c r="U90" i="61"/>
  <c r="AB90" i="61"/>
  <c r="AC90" i="61"/>
  <c r="AE90" i="61"/>
  <c r="L90" i="61"/>
  <c r="Z90" i="61"/>
  <c r="M90" i="61"/>
  <c r="AA90" i="61"/>
  <c r="Z94" i="61"/>
  <c r="R94" i="61"/>
  <c r="T94" i="61"/>
  <c r="AD94" i="61"/>
  <c r="L94" i="61"/>
  <c r="U94" i="61"/>
  <c r="AE94" i="61"/>
  <c r="AB94" i="61"/>
  <c r="W94" i="61"/>
  <c r="M94" i="61"/>
  <c r="V94" i="61"/>
  <c r="X94" i="61"/>
  <c r="O94" i="61"/>
  <c r="Y94" i="61"/>
  <c r="P94" i="61"/>
  <c r="AA94" i="61"/>
  <c r="Q94" i="61"/>
  <c r="AC94" i="61"/>
  <c r="S94" i="61"/>
  <c r="N94" i="61"/>
  <c r="AD96" i="61"/>
  <c r="AC96" i="61"/>
  <c r="X96" i="61"/>
  <c r="L96" i="61"/>
  <c r="L105" i="61" s="1"/>
  <c r="T96" i="61"/>
  <c r="P96" i="61"/>
  <c r="Q96" i="61"/>
  <c r="R96" i="61"/>
  <c r="AA96" i="61"/>
  <c r="V96" i="61"/>
  <c r="M96" i="61"/>
  <c r="O96" i="61"/>
  <c r="S96" i="61"/>
  <c r="U96" i="61"/>
  <c r="W96" i="61"/>
  <c r="Y96" i="61"/>
  <c r="AB96" i="61"/>
  <c r="Z96" i="61"/>
  <c r="AE96" i="61"/>
  <c r="N96" i="61"/>
  <c r="W93" i="61"/>
  <c r="M93" i="61"/>
  <c r="U93" i="61"/>
  <c r="AE93" i="61"/>
  <c r="AB93" i="61"/>
  <c r="Z93" i="61"/>
  <c r="L93" i="61"/>
  <c r="V93" i="61"/>
  <c r="AC93" i="61"/>
  <c r="AA93" i="61"/>
  <c r="N93" i="61"/>
  <c r="O93" i="61"/>
  <c r="AD93" i="61"/>
  <c r="P93" i="61"/>
  <c r="Q93" i="61"/>
  <c r="S93" i="61"/>
  <c r="X93" i="61"/>
  <c r="T93" i="61"/>
  <c r="Y93" i="61"/>
  <c r="R93" i="61"/>
  <c r="I325" i="48"/>
  <c r="N98" i="61"/>
  <c r="V98" i="61"/>
  <c r="AD98" i="61"/>
  <c r="L98" i="61"/>
  <c r="U98" i="61"/>
  <c r="AE98" i="61"/>
  <c r="AB98" i="61"/>
  <c r="M98" i="61"/>
  <c r="AC98" i="61"/>
  <c r="O98" i="61"/>
  <c r="P98" i="61"/>
  <c r="Q98" i="61"/>
  <c r="W98" i="61"/>
  <c r="R98" i="61"/>
  <c r="X98" i="61"/>
  <c r="S98" i="61"/>
  <c r="Z98" i="61"/>
  <c r="AA98" i="61"/>
  <c r="T98" i="61"/>
  <c r="Y98" i="61"/>
  <c r="O95" i="61"/>
  <c r="Y95" i="61"/>
  <c r="R95" i="61"/>
  <c r="Z95" i="61"/>
  <c r="S95" i="61"/>
  <c r="AA95" i="61"/>
  <c r="T95" i="61"/>
  <c r="Q95" i="61"/>
  <c r="U95" i="61"/>
  <c r="AD95" i="61"/>
  <c r="V95" i="61"/>
  <c r="AE95" i="61"/>
  <c r="W95" i="61"/>
  <c r="M95" i="61"/>
  <c r="AB95" i="61"/>
  <c r="X95" i="61"/>
  <c r="L95" i="61"/>
  <c r="AC95" i="61"/>
  <c r="P95" i="61"/>
  <c r="N95" i="61"/>
  <c r="F325" i="48"/>
  <c r="H325" i="48"/>
  <c r="E16" i="29"/>
  <c r="AC570" i="18"/>
  <c r="AC893" i="18" s="1"/>
  <c r="AC905" i="18" s="1"/>
  <c r="AC576" i="18"/>
  <c r="AC895" i="18" s="1"/>
  <c r="AC907" i="18" s="1"/>
  <c r="CG50" i="67"/>
  <c r="CG51" i="67"/>
  <c r="CG49" i="67"/>
  <c r="AC573" i="18"/>
  <c r="AC894" i="18" s="1"/>
  <c r="AC906" i="18" s="1"/>
  <c r="CF48" i="67"/>
  <c r="AD563" i="18"/>
  <c r="AD578" i="18" s="1"/>
  <c r="AD501" i="18"/>
  <c r="AD575" i="18" s="1"/>
  <c r="AD532" i="18"/>
  <c r="AD577" i="18" s="1"/>
  <c r="AD470" i="18"/>
  <c r="AD574" i="18" s="1"/>
  <c r="AD408" i="18"/>
  <c r="AD571" i="18" s="1"/>
  <c r="AD439" i="18"/>
  <c r="AD572" i="18" s="1"/>
  <c r="AD588" i="18" s="1"/>
  <c r="AC579" i="18"/>
  <c r="AC896" i="18" s="1"/>
  <c r="AC908" i="18" s="1"/>
  <c r="Q14" i="24"/>
  <c r="F12" i="16" s="1"/>
  <c r="H55" i="61"/>
  <c r="E13" i="29"/>
  <c r="BH51" i="67"/>
  <c r="BH49" i="67"/>
  <c r="BH50" i="67"/>
  <c r="BG48" i="67"/>
  <c r="F88" i="61"/>
  <c r="I88" i="61"/>
  <c r="G88" i="61"/>
  <c r="E88" i="61"/>
  <c r="J88" i="61"/>
  <c r="D88" i="61"/>
  <c r="H88" i="61"/>
  <c r="K88" i="61"/>
  <c r="D12" i="29"/>
  <c r="D25" i="29"/>
  <c r="D97" i="61"/>
  <c r="E97" i="61"/>
  <c r="K97" i="61"/>
  <c r="F97" i="61"/>
  <c r="I97" i="61"/>
  <c r="G97" i="61"/>
  <c r="J97" i="61"/>
  <c r="H97" i="61"/>
  <c r="F89" i="61"/>
  <c r="I89" i="61"/>
  <c r="G89" i="61"/>
  <c r="J89" i="61"/>
  <c r="E89" i="61"/>
  <c r="H89" i="61"/>
  <c r="D89" i="61"/>
  <c r="K89" i="61"/>
  <c r="E98" i="61"/>
  <c r="H98" i="61"/>
  <c r="D98" i="61"/>
  <c r="F98" i="61"/>
  <c r="G98" i="61"/>
  <c r="K98" i="61"/>
  <c r="J98" i="61"/>
  <c r="I98" i="61"/>
  <c r="E95" i="61"/>
  <c r="F95" i="61"/>
  <c r="K95" i="61"/>
  <c r="D95" i="61"/>
  <c r="J95" i="61"/>
  <c r="I95" i="61"/>
  <c r="G95" i="61"/>
  <c r="H95" i="61"/>
  <c r="C10" i="29"/>
  <c r="C23" i="29"/>
  <c r="D94" i="61"/>
  <c r="I94" i="61"/>
  <c r="F94" i="61"/>
  <c r="H94" i="61"/>
  <c r="E94" i="61"/>
  <c r="J94" i="61"/>
  <c r="K94" i="61"/>
  <c r="G94" i="61"/>
  <c r="D11" i="29"/>
  <c r="D24" i="29"/>
  <c r="K96" i="61"/>
  <c r="E96" i="61"/>
  <c r="I96" i="61"/>
  <c r="J96" i="61"/>
  <c r="G96" i="61"/>
  <c r="D96" i="61"/>
  <c r="H96" i="61"/>
  <c r="F96" i="61"/>
  <c r="K90" i="61"/>
  <c r="G90" i="61"/>
  <c r="J90" i="61"/>
  <c r="F90" i="61"/>
  <c r="H90" i="61"/>
  <c r="I90" i="61"/>
  <c r="D90" i="61"/>
  <c r="E90" i="61"/>
  <c r="D8" i="29"/>
  <c r="F55" i="61"/>
  <c r="D21" i="29"/>
  <c r="F61" i="61"/>
  <c r="E14" i="29"/>
  <c r="C11" i="29"/>
  <c r="C24" i="29"/>
  <c r="E61" i="61"/>
  <c r="E55" i="61"/>
  <c r="E99" i="61"/>
  <c r="G99" i="61"/>
  <c r="K99" i="61"/>
  <c r="F99" i="61"/>
  <c r="D99" i="61"/>
  <c r="J99" i="61"/>
  <c r="H99" i="61"/>
  <c r="I99" i="61"/>
  <c r="G61" i="61"/>
  <c r="G55" i="61"/>
  <c r="E15" i="29"/>
  <c r="C25" i="29"/>
  <c r="C12" i="29"/>
  <c r="C9" i="29"/>
  <c r="C22" i="29"/>
  <c r="D10" i="29"/>
  <c r="D23" i="29"/>
  <c r="D55" i="61"/>
  <c r="D61" i="61"/>
  <c r="D22" i="29"/>
  <c r="D9" i="29"/>
  <c r="C8" i="29"/>
  <c r="C21" i="29"/>
  <c r="C55" i="61"/>
  <c r="C61" i="61"/>
  <c r="E100" i="61"/>
  <c r="J100" i="61"/>
  <c r="F100" i="61"/>
  <c r="G100" i="61"/>
  <c r="H100" i="61"/>
  <c r="I100" i="61"/>
  <c r="D100" i="61"/>
  <c r="K100" i="61"/>
  <c r="J84" i="61"/>
  <c r="K84" i="61"/>
  <c r="E84" i="61"/>
  <c r="F84" i="61"/>
  <c r="G84" i="61"/>
  <c r="H84" i="61"/>
  <c r="I84" i="61"/>
  <c r="G91" i="61"/>
  <c r="F91" i="61"/>
  <c r="I91" i="61"/>
  <c r="D91" i="61"/>
  <c r="J91" i="61"/>
  <c r="H91" i="61"/>
  <c r="K91" i="61"/>
  <c r="E91" i="61"/>
  <c r="F101" i="61"/>
  <c r="J101" i="61"/>
  <c r="G101" i="61"/>
  <c r="H101" i="61"/>
  <c r="K101" i="61"/>
  <c r="I101" i="61"/>
  <c r="E101" i="61"/>
  <c r="D101" i="61"/>
  <c r="E92" i="61"/>
  <c r="F92" i="61"/>
  <c r="G92" i="61"/>
  <c r="H92" i="61"/>
  <c r="K92" i="61"/>
  <c r="I92" i="61"/>
  <c r="J92" i="61"/>
  <c r="D92" i="61"/>
  <c r="H61" i="61"/>
  <c r="I61" i="61"/>
  <c r="I55" i="61"/>
  <c r="H19" i="61"/>
  <c r="I19" i="61"/>
  <c r="G87" i="61"/>
  <c r="H86" i="61"/>
  <c r="J18" i="61"/>
  <c r="J17" i="61"/>
  <c r="J8" i="61"/>
  <c r="AF485" i="18" l="1"/>
  <c r="AF547" i="18"/>
  <c r="AF392" i="18"/>
  <c r="AF516" i="18"/>
  <c r="AF423" i="18"/>
  <c r="AF454" i="18"/>
  <c r="AF361" i="18"/>
  <c r="AF330" i="18"/>
  <c r="AF518" i="18"/>
  <c r="AF487" i="18"/>
  <c r="AF425" i="18"/>
  <c r="AF549" i="18"/>
  <c r="AF456" i="18"/>
  <c r="AF394" i="18"/>
  <c r="AF363" i="18"/>
  <c r="AF332" i="18"/>
  <c r="AE515" i="18"/>
  <c r="AE546" i="18"/>
  <c r="AE391" i="18"/>
  <c r="AE422" i="18"/>
  <c r="AE484" i="18"/>
  <c r="AE501" i="18" s="1"/>
  <c r="AE575" i="18" s="1"/>
  <c r="AE329" i="18"/>
  <c r="AE346" i="18" s="1"/>
  <c r="AE568" i="18" s="1"/>
  <c r="AE360" i="18"/>
  <c r="AE377" i="18" s="1"/>
  <c r="AE569" i="18" s="1"/>
  <c r="AE453" i="18"/>
  <c r="AE470" i="18" s="1"/>
  <c r="AE574" i="18" s="1"/>
  <c r="AF486" i="18"/>
  <c r="AF517" i="18"/>
  <c r="AF548" i="18"/>
  <c r="AF424" i="18"/>
  <c r="AF455" i="18"/>
  <c r="AF393" i="18"/>
  <c r="AF362" i="18"/>
  <c r="AF331" i="18"/>
  <c r="V75" i="61"/>
  <c r="Z79" i="61"/>
  <c r="F77" i="61"/>
  <c r="U76" i="61"/>
  <c r="H79" i="61"/>
  <c r="N79" i="61"/>
  <c r="W75" i="61"/>
  <c r="E79" i="61"/>
  <c r="E78" i="61"/>
  <c r="I76" i="61"/>
  <c r="U79" i="61"/>
  <c r="O77" i="61"/>
  <c r="P77" i="61"/>
  <c r="V79" i="61"/>
  <c r="Q75" i="61"/>
  <c r="G79" i="61"/>
  <c r="L79" i="61"/>
  <c r="S79" i="61"/>
  <c r="AE79" i="61"/>
  <c r="X79" i="61"/>
  <c r="I78" i="61"/>
  <c r="I79" i="61"/>
  <c r="D104" i="61"/>
  <c r="H77" i="61"/>
  <c r="AB107" i="61"/>
  <c r="L104" i="61"/>
  <c r="AD78" i="61"/>
  <c r="AB78" i="61"/>
  <c r="M79" i="61"/>
  <c r="AA79" i="61"/>
  <c r="Z77" i="61"/>
  <c r="V107" i="61"/>
  <c r="Q79" i="61"/>
  <c r="J75" i="61"/>
  <c r="P79" i="61"/>
  <c r="AD76" i="61"/>
  <c r="AE77" i="61"/>
  <c r="K79" i="61"/>
  <c r="AB108" i="61"/>
  <c r="AB110" i="61"/>
  <c r="Y75" i="61"/>
  <c r="AE110" i="61"/>
  <c r="J59" i="61"/>
  <c r="D12" i="48"/>
  <c r="P109" i="61"/>
  <c r="G77" i="61"/>
  <c r="X75" i="61"/>
  <c r="K75" i="61"/>
  <c r="I77" i="61"/>
  <c r="AD77" i="61"/>
  <c r="AC79" i="61"/>
  <c r="U77" i="61"/>
  <c r="N77" i="61"/>
  <c r="G78" i="61"/>
  <c r="AB75" i="61"/>
  <c r="M77" i="61"/>
  <c r="H78" i="61"/>
  <c r="O79" i="61"/>
  <c r="J60" i="61"/>
  <c r="D13" i="48"/>
  <c r="AD106" i="61"/>
  <c r="D75" i="61"/>
  <c r="AA75" i="61"/>
  <c r="H75" i="61"/>
  <c r="L77" i="61"/>
  <c r="P78" i="61"/>
  <c r="J50" i="61"/>
  <c r="D4" i="48"/>
  <c r="Y105" i="61"/>
  <c r="W106" i="61"/>
  <c r="X106" i="61"/>
  <c r="Z103" i="61"/>
  <c r="Z107" i="61"/>
  <c r="W108" i="61"/>
  <c r="V108" i="61"/>
  <c r="H102" i="61"/>
  <c r="G102" i="61"/>
  <c r="D103" i="61"/>
  <c r="E102" i="61"/>
  <c r="U110" i="61"/>
  <c r="P107" i="61"/>
  <c r="J102" i="61"/>
  <c r="S102" i="61"/>
  <c r="X109" i="61"/>
  <c r="AA106" i="61"/>
  <c r="L108" i="61"/>
  <c r="I102" i="61"/>
  <c r="F102" i="61"/>
  <c r="S105" i="61"/>
  <c r="AD103" i="61"/>
  <c r="T108" i="61"/>
  <c r="K102" i="61"/>
  <c r="N107" i="61"/>
  <c r="Y109" i="61"/>
  <c r="R106" i="61"/>
  <c r="Z104" i="61"/>
  <c r="I326" i="48"/>
  <c r="AE103" i="61"/>
  <c r="U107" i="61"/>
  <c r="V109" i="61"/>
  <c r="AB103" i="61"/>
  <c r="Y110" i="61"/>
  <c r="Z109" i="61"/>
  <c r="X103" i="61"/>
  <c r="AA108" i="61"/>
  <c r="M108" i="61"/>
  <c r="X110" i="61"/>
  <c r="AC103" i="61"/>
  <c r="U102" i="61"/>
  <c r="E75" i="61"/>
  <c r="Q76" i="61"/>
  <c r="Z108" i="61"/>
  <c r="O108" i="61"/>
  <c r="M104" i="61"/>
  <c r="X104" i="61"/>
  <c r="Q110" i="61"/>
  <c r="AE102" i="61"/>
  <c r="AC107" i="61"/>
  <c r="AA110" i="61"/>
  <c r="R109" i="61"/>
  <c r="M106" i="61"/>
  <c r="W77" i="61"/>
  <c r="S77" i="61"/>
  <c r="Y77" i="61"/>
  <c r="E77" i="61"/>
  <c r="U75" i="61"/>
  <c r="AE75" i="61"/>
  <c r="Z78" i="61"/>
  <c r="K78" i="61"/>
  <c r="R78" i="61"/>
  <c r="AC78" i="61"/>
  <c r="F76" i="61"/>
  <c r="M76" i="61"/>
  <c r="AE76" i="61"/>
  <c r="R79" i="61"/>
  <c r="X105" i="61"/>
  <c r="P102" i="61"/>
  <c r="O78" i="61"/>
  <c r="U78" i="61"/>
  <c r="AC76" i="61"/>
  <c r="AA76" i="61"/>
  <c r="V76" i="61"/>
  <c r="Y104" i="61"/>
  <c r="AE107" i="61"/>
  <c r="AE108" i="61"/>
  <c r="Y108" i="61"/>
  <c r="Q105" i="61"/>
  <c r="U104" i="61"/>
  <c r="O110" i="61"/>
  <c r="X102" i="61"/>
  <c r="AC102" i="61"/>
  <c r="L107" i="61"/>
  <c r="Q103" i="61"/>
  <c r="AE109" i="61"/>
  <c r="V77" i="61"/>
  <c r="AB77" i="61"/>
  <c r="D77" i="61"/>
  <c r="R77" i="61"/>
  <c r="N75" i="61"/>
  <c r="AD75" i="61"/>
  <c r="O75" i="61"/>
  <c r="D78" i="61"/>
  <c r="T78" i="61"/>
  <c r="AA78" i="61"/>
  <c r="M78" i="61"/>
  <c r="S76" i="61"/>
  <c r="P76" i="61"/>
  <c r="L76" i="61"/>
  <c r="O76" i="61"/>
  <c r="Y79" i="61"/>
  <c r="O104" i="61"/>
  <c r="M105" i="61"/>
  <c r="P105" i="61"/>
  <c r="W104" i="61"/>
  <c r="S104" i="61"/>
  <c r="L102" i="61"/>
  <c r="O107" i="61"/>
  <c r="M103" i="61"/>
  <c r="L109" i="61"/>
  <c r="O106" i="61"/>
  <c r="K77" i="61"/>
  <c r="Q77" i="61"/>
  <c r="X77" i="61"/>
  <c r="J77" i="61"/>
  <c r="F75" i="61"/>
  <c r="S75" i="61"/>
  <c r="G75" i="61"/>
  <c r="Y78" i="61"/>
  <c r="J78" i="61"/>
  <c r="E76" i="61"/>
  <c r="G76" i="61"/>
  <c r="J79" i="61"/>
  <c r="X76" i="61"/>
  <c r="AE105" i="61"/>
  <c r="AA104" i="61"/>
  <c r="N110" i="61"/>
  <c r="Z102" i="61"/>
  <c r="P103" i="61"/>
  <c r="I75" i="61"/>
  <c r="J76" i="61"/>
  <c r="N105" i="61"/>
  <c r="S110" i="61"/>
  <c r="Q102" i="61"/>
  <c r="S109" i="61"/>
  <c r="N78" i="61"/>
  <c r="F78" i="61"/>
  <c r="Y76" i="61"/>
  <c r="K76" i="61"/>
  <c r="AB79" i="61"/>
  <c r="D79" i="61"/>
  <c r="D105" i="61"/>
  <c r="P110" i="61"/>
  <c r="T77" i="61"/>
  <c r="AA77" i="61"/>
  <c r="AC77" i="61"/>
  <c r="Z75" i="61"/>
  <c r="M75" i="61"/>
  <c r="AC75" i="61"/>
  <c r="T75" i="61"/>
  <c r="W78" i="61"/>
  <c r="S78" i="61"/>
  <c r="X78" i="61"/>
  <c r="T76" i="61"/>
  <c r="N76" i="61"/>
  <c r="Z76" i="61"/>
  <c r="W79" i="61"/>
  <c r="T79" i="61"/>
  <c r="P75" i="61"/>
  <c r="L75" i="61"/>
  <c r="L78" i="61"/>
  <c r="AB76" i="61"/>
  <c r="D76" i="61"/>
  <c r="R76" i="61"/>
  <c r="F79" i="61"/>
  <c r="E326" i="48"/>
  <c r="AE104" i="61"/>
  <c r="U106" i="61"/>
  <c r="AC108" i="61"/>
  <c r="O102" i="61"/>
  <c r="R103" i="61"/>
  <c r="AB105" i="61"/>
  <c r="AC104" i="61"/>
  <c r="W107" i="61"/>
  <c r="T103" i="61"/>
  <c r="AD109" i="61"/>
  <c r="AC109" i="61"/>
  <c r="P106" i="61"/>
  <c r="Z106" i="61"/>
  <c r="L106" i="61"/>
  <c r="M110" i="61"/>
  <c r="AA105" i="61"/>
  <c r="R104" i="61"/>
  <c r="Q109" i="61"/>
  <c r="AC105" i="61"/>
  <c r="X107" i="61"/>
  <c r="L103" i="61"/>
  <c r="U109" i="61"/>
  <c r="AB106" i="61"/>
  <c r="W110" i="61"/>
  <c r="AA109" i="61"/>
  <c r="T105" i="61"/>
  <c r="W103" i="61"/>
  <c r="U108" i="61"/>
  <c r="X108" i="61"/>
  <c r="W105" i="61"/>
  <c r="U105" i="61"/>
  <c r="O105" i="61"/>
  <c r="T104" i="61"/>
  <c r="Q104" i="61"/>
  <c r="Z110" i="61"/>
  <c r="V110" i="61"/>
  <c r="W102" i="61"/>
  <c r="AB102" i="61"/>
  <c r="T107" i="61"/>
  <c r="O103" i="61"/>
  <c r="O109" i="61"/>
  <c r="T109" i="61"/>
  <c r="AE106" i="61"/>
  <c r="N106" i="61"/>
  <c r="S107" i="61"/>
  <c r="N108" i="61"/>
  <c r="R102" i="61"/>
  <c r="U103" i="61"/>
  <c r="M102" i="61"/>
  <c r="AD108" i="61"/>
  <c r="AD102" i="61"/>
  <c r="Y103" i="61"/>
  <c r="T106" i="61"/>
  <c r="AA107" i="61"/>
  <c r="Q108" i="61"/>
  <c r="R108" i="61"/>
  <c r="AD105" i="61"/>
  <c r="AB104" i="61"/>
  <c r="T110" i="61"/>
  <c r="AC110" i="61"/>
  <c r="N102" i="61"/>
  <c r="T102" i="61"/>
  <c r="S108" i="61"/>
  <c r="R107" i="61"/>
  <c r="AD107" i="61"/>
  <c r="AA103" i="61"/>
  <c r="N109" i="61"/>
  <c r="W109" i="61"/>
  <c r="G326" i="48"/>
  <c r="S106" i="61"/>
  <c r="Y106" i="61"/>
  <c r="AC106" i="61"/>
  <c r="N104" i="61"/>
  <c r="Q106" i="61"/>
  <c r="R105" i="61"/>
  <c r="AD104" i="61"/>
  <c r="L110" i="61"/>
  <c r="AA102" i="61"/>
  <c r="V105" i="61"/>
  <c r="V103" i="61"/>
  <c r="P108" i="61"/>
  <c r="Z105" i="61"/>
  <c r="V104" i="61"/>
  <c r="P104" i="61"/>
  <c r="R110" i="61"/>
  <c r="AD110" i="61"/>
  <c r="V102" i="61"/>
  <c r="Y102" i="61"/>
  <c r="Y107" i="61"/>
  <c r="M107" i="61"/>
  <c r="Q107" i="61"/>
  <c r="N103" i="61"/>
  <c r="S103" i="61"/>
  <c r="M109" i="61"/>
  <c r="AB109" i="61"/>
  <c r="V106" i="61"/>
  <c r="AD576" i="18"/>
  <c r="AD895" i="18" s="1"/>
  <c r="AD907" i="18" s="1"/>
  <c r="AD579" i="18"/>
  <c r="AD896" i="18" s="1"/>
  <c r="AD908" i="18" s="1"/>
  <c r="AD573" i="18"/>
  <c r="AD894" i="18" s="1"/>
  <c r="AD906" i="18" s="1"/>
  <c r="AD570" i="18"/>
  <c r="AD893" i="18" s="1"/>
  <c r="AD905" i="18" s="1"/>
  <c r="I107" i="61"/>
  <c r="CG48" i="67"/>
  <c r="AE532" i="18"/>
  <c r="AE577" i="18" s="1"/>
  <c r="AE439" i="18"/>
  <c r="AE572" i="18" s="1"/>
  <c r="AE588" i="18" s="1"/>
  <c r="AE408" i="18"/>
  <c r="AE571" i="18" s="1"/>
  <c r="AE563" i="18"/>
  <c r="AE578" i="18" s="1"/>
  <c r="CH49" i="67"/>
  <c r="CH51" i="67"/>
  <c r="CH50" i="67"/>
  <c r="G105" i="61"/>
  <c r="E110" i="61"/>
  <c r="G108" i="61"/>
  <c r="J108" i="61"/>
  <c r="E23" i="29"/>
  <c r="H108" i="61"/>
  <c r="E10" i="29"/>
  <c r="K108" i="61"/>
  <c r="F108" i="61"/>
  <c r="F110" i="61"/>
  <c r="E21" i="29"/>
  <c r="BI50" i="67"/>
  <c r="BI49" i="67"/>
  <c r="BI51" i="67"/>
  <c r="BH48" i="67"/>
  <c r="H104" i="61"/>
  <c r="E24" i="29"/>
  <c r="K110" i="61"/>
  <c r="E108" i="61"/>
  <c r="E107" i="61"/>
  <c r="H110" i="61"/>
  <c r="E12" i="29"/>
  <c r="J107" i="61"/>
  <c r="G110" i="61"/>
  <c r="E25" i="29"/>
  <c r="F107" i="61"/>
  <c r="E22" i="29"/>
  <c r="E8" i="29"/>
  <c r="H107" i="61"/>
  <c r="E9" i="29"/>
  <c r="E11" i="29"/>
  <c r="I108" i="61"/>
  <c r="G107" i="61"/>
  <c r="K106" i="61"/>
  <c r="J109" i="61"/>
  <c r="C26" i="29"/>
  <c r="D108" i="61"/>
  <c r="E109" i="61"/>
  <c r="H106" i="61"/>
  <c r="I109" i="61"/>
  <c r="D106" i="61"/>
  <c r="J106" i="61"/>
  <c r="G109" i="61"/>
  <c r="E106" i="61"/>
  <c r="H109" i="61"/>
  <c r="F109" i="61"/>
  <c r="G106" i="61"/>
  <c r="K109" i="61"/>
  <c r="K107" i="61"/>
  <c r="I106" i="61"/>
  <c r="J110" i="61"/>
  <c r="I110" i="61"/>
  <c r="D107" i="61"/>
  <c r="F106" i="61"/>
  <c r="D110" i="61"/>
  <c r="D109" i="61"/>
  <c r="D102" i="61"/>
  <c r="J13" i="61"/>
  <c r="D9" i="48" s="1"/>
  <c r="J19" i="61"/>
  <c r="E87" i="61"/>
  <c r="F87" i="61"/>
  <c r="F105" i="61" s="1"/>
  <c r="K87" i="61"/>
  <c r="K105" i="61" s="1"/>
  <c r="I87" i="61"/>
  <c r="I105" i="61" s="1"/>
  <c r="D26" i="29"/>
  <c r="D17" i="29"/>
  <c r="H87" i="61"/>
  <c r="H105" i="61" s="1"/>
  <c r="J87" i="61"/>
  <c r="J105" i="61" s="1"/>
  <c r="E178" i="48" a="1"/>
  <c r="E178" i="48" s="1"/>
  <c r="G86" i="61"/>
  <c r="G104" i="61" s="1"/>
  <c r="F86" i="61"/>
  <c r="F104" i="61" s="1"/>
  <c r="E173" i="48" a="1"/>
  <c r="E173" i="48" s="1"/>
  <c r="E86" i="61"/>
  <c r="K86" i="61"/>
  <c r="K104" i="61" s="1"/>
  <c r="J86" i="61"/>
  <c r="J104" i="61" s="1"/>
  <c r="I86" i="61"/>
  <c r="I104" i="61" s="1"/>
  <c r="J85" i="61"/>
  <c r="J103" i="61" s="1"/>
  <c r="K85" i="61"/>
  <c r="K103" i="61" s="1"/>
  <c r="F85" i="61"/>
  <c r="F103" i="61" s="1"/>
  <c r="E85" i="61"/>
  <c r="G85" i="61"/>
  <c r="G103" i="61" s="1"/>
  <c r="H85" i="61"/>
  <c r="H103" i="61" s="1"/>
  <c r="I85" i="61"/>
  <c r="I103" i="61" s="1"/>
  <c r="C17" i="29"/>
  <c r="AG517" i="18" l="1"/>
  <c r="AG486" i="18"/>
  <c r="AG424" i="18"/>
  <c r="AG455" i="18"/>
  <c r="AG548" i="18"/>
  <c r="AG331" i="18"/>
  <c r="AG393" i="18"/>
  <c r="AG362" i="18"/>
  <c r="AF484" i="18"/>
  <c r="AF515" i="18"/>
  <c r="AF391" i="18"/>
  <c r="AF546" i="18"/>
  <c r="AF563" i="18" s="1"/>
  <c r="AF578" i="18" s="1"/>
  <c r="AF422" i="18"/>
  <c r="AF439" i="18" s="1"/>
  <c r="AF572" i="18" s="1"/>
  <c r="AF588" i="18" s="1"/>
  <c r="AF453" i="18"/>
  <c r="AF470" i="18" s="1"/>
  <c r="AF574" i="18" s="1"/>
  <c r="AF329" i="18"/>
  <c r="AF346" i="18" s="1"/>
  <c r="AF568" i="18" s="1"/>
  <c r="AF360" i="18"/>
  <c r="AF377" i="18" s="1"/>
  <c r="AF569" i="18" s="1"/>
  <c r="AG518" i="18"/>
  <c r="AG549" i="18"/>
  <c r="AG456" i="18"/>
  <c r="AG487" i="18"/>
  <c r="AG394" i="18"/>
  <c r="AG425" i="18"/>
  <c r="AG363" i="18"/>
  <c r="AG332" i="18"/>
  <c r="AG485" i="18"/>
  <c r="AG516" i="18"/>
  <c r="AG547" i="18"/>
  <c r="AG423" i="18"/>
  <c r="AG454" i="18"/>
  <c r="AG330" i="18"/>
  <c r="AG361" i="18"/>
  <c r="AG392" i="18"/>
  <c r="AD80" i="61"/>
  <c r="AF84" i="40" s="1" a="1"/>
  <c r="AF84" i="40" s="1"/>
  <c r="J61" i="61"/>
  <c r="H80" i="61"/>
  <c r="J84" i="40" s="1" a="1"/>
  <c r="J84" i="40" s="1"/>
  <c r="J55" i="61"/>
  <c r="D14" i="48"/>
  <c r="S111" i="61"/>
  <c r="U97" i="40" s="1" a="1"/>
  <c r="U97" i="40" s="1"/>
  <c r="K80" i="61"/>
  <c r="M84" i="40" s="1" a="1"/>
  <c r="M84" i="40" s="1"/>
  <c r="W80" i="61"/>
  <c r="Y84" i="40" s="1" a="1"/>
  <c r="Y84" i="40" s="1"/>
  <c r="I80" i="61"/>
  <c r="K84" i="40" s="1" a="1"/>
  <c r="K84" i="40" s="1"/>
  <c r="U111" i="61"/>
  <c r="W97" i="40" s="1" a="1"/>
  <c r="W97" i="40" s="1"/>
  <c r="J80" i="61"/>
  <c r="L84" i="40" s="1" a="1"/>
  <c r="L84" i="40" s="1"/>
  <c r="AC80" i="61"/>
  <c r="AE84" i="40" s="1" a="1"/>
  <c r="AE84" i="40" s="1"/>
  <c r="Z111" i="61"/>
  <c r="AB97" i="40" s="1" a="1"/>
  <c r="AB97" i="40" s="1"/>
  <c r="P111" i="61"/>
  <c r="R97" i="40" s="1" a="1"/>
  <c r="R97" i="40" s="1"/>
  <c r="R80" i="61"/>
  <c r="T84" i="40" s="1" a="1"/>
  <c r="T84" i="40" s="1"/>
  <c r="L80" i="61"/>
  <c r="N84" i="40" s="1" a="1"/>
  <c r="N84" i="40" s="1"/>
  <c r="E80" i="61"/>
  <c r="P80" i="61"/>
  <c r="R84" i="40" s="1" a="1"/>
  <c r="R84" i="40" s="1"/>
  <c r="Q80" i="61"/>
  <c r="S84" i="40" s="1" a="1"/>
  <c r="S84" i="40" s="1"/>
  <c r="AB80" i="61"/>
  <c r="AD84" i="40" s="1" a="1"/>
  <c r="AD84" i="40" s="1"/>
  <c r="X80" i="61"/>
  <c r="Z84" i="40" s="1" a="1"/>
  <c r="Z84" i="40" s="1"/>
  <c r="V80" i="61"/>
  <c r="X84" i="40" s="1" a="1"/>
  <c r="X84" i="40" s="1"/>
  <c r="Y80" i="61"/>
  <c r="AA84" i="40" s="1" a="1"/>
  <c r="AA84" i="40" s="1"/>
  <c r="N111" i="61"/>
  <c r="P97" i="40" s="1" a="1"/>
  <c r="P97" i="40" s="1"/>
  <c r="AA80" i="61"/>
  <c r="AC84" i="40" s="1" a="1"/>
  <c r="AC84" i="40" s="1"/>
  <c r="AC111" i="61"/>
  <c r="AE97" i="40" s="1" a="1"/>
  <c r="AE97" i="40" s="1"/>
  <c r="U80" i="61"/>
  <c r="W84" i="40" s="1" a="1"/>
  <c r="W84" i="40" s="1"/>
  <c r="Q111" i="61"/>
  <c r="S97" i="40" s="1" a="1"/>
  <c r="S97" i="40" s="1"/>
  <c r="D80" i="61"/>
  <c r="F84" i="40" s="1" a="1"/>
  <c r="F84" i="40" s="1"/>
  <c r="S80" i="61"/>
  <c r="U84" i="40" s="1" a="1"/>
  <c r="U84" i="40" s="1"/>
  <c r="AE111" i="61"/>
  <c r="AG97" i="40" s="1" a="1"/>
  <c r="AG97" i="40" s="1"/>
  <c r="O80" i="61"/>
  <c r="Q84" i="40" s="1" a="1"/>
  <c r="Q84" i="40" s="1"/>
  <c r="AE80" i="61"/>
  <c r="AG84" i="40" s="1" a="1"/>
  <c r="AG84" i="40" s="1"/>
  <c r="M80" i="61"/>
  <c r="O84" i="40" s="1" a="1"/>
  <c r="O84" i="40" s="1"/>
  <c r="Z80" i="61"/>
  <c r="AB84" i="40" s="1" a="1"/>
  <c r="AB84" i="40" s="1"/>
  <c r="N80" i="61"/>
  <c r="P84" i="40" s="1" a="1"/>
  <c r="P84" i="40" s="1"/>
  <c r="G80" i="61"/>
  <c r="I84" i="40" s="1" a="1"/>
  <c r="I84" i="40" s="1"/>
  <c r="F80" i="61"/>
  <c r="H84" i="40" s="1" a="1"/>
  <c r="H84" i="40" s="1"/>
  <c r="T80" i="61"/>
  <c r="V84" i="40" s="1" a="1"/>
  <c r="V84" i="40" s="1"/>
  <c r="W111" i="61"/>
  <c r="Y97" i="40" s="1" a="1"/>
  <c r="Y97" i="40" s="1"/>
  <c r="L111" i="61"/>
  <c r="N97" i="40" s="1" a="1"/>
  <c r="N97" i="40" s="1"/>
  <c r="X111" i="61"/>
  <c r="Z97" i="40" s="1" a="1"/>
  <c r="Z97" i="40" s="1"/>
  <c r="O111" i="61"/>
  <c r="Q97" i="40" s="1" a="1"/>
  <c r="Q97" i="40" s="1"/>
  <c r="AA111" i="61"/>
  <c r="AC97" i="40" s="1" a="1"/>
  <c r="AC97" i="40" s="1"/>
  <c r="Y111" i="61"/>
  <c r="AA97" i="40" s="1" a="1"/>
  <c r="AA97" i="40" s="1"/>
  <c r="R111" i="61"/>
  <c r="T97" i="40" s="1" a="1"/>
  <c r="T97" i="40" s="1"/>
  <c r="M111" i="61"/>
  <c r="O97" i="40" s="1" a="1"/>
  <c r="O97" i="40" s="1"/>
  <c r="V111" i="61"/>
  <c r="X97" i="40" s="1" a="1"/>
  <c r="X97" i="40" s="1"/>
  <c r="AD111" i="61"/>
  <c r="AF97" i="40" s="1" a="1"/>
  <c r="AF97" i="40" s="1"/>
  <c r="T111" i="61"/>
  <c r="V97" i="40" s="1" a="1"/>
  <c r="V97" i="40" s="1"/>
  <c r="AB111" i="61"/>
  <c r="AD97" i="40" s="1" a="1"/>
  <c r="AD97" i="40" s="1"/>
  <c r="AE576" i="18"/>
  <c r="AE895" i="18" s="1"/>
  <c r="AE907" i="18" s="1"/>
  <c r="AE573" i="18"/>
  <c r="AE894" i="18" s="1"/>
  <c r="AE906" i="18" s="1"/>
  <c r="CI51" i="67"/>
  <c r="AE579" i="18"/>
  <c r="AE896" i="18" s="1"/>
  <c r="AE908" i="18" s="1"/>
  <c r="CI50" i="67"/>
  <c r="AE570" i="18"/>
  <c r="AE893" i="18" s="1"/>
  <c r="AE905" i="18" s="1"/>
  <c r="CH48" i="67"/>
  <c r="AF501" i="18"/>
  <c r="AF575" i="18" s="1"/>
  <c r="AF532" i="18"/>
  <c r="AF577" i="18" s="1"/>
  <c r="AF408" i="18"/>
  <c r="AF571" i="18" s="1"/>
  <c r="CI49" i="67"/>
  <c r="BJ51" i="67"/>
  <c r="AJ51" i="67"/>
  <c r="AJ49" i="67"/>
  <c r="BJ49" i="67"/>
  <c r="BJ50" i="67"/>
  <c r="AJ50" i="67"/>
  <c r="BI48" i="67"/>
  <c r="E26" i="29"/>
  <c r="E105" i="61"/>
  <c r="E104" i="61"/>
  <c r="E103" i="61"/>
  <c r="E17" i="29"/>
  <c r="B13" i="18" a="1"/>
  <c r="B13" i="18" s="1"/>
  <c r="AH517" i="18" l="1"/>
  <c r="AH393" i="18"/>
  <c r="AH548" i="18"/>
  <c r="AH424" i="18"/>
  <c r="AH455" i="18"/>
  <c r="AH331" i="18"/>
  <c r="AH486" i="18"/>
  <c r="AH362" i="18"/>
  <c r="AH485" i="18"/>
  <c r="AH361" i="18"/>
  <c r="AH516" i="18"/>
  <c r="AH392" i="18"/>
  <c r="AH547" i="18"/>
  <c r="AH423" i="18"/>
  <c r="AH454" i="18"/>
  <c r="AH330" i="18"/>
  <c r="AH549" i="18"/>
  <c r="AH425" i="18"/>
  <c r="AH456" i="18"/>
  <c r="AH332" i="18"/>
  <c r="AH487" i="18"/>
  <c r="AH363" i="18"/>
  <c r="AH518" i="18"/>
  <c r="AH394" i="18"/>
  <c r="AG484" i="18"/>
  <c r="AG501" i="18" s="1"/>
  <c r="AG575" i="18" s="1"/>
  <c r="AG546" i="18"/>
  <c r="AG515" i="18"/>
  <c r="AG532" i="18" s="1"/>
  <c r="AG577" i="18" s="1"/>
  <c r="AG391" i="18"/>
  <c r="AG422" i="18"/>
  <c r="AG453" i="18"/>
  <c r="AG360" i="18"/>
  <c r="AG377" i="18" s="1"/>
  <c r="AG569" i="18" s="1"/>
  <c r="AG329" i="18"/>
  <c r="AG346" i="18" s="1"/>
  <c r="AG568" i="18" s="1"/>
  <c r="G84" i="40" a="1"/>
  <c r="G84" i="40" s="1"/>
  <c r="E18" i="48" a="1"/>
  <c r="I86" i="48"/>
  <c r="I87" i="48"/>
  <c r="I85" i="48"/>
  <c r="AF576" i="18"/>
  <c r="AF895" i="18" s="1"/>
  <c r="AF907" i="18" s="1"/>
  <c r="AF570" i="18"/>
  <c r="AF893" i="18" s="1"/>
  <c r="AF905" i="18" s="1"/>
  <c r="AF573" i="18"/>
  <c r="AF894" i="18" s="1"/>
  <c r="AF906" i="18" s="1"/>
  <c r="CJ49" i="67"/>
  <c r="I118" i="48" s="1"/>
  <c r="CJ51" i="67"/>
  <c r="I120" i="48" s="1"/>
  <c r="CJ50" i="67"/>
  <c r="I119" i="48" s="1"/>
  <c r="AF579" i="18"/>
  <c r="AF896" i="18" s="1"/>
  <c r="AF908" i="18" s="1"/>
  <c r="CI48" i="67"/>
  <c r="AG439" i="18"/>
  <c r="AG572" i="18" s="1"/>
  <c r="AG588" i="18" s="1"/>
  <c r="AG470" i="18"/>
  <c r="AG574" i="18" s="1"/>
  <c r="AG408" i="18"/>
  <c r="AG571" i="18" s="1"/>
  <c r="AG563" i="18"/>
  <c r="AG578" i="18" s="1"/>
  <c r="C909" i="18" a="1"/>
  <c r="C909" i="18" s="1"/>
  <c r="C905" i="18" a="1"/>
  <c r="C905" i="18" s="1"/>
  <c r="C925" i="18" a="1"/>
  <c r="C925" i="18" s="1"/>
  <c r="C937" i="18" a="1"/>
  <c r="C937" i="18" s="1"/>
  <c r="C933" i="18" a="1"/>
  <c r="C933" i="18" s="1"/>
  <c r="C921" i="18" a="1"/>
  <c r="C921" i="18" s="1"/>
  <c r="C917" i="18" a="1"/>
  <c r="C917" i="18" s="1"/>
  <c r="BJ48" i="67"/>
  <c r="AJ48" i="67"/>
  <c r="G111" i="61"/>
  <c r="I97" i="40" s="1" a="1"/>
  <c r="I97" i="40" s="1"/>
  <c r="E111" i="61"/>
  <c r="K111" i="61"/>
  <c r="M97" i="40" s="1" a="1"/>
  <c r="M97" i="40" s="1"/>
  <c r="J111" i="61"/>
  <c r="L97" i="40" s="1" a="1"/>
  <c r="L97" i="40" s="1"/>
  <c r="H111" i="61"/>
  <c r="J97" i="40" s="1" a="1"/>
  <c r="J97" i="40" s="1"/>
  <c r="I111" i="61"/>
  <c r="K97" i="40" s="1" a="1"/>
  <c r="K97" i="40" s="1"/>
  <c r="F111" i="61"/>
  <c r="H97" i="40" s="1" a="1"/>
  <c r="H97" i="40" s="1"/>
  <c r="D111" i="61"/>
  <c r="F97" i="40" s="1" a="1"/>
  <c r="F97" i="40" s="1"/>
  <c r="C897" i="18" a="1"/>
  <c r="C897" i="18" s="1"/>
  <c r="C893" i="18" a="1"/>
  <c r="C893" i="18" s="1"/>
  <c r="C889" i="18" a="1"/>
  <c r="C889" i="18" s="1"/>
  <c r="E18" i="48" l="1"/>
  <c r="D18" i="48" s="1"/>
  <c r="D19" i="48"/>
  <c r="D20" i="48"/>
  <c r="D21" i="48"/>
  <c r="D22" i="48"/>
  <c r="D24" i="48"/>
  <c r="D23" i="48"/>
  <c r="AH453" i="18"/>
  <c r="AH470" i="18" s="1"/>
  <c r="AH574" i="18" s="1"/>
  <c r="AH329" i="18"/>
  <c r="AH484" i="18"/>
  <c r="AH501" i="18" s="1"/>
  <c r="AH575" i="18" s="1"/>
  <c r="AH360" i="18"/>
  <c r="AH377" i="18" s="1"/>
  <c r="AH569" i="18" s="1"/>
  <c r="AH515" i="18"/>
  <c r="AH532" i="18" s="1"/>
  <c r="AH577" i="18" s="1"/>
  <c r="AH391" i="18"/>
  <c r="AH408" i="18" s="1"/>
  <c r="AH571" i="18" s="1"/>
  <c r="AH546" i="18"/>
  <c r="AH563" i="18" s="1"/>
  <c r="AH578" i="18" s="1"/>
  <c r="AH422" i="18"/>
  <c r="AH439" i="18" s="1"/>
  <c r="AH572" i="18" s="1"/>
  <c r="AH588" i="18" s="1"/>
  <c r="G97" i="40" a="1"/>
  <c r="G97" i="40" s="1"/>
  <c r="E97" i="40" s="1"/>
  <c r="K62" i="40" s="1"/>
  <c r="F349" i="48" s="1"/>
  <c r="G18" i="48" a="1"/>
  <c r="I84" i="48"/>
  <c r="E84" i="40"/>
  <c r="J62" i="40" s="1"/>
  <c r="D349" i="48" s="1"/>
  <c r="AG570" i="18"/>
  <c r="AG893" i="18" s="1"/>
  <c r="AG905" i="18" s="1"/>
  <c r="AG573" i="18"/>
  <c r="AG894" i="18" s="1"/>
  <c r="AG906" i="18" s="1"/>
  <c r="AG576" i="18"/>
  <c r="AG895" i="18" s="1"/>
  <c r="AG907" i="18" s="1"/>
  <c r="AG579" i="18"/>
  <c r="AG896" i="18" s="1"/>
  <c r="AG908" i="18" s="1"/>
  <c r="CJ48" i="67"/>
  <c r="I117" i="48" s="1"/>
  <c r="AH346" i="18"/>
  <c r="AH568" i="18" s="1"/>
  <c r="B8" i="40" a="1"/>
  <c r="B8" i="40" s="1"/>
  <c r="C126" i="40"/>
  <c r="C124" i="40"/>
  <c r="C122" i="40"/>
  <c r="C121" i="40"/>
  <c r="C118" i="40"/>
  <c r="C117" i="40"/>
  <c r="C116" i="40"/>
  <c r="F21" i="48" l="1"/>
  <c r="F20" i="48"/>
  <c r="F22" i="48"/>
  <c r="F23" i="48"/>
  <c r="F24" i="48"/>
  <c r="F19" i="48"/>
  <c r="G18" i="48"/>
  <c r="F18" i="48" s="1"/>
  <c r="AH570" i="18"/>
  <c r="AH893" i="18" s="1"/>
  <c r="F893" i="18" s="1"/>
  <c r="AH579" i="18"/>
  <c r="AH896" i="18" s="1"/>
  <c r="F896" i="18" s="1"/>
  <c r="AH576" i="18"/>
  <c r="AH895" i="18" s="1"/>
  <c r="F895" i="18" s="1"/>
  <c r="AH573" i="18"/>
  <c r="AH894" i="18" s="1"/>
  <c r="F894" i="18" s="1"/>
  <c r="E21" i="1"/>
  <c r="F15" i="72" s="1"/>
  <c r="H573" i="72" l="1"/>
  <c r="I575" i="72"/>
  <c r="I695" i="72" s="1"/>
  <c r="T575" i="72"/>
  <c r="T695" i="72" s="1"/>
  <c r="AC575" i="72"/>
  <c r="AC695" i="72" s="1"/>
  <c r="K576" i="72"/>
  <c r="K696" i="72" s="1"/>
  <c r="W576" i="72"/>
  <c r="W696" i="72" s="1"/>
  <c r="AG576" i="72"/>
  <c r="AG696" i="72" s="1"/>
  <c r="O577" i="72"/>
  <c r="O697" i="72" s="1"/>
  <c r="Y577" i="72"/>
  <c r="Y697" i="72" s="1"/>
  <c r="L578" i="72"/>
  <c r="L698" i="72" s="1"/>
  <c r="W578" i="72"/>
  <c r="W698" i="72" s="1"/>
  <c r="AG578" i="72"/>
  <c r="AG698" i="72" s="1"/>
  <c r="R579" i="72"/>
  <c r="R699" i="72" s="1"/>
  <c r="AC579" i="72"/>
  <c r="AC699" i="72" s="1"/>
  <c r="M580" i="72"/>
  <c r="M700" i="72" s="1"/>
  <c r="Y580" i="72"/>
  <c r="Y700" i="72" s="1"/>
  <c r="H552" i="72" a="1"/>
  <c r="H552" i="72" s="1"/>
  <c r="H672" i="72" s="1"/>
  <c r="W583" i="72"/>
  <c r="W703" i="72" s="1"/>
  <c r="K584" i="72"/>
  <c r="K704" i="72" s="1"/>
  <c r="AC584" i="72"/>
  <c r="AC704" i="72" s="1"/>
  <c r="Q588" i="72"/>
  <c r="Q708" i="72" s="1"/>
  <c r="AB559" i="72" a="1"/>
  <c r="AB559" i="72" s="1"/>
  <c r="AB679" i="72" s="1"/>
  <c r="AD590" i="72"/>
  <c r="AD710" i="72" s="1"/>
  <c r="AE591" i="72"/>
  <c r="AE711" i="72" s="1"/>
  <c r="P593" i="72"/>
  <c r="P713" i="72" s="1"/>
  <c r="R594" i="72"/>
  <c r="R714" i="72" s="1"/>
  <c r="Q573" i="72"/>
  <c r="Z543" i="72" a="1"/>
  <c r="Z543" i="72" s="1"/>
  <c r="I300" i="72" a="1"/>
  <c r="I300" i="72" s="1"/>
  <c r="I420" i="72" s="1"/>
  <c r="Q330" i="72"/>
  <c r="Q450" i="72" s="1"/>
  <c r="Y330" i="72"/>
  <c r="Y450" i="72" s="1"/>
  <c r="AG330" i="72"/>
  <c r="AG450" i="72" s="1"/>
  <c r="P331" i="72"/>
  <c r="P451" i="72" s="1"/>
  <c r="AC331" i="72"/>
  <c r="AC451" i="72" s="1"/>
  <c r="N332" i="72"/>
  <c r="N452" i="72" s="1"/>
  <c r="Z332" i="72"/>
  <c r="Z452" i="72" s="1"/>
  <c r="I303" i="72" a="1"/>
  <c r="I303" i="72" s="1"/>
  <c r="I423" i="72" s="1"/>
  <c r="R333" i="72"/>
  <c r="R453" i="72" s="1"/>
  <c r="AB333" i="72"/>
  <c r="AB453" i="72" s="1"/>
  <c r="M334" i="72"/>
  <c r="M454" i="72" s="1"/>
  <c r="W304" i="72" a="1"/>
  <c r="W304" i="72" s="1"/>
  <c r="W424" i="72" s="1"/>
  <c r="AG334" i="72"/>
  <c r="AG454" i="72" s="1"/>
  <c r="P335" i="72"/>
  <c r="P455" i="72" s="1"/>
  <c r="AA335" i="72"/>
  <c r="AA455" i="72" s="1"/>
  <c r="M338" i="72"/>
  <c r="M458" i="72" s="1"/>
  <c r="AC338" i="72"/>
  <c r="AC458" i="72" s="1"/>
  <c r="S339" i="72"/>
  <c r="S459" i="72" s="1"/>
  <c r="Q340" i="72"/>
  <c r="Q460" i="72" s="1"/>
  <c r="AD344" i="72"/>
  <c r="AD464" i="72" s="1"/>
  <c r="X345" i="72"/>
  <c r="X465" i="72" s="1"/>
  <c r="Z346" i="72"/>
  <c r="Z466" i="72" s="1"/>
  <c r="Z317" i="72" a="1"/>
  <c r="Z317" i="72" s="1"/>
  <c r="Z437" i="72" s="1"/>
  <c r="AB348" i="72"/>
  <c r="AB468" i="72" s="1"/>
  <c r="Y349" i="72"/>
  <c r="Y469" i="72" s="1"/>
  <c r="M298" i="72" a="1"/>
  <c r="M298" i="72" s="1"/>
  <c r="W328" i="72"/>
  <c r="AF328" i="72"/>
  <c r="P54" i="72" a="1"/>
  <c r="P54" i="72" s="1"/>
  <c r="P174" i="72" s="1"/>
  <c r="P85" i="72"/>
  <c r="P205" i="72" s="1"/>
  <c r="H86" i="72"/>
  <c r="H206" i="72" s="1"/>
  <c r="Y56" i="72" a="1"/>
  <c r="Y56" i="72" s="1"/>
  <c r="Y176" i="72" s="1"/>
  <c r="P57" i="72" a="1"/>
  <c r="P57" i="72" s="1"/>
  <c r="P177" i="72" s="1"/>
  <c r="H58" i="72" a="1"/>
  <c r="H58" i="72" s="1"/>
  <c r="H178" i="72" s="1"/>
  <c r="AA88" i="72"/>
  <c r="AA208" i="72" s="1"/>
  <c r="P89" i="72"/>
  <c r="P209" i="72" s="1"/>
  <c r="X89" i="72"/>
  <c r="X209" i="72" s="1"/>
  <c r="AF89" i="72"/>
  <c r="AF209" i="72" s="1"/>
  <c r="M91" i="72"/>
  <c r="M211" i="72" s="1"/>
  <c r="U91" i="72"/>
  <c r="U211" i="72" s="1"/>
  <c r="AC91" i="72"/>
  <c r="AC211" i="72" s="1"/>
  <c r="K92" i="72"/>
  <c r="K212" i="72" s="1"/>
  <c r="S92" i="72"/>
  <c r="S212" i="72" s="1"/>
  <c r="AA92" i="72"/>
  <c r="AA212" i="72" s="1"/>
  <c r="I93" i="72"/>
  <c r="I213" i="72" s="1"/>
  <c r="Q93" i="72"/>
  <c r="Q213" i="72" s="1"/>
  <c r="Y93" i="72"/>
  <c r="Y213" i="72" s="1"/>
  <c r="AG93" i="72"/>
  <c r="AG213" i="72" s="1"/>
  <c r="O98" i="72"/>
  <c r="O218" i="72" s="1"/>
  <c r="AA98" i="72"/>
  <c r="AA218" i="72" s="1"/>
  <c r="Q99" i="72"/>
  <c r="Q219" i="72" s="1"/>
  <c r="M70" i="72" a="1"/>
  <c r="M70" i="72" s="1"/>
  <c r="M190" i="72" s="1"/>
  <c r="AF70" i="72" a="1"/>
  <c r="AF70" i="72" s="1"/>
  <c r="AF190" i="72" s="1"/>
  <c r="Z101" i="72"/>
  <c r="Z221" i="72" s="1"/>
  <c r="O102" i="72"/>
  <c r="O222" i="72" s="1"/>
  <c r="AC102" i="72"/>
  <c r="AC222" i="72" s="1"/>
  <c r="J575" i="72"/>
  <c r="J695" i="72" s="1"/>
  <c r="U575" i="72"/>
  <c r="U695" i="72" s="1"/>
  <c r="AD575" i="72"/>
  <c r="AD695" i="72" s="1"/>
  <c r="L576" i="72"/>
  <c r="L696" i="72" s="1"/>
  <c r="X576" i="72"/>
  <c r="X696" i="72" s="1"/>
  <c r="H577" i="72"/>
  <c r="H697" i="72" s="1"/>
  <c r="P577" i="72"/>
  <c r="P697" i="72" s="1"/>
  <c r="Z577" i="72"/>
  <c r="Z697" i="72" s="1"/>
  <c r="M578" i="72"/>
  <c r="M698" i="72" s="1"/>
  <c r="X578" i="72"/>
  <c r="X698" i="72" s="1"/>
  <c r="H579" i="72"/>
  <c r="H699" i="72" s="1"/>
  <c r="S579" i="72"/>
  <c r="S699" i="72" s="1"/>
  <c r="AD579" i="72"/>
  <c r="AD699" i="72" s="1"/>
  <c r="N550" i="72" a="1"/>
  <c r="N550" i="72" s="1"/>
  <c r="N670" i="72" s="1"/>
  <c r="Z580" i="72"/>
  <c r="Z700" i="72" s="1"/>
  <c r="K583" i="72"/>
  <c r="K703" i="72" s="1"/>
  <c r="X553" i="72" a="1"/>
  <c r="X553" i="72" s="1"/>
  <c r="X673" i="72" s="1"/>
  <c r="Q584" i="72"/>
  <c r="Q704" i="72" s="1"/>
  <c r="AG584" i="72"/>
  <c r="AG704" i="72" s="1"/>
  <c r="R588" i="72"/>
  <c r="R708" i="72" s="1"/>
  <c r="AC589" i="72"/>
  <c r="AC709" i="72" s="1"/>
  <c r="L591" i="72"/>
  <c r="L711" i="72" s="1"/>
  <c r="M592" i="72"/>
  <c r="M712" i="72" s="1"/>
  <c r="T563" i="72" a="1"/>
  <c r="T563" i="72" s="1"/>
  <c r="T683" i="72" s="1"/>
  <c r="AA594" i="72"/>
  <c r="AA714" i="72" s="1"/>
  <c r="R573" i="72"/>
  <c r="AC543" i="72" a="1"/>
  <c r="AC543" i="72" s="1"/>
  <c r="J330" i="72"/>
  <c r="J450" i="72" s="1"/>
  <c r="R330" i="72"/>
  <c r="R450" i="72" s="1"/>
  <c r="Z330" i="72"/>
  <c r="Z450" i="72" s="1"/>
  <c r="I301" i="72" a="1"/>
  <c r="I301" i="72" s="1"/>
  <c r="I421" i="72" s="1"/>
  <c r="S331" i="72"/>
  <c r="S451" i="72" s="1"/>
  <c r="AE331" i="72"/>
  <c r="AE451" i="72" s="1"/>
  <c r="Q332" i="72"/>
  <c r="Q452" i="72" s="1"/>
  <c r="AA332" i="72"/>
  <c r="AA452" i="72" s="1"/>
  <c r="J333" i="72"/>
  <c r="J453" i="72" s="1"/>
  <c r="S333" i="72"/>
  <c r="S453" i="72" s="1"/>
  <c r="AE333" i="72"/>
  <c r="AE453" i="72" s="1"/>
  <c r="N334" i="72"/>
  <c r="N454" i="72" s="1"/>
  <c r="X334" i="72"/>
  <c r="X454" i="72" s="1"/>
  <c r="H305" i="72" a="1"/>
  <c r="H305" i="72" s="1"/>
  <c r="H425" i="72" s="1"/>
  <c r="R305" i="72" a="1"/>
  <c r="R305" i="72" s="1"/>
  <c r="R425" i="72" s="1"/>
  <c r="AB335" i="72"/>
  <c r="AB455" i="72" s="1"/>
  <c r="N338" i="72"/>
  <c r="N458" i="72" s="1"/>
  <c r="AD338" i="72"/>
  <c r="AD458" i="72" s="1"/>
  <c r="T339" i="72"/>
  <c r="T459" i="72" s="1"/>
  <c r="H341" i="72"/>
  <c r="H461" i="72" s="1"/>
  <c r="AE344" i="72"/>
  <c r="AE464" i="72" s="1"/>
  <c r="Y345" i="72"/>
  <c r="Y465" i="72" s="1"/>
  <c r="AA346" i="72"/>
  <c r="AA466" i="72" s="1"/>
  <c r="AA347" i="72"/>
  <c r="AA467" i="72" s="1"/>
  <c r="AD348" i="72"/>
  <c r="AD468" i="72" s="1"/>
  <c r="Z349" i="72"/>
  <c r="Z469" i="72" s="1"/>
  <c r="N328" i="72"/>
  <c r="X298" i="72" a="1"/>
  <c r="X298" i="72" s="1"/>
  <c r="H328" i="72"/>
  <c r="V84" i="72"/>
  <c r="V204" i="72" s="1"/>
  <c r="R85" i="72"/>
  <c r="R205" i="72" s="1"/>
  <c r="I56" i="72" a="1"/>
  <c r="I56" i="72" s="1"/>
  <c r="I176" i="72" s="1"/>
  <c r="Z86" i="72"/>
  <c r="Z206" i="72" s="1"/>
  <c r="R57" i="72" a="1"/>
  <c r="R57" i="72" s="1"/>
  <c r="R177" i="72" s="1"/>
  <c r="K88" i="72"/>
  <c r="K208" i="72" s="1"/>
  <c r="AG88" i="72"/>
  <c r="AG208" i="72" s="1"/>
  <c r="Q89" i="72"/>
  <c r="Q209" i="72" s="1"/>
  <c r="Y89" i="72"/>
  <c r="Y209" i="72" s="1"/>
  <c r="AG89" i="72"/>
  <c r="AG209" i="72" s="1"/>
  <c r="N91" i="72"/>
  <c r="N211" i="72" s="1"/>
  <c r="V91" i="72"/>
  <c r="V211" i="72" s="1"/>
  <c r="AD91" i="72"/>
  <c r="AD211" i="72" s="1"/>
  <c r="L92" i="72"/>
  <c r="L212" i="72" s="1"/>
  <c r="T92" i="72"/>
  <c r="T212" i="72" s="1"/>
  <c r="AB92" i="72"/>
  <c r="AB212" i="72" s="1"/>
  <c r="J93" i="72"/>
  <c r="J213" i="72" s="1"/>
  <c r="R93" i="72"/>
  <c r="R213" i="72" s="1"/>
  <c r="K575" i="72"/>
  <c r="K695" i="72" s="1"/>
  <c r="V575" i="72"/>
  <c r="V695" i="72" s="1"/>
  <c r="AE575" i="72"/>
  <c r="AE695" i="72" s="1"/>
  <c r="M576" i="72"/>
  <c r="M696" i="72" s="1"/>
  <c r="Z576" i="72"/>
  <c r="Z696" i="72" s="1"/>
  <c r="I577" i="72"/>
  <c r="I697" i="72" s="1"/>
  <c r="Q577" i="72"/>
  <c r="Q697" i="72" s="1"/>
  <c r="AA577" i="72"/>
  <c r="AA697" i="72" s="1"/>
  <c r="N578" i="72"/>
  <c r="N698" i="72" s="1"/>
  <c r="Y578" i="72"/>
  <c r="Y698" i="72" s="1"/>
  <c r="J579" i="72"/>
  <c r="J699" i="72" s="1"/>
  <c r="T579" i="72"/>
  <c r="T699" i="72" s="1"/>
  <c r="AE579" i="72"/>
  <c r="AE699" i="72" s="1"/>
  <c r="P550" i="72" a="1"/>
  <c r="P550" i="72" s="1"/>
  <c r="P670" i="72" s="1"/>
  <c r="AA550" i="72" a="1"/>
  <c r="AA550" i="72" s="1"/>
  <c r="AA670" i="72" s="1"/>
  <c r="L583" i="72"/>
  <c r="L703" i="72" s="1"/>
  <c r="AA583" i="72"/>
  <c r="AA703" i="72" s="1"/>
  <c r="R584" i="72"/>
  <c r="R704" i="72" s="1"/>
  <c r="H585" i="72"/>
  <c r="H705" i="72" s="1"/>
  <c r="I589" i="72"/>
  <c r="I709" i="72" s="1"/>
  <c r="J590" i="72"/>
  <c r="J710" i="72" s="1"/>
  <c r="M591" i="72"/>
  <c r="M711" i="72" s="1"/>
  <c r="O592" i="72"/>
  <c r="O712" i="72" s="1"/>
  <c r="X593" i="72"/>
  <c r="X713" i="72" s="1"/>
  <c r="AB594" i="72"/>
  <c r="AB714" i="72" s="1"/>
  <c r="S543" i="72" a="1"/>
  <c r="S543" i="72" s="1"/>
  <c r="AD543" i="72" a="1"/>
  <c r="AD543" i="72" s="1"/>
  <c r="K300" i="72" a="1"/>
  <c r="K300" i="72" s="1"/>
  <c r="K420" i="72" s="1"/>
  <c r="S330" i="72"/>
  <c r="S450" i="72" s="1"/>
  <c r="AA330" i="72"/>
  <c r="AA450" i="72" s="1"/>
  <c r="J301" i="72" a="1"/>
  <c r="J301" i="72" s="1"/>
  <c r="J421" i="72" s="1"/>
  <c r="T331" i="72"/>
  <c r="T451" i="72" s="1"/>
  <c r="AF331" i="72"/>
  <c r="AF451" i="72" s="1"/>
  <c r="R332" i="72"/>
  <c r="R452" i="72" s="1"/>
  <c r="AB332" i="72"/>
  <c r="AB452" i="72" s="1"/>
  <c r="K333" i="72"/>
  <c r="K453" i="72" s="1"/>
  <c r="T333" i="72"/>
  <c r="T453" i="72" s="1"/>
  <c r="AF333" i="72"/>
  <c r="AF453" i="72" s="1"/>
  <c r="O334" i="72"/>
  <c r="O454" i="72" s="1"/>
  <c r="Y334" i="72"/>
  <c r="Y454" i="72" s="1"/>
  <c r="I305" i="72" a="1"/>
  <c r="I305" i="72" s="1"/>
  <c r="I425" i="72" s="1"/>
  <c r="S335" i="72"/>
  <c r="S455" i="72" s="1"/>
  <c r="AC335" i="72"/>
  <c r="AC455" i="72" s="1"/>
  <c r="O338" i="72"/>
  <c r="O458" i="72" s="1"/>
  <c r="AE338" i="72"/>
  <c r="AE458" i="72" s="1"/>
  <c r="U339" i="72"/>
  <c r="U459" i="72" s="1"/>
  <c r="Q341" i="72"/>
  <c r="Q461" i="72" s="1"/>
  <c r="AF344" i="72"/>
  <c r="AF464" i="72" s="1"/>
  <c r="AA345" i="72"/>
  <c r="AA465" i="72" s="1"/>
  <c r="AG346" i="72"/>
  <c r="AG466" i="72" s="1"/>
  <c r="AB347" i="72"/>
  <c r="AB467" i="72" s="1"/>
  <c r="AE348" i="72"/>
  <c r="AE468" i="72" s="1"/>
  <c r="AB349" i="72"/>
  <c r="AB469" i="72" s="1"/>
  <c r="P328" i="72"/>
  <c r="Y328" i="72"/>
  <c r="AA84" i="72"/>
  <c r="AA204" i="72" s="1"/>
  <c r="S55" i="72" a="1"/>
  <c r="S55" i="72" s="1"/>
  <c r="S175" i="72" s="1"/>
  <c r="J86" i="72"/>
  <c r="J206" i="72" s="1"/>
  <c r="AB56" i="72" a="1"/>
  <c r="AB56" i="72" s="1"/>
  <c r="AB176" i="72" s="1"/>
  <c r="U87" i="72"/>
  <c r="U207" i="72" s="1"/>
  <c r="Q88" i="72"/>
  <c r="Q208" i="72" s="1"/>
  <c r="H89" i="72"/>
  <c r="H209" i="72" s="1"/>
  <c r="R89" i="72"/>
  <c r="R209" i="72" s="1"/>
  <c r="Z89" i="72"/>
  <c r="Z209" i="72" s="1"/>
  <c r="H90" i="72"/>
  <c r="H210" i="72" s="1"/>
  <c r="O91" i="72"/>
  <c r="O211" i="72" s="1"/>
  <c r="W91" i="72"/>
  <c r="W211" i="72" s="1"/>
  <c r="AE91" i="72"/>
  <c r="AE211" i="72" s="1"/>
  <c r="M92" i="72"/>
  <c r="M212" i="72" s="1"/>
  <c r="U92" i="72"/>
  <c r="U212" i="72" s="1"/>
  <c r="AC92" i="72"/>
  <c r="AC212" i="72" s="1"/>
  <c r="K93" i="72"/>
  <c r="K213" i="72" s="1"/>
  <c r="S93" i="72"/>
  <c r="S213" i="72" s="1"/>
  <c r="AA93" i="72"/>
  <c r="AA213" i="72" s="1"/>
  <c r="H95" i="72"/>
  <c r="H215" i="72" s="1"/>
  <c r="R68" i="72" a="1"/>
  <c r="R68" i="72" s="1"/>
  <c r="R188" i="72" s="1"/>
  <c r="AG98" i="72"/>
  <c r="AG218" i="72" s="1"/>
  <c r="X69" i="72" a="1"/>
  <c r="X69" i="72" s="1"/>
  <c r="X189" i="72" s="1"/>
  <c r="O100" i="72"/>
  <c r="O220" i="72" s="1"/>
  <c r="L101" i="72"/>
  <c r="L221" i="72" s="1"/>
  <c r="AG101" i="72"/>
  <c r="AG221" i="72" s="1"/>
  <c r="U102" i="72"/>
  <c r="U222" i="72" s="1"/>
  <c r="H103" i="72"/>
  <c r="H223" i="72" s="1"/>
  <c r="T73" i="72" a="1"/>
  <c r="T73" i="72" s="1"/>
  <c r="T193" i="72" s="1"/>
  <c r="I82" i="72"/>
  <c r="M575" i="72"/>
  <c r="M695" i="72" s="1"/>
  <c r="Y575" i="72"/>
  <c r="Y695" i="72" s="1"/>
  <c r="AG575" i="72"/>
  <c r="AG695" i="72" s="1"/>
  <c r="P576" i="72"/>
  <c r="P696" i="72" s="1"/>
  <c r="AB576" i="72"/>
  <c r="AB696" i="72" s="1"/>
  <c r="K577" i="72"/>
  <c r="K697" i="72" s="1"/>
  <c r="S577" i="72"/>
  <c r="S697" i="72" s="1"/>
  <c r="AE547" i="72" a="1"/>
  <c r="AE547" i="72" s="1"/>
  <c r="AE667" i="72" s="1"/>
  <c r="Q578" i="72"/>
  <c r="Q698" i="72" s="1"/>
  <c r="AC578" i="72"/>
  <c r="AC698" i="72" s="1"/>
  <c r="L579" i="72"/>
  <c r="L699" i="72" s="1"/>
  <c r="V579" i="72"/>
  <c r="V699" i="72" s="1"/>
  <c r="I580" i="72"/>
  <c r="I700" i="72" s="1"/>
  <c r="S550" i="72" a="1"/>
  <c r="S550" i="72" s="1"/>
  <c r="S670" i="72" s="1"/>
  <c r="AC580" i="72"/>
  <c r="AC700" i="72" s="1"/>
  <c r="O553" i="72" a="1"/>
  <c r="O553" i="72" s="1"/>
  <c r="O673" i="72" s="1"/>
  <c r="AC583" i="72"/>
  <c r="AC703" i="72" s="1"/>
  <c r="U554" i="72" a="1"/>
  <c r="U554" i="72" s="1"/>
  <c r="U674" i="72" s="1"/>
  <c r="U586" i="72"/>
  <c r="U706" i="72" s="1"/>
  <c r="R589" i="72"/>
  <c r="R709" i="72" s="1"/>
  <c r="L590" i="72"/>
  <c r="L710" i="72" s="1"/>
  <c r="V591" i="72"/>
  <c r="V711" i="72" s="1"/>
  <c r="X592" i="72"/>
  <c r="X712" i="72" s="1"/>
  <c r="AC563" i="72" a="1"/>
  <c r="AC563" i="72" s="1"/>
  <c r="AC683" i="72" s="1"/>
  <c r="J573" i="72"/>
  <c r="U573" i="72"/>
  <c r="AF573" i="72"/>
  <c r="M330" i="72"/>
  <c r="M450" i="72" s="1"/>
  <c r="U330" i="72"/>
  <c r="U450" i="72" s="1"/>
  <c r="AC330" i="72"/>
  <c r="AC450" i="72" s="1"/>
  <c r="L331" i="72"/>
  <c r="L451" i="72" s="1"/>
  <c r="V331" i="72"/>
  <c r="V451" i="72" s="1"/>
  <c r="I332" i="72"/>
  <c r="I452" i="72" s="1"/>
  <c r="T332" i="72"/>
  <c r="T452" i="72" s="1"/>
  <c r="AD332" i="72"/>
  <c r="AD452" i="72" s="1"/>
  <c r="M303" i="72" a="1"/>
  <c r="M303" i="72" s="1"/>
  <c r="M423" i="72" s="1"/>
  <c r="X303" i="72" a="1"/>
  <c r="X303" i="72" s="1"/>
  <c r="X423" i="72" s="1"/>
  <c r="H334" i="72"/>
  <c r="H454" i="72" s="1"/>
  <c r="Q334" i="72"/>
  <c r="Q454" i="72" s="1"/>
  <c r="AC334" i="72"/>
  <c r="AC454" i="72" s="1"/>
  <c r="K305" i="72" a="1"/>
  <c r="K305" i="72" s="1"/>
  <c r="K425" i="72" s="1"/>
  <c r="U335" i="72"/>
  <c r="U455" i="72" s="1"/>
  <c r="AE335" i="72"/>
  <c r="AE455" i="72" s="1"/>
  <c r="U338" i="72"/>
  <c r="U458" i="72" s="1"/>
  <c r="K339" i="72"/>
  <c r="K459" i="72" s="1"/>
  <c r="AA339" i="72"/>
  <c r="AA459" i="72" s="1"/>
  <c r="N344" i="72"/>
  <c r="N464" i="72" s="1"/>
  <c r="N315" i="72" a="1"/>
  <c r="N315" i="72" s="1"/>
  <c r="N435" i="72" s="1"/>
  <c r="AG345" i="72"/>
  <c r="AG465" i="72" s="1"/>
  <c r="J347" i="72"/>
  <c r="J467" i="72" s="1"/>
  <c r="K348" i="72"/>
  <c r="K468" i="72" s="1"/>
  <c r="L349" i="72"/>
  <c r="L469" i="72" s="1"/>
  <c r="I298" i="72" a="1"/>
  <c r="I298" i="72" s="1"/>
  <c r="S328" i="72"/>
  <c r="AA328" i="72"/>
  <c r="H82" i="72"/>
  <c r="R575" i="72"/>
  <c r="R695" i="72" s="1"/>
  <c r="AB575" i="72"/>
  <c r="AB695" i="72" s="1"/>
  <c r="J546" i="72" a="1"/>
  <c r="J546" i="72" s="1"/>
  <c r="J666" i="72" s="1"/>
  <c r="S576" i="72"/>
  <c r="S696" i="72" s="1"/>
  <c r="AF576" i="72"/>
  <c r="AF696" i="72" s="1"/>
  <c r="N577" i="72"/>
  <c r="N697" i="72" s="1"/>
  <c r="X577" i="72"/>
  <c r="X697" i="72" s="1"/>
  <c r="I578" i="72"/>
  <c r="I698" i="72" s="1"/>
  <c r="V578" i="72"/>
  <c r="V698" i="72" s="1"/>
  <c r="AF578" i="72"/>
  <c r="AF698" i="72" s="1"/>
  <c r="O549" i="72" a="1"/>
  <c r="O549" i="72" s="1"/>
  <c r="O669" i="72" s="1"/>
  <c r="AB579" i="72"/>
  <c r="AB699" i="72" s="1"/>
  <c r="L580" i="72"/>
  <c r="L700" i="72" s="1"/>
  <c r="X580" i="72"/>
  <c r="X700" i="72" s="1"/>
  <c r="H551" i="72" a="1"/>
  <c r="H551" i="72" s="1"/>
  <c r="H671" i="72" s="1"/>
  <c r="U583" i="72"/>
  <c r="U703" i="72" s="1"/>
  <c r="Q545" i="72" a="1"/>
  <c r="Q545" i="72" s="1"/>
  <c r="Q665" i="72" s="1"/>
  <c r="Q546" i="72" a="1"/>
  <c r="Q546" i="72" s="1"/>
  <c r="Q666" i="72" s="1"/>
  <c r="R577" i="72"/>
  <c r="R697" i="72" s="1"/>
  <c r="T578" i="72"/>
  <c r="T698" i="72" s="1"/>
  <c r="Y549" i="72" a="1"/>
  <c r="Y549" i="72" s="1"/>
  <c r="Y669" i="72" s="1"/>
  <c r="AB550" i="72" a="1"/>
  <c r="AB550" i="72" s="1"/>
  <c r="AB670" i="72" s="1"/>
  <c r="I584" i="72"/>
  <c r="I704" i="72" s="1"/>
  <c r="T587" i="72"/>
  <c r="T707" i="72" s="1"/>
  <c r="U590" i="72"/>
  <c r="U710" i="72" s="1"/>
  <c r="AG592" i="72"/>
  <c r="AG712" i="72" s="1"/>
  <c r="O573" i="72"/>
  <c r="W545" i="72" a="1"/>
  <c r="W545" i="72" s="1"/>
  <c r="W665" i="72" s="1"/>
  <c r="W330" i="72"/>
  <c r="W450" i="72" s="1"/>
  <c r="N331" i="72"/>
  <c r="N451" i="72" s="1"/>
  <c r="K302" i="72" a="1"/>
  <c r="K302" i="72" s="1"/>
  <c r="K422" i="72" s="1"/>
  <c r="AG332" i="72"/>
  <c r="AG452" i="72" s="1"/>
  <c r="Z333" i="72"/>
  <c r="Z453" i="72" s="1"/>
  <c r="U334" i="72"/>
  <c r="U454" i="72" s="1"/>
  <c r="N335" i="72"/>
  <c r="N455" i="72" s="1"/>
  <c r="H307" i="72" a="1"/>
  <c r="H307" i="72" s="1"/>
  <c r="H427" i="72" s="1"/>
  <c r="M339" i="72"/>
  <c r="M459" i="72" s="1"/>
  <c r="W344" i="72"/>
  <c r="W464" i="72" s="1"/>
  <c r="J346" i="72"/>
  <c r="J466" i="72" s="1"/>
  <c r="U348" i="72"/>
  <c r="U468" i="72" s="1"/>
  <c r="K298" i="72" a="1"/>
  <c r="K298" i="72" s="1"/>
  <c r="AC298" i="72" a="1"/>
  <c r="AC298" i="72" s="1"/>
  <c r="AC54" i="72" a="1"/>
  <c r="AC54" i="72" s="1"/>
  <c r="AC174" i="72" s="1"/>
  <c r="AF85" i="72"/>
  <c r="AF205" i="72" s="1"/>
  <c r="L87" i="72"/>
  <c r="L207" i="72" s="1"/>
  <c r="R88" i="72"/>
  <c r="R208" i="72" s="1"/>
  <c r="N59" i="72" a="1"/>
  <c r="N59" i="72" s="1"/>
  <c r="N179" i="72" s="1"/>
  <c r="AB89" i="72"/>
  <c r="AB209" i="72" s="1"/>
  <c r="L91" i="72"/>
  <c r="L211" i="72" s="1"/>
  <c r="Z91" i="72"/>
  <c r="Z211" i="72" s="1"/>
  <c r="N92" i="72"/>
  <c r="N212" i="72" s="1"/>
  <c r="Y92" i="72"/>
  <c r="Y212" i="72" s="1"/>
  <c r="M93" i="72"/>
  <c r="M213" i="72" s="1"/>
  <c r="X93" i="72"/>
  <c r="X213" i="72" s="1"/>
  <c r="H96" i="72"/>
  <c r="H216" i="72" s="1"/>
  <c r="V68" i="72" a="1"/>
  <c r="V68" i="72" s="1"/>
  <c r="V188" i="72" s="1"/>
  <c r="O99" i="72"/>
  <c r="O219" i="72" s="1"/>
  <c r="P70" i="72" a="1"/>
  <c r="P70" i="72" s="1"/>
  <c r="P190" i="72" s="1"/>
  <c r="T101" i="72"/>
  <c r="T221" i="72" s="1"/>
  <c r="N72" i="72" a="1"/>
  <c r="N72" i="72" s="1"/>
  <c r="N192" i="72" s="1"/>
  <c r="I103" i="72"/>
  <c r="I223" i="72" s="1"/>
  <c r="W103" i="72"/>
  <c r="W223" i="72" s="1"/>
  <c r="M82" i="72"/>
  <c r="U52" i="72" a="1"/>
  <c r="U52" i="72" s="1"/>
  <c r="AC82" i="72"/>
  <c r="R92" i="72"/>
  <c r="R212" i="72" s="1"/>
  <c r="H69" i="72" a="1"/>
  <c r="H69" i="72" s="1"/>
  <c r="H189" i="72" s="1"/>
  <c r="P73" i="72" a="1"/>
  <c r="P73" i="72" s="1"/>
  <c r="P193" i="72" s="1"/>
  <c r="W345" i="72"/>
  <c r="W465" i="72" s="1"/>
  <c r="AD87" i="72"/>
  <c r="AD207" i="72" s="1"/>
  <c r="V92" i="72"/>
  <c r="V212" i="72" s="1"/>
  <c r="AE99" i="72"/>
  <c r="AE219" i="72" s="1"/>
  <c r="Q103" i="72"/>
  <c r="Q223" i="72" s="1"/>
  <c r="AB583" i="72"/>
  <c r="AB703" i="72" s="1"/>
  <c r="H302" i="72" a="1"/>
  <c r="H302" i="72" s="1"/>
  <c r="H422" i="72" s="1"/>
  <c r="AF345" i="72"/>
  <c r="AF465" i="72" s="1"/>
  <c r="AE86" i="72"/>
  <c r="AE206" i="72" s="1"/>
  <c r="K59" i="72" a="1"/>
  <c r="K59" i="72" s="1"/>
  <c r="K179" i="72" s="1"/>
  <c r="AF93" i="72"/>
  <c r="AF213" i="72" s="1"/>
  <c r="R73" i="72" a="1"/>
  <c r="R73" i="72" s="1"/>
  <c r="R193" i="72" s="1"/>
  <c r="R578" i="72"/>
  <c r="R698" i="72" s="1"/>
  <c r="U580" i="72"/>
  <c r="U700" i="72" s="1"/>
  <c r="N573" i="72"/>
  <c r="J332" i="72"/>
  <c r="J452" i="72" s="1"/>
  <c r="Y333" i="72"/>
  <c r="Y453" i="72" s="1"/>
  <c r="O344" i="72"/>
  <c r="O464" i="72" s="1"/>
  <c r="AB84" i="72"/>
  <c r="AB204" i="72" s="1"/>
  <c r="AA89" i="72"/>
  <c r="AA209" i="72" s="1"/>
  <c r="L93" i="72"/>
  <c r="L213" i="72" s="1"/>
  <c r="T68" i="72" a="1"/>
  <c r="T68" i="72" s="1"/>
  <c r="T188" i="72" s="1"/>
  <c r="V103" i="72"/>
  <c r="V223" i="72" s="1"/>
  <c r="AB82" i="72"/>
  <c r="W575" i="72"/>
  <c r="W695" i="72" s="1"/>
  <c r="R576" i="72"/>
  <c r="R696" i="72" s="1"/>
  <c r="V577" i="72"/>
  <c r="V697" i="72" s="1"/>
  <c r="AB578" i="72"/>
  <c r="AB698" i="72" s="1"/>
  <c r="Z579" i="72"/>
  <c r="Z699" i="72" s="1"/>
  <c r="AE550" i="72" a="1"/>
  <c r="AE550" i="72" s="1"/>
  <c r="AE670" i="72" s="1"/>
  <c r="J584" i="72"/>
  <c r="J704" i="72" s="1"/>
  <c r="Y557" i="72" a="1"/>
  <c r="Y557" i="72" s="1"/>
  <c r="Y677" i="72" s="1"/>
  <c r="AC590" i="72"/>
  <c r="AC710" i="72" s="1"/>
  <c r="O593" i="72"/>
  <c r="O713" i="72" s="1"/>
  <c r="P573" i="72"/>
  <c r="H300" i="72" a="1"/>
  <c r="H300" i="72" s="1"/>
  <c r="H420" i="72" s="1"/>
  <c r="X330" i="72"/>
  <c r="X450" i="72" s="1"/>
  <c r="O331" i="72"/>
  <c r="O451" i="72" s="1"/>
  <c r="L302" i="72" a="1"/>
  <c r="L302" i="72" s="1"/>
  <c r="L422" i="72" s="1"/>
  <c r="H333" i="72"/>
  <c r="H453" i="72" s="1"/>
  <c r="AA333" i="72"/>
  <c r="AA453" i="72" s="1"/>
  <c r="V334" i="72"/>
  <c r="V454" i="72" s="1"/>
  <c r="O335" i="72"/>
  <c r="O455" i="72" s="1"/>
  <c r="I338" i="72"/>
  <c r="I458" i="72" s="1"/>
  <c r="O339" i="72"/>
  <c r="O459" i="72" s="1"/>
  <c r="X344" i="72"/>
  <c r="X464" i="72" s="1"/>
  <c r="P346" i="72"/>
  <c r="P466" i="72" s="1"/>
  <c r="X348" i="72"/>
  <c r="X468" i="72" s="1"/>
  <c r="L298" i="72" a="1"/>
  <c r="L298" i="72" s="1"/>
  <c r="AD328" i="72"/>
  <c r="AD54" i="72" a="1"/>
  <c r="AD54" i="72" s="1"/>
  <c r="AD174" i="72" s="1"/>
  <c r="L56" i="72" a="1"/>
  <c r="L56" i="72" s="1"/>
  <c r="L176" i="72" s="1"/>
  <c r="N87" i="72"/>
  <c r="N207" i="72" s="1"/>
  <c r="T88" i="72"/>
  <c r="T208" i="72" s="1"/>
  <c r="O89" i="72"/>
  <c r="O209" i="72" s="1"/>
  <c r="AC89" i="72"/>
  <c r="AC209" i="72" s="1"/>
  <c r="P91" i="72"/>
  <c r="P211" i="72" s="1"/>
  <c r="AA91" i="72"/>
  <c r="AA211" i="72" s="1"/>
  <c r="O92" i="72"/>
  <c r="O212" i="72" s="1"/>
  <c r="Z92" i="72"/>
  <c r="Z212" i="72" s="1"/>
  <c r="N93" i="72"/>
  <c r="N213" i="72" s="1"/>
  <c r="Z93" i="72"/>
  <c r="Z213" i="72" s="1"/>
  <c r="H97" i="72"/>
  <c r="H217" i="72" s="1"/>
  <c r="X98" i="72"/>
  <c r="X218" i="72" s="1"/>
  <c r="W69" i="72" a="1"/>
  <c r="W69" i="72" s="1"/>
  <c r="W189" i="72" s="1"/>
  <c r="R70" i="72" a="1"/>
  <c r="R70" i="72" s="1"/>
  <c r="R190" i="72" s="1"/>
  <c r="V101" i="72"/>
  <c r="V221" i="72" s="1"/>
  <c r="T102" i="72"/>
  <c r="T222" i="72" s="1"/>
  <c r="K103" i="72"/>
  <c r="K223" i="72" s="1"/>
  <c r="Y103" i="72"/>
  <c r="Y223" i="72" s="1"/>
  <c r="N82" i="72"/>
  <c r="V82" i="72"/>
  <c r="AD82" i="72"/>
  <c r="S91" i="72"/>
  <c r="S211" i="72" s="1"/>
  <c r="M98" i="72"/>
  <c r="M218" i="72" s="1"/>
  <c r="Y72" i="72" a="1"/>
  <c r="Y72" i="72" s="1"/>
  <c r="Y192" i="72" s="1"/>
  <c r="Y82" i="72"/>
  <c r="S347" i="72"/>
  <c r="S467" i="72" s="1"/>
  <c r="V55" i="72" a="1"/>
  <c r="V55" i="72" s="1"/>
  <c r="V175" i="72" s="1"/>
  <c r="T91" i="72"/>
  <c r="T211" i="72" s="1"/>
  <c r="AE93" i="72"/>
  <c r="AE213" i="72" s="1"/>
  <c r="Z72" i="72" a="1"/>
  <c r="Z72" i="72" s="1"/>
  <c r="Z192" i="72" s="1"/>
  <c r="T580" i="72"/>
  <c r="T700" i="72" s="1"/>
  <c r="AE573" i="72"/>
  <c r="W333" i="72"/>
  <c r="W453" i="72" s="1"/>
  <c r="L344" i="72"/>
  <c r="L464" i="72" s="1"/>
  <c r="N54" i="72" a="1"/>
  <c r="N54" i="72" s="1"/>
  <c r="N174" i="72" s="1"/>
  <c r="X91" i="72"/>
  <c r="X211" i="72" s="1"/>
  <c r="S98" i="72"/>
  <c r="S218" i="72" s="1"/>
  <c r="J102" i="72"/>
  <c r="J222" i="72" s="1"/>
  <c r="K82" i="72"/>
  <c r="S557" i="72" a="1"/>
  <c r="S557" i="72" s="1"/>
  <c r="S677" i="72" s="1"/>
  <c r="H306" i="72" a="1"/>
  <c r="H306" i="72" s="1"/>
  <c r="H426" i="72" s="1"/>
  <c r="AE85" i="72"/>
  <c r="AE205" i="72" s="1"/>
  <c r="J92" i="72"/>
  <c r="J212" i="72" s="1"/>
  <c r="N70" i="72" a="1"/>
  <c r="N70" i="72" s="1"/>
  <c r="N190" i="72" s="1"/>
  <c r="T82" i="72"/>
  <c r="Z575" i="72"/>
  <c r="Z695" i="72" s="1"/>
  <c r="AA546" i="72" a="1"/>
  <c r="AA546" i="72" s="1"/>
  <c r="AA666" i="72" s="1"/>
  <c r="W577" i="72"/>
  <c r="W697" i="72" s="1"/>
  <c r="AD578" i="72"/>
  <c r="AD698" i="72" s="1"/>
  <c r="H580" i="72"/>
  <c r="H700" i="72" s="1"/>
  <c r="AF580" i="72"/>
  <c r="AF700" i="72" s="1"/>
  <c r="S584" i="72"/>
  <c r="S704" i="72" s="1"/>
  <c r="J559" i="72" a="1"/>
  <c r="J559" i="72" s="1"/>
  <c r="J679" i="72" s="1"/>
  <c r="U591" i="72"/>
  <c r="U711" i="72" s="1"/>
  <c r="Y593" i="72"/>
  <c r="Y713" i="72" s="1"/>
  <c r="T573" i="72"/>
  <c r="L300" i="72" a="1"/>
  <c r="L300" i="72" s="1"/>
  <c r="L420" i="72" s="1"/>
  <c r="AB330" i="72"/>
  <c r="AB450" i="72" s="1"/>
  <c r="U331" i="72"/>
  <c r="U451" i="72" s="1"/>
  <c r="S332" i="72"/>
  <c r="S452" i="72" s="1"/>
  <c r="L303" i="72" a="1"/>
  <c r="L303" i="72" s="1"/>
  <c r="L423" i="72" s="1"/>
  <c r="AG333" i="72"/>
  <c r="AG453" i="72" s="1"/>
  <c r="Z334" i="72"/>
  <c r="Z454" i="72" s="1"/>
  <c r="T335" i="72"/>
  <c r="T455" i="72" s="1"/>
  <c r="Q338" i="72"/>
  <c r="Q458" i="72" s="1"/>
  <c r="W339" i="72"/>
  <c r="W459" i="72" s="1"/>
  <c r="AG344" i="72"/>
  <c r="AG464" i="72" s="1"/>
  <c r="I347" i="72"/>
  <c r="I467" i="72" s="1"/>
  <c r="AF348" i="72"/>
  <c r="AF468" i="72" s="1"/>
  <c r="R328" i="72"/>
  <c r="AF84" i="72"/>
  <c r="AF204" i="72" s="1"/>
  <c r="O86" i="72"/>
  <c r="O206" i="72" s="1"/>
  <c r="O57" i="72" a="1"/>
  <c r="O57" i="72" s="1"/>
  <c r="O177" i="72" s="1"/>
  <c r="U58" i="72" a="1"/>
  <c r="U58" i="72" s="1"/>
  <c r="U178" i="72" s="1"/>
  <c r="S89" i="72"/>
  <c r="S209" i="72" s="1"/>
  <c r="AD89" i="72"/>
  <c r="AD209" i="72" s="1"/>
  <c r="Q91" i="72"/>
  <c r="Q211" i="72" s="1"/>
  <c r="AB91" i="72"/>
  <c r="AB211" i="72" s="1"/>
  <c r="P92" i="72"/>
  <c r="P212" i="72" s="1"/>
  <c r="AD62" i="72" a="1"/>
  <c r="AD62" i="72" s="1"/>
  <c r="AD182" i="72" s="1"/>
  <c r="O93" i="72"/>
  <c r="O213" i="72" s="1"/>
  <c r="AB93" i="72"/>
  <c r="AB213" i="72" s="1"/>
  <c r="J98" i="72"/>
  <c r="J218" i="72" s="1"/>
  <c r="Y98" i="72"/>
  <c r="Y218" i="72" s="1"/>
  <c r="Z69" i="72" a="1"/>
  <c r="Z69" i="72" s="1"/>
  <c r="Z189" i="72" s="1"/>
  <c r="X100" i="72"/>
  <c r="X220" i="72" s="1"/>
  <c r="X71" i="72" a="1"/>
  <c r="X71" i="72" s="1"/>
  <c r="X191" i="72" s="1"/>
  <c r="W102" i="72"/>
  <c r="W222" i="72" s="1"/>
  <c r="M103" i="72"/>
  <c r="M223" i="72" s="1"/>
  <c r="AA103" i="72"/>
  <c r="AA223" i="72" s="1"/>
  <c r="O82" i="72"/>
  <c r="W82" i="72"/>
  <c r="AE82" i="72"/>
  <c r="H61" i="72" a="1"/>
  <c r="H61" i="72" s="1"/>
  <c r="H181" i="72" s="1"/>
  <c r="AD100" i="72"/>
  <c r="AD220" i="72" s="1"/>
  <c r="Q82" i="72"/>
  <c r="AE339" i="72"/>
  <c r="AE459" i="72" s="1"/>
  <c r="X86" i="72"/>
  <c r="X206" i="72" s="1"/>
  <c r="I91" i="72"/>
  <c r="I211" i="72" s="1"/>
  <c r="Q68" i="72" a="1"/>
  <c r="Q68" i="72" s="1"/>
  <c r="Q188" i="72" s="1"/>
  <c r="R82" i="72"/>
  <c r="L575" i="72"/>
  <c r="L695" i="72" s="1"/>
  <c r="K590" i="72"/>
  <c r="K710" i="72" s="1"/>
  <c r="T300" i="72" a="1"/>
  <c r="T300" i="72" s="1"/>
  <c r="T420" i="72" s="1"/>
  <c r="AG338" i="72"/>
  <c r="AG458" i="72" s="1"/>
  <c r="AG319" i="72" a="1"/>
  <c r="AG319" i="72" s="1"/>
  <c r="AG439" i="72" s="1"/>
  <c r="J91" i="72"/>
  <c r="J211" i="72" s="1"/>
  <c r="H93" i="72"/>
  <c r="H213" i="72" s="1"/>
  <c r="R101" i="72"/>
  <c r="R221" i="72" s="1"/>
  <c r="S52" i="72" a="1"/>
  <c r="S52" i="72" s="1"/>
  <c r="M577" i="72"/>
  <c r="M697" i="72" s="1"/>
  <c r="T590" i="72"/>
  <c r="T710" i="72" s="1"/>
  <c r="AF302" i="72" a="1"/>
  <c r="AF302" i="72" s="1"/>
  <c r="AF422" i="72" s="1"/>
  <c r="H346" i="72"/>
  <c r="H466" i="72" s="1"/>
  <c r="AF57" i="72" a="1"/>
  <c r="AF57" i="72" s="1"/>
  <c r="AF177" i="72" s="1"/>
  <c r="W93" i="72"/>
  <c r="W213" i="72" s="1"/>
  <c r="AD72" i="72" a="1"/>
  <c r="AD72" i="72" s="1"/>
  <c r="AD192" i="72" s="1"/>
  <c r="AA545" i="72" a="1"/>
  <c r="AA545" i="72" s="1"/>
  <c r="AA665" i="72" s="1"/>
  <c r="AC576" i="72"/>
  <c r="AC696" i="72" s="1"/>
  <c r="AC577" i="72"/>
  <c r="AC697" i="72" s="1"/>
  <c r="AE578" i="72"/>
  <c r="AE698" i="72" s="1"/>
  <c r="J580" i="72"/>
  <c r="J700" i="72" s="1"/>
  <c r="M583" i="72"/>
  <c r="M703" i="72" s="1"/>
  <c r="Y584" i="72"/>
  <c r="Y704" i="72" s="1"/>
  <c r="S589" i="72"/>
  <c r="S709" i="72" s="1"/>
  <c r="W561" i="72" a="1"/>
  <c r="W561" i="72" s="1"/>
  <c r="W681" i="72" s="1"/>
  <c r="AG593" i="72"/>
  <c r="AG713" i="72" s="1"/>
  <c r="V573" i="72"/>
  <c r="N330" i="72"/>
  <c r="N450" i="72" s="1"/>
  <c r="AD330" i="72"/>
  <c r="AD450" i="72" s="1"/>
  <c r="W331" i="72"/>
  <c r="W451" i="72" s="1"/>
  <c r="U332" i="72"/>
  <c r="U452" i="72" s="1"/>
  <c r="O333" i="72"/>
  <c r="O453" i="72" s="1"/>
  <c r="I304" i="72" a="1"/>
  <c r="I304" i="72" s="1"/>
  <c r="I424" i="72" s="1"/>
  <c r="AD334" i="72"/>
  <c r="AD454" i="72" s="1"/>
  <c r="V335" i="72"/>
  <c r="V455" i="72" s="1"/>
  <c r="V338" i="72"/>
  <c r="V458" i="72" s="1"/>
  <c r="AB339" i="72"/>
  <c r="AB459" i="72" s="1"/>
  <c r="O345" i="72"/>
  <c r="O465" i="72" s="1"/>
  <c r="P347" i="72"/>
  <c r="P467" i="72" s="1"/>
  <c r="O349" i="72"/>
  <c r="O469" i="72" s="1"/>
  <c r="T328" i="72"/>
  <c r="AD331" i="72"/>
  <c r="AD451" i="72" s="1"/>
  <c r="J85" i="72"/>
  <c r="J205" i="72" s="1"/>
  <c r="U86" i="72"/>
  <c r="U206" i="72" s="1"/>
  <c r="AA87" i="72"/>
  <c r="AA207" i="72" s="1"/>
  <c r="V88" i="72"/>
  <c r="V208" i="72" s="1"/>
  <c r="T89" i="72"/>
  <c r="T209" i="72" s="1"/>
  <c r="AE89" i="72"/>
  <c r="AE209" i="72" s="1"/>
  <c r="R91" i="72"/>
  <c r="R211" i="72" s="1"/>
  <c r="AF91" i="72"/>
  <c r="AF211" i="72" s="1"/>
  <c r="Q92" i="72"/>
  <c r="Q212" i="72" s="1"/>
  <c r="AE92" i="72"/>
  <c r="AE212" i="72" s="1"/>
  <c r="P93" i="72"/>
  <c r="P213" i="72" s="1"/>
  <c r="AC93" i="72"/>
  <c r="AC213" i="72" s="1"/>
  <c r="K98" i="72"/>
  <c r="K218" i="72" s="1"/>
  <c r="AC98" i="72"/>
  <c r="AC218" i="72" s="1"/>
  <c r="AA99" i="72"/>
  <c r="AA219" i="72" s="1"/>
  <c r="AC70" i="72" a="1"/>
  <c r="AC70" i="72" s="1"/>
  <c r="AC190" i="72" s="1"/>
  <c r="AF101" i="72"/>
  <c r="AF221" i="72" s="1"/>
  <c r="X102" i="72"/>
  <c r="X222" i="72" s="1"/>
  <c r="O73" i="72" a="1"/>
  <c r="O73" i="72" s="1"/>
  <c r="O193" i="72" s="1"/>
  <c r="AE103" i="72"/>
  <c r="AE223" i="72" s="1"/>
  <c r="P82" i="72"/>
  <c r="X82" i="72"/>
  <c r="AF52" i="72" a="1"/>
  <c r="AF52" i="72" s="1"/>
  <c r="X58" i="72" a="1"/>
  <c r="X58" i="72" s="1"/>
  <c r="X178" i="72" s="1"/>
  <c r="AF92" i="72"/>
  <c r="AF212" i="72" s="1"/>
  <c r="AD93" i="72"/>
  <c r="AD213" i="72" s="1"/>
  <c r="AB69" i="72" a="1"/>
  <c r="AB69" i="72" s="1"/>
  <c r="AB189" i="72" s="1"/>
  <c r="AF73" i="72" a="1"/>
  <c r="AF73" i="72" s="1"/>
  <c r="AF193" i="72" s="1"/>
  <c r="Y338" i="72"/>
  <c r="Y458" i="72" s="1"/>
  <c r="V89" i="72"/>
  <c r="V209" i="72" s="1"/>
  <c r="U93" i="72"/>
  <c r="U213" i="72" s="1"/>
  <c r="J69" i="72" a="1"/>
  <c r="J69" i="72" s="1"/>
  <c r="J189" i="72" s="1"/>
  <c r="J82" i="72"/>
  <c r="S585" i="72"/>
  <c r="S705" i="72" s="1"/>
  <c r="K331" i="72"/>
  <c r="K451" i="72" s="1"/>
  <c r="P334" i="72"/>
  <c r="P454" i="72" s="1"/>
  <c r="I348" i="72"/>
  <c r="I468" i="72" s="1"/>
  <c r="AE57" i="72" a="1"/>
  <c r="AE57" i="72" s="1"/>
  <c r="AE177" i="72" s="1"/>
  <c r="W92" i="72"/>
  <c r="W212" i="72" s="1"/>
  <c r="J100" i="72"/>
  <c r="J220" i="72" s="1"/>
  <c r="U579" i="72"/>
  <c r="U699" i="72" s="1"/>
  <c r="AE583" i="72"/>
  <c r="AE703" i="72" s="1"/>
  <c r="AF592" i="72"/>
  <c r="AF712" i="72" s="1"/>
  <c r="M301" i="72" a="1"/>
  <c r="M301" i="72" s="1"/>
  <c r="M421" i="72" s="1"/>
  <c r="L339" i="72"/>
  <c r="L459" i="72" s="1"/>
  <c r="AB328" i="72"/>
  <c r="L89" i="72"/>
  <c r="L209" i="72" s="1"/>
  <c r="X92" i="72"/>
  <c r="X212" i="72" s="1"/>
  <c r="H94" i="72"/>
  <c r="H214" i="72" s="1"/>
  <c r="L72" i="72" a="1"/>
  <c r="L72" i="72" s="1"/>
  <c r="L192" i="72" s="1"/>
  <c r="AF575" i="72"/>
  <c r="AF695" i="72" s="1"/>
  <c r="AE576" i="72"/>
  <c r="AE696" i="72" s="1"/>
  <c r="AF577" i="72"/>
  <c r="AF697" i="72" s="1"/>
  <c r="K579" i="72"/>
  <c r="K699" i="72" s="1"/>
  <c r="K580" i="72"/>
  <c r="K700" i="72" s="1"/>
  <c r="S583" i="72"/>
  <c r="S703" i="72" s="1"/>
  <c r="Z584" i="72"/>
  <c r="Z704" i="72" s="1"/>
  <c r="X559" i="72" a="1"/>
  <c r="X559" i="72" s="1"/>
  <c r="X679" i="72" s="1"/>
  <c r="Z591" i="72"/>
  <c r="Z711" i="72" s="1"/>
  <c r="H594" i="72"/>
  <c r="H714" i="72" s="1"/>
  <c r="W573" i="72"/>
  <c r="O330" i="72"/>
  <c r="O450" i="72" s="1"/>
  <c r="AE330" i="72"/>
  <c r="AE450" i="72" s="1"/>
  <c r="AA331" i="72"/>
  <c r="AA451" i="72" s="1"/>
  <c r="V332" i="72"/>
  <c r="V452" i="72" s="1"/>
  <c r="P333" i="72"/>
  <c r="P453" i="72" s="1"/>
  <c r="K304" i="72" a="1"/>
  <c r="K304" i="72" s="1"/>
  <c r="K424" i="72" s="1"/>
  <c r="AE334" i="72"/>
  <c r="AE454" i="72" s="1"/>
  <c r="W305" i="72" a="1"/>
  <c r="W305" i="72" s="1"/>
  <c r="W425" i="72" s="1"/>
  <c r="W338" i="72"/>
  <c r="W458" i="72" s="1"/>
  <c r="AC339" i="72"/>
  <c r="AC459" i="72" s="1"/>
  <c r="P315" i="72" a="1"/>
  <c r="P315" i="72" s="1"/>
  <c r="P435" i="72" s="1"/>
  <c r="R347" i="72"/>
  <c r="R467" i="72" s="1"/>
  <c r="Q349" i="72"/>
  <c r="Q469" i="72" s="1"/>
  <c r="U328" i="72"/>
  <c r="H84" i="72"/>
  <c r="H204" i="72" s="1"/>
  <c r="T85" i="72"/>
  <c r="T205" i="72" s="1"/>
  <c r="V86" i="72"/>
  <c r="V206" i="72" s="1"/>
  <c r="AB87" i="72"/>
  <c r="AB207" i="72" s="1"/>
  <c r="U89" i="72"/>
  <c r="U209" i="72" s="1"/>
  <c r="AG91" i="72"/>
  <c r="AG211" i="72" s="1"/>
  <c r="T63" i="72" a="1"/>
  <c r="T63" i="72" s="1"/>
  <c r="T183" i="72" s="1"/>
  <c r="H102" i="72"/>
  <c r="H222" i="72" s="1"/>
  <c r="AG52" i="72" a="1"/>
  <c r="AG52" i="72" s="1"/>
  <c r="V328" i="72"/>
  <c r="J89" i="72"/>
  <c r="J209" i="72" s="1"/>
  <c r="AG92" i="72"/>
  <c r="AG212" i="72" s="1"/>
  <c r="H101" i="72"/>
  <c r="H221" i="72" s="1"/>
  <c r="Z52" i="72" a="1"/>
  <c r="Z52" i="72" s="1"/>
  <c r="I576" i="72"/>
  <c r="I696" i="72" s="1"/>
  <c r="I543" i="72" a="1"/>
  <c r="I543" i="72" s="1"/>
  <c r="AD335" i="72"/>
  <c r="AD455" i="72" s="1"/>
  <c r="Y85" i="72"/>
  <c r="Y205" i="72" s="1"/>
  <c r="I92" i="72"/>
  <c r="I212" i="72" s="1"/>
  <c r="L69" i="72" a="1"/>
  <c r="L69" i="72" s="1"/>
  <c r="L189" i="72" s="1"/>
  <c r="AA82" i="72"/>
  <c r="O576" i="72"/>
  <c r="O696" i="72" s="1"/>
  <c r="V330" i="72"/>
  <c r="V450" i="72" s="1"/>
  <c r="L335" i="72"/>
  <c r="L455" i="72" s="1"/>
  <c r="J298" i="72" a="1"/>
  <c r="J298" i="72" s="1"/>
  <c r="K91" i="72"/>
  <c r="K211" i="72" s="1"/>
  <c r="S71" i="72" a="1"/>
  <c r="S71" i="72" s="1"/>
  <c r="S191" i="72" s="1"/>
  <c r="H546" i="72" a="1"/>
  <c r="H546" i="72" s="1"/>
  <c r="H666" i="72" s="1"/>
  <c r="J577" i="72"/>
  <c r="J697" i="72" s="1"/>
  <c r="H578" i="72"/>
  <c r="H698" i="72" s="1"/>
  <c r="M579" i="72"/>
  <c r="M699" i="72" s="1"/>
  <c r="R550" i="72" a="1"/>
  <c r="R550" i="72" s="1"/>
  <c r="R670" i="72" s="1"/>
  <c r="T583" i="72"/>
  <c r="T703" i="72" s="1"/>
  <c r="AA584" i="72"/>
  <c r="AA704" i="72" s="1"/>
  <c r="AA589" i="72"/>
  <c r="AA709" i="72" s="1"/>
  <c r="AD591" i="72"/>
  <c r="AD711" i="72" s="1"/>
  <c r="P594" i="72"/>
  <c r="P714" i="72" s="1"/>
  <c r="X573" i="72"/>
  <c r="P300" i="72" a="1"/>
  <c r="P300" i="72" s="1"/>
  <c r="P420" i="72" s="1"/>
  <c r="AF330" i="72"/>
  <c r="AF450" i="72" s="1"/>
  <c r="AB331" i="72"/>
  <c r="AB451" i="72" s="1"/>
  <c r="Y302" i="72" a="1"/>
  <c r="Y302" i="72" s="1"/>
  <c r="Y422" i="72" s="1"/>
  <c r="Q333" i="72"/>
  <c r="Q453" i="72" s="1"/>
  <c r="L304" i="72" a="1"/>
  <c r="L304" i="72" s="1"/>
  <c r="L424" i="72" s="1"/>
  <c r="AF334" i="72"/>
  <c r="AF454" i="72" s="1"/>
  <c r="X335" i="72"/>
  <c r="X455" i="72" s="1"/>
  <c r="W349" i="72"/>
  <c r="W469" i="72" s="1"/>
  <c r="M54" i="72" a="1"/>
  <c r="M54" i="72" s="1"/>
  <c r="M174" i="72" s="1"/>
  <c r="H92" i="72"/>
  <c r="H212" i="72" s="1"/>
  <c r="I72" i="72" a="1"/>
  <c r="I72" i="72" s="1"/>
  <c r="I192" i="72" s="1"/>
  <c r="L577" i="72"/>
  <c r="L697" i="72" s="1"/>
  <c r="O578" i="72"/>
  <c r="O698" i="72" s="1"/>
  <c r="N579" i="72"/>
  <c r="N699" i="72" s="1"/>
  <c r="W592" i="72"/>
  <c r="W712" i="72" s="1"/>
  <c r="AC332" i="72"/>
  <c r="AC452" i="72" s="1"/>
  <c r="J305" i="72" a="1"/>
  <c r="J305" i="72" s="1"/>
  <c r="J425" i="72" s="1"/>
  <c r="Z328" i="72"/>
  <c r="W89" i="72"/>
  <c r="W209" i="72" s="1"/>
  <c r="V93" i="72"/>
  <c r="V213" i="72" s="1"/>
  <c r="AB72" i="72" a="1"/>
  <c r="AB72" i="72" s="1"/>
  <c r="AB192" i="72" s="1"/>
  <c r="N575" i="72"/>
  <c r="N695" i="72" s="1"/>
  <c r="AG573" i="72"/>
  <c r="R334" i="72"/>
  <c r="R454" i="72" s="1"/>
  <c r="T348" i="72"/>
  <c r="T468" i="72" s="1"/>
  <c r="K87" i="72"/>
  <c r="K207" i="72" s="1"/>
  <c r="Y91" i="72"/>
  <c r="Y211" i="72" s="1"/>
  <c r="M99" i="72"/>
  <c r="M219" i="72" s="1"/>
  <c r="L52" i="72" a="1"/>
  <c r="L52" i="72" s="1"/>
  <c r="Q575" i="72"/>
  <c r="Q695" i="72" s="1"/>
  <c r="O583" i="72"/>
  <c r="O703" i="72" s="1"/>
  <c r="J328" i="72"/>
  <c r="U344" i="72"/>
  <c r="U464" i="72" s="1"/>
  <c r="T576" i="72"/>
  <c r="T696" i="72" s="1"/>
  <c r="K303" i="72" a="1"/>
  <c r="K303" i="72" s="1"/>
  <c r="K423" i="72" s="1"/>
  <c r="U576" i="72"/>
  <c r="U696" i="72" s="1"/>
  <c r="P575" i="72"/>
  <c r="P695" i="72" s="1"/>
  <c r="M584" i="72"/>
  <c r="M704" i="72" s="1"/>
  <c r="Z561" i="72" a="1"/>
  <c r="Z561" i="72" s="1"/>
  <c r="Z681" i="72" s="1"/>
  <c r="S549" i="72" a="1"/>
  <c r="S549" i="72" s="1"/>
  <c r="S669" i="72" s="1"/>
  <c r="P345" i="72"/>
  <c r="P465" i="72" s="1"/>
  <c r="J576" i="72"/>
  <c r="J696" i="72" s="1"/>
  <c r="H576" i="72"/>
  <c r="H696" i="72" s="1"/>
  <c r="H331" i="72"/>
  <c r="H451" i="72" s="1"/>
  <c r="X545" i="72" a="1"/>
  <c r="X545" i="72" s="1"/>
  <c r="X665" i="72" s="1"/>
  <c r="J578" i="72"/>
  <c r="J698" i="72" s="1"/>
  <c r="V550" i="72" a="1"/>
  <c r="V550" i="72" s="1"/>
  <c r="V670" i="72" s="1"/>
  <c r="Q590" i="72"/>
  <c r="Q710" i="72" s="1"/>
  <c r="I564" i="72" a="1"/>
  <c r="I564" i="72" s="1"/>
  <c r="I684" i="72" s="1"/>
  <c r="N584" i="72"/>
  <c r="N704" i="72" s="1"/>
  <c r="X591" i="72"/>
  <c r="X711" i="72" s="1"/>
  <c r="Z564" i="72" a="1"/>
  <c r="Z564" i="72" s="1"/>
  <c r="Z684" i="72" s="1"/>
  <c r="Q579" i="72"/>
  <c r="Q699" i="72" s="1"/>
  <c r="Y583" i="72"/>
  <c r="Y703" i="72" s="1"/>
  <c r="Q587" i="72"/>
  <c r="Q707" i="72" s="1"/>
  <c r="I591" i="72"/>
  <c r="I711" i="72" s="1"/>
  <c r="K594" i="72"/>
  <c r="K714" i="72" s="1"/>
  <c r="AC550" i="72" a="1"/>
  <c r="AC550" i="72" s="1"/>
  <c r="AC670" i="72" s="1"/>
  <c r="AD584" i="72"/>
  <c r="AD704" i="72" s="1"/>
  <c r="Z553" i="72" a="1"/>
  <c r="Z553" i="72" s="1"/>
  <c r="Z673" i="72" s="1"/>
  <c r="H558" i="72" a="1"/>
  <c r="H558" i="72" s="1"/>
  <c r="H678" i="72" s="1"/>
  <c r="J591" i="72"/>
  <c r="J711" i="72" s="1"/>
  <c r="AA543" i="72" a="1"/>
  <c r="AA543" i="72" s="1"/>
  <c r="R549" i="72" a="1"/>
  <c r="R549" i="72" s="1"/>
  <c r="R669" i="72" s="1"/>
  <c r="R729" i="72" s="1"/>
  <c r="Y588" i="72"/>
  <c r="Y708" i="72" s="1"/>
  <c r="AA591" i="72"/>
  <c r="AA711" i="72" s="1"/>
  <c r="AC594" i="72"/>
  <c r="AC714" i="72" s="1"/>
  <c r="R548" i="72" a="1"/>
  <c r="R548" i="72" s="1"/>
  <c r="R668" i="72" s="1"/>
  <c r="P559" i="72" a="1"/>
  <c r="P559" i="72" s="1"/>
  <c r="P679" i="72" s="1"/>
  <c r="AD564" i="72" a="1"/>
  <c r="AD564" i="72" s="1"/>
  <c r="AD684" i="72" s="1"/>
  <c r="U587" i="72"/>
  <c r="U707" i="72" s="1"/>
  <c r="AC591" i="72"/>
  <c r="AC711" i="72" s="1"/>
  <c r="AE594" i="72"/>
  <c r="AE714" i="72" s="1"/>
  <c r="N564" i="72" a="1"/>
  <c r="N564" i="72" s="1"/>
  <c r="N684" i="72" s="1"/>
  <c r="T584" i="72"/>
  <c r="T704" i="72" s="1"/>
  <c r="N591" i="72"/>
  <c r="N711" i="72" s="1"/>
  <c r="AF594" i="72"/>
  <c r="AF714" i="72" s="1"/>
  <c r="H548" i="72" a="1"/>
  <c r="H548" i="72" s="1"/>
  <c r="H668" i="72" s="1"/>
  <c r="U561" i="72" a="1"/>
  <c r="U561" i="72" s="1"/>
  <c r="U681" i="72" s="1"/>
  <c r="I560" i="72" a="1"/>
  <c r="I560" i="72" s="1"/>
  <c r="I680" i="72" s="1"/>
  <c r="K563" i="72" a="1"/>
  <c r="K563" i="72" s="1"/>
  <c r="K683" i="72" s="1"/>
  <c r="AE543" i="72" a="1"/>
  <c r="AE543" i="72" s="1"/>
  <c r="Z554" i="72" a="1"/>
  <c r="Z554" i="72" s="1"/>
  <c r="Z674" i="72" s="1"/>
  <c r="V554" i="72" a="1"/>
  <c r="V554" i="72" s="1"/>
  <c r="V674" i="72" s="1"/>
  <c r="AF561" i="72" a="1"/>
  <c r="AF561" i="72" s="1"/>
  <c r="AF681" i="72" s="1"/>
  <c r="V543" i="72" a="1"/>
  <c r="V543" i="72" s="1"/>
  <c r="J549" i="72" a="1"/>
  <c r="J549" i="72" s="1"/>
  <c r="J669" i="72" s="1"/>
  <c r="J729" i="72" s="1"/>
  <c r="AA564" i="72" a="1"/>
  <c r="AA564" i="72" s="1"/>
  <c r="AA684" i="72" s="1"/>
  <c r="Q583" i="72"/>
  <c r="Q703" i="72" s="1"/>
  <c r="AA560" i="72" a="1"/>
  <c r="AA560" i="72" s="1"/>
  <c r="AA680" i="72" s="1"/>
  <c r="S594" i="72"/>
  <c r="S714" i="72" s="1"/>
  <c r="W548" i="72" a="1"/>
  <c r="W548" i="72" s="1"/>
  <c r="W668" i="72" s="1"/>
  <c r="P553" i="72" a="1"/>
  <c r="P553" i="72" s="1"/>
  <c r="P673" i="72" s="1"/>
  <c r="X554" i="72" a="1"/>
  <c r="X554" i="72" s="1"/>
  <c r="X674" i="72" s="1"/>
  <c r="R561" i="72" a="1"/>
  <c r="R561" i="72" s="1"/>
  <c r="R681" i="72" s="1"/>
  <c r="T564" i="72" a="1"/>
  <c r="T564" i="72" s="1"/>
  <c r="T684" i="72" s="1"/>
  <c r="X548" i="72" a="1"/>
  <c r="X548" i="72" s="1"/>
  <c r="X668" i="72" s="1"/>
  <c r="Y587" i="72"/>
  <c r="Y707" i="72" s="1"/>
  <c r="S561" i="72" a="1"/>
  <c r="S561" i="72" s="1"/>
  <c r="S681" i="72" s="1"/>
  <c r="U564" i="72" a="1"/>
  <c r="U564" i="72" s="1"/>
  <c r="U684" i="72" s="1"/>
  <c r="K550" i="72" a="1"/>
  <c r="K550" i="72" s="1"/>
  <c r="K670" i="72" s="1"/>
  <c r="H589" i="72"/>
  <c r="H709" i="72" s="1"/>
  <c r="Z562" i="72" a="1"/>
  <c r="Z562" i="72" s="1"/>
  <c r="Z682" i="72" s="1"/>
  <c r="Y546" i="72" a="1"/>
  <c r="Y546" i="72" s="1"/>
  <c r="Y666" i="72" s="1"/>
  <c r="Y550" i="72" a="1"/>
  <c r="Y550" i="72" s="1"/>
  <c r="Y670" i="72" s="1"/>
  <c r="Y573" i="72"/>
  <c r="I333" i="72"/>
  <c r="I453" i="72" s="1"/>
  <c r="H303" i="72" a="1"/>
  <c r="H303" i="72" s="1"/>
  <c r="H423" i="72" s="1"/>
  <c r="M335" i="72"/>
  <c r="M455" i="72" s="1"/>
  <c r="K328" i="72"/>
  <c r="U547" i="72" a="1"/>
  <c r="U547" i="72" s="1"/>
  <c r="U667" i="72" s="1"/>
  <c r="AB577" i="72"/>
  <c r="AB697" i="72" s="1"/>
  <c r="Y576" i="72"/>
  <c r="Y696" i="72" s="1"/>
  <c r="I334" i="72"/>
  <c r="I454" i="72" s="1"/>
  <c r="I328" i="72"/>
  <c r="K332" i="72"/>
  <c r="K452" i="72" s="1"/>
  <c r="X333" i="72"/>
  <c r="X453" i="72" s="1"/>
  <c r="R558" i="72" a="1"/>
  <c r="R558" i="72" s="1"/>
  <c r="R678" i="72" s="1"/>
  <c r="M545" i="72" a="1"/>
  <c r="M545" i="72" s="1"/>
  <c r="M665" i="72" s="1"/>
  <c r="L573" i="72"/>
  <c r="N576" i="72"/>
  <c r="N696" i="72" s="1"/>
  <c r="Z578" i="72"/>
  <c r="Z698" i="72" s="1"/>
  <c r="K573" i="72"/>
  <c r="AG590" i="72"/>
  <c r="AG710" i="72" s="1"/>
  <c r="Y564" i="72" a="1"/>
  <c r="Y564" i="72" s="1"/>
  <c r="Y684" i="72" s="1"/>
  <c r="T555" i="72" a="1"/>
  <c r="T555" i="72" s="1"/>
  <c r="T675" i="72" s="1"/>
  <c r="N592" i="72"/>
  <c r="N712" i="72" s="1"/>
  <c r="T593" i="72"/>
  <c r="T713" i="72" s="1"/>
  <c r="Q549" i="72" a="1"/>
  <c r="Q549" i="72" s="1"/>
  <c r="Q669" i="72" s="1"/>
  <c r="Y553" i="72" a="1"/>
  <c r="Y553" i="72" s="1"/>
  <c r="Y673" i="72" s="1"/>
  <c r="Q557" i="72" a="1"/>
  <c r="Q557" i="72" s="1"/>
  <c r="Q677" i="72" s="1"/>
  <c r="I561" i="72" a="1"/>
  <c r="I561" i="72" s="1"/>
  <c r="I681" i="72" s="1"/>
  <c r="K564" i="72" a="1"/>
  <c r="K564" i="72" s="1"/>
  <c r="K684" i="72" s="1"/>
  <c r="S553" i="72" a="1"/>
  <c r="S553" i="72" s="1"/>
  <c r="S673" i="72" s="1"/>
  <c r="S733" i="72" s="1"/>
  <c r="AD554" i="72" a="1"/>
  <c r="AD554" i="72" s="1"/>
  <c r="AD674" i="72" s="1"/>
  <c r="Z583" i="72"/>
  <c r="Z703" i="72" s="1"/>
  <c r="H588" i="72"/>
  <c r="H708" i="72" s="1"/>
  <c r="J561" i="72" a="1"/>
  <c r="J561" i="72" s="1"/>
  <c r="J681" i="72" s="1"/>
  <c r="Y545" i="72" a="1"/>
  <c r="Y545" i="72" s="1"/>
  <c r="Y665" i="72" s="1"/>
  <c r="AD549" i="72" a="1"/>
  <c r="AD549" i="72" s="1"/>
  <c r="AD669" i="72" s="1"/>
  <c r="AD729" i="72" s="1"/>
  <c r="Y558" i="72" a="1"/>
  <c r="Y558" i="72" s="1"/>
  <c r="Y678" i="72" s="1"/>
  <c r="AA561" i="72" a="1"/>
  <c r="AA561" i="72" s="1"/>
  <c r="AA681" i="72" s="1"/>
  <c r="AC564" i="72" a="1"/>
  <c r="AC564" i="72" s="1"/>
  <c r="AC684" i="72" s="1"/>
  <c r="AE548" i="72" a="1"/>
  <c r="AE548" i="72" s="1"/>
  <c r="AE668" i="72" s="1"/>
  <c r="AF589" i="72"/>
  <c r="AF709" i="72" s="1"/>
  <c r="AC546" i="72" a="1"/>
  <c r="AC546" i="72" s="1"/>
  <c r="AC666" i="72" s="1"/>
  <c r="U557" i="72" a="1"/>
  <c r="U557" i="72" s="1"/>
  <c r="U677" i="72" s="1"/>
  <c r="AC561" i="72" a="1"/>
  <c r="AC561" i="72" s="1"/>
  <c r="AC681" i="72" s="1"/>
  <c r="AE564" i="72" a="1"/>
  <c r="AE564" i="72" s="1"/>
  <c r="AE684" i="72" s="1"/>
  <c r="I331" i="72"/>
  <c r="I451" i="72" s="1"/>
  <c r="T554" i="72" a="1"/>
  <c r="T554" i="72" s="1"/>
  <c r="T674" i="72" s="1"/>
  <c r="N561" i="72" a="1"/>
  <c r="N561" i="72" s="1"/>
  <c r="N681" i="72" s="1"/>
  <c r="AF564" i="72" a="1"/>
  <c r="AF564" i="72" s="1"/>
  <c r="AF684" i="72" s="1"/>
  <c r="U548" i="72" a="1"/>
  <c r="U548" i="72" s="1"/>
  <c r="U668" i="72" s="1"/>
  <c r="P564" i="72" a="1"/>
  <c r="P564" i="72" s="1"/>
  <c r="P684" i="72" s="1"/>
  <c r="Y590" i="72"/>
  <c r="Y710" i="72" s="1"/>
  <c r="AA593" i="72"/>
  <c r="AA713" i="72" s="1"/>
  <c r="AB545" i="72" a="1"/>
  <c r="AB545" i="72" s="1"/>
  <c r="AB665" i="72" s="1"/>
  <c r="R559" i="72" a="1"/>
  <c r="R559" i="72" s="1"/>
  <c r="R679" i="72" s="1"/>
  <c r="H587" i="72"/>
  <c r="H707" i="72" s="1"/>
  <c r="V592" i="72"/>
  <c r="V712" i="72" s="1"/>
  <c r="I545" i="72" a="1"/>
  <c r="I545" i="72" s="1"/>
  <c r="I665" i="72" s="1"/>
  <c r="I725" i="72" s="1"/>
  <c r="V549" i="72" a="1"/>
  <c r="V549" i="72" s="1"/>
  <c r="V669" i="72" s="1"/>
  <c r="V729" i="72" s="1"/>
  <c r="AD573" i="72"/>
  <c r="Q553" i="72" a="1"/>
  <c r="Q553" i="72" s="1"/>
  <c r="Q673" i="72" s="1"/>
  <c r="AA590" i="72"/>
  <c r="AA710" i="72" s="1"/>
  <c r="S564" i="72" a="1"/>
  <c r="S564" i="72" s="1"/>
  <c r="S684" i="72" s="1"/>
  <c r="AC553" i="72" a="1"/>
  <c r="AC553" i="72" s="1"/>
  <c r="AC673" i="72" s="1"/>
  <c r="Z590" i="72"/>
  <c r="Z710" i="72" s="1"/>
  <c r="T586" i="72"/>
  <c r="T706" i="72" s="1"/>
  <c r="H592" i="72"/>
  <c r="H712" i="72" s="1"/>
  <c r="M543" i="72" a="1"/>
  <c r="M543" i="72" s="1"/>
  <c r="K549" i="72" a="1"/>
  <c r="K549" i="72" s="1"/>
  <c r="K669" i="72" s="1"/>
  <c r="T589" i="72"/>
  <c r="T709" i="72" s="1"/>
  <c r="I592" i="72"/>
  <c r="I712" i="72" s="1"/>
  <c r="N543" i="72" a="1"/>
  <c r="N543" i="72" s="1"/>
  <c r="K553" i="72" a="1"/>
  <c r="K553" i="72" s="1"/>
  <c r="K673" i="72" s="1"/>
  <c r="N560" i="72" a="1"/>
  <c r="N560" i="72" s="1"/>
  <c r="N680" i="72" s="1"/>
  <c r="AF563" i="72" a="1"/>
  <c r="AF563" i="72" s="1"/>
  <c r="AF683" i="72" s="1"/>
  <c r="R547" i="72" a="1"/>
  <c r="R547" i="72" s="1"/>
  <c r="R667" i="72" s="1"/>
  <c r="I554" i="72" a="1"/>
  <c r="I554" i="72" s="1"/>
  <c r="I674" i="72" s="1"/>
  <c r="Q585" i="72"/>
  <c r="Q705" i="72" s="1"/>
  <c r="M331" i="72"/>
  <c r="M451" i="72" s="1"/>
  <c r="L301" i="72" a="1"/>
  <c r="L301" i="72" s="1"/>
  <c r="L421" i="72" s="1"/>
  <c r="M305" i="72" a="1"/>
  <c r="M305" i="72" s="1"/>
  <c r="M425" i="72" s="1"/>
  <c r="H582" i="72"/>
  <c r="H702" i="72" s="1"/>
  <c r="U577" i="72"/>
  <c r="U697" i="72" s="1"/>
  <c r="V576" i="72"/>
  <c r="V696" i="72" s="1"/>
  <c r="P545" i="72" a="1"/>
  <c r="P545" i="72" s="1"/>
  <c r="P665" i="72" s="1"/>
  <c r="U578" i="72"/>
  <c r="U698" i="72" s="1"/>
  <c r="S587" i="72"/>
  <c r="S707" i="72" s="1"/>
  <c r="AA575" i="72"/>
  <c r="AA695" i="72" s="1"/>
  <c r="S573" i="72"/>
  <c r="I559" i="72" a="1"/>
  <c r="I559" i="72" s="1"/>
  <c r="I679" i="72" s="1"/>
  <c r="O548" i="72" a="1"/>
  <c r="O548" i="72" s="1"/>
  <c r="O668" i="72" s="1"/>
  <c r="L543" i="72" a="1"/>
  <c r="L543" i="72" s="1"/>
  <c r="N546" i="72" a="1"/>
  <c r="N546" i="72" s="1"/>
  <c r="N666" i="72" s="1"/>
  <c r="Z548" i="72" a="1"/>
  <c r="Z548" i="72" s="1"/>
  <c r="Z668" i="72" s="1"/>
  <c r="AA573" i="72"/>
  <c r="AG560" i="72" a="1"/>
  <c r="AG560" i="72" s="1"/>
  <c r="AG680" i="72" s="1"/>
  <c r="Y594" i="72"/>
  <c r="Y714" i="72" s="1"/>
  <c r="T585" i="72"/>
  <c r="T705" i="72" s="1"/>
  <c r="N562" i="72" a="1"/>
  <c r="N562" i="72" s="1"/>
  <c r="N682" i="72" s="1"/>
  <c r="M573" i="72"/>
  <c r="AG579" i="72"/>
  <c r="AG699" i="72" s="1"/>
  <c r="O584" i="72"/>
  <c r="O704" i="72" s="1"/>
  <c r="W588" i="72"/>
  <c r="W708" i="72" s="1"/>
  <c r="Y591" i="72"/>
  <c r="Y711" i="72" s="1"/>
  <c r="Q543" i="72" a="1"/>
  <c r="Q543" i="72" s="1"/>
  <c r="Q554" i="72" a="1"/>
  <c r="Q554" i="72" s="1"/>
  <c r="Q674" i="72" s="1"/>
  <c r="Q734" i="72" s="1"/>
  <c r="V558" i="72" a="1"/>
  <c r="V558" i="72" s="1"/>
  <c r="V678" i="72" s="1"/>
  <c r="P554" i="72" a="1"/>
  <c r="P554" i="72" s="1"/>
  <c r="P674" i="72" s="1"/>
  <c r="X558" i="72" a="1"/>
  <c r="X558" i="72" s="1"/>
  <c r="X678" i="72" s="1"/>
  <c r="P592" i="72"/>
  <c r="P712" i="72" s="1"/>
  <c r="I546" i="72" a="1"/>
  <c r="I546" i="72" s="1"/>
  <c r="I666" i="72" s="1"/>
  <c r="Q550" i="72" a="1"/>
  <c r="Q550" i="72" s="1"/>
  <c r="Q670" i="72" s="1"/>
  <c r="O589" i="72"/>
  <c r="O709" i="72" s="1"/>
  <c r="Q592" i="72"/>
  <c r="Q712" i="72" s="1"/>
  <c r="R543" i="72" a="1"/>
  <c r="R543" i="72" s="1"/>
  <c r="T553" i="72" a="1"/>
  <c r="T553" i="72" s="1"/>
  <c r="T673" i="72" s="1"/>
  <c r="AF559" i="72" a="1"/>
  <c r="AF559" i="72" s="1"/>
  <c r="AF679" i="72" s="1"/>
  <c r="AE549" i="72" a="1"/>
  <c r="AE549" i="72" s="1"/>
  <c r="AE669" i="72" s="1"/>
  <c r="Q589" i="72"/>
  <c r="Q709" i="72" s="1"/>
  <c r="S592" i="72"/>
  <c r="S712" i="72" s="1"/>
  <c r="X547" i="72" a="1"/>
  <c r="X547" i="72" s="1"/>
  <c r="X667" i="72" s="1"/>
  <c r="H337" i="72"/>
  <c r="H457" i="72" s="1"/>
  <c r="V587" i="72"/>
  <c r="V707" i="72" s="1"/>
  <c r="T592" i="72"/>
  <c r="T712" i="72" s="1"/>
  <c r="J543" i="72" a="1"/>
  <c r="J543" i="72" s="1"/>
  <c r="AG548" i="72" a="1"/>
  <c r="AG548" i="72" s="1"/>
  <c r="AG668" i="72" s="1"/>
  <c r="AG728" i="72" s="1"/>
  <c r="X583" i="72"/>
  <c r="X703" i="72" s="1"/>
  <c r="Y560" i="72" a="1"/>
  <c r="Y560" i="72" s="1"/>
  <c r="Y680" i="72" s="1"/>
  <c r="AA563" i="72" a="1"/>
  <c r="AA563" i="72" s="1"/>
  <c r="AA683" i="72" s="1"/>
  <c r="U546" i="72" a="1"/>
  <c r="U546" i="72" s="1"/>
  <c r="U666" i="72" s="1"/>
  <c r="V561" i="72" a="1"/>
  <c r="V561" i="72" s="1"/>
  <c r="V681" i="72" s="1"/>
  <c r="V741" i="72" s="1"/>
  <c r="H557" i="72" a="1"/>
  <c r="H557" i="72" s="1"/>
  <c r="H677" i="72" s="1"/>
  <c r="V562" i="72" a="1"/>
  <c r="V562" i="72" s="1"/>
  <c r="V682" i="72" s="1"/>
  <c r="S545" i="72" a="1"/>
  <c r="S545" i="72" s="1"/>
  <c r="S665" i="72" s="1"/>
  <c r="I550" i="72" a="1"/>
  <c r="I550" i="72" s="1"/>
  <c r="I670" i="72" s="1"/>
  <c r="S548" i="72" a="1"/>
  <c r="S548" i="72" s="1"/>
  <c r="S668" i="72" s="1"/>
  <c r="W554" i="72" a="1"/>
  <c r="W554" i="72" s="1"/>
  <c r="W674" i="72" s="1"/>
  <c r="Q591" i="72"/>
  <c r="Q711" i="72" s="1"/>
  <c r="AF543" i="72" a="1"/>
  <c r="AF543" i="72" s="1"/>
  <c r="AC554" i="72" a="1"/>
  <c r="AC554" i="72" s="1"/>
  <c r="AC674" i="72" s="1"/>
  <c r="Z560" i="72" a="1"/>
  <c r="Z560" i="72" s="1"/>
  <c r="Z680" i="72" s="1"/>
  <c r="T556" i="72" a="1"/>
  <c r="T556" i="72" s="1"/>
  <c r="T676" i="72" s="1"/>
  <c r="H562" i="72" a="1"/>
  <c r="H562" i="72" s="1"/>
  <c r="H682" i="72" s="1"/>
  <c r="W543" i="72" a="1"/>
  <c r="W543" i="72" s="1"/>
  <c r="W549" i="72" a="1"/>
  <c r="W549" i="72" s="1"/>
  <c r="W669" i="72" s="1"/>
  <c r="T559" i="72" a="1"/>
  <c r="T559" i="72" s="1"/>
  <c r="T679" i="72" s="1"/>
  <c r="I562" i="72" a="1"/>
  <c r="I562" i="72" s="1"/>
  <c r="I682" i="72" s="1"/>
  <c r="AG543" i="72" a="1"/>
  <c r="AG543" i="72" s="1"/>
  <c r="O579" i="72"/>
  <c r="O699" i="72" s="1"/>
  <c r="J547" i="72" a="1"/>
  <c r="J547" i="72" s="1"/>
  <c r="J667" i="72" s="1"/>
  <c r="J727" i="72" s="1"/>
  <c r="AG550" i="72" a="1"/>
  <c r="AG550" i="72" s="1"/>
  <c r="AG670" i="72" s="1"/>
  <c r="AG577" i="72"/>
  <c r="AG697" i="72" s="1"/>
  <c r="W335" i="72"/>
  <c r="W455" i="72" s="1"/>
  <c r="W579" i="72"/>
  <c r="W699" i="72" s="1"/>
  <c r="AA579" i="72"/>
  <c r="AA699" i="72" s="1"/>
  <c r="N580" i="72"/>
  <c r="N700" i="72" s="1"/>
  <c r="AG562" i="72" a="1"/>
  <c r="AG562" i="72" s="1"/>
  <c r="AG682" i="72" s="1"/>
  <c r="J589" i="72"/>
  <c r="J709" i="72" s="1"/>
  <c r="AA576" i="72"/>
  <c r="AA696" i="72" s="1"/>
  <c r="P580" i="72"/>
  <c r="P700" i="72" s="1"/>
  <c r="J304" i="72" a="1"/>
  <c r="J304" i="72" s="1"/>
  <c r="J424" i="72" s="1"/>
  <c r="AB573" i="72"/>
  <c r="AD576" i="72"/>
  <c r="AD696" i="72" s="1"/>
  <c r="P579" i="72"/>
  <c r="P699" i="72" s="1"/>
  <c r="U558" i="72" a="1"/>
  <c r="U558" i="72" s="1"/>
  <c r="U678" i="72" s="1"/>
  <c r="AC562" i="72" a="1"/>
  <c r="AC562" i="72" s="1"/>
  <c r="AC682" i="72" s="1"/>
  <c r="P543" i="72" a="1"/>
  <c r="P543" i="72" s="1"/>
  <c r="R560" i="72" a="1"/>
  <c r="R560" i="72" s="1"/>
  <c r="R680" i="72" s="1"/>
  <c r="AD562" i="72" a="1"/>
  <c r="AD562" i="72" s="1"/>
  <c r="AD682" i="72" s="1"/>
  <c r="AC573" i="72"/>
  <c r="AG549" i="72" a="1"/>
  <c r="AG549" i="72" s="1"/>
  <c r="AG669" i="72" s="1"/>
  <c r="O554" i="72" a="1"/>
  <c r="O554" i="72" s="1"/>
  <c r="O674" i="72" s="1"/>
  <c r="W558" i="72" a="1"/>
  <c r="W558" i="72" s="1"/>
  <c r="W678" i="72" s="1"/>
  <c r="Y561" i="72" a="1"/>
  <c r="Y561" i="72" s="1"/>
  <c r="Y681" i="72" s="1"/>
  <c r="N545" i="72" a="1"/>
  <c r="N545" i="72" s="1"/>
  <c r="N665" i="72" s="1"/>
  <c r="S555" i="72" a="1"/>
  <c r="S555" i="72" s="1"/>
  <c r="S675" i="72" s="1"/>
  <c r="S735" i="72" s="1"/>
  <c r="V588" i="72"/>
  <c r="V708" i="72" s="1"/>
  <c r="P584" i="72"/>
  <c r="P704" i="72" s="1"/>
  <c r="X588" i="72"/>
  <c r="X708" i="72" s="1"/>
  <c r="P562" i="72" a="1"/>
  <c r="P562" i="72" s="1"/>
  <c r="P682" i="72" s="1"/>
  <c r="AB546" i="72" a="1"/>
  <c r="AB546" i="72" s="1"/>
  <c r="AB666" i="72" s="1"/>
  <c r="AF550" i="72" a="1"/>
  <c r="AF550" i="72" s="1"/>
  <c r="AF670" i="72" s="1"/>
  <c r="O559" i="72" a="1"/>
  <c r="O559" i="72" s="1"/>
  <c r="O679" i="72" s="1"/>
  <c r="Q562" i="72" a="1"/>
  <c r="Q562" i="72" s="1"/>
  <c r="Q682" i="72" s="1"/>
  <c r="O545" i="72" a="1"/>
  <c r="O545" i="72" s="1"/>
  <c r="O665" i="72" s="1"/>
  <c r="S554" i="72" a="1"/>
  <c r="S554" i="72" s="1"/>
  <c r="S674" i="72" s="1"/>
  <c r="AB591" i="72"/>
  <c r="AB711" i="72" s="1"/>
  <c r="L561" i="72" a="1"/>
  <c r="L561" i="72" s="1"/>
  <c r="L681" i="72" s="1"/>
  <c r="Q559" i="72" a="1"/>
  <c r="Q559" i="72" s="1"/>
  <c r="Q679" i="72" s="1"/>
  <c r="S562" i="72" a="1"/>
  <c r="S562" i="72" s="1"/>
  <c r="S682" i="72" s="1"/>
  <c r="W553" i="72" a="1"/>
  <c r="W553" i="72" s="1"/>
  <c r="W673" i="72" s="1"/>
  <c r="H298" i="72" a="1"/>
  <c r="H298" i="72" s="1"/>
  <c r="V557" i="72" a="1"/>
  <c r="V557" i="72" s="1"/>
  <c r="V677" i="72" s="1"/>
  <c r="T562" i="72" a="1"/>
  <c r="T562" i="72" s="1"/>
  <c r="T682" i="72" s="1"/>
  <c r="T543" i="72" a="1"/>
  <c r="T543" i="72" s="1"/>
  <c r="T549" i="72" a="1"/>
  <c r="T549" i="72" s="1"/>
  <c r="T669" i="72" s="1"/>
  <c r="Q586" i="72"/>
  <c r="Q706" i="72" s="1"/>
  <c r="O591" i="72"/>
  <c r="O711" i="72" s="1"/>
  <c r="Q594" i="72"/>
  <c r="Q714" i="72" s="1"/>
  <c r="AF546" i="72" a="1"/>
  <c r="AF546" i="72" s="1"/>
  <c r="AF666" i="72" s="1"/>
  <c r="R564" i="72" a="1"/>
  <c r="R564" i="72" s="1"/>
  <c r="R684" i="72" s="1"/>
  <c r="R744" i="72" s="1"/>
  <c r="X587" i="72"/>
  <c r="X707" i="72" s="1"/>
  <c r="L593" i="72"/>
  <c r="L713" i="72" s="1"/>
  <c r="L546" i="72" a="1"/>
  <c r="L546" i="72" s="1"/>
  <c r="L666" i="72" s="1"/>
  <c r="U550" i="72" a="1"/>
  <c r="U550" i="72" s="1"/>
  <c r="U670" i="72" s="1"/>
  <c r="S578" i="72"/>
  <c r="S698" i="72" s="1"/>
  <c r="W584" i="72"/>
  <c r="W704" i="72" s="1"/>
  <c r="Q561" i="72" a="1"/>
  <c r="Q561" i="72" s="1"/>
  <c r="Q681" i="72" s="1"/>
  <c r="J545" i="72" a="1"/>
  <c r="J545" i="72" s="1"/>
  <c r="J665" i="72" s="1"/>
  <c r="AE561" i="72" a="1"/>
  <c r="AE561" i="72" s="1"/>
  <c r="AE681" i="72" s="1"/>
  <c r="R583" i="72"/>
  <c r="R703" i="72" s="1"/>
  <c r="V589" i="72"/>
  <c r="V709" i="72" s="1"/>
  <c r="N593" i="72"/>
  <c r="N713" i="72" s="1"/>
  <c r="T545" i="72" a="1"/>
  <c r="T545" i="72" s="1"/>
  <c r="T665" i="72" s="1"/>
  <c r="T725" i="72" s="1"/>
  <c r="J550" i="72" a="1"/>
  <c r="J550" i="72" s="1"/>
  <c r="J670" i="72" s="1"/>
  <c r="W589" i="72"/>
  <c r="W709" i="72" s="1"/>
  <c r="Y592" i="72"/>
  <c r="Y712" i="72" s="1"/>
  <c r="K545" i="72" a="1"/>
  <c r="K545" i="72" s="1"/>
  <c r="K665" i="72" s="1"/>
  <c r="AC559" i="72" a="1"/>
  <c r="AC559" i="72" s="1"/>
  <c r="AC679" i="72" s="1"/>
  <c r="AC739" i="72" s="1"/>
  <c r="T561" i="72" a="1"/>
  <c r="T561" i="72" s="1"/>
  <c r="T681" i="72" s="1"/>
  <c r="V564" i="72" a="1"/>
  <c r="V564" i="72" s="1"/>
  <c r="V684" i="72" s="1"/>
  <c r="M548" i="72" a="1"/>
  <c r="M548" i="72" s="1"/>
  <c r="M668" i="72" s="1"/>
  <c r="U556" i="72" a="1"/>
  <c r="U556" i="72" s="1"/>
  <c r="U676" i="72" s="1"/>
  <c r="S588" i="72"/>
  <c r="S708" i="72" s="1"/>
  <c r="K592" i="72"/>
  <c r="K712" i="72" s="1"/>
  <c r="O543" i="72" a="1"/>
  <c r="O543" i="72" s="1"/>
  <c r="J554" i="72" a="1"/>
  <c r="J554" i="72" s="1"/>
  <c r="J674" i="72" s="1"/>
  <c r="AB584" i="72"/>
  <c r="AB704" i="72" s="1"/>
  <c r="Z589" i="72"/>
  <c r="Z709" i="72" s="1"/>
  <c r="AB592" i="72"/>
  <c r="AB712" i="72" s="1"/>
  <c r="AF545" i="72" a="1"/>
  <c r="AF545" i="72" s="1"/>
  <c r="AF665" i="72" s="1"/>
  <c r="M550" i="72" a="1"/>
  <c r="M550" i="72" s="1"/>
  <c r="M670" i="72" s="1"/>
  <c r="M300" i="72" a="1"/>
  <c r="M300" i="72" s="1"/>
  <c r="M420" i="72" s="1"/>
  <c r="H330" i="72"/>
  <c r="H450" i="72" s="1"/>
  <c r="AF548" i="72" a="1"/>
  <c r="AF548" i="72" s="1"/>
  <c r="AF668" i="72" s="1"/>
  <c r="AG580" i="72"/>
  <c r="AG700" i="72" s="1"/>
  <c r="AG547" i="72" a="1"/>
  <c r="AG547" i="72" s="1"/>
  <c r="AG667" i="72" s="1"/>
  <c r="I330" i="72"/>
  <c r="I450" i="72" s="1"/>
  <c r="O575" i="72"/>
  <c r="O695" i="72" s="1"/>
  <c r="S575" i="72"/>
  <c r="S695" i="72" s="1"/>
  <c r="Q580" i="72"/>
  <c r="Q700" i="72" s="1"/>
  <c r="Q576" i="72"/>
  <c r="Q696" i="72" s="1"/>
  <c r="AG563" i="72" a="1"/>
  <c r="AG563" i="72" s="1"/>
  <c r="AG683" i="72" s="1"/>
  <c r="R580" i="72"/>
  <c r="R700" i="72" s="1"/>
  <c r="AD577" i="72"/>
  <c r="AD697" i="72" s="1"/>
  <c r="J334" i="72"/>
  <c r="J454" i="72" s="1"/>
  <c r="AB543" i="72" a="1"/>
  <c r="AB543" i="72" s="1"/>
  <c r="AD546" i="72" a="1"/>
  <c r="AD546" i="72" s="1"/>
  <c r="AD666" i="72" s="1"/>
  <c r="P549" i="72" a="1"/>
  <c r="P549" i="72" s="1"/>
  <c r="P669" i="72" s="1"/>
  <c r="U588" i="72"/>
  <c r="U708" i="72" s="1"/>
  <c r="AC592" i="72"/>
  <c r="AC712" i="72" s="1"/>
  <c r="M554" i="72" a="1"/>
  <c r="M554" i="72" s="1"/>
  <c r="M674" i="72" s="1"/>
  <c r="R590" i="72"/>
  <c r="R710" i="72" s="1"/>
  <c r="AD592" i="72"/>
  <c r="AD712" i="72" s="1"/>
  <c r="K578" i="72"/>
  <c r="K698" i="72" s="1"/>
  <c r="W580" i="72"/>
  <c r="W700" i="72" s="1"/>
  <c r="AE584" i="72"/>
  <c r="AE704" i="72" s="1"/>
  <c r="M589" i="72"/>
  <c r="M709" i="72" s="1"/>
  <c r="AE592" i="72"/>
  <c r="AE712" i="72" s="1"/>
  <c r="R546" i="72" a="1"/>
  <c r="R546" i="72" s="1"/>
  <c r="R666" i="72" s="1"/>
  <c r="U560" i="72" a="1"/>
  <c r="U560" i="72" s="1"/>
  <c r="U680" i="72" s="1"/>
  <c r="L589" i="72"/>
  <c r="L709" i="72" s="1"/>
  <c r="AF554" i="72" a="1"/>
  <c r="AF554" i="72" s="1"/>
  <c r="AF674" i="72" s="1"/>
  <c r="N589" i="72"/>
  <c r="N709" i="72" s="1"/>
  <c r="V563" i="72" a="1"/>
  <c r="V563" i="72" s="1"/>
  <c r="V683" i="72" s="1"/>
  <c r="L547" i="72" a="1"/>
  <c r="L547" i="72" s="1"/>
  <c r="L667" i="72" s="1"/>
  <c r="R554" i="72" a="1"/>
  <c r="R554" i="72" s="1"/>
  <c r="R674" i="72" s="1"/>
  <c r="AE589" i="72"/>
  <c r="AE709" i="72" s="1"/>
  <c r="W593" i="72"/>
  <c r="W713" i="72" s="1"/>
  <c r="Z545" i="72" a="1"/>
  <c r="Z545" i="72" s="1"/>
  <c r="Z665" i="72" s="1"/>
  <c r="Z725" i="72" s="1"/>
  <c r="AD560" i="72" a="1"/>
  <c r="AD560" i="72" s="1"/>
  <c r="AD680" i="72" s="1"/>
  <c r="AB561" i="72" a="1"/>
  <c r="AB561" i="72" s="1"/>
  <c r="AB681" i="72" s="1"/>
  <c r="V590" i="72"/>
  <c r="V710" i="72" s="1"/>
  <c r="AG589" i="72"/>
  <c r="AG709" i="72" s="1"/>
  <c r="I593" i="72"/>
  <c r="I713" i="72" s="1"/>
  <c r="M561" i="72" a="1"/>
  <c r="M561" i="72" s="1"/>
  <c r="M681" i="72" s="1"/>
  <c r="N583" i="72"/>
  <c r="N703" i="72" s="1"/>
  <c r="H590" i="72"/>
  <c r="H710" i="72" s="1"/>
  <c r="J593" i="72"/>
  <c r="J713" i="72" s="1"/>
  <c r="R545" i="72" a="1"/>
  <c r="R545" i="72" s="1"/>
  <c r="R665" i="72" s="1"/>
  <c r="H550" i="72" a="1"/>
  <c r="H550" i="72" s="1"/>
  <c r="H670" i="72" s="1"/>
  <c r="Q556" i="72" a="1"/>
  <c r="Q556" i="72" s="1"/>
  <c r="Q676" i="72" s="1"/>
  <c r="O561" i="72" a="1"/>
  <c r="O561" i="72" s="1"/>
  <c r="O681" i="72" s="1"/>
  <c r="Q564" i="72" a="1"/>
  <c r="Q564" i="72" s="1"/>
  <c r="Q684" i="72" s="1"/>
  <c r="Y547" i="72" a="1"/>
  <c r="Y547" i="72" s="1"/>
  <c r="Y667" i="72" s="1"/>
  <c r="Y727" i="72" s="1"/>
  <c r="AG583" i="72"/>
  <c r="AG703" i="72" s="1"/>
  <c r="X557" i="72" a="1"/>
  <c r="X557" i="72" s="1"/>
  <c r="X677" i="72" s="1"/>
  <c r="L563" i="72" a="1"/>
  <c r="L563" i="72" s="1"/>
  <c r="L683" i="72" s="1"/>
  <c r="V546" i="72" a="1"/>
  <c r="V546" i="72" s="1"/>
  <c r="V666" i="72" s="1"/>
  <c r="AB553" i="72" a="1"/>
  <c r="AB553" i="72" s="1"/>
  <c r="AB673" i="72" s="1"/>
  <c r="AB733" i="72" s="1"/>
  <c r="I549" i="72" a="1"/>
  <c r="I549" i="72" s="1"/>
  <c r="I669" i="72" s="1"/>
  <c r="S556" i="72" a="1"/>
  <c r="S556" i="72" s="1"/>
  <c r="S676" i="72" s="1"/>
  <c r="AG561" i="72" a="1"/>
  <c r="AG561" i="72" s="1"/>
  <c r="AG681" i="72" s="1"/>
  <c r="AC545" i="72" a="1"/>
  <c r="AC545" i="72" s="1"/>
  <c r="AC665" i="72" s="1"/>
  <c r="AC725" i="72" s="1"/>
  <c r="AB564" i="72" a="1"/>
  <c r="AB564" i="72" s="1"/>
  <c r="AB684" i="72" s="1"/>
  <c r="R553" i="72" a="1"/>
  <c r="R553" i="72" s="1"/>
  <c r="R673" i="72" s="1"/>
  <c r="V559" i="72" a="1"/>
  <c r="V559" i="72" s="1"/>
  <c r="V679" i="72" s="1"/>
  <c r="N563" i="72" a="1"/>
  <c r="N563" i="72" s="1"/>
  <c r="N683" i="72" s="1"/>
  <c r="M546" i="72" a="1"/>
  <c r="M546" i="72" s="1"/>
  <c r="M666" i="72" s="1"/>
  <c r="X550" i="72" a="1"/>
  <c r="X550" i="72" s="1"/>
  <c r="X670" i="72" s="1"/>
  <c r="X730" i="72" s="1"/>
  <c r="W559" i="72" a="1"/>
  <c r="W559" i="72" s="1"/>
  <c r="W679" i="72" s="1"/>
  <c r="Y562" i="72" a="1"/>
  <c r="Y562" i="72" s="1"/>
  <c r="Y682" i="72" s="1"/>
  <c r="AD545" i="72" a="1"/>
  <c r="AD545" i="72" s="1"/>
  <c r="AD665" i="72" s="1"/>
  <c r="O562" i="72" a="1"/>
  <c r="O562" i="72" s="1"/>
  <c r="O682" i="72" s="1"/>
  <c r="T591" i="72"/>
  <c r="T711" i="72" s="1"/>
  <c r="V594" i="72"/>
  <c r="V714" i="72" s="1"/>
  <c r="Y548" i="72" a="1"/>
  <c r="Y548" i="72" s="1"/>
  <c r="Y668" i="72" s="1"/>
  <c r="J560" i="72" a="1"/>
  <c r="J560" i="72" s="1"/>
  <c r="J680" i="72" s="1"/>
  <c r="S558" i="72" a="1"/>
  <c r="S558" i="72" s="1"/>
  <c r="S678" i="72" s="1"/>
  <c r="K562" i="72" a="1"/>
  <c r="K562" i="72" s="1"/>
  <c r="K682" i="72" s="1"/>
  <c r="L545" i="72" a="1"/>
  <c r="L545" i="72" s="1"/>
  <c r="L665" i="72" s="1"/>
  <c r="K560" i="72" a="1"/>
  <c r="K560" i="72" s="1"/>
  <c r="K680" i="72" s="1"/>
  <c r="AB554" i="72" a="1"/>
  <c r="AB554" i="72" s="1"/>
  <c r="AB674" i="72" s="1"/>
  <c r="Z559" i="72" a="1"/>
  <c r="Z559" i="72" s="1"/>
  <c r="Z679" i="72" s="1"/>
  <c r="AB562" i="72" a="1"/>
  <c r="AB562" i="72" s="1"/>
  <c r="AB682" i="72" s="1"/>
  <c r="Z546" i="72" a="1"/>
  <c r="Z546" i="72" s="1"/>
  <c r="Z666" i="72" s="1"/>
  <c r="Z550" i="72" a="1"/>
  <c r="Z550" i="72" s="1"/>
  <c r="Z670" i="72" s="1"/>
  <c r="I302" i="72" a="1"/>
  <c r="I302" i="72" s="1"/>
  <c r="I422" i="72" s="1"/>
  <c r="AB580" i="72"/>
  <c r="AB700" i="72" s="1"/>
  <c r="J303" i="72" a="1"/>
  <c r="J303" i="72" s="1"/>
  <c r="J423" i="72" s="1"/>
  <c r="U314" i="72" a="1"/>
  <c r="U314" i="72" s="1"/>
  <c r="U434" i="72" s="1"/>
  <c r="U494" i="72" s="1"/>
  <c r="T546" i="72" a="1"/>
  <c r="T546" i="72" s="1"/>
  <c r="T666" i="72" s="1"/>
  <c r="T726" i="72" s="1"/>
  <c r="M302" i="72" a="1"/>
  <c r="M302" i="72" s="1"/>
  <c r="M422" i="72" s="1"/>
  <c r="AG349" i="72"/>
  <c r="AG469" i="72" s="1"/>
  <c r="K301" i="72" a="1"/>
  <c r="K301" i="72" s="1"/>
  <c r="K421" i="72" s="1"/>
  <c r="M304" i="72" a="1"/>
  <c r="M304" i="72" s="1"/>
  <c r="M424" i="72" s="1"/>
  <c r="H564" i="72" a="1"/>
  <c r="H564" i="72" s="1"/>
  <c r="H684" i="72" s="1"/>
  <c r="R298" i="72" a="1"/>
  <c r="R298" i="72" s="1"/>
  <c r="L330" i="72"/>
  <c r="L450" i="72" s="1"/>
  <c r="S580" i="72"/>
  <c r="S700" i="72" s="1"/>
  <c r="T548" i="72" a="1"/>
  <c r="T548" i="72" s="1"/>
  <c r="T668" i="72" s="1"/>
  <c r="T728" i="72" s="1"/>
  <c r="H301" i="72" a="1"/>
  <c r="H301" i="72" s="1"/>
  <c r="H421" i="72" s="1"/>
  <c r="H481" i="72" s="1"/>
  <c r="X575" i="72"/>
  <c r="X695" i="72" s="1"/>
  <c r="J548" i="72" a="1"/>
  <c r="J548" i="72" s="1"/>
  <c r="J668" i="72" s="1"/>
  <c r="J728" i="72" s="1"/>
  <c r="V580" i="72"/>
  <c r="V700" i="72" s="1"/>
  <c r="Q560" i="72" a="1"/>
  <c r="Q560" i="72" s="1"/>
  <c r="Q680" i="72" s="1"/>
  <c r="Q740" i="72" s="1"/>
  <c r="I594" i="72"/>
  <c r="I714" i="72" s="1"/>
  <c r="N554" i="72" a="1"/>
  <c r="N554" i="72" s="1"/>
  <c r="N674" i="72" s="1"/>
  <c r="N734" i="72" s="1"/>
  <c r="X561" i="72" a="1"/>
  <c r="X561" i="72" s="1"/>
  <c r="X681" i="72" s="1"/>
  <c r="X741" i="72" s="1"/>
  <c r="Z594" i="72"/>
  <c r="Z714" i="72" s="1"/>
  <c r="AA548" i="72" a="1"/>
  <c r="AA548" i="72" s="1"/>
  <c r="AA668" i="72" s="1"/>
  <c r="I553" i="72" a="1"/>
  <c r="I553" i="72" s="1"/>
  <c r="I673" i="72" s="1"/>
  <c r="U555" i="72" a="1"/>
  <c r="U555" i="72" s="1"/>
  <c r="U675" i="72" s="1"/>
  <c r="S560" i="72" a="1"/>
  <c r="S560" i="72" s="1"/>
  <c r="S680" i="72" s="1"/>
  <c r="U563" i="72" a="1"/>
  <c r="U563" i="72" s="1"/>
  <c r="U683" i="72" s="1"/>
  <c r="AC549" i="72" a="1"/>
  <c r="AC549" i="72" s="1"/>
  <c r="AC669" i="72" s="1"/>
  <c r="AC729" i="72" s="1"/>
  <c r="AC593" i="72"/>
  <c r="AC713" i="72" s="1"/>
  <c r="J583" i="72"/>
  <c r="J703" i="72" s="1"/>
  <c r="R587" i="72"/>
  <c r="R707" i="72" s="1"/>
  <c r="AD589" i="72"/>
  <c r="AD709" i="72" s="1"/>
  <c r="L594" i="72"/>
  <c r="L714" i="72" s="1"/>
  <c r="AD548" i="72" a="1"/>
  <c r="AD548" i="72" s="1"/>
  <c r="AD668" i="72" s="1"/>
  <c r="AE580" i="72"/>
  <c r="AE700" i="72" s="1"/>
  <c r="K561" i="72" a="1"/>
  <c r="K561" i="72" s="1"/>
  <c r="K681" i="72" s="1"/>
  <c r="M564" i="72" a="1"/>
  <c r="M564" i="72" s="1"/>
  <c r="M684" i="72" s="1"/>
  <c r="W547" i="72" a="1"/>
  <c r="W547" i="72" s="1"/>
  <c r="W667" i="72" s="1"/>
  <c r="P589" i="72"/>
  <c r="P709" i="72" s="1"/>
  <c r="AD594" i="72"/>
  <c r="AD714" i="72" s="1"/>
  <c r="J302" i="72" a="1"/>
  <c r="J302" i="72" s="1"/>
  <c r="J422" i="72" s="1"/>
  <c r="W560" i="72" a="1"/>
  <c r="W560" i="72" s="1"/>
  <c r="W680" i="72" s="1"/>
  <c r="O564" i="72" a="1"/>
  <c r="O564" i="72" s="1"/>
  <c r="O684" i="72" s="1"/>
  <c r="N594" i="72"/>
  <c r="N714" i="72" s="1"/>
  <c r="AD553" i="72" a="1"/>
  <c r="AD553" i="72" s="1"/>
  <c r="AD673" i="72" s="1"/>
  <c r="X560" i="72" a="1"/>
  <c r="X560" i="72" s="1"/>
  <c r="X680" i="72" s="1"/>
  <c r="Z563" i="72" a="1"/>
  <c r="Z563" i="72" s="1"/>
  <c r="Z683" i="72" s="1"/>
  <c r="O547" i="72" a="1"/>
  <c r="O547" i="72" s="1"/>
  <c r="O667" i="72" s="1"/>
  <c r="T557" i="72" a="1"/>
  <c r="T557" i="72" s="1"/>
  <c r="T677" i="72" s="1"/>
  <c r="T737" i="72" s="1"/>
  <c r="I590" i="72"/>
  <c r="I710" i="72" s="1"/>
  <c r="K593" i="72"/>
  <c r="K713" i="72" s="1"/>
  <c r="U543" i="72" a="1"/>
  <c r="U543" i="72" s="1"/>
  <c r="AA553" i="72" a="1"/>
  <c r="AA553" i="72" s="1"/>
  <c r="AA673" i="72" s="1"/>
  <c r="AA733" i="72" s="1"/>
  <c r="V584" i="72"/>
  <c r="V704" i="72" s="1"/>
  <c r="AF591" i="72"/>
  <c r="AF711" i="72" s="1"/>
  <c r="K543" i="72" a="1"/>
  <c r="K543" i="72" s="1"/>
  <c r="V548" i="72" a="1"/>
  <c r="V548" i="72" s="1"/>
  <c r="V668" i="72" s="1"/>
  <c r="AD561" i="72" a="1"/>
  <c r="AD561" i="72" s="1"/>
  <c r="AD681" i="72" s="1"/>
  <c r="AD741" i="72" s="1"/>
  <c r="O580" i="72"/>
  <c r="O700" i="72" s="1"/>
  <c r="U589" i="72"/>
  <c r="U709" i="72" s="1"/>
  <c r="M563" i="72" a="1"/>
  <c r="M563" i="72" s="1"/>
  <c r="M683" i="72" s="1"/>
  <c r="Z547" i="72" a="1"/>
  <c r="Z547" i="72" s="1"/>
  <c r="Z667" i="72" s="1"/>
  <c r="P583" i="72"/>
  <c r="P703" i="72" s="1"/>
  <c r="X584" i="72"/>
  <c r="X704" i="72" s="1"/>
  <c r="R591" i="72"/>
  <c r="R711" i="72" s="1"/>
  <c r="T594" i="72"/>
  <c r="T714" i="72" s="1"/>
  <c r="L548" i="72" a="1"/>
  <c r="L548" i="72" s="1"/>
  <c r="L668" i="72" s="1"/>
  <c r="L728" i="72" s="1"/>
  <c r="Z573" i="72"/>
  <c r="Q316" i="72" a="1"/>
  <c r="Q316" i="72" s="1"/>
  <c r="Q436" i="72" s="1"/>
  <c r="AE577" i="72"/>
  <c r="AE697" i="72" s="1"/>
  <c r="K330" i="72"/>
  <c r="K450" i="72" s="1"/>
  <c r="H575" i="72"/>
  <c r="H695" i="72" s="1"/>
  <c r="S563" i="72" a="1"/>
  <c r="S563" i="72" s="1"/>
  <c r="S683" i="72" s="1"/>
  <c r="K548" i="72" a="1"/>
  <c r="K548" i="72" s="1"/>
  <c r="K668" i="72" s="1"/>
  <c r="AE562" i="72" a="1"/>
  <c r="AE562" i="72" s="1"/>
  <c r="AE682" i="72" s="1"/>
  <c r="AF584" i="72"/>
  <c r="AF704" i="72" s="1"/>
  <c r="AC560" i="72" a="1"/>
  <c r="AC560" i="72" s="1"/>
  <c r="AC680" i="72" s="1"/>
  <c r="Y563" i="72" a="1"/>
  <c r="Y563" i="72" s="1"/>
  <c r="Y683" i="72" s="1"/>
  <c r="I563" i="72" a="1"/>
  <c r="I563" i="72" s="1"/>
  <c r="I683" i="72" s="1"/>
  <c r="J563" i="72" a="1"/>
  <c r="J563" i="72" s="1"/>
  <c r="J683" i="72" s="1"/>
  <c r="U592" i="72"/>
  <c r="U712" i="72" s="1"/>
  <c r="P591" i="72"/>
  <c r="P711" i="72" s="1"/>
  <c r="I579" i="72"/>
  <c r="I699" i="72" s="1"/>
  <c r="AD580" i="72"/>
  <c r="AD700" i="72" s="1"/>
  <c r="X546" i="72" a="1"/>
  <c r="X546" i="72" s="1"/>
  <c r="X666" i="72" s="1"/>
  <c r="AE593" i="72"/>
  <c r="AE713" i="72" s="1"/>
  <c r="R556" i="72" a="1"/>
  <c r="R556" i="72" s="1"/>
  <c r="R676" i="72" s="1"/>
  <c r="U545" i="72" a="1"/>
  <c r="U545" i="72" s="1"/>
  <c r="U665" i="72" s="1"/>
  <c r="X589" i="72"/>
  <c r="X709" i="72" s="1"/>
  <c r="AE560" i="72" a="1"/>
  <c r="AE560" i="72" s="1"/>
  <c r="AE680" i="72" s="1"/>
  <c r="P546" i="72" a="1"/>
  <c r="P546" i="72" s="1"/>
  <c r="P666" i="72" s="1"/>
  <c r="V553" i="72" a="1"/>
  <c r="V553" i="72" s="1"/>
  <c r="V673" i="72" s="1"/>
  <c r="T558" i="72" a="1"/>
  <c r="T558" i="72" s="1"/>
  <c r="T678" i="72" s="1"/>
  <c r="R563" i="72" a="1"/>
  <c r="R563" i="72" s="1"/>
  <c r="R683" i="72" s="1"/>
  <c r="AB548" i="72" a="1"/>
  <c r="AB548" i="72" s="1"/>
  <c r="AB668" i="72" s="1"/>
  <c r="W591" i="72"/>
  <c r="W711" i="72" s="1"/>
  <c r="Q331" i="72"/>
  <c r="Q451" i="72" s="1"/>
  <c r="AC303" i="72" a="1"/>
  <c r="AC303" i="72" s="1"/>
  <c r="AC423" i="72" s="1"/>
  <c r="AA338" i="72"/>
  <c r="AA458" i="72" s="1"/>
  <c r="K346" i="72"/>
  <c r="K466" i="72" s="1"/>
  <c r="M349" i="72"/>
  <c r="M469" i="72" s="1"/>
  <c r="R301" i="72" a="1"/>
  <c r="R301" i="72" s="1"/>
  <c r="R421" i="72" s="1"/>
  <c r="T334" i="72"/>
  <c r="T454" i="72" s="1"/>
  <c r="AB308" i="72" a="1"/>
  <c r="AB308" i="72" s="1"/>
  <c r="AB428" i="72" s="1"/>
  <c r="V315" i="72" a="1"/>
  <c r="V315" i="72" s="1"/>
  <c r="V435" i="72" s="1"/>
  <c r="N319" i="72" a="1"/>
  <c r="N319" i="72" s="1"/>
  <c r="N439" i="72" s="1"/>
  <c r="AG308" i="72" a="1"/>
  <c r="AG308" i="72" s="1"/>
  <c r="AG428" i="72" s="1"/>
  <c r="M346" i="72"/>
  <c r="M466" i="72" s="1"/>
  <c r="S298" i="72" a="1"/>
  <c r="S298" i="72" s="1"/>
  <c r="AF332" i="72"/>
  <c r="AF452" i="72" s="1"/>
  <c r="AD316" i="72" a="1"/>
  <c r="AD316" i="72" s="1"/>
  <c r="AD436" i="72" s="1"/>
  <c r="P319" i="72" a="1"/>
  <c r="P319" i="72" s="1"/>
  <c r="P439" i="72" s="1"/>
  <c r="AA305" i="72" a="1"/>
  <c r="AA305" i="72" s="1"/>
  <c r="AA425" i="72" s="1"/>
  <c r="S314" i="72" a="1"/>
  <c r="S314" i="72" s="1"/>
  <c r="S434" i="72" s="1"/>
  <c r="U317" i="72" a="1"/>
  <c r="U317" i="72" s="1"/>
  <c r="U437" i="72" s="1"/>
  <c r="AA302" i="72" a="1"/>
  <c r="AA302" i="72" s="1"/>
  <c r="AA422" i="72" s="1"/>
  <c r="X315" i="72" a="1"/>
  <c r="X315" i="72" s="1"/>
  <c r="X435" i="72" s="1"/>
  <c r="X495" i="72" s="1"/>
  <c r="H342" i="72"/>
  <c r="H462" i="72" s="1"/>
  <c r="AF316" i="72" a="1"/>
  <c r="AF316" i="72" s="1"/>
  <c r="AF436" i="72" s="1"/>
  <c r="AE298" i="72" a="1"/>
  <c r="AE298" i="72" s="1"/>
  <c r="AB317" i="72" a="1"/>
  <c r="AB317" i="72" s="1"/>
  <c r="AB437" i="72" s="1"/>
  <c r="AB497" i="72" s="1"/>
  <c r="AC318" i="72" a="1"/>
  <c r="AC318" i="72" s="1"/>
  <c r="AC438" i="72" s="1"/>
  <c r="P303" i="72" a="1"/>
  <c r="P303" i="72" s="1"/>
  <c r="P423" i="72" s="1"/>
  <c r="AD314" i="72" a="1"/>
  <c r="AD314" i="72" s="1"/>
  <c r="AD434" i="72" s="1"/>
  <c r="H339" i="72"/>
  <c r="H459" i="72" s="1"/>
  <c r="AB345" i="72"/>
  <c r="AB465" i="72" s="1"/>
  <c r="N348" i="72"/>
  <c r="N468" i="72" s="1"/>
  <c r="AC302" i="72" a="1"/>
  <c r="AC302" i="72" s="1"/>
  <c r="AC422" i="72" s="1"/>
  <c r="N345" i="72"/>
  <c r="N465" i="72" s="1"/>
  <c r="U303" i="72" a="1"/>
  <c r="U303" i="72" s="1"/>
  <c r="U423" i="72" s="1"/>
  <c r="S338" i="72"/>
  <c r="S458" i="72" s="1"/>
  <c r="M345" i="72"/>
  <c r="M465" i="72" s="1"/>
  <c r="O348" i="72"/>
  <c r="O468" i="72" s="1"/>
  <c r="R302" i="72" a="1"/>
  <c r="R302" i="72" s="1"/>
  <c r="R422" i="72" s="1"/>
  <c r="R482" i="72" s="1"/>
  <c r="AF314" i="72" a="1"/>
  <c r="AF314" i="72" s="1"/>
  <c r="AF434" i="72" s="1"/>
  <c r="P332" i="72"/>
  <c r="P452" i="72" s="1"/>
  <c r="T338" i="72"/>
  <c r="T458" i="72" s="1"/>
  <c r="AD345" i="72"/>
  <c r="AD465" i="72" s="1"/>
  <c r="AE301" i="72" a="1"/>
  <c r="AE301" i="72" s="1"/>
  <c r="AE421" i="72" s="1"/>
  <c r="I314" i="72" a="1"/>
  <c r="I314" i="72" s="1"/>
  <c r="I434" i="72" s="1"/>
  <c r="K317" i="72" a="1"/>
  <c r="K317" i="72" s="1"/>
  <c r="K437" i="72" s="1"/>
  <c r="AF301" i="72" a="1"/>
  <c r="AF301" i="72" s="1"/>
  <c r="AF421" i="72" s="1"/>
  <c r="S309" i="72" a="1"/>
  <c r="S309" i="72" s="1"/>
  <c r="S429" i="72" s="1"/>
  <c r="V346" i="72"/>
  <c r="V466" i="72" s="1"/>
  <c r="X349" i="72"/>
  <c r="X469" i="72" s="1"/>
  <c r="T305" i="72" a="1"/>
  <c r="T305" i="72" s="1"/>
  <c r="T425" i="72" s="1"/>
  <c r="AA314" i="72" a="1"/>
  <c r="AA314" i="72" s="1"/>
  <c r="AA434" i="72" s="1"/>
  <c r="AC317" i="72" a="1"/>
  <c r="AC317" i="72" s="1"/>
  <c r="AC437" i="72" s="1"/>
  <c r="T303" i="72" a="1"/>
  <c r="T303" i="72" s="1"/>
  <c r="T423" i="72" s="1"/>
  <c r="X308" i="72" a="1"/>
  <c r="X308" i="72" s="1"/>
  <c r="X428" i="72" s="1"/>
  <c r="R315" i="72" a="1"/>
  <c r="R315" i="72" s="1"/>
  <c r="R435" i="72" s="1"/>
  <c r="J319" i="72" a="1"/>
  <c r="J319" i="72" s="1"/>
  <c r="J439" i="72" s="1"/>
  <c r="AD308" i="72" a="1"/>
  <c r="AD308" i="72" s="1"/>
  <c r="AD428" i="72" s="1"/>
  <c r="AC328" i="72"/>
  <c r="S345" i="72"/>
  <c r="S465" i="72" s="1"/>
  <c r="AA580" i="72"/>
  <c r="AA700" i="72" s="1"/>
  <c r="Q346" i="72"/>
  <c r="Q466" i="72" s="1"/>
  <c r="X579" i="72"/>
  <c r="X699" i="72" s="1"/>
  <c r="U553" i="72" a="1"/>
  <c r="U553" i="72" s="1"/>
  <c r="U673" i="72" s="1"/>
  <c r="H545" i="72" a="1"/>
  <c r="H545" i="72" s="1"/>
  <c r="H665" i="72" s="1"/>
  <c r="S593" i="72"/>
  <c r="S713" i="72" s="1"/>
  <c r="AA578" i="72"/>
  <c r="AA698" i="72" s="1"/>
  <c r="U593" i="72"/>
  <c r="U713" i="72" s="1"/>
  <c r="R557" i="72" a="1"/>
  <c r="R557" i="72" s="1"/>
  <c r="R677" i="72" s="1"/>
  <c r="X563" i="72" a="1"/>
  <c r="X563" i="72" s="1"/>
  <c r="X683" i="72" s="1"/>
  <c r="H581" i="72"/>
  <c r="H701" i="72" s="1"/>
  <c r="O594" i="72"/>
  <c r="O714" i="72" s="1"/>
  <c r="Z593" i="72"/>
  <c r="Z713" i="72" s="1"/>
  <c r="U562" i="72" a="1"/>
  <c r="U562" i="72" s="1"/>
  <c r="U682" i="72" s="1"/>
  <c r="U742" i="72" s="1"/>
  <c r="P561" i="72" a="1"/>
  <c r="P561" i="72" s="1"/>
  <c r="P681" i="72" s="1"/>
  <c r="P741" i="72" s="1"/>
  <c r="O550" i="72" a="1"/>
  <c r="O550" i="72" s="1"/>
  <c r="O670" i="72" s="1"/>
  <c r="O730" i="72" s="1"/>
  <c r="AD550" i="72" a="1"/>
  <c r="AD550" i="72" s="1"/>
  <c r="AD670" i="72" s="1"/>
  <c r="AD730" i="72" s="1"/>
  <c r="Q547" i="72" a="1"/>
  <c r="Q547" i="72" s="1"/>
  <c r="Q667" i="72" s="1"/>
  <c r="AE563" i="72" a="1"/>
  <c r="AE563" i="72" s="1"/>
  <c r="AE683" i="72" s="1"/>
  <c r="H559" i="72" a="1"/>
  <c r="H559" i="72" s="1"/>
  <c r="H679" i="72" s="1"/>
  <c r="O546" i="72" a="1"/>
  <c r="O546" i="72" s="1"/>
  <c r="O666" i="72" s="1"/>
  <c r="I573" i="72"/>
  <c r="AA592" i="72"/>
  <c r="AA712" i="72" s="1"/>
  <c r="I547" i="72" a="1"/>
  <c r="I547" i="72" s="1"/>
  <c r="I667" i="72" s="1"/>
  <c r="L584" i="72"/>
  <c r="L704" i="72" s="1"/>
  <c r="P590" i="72"/>
  <c r="P710" i="72" s="1"/>
  <c r="X594" i="72"/>
  <c r="X714" i="72" s="1"/>
  <c r="N549" i="72" a="1"/>
  <c r="N549" i="72" s="1"/>
  <c r="N669" i="72" s="1"/>
  <c r="J300" i="72" a="1"/>
  <c r="J300" i="72" s="1"/>
  <c r="J420" i="72" s="1"/>
  <c r="Q301" i="72" a="1"/>
  <c r="Q301" i="72" s="1"/>
  <c r="Q421" i="72" s="1"/>
  <c r="S334" i="72"/>
  <c r="S454" i="72" s="1"/>
  <c r="AA308" i="72" a="1"/>
  <c r="AA308" i="72" s="1"/>
  <c r="AA428" i="72" s="1"/>
  <c r="K316" i="72" a="1"/>
  <c r="K316" i="72" s="1"/>
  <c r="K436" i="72" s="1"/>
  <c r="M319" i="72" a="1"/>
  <c r="M319" i="72" s="1"/>
  <c r="M439" i="72" s="1"/>
  <c r="H332" i="72"/>
  <c r="H452" i="72" s="1"/>
  <c r="T304" i="72" a="1"/>
  <c r="T304" i="72" s="1"/>
  <c r="T424" i="72" s="1"/>
  <c r="T484" i="72" s="1"/>
  <c r="R339" i="72"/>
  <c r="R459" i="72" s="1"/>
  <c r="L346" i="72"/>
  <c r="L466" i="72" s="1"/>
  <c r="AD349" i="72"/>
  <c r="AD469" i="72" s="1"/>
  <c r="AA309" i="72" a="1"/>
  <c r="AA309" i="72" s="1"/>
  <c r="AA429" i="72" s="1"/>
  <c r="AA489" i="72" s="1"/>
  <c r="M316" i="72" a="1"/>
  <c r="M316" i="72" s="1"/>
  <c r="M436" i="72" s="1"/>
  <c r="M496" i="72" s="1"/>
  <c r="Q300" i="72" a="1"/>
  <c r="Q300" i="72" s="1"/>
  <c r="Q420" i="72" s="1"/>
  <c r="R344" i="72"/>
  <c r="R464" i="72" s="1"/>
  <c r="T347" i="72"/>
  <c r="T467" i="72" s="1"/>
  <c r="AF349" i="72"/>
  <c r="AF469" i="72" s="1"/>
  <c r="Q308" i="72" a="1"/>
  <c r="Q308" i="72" s="1"/>
  <c r="Q428" i="72" s="1"/>
  <c r="I345" i="72"/>
  <c r="I465" i="72" s="1"/>
  <c r="AA348" i="72"/>
  <c r="AA468" i="72" s="1"/>
  <c r="O303" i="72" a="1"/>
  <c r="O303" i="72" s="1"/>
  <c r="O423" i="72" s="1"/>
  <c r="AF318" i="72" a="1"/>
  <c r="AF318" i="72" s="1"/>
  <c r="AF438" i="72" s="1"/>
  <c r="H312" i="72" a="1"/>
  <c r="H312" i="72" s="1"/>
  <c r="H432" i="72" s="1"/>
  <c r="AF346" i="72"/>
  <c r="AF466" i="72" s="1"/>
  <c r="AD300" i="72" a="1"/>
  <c r="AD300" i="72" s="1"/>
  <c r="AD420" i="72" s="1"/>
  <c r="K345" i="72"/>
  <c r="K465" i="72" s="1"/>
  <c r="S349" i="72"/>
  <c r="S469" i="72" s="1"/>
  <c r="AB303" i="72" a="1"/>
  <c r="AB303" i="72" s="1"/>
  <c r="AB423" i="72" s="1"/>
  <c r="Y315" i="72" a="1"/>
  <c r="Y315" i="72" s="1"/>
  <c r="Y435" i="72" s="1"/>
  <c r="Y495" i="72" s="1"/>
  <c r="H309" i="72" a="1"/>
  <c r="H309" i="72" s="1"/>
  <c r="H429" i="72" s="1"/>
  <c r="AB315" i="72" a="1"/>
  <c r="AB315" i="72" s="1"/>
  <c r="AB435" i="72" s="1"/>
  <c r="AB495" i="72" s="1"/>
  <c r="N318" i="72" a="1"/>
  <c r="N318" i="72" s="1"/>
  <c r="N438" i="72" s="1"/>
  <c r="N498" i="72" s="1"/>
  <c r="P304" i="72" a="1"/>
  <c r="P304" i="72" s="1"/>
  <c r="P424" i="72" s="1"/>
  <c r="Y331" i="72"/>
  <c r="Y451" i="72" s="1"/>
  <c r="K334" i="72"/>
  <c r="K454" i="72" s="1"/>
  <c r="S308" i="72" a="1"/>
  <c r="S308" i="72" s="1"/>
  <c r="S428" i="72" s="1"/>
  <c r="S488" i="72" s="1"/>
  <c r="M315" i="72" a="1"/>
  <c r="M315" i="72" s="1"/>
  <c r="M435" i="72" s="1"/>
  <c r="M495" i="72" s="1"/>
  <c r="O318" i="72" a="1"/>
  <c r="O318" i="72" s="1"/>
  <c r="O438" i="72" s="1"/>
  <c r="O498" i="72" s="1"/>
  <c r="AD302" i="72" a="1"/>
  <c r="AD302" i="72" s="1"/>
  <c r="AD422" i="72" s="1"/>
  <c r="AG316" i="72" a="1"/>
  <c r="AG316" i="72" s="1"/>
  <c r="AG436" i="72" s="1"/>
  <c r="V303" i="72" a="1"/>
  <c r="V303" i="72" s="1"/>
  <c r="V423" i="72" s="1"/>
  <c r="J309" i="72" a="1"/>
  <c r="J309" i="72" s="1"/>
  <c r="J429" i="72" s="1"/>
  <c r="T316" i="72" a="1"/>
  <c r="T316" i="72" s="1"/>
  <c r="T436" i="72" s="1"/>
  <c r="R303" i="72" a="1"/>
  <c r="R303" i="72" s="1"/>
  <c r="R423" i="72" s="1"/>
  <c r="Y344" i="72"/>
  <c r="Y464" i="72" s="1"/>
  <c r="Q348" i="72"/>
  <c r="Q468" i="72" s="1"/>
  <c r="S302" i="72" a="1"/>
  <c r="S302" i="72" s="1"/>
  <c r="S422" i="72" s="1"/>
  <c r="AG314" i="72" a="1"/>
  <c r="AG314" i="72" s="1"/>
  <c r="AG434" i="72" s="1"/>
  <c r="V316" i="72" a="1"/>
  <c r="V316" i="72" s="1"/>
  <c r="V436" i="72" s="1"/>
  <c r="X319" i="72" a="1"/>
  <c r="X319" i="72" s="1"/>
  <c r="X439" i="72" s="1"/>
  <c r="T309" i="72" a="1"/>
  <c r="T309" i="72" s="1"/>
  <c r="T429" i="72" s="1"/>
  <c r="Q345" i="72"/>
  <c r="Q465" i="72" s="1"/>
  <c r="S348" i="72"/>
  <c r="S468" i="72" s="1"/>
  <c r="AG303" i="72" a="1"/>
  <c r="AG303" i="72" s="1"/>
  <c r="AG423" i="72" s="1"/>
  <c r="AG483" i="72" s="1"/>
  <c r="X338" i="72"/>
  <c r="X458" i="72" s="1"/>
  <c r="R345" i="72"/>
  <c r="R465" i="72" s="1"/>
  <c r="J349" i="72"/>
  <c r="J469" i="72" s="1"/>
  <c r="P548" i="72" a="1"/>
  <c r="P548" i="72" s="1"/>
  <c r="P668" i="72" s="1"/>
  <c r="L328" i="72"/>
  <c r="AB549" i="72" a="1"/>
  <c r="AB549" i="72" s="1"/>
  <c r="AB669" i="72" s="1"/>
  <c r="T577" i="72"/>
  <c r="T697" i="72" s="1"/>
  <c r="H583" i="72"/>
  <c r="H703" i="72" s="1"/>
  <c r="W550" i="72" a="1"/>
  <c r="W550" i="72" s="1"/>
  <c r="W670" i="72" s="1"/>
  <c r="K547" i="72" a="1"/>
  <c r="K547" i="72" s="1"/>
  <c r="K667" i="72" s="1"/>
  <c r="N559" i="72" a="1"/>
  <c r="N559" i="72" s="1"/>
  <c r="N679" i="72" s="1"/>
  <c r="AE559" i="72" a="1"/>
  <c r="AE559" i="72" s="1"/>
  <c r="AE679" i="72" s="1"/>
  <c r="H593" i="72"/>
  <c r="H713" i="72" s="1"/>
  <c r="R592" i="72"/>
  <c r="R712" i="72" s="1"/>
  <c r="K546" i="72" a="1"/>
  <c r="K546" i="72" s="1"/>
  <c r="K666" i="72" s="1"/>
  <c r="AG594" i="72"/>
  <c r="AG714" i="72" s="1"/>
  <c r="AB593" i="72"/>
  <c r="AB713" i="72" s="1"/>
  <c r="S586" i="72"/>
  <c r="S706" i="72" s="1"/>
  <c r="H584" i="72"/>
  <c r="H704" i="72" s="1"/>
  <c r="AE553" i="72" a="1"/>
  <c r="AE553" i="72" s="1"/>
  <c r="AE673" i="72" s="1"/>
  <c r="U594" i="72"/>
  <c r="U714" i="72" s="1"/>
  <c r="N590" i="72"/>
  <c r="N710" i="72" s="1"/>
  <c r="AB547" i="72" a="1"/>
  <c r="AB547" i="72" s="1"/>
  <c r="AB667" i="72" s="1"/>
  <c r="Q555" i="72" a="1"/>
  <c r="Q555" i="72" s="1"/>
  <c r="Q675" i="72" s="1"/>
  <c r="AA562" i="72" a="1"/>
  <c r="AA562" i="72" s="1"/>
  <c r="AA682" i="72" s="1"/>
  <c r="AC547" i="72" a="1"/>
  <c r="AC547" i="72" s="1"/>
  <c r="AC667" i="72" s="1"/>
  <c r="L554" i="72" a="1"/>
  <c r="L554" i="72" s="1"/>
  <c r="L674" i="72" s="1"/>
  <c r="P560" i="72" a="1"/>
  <c r="P560" i="72" s="1"/>
  <c r="P680" i="72" s="1"/>
  <c r="X564" i="72" a="1"/>
  <c r="X564" i="72" s="1"/>
  <c r="X684" i="72" s="1"/>
  <c r="AA549" i="72" a="1"/>
  <c r="AA549" i="72" s="1"/>
  <c r="AA669" i="72" s="1"/>
  <c r="L333" i="72"/>
  <c r="L453" i="72" s="1"/>
  <c r="AG331" i="72"/>
  <c r="AG451" i="72" s="1"/>
  <c r="S304" i="72" a="1"/>
  <c r="S304" i="72" s="1"/>
  <c r="S424" i="72" s="1"/>
  <c r="Q339" i="72"/>
  <c r="Q459" i="72" s="1"/>
  <c r="Q347" i="72"/>
  <c r="Q467" i="72" s="1"/>
  <c r="AC349" i="72"/>
  <c r="AC469" i="72" s="1"/>
  <c r="X332" i="72"/>
  <c r="X452" i="72" s="1"/>
  <c r="J335" i="72"/>
  <c r="J455" i="72" s="1"/>
  <c r="R309" i="72" a="1"/>
  <c r="R309" i="72" s="1"/>
  <c r="R429" i="72" s="1"/>
  <c r="L316" i="72" a="1"/>
  <c r="L316" i="72" s="1"/>
  <c r="L436" i="72" s="1"/>
  <c r="AD319" i="72" a="1"/>
  <c r="AD319" i="72" s="1"/>
  <c r="AD439" i="72" s="1"/>
  <c r="AB318" i="72" a="1"/>
  <c r="AB318" i="72" s="1"/>
  <c r="AB438" i="72" s="1"/>
  <c r="AC346" i="72"/>
  <c r="AC466" i="72" s="1"/>
  <c r="AA301" i="72" a="1"/>
  <c r="AA301" i="72" s="1"/>
  <c r="AA421" i="72" s="1"/>
  <c r="R314" i="72" a="1"/>
  <c r="R314" i="72" s="1"/>
  <c r="R434" i="72" s="1"/>
  <c r="T317" i="72" a="1"/>
  <c r="T317" i="72" s="1"/>
  <c r="T437" i="72" s="1"/>
  <c r="AF319" i="72" a="1"/>
  <c r="AF319" i="72" s="1"/>
  <c r="AF439" i="72" s="1"/>
  <c r="K309" i="72" a="1"/>
  <c r="K309" i="72" s="1"/>
  <c r="K429" i="72" s="1"/>
  <c r="I315" i="72" a="1"/>
  <c r="I315" i="72" s="1"/>
  <c r="I435" i="72" s="1"/>
  <c r="AA318" i="72" a="1"/>
  <c r="AA318" i="72" s="1"/>
  <c r="AA438" i="72" s="1"/>
  <c r="N304" i="72" a="1"/>
  <c r="N304" i="72" s="1"/>
  <c r="N424" i="72" s="1"/>
  <c r="N484" i="72" s="1"/>
  <c r="P308" i="72" a="1"/>
  <c r="P308" i="72" s="1"/>
  <c r="P428" i="72" s="1"/>
  <c r="T314" i="72" a="1"/>
  <c r="T314" i="72" s="1"/>
  <c r="T434" i="72" s="1"/>
  <c r="V347" i="72"/>
  <c r="V467" i="72" s="1"/>
  <c r="O301" i="72" a="1"/>
  <c r="O301" i="72" s="1"/>
  <c r="O421" i="72" s="1"/>
  <c r="O481" i="72" s="1"/>
  <c r="K315" i="72" a="1"/>
  <c r="K315" i="72" s="1"/>
  <c r="K435" i="72" s="1"/>
  <c r="S319" i="72" a="1"/>
  <c r="S319" i="72" s="1"/>
  <c r="S439" i="72" s="1"/>
  <c r="O304" i="72" a="1"/>
  <c r="O304" i="72" s="1"/>
  <c r="O424" i="72" s="1"/>
  <c r="AA316" i="72" a="1"/>
  <c r="AA316" i="72" s="1"/>
  <c r="AA436" i="72" s="1"/>
  <c r="X339" i="72"/>
  <c r="X459" i="72" s="1"/>
  <c r="R346" i="72"/>
  <c r="R466" i="72" s="1"/>
  <c r="T349" i="72"/>
  <c r="T469" i="72" s="1"/>
  <c r="O305" i="72" a="1"/>
  <c r="O305" i="72" s="1"/>
  <c r="O425" i="72" s="1"/>
  <c r="O485" i="72" s="1"/>
  <c r="Y301" i="72" a="1"/>
  <c r="Y301" i="72" s="1"/>
  <c r="Y421" i="72" s="1"/>
  <c r="AA334" i="72"/>
  <c r="AA454" i="72" s="1"/>
  <c r="I339" i="72"/>
  <c r="I459" i="72" s="1"/>
  <c r="AC345" i="72"/>
  <c r="AC465" i="72" s="1"/>
  <c r="U349" i="72"/>
  <c r="U469" i="72" s="1"/>
  <c r="Q303" i="72" a="1"/>
  <c r="Q303" i="72" s="1"/>
  <c r="Q423" i="72" s="1"/>
  <c r="O319" i="72" a="1"/>
  <c r="O319" i="72" s="1"/>
  <c r="O439" i="72" s="1"/>
  <c r="V333" i="72"/>
  <c r="V453" i="72" s="1"/>
  <c r="J339" i="72"/>
  <c r="J459" i="72" s="1"/>
  <c r="T346" i="72"/>
  <c r="T466" i="72" s="1"/>
  <c r="Q304" i="72" a="1"/>
  <c r="Q304" i="72" s="1"/>
  <c r="Q424" i="72" s="1"/>
  <c r="Y314" i="72" a="1"/>
  <c r="Y314" i="72" s="1"/>
  <c r="Y434" i="72" s="1"/>
  <c r="Q318" i="72" a="1"/>
  <c r="Q318" i="72" s="1"/>
  <c r="Q438" i="72" s="1"/>
  <c r="AG302" i="72" a="1"/>
  <c r="AG302" i="72" s="1"/>
  <c r="AG422" i="72" s="1"/>
  <c r="AG482" i="72" s="1"/>
  <c r="AG315" i="72" a="1"/>
  <c r="AG315" i="72" s="1"/>
  <c r="AG435" i="72" s="1"/>
  <c r="L347" i="72"/>
  <c r="L467" i="72" s="1"/>
  <c r="O298" i="72" a="1"/>
  <c r="O298" i="72" s="1"/>
  <c r="L314" i="72" a="1"/>
  <c r="L314" i="72" s="1"/>
  <c r="L434" i="72" s="1"/>
  <c r="Q315" i="72" a="1"/>
  <c r="Q315" i="72" s="1"/>
  <c r="Q435" i="72" s="1"/>
  <c r="S318" i="72" a="1"/>
  <c r="S318" i="72" s="1"/>
  <c r="S438" i="72" s="1"/>
  <c r="U304" i="72" a="1"/>
  <c r="U304" i="72" s="1"/>
  <c r="U424" i="72" s="1"/>
  <c r="N339" i="72"/>
  <c r="N459" i="72" s="1"/>
  <c r="X346" i="72"/>
  <c r="X466" i="72" s="1"/>
  <c r="Z298" i="72" a="1"/>
  <c r="Z298" i="72" s="1"/>
  <c r="N314" i="72" a="1"/>
  <c r="N314" i="72" s="1"/>
  <c r="N434" i="72" s="1"/>
  <c r="P578" i="72"/>
  <c r="P698" i="72" s="1"/>
  <c r="AG553" i="72" a="1"/>
  <c r="AG553" i="72" s="1"/>
  <c r="AG673" i="72" s="1"/>
  <c r="X318" i="72" a="1"/>
  <c r="X318" i="72" s="1"/>
  <c r="X438" i="72" s="1"/>
  <c r="T547" i="72" a="1"/>
  <c r="T547" i="72" s="1"/>
  <c r="T667" i="72" s="1"/>
  <c r="H553" i="72" a="1"/>
  <c r="H553" i="72" s="1"/>
  <c r="H673" i="72" s="1"/>
  <c r="I583" i="72"/>
  <c r="I703" i="72" s="1"/>
  <c r="V547" i="72" a="1"/>
  <c r="V547" i="72" s="1"/>
  <c r="V667" i="72" s="1"/>
  <c r="V727" i="72" s="1"/>
  <c r="AD559" i="72" a="1"/>
  <c r="AD559" i="72" s="1"/>
  <c r="AD679" i="72" s="1"/>
  <c r="K591" i="72"/>
  <c r="K711" i="72" s="1"/>
  <c r="H563" i="72" a="1"/>
  <c r="H563" i="72" s="1"/>
  <c r="H683" i="72" s="1"/>
  <c r="R562" i="72" a="1"/>
  <c r="R562" i="72" s="1"/>
  <c r="R682" i="72" s="1"/>
  <c r="AE546" i="72" a="1"/>
  <c r="AE546" i="72" s="1"/>
  <c r="AE666" i="72" s="1"/>
  <c r="AG564" i="72" a="1"/>
  <c r="AG564" i="72" s="1"/>
  <c r="AG684" i="72" s="1"/>
  <c r="AB563" i="72" a="1"/>
  <c r="AB563" i="72" s="1"/>
  <c r="AB683" i="72" s="1"/>
  <c r="U559" i="72" a="1"/>
  <c r="U559" i="72" s="1"/>
  <c r="U679" i="72" s="1"/>
  <c r="U739" i="72" s="1"/>
  <c r="H554" i="72" a="1"/>
  <c r="H554" i="72" s="1"/>
  <c r="H674" i="72" s="1"/>
  <c r="AA559" i="72" a="1"/>
  <c r="AA559" i="72" s="1"/>
  <c r="AA679" i="72" s="1"/>
  <c r="AA739" i="72" s="1"/>
  <c r="H547" i="72" a="1"/>
  <c r="H547" i="72" s="1"/>
  <c r="H667" i="72" s="1"/>
  <c r="J562" i="72" a="1"/>
  <c r="J562" i="72" s="1"/>
  <c r="J682" i="72" s="1"/>
  <c r="L549" i="72" a="1"/>
  <c r="L549" i="72" s="1"/>
  <c r="L669" i="72" s="1"/>
  <c r="Y589" i="72"/>
  <c r="Y709" i="72" s="1"/>
  <c r="Q593" i="72"/>
  <c r="Q713" i="72" s="1"/>
  <c r="M549" i="72" a="1"/>
  <c r="M549" i="72" s="1"/>
  <c r="M669" i="72" s="1"/>
  <c r="R585" i="72"/>
  <c r="R705" i="72" s="1"/>
  <c r="AF590" i="72"/>
  <c r="AF710" i="72" s="1"/>
  <c r="Y543" i="72" a="1"/>
  <c r="Y543" i="72" s="1"/>
  <c r="M553" i="72" a="1"/>
  <c r="M553" i="72" s="1"/>
  <c r="M673" i="72" s="1"/>
  <c r="H335" i="72"/>
  <c r="H455" i="72" s="1"/>
  <c r="AG301" i="72" a="1"/>
  <c r="AG301" i="72" s="1"/>
  <c r="AG421" i="72" s="1"/>
  <c r="I335" i="72"/>
  <c r="I455" i="72" s="1"/>
  <c r="Q309" i="72" a="1"/>
  <c r="Q309" i="72" s="1"/>
  <c r="Q429" i="72" s="1"/>
  <c r="Q317" i="72" a="1"/>
  <c r="Q317" i="72" s="1"/>
  <c r="Q437" i="72" s="1"/>
  <c r="AC319" i="72" a="1"/>
  <c r="AC319" i="72" s="1"/>
  <c r="AC439" i="72" s="1"/>
  <c r="X302" i="72" a="1"/>
  <c r="X302" i="72" s="1"/>
  <c r="X422" i="72" s="1"/>
  <c r="Z335" i="72"/>
  <c r="Z455" i="72" s="1"/>
  <c r="H340" i="72"/>
  <c r="H460" i="72" s="1"/>
  <c r="AB346" i="72"/>
  <c r="AB466" i="72" s="1"/>
  <c r="AB298" i="72" a="1"/>
  <c r="AB298" i="72" s="1"/>
  <c r="T330" i="72"/>
  <c r="T450" i="72" s="1"/>
  <c r="AC316" i="72" a="1"/>
  <c r="AC316" i="72" s="1"/>
  <c r="AC436" i="72" s="1"/>
  <c r="Z302" i="72" a="1"/>
  <c r="Z302" i="72" s="1"/>
  <c r="Z422" i="72" s="1"/>
  <c r="Z482" i="72" s="1"/>
  <c r="H345" i="72"/>
  <c r="H465" i="72" s="1"/>
  <c r="J348" i="72"/>
  <c r="J468" i="72" s="1"/>
  <c r="R300" i="72" a="1"/>
  <c r="R300" i="72" s="1"/>
  <c r="R420" i="72" s="1"/>
  <c r="W315" i="72" a="1"/>
  <c r="W315" i="72" s="1"/>
  <c r="W435" i="72" s="1"/>
  <c r="O346" i="72"/>
  <c r="O466" i="72" s="1"/>
  <c r="T298" i="72" a="1"/>
  <c r="T298" i="72" s="1"/>
  <c r="Z304" i="72" a="1"/>
  <c r="Z304" i="72" s="1"/>
  <c r="Z424" i="72" s="1"/>
  <c r="P338" i="72"/>
  <c r="P458" i="72" s="1"/>
  <c r="T344" i="72"/>
  <c r="T464" i="72" s="1"/>
  <c r="V317" i="72" a="1"/>
  <c r="V317" i="72" s="1"/>
  <c r="V437" i="72" s="1"/>
  <c r="AB302" i="72" a="1"/>
  <c r="AB302" i="72" s="1"/>
  <c r="AB422" i="72" s="1"/>
  <c r="AB482" i="72" s="1"/>
  <c r="W347" i="72"/>
  <c r="W467" i="72" s="1"/>
  <c r="U298" i="72" a="1"/>
  <c r="U298" i="72" s="1"/>
  <c r="AC304" i="72" a="1"/>
  <c r="AC304" i="72" s="1"/>
  <c r="AC424" i="72" s="1"/>
  <c r="L319" i="72" a="1"/>
  <c r="L319" i="72" s="1"/>
  <c r="L439" i="72" s="1"/>
  <c r="L499" i="72" s="1"/>
  <c r="X309" i="72" a="1"/>
  <c r="X309" i="72" s="1"/>
  <c r="X429" i="72" s="1"/>
  <c r="R316" i="72" a="1"/>
  <c r="R316" i="72" s="1"/>
  <c r="R436" i="72" s="1"/>
  <c r="T319" i="72" a="1"/>
  <c r="T319" i="72" s="1"/>
  <c r="T439" i="72" s="1"/>
  <c r="AD305" i="72" a="1"/>
  <c r="AD305" i="72" s="1"/>
  <c r="AD425" i="72" s="1"/>
  <c r="O332" i="72"/>
  <c r="O452" i="72" s="1"/>
  <c r="AA304" i="72" a="1"/>
  <c r="AA304" i="72" s="1"/>
  <c r="AA424" i="72" s="1"/>
  <c r="I309" i="72" a="1"/>
  <c r="I309" i="72" s="1"/>
  <c r="I429" i="72" s="1"/>
  <c r="AC315" i="72" a="1"/>
  <c r="AC315" i="72" s="1"/>
  <c r="AC435" i="72" s="1"/>
  <c r="U319" i="72" a="1"/>
  <c r="U319" i="72" s="1"/>
  <c r="U439" i="72" s="1"/>
  <c r="AE303" i="72" a="1"/>
  <c r="AE303" i="72" s="1"/>
  <c r="AE423" i="72" s="1"/>
  <c r="Z347" i="72"/>
  <c r="Z467" i="72" s="1"/>
  <c r="L334" i="72"/>
  <c r="L454" i="72" s="1"/>
  <c r="Z309" i="72" a="1"/>
  <c r="Z309" i="72" s="1"/>
  <c r="Z429" i="72" s="1"/>
  <c r="P318" i="72" a="1"/>
  <c r="P318" i="72" s="1"/>
  <c r="P438" i="72" s="1"/>
  <c r="AE305" i="72" a="1"/>
  <c r="AE305" i="72" s="1"/>
  <c r="AE425" i="72" s="1"/>
  <c r="AE345" i="72"/>
  <c r="AE465" i="72" s="1"/>
  <c r="AG348" i="72"/>
  <c r="AG468" i="72" s="1"/>
  <c r="AF303" i="72" a="1"/>
  <c r="AF303" i="72" s="1"/>
  <c r="AF423" i="72" s="1"/>
  <c r="Q319" i="72" a="1"/>
  <c r="Q319" i="72" s="1"/>
  <c r="Q439" i="72" s="1"/>
  <c r="L317" i="72" a="1"/>
  <c r="L317" i="72" s="1"/>
  <c r="L437" i="72" s="1"/>
  <c r="Y298" i="72" a="1"/>
  <c r="Y298" i="72" s="1"/>
  <c r="J317" i="72" a="1"/>
  <c r="J317" i="72" s="1"/>
  <c r="J437" i="72" s="1"/>
  <c r="J497" i="72" s="1"/>
  <c r="W346" i="72"/>
  <c r="W466" i="72" s="1"/>
  <c r="I349" i="72"/>
  <c r="I469" i="72" s="1"/>
  <c r="I308" i="72" a="1"/>
  <c r="I308" i="72" s="1"/>
  <c r="I428" i="72" s="1"/>
  <c r="H304" i="72" a="1"/>
  <c r="H304" i="72" s="1"/>
  <c r="H424" i="72" s="1"/>
  <c r="H484" i="72" s="1"/>
  <c r="L332" i="72"/>
  <c r="L452" i="72" s="1"/>
  <c r="W334" i="72"/>
  <c r="W454" i="72" s="1"/>
  <c r="X331" i="72"/>
  <c r="X451" i="72" s="1"/>
  <c r="K559" i="72" a="1"/>
  <c r="K559" i="72" s="1"/>
  <c r="K679" i="72" s="1"/>
  <c r="J564" i="72" a="1"/>
  <c r="J564" i="72" s="1"/>
  <c r="J684" i="72" s="1"/>
  <c r="S590" i="72"/>
  <c r="S710" i="72" s="1"/>
  <c r="J553" i="72" a="1"/>
  <c r="J553" i="72" s="1"/>
  <c r="J673" i="72" s="1"/>
  <c r="J733" i="72" s="1"/>
  <c r="Q548" i="72" a="1"/>
  <c r="Q548" i="72" s="1"/>
  <c r="Q668" i="72" s="1"/>
  <c r="M547" i="72" a="1"/>
  <c r="M547" i="72" s="1"/>
  <c r="M667" i="72" s="1"/>
  <c r="M727" i="72" s="1"/>
  <c r="W590" i="72"/>
  <c r="W710" i="72" s="1"/>
  <c r="X590" i="72"/>
  <c r="X710" i="72" s="1"/>
  <c r="W557" i="72" a="1"/>
  <c r="W557" i="72" s="1"/>
  <c r="W677" i="72" s="1"/>
  <c r="AF553" i="72" a="1"/>
  <c r="AF553" i="72" s="1"/>
  <c r="AF673" i="72" s="1"/>
  <c r="S559" i="72" a="1"/>
  <c r="S559" i="72" s="1"/>
  <c r="S679" i="72" s="1"/>
  <c r="AG546" i="72" a="1"/>
  <c r="AG546" i="72" s="1"/>
  <c r="AG666" i="72" s="1"/>
  <c r="AD563" i="72" a="1"/>
  <c r="AD563" i="72" s="1"/>
  <c r="AD683" i="72" s="1"/>
  <c r="S591" i="72"/>
  <c r="S711" i="72" s="1"/>
  <c r="R586" i="72"/>
  <c r="R706" i="72" s="1"/>
  <c r="X543" i="72" a="1"/>
  <c r="X543" i="72" s="1"/>
  <c r="W562" i="72" a="1"/>
  <c r="W562" i="72" s="1"/>
  <c r="W682" i="72" s="1"/>
  <c r="AE590" i="72"/>
  <c r="AE710" i="72" s="1"/>
  <c r="AE545" i="72" a="1"/>
  <c r="AE545" i="72" s="1"/>
  <c r="AE665" i="72" s="1"/>
  <c r="V583" i="72"/>
  <c r="V703" i="72" s="1"/>
  <c r="T588" i="72"/>
  <c r="T708" i="72" s="1"/>
  <c r="R593" i="72"/>
  <c r="R713" i="72" s="1"/>
  <c r="N548" i="72" a="1"/>
  <c r="N548" i="72" s="1"/>
  <c r="N668" i="72" s="1"/>
  <c r="AF562" i="72" a="1"/>
  <c r="AF562" i="72" s="1"/>
  <c r="AF682" i="72" s="1"/>
  <c r="O328" i="72"/>
  <c r="AC333" i="72"/>
  <c r="AC453" i="72" s="1"/>
  <c r="K308" i="72" a="1"/>
  <c r="K308" i="72" s="1"/>
  <c r="K428" i="72" s="1"/>
  <c r="U315" i="72" a="1"/>
  <c r="U315" i="72" s="1"/>
  <c r="U435" i="72" s="1"/>
  <c r="W318" i="72" a="1"/>
  <c r="W318" i="72" s="1"/>
  <c r="W438" i="72" s="1"/>
  <c r="R331" i="72"/>
  <c r="R451" i="72" s="1"/>
  <c r="AD303" i="72" a="1"/>
  <c r="AD303" i="72" s="1"/>
  <c r="AD423" i="72" s="1"/>
  <c r="AB338" i="72"/>
  <c r="AB458" i="72" s="1"/>
  <c r="V345" i="72"/>
  <c r="V465" i="72" s="1"/>
  <c r="N349" i="72"/>
  <c r="N469" i="72" s="1"/>
  <c r="O308" i="72" a="1"/>
  <c r="O308" i="72" s="1"/>
  <c r="O428" i="72" s="1"/>
  <c r="Q314" i="72" a="1"/>
  <c r="Q314" i="72" s="1"/>
  <c r="Q434" i="72" s="1"/>
  <c r="AE319" i="72" a="1"/>
  <c r="AE319" i="72" s="1"/>
  <c r="AE439" i="72" s="1"/>
  <c r="AD318" i="72" a="1"/>
  <c r="AD318" i="72" s="1"/>
  <c r="AD438" i="72" s="1"/>
  <c r="AD346" i="72"/>
  <c r="AD466" i="72" s="1"/>
  <c r="P349" i="72"/>
  <c r="P469" i="72" s="1"/>
  <c r="Y304" i="72" a="1"/>
  <c r="Y304" i="72" s="1"/>
  <c r="Y424" i="72" s="1"/>
  <c r="S344" i="72"/>
  <c r="S464" i="72" s="1"/>
  <c r="U347" i="72"/>
  <c r="U467" i="72" s="1"/>
  <c r="N302" i="72" a="1"/>
  <c r="N302" i="72" s="1"/>
  <c r="N422" i="72" s="1"/>
  <c r="X314" i="72" a="1"/>
  <c r="X314" i="72" s="1"/>
  <c r="X434" i="72" s="1"/>
  <c r="V309" i="72" a="1"/>
  <c r="V309" i="72" s="1"/>
  <c r="V429" i="72" s="1"/>
  <c r="Z345" i="72"/>
  <c r="Z465" i="72" s="1"/>
  <c r="R319" i="72" a="1"/>
  <c r="R319" i="72" s="1"/>
  <c r="R439" i="72" s="1"/>
  <c r="Z316" i="72" a="1"/>
  <c r="Z316" i="72" s="1"/>
  <c r="Z436" i="72" s="1"/>
  <c r="Z496" i="72" s="1"/>
  <c r="AC348" i="72"/>
  <c r="AC468" i="72" s="1"/>
  <c r="Q302" i="72" a="1"/>
  <c r="Q302" i="72" s="1"/>
  <c r="Q422" i="72" s="1"/>
  <c r="AE309" i="72" a="1"/>
  <c r="AE309" i="72" s="1"/>
  <c r="AE429" i="72" s="1"/>
  <c r="R308" i="72" a="1"/>
  <c r="R308" i="72" s="1"/>
  <c r="R428" i="72" s="1"/>
  <c r="L315" i="72" a="1"/>
  <c r="L315" i="72" s="1"/>
  <c r="L435" i="72" s="1"/>
  <c r="T560" i="72" a="1"/>
  <c r="T560" i="72" s="1"/>
  <c r="T680" i="72" s="1"/>
  <c r="T740" i="72" s="1"/>
  <c r="K589" i="72"/>
  <c r="K709" i="72" s="1"/>
  <c r="Y579" i="72"/>
  <c r="Y699" i="72" s="1"/>
  <c r="V560" i="72" a="1"/>
  <c r="V560" i="72" s="1"/>
  <c r="V680" i="72" s="1"/>
  <c r="W587" i="72"/>
  <c r="W707" i="72" s="1"/>
  <c r="M593" i="72"/>
  <c r="M713" i="72" s="1"/>
  <c r="AA547" i="72" a="1"/>
  <c r="AA547" i="72" s="1"/>
  <c r="AA667" i="72" s="1"/>
  <c r="H555" i="72" a="1"/>
  <c r="H555" i="72" s="1"/>
  <c r="H675" i="72" s="1"/>
  <c r="H735" i="72" s="1"/>
  <c r="X562" i="72" a="1"/>
  <c r="X562" i="72" s="1"/>
  <c r="X682" i="72" s="1"/>
  <c r="V545" i="72" a="1"/>
  <c r="V545" i="72" s="1"/>
  <c r="V665" i="72" s="1"/>
  <c r="S317" i="72" a="1"/>
  <c r="S317" i="72" s="1"/>
  <c r="S437" i="72" s="1"/>
  <c r="S497" i="72" s="1"/>
  <c r="AG309" i="72" a="1"/>
  <c r="AG309" i="72" s="1"/>
  <c r="AG429" i="72" s="1"/>
  <c r="N333" i="72"/>
  <c r="N453" i="72" s="1"/>
  <c r="P314" i="72" a="1"/>
  <c r="P314" i="72" s="1"/>
  <c r="P434" i="72" s="1"/>
  <c r="AG328" i="72"/>
  <c r="H315" i="72" a="1"/>
  <c r="H315" i="72" s="1"/>
  <c r="H435" i="72" s="1"/>
  <c r="Z303" i="72" a="1"/>
  <c r="Z303" i="72" s="1"/>
  <c r="Z423" i="72" s="1"/>
  <c r="S300" i="72" a="1"/>
  <c r="S300" i="72" s="1"/>
  <c r="S420" i="72" s="1"/>
  <c r="S480" i="72" s="1"/>
  <c r="J345" i="72"/>
  <c r="J465" i="72" s="1"/>
  <c r="U308" i="72" a="1"/>
  <c r="U308" i="72" s="1"/>
  <c r="U428" i="72" s="1"/>
  <c r="V308" i="72" a="1"/>
  <c r="V308" i="72" s="1"/>
  <c r="V428" i="72" s="1"/>
  <c r="H347" i="72"/>
  <c r="H467" i="72" s="1"/>
  <c r="Q311" i="72" a="1"/>
  <c r="Q311" i="72" s="1"/>
  <c r="Q431" i="72" s="1"/>
  <c r="Q335" i="72"/>
  <c r="Q455" i="72" s="1"/>
  <c r="S346" i="72"/>
  <c r="S466" i="72" s="1"/>
  <c r="AD304" i="72" a="1"/>
  <c r="AD304" i="72" s="1"/>
  <c r="AD424" i="72" s="1"/>
  <c r="AB304" i="72" a="1"/>
  <c r="AB304" i="72" s="1"/>
  <c r="AB424" i="72" s="1"/>
  <c r="P348" i="72"/>
  <c r="P468" i="72" s="1"/>
  <c r="AE315" i="72" a="1"/>
  <c r="AE315" i="72" s="1"/>
  <c r="AE435" i="72" s="1"/>
  <c r="AE495" i="72" s="1"/>
  <c r="R304" i="72" a="1"/>
  <c r="R304" i="72" s="1"/>
  <c r="R424" i="72" s="1"/>
  <c r="R348" i="72"/>
  <c r="R468" i="72" s="1"/>
  <c r="W319" i="72" a="1"/>
  <c r="W319" i="72" s="1"/>
  <c r="W439" i="72" s="1"/>
  <c r="I319" i="72" a="1"/>
  <c r="I319" i="72" s="1"/>
  <c r="I439" i="72" s="1"/>
  <c r="N309" i="72" a="1"/>
  <c r="N309" i="72" s="1"/>
  <c r="N429" i="72" s="1"/>
  <c r="N489" i="72" s="1"/>
  <c r="AD317" i="72" a="1"/>
  <c r="AD317" i="72" s="1"/>
  <c r="AD437" i="72" s="1"/>
  <c r="J316" i="72" a="1"/>
  <c r="J316" i="72" s="1"/>
  <c r="J436" i="72" s="1"/>
  <c r="J496" i="72" s="1"/>
  <c r="M314" i="72" a="1"/>
  <c r="M314" i="72" s="1"/>
  <c r="M434" i="72" s="1"/>
  <c r="O347" i="72"/>
  <c r="O467" i="72" s="1"/>
  <c r="Q298" i="72" a="1"/>
  <c r="Q298" i="72" s="1"/>
  <c r="O314" i="72" a="1"/>
  <c r="O314" i="72" s="1"/>
  <c r="O434" i="72" s="1"/>
  <c r="O494" i="72" s="1"/>
  <c r="Z308" i="72" a="1"/>
  <c r="Z308" i="72" s="1"/>
  <c r="Z428" i="72" s="1"/>
  <c r="T315" i="72" a="1"/>
  <c r="T315" i="72" s="1"/>
  <c r="T435" i="72" s="1"/>
  <c r="W301" i="72" a="1"/>
  <c r="W301" i="72" s="1"/>
  <c r="W421" i="72" s="1"/>
  <c r="H66" i="72" a="1"/>
  <c r="H66" i="72" s="1"/>
  <c r="H186" i="72" s="1"/>
  <c r="H246" i="72" s="1"/>
  <c r="I43" i="68" s="1"/>
  <c r="X63" i="72" a="1"/>
  <c r="X63" i="72" s="1"/>
  <c r="X183" i="72" s="1"/>
  <c r="X243" i="72" s="1"/>
  <c r="Y40" i="68" s="1"/>
  <c r="J61" i="72" a="1"/>
  <c r="J61" i="72" s="1"/>
  <c r="J181" i="72" s="1"/>
  <c r="AD92" i="72"/>
  <c r="AD212" i="72" s="1"/>
  <c r="AA62" i="72" a="1"/>
  <c r="AA62" i="72" s="1"/>
  <c r="AA182" i="72" s="1"/>
  <c r="AF100" i="72"/>
  <c r="AF220" i="72" s="1"/>
  <c r="AA59" i="72" a="1"/>
  <c r="AA59" i="72" s="1"/>
  <c r="AA179" i="72" s="1"/>
  <c r="P59" i="72" a="1"/>
  <c r="P59" i="72" s="1"/>
  <c r="P179" i="72" s="1"/>
  <c r="Z85" i="72"/>
  <c r="Z205" i="72" s="1"/>
  <c r="Y71" i="72" a="1"/>
  <c r="Y71" i="72" s="1"/>
  <c r="Y191" i="72" s="1"/>
  <c r="W68" i="72" a="1"/>
  <c r="W68" i="72" s="1"/>
  <c r="W188" i="72" s="1"/>
  <c r="U63" i="72" a="1"/>
  <c r="U63" i="72" s="1"/>
  <c r="U183" i="72" s="1"/>
  <c r="AC72" i="72" a="1"/>
  <c r="AC72" i="72" s="1"/>
  <c r="AC192" i="72" s="1"/>
  <c r="AD84" i="72"/>
  <c r="AD204" i="72" s="1"/>
  <c r="Z58" i="72" a="1"/>
  <c r="Z58" i="72" s="1"/>
  <c r="Z178" i="72" s="1"/>
  <c r="N56" i="72" a="1"/>
  <c r="N56" i="72" s="1"/>
  <c r="N176" i="72" s="1"/>
  <c r="P52" i="72" a="1"/>
  <c r="P52" i="72" s="1"/>
  <c r="O103" i="72"/>
  <c r="O223" i="72" s="1"/>
  <c r="S87" i="72"/>
  <c r="S207" i="72" s="1"/>
  <c r="Z59" i="72" a="1"/>
  <c r="Z59" i="72" s="1"/>
  <c r="Z179" i="72" s="1"/>
  <c r="N84" i="72"/>
  <c r="N204" i="72" s="1"/>
  <c r="Q54" i="72" a="1"/>
  <c r="Q54" i="72" s="1"/>
  <c r="Q174" i="72" s="1"/>
  <c r="Z62" i="72" a="1"/>
  <c r="Z62" i="72" s="1"/>
  <c r="Z182" i="72" s="1"/>
  <c r="AA68" i="72" a="1"/>
  <c r="AA68" i="72" s="1"/>
  <c r="AA188" i="72" s="1"/>
  <c r="W55" i="72" a="1"/>
  <c r="W55" i="72" s="1"/>
  <c r="W175" i="72" s="1"/>
  <c r="AE63" i="72" a="1"/>
  <c r="AE63" i="72" s="1"/>
  <c r="AE183" i="72" s="1"/>
  <c r="V54" i="72" a="1"/>
  <c r="V54" i="72" s="1"/>
  <c r="V174" i="72" s="1"/>
  <c r="AD99" i="72"/>
  <c r="AD219" i="72" s="1"/>
  <c r="AB100" i="72"/>
  <c r="AB220" i="72" s="1"/>
  <c r="P68" i="72" a="1"/>
  <c r="P68" i="72" s="1"/>
  <c r="P188" i="72" s="1"/>
  <c r="R61" i="72" a="1"/>
  <c r="R61" i="72" s="1"/>
  <c r="R181" i="72" s="1"/>
  <c r="L102" i="72"/>
  <c r="L222" i="72" s="1"/>
  <c r="AG73" i="72" a="1"/>
  <c r="AG73" i="72" s="1"/>
  <c r="AG193" i="72" s="1"/>
  <c r="AC73" i="72" a="1"/>
  <c r="AC73" i="72" s="1"/>
  <c r="AC193" i="72" s="1"/>
  <c r="U69" i="72" a="1"/>
  <c r="U69" i="72" s="1"/>
  <c r="U189" i="72" s="1"/>
  <c r="AC87" i="72"/>
  <c r="AC207" i="72" s="1"/>
  <c r="Q85" i="72"/>
  <c r="Q205" i="72" s="1"/>
  <c r="AG61" i="72" a="1"/>
  <c r="AG61" i="72" s="1"/>
  <c r="AG181" i="72" s="1"/>
  <c r="S68" i="72" a="1"/>
  <c r="S68" i="72" s="1"/>
  <c r="S188" i="72" s="1"/>
  <c r="AE100" i="72"/>
  <c r="AE220" i="72" s="1"/>
  <c r="V102" i="72"/>
  <c r="V222" i="72" s="1"/>
  <c r="AD98" i="72"/>
  <c r="AD218" i="72" s="1"/>
  <c r="K52" i="72" a="1"/>
  <c r="K52" i="72" s="1"/>
  <c r="H56" i="72" a="1"/>
  <c r="H56" i="72" s="1"/>
  <c r="H176" i="72" s="1"/>
  <c r="H236" i="72" s="1"/>
  <c r="I33" i="68" s="1"/>
  <c r="L86" i="72"/>
  <c r="L206" i="72" s="1"/>
  <c r="M86" i="72"/>
  <c r="M206" i="72" s="1"/>
  <c r="O71" i="72" a="1"/>
  <c r="O71" i="72" s="1"/>
  <c r="O191" i="72" s="1"/>
  <c r="O55" i="72" a="1"/>
  <c r="O55" i="72" s="1"/>
  <c r="O175" i="72" s="1"/>
  <c r="K63" i="72" a="1"/>
  <c r="K63" i="72" s="1"/>
  <c r="K183" i="72" s="1"/>
  <c r="K243" i="72" s="1"/>
  <c r="L40" i="68" s="1"/>
  <c r="Z71" i="72" a="1"/>
  <c r="Z71" i="72" s="1"/>
  <c r="Z191" i="72" s="1"/>
  <c r="Z251" i="72" s="1"/>
  <c r="AA48" i="68" s="1"/>
  <c r="K99" i="72"/>
  <c r="K219" i="72" s="1"/>
  <c r="AD101" i="72"/>
  <c r="AD221" i="72" s="1"/>
  <c r="O563" i="72" a="1"/>
  <c r="O563" i="72" s="1"/>
  <c r="O683" i="72" s="1"/>
  <c r="H591" i="72"/>
  <c r="H711" i="72" s="1"/>
  <c r="L559" i="72" a="1"/>
  <c r="L559" i="72" s="1"/>
  <c r="L679" i="72" s="1"/>
  <c r="L305" i="72" a="1"/>
  <c r="L305" i="72" s="1"/>
  <c r="L425" i="72" s="1"/>
  <c r="H549" i="72" a="1"/>
  <c r="H549" i="72" s="1"/>
  <c r="H669" i="72" s="1"/>
  <c r="W546" i="72" a="1"/>
  <c r="W546" i="72" s="1"/>
  <c r="W666" i="72" s="1"/>
  <c r="X549" i="72" a="1"/>
  <c r="X549" i="72" s="1"/>
  <c r="X669" i="72" s="1"/>
  <c r="X729" i="72" s="1"/>
  <c r="Y559" i="72" a="1"/>
  <c r="Y559" i="72" s="1"/>
  <c r="Y679" i="72" s="1"/>
  <c r="AB589" i="72"/>
  <c r="AB709" i="72" s="1"/>
  <c r="S547" i="72" a="1"/>
  <c r="S547" i="72" s="1"/>
  <c r="S667" i="72" s="1"/>
  <c r="W332" i="72"/>
  <c r="W452" i="72" s="1"/>
  <c r="U345" i="72"/>
  <c r="U465" i="72" s="1"/>
  <c r="N303" i="72" a="1"/>
  <c r="N303" i="72" s="1"/>
  <c r="N423" i="72" s="1"/>
  <c r="AB316" i="72" a="1"/>
  <c r="AB316" i="72" s="1"/>
  <c r="AB436" i="72" s="1"/>
  <c r="Q344" i="72"/>
  <c r="Q464" i="72" s="1"/>
  <c r="N346" i="72"/>
  <c r="N466" i="72" s="1"/>
  <c r="AA317" i="72" a="1"/>
  <c r="AA317" i="72" s="1"/>
  <c r="AA437" i="72" s="1"/>
  <c r="AB301" i="72" a="1"/>
  <c r="AB301" i="72" s="1"/>
  <c r="AB421" i="72" s="1"/>
  <c r="J315" i="72" a="1"/>
  <c r="J315" i="72" s="1"/>
  <c r="J435" i="72" s="1"/>
  <c r="W317" i="72" a="1"/>
  <c r="W317" i="72" s="1"/>
  <c r="W437" i="72" s="1"/>
  <c r="M309" i="72" a="1"/>
  <c r="M309" i="72" s="1"/>
  <c r="M429" i="72" s="1"/>
  <c r="H317" i="72" a="1"/>
  <c r="H317" i="72" s="1"/>
  <c r="H437" i="72" s="1"/>
  <c r="AE314" i="72" a="1"/>
  <c r="AE314" i="72" s="1"/>
  <c r="AE434" i="72" s="1"/>
  <c r="Q305" i="72" a="1"/>
  <c r="Q305" i="72" s="1"/>
  <c r="Q425" i="72" s="1"/>
  <c r="S316" i="72" a="1"/>
  <c r="S316" i="72" s="1"/>
  <c r="S436" i="72" s="1"/>
  <c r="P305" i="72" a="1"/>
  <c r="P305" i="72" s="1"/>
  <c r="P425" i="72" s="1"/>
  <c r="AB334" i="72"/>
  <c r="AB454" i="72" s="1"/>
  <c r="V319" i="72" a="1"/>
  <c r="V319" i="72" s="1"/>
  <c r="V439" i="72" s="1"/>
  <c r="U346" i="72"/>
  <c r="U466" i="72" s="1"/>
  <c r="AE304" i="72" a="1"/>
  <c r="AE304" i="72" s="1"/>
  <c r="AE424" i="72" s="1"/>
  <c r="R318" i="72" a="1"/>
  <c r="R318" i="72" s="1"/>
  <c r="R438" i="72" s="1"/>
  <c r="K344" i="72"/>
  <c r="K464" i="72" s="1"/>
  <c r="P298" i="72" a="1"/>
  <c r="P298" i="72" s="1"/>
  <c r="AD339" i="72"/>
  <c r="AD459" i="72" s="1"/>
  <c r="AD347" i="72"/>
  <c r="AD467" i="72" s="1"/>
  <c r="P317" i="72" a="1"/>
  <c r="P317" i="72" s="1"/>
  <c r="P437" i="72" s="1"/>
  <c r="AC344" i="72"/>
  <c r="AC464" i="72" s="1"/>
  <c r="O317" i="72" a="1"/>
  <c r="O317" i="72" s="1"/>
  <c r="O437" i="72" s="1"/>
  <c r="Y300" i="72" a="1"/>
  <c r="Y300" i="72" s="1"/>
  <c r="Y420" i="72" s="1"/>
  <c r="O315" i="72" a="1"/>
  <c r="O315" i="72" s="1"/>
  <c r="O435" i="72" s="1"/>
  <c r="P339" i="72"/>
  <c r="P459" i="72" s="1"/>
  <c r="AF347" i="72"/>
  <c r="AF467" i="72" s="1"/>
  <c r="N308" i="72" a="1"/>
  <c r="N308" i="72" s="1"/>
  <c r="N428" i="72" s="1"/>
  <c r="AG63" i="72" a="1"/>
  <c r="AG63" i="72" s="1"/>
  <c r="AG183" i="72" s="1"/>
  <c r="V63" i="72" a="1"/>
  <c r="V63" i="72" s="1"/>
  <c r="V183" i="72" s="1"/>
  <c r="AG58" i="72" a="1"/>
  <c r="AG58" i="72" s="1"/>
  <c r="AG178" i="72" s="1"/>
  <c r="AG238" i="72" s="1"/>
  <c r="AH35" i="68" s="1"/>
  <c r="T72" i="72" a="1"/>
  <c r="T72" i="72" s="1"/>
  <c r="T192" i="72" s="1"/>
  <c r="X70" i="72" a="1"/>
  <c r="X70" i="72" s="1"/>
  <c r="X190" i="72" s="1"/>
  <c r="X250" i="72" s="1"/>
  <c r="Y47" i="68" s="1"/>
  <c r="AE87" i="72"/>
  <c r="AE207" i="72" s="1"/>
  <c r="AC68" i="72" a="1"/>
  <c r="AC68" i="72" s="1"/>
  <c r="AC188" i="72" s="1"/>
  <c r="M84" i="72"/>
  <c r="M204" i="72" s="1"/>
  <c r="Z55" i="72" a="1"/>
  <c r="Z55" i="72" s="1"/>
  <c r="Z175" i="72" s="1"/>
  <c r="Y101" i="72"/>
  <c r="Y221" i="72" s="1"/>
  <c r="W98" i="72"/>
  <c r="W218" i="72" s="1"/>
  <c r="AE62" i="72" a="1"/>
  <c r="AE62" i="72" s="1"/>
  <c r="AE182" i="72" s="1"/>
  <c r="H71" i="72" a="1"/>
  <c r="H71" i="72" s="1"/>
  <c r="H191" i="72" s="1"/>
  <c r="AB88" i="72"/>
  <c r="AB208" i="72" s="1"/>
  <c r="Z88" i="72"/>
  <c r="Z208" i="72" s="1"/>
  <c r="N86" i="72"/>
  <c r="N206" i="72" s="1"/>
  <c r="N62" i="72" a="1"/>
  <c r="N62" i="72" s="1"/>
  <c r="N182" i="72" s="1"/>
  <c r="AC100" i="72"/>
  <c r="AC220" i="72" s="1"/>
  <c r="AA52" i="72" a="1"/>
  <c r="AA52" i="72" s="1"/>
  <c r="AA58" i="72" a="1"/>
  <c r="AA58" i="72" s="1"/>
  <c r="AA178" i="72" s="1"/>
  <c r="P102" i="72"/>
  <c r="P222" i="72" s="1"/>
  <c r="AE84" i="72"/>
  <c r="AE204" i="72" s="1"/>
  <c r="J62" i="72" a="1"/>
  <c r="J62" i="72" s="1"/>
  <c r="J182" i="72" s="1"/>
  <c r="Y102" i="72"/>
  <c r="Y222" i="72" s="1"/>
  <c r="W85" i="72"/>
  <c r="W205" i="72" s="1"/>
  <c r="O63" i="72" a="1"/>
  <c r="O63" i="72" s="1"/>
  <c r="O183" i="72" s="1"/>
  <c r="AE73" i="72" a="1"/>
  <c r="AE73" i="72" s="1"/>
  <c r="AE193" i="72" s="1"/>
  <c r="AD69" i="72" a="1"/>
  <c r="AD69" i="72" s="1"/>
  <c r="AD189" i="72" s="1"/>
  <c r="AB70" i="72" a="1"/>
  <c r="AB70" i="72" s="1"/>
  <c r="AB190" i="72" s="1"/>
  <c r="P98" i="72"/>
  <c r="P218" i="72" s="1"/>
  <c r="AC548" i="72" a="1"/>
  <c r="AC548" i="72" s="1"/>
  <c r="AC668" i="72" s="1"/>
  <c r="H561" i="72" a="1"/>
  <c r="H561" i="72" s="1"/>
  <c r="H681" i="72" s="1"/>
  <c r="V593" i="72"/>
  <c r="V713" i="72" s="1"/>
  <c r="AG559" i="72" a="1"/>
  <c r="AG559" i="72" s="1"/>
  <c r="AG679" i="72" s="1"/>
  <c r="U549" i="72" a="1"/>
  <c r="U549" i="72" s="1"/>
  <c r="U669" i="72" s="1"/>
  <c r="AB590" i="72"/>
  <c r="AB710" i="72" s="1"/>
  <c r="AG554" i="72" a="1"/>
  <c r="AG554" i="72" s="1"/>
  <c r="AG674" i="72" s="1"/>
  <c r="O590" i="72"/>
  <c r="O710" i="72" s="1"/>
  <c r="R555" i="72" a="1"/>
  <c r="R555" i="72" s="1"/>
  <c r="R675" i="72" s="1"/>
  <c r="AD547" i="72" a="1"/>
  <c r="AD547" i="72" s="1"/>
  <c r="AD667" i="72" s="1"/>
  <c r="W302" i="72" a="1"/>
  <c r="W302" i="72" s="1"/>
  <c r="W422" i="72" s="1"/>
  <c r="AG347" i="72"/>
  <c r="AG467" i="72" s="1"/>
  <c r="AD333" i="72"/>
  <c r="AD453" i="72" s="1"/>
  <c r="H348" i="72"/>
  <c r="H468" i="72" s="1"/>
  <c r="Y348" i="72"/>
  <c r="Y468" i="72" s="1"/>
  <c r="N316" i="72" a="1"/>
  <c r="N316" i="72" s="1"/>
  <c r="N436" i="72" s="1"/>
  <c r="AE318" i="72" a="1"/>
  <c r="AE318" i="72" s="1"/>
  <c r="AE438" i="72" s="1"/>
  <c r="AB305" i="72" a="1"/>
  <c r="AB305" i="72" s="1"/>
  <c r="AB425" i="72" s="1"/>
  <c r="Z315" i="72" a="1"/>
  <c r="Z315" i="72" s="1"/>
  <c r="Z435" i="72" s="1"/>
  <c r="M348" i="72"/>
  <c r="M468" i="72" s="1"/>
  <c r="AF335" i="72"/>
  <c r="AF455" i="72" s="1"/>
  <c r="X347" i="72"/>
  <c r="X467" i="72" s="1"/>
  <c r="AA315" i="72" a="1"/>
  <c r="AA315" i="72" s="1"/>
  <c r="AA435" i="72" s="1"/>
  <c r="AG335" i="72"/>
  <c r="AG455" i="72" s="1"/>
  <c r="Y347" i="72"/>
  <c r="Y467" i="72" s="1"/>
  <c r="W308" i="72" a="1"/>
  <c r="W308" i="72" s="1"/>
  <c r="W428" i="72" s="1"/>
  <c r="H336" i="72"/>
  <c r="H456" i="72" s="1"/>
  <c r="V349" i="72"/>
  <c r="V469" i="72" s="1"/>
  <c r="U316" i="72" a="1"/>
  <c r="U316" i="72" s="1"/>
  <c r="U436" i="72" s="1"/>
  <c r="S305" i="72" a="1"/>
  <c r="S305" i="72" s="1"/>
  <c r="S425" i="72" s="1"/>
  <c r="S485" i="72" s="1"/>
  <c r="H349" i="72"/>
  <c r="H469" i="72" s="1"/>
  <c r="K314" i="72" a="1"/>
  <c r="K314" i="72" s="1"/>
  <c r="K434" i="72" s="1"/>
  <c r="X300" i="72" a="1"/>
  <c r="X300" i="72" s="1"/>
  <c r="X420" i="72" s="1"/>
  <c r="AD309" i="72" a="1"/>
  <c r="AD309" i="72" s="1"/>
  <c r="AD429" i="72" s="1"/>
  <c r="N300" i="72" a="1"/>
  <c r="N300" i="72" s="1"/>
  <c r="N420" i="72" s="1"/>
  <c r="T318" i="72" a="1"/>
  <c r="T318" i="72" s="1"/>
  <c r="T438" i="72" s="1"/>
  <c r="T498" i="72" s="1"/>
  <c r="AC314" i="72" a="1"/>
  <c r="AC314" i="72" s="1"/>
  <c r="AC434" i="72" s="1"/>
  <c r="AE317" i="72" a="1"/>
  <c r="AE317" i="72" s="1"/>
  <c r="AE437" i="72" s="1"/>
  <c r="V302" i="72" a="1"/>
  <c r="V302" i="72" s="1"/>
  <c r="V422" i="72" s="1"/>
  <c r="R317" i="72" a="1"/>
  <c r="R317" i="72" s="1"/>
  <c r="R437" i="72" s="1"/>
  <c r="P309" i="72" a="1"/>
  <c r="P309" i="72" s="1"/>
  <c r="P429" i="72" s="1"/>
  <c r="AF317" i="72" a="1"/>
  <c r="AF317" i="72" s="1"/>
  <c r="AF437" i="72" s="1"/>
  <c r="AE308" i="72" a="1"/>
  <c r="AE308" i="72" s="1"/>
  <c r="AE428" i="72" s="1"/>
  <c r="AE488" i="72" s="1"/>
  <c r="V58" i="72" a="1"/>
  <c r="V58" i="72" s="1"/>
  <c r="V178" i="72" s="1"/>
  <c r="V238" i="72" s="1"/>
  <c r="W35" i="68" s="1"/>
  <c r="Q63" i="72" a="1"/>
  <c r="Q63" i="72" s="1"/>
  <c r="Q183" i="72" s="1"/>
  <c r="Q243" i="72" s="1"/>
  <c r="R40" i="68" s="1"/>
  <c r="AB52" i="72" a="1"/>
  <c r="AB52" i="72" s="1"/>
  <c r="AF62" i="72" a="1"/>
  <c r="AF62" i="72" s="1"/>
  <c r="AF182" i="72" s="1"/>
  <c r="Z102" i="72"/>
  <c r="Z222" i="72" s="1"/>
  <c r="P62" i="72" a="1"/>
  <c r="P62" i="72" s="1"/>
  <c r="P182" i="72" s="1"/>
  <c r="N100" i="72"/>
  <c r="N220" i="72" s="1"/>
  <c r="Z61" i="72" a="1"/>
  <c r="Z61" i="72" s="1"/>
  <c r="Z181" i="72" s="1"/>
  <c r="T84" i="72"/>
  <c r="T204" i="72" s="1"/>
  <c r="I101" i="72"/>
  <c r="I221" i="72" s="1"/>
  <c r="I55" i="72" a="1"/>
  <c r="I55" i="72" s="1"/>
  <c r="I175" i="72" s="1"/>
  <c r="O62" i="72" a="1"/>
  <c r="O62" i="72" s="1"/>
  <c r="O182" i="72" s="1"/>
  <c r="O69" i="72" a="1"/>
  <c r="O69" i="72" s="1"/>
  <c r="O189" i="72" s="1"/>
  <c r="AB58" i="72" a="1"/>
  <c r="AB58" i="72" s="1"/>
  <c r="AB178" i="72" s="1"/>
  <c r="J58" i="72" a="1"/>
  <c r="J58" i="72" s="1"/>
  <c r="J178" i="72" s="1"/>
  <c r="X55" i="72" a="1"/>
  <c r="X55" i="72" s="1"/>
  <c r="X175" i="72" s="1"/>
  <c r="X61" i="72" a="1"/>
  <c r="X61" i="72" s="1"/>
  <c r="X181" i="72" s="1"/>
  <c r="Q98" i="72"/>
  <c r="Q218" i="72" s="1"/>
  <c r="O52" i="72" a="1"/>
  <c r="O52" i="72" s="1"/>
  <c r="Z56" i="72" a="1"/>
  <c r="Z56" i="72" s="1"/>
  <c r="Z176" i="72" s="1"/>
  <c r="P72" i="72" a="1"/>
  <c r="P72" i="72" s="1"/>
  <c r="P192" i="72" s="1"/>
  <c r="AE54" i="72" a="1"/>
  <c r="AE54" i="72" s="1"/>
  <c r="AE174" i="72" s="1"/>
  <c r="T61" i="72" a="1"/>
  <c r="T61" i="72" s="1"/>
  <c r="T181" i="72" s="1"/>
  <c r="M100" i="72"/>
  <c r="M220" i="72" s="1"/>
  <c r="Q87" i="72"/>
  <c r="Q207" i="72" s="1"/>
  <c r="Y62" i="72" a="1"/>
  <c r="Y62" i="72" s="1"/>
  <c r="Y182" i="72" s="1"/>
  <c r="J72" i="72" a="1"/>
  <c r="J72" i="72" s="1"/>
  <c r="J192" i="72" s="1"/>
  <c r="AG87" i="72"/>
  <c r="AG207" i="72" s="1"/>
  <c r="L70" i="72" a="1"/>
  <c r="L70" i="72" s="1"/>
  <c r="L190" i="72" s="1"/>
  <c r="L84" i="72"/>
  <c r="L204" i="72" s="1"/>
  <c r="Q58" i="72" a="1"/>
  <c r="Q58" i="72" s="1"/>
  <c r="Q178" i="72" s="1"/>
  <c r="Q238" i="72" s="1"/>
  <c r="R35" i="68" s="1"/>
  <c r="AF102" i="72"/>
  <c r="AF222" i="72" s="1"/>
  <c r="U101" i="72"/>
  <c r="U221" i="72" s="1"/>
  <c r="Q101" i="72"/>
  <c r="Q221" i="72" s="1"/>
  <c r="AE68" i="72" a="1"/>
  <c r="AE68" i="72" s="1"/>
  <c r="AE188" i="72" s="1"/>
  <c r="M87" i="72"/>
  <c r="M207" i="72" s="1"/>
  <c r="K84" i="72"/>
  <c r="K204" i="72" s="1"/>
  <c r="U59" i="72" a="1"/>
  <c r="U59" i="72" s="1"/>
  <c r="U179" i="72" s="1"/>
  <c r="X99" i="72"/>
  <c r="X219" i="72" s="1"/>
  <c r="W88" i="72"/>
  <c r="W208" i="72" s="1"/>
  <c r="P101" i="72"/>
  <c r="P221" i="72" s="1"/>
  <c r="N98" i="72"/>
  <c r="N218" i="72" s="1"/>
  <c r="AB63" i="72" a="1"/>
  <c r="AB63" i="72" s="1"/>
  <c r="AB183" i="72" s="1"/>
  <c r="N547" i="72" a="1"/>
  <c r="N547" i="72" s="1"/>
  <c r="N667" i="72" s="1"/>
  <c r="N727" i="72" s="1"/>
  <c r="J594" i="72"/>
  <c r="J714" i="72" s="1"/>
  <c r="L564" i="72" a="1"/>
  <c r="L564" i="72" s="1"/>
  <c r="L684" i="72" s="1"/>
  <c r="L744" i="72" s="1"/>
  <c r="N553" i="72" a="1"/>
  <c r="N553" i="72" s="1"/>
  <c r="N673" i="72" s="1"/>
  <c r="N733" i="72" s="1"/>
  <c r="AF583" i="72"/>
  <c r="AF703" i="72" s="1"/>
  <c r="AB560" i="72" a="1"/>
  <c r="AB560" i="72" s="1"/>
  <c r="AB680" i="72" s="1"/>
  <c r="J592" i="72"/>
  <c r="J712" i="72" s="1"/>
  <c r="O560" i="72" a="1"/>
  <c r="O560" i="72" s="1"/>
  <c r="O680" i="72" s="1"/>
  <c r="H586" i="72"/>
  <c r="H706" i="72" s="1"/>
  <c r="K554" i="72" a="1"/>
  <c r="K554" i="72" s="1"/>
  <c r="K674" i="72" s="1"/>
  <c r="M333" i="72"/>
  <c r="M453" i="72" s="1"/>
  <c r="AG317" i="72" a="1"/>
  <c r="AG317" i="72" s="1"/>
  <c r="AG437" i="72" s="1"/>
  <c r="Z305" i="72" a="1"/>
  <c r="Z305" i="72" s="1"/>
  <c r="Z425" i="72" s="1"/>
  <c r="H318" i="72" a="1"/>
  <c r="H318" i="72" s="1"/>
  <c r="H438" i="72" s="1"/>
  <c r="Y318" i="72" a="1"/>
  <c r="Y318" i="72" s="1"/>
  <c r="Y438" i="72" s="1"/>
  <c r="J318" i="72" a="1"/>
  <c r="J318" i="72" s="1"/>
  <c r="J438" i="72" s="1"/>
  <c r="R335" i="72"/>
  <c r="R455" i="72" s="1"/>
  <c r="L309" i="72" a="1"/>
  <c r="L309" i="72" s="1"/>
  <c r="L429" i="72" s="1"/>
  <c r="L318" i="72" a="1"/>
  <c r="L318" i="72" s="1"/>
  <c r="L438" i="72" s="1"/>
  <c r="M318" i="72" a="1"/>
  <c r="M318" i="72" s="1"/>
  <c r="M438" i="72" s="1"/>
  <c r="AF305" i="72" a="1"/>
  <c r="AF305" i="72" s="1"/>
  <c r="AF425" i="72" s="1"/>
  <c r="X317" i="72" a="1"/>
  <c r="X317" i="72" s="1"/>
  <c r="X437" i="72" s="1"/>
  <c r="I318" i="72" a="1"/>
  <c r="I318" i="72" s="1"/>
  <c r="I438" i="72" s="1"/>
  <c r="AG305" i="72" a="1"/>
  <c r="AG305" i="72" s="1"/>
  <c r="AG425" i="72" s="1"/>
  <c r="Y317" i="72" a="1"/>
  <c r="Y317" i="72" s="1"/>
  <c r="Y437" i="72" s="1"/>
  <c r="O309" i="72" a="1"/>
  <c r="O309" i="72" s="1"/>
  <c r="O429" i="72" s="1"/>
  <c r="T308" i="72" a="1"/>
  <c r="T308" i="72" s="1"/>
  <c r="T428" i="72" s="1"/>
  <c r="T488" i="72" s="1"/>
  <c r="V300" i="72" a="1"/>
  <c r="V300" i="72" s="1"/>
  <c r="V420" i="72" s="1"/>
  <c r="V480" i="72" s="1"/>
  <c r="K347" i="72"/>
  <c r="K467" i="72" s="1"/>
  <c r="Y308" i="72" a="1"/>
  <c r="Y308" i="72" s="1"/>
  <c r="Y428" i="72" s="1"/>
  <c r="H319" i="72" a="1"/>
  <c r="H319" i="72" s="1"/>
  <c r="H439" i="72" s="1"/>
  <c r="AA344" i="72"/>
  <c r="AA464" i="72" s="1"/>
  <c r="U301" i="72" a="1"/>
  <c r="U301" i="72" s="1"/>
  <c r="U421" i="72" s="1"/>
  <c r="AB344" i="72"/>
  <c r="AB464" i="72" s="1"/>
  <c r="V301" i="72" a="1"/>
  <c r="V301" i="72" s="1"/>
  <c r="V421" i="72" s="1"/>
  <c r="V481" i="72" s="1"/>
  <c r="Y319" i="72" a="1"/>
  <c r="Y319" i="72" s="1"/>
  <c r="Y439" i="72" s="1"/>
  <c r="S315" i="72" a="1"/>
  <c r="S315" i="72" s="1"/>
  <c r="S435" i="72" s="1"/>
  <c r="S495" i="72" s="1"/>
  <c r="AE347" i="72"/>
  <c r="AE467" i="72" s="1"/>
  <c r="W303" i="72" a="1"/>
  <c r="W303" i="72" s="1"/>
  <c r="W423" i="72" s="1"/>
  <c r="U318" i="72" a="1"/>
  <c r="U318" i="72" s="1"/>
  <c r="U438" i="72" s="1"/>
  <c r="U498" i="72" s="1"/>
  <c r="AF339" i="72"/>
  <c r="AF459" i="72" s="1"/>
  <c r="V348" i="72"/>
  <c r="V468" i="72" s="1"/>
  <c r="W309" i="72" a="1"/>
  <c r="W309" i="72" s="1"/>
  <c r="W429" i="72" s="1"/>
  <c r="N57" i="72" a="1"/>
  <c r="N57" i="72" s="1"/>
  <c r="N177" i="72" s="1"/>
  <c r="N237" i="72" s="1"/>
  <c r="O34" i="68" s="1"/>
  <c r="H63" i="72" a="1"/>
  <c r="H63" i="72" s="1"/>
  <c r="H183" i="72" s="1"/>
  <c r="T52" i="72" a="1"/>
  <c r="T52" i="72" s="1"/>
  <c r="L71" i="72" a="1"/>
  <c r="L71" i="72" s="1"/>
  <c r="L191" i="72" s="1"/>
  <c r="U88" i="72"/>
  <c r="U208" i="72" s="1"/>
  <c r="AD59" i="72" a="1"/>
  <c r="AD59" i="72" s="1"/>
  <c r="AD179" i="72" s="1"/>
  <c r="K62" i="72" a="1"/>
  <c r="K62" i="72" s="1"/>
  <c r="K182" i="72" s="1"/>
  <c r="L59" i="72" a="1"/>
  <c r="L59" i="72" s="1"/>
  <c r="L179" i="72" s="1"/>
  <c r="L239" i="72" s="1"/>
  <c r="M36" i="68" s="1"/>
  <c r="T54" i="72" a="1"/>
  <c r="T54" i="72" s="1"/>
  <c r="T174" i="72" s="1"/>
  <c r="I71" i="72" a="1"/>
  <c r="I71" i="72" s="1"/>
  <c r="I191" i="72" s="1"/>
  <c r="I85" i="72"/>
  <c r="I205" i="72" s="1"/>
  <c r="Y61" i="72" a="1"/>
  <c r="Y61" i="72" s="1"/>
  <c r="Y181" i="72" s="1"/>
  <c r="Y241" i="72" s="1"/>
  <c r="Z38" i="68" s="1"/>
  <c r="P103" i="72"/>
  <c r="P223" i="72" s="1"/>
  <c r="V87" i="72"/>
  <c r="V207" i="72" s="1"/>
  <c r="J88" i="72"/>
  <c r="J208" i="72" s="1"/>
  <c r="X85" i="72"/>
  <c r="X205" i="72" s="1"/>
  <c r="AB59" i="72" a="1"/>
  <c r="AB59" i="72" s="1"/>
  <c r="AB179" i="72" s="1"/>
  <c r="AB239" i="72" s="1"/>
  <c r="AC36" i="68" s="1"/>
  <c r="AF87" i="72"/>
  <c r="AF207" i="72" s="1"/>
  <c r="H64" i="72" a="1"/>
  <c r="H64" i="72" s="1"/>
  <c r="H184" i="72" s="1"/>
  <c r="H244" i="72" s="1"/>
  <c r="I41" i="68" s="1"/>
  <c r="U72" i="72" a="1"/>
  <c r="U72" i="72" s="1"/>
  <c r="U192" i="72" s="1"/>
  <c r="T100" i="72"/>
  <c r="T220" i="72" s="1"/>
  <c r="Y52" i="72" a="1"/>
  <c r="Y52" i="72" s="1"/>
  <c r="X59" i="72" a="1"/>
  <c r="X59" i="72" s="1"/>
  <c r="X179" i="72" s="1"/>
  <c r="O87" i="72"/>
  <c r="O207" i="72" s="1"/>
  <c r="Q57" i="72" a="1"/>
  <c r="Q57" i="72" s="1"/>
  <c r="Q177" i="72" s="1"/>
  <c r="I62" i="72" a="1"/>
  <c r="I62" i="72" s="1"/>
  <c r="I182" i="72" s="1"/>
  <c r="Y68" i="72" a="1"/>
  <c r="Y68" i="72" s="1"/>
  <c r="Y188" i="72" s="1"/>
  <c r="AG57" i="72" a="1"/>
  <c r="AG57" i="72" s="1"/>
  <c r="AG177" i="72" s="1"/>
  <c r="L100" i="72"/>
  <c r="L220" i="72" s="1"/>
  <c r="L54" i="72" a="1"/>
  <c r="L54" i="72" s="1"/>
  <c r="L174" i="72" s="1"/>
  <c r="O56" i="72" a="1"/>
  <c r="O56" i="72" s="1"/>
  <c r="O176" i="72" s="1"/>
  <c r="AF72" i="72" a="1"/>
  <c r="AF72" i="72" s="1"/>
  <c r="AF192" i="72" s="1"/>
  <c r="U71" i="72" a="1"/>
  <c r="U71" i="72" s="1"/>
  <c r="U191" i="72" s="1"/>
  <c r="Q71" i="72" a="1"/>
  <c r="Q71" i="72" s="1"/>
  <c r="Q191" i="72" s="1"/>
  <c r="AE98" i="72"/>
  <c r="AE218" i="72" s="1"/>
  <c r="M57" i="72" a="1"/>
  <c r="M57" i="72" s="1"/>
  <c r="M177" i="72" s="1"/>
  <c r="K54" i="72" a="1"/>
  <c r="K54" i="72" s="1"/>
  <c r="K174" i="72" s="1"/>
  <c r="K58" i="72" a="1"/>
  <c r="K58" i="72" s="1"/>
  <c r="K178" i="72" s="1"/>
  <c r="Y86" i="72"/>
  <c r="Y206" i="72" s="1"/>
  <c r="W58" i="72" a="1"/>
  <c r="W58" i="72" s="1"/>
  <c r="W178" i="72" s="1"/>
  <c r="P71" i="72" a="1"/>
  <c r="P71" i="72" s="1"/>
  <c r="P191" i="72" s="1"/>
  <c r="N68" i="72" a="1"/>
  <c r="N68" i="72" s="1"/>
  <c r="N188" i="72" s="1"/>
  <c r="L63" i="72" a="1"/>
  <c r="L63" i="72" s="1"/>
  <c r="L183" i="72" s="1"/>
  <c r="J70" i="72" a="1"/>
  <c r="J70" i="72" s="1"/>
  <c r="J190" i="72" s="1"/>
  <c r="J250" i="72" s="1"/>
  <c r="K47" i="68" s="1"/>
  <c r="M72" i="72" a="1"/>
  <c r="M72" i="72" s="1"/>
  <c r="M192" i="72" s="1"/>
  <c r="AA86" i="72"/>
  <c r="AA206" i="72" s="1"/>
  <c r="I70" i="72" a="1"/>
  <c r="I70" i="72" s="1"/>
  <c r="I190" i="72" s="1"/>
  <c r="I54" i="72" a="1"/>
  <c r="I54" i="72" s="1"/>
  <c r="I174" i="72" s="1"/>
  <c r="O61" i="72" a="1"/>
  <c r="O61" i="72" s="1"/>
  <c r="O181" i="72" s="1"/>
  <c r="S82" i="72"/>
  <c r="L82" i="72"/>
  <c r="N71" i="72" a="1"/>
  <c r="N71" i="72" s="1"/>
  <c r="N191" i="72" s="1"/>
  <c r="U584" i="72"/>
  <c r="U704" i="72" s="1"/>
  <c r="H543" i="72" a="1"/>
  <c r="H543" i="72" s="1"/>
  <c r="AE554" i="72" a="1"/>
  <c r="AE554" i="72" s="1"/>
  <c r="AE674" i="72" s="1"/>
  <c r="AF547" i="72" a="1"/>
  <c r="AF547" i="72" s="1"/>
  <c r="AF667" i="72" s="1"/>
  <c r="AD583" i="72"/>
  <c r="AD703" i="72" s="1"/>
  <c r="P547" i="72" a="1"/>
  <c r="P547" i="72" s="1"/>
  <c r="P667" i="72" s="1"/>
  <c r="P727" i="72" s="1"/>
  <c r="AD593" i="72"/>
  <c r="AD713" i="72" s="1"/>
  <c r="Z592" i="72"/>
  <c r="Z712" i="72" s="1"/>
  <c r="Q563" i="72" a="1"/>
  <c r="Q563" i="72" s="1"/>
  <c r="Q683" i="72" s="1"/>
  <c r="H556" i="72" a="1"/>
  <c r="H556" i="72" s="1"/>
  <c r="H676" i="72" s="1"/>
  <c r="H736" i="72" s="1"/>
  <c r="Q558" i="72" a="1"/>
  <c r="Q558" i="72" s="1"/>
  <c r="Q678" i="72" s="1"/>
  <c r="Y335" i="72"/>
  <c r="Y455" i="72" s="1"/>
  <c r="W348" i="72"/>
  <c r="W468" i="72" s="1"/>
  <c r="L338" i="72"/>
  <c r="L458" i="72" s="1"/>
  <c r="AB300" i="72" a="1"/>
  <c r="AB300" i="72" s="1"/>
  <c r="AB420" i="72" s="1"/>
  <c r="AE349" i="72"/>
  <c r="AE469" i="72" s="1"/>
  <c r="Z348" i="72"/>
  <c r="Z468" i="72" s="1"/>
  <c r="O316" i="72" a="1"/>
  <c r="O316" i="72" s="1"/>
  <c r="O436" i="72" s="1"/>
  <c r="AC309" i="72" a="1"/>
  <c r="AC309" i="72" s="1"/>
  <c r="AC429" i="72" s="1"/>
  <c r="L348" i="72"/>
  <c r="L468" i="72" s="1"/>
  <c r="AF298" i="72" a="1"/>
  <c r="AF298" i="72" s="1"/>
  <c r="R338" i="72"/>
  <c r="R458" i="72" s="1"/>
  <c r="V298" i="72" a="1"/>
  <c r="V298" i="72" s="1"/>
  <c r="O302" i="72" a="1"/>
  <c r="O302" i="72" s="1"/>
  <c r="O422" i="72" s="1"/>
  <c r="Y339" i="72"/>
  <c r="Y459" i="72" s="1"/>
  <c r="W298" i="72" a="1"/>
  <c r="W298" i="72" s="1"/>
  <c r="J331" i="72"/>
  <c r="J451" i="72" s="1"/>
  <c r="Z339" i="72"/>
  <c r="Z459" i="72" s="1"/>
  <c r="AF315" i="72" a="1"/>
  <c r="AF315" i="72" s="1"/>
  <c r="AF435" i="72" s="1"/>
  <c r="AG318" i="72" a="1"/>
  <c r="AG318" i="72" s="1"/>
  <c r="AG438" i="72" s="1"/>
  <c r="J344" i="72"/>
  <c r="J464" i="72" s="1"/>
  <c r="W300" i="72" a="1"/>
  <c r="W300" i="72" s="1"/>
  <c r="W420" i="72" s="1"/>
  <c r="W316" i="72" a="1"/>
  <c r="W316" i="72" s="1"/>
  <c r="W436" i="72" s="1"/>
  <c r="AC308" i="72" a="1"/>
  <c r="AC308" i="72" s="1"/>
  <c r="AC428" i="72" s="1"/>
  <c r="AB314" i="72" a="1"/>
  <c r="AB314" i="72" s="1"/>
  <c r="AB434" i="72" s="1"/>
  <c r="AB494" i="72" s="1"/>
  <c r="U302" i="72" a="1"/>
  <c r="U302" i="72" s="1"/>
  <c r="U422" i="72" s="1"/>
  <c r="M328" i="72"/>
  <c r="I346" i="72"/>
  <c r="I466" i="72" s="1"/>
  <c r="K319" i="72" a="1"/>
  <c r="K319" i="72" s="1"/>
  <c r="K439" i="72" s="1"/>
  <c r="V304" i="72" a="1"/>
  <c r="V304" i="72" s="1"/>
  <c r="V424" i="72" s="1"/>
  <c r="V484" i="72" s="1"/>
  <c r="Z319" i="72" a="1"/>
  <c r="Z319" i="72" s="1"/>
  <c r="Z439" i="72" s="1"/>
  <c r="AF309" i="72" a="1"/>
  <c r="AF309" i="72" s="1"/>
  <c r="AF429" i="72" s="1"/>
  <c r="V318" i="72" a="1"/>
  <c r="V318" i="72" s="1"/>
  <c r="V438" i="72" s="1"/>
  <c r="Q310" i="72" a="1"/>
  <c r="Q310" i="72" s="1"/>
  <c r="Q430" i="72" s="1"/>
  <c r="X56" i="72" a="1"/>
  <c r="X56" i="72" s="1"/>
  <c r="X176" i="72" s="1"/>
  <c r="W61" i="72" a="1"/>
  <c r="W61" i="72" s="1"/>
  <c r="W181" i="72" s="1"/>
  <c r="W241" i="72" s="1"/>
  <c r="X38" i="68" s="1"/>
  <c r="S63" i="72" a="1"/>
  <c r="S63" i="72" s="1"/>
  <c r="S183" i="72" s="1"/>
  <c r="R103" i="72"/>
  <c r="R223" i="72" s="1"/>
  <c r="AD52" i="72" a="1"/>
  <c r="AD52" i="72" s="1"/>
  <c r="M69" i="72" a="1"/>
  <c r="M69" i="72" s="1"/>
  <c r="M189" i="72" s="1"/>
  <c r="Y59" i="72" a="1"/>
  <c r="Y59" i="72" s="1"/>
  <c r="Y179" i="72" s="1"/>
  <c r="L88" i="72"/>
  <c r="L208" i="72" s="1"/>
  <c r="U73" i="72" a="1"/>
  <c r="U73" i="72" s="1"/>
  <c r="U193" i="72" s="1"/>
  <c r="S70" i="72" a="1"/>
  <c r="S70" i="72" s="1"/>
  <c r="S190" i="72" s="1"/>
  <c r="S54" i="72" a="1"/>
  <c r="S54" i="72" s="1"/>
  <c r="S174" i="72" s="1"/>
  <c r="I61" i="72" a="1"/>
  <c r="I61" i="72" s="1"/>
  <c r="I181" i="72" s="1"/>
  <c r="R98" i="72"/>
  <c r="R218" i="72" s="1"/>
  <c r="V57" i="72" a="1"/>
  <c r="V57" i="72" s="1"/>
  <c r="V177" i="72" s="1"/>
  <c r="V237" i="72" s="1"/>
  <c r="W34" i="68" s="1"/>
  <c r="T57" i="72" a="1"/>
  <c r="T57" i="72" s="1"/>
  <c r="T177" i="72" s="1"/>
  <c r="H55" i="72" a="1"/>
  <c r="H55" i="72" s="1"/>
  <c r="H175" i="72" s="1"/>
  <c r="H59" i="72" a="1"/>
  <c r="H59" i="72" s="1"/>
  <c r="H179" i="72" s="1"/>
  <c r="H239" i="72" s="1"/>
  <c r="I36" i="68" s="1"/>
  <c r="AC84" i="72"/>
  <c r="AC204" i="72" s="1"/>
  <c r="R63" i="72" a="1"/>
  <c r="R63" i="72" s="1"/>
  <c r="R183" i="72" s="1"/>
  <c r="AG68" i="72" a="1"/>
  <c r="AG68" i="72" s="1"/>
  <c r="AG188" i="72" s="1"/>
  <c r="T70" i="72" a="1"/>
  <c r="T70" i="72" s="1"/>
  <c r="T190" i="72" s="1"/>
  <c r="N52" i="72" a="1"/>
  <c r="N52" i="72" s="1"/>
  <c r="T58" i="72" a="1"/>
  <c r="T58" i="72" s="1"/>
  <c r="T178" i="72" s="1"/>
  <c r="AG100" i="72"/>
  <c r="AG220" i="72" s="1"/>
  <c r="AG545" i="72" a="1"/>
  <c r="AG545" i="72" s="1"/>
  <c r="AG665" i="72" s="1"/>
  <c r="X301" i="72" a="1"/>
  <c r="X301" i="72" s="1"/>
  <c r="X421" i="72" s="1"/>
  <c r="U585" i="72"/>
  <c r="U705" i="72" s="1"/>
  <c r="W563" i="72" a="1"/>
  <c r="W563" i="72" s="1"/>
  <c r="W683" i="72" s="1"/>
  <c r="H560" i="72" a="1"/>
  <c r="H560" i="72" s="1"/>
  <c r="H680" i="72" s="1"/>
  <c r="I548" i="72" a="1"/>
  <c r="I548" i="72" s="1"/>
  <c r="I668" i="72" s="1"/>
  <c r="M562" i="72" a="1"/>
  <c r="M562" i="72" s="1"/>
  <c r="M682" i="72" s="1"/>
  <c r="M742" i="72" s="1"/>
  <c r="AF593" i="72"/>
  <c r="AF713" i="72" s="1"/>
  <c r="W594" i="72"/>
  <c r="W714" i="72" s="1"/>
  <c r="AF560" i="72" a="1"/>
  <c r="AF560" i="72" s="1"/>
  <c r="AF680" i="72" s="1"/>
  <c r="L560" i="72" a="1"/>
  <c r="L560" i="72" s="1"/>
  <c r="L680" i="72" s="1"/>
  <c r="Y305" i="72" a="1"/>
  <c r="Y305" i="72" s="1"/>
  <c r="Y425" i="72" s="1"/>
  <c r="AA300" i="72" a="1"/>
  <c r="AA300" i="72" s="1"/>
  <c r="AA420" i="72" s="1"/>
  <c r="L308" i="72" a="1"/>
  <c r="L308" i="72" s="1"/>
  <c r="L428" i="72" s="1"/>
  <c r="X304" i="72" a="1"/>
  <c r="X304" i="72" s="1"/>
  <c r="X424" i="72" s="1"/>
  <c r="Y303" i="72" a="1"/>
  <c r="Y303" i="72" s="1"/>
  <c r="Y423" i="72" s="1"/>
  <c r="Z318" i="72" a="1"/>
  <c r="Z318" i="72" s="1"/>
  <c r="Z438" i="72" s="1"/>
  <c r="AE346" i="72"/>
  <c r="AE466" i="72" s="1"/>
  <c r="AF338" i="72"/>
  <c r="AF458" i="72" s="1"/>
  <c r="R349" i="72"/>
  <c r="R469" i="72" s="1"/>
  <c r="P301" i="72" a="1"/>
  <c r="P301" i="72" s="1"/>
  <c r="P421" i="72" s="1"/>
  <c r="P481" i="72" s="1"/>
  <c r="V344" i="72"/>
  <c r="V464" i="72" s="1"/>
  <c r="U300" i="72" a="1"/>
  <c r="U300" i="72" s="1"/>
  <c r="U420" i="72" s="1"/>
  <c r="AE332" i="72"/>
  <c r="AE452" i="72" s="1"/>
  <c r="Y309" i="72" a="1"/>
  <c r="Y309" i="72" s="1"/>
  <c r="Y429" i="72" s="1"/>
  <c r="AG298" i="72" a="1"/>
  <c r="AG298" i="72" s="1"/>
  <c r="Z301" i="72" a="1"/>
  <c r="Z301" i="72" s="1"/>
  <c r="Z421" i="72" s="1"/>
  <c r="H314" i="72" a="1"/>
  <c r="H314" i="72" s="1"/>
  <c r="H434" i="72" s="1"/>
  <c r="I317" i="72" a="1"/>
  <c r="I317" i="72" s="1"/>
  <c r="I437" i="72" s="1"/>
  <c r="N298" i="72" a="1"/>
  <c r="N298" i="72" s="1"/>
  <c r="J314" i="72" a="1"/>
  <c r="J314" i="72" s="1"/>
  <c r="J434" i="72" s="1"/>
  <c r="T302" i="72" a="1"/>
  <c r="T302" i="72" s="1"/>
  <c r="T422" i="72" s="1"/>
  <c r="M347" i="72"/>
  <c r="M467" i="72" s="1"/>
  <c r="H316" i="72" a="1"/>
  <c r="H316" i="72" s="1"/>
  <c r="H436" i="72" s="1"/>
  <c r="H496" i="72" s="1"/>
  <c r="X316" i="72" a="1"/>
  <c r="X316" i="72" s="1"/>
  <c r="X436" i="72" s="1"/>
  <c r="X496" i="72" s="1"/>
  <c r="AG304" i="72" a="1"/>
  <c r="AG304" i="72" s="1"/>
  <c r="AG424" i="72" s="1"/>
  <c r="AG484" i="72" s="1"/>
  <c r="Q342" i="72"/>
  <c r="Q462" i="72" s="1"/>
  <c r="I316" i="72" a="1"/>
  <c r="I316" i="72" s="1"/>
  <c r="I436" i="72" s="1"/>
  <c r="K349" i="72"/>
  <c r="K469" i="72" s="1"/>
  <c r="V305" i="72" a="1"/>
  <c r="V305" i="72" s="1"/>
  <c r="V425" i="72" s="1"/>
  <c r="V485" i="72" s="1"/>
  <c r="J338" i="72"/>
  <c r="J458" i="72" s="1"/>
  <c r="H343" i="72"/>
  <c r="H463" i="72" s="1"/>
  <c r="AA298" i="72" a="1"/>
  <c r="AA298" i="72" s="1"/>
  <c r="P316" i="72" a="1"/>
  <c r="P316" i="72" s="1"/>
  <c r="P436" i="72" s="1"/>
  <c r="AB54" i="72" a="1"/>
  <c r="AB54" i="72" s="1"/>
  <c r="AB174" i="72" s="1"/>
  <c r="U61" i="72" a="1"/>
  <c r="U61" i="72" s="1"/>
  <c r="U181" i="72" s="1"/>
  <c r="R52" i="72" a="1"/>
  <c r="R52" i="72" s="1"/>
  <c r="AC62" i="72" a="1"/>
  <c r="AC62" i="72" s="1"/>
  <c r="AC182" i="72" s="1"/>
  <c r="R62" i="72" a="1"/>
  <c r="R62" i="72" s="1"/>
  <c r="R182" i="72" s="1"/>
  <c r="R100" i="72"/>
  <c r="R220" i="72" s="1"/>
  <c r="T98" i="72"/>
  <c r="T218" i="72" s="1"/>
  <c r="L58" i="72" a="1"/>
  <c r="L58" i="72" s="1"/>
  <c r="L178" i="72" s="1"/>
  <c r="U103" i="72"/>
  <c r="U223" i="72" s="1"/>
  <c r="S100" i="72"/>
  <c r="S220" i="72" s="1"/>
  <c r="S84" i="72"/>
  <c r="S204" i="72" s="1"/>
  <c r="AC59" i="72" a="1"/>
  <c r="AC59" i="72" s="1"/>
  <c r="AC179" i="72" s="1"/>
  <c r="T93" i="72"/>
  <c r="T213" i="72" s="1"/>
  <c r="P86" i="72"/>
  <c r="P206" i="72" s="1"/>
  <c r="T87" i="72"/>
  <c r="T207" i="72" s="1"/>
  <c r="H85" i="72"/>
  <c r="H205" i="72" s="1"/>
  <c r="K57" i="72" a="1"/>
  <c r="K57" i="72" s="1"/>
  <c r="K177" i="72" s="1"/>
  <c r="Q70" i="72" a="1"/>
  <c r="Q70" i="72" s="1"/>
  <c r="Q190" i="72" s="1"/>
  <c r="AB62" i="72" a="1"/>
  <c r="AB62" i="72" s="1"/>
  <c r="AB182" i="72" s="1"/>
  <c r="AB102" i="72"/>
  <c r="AB222" i="72" s="1"/>
  <c r="S73" i="72" a="1"/>
  <c r="S73" i="72" s="1"/>
  <c r="S193" i="72" s="1"/>
  <c r="H67" i="72" a="1"/>
  <c r="H67" i="72" s="1"/>
  <c r="H187" i="72" s="1"/>
  <c r="V56" i="72" a="1"/>
  <c r="V56" i="72" s="1"/>
  <c r="V176" i="72" s="1"/>
  <c r="AG70" i="72" a="1"/>
  <c r="AG70" i="72" s="1"/>
  <c r="AG190" i="72" s="1"/>
  <c r="O54" i="72" a="1"/>
  <c r="O54" i="72" s="1"/>
  <c r="O174" i="72" s="1"/>
  <c r="W59" i="72" a="1"/>
  <c r="W59" i="72" s="1"/>
  <c r="W179" i="72" s="1"/>
  <c r="N102" i="72"/>
  <c r="N222" i="72" s="1"/>
  <c r="AD103" i="72"/>
  <c r="AD223" i="72" s="1"/>
  <c r="V99" i="72"/>
  <c r="V219" i="72" s="1"/>
  <c r="N63" i="72" a="1"/>
  <c r="N63" i="72" s="1"/>
  <c r="N183" i="72" s="1"/>
  <c r="H72" i="72" a="1"/>
  <c r="H72" i="72" s="1"/>
  <c r="H192" i="72" s="1"/>
  <c r="W71" i="72" a="1"/>
  <c r="W71" i="72" s="1"/>
  <c r="W191" i="72" s="1"/>
  <c r="M59" i="72" a="1"/>
  <c r="M59" i="72" s="1"/>
  <c r="M179" i="72" s="1"/>
  <c r="AA100" i="72"/>
  <c r="AA220" i="72" s="1"/>
  <c r="I59" i="72" a="1"/>
  <c r="I59" i="72" s="1"/>
  <c r="I179" i="72" s="1"/>
  <c r="W56" i="72" a="1"/>
  <c r="W56" i="72" s="1"/>
  <c r="W176" i="72" s="1"/>
  <c r="AC63" i="72" a="1"/>
  <c r="AC63" i="72" s="1"/>
  <c r="AC183" i="72" s="1"/>
  <c r="Y73" i="72" a="1"/>
  <c r="Y73" i="72" s="1"/>
  <c r="Y193" i="72" s="1"/>
  <c r="Y253" i="72" s="1"/>
  <c r="Z50" i="68" s="1"/>
  <c r="N69" i="72" a="1"/>
  <c r="N69" i="72" s="1"/>
  <c r="N189" i="72" s="1"/>
  <c r="AB73" i="72" a="1"/>
  <c r="AB73" i="72" s="1"/>
  <c r="AB193" i="72" s="1"/>
  <c r="Z100" i="72"/>
  <c r="Z220" i="72" s="1"/>
  <c r="M559" i="72" a="1"/>
  <c r="M559" i="72" s="1"/>
  <c r="M679" i="72" s="1"/>
  <c r="M590" i="72"/>
  <c r="M710" i="72" s="1"/>
  <c r="Y332" i="72"/>
  <c r="Y452" i="72" s="1"/>
  <c r="X305" i="72" a="1"/>
  <c r="X305" i="72" s="1"/>
  <c r="X425" i="72" s="1"/>
  <c r="AF308" i="72" a="1"/>
  <c r="AF308" i="72" s="1"/>
  <c r="AF428" i="72" s="1"/>
  <c r="AE300" i="72" a="1"/>
  <c r="AE300" i="72" s="1"/>
  <c r="AE420" i="72" s="1"/>
  <c r="AE480" i="72" s="1"/>
  <c r="Z331" i="72"/>
  <c r="Z451" i="72" s="1"/>
  <c r="Z344" i="72"/>
  <c r="Z464" i="72" s="1"/>
  <c r="N347" i="72"/>
  <c r="N467" i="72" s="1"/>
  <c r="AA349" i="72"/>
  <c r="AA469" i="72" s="1"/>
  <c r="O300" i="72" a="1"/>
  <c r="O300" i="72" s="1"/>
  <c r="O420" i="72" s="1"/>
  <c r="P55" i="72" a="1"/>
  <c r="P55" i="72" s="1"/>
  <c r="P175" i="72" s="1"/>
  <c r="P84" i="72"/>
  <c r="P204" i="72" s="1"/>
  <c r="AC52" i="72" a="1"/>
  <c r="AC52" i="72" s="1"/>
  <c r="AD56" i="72" a="1"/>
  <c r="AD56" i="72" s="1"/>
  <c r="AD176" i="72" s="1"/>
  <c r="L62" i="72" a="1"/>
  <c r="L62" i="72" s="1"/>
  <c r="L182" i="72" s="1"/>
  <c r="L242" i="72" s="1"/>
  <c r="M39" i="68" s="1"/>
  <c r="AA54" i="72" a="1"/>
  <c r="AA54" i="72" s="1"/>
  <c r="AA174" i="72" s="1"/>
  <c r="R58" i="72" a="1"/>
  <c r="R58" i="72" s="1"/>
  <c r="R178" i="72" s="1"/>
  <c r="V69" i="72" a="1"/>
  <c r="V69" i="72" s="1"/>
  <c r="V189" i="72" s="1"/>
  <c r="X68" i="72" a="1"/>
  <c r="X68" i="72" s="1"/>
  <c r="X188" i="72" s="1"/>
  <c r="K86" i="72"/>
  <c r="K206" i="72" s="1"/>
  <c r="S88" i="72"/>
  <c r="S208" i="72" s="1"/>
  <c r="M63" i="72" a="1"/>
  <c r="M63" i="72" s="1"/>
  <c r="M183" i="72" s="1"/>
  <c r="AG84" i="72"/>
  <c r="AG204" i="72" s="1"/>
  <c r="T69" i="72" a="1"/>
  <c r="T69" i="72" s="1"/>
  <c r="T189" i="72" s="1"/>
  <c r="V62" i="72" a="1"/>
  <c r="V62" i="72" s="1"/>
  <c r="V182" i="72" s="1"/>
  <c r="I102" i="72"/>
  <c r="I222" i="72" s="1"/>
  <c r="K102" i="72"/>
  <c r="K222" i="72" s="1"/>
  <c r="I100" i="72"/>
  <c r="I220" i="72" s="1"/>
  <c r="J52" i="72" a="1"/>
  <c r="J52" i="72" s="1"/>
  <c r="AE69" i="72" a="1"/>
  <c r="AE69" i="72" s="1"/>
  <c r="AE189" i="72" s="1"/>
  <c r="Z103" i="72"/>
  <c r="Z223" i="72" s="1"/>
  <c r="R99" i="72"/>
  <c r="R219" i="72" s="1"/>
  <c r="P88" i="72"/>
  <c r="P208" i="72" s="1"/>
  <c r="AD85" i="72"/>
  <c r="AD205" i="72" s="1"/>
  <c r="J63" i="72" a="1"/>
  <c r="J63" i="72" s="1"/>
  <c r="J183" i="72" s="1"/>
  <c r="H54" i="72" a="1"/>
  <c r="H54" i="72" s="1"/>
  <c r="H174" i="72" s="1"/>
  <c r="Y69" i="72" a="1"/>
  <c r="Y69" i="72" s="1"/>
  <c r="Y189" i="72" s="1"/>
  <c r="M101" i="72"/>
  <c r="M221" i="72" s="1"/>
  <c r="O88" i="72"/>
  <c r="O208" i="72" s="1"/>
  <c r="AC85" i="72"/>
  <c r="AC205" i="72" s="1"/>
  <c r="S62" i="72" a="1"/>
  <c r="S62" i="72" s="1"/>
  <c r="S182" i="72" s="1"/>
  <c r="T71" i="72" a="1"/>
  <c r="T71" i="72" s="1"/>
  <c r="T191" i="72" s="1"/>
  <c r="V70" i="72" a="1"/>
  <c r="V70" i="72" s="1"/>
  <c r="V190" i="72" s="1"/>
  <c r="U57" i="72" a="1"/>
  <c r="U57" i="72" s="1"/>
  <c r="U177" i="72" s="1"/>
  <c r="U237" i="72" s="1"/>
  <c r="V34" i="68" s="1"/>
  <c r="H68" i="72" a="1"/>
  <c r="H68" i="72" s="1"/>
  <c r="H188" i="72" s="1"/>
  <c r="AF69" i="72" a="1"/>
  <c r="AF69" i="72" s="1"/>
  <c r="AF189" i="72" s="1"/>
  <c r="H57" i="72" a="1"/>
  <c r="H57" i="72" s="1"/>
  <c r="H177" i="72" s="1"/>
  <c r="Q72" i="72" a="1"/>
  <c r="Q72" i="72" s="1"/>
  <c r="Q192" i="72" s="1"/>
  <c r="I68" i="72" a="1"/>
  <c r="I68" i="72" s="1"/>
  <c r="I188" i="72" s="1"/>
  <c r="AG56" i="72" a="1"/>
  <c r="AG56" i="72" s="1"/>
  <c r="AG176" i="72" s="1"/>
  <c r="U54" i="72" a="1"/>
  <c r="U54" i="72" s="1"/>
  <c r="U174" i="72" s="1"/>
  <c r="R55" i="72" a="1"/>
  <c r="R55" i="72" s="1"/>
  <c r="R175" i="72" s="1"/>
  <c r="J84" i="72"/>
  <c r="J204" i="72" s="1"/>
  <c r="O101" i="72"/>
  <c r="O221" i="72" s="1"/>
  <c r="K69" i="72" a="1"/>
  <c r="K69" i="72" s="1"/>
  <c r="K189" i="72" s="1"/>
  <c r="K249" i="72" s="1"/>
  <c r="L46" i="68" s="1"/>
  <c r="J57" i="72" a="1"/>
  <c r="J57" i="72" s="1"/>
  <c r="J177" i="72" s="1"/>
  <c r="I86" i="72"/>
  <c r="I206" i="72" s="1"/>
  <c r="I57" i="72" a="1"/>
  <c r="I57" i="72" s="1"/>
  <c r="I177" i="72" s="1"/>
  <c r="V85" i="72"/>
  <c r="V205" i="72" s="1"/>
  <c r="S101" i="72"/>
  <c r="S221" i="72" s="1"/>
  <c r="U70" i="72" a="1"/>
  <c r="U70" i="72" s="1"/>
  <c r="U190" i="72" s="1"/>
  <c r="AE52" i="72" a="1"/>
  <c r="AE52" i="72" s="1"/>
  <c r="N103" i="72"/>
  <c r="N223" i="72" s="1"/>
  <c r="W52" i="72" a="1"/>
  <c r="W52" i="72" s="1"/>
  <c r="M56" i="72" a="1"/>
  <c r="M56" i="72" s="1"/>
  <c r="M176" i="72" s="1"/>
  <c r="AF58" i="72" a="1"/>
  <c r="AF58" i="72" s="1"/>
  <c r="AF178" i="72" s="1"/>
  <c r="AA102" i="72"/>
  <c r="AA222" i="72" s="1"/>
  <c r="S56" i="72" a="1"/>
  <c r="S56" i="72" s="1"/>
  <c r="S176" i="72" s="1"/>
  <c r="R56" i="72" a="1"/>
  <c r="R56" i="72" s="1"/>
  <c r="R176" i="72" s="1"/>
  <c r="Q102" i="72"/>
  <c r="Q222" i="72" s="1"/>
  <c r="O59" i="72" a="1"/>
  <c r="O59" i="72" s="1"/>
  <c r="O179" i="72" s="1"/>
  <c r="P563" i="72" a="1"/>
  <c r="P563" i="72" s="1"/>
  <c r="P683" i="72" s="1"/>
  <c r="M560" i="72" a="1"/>
  <c r="M560" i="72" s="1"/>
  <c r="M680" i="72" s="1"/>
  <c r="M740" i="72" s="1"/>
  <c r="K335" i="72"/>
  <c r="K455" i="72" s="1"/>
  <c r="Q328" i="72"/>
  <c r="V339" i="72"/>
  <c r="V459" i="72" s="1"/>
  <c r="AD301" i="72" a="1"/>
  <c r="AD301" i="72" s="1"/>
  <c r="AD421" i="72" s="1"/>
  <c r="P302" i="72" a="1"/>
  <c r="P302" i="72" s="1"/>
  <c r="P422" i="72" s="1"/>
  <c r="Z314" i="72" a="1"/>
  <c r="Z314" i="72" s="1"/>
  <c r="Z434" i="72" s="1"/>
  <c r="Z494" i="72" s="1"/>
  <c r="N317" i="72" a="1"/>
  <c r="N317" i="72" s="1"/>
  <c r="N437" i="72" s="1"/>
  <c r="AA319" i="72" a="1"/>
  <c r="AA319" i="72" s="1"/>
  <c r="AA439" i="72" s="1"/>
  <c r="Z300" i="72" a="1"/>
  <c r="Z300" i="72" s="1"/>
  <c r="Z420" i="72" s="1"/>
  <c r="W72" i="72" a="1"/>
  <c r="W72" i="72" s="1"/>
  <c r="W192" i="72" s="1"/>
  <c r="AB61" i="72" a="1"/>
  <c r="AB61" i="72" s="1"/>
  <c r="AB181" i="72" s="1"/>
  <c r="Q52" i="72" a="1"/>
  <c r="Q52" i="72" s="1"/>
  <c r="AD86" i="72"/>
  <c r="AD206" i="72" s="1"/>
  <c r="V61" i="72" a="1"/>
  <c r="V61" i="72" s="1"/>
  <c r="V181" i="72" s="1"/>
  <c r="V241" i="72" s="1"/>
  <c r="W38" i="68" s="1"/>
  <c r="O72" i="72" a="1"/>
  <c r="O72" i="72" s="1"/>
  <c r="O192" i="72" s="1"/>
  <c r="O252" i="72" s="1"/>
  <c r="P49" i="68" s="1"/>
  <c r="U56" i="72" a="1"/>
  <c r="U56" i="72" s="1"/>
  <c r="U176" i="72" s="1"/>
  <c r="AF68" i="72" a="1"/>
  <c r="AF68" i="72" s="1"/>
  <c r="AF188" i="72" s="1"/>
  <c r="AF82" i="72"/>
  <c r="K56" i="72" a="1"/>
  <c r="K56" i="72" s="1"/>
  <c r="K176" i="72" s="1"/>
  <c r="S58" i="72" a="1"/>
  <c r="S58" i="72" s="1"/>
  <c r="S178" i="72" s="1"/>
  <c r="S238" i="72" s="1"/>
  <c r="T35" i="68" s="1"/>
  <c r="W62" i="72" a="1"/>
  <c r="W62" i="72" s="1"/>
  <c r="W182" i="72" s="1"/>
  <c r="W242" i="72" s="1"/>
  <c r="X39" i="68" s="1"/>
  <c r="AG54" i="72" a="1"/>
  <c r="AG54" i="72" s="1"/>
  <c r="AG174" i="72" s="1"/>
  <c r="AG234" i="72" s="1"/>
  <c r="AH31" i="68" s="1"/>
  <c r="T99" i="72"/>
  <c r="T219" i="72" s="1"/>
  <c r="AF61" i="72" a="1"/>
  <c r="AF61" i="72" s="1"/>
  <c r="AF181" i="72" s="1"/>
  <c r="W99" i="72"/>
  <c r="W219" i="72" s="1"/>
  <c r="K72" i="72" a="1"/>
  <c r="K72" i="72" s="1"/>
  <c r="K192" i="72" s="1"/>
  <c r="K252" i="72" s="1"/>
  <c r="L49" i="68" s="1"/>
  <c r="S69" i="72" a="1"/>
  <c r="S69" i="72" s="1"/>
  <c r="S189" i="72" s="1"/>
  <c r="AA63" i="72" a="1"/>
  <c r="AA63" i="72" s="1"/>
  <c r="AA183" i="72" s="1"/>
  <c r="M68" i="72" a="1"/>
  <c r="M68" i="72" s="1"/>
  <c r="M188" i="72" s="1"/>
  <c r="Z73" i="72" a="1"/>
  <c r="Z73" i="72" s="1"/>
  <c r="Z193" i="72" s="1"/>
  <c r="Z253" i="72" s="1"/>
  <c r="AA50" i="68" s="1"/>
  <c r="R69" i="72" a="1"/>
  <c r="R69" i="72" s="1"/>
  <c r="R189" i="72" s="1"/>
  <c r="R249" i="72" s="1"/>
  <c r="S46" i="68" s="1"/>
  <c r="P58" i="72" a="1"/>
  <c r="P58" i="72" s="1"/>
  <c r="P178" i="72" s="1"/>
  <c r="P238" i="72" s="1"/>
  <c r="Q35" i="68" s="1"/>
  <c r="AD55" i="72" a="1"/>
  <c r="AD55" i="72" s="1"/>
  <c r="AD175" i="72" s="1"/>
  <c r="AD235" i="72" s="1"/>
  <c r="AE32" i="68" s="1"/>
  <c r="T62" i="72" a="1"/>
  <c r="T62" i="72" s="1"/>
  <c r="T182" i="72" s="1"/>
  <c r="T242" i="72" s="1"/>
  <c r="U39" i="68" s="1"/>
  <c r="Q73" i="72" a="1"/>
  <c r="Q73" i="72" s="1"/>
  <c r="Q193" i="72" s="1"/>
  <c r="Y99" i="72"/>
  <c r="Y219" i="72" s="1"/>
  <c r="M71" i="72" a="1"/>
  <c r="M71" i="72" s="1"/>
  <c r="M191" i="72" s="1"/>
  <c r="M251" i="72" s="1"/>
  <c r="N48" i="68" s="1"/>
  <c r="O58" i="72" a="1"/>
  <c r="O58" i="72" s="1"/>
  <c r="O178" i="72" s="1"/>
  <c r="O238" i="72" s="1"/>
  <c r="P35" i="68" s="1"/>
  <c r="AC55" i="72" a="1"/>
  <c r="AC55" i="72" s="1"/>
  <c r="AC175" i="72" s="1"/>
  <c r="AC235" i="72" s="1"/>
  <c r="AD32" i="68" s="1"/>
  <c r="AC61" i="72" a="1"/>
  <c r="AC61" i="72" s="1"/>
  <c r="AC181" i="72" s="1"/>
  <c r="J68" i="72" a="1"/>
  <c r="J68" i="72" s="1"/>
  <c r="J188" i="72" s="1"/>
  <c r="V100" i="72"/>
  <c r="V220" i="72" s="1"/>
  <c r="T55" i="72" a="1"/>
  <c r="T55" i="72" s="1"/>
  <c r="T175" i="72" s="1"/>
  <c r="Y58" i="72" a="1"/>
  <c r="Y58" i="72" s="1"/>
  <c r="Y178" i="72" s="1"/>
  <c r="Z98" i="72"/>
  <c r="Z218" i="72" s="1"/>
  <c r="AB85" i="72"/>
  <c r="AB205" i="72" s="1"/>
  <c r="AA101" i="72"/>
  <c r="AA221" i="72" s="1"/>
  <c r="AC88" i="72"/>
  <c r="AC208" i="72" s="1"/>
  <c r="Q86" i="72"/>
  <c r="Q206" i="72" s="1"/>
  <c r="W63" i="72" a="1"/>
  <c r="W63" i="72" s="1"/>
  <c r="W183" i="72" s="1"/>
  <c r="I73" i="72" a="1"/>
  <c r="I73" i="72" s="1"/>
  <c r="I193" i="72" s="1"/>
  <c r="K100" i="72"/>
  <c r="K220" i="72" s="1"/>
  <c r="AF71" i="72" a="1"/>
  <c r="AF71" i="72" s="1"/>
  <c r="AF191" i="72" s="1"/>
  <c r="Y54" i="72" a="1"/>
  <c r="Y54" i="72" s="1"/>
  <c r="Y174" i="72" s="1"/>
  <c r="N101" i="72"/>
  <c r="N221" i="72" s="1"/>
  <c r="X54" i="72" a="1"/>
  <c r="X54" i="72" s="1"/>
  <c r="X174" i="72" s="1"/>
  <c r="S72" i="72" a="1"/>
  <c r="S72" i="72" s="1"/>
  <c r="S192" i="72" s="1"/>
  <c r="AA57" i="72" a="1"/>
  <c r="AA57" i="72" s="1"/>
  <c r="AA177" i="72" s="1"/>
  <c r="R102" i="72"/>
  <c r="R222" i="72" s="1"/>
  <c r="AG102" i="72"/>
  <c r="AG222" i="72" s="1"/>
  <c r="K85" i="72"/>
  <c r="K205" i="72" s="1"/>
  <c r="T345" i="72"/>
  <c r="T465" i="72" s="1"/>
  <c r="S61" i="72" a="1"/>
  <c r="S61" i="72" s="1"/>
  <c r="S181" i="72" s="1"/>
  <c r="S241" i="72" s="1"/>
  <c r="T38" i="68" s="1"/>
  <c r="N99" i="72"/>
  <c r="N219" i="72" s="1"/>
  <c r="Y100" i="72"/>
  <c r="Y220" i="72" s="1"/>
  <c r="V52" i="72" a="1"/>
  <c r="V52" i="72" s="1"/>
  <c r="T56" i="72" a="1"/>
  <c r="T56" i="72" s="1"/>
  <c r="T176" i="72" s="1"/>
  <c r="AC71" i="72" a="1"/>
  <c r="AC71" i="72" s="1"/>
  <c r="AC191" i="72" s="1"/>
  <c r="M73" i="72" a="1"/>
  <c r="M73" i="72" s="1"/>
  <c r="M193" i="72" s="1"/>
  <c r="M253" i="72" s="1"/>
  <c r="N50" i="68" s="1"/>
  <c r="AF99" i="72"/>
  <c r="AF219" i="72" s="1"/>
  <c r="AG86" i="72"/>
  <c r="AG206" i="72" s="1"/>
  <c r="M594" i="72"/>
  <c r="M714" i="72" s="1"/>
  <c r="Z549" i="72" a="1"/>
  <c r="Z549" i="72" s="1"/>
  <c r="Z669" i="72" s="1"/>
  <c r="K338" i="72"/>
  <c r="K458" i="72" s="1"/>
  <c r="AB309" i="72" a="1"/>
  <c r="AB309" i="72" s="1"/>
  <c r="AB429" i="72" s="1"/>
  <c r="AB489" i="72" s="1"/>
  <c r="AA303" i="72" a="1"/>
  <c r="AA303" i="72" s="1"/>
  <c r="AA423" i="72" s="1"/>
  <c r="AE302" i="72" a="1"/>
  <c r="AE302" i="72" s="1"/>
  <c r="AE422" i="72" s="1"/>
  <c r="H344" i="72"/>
  <c r="H464" i="72" s="1"/>
  <c r="S303" i="72" a="1"/>
  <c r="S303" i="72" s="1"/>
  <c r="S423" i="72" s="1"/>
  <c r="S483" i="72" s="1"/>
  <c r="U305" i="72" a="1"/>
  <c r="U305" i="72" s="1"/>
  <c r="U425" i="72" s="1"/>
  <c r="M308" i="72" a="1"/>
  <c r="M308" i="72" s="1"/>
  <c r="M428" i="72" s="1"/>
  <c r="AB319" i="72" a="1"/>
  <c r="AB319" i="72" s="1"/>
  <c r="AB439" i="72" s="1"/>
  <c r="AD70" i="72" a="1"/>
  <c r="AD70" i="72" s="1"/>
  <c r="AD190" i="72" s="1"/>
  <c r="AF86" i="72"/>
  <c r="AF206" i="72" s="1"/>
  <c r="J59" i="72" a="1"/>
  <c r="J59" i="72" s="1"/>
  <c r="J179" i="72" s="1"/>
  <c r="R84" i="72"/>
  <c r="R204" i="72" s="1"/>
  <c r="P100" i="72"/>
  <c r="P220" i="72" s="1"/>
  <c r="I58" i="72" a="1"/>
  <c r="I58" i="72" s="1"/>
  <c r="I178" i="72" s="1"/>
  <c r="AG82" i="72"/>
  <c r="AF98" i="72"/>
  <c r="AF218" i="72" s="1"/>
  <c r="Z99" i="72"/>
  <c r="Z219" i="72" s="1"/>
  <c r="AC103" i="72"/>
  <c r="AC223" i="72" s="1"/>
  <c r="AC57" i="72" a="1"/>
  <c r="AC57" i="72" s="1"/>
  <c r="AC177" i="72" s="1"/>
  <c r="AC237" i="72" s="1"/>
  <c r="AD34" i="68" s="1"/>
  <c r="Q61" i="72" a="1"/>
  <c r="Q61" i="72" s="1"/>
  <c r="Q181" i="72" s="1"/>
  <c r="AE70" i="72" a="1"/>
  <c r="AE70" i="72" s="1"/>
  <c r="AE190" i="72" s="1"/>
  <c r="AD68" i="72" a="1"/>
  <c r="AD68" i="72" s="1"/>
  <c r="AD188" i="72" s="1"/>
  <c r="P61" i="72" a="1"/>
  <c r="P61" i="72" s="1"/>
  <c r="P181" i="72" s="1"/>
  <c r="J101" i="72"/>
  <c r="J221" i="72" s="1"/>
  <c r="AA56" i="72" a="1"/>
  <c r="AA56" i="72" s="1"/>
  <c r="AA176" i="72" s="1"/>
  <c r="S99" i="72"/>
  <c r="S219" i="72" s="1"/>
  <c r="U62" i="72" a="1"/>
  <c r="U62" i="72" s="1"/>
  <c r="U182" i="72" s="1"/>
  <c r="X101" i="72"/>
  <c r="X221" i="72" s="1"/>
  <c r="J103" i="72"/>
  <c r="J223" i="72" s="1"/>
  <c r="AB98" i="72"/>
  <c r="AB218" i="72" s="1"/>
  <c r="Z87" i="72"/>
  <c r="Z207" i="72" s="1"/>
  <c r="N85" i="72"/>
  <c r="N205" i="72" s="1"/>
  <c r="AD61" i="72" a="1"/>
  <c r="AD61" i="72" s="1"/>
  <c r="AD181" i="72" s="1"/>
  <c r="AD241" i="72" s="1"/>
  <c r="AE38" i="68" s="1"/>
  <c r="V71" i="72" a="1"/>
  <c r="V71" i="72" s="1"/>
  <c r="V191" i="72" s="1"/>
  <c r="V251" i="72" s="1"/>
  <c r="W48" i="68" s="1"/>
  <c r="U85" i="72"/>
  <c r="U205" i="72" s="1"/>
  <c r="W70" i="72" a="1"/>
  <c r="W70" i="72" s="1"/>
  <c r="W190" i="72" s="1"/>
  <c r="Y87" i="72"/>
  <c r="Y207" i="72" s="1"/>
  <c r="M85" i="72"/>
  <c r="M205" i="72" s="1"/>
  <c r="M61" i="72" a="1"/>
  <c r="M61" i="72" s="1"/>
  <c r="M181" i="72" s="1"/>
  <c r="M241" i="72" s="1"/>
  <c r="N38" i="68" s="1"/>
  <c r="AF103" i="72"/>
  <c r="AF223" i="72" s="1"/>
  <c r="P99" i="72"/>
  <c r="P219" i="72" s="1"/>
  <c r="K73" i="72" a="1"/>
  <c r="K73" i="72" s="1"/>
  <c r="K193" i="72" s="1"/>
  <c r="Y88" i="72"/>
  <c r="Y208" i="72" s="1"/>
  <c r="Z68" i="72" a="1"/>
  <c r="Z68" i="72" s="1"/>
  <c r="Z188" i="72" s="1"/>
  <c r="AB55" i="72" a="1"/>
  <c r="AB55" i="72" s="1"/>
  <c r="AB175" i="72" s="1"/>
  <c r="AA71" i="72" a="1"/>
  <c r="AA71" i="72" s="1"/>
  <c r="AA191" i="72" s="1"/>
  <c r="AC58" i="72" a="1"/>
  <c r="AC58" i="72" s="1"/>
  <c r="AC178" i="72" s="1"/>
  <c r="Q56" i="72" a="1"/>
  <c r="Q56" i="72" s="1"/>
  <c r="Q176" i="72" s="1"/>
  <c r="AG62" i="72" a="1"/>
  <c r="AG62" i="72" s="1"/>
  <c r="AG182" i="72" s="1"/>
  <c r="AG242" i="72" s="1"/>
  <c r="AH39" i="68" s="1"/>
  <c r="T103" i="72"/>
  <c r="T223" i="72" s="1"/>
  <c r="Z84" i="72"/>
  <c r="Z204" i="72" s="1"/>
  <c r="T59" i="72" a="1"/>
  <c r="T59" i="72" s="1"/>
  <c r="T179" i="72" s="1"/>
  <c r="J71" i="72" a="1"/>
  <c r="J71" i="72" s="1"/>
  <c r="J191" i="72" s="1"/>
  <c r="AE101" i="72"/>
  <c r="AE221" i="72" s="1"/>
  <c r="O85" i="72"/>
  <c r="O205" i="72" s="1"/>
  <c r="AE61" i="72" a="1"/>
  <c r="AE61" i="72" s="1"/>
  <c r="AE181" i="72" s="1"/>
  <c r="L99" i="72"/>
  <c r="L219" i="72" s="1"/>
  <c r="J73" i="72" a="1"/>
  <c r="J73" i="72" s="1"/>
  <c r="J193" i="72" s="1"/>
  <c r="AB68" i="72" a="1"/>
  <c r="AB68" i="72" s="1"/>
  <c r="AB188" i="72" s="1"/>
  <c r="Z57" i="72" a="1"/>
  <c r="Z57" i="72" s="1"/>
  <c r="Z177" i="72" s="1"/>
  <c r="N55" i="72" a="1"/>
  <c r="N55" i="72" s="1"/>
  <c r="N175" i="72" s="1"/>
  <c r="N61" i="72" a="1"/>
  <c r="N61" i="72" s="1"/>
  <c r="N181" i="72" s="1"/>
  <c r="K68" i="72" a="1"/>
  <c r="K68" i="72" s="1"/>
  <c r="K188" i="72" s="1"/>
  <c r="U55" i="72" a="1"/>
  <c r="U55" i="72" s="1"/>
  <c r="U175" i="72" s="1"/>
  <c r="W100" i="72"/>
  <c r="W220" i="72" s="1"/>
  <c r="Y57" i="72" a="1"/>
  <c r="Y57" i="72" s="1"/>
  <c r="Y177" i="72" s="1"/>
  <c r="M55" i="72" a="1"/>
  <c r="M55" i="72" s="1"/>
  <c r="M175" i="72" s="1"/>
  <c r="AG59" i="72" a="1"/>
  <c r="AG59" i="72" s="1"/>
  <c r="AG179" i="72" s="1"/>
  <c r="H99" i="72"/>
  <c r="H219" i="72" s="1"/>
  <c r="P69" i="72" a="1"/>
  <c r="P69" i="72" s="1"/>
  <c r="P189" i="72" s="1"/>
  <c r="R71" i="72" a="1"/>
  <c r="R71" i="72" s="1"/>
  <c r="R191" i="72" s="1"/>
  <c r="X103" i="72"/>
  <c r="X223" i="72" s="1"/>
  <c r="N88" i="72"/>
  <c r="N208" i="72" s="1"/>
  <c r="L85" i="72"/>
  <c r="L205" i="72" s="1"/>
  <c r="K101" i="72"/>
  <c r="K221" i="72" s="1"/>
  <c r="M88" i="72"/>
  <c r="M208" i="72" s="1"/>
  <c r="AA85" i="72"/>
  <c r="AA205" i="72" s="1"/>
  <c r="Q62" i="72" a="1"/>
  <c r="Q62" i="72" s="1"/>
  <c r="Q182" i="72" s="1"/>
  <c r="V98" i="72"/>
  <c r="V218" i="72" s="1"/>
  <c r="O70" i="72" a="1"/>
  <c r="O70" i="72" s="1"/>
  <c r="O190" i="72" s="1"/>
  <c r="L68" i="72" a="1"/>
  <c r="L68" i="72" s="1"/>
  <c r="L188" i="72" s="1"/>
  <c r="AG99" i="72"/>
  <c r="AG219" i="72" s="1"/>
  <c r="AD58" i="72" a="1"/>
  <c r="AD58" i="72" s="1"/>
  <c r="AD178" i="72" s="1"/>
  <c r="W87" i="72"/>
  <c r="W207" i="72" s="1"/>
  <c r="M62" i="72" a="1"/>
  <c r="M62" i="72" s="1"/>
  <c r="M182" i="72" s="1"/>
  <c r="M242" i="72" s="1"/>
  <c r="N39" i="68" s="1"/>
  <c r="M89" i="72"/>
  <c r="M209" i="72" s="1"/>
  <c r="H65" i="72" a="1"/>
  <c r="H65" i="72" s="1"/>
  <c r="H185" i="72" s="1"/>
  <c r="H245" i="72" s="1"/>
  <c r="I42" i="68" s="1"/>
  <c r="H100" i="72"/>
  <c r="H220" i="72" s="1"/>
  <c r="Z63" i="72" a="1"/>
  <c r="Z63" i="72" s="1"/>
  <c r="Z183" i="72" s="1"/>
  <c r="Z243" i="72" s="1"/>
  <c r="AA40" i="68" s="1"/>
  <c r="I63" i="72" a="1"/>
  <c r="I63" i="72" s="1"/>
  <c r="I183" i="72" s="1"/>
  <c r="I243" i="72" s="1"/>
  <c r="J40" i="68" s="1"/>
  <c r="H87" i="72"/>
  <c r="H207" i="72" s="1"/>
  <c r="S546" i="72" a="1"/>
  <c r="S546" i="72" s="1"/>
  <c r="S666" i="72" s="1"/>
  <c r="L550" i="72" a="1"/>
  <c r="L550" i="72" s="1"/>
  <c r="L670" i="72" s="1"/>
  <c r="AG339" i="72"/>
  <c r="AG459" i="72" s="1"/>
  <c r="W314" i="72" a="1"/>
  <c r="W314" i="72" s="1"/>
  <c r="W434" i="72" s="1"/>
  <c r="W494" i="72" s="1"/>
  <c r="N305" i="72" a="1"/>
  <c r="N305" i="72" s="1"/>
  <c r="N425" i="72" s="1"/>
  <c r="U333" i="72"/>
  <c r="U453" i="72" s="1"/>
  <c r="AD315" i="72" a="1"/>
  <c r="AD315" i="72" s="1"/>
  <c r="AD435" i="72" s="1"/>
  <c r="AF304" i="72" a="1"/>
  <c r="AF304" i="72" s="1"/>
  <c r="AF424" i="72" s="1"/>
  <c r="U309" i="72" a="1"/>
  <c r="U309" i="72" s="1"/>
  <c r="U429" i="72" s="1"/>
  <c r="H311" i="72" a="1"/>
  <c r="H311" i="72" s="1"/>
  <c r="H431" i="72" s="1"/>
  <c r="H491" i="72" s="1"/>
  <c r="H52" i="72" a="1"/>
  <c r="H52" i="72" s="1"/>
  <c r="AD102" i="72"/>
  <c r="AD222" i="72" s="1"/>
  <c r="AF56" i="72" a="1"/>
  <c r="AF56" i="72" s="1"/>
  <c r="AF176" i="72" s="1"/>
  <c r="L57" i="72" a="1"/>
  <c r="L57" i="72" s="1"/>
  <c r="L177" i="72" s="1"/>
  <c r="R54" i="72" a="1"/>
  <c r="R54" i="72" s="1"/>
  <c r="R174" i="72" s="1"/>
  <c r="R87" i="72"/>
  <c r="R207" i="72" s="1"/>
  <c r="I88" i="72"/>
  <c r="I208" i="72" s="1"/>
  <c r="AB99" i="72"/>
  <c r="AB219" i="72" s="1"/>
  <c r="AD63" i="72" a="1"/>
  <c r="AD63" i="72" s="1"/>
  <c r="AD183" i="72" s="1"/>
  <c r="W101" i="72"/>
  <c r="W221" i="72" s="1"/>
  <c r="AA70" i="72" a="1"/>
  <c r="AA70" i="72" s="1"/>
  <c r="AA190" i="72" s="1"/>
  <c r="W86" i="72"/>
  <c r="W206" i="72" s="1"/>
  <c r="J56" i="72" a="1"/>
  <c r="J56" i="72" s="1"/>
  <c r="J176" i="72" s="1"/>
  <c r="AB103" i="72"/>
  <c r="AB223" i="72" s="1"/>
  <c r="M332" i="72"/>
  <c r="M452" i="72" s="1"/>
  <c r="T550" i="72" a="1"/>
  <c r="T550" i="72" s="1"/>
  <c r="T670" i="72" s="1"/>
  <c r="W564" i="72" a="1"/>
  <c r="W564" i="72" s="1"/>
  <c r="W684" i="72" s="1"/>
  <c r="X328" i="72"/>
  <c r="AC300" i="72" a="1"/>
  <c r="AC300" i="72" s="1"/>
  <c r="AC420" i="72" s="1"/>
  <c r="AC301" i="72" a="1"/>
  <c r="AC301" i="72" s="1"/>
  <c r="AC421" i="72" s="1"/>
  <c r="Q343" i="72"/>
  <c r="Q463" i="72" s="1"/>
  <c r="K318" i="72" a="1"/>
  <c r="K318" i="72" s="1"/>
  <c r="K438" i="72" s="1"/>
  <c r="M317" i="72" a="1"/>
  <c r="M317" i="72" s="1"/>
  <c r="M437" i="72" s="1"/>
  <c r="Q312" i="72" a="1"/>
  <c r="Q312" i="72" s="1"/>
  <c r="Q432" i="72" s="1"/>
  <c r="J308" i="72" a="1"/>
  <c r="J308" i="72" s="1"/>
  <c r="J428" i="72" s="1"/>
  <c r="AE56" i="72" a="1"/>
  <c r="AE56" i="72" s="1"/>
  <c r="AE176" i="72" s="1"/>
  <c r="AF59" i="72" a="1"/>
  <c r="AF59" i="72" s="1"/>
  <c r="AF179" i="72" s="1"/>
  <c r="AE72" i="72" a="1"/>
  <c r="AE72" i="72" s="1"/>
  <c r="AE192" i="72" s="1"/>
  <c r="H91" i="72"/>
  <c r="H211" i="72" s="1"/>
  <c r="J55" i="72" a="1"/>
  <c r="J55" i="72" s="1"/>
  <c r="J175" i="72" s="1"/>
  <c r="S103" i="72"/>
  <c r="S223" i="72" s="1"/>
  <c r="O84" i="72"/>
  <c r="O204" i="72" s="1"/>
  <c r="AB86" i="72"/>
  <c r="AB206" i="72" s="1"/>
  <c r="X62" i="72" a="1"/>
  <c r="X62" i="72" s="1"/>
  <c r="X182" i="72" s="1"/>
  <c r="X242" i="72" s="1"/>
  <c r="Y39" i="68" s="1"/>
  <c r="AC56" i="72" a="1"/>
  <c r="AC56" i="72" s="1"/>
  <c r="AC176" i="72" s="1"/>
  <c r="K70" i="72" a="1"/>
  <c r="K70" i="72" s="1"/>
  <c r="K190" i="72" s="1"/>
  <c r="AG85" i="72"/>
  <c r="AG205" i="72" s="1"/>
  <c r="AG71" i="72" a="1"/>
  <c r="AG71" i="72" s="1"/>
  <c r="AG191" i="72" s="1"/>
  <c r="AG251" i="72" s="1"/>
  <c r="AH48" i="68" s="1"/>
  <c r="L103" i="72"/>
  <c r="L223" i="72" s="1"/>
  <c r="Z54" i="72" a="1"/>
  <c r="Z54" i="72" s="1"/>
  <c r="Z174" i="72" s="1"/>
  <c r="W73" i="72" a="1"/>
  <c r="W73" i="72" s="1"/>
  <c r="W193" i="72" s="1"/>
  <c r="W253" i="72" s="1"/>
  <c r="X50" i="68" s="1"/>
  <c r="M102" i="72"/>
  <c r="M222" i="72" s="1"/>
  <c r="AE71" i="72" a="1"/>
  <c r="AE71" i="72" s="1"/>
  <c r="AE191" i="72" s="1"/>
  <c r="Y84" i="72"/>
  <c r="Y204" i="72" s="1"/>
  <c r="S59" i="72" a="1"/>
  <c r="S59" i="72" s="1"/>
  <c r="S179" i="72" s="1"/>
  <c r="N89" i="72"/>
  <c r="N209" i="72" s="1"/>
  <c r="AD71" i="72" a="1"/>
  <c r="AD71" i="72" s="1"/>
  <c r="AD191" i="72" s="1"/>
  <c r="AD251" i="72" s="1"/>
  <c r="AE48" i="68" s="1"/>
  <c r="L98" i="72"/>
  <c r="L218" i="72" s="1"/>
  <c r="J87" i="72"/>
  <c r="J207" i="72" s="1"/>
  <c r="X84" i="72"/>
  <c r="X204" i="72" s="1"/>
  <c r="H60" i="72" a="1"/>
  <c r="H60" i="72" s="1"/>
  <c r="H180" i="72" s="1"/>
  <c r="J99" i="72"/>
  <c r="J219" i="72" s="1"/>
  <c r="S102" i="72"/>
  <c r="S222" i="72" s="1"/>
  <c r="AG69" i="72" a="1"/>
  <c r="AG69" i="72" s="1"/>
  <c r="AG189" i="72" s="1"/>
  <c r="I87" i="72"/>
  <c r="I207" i="72" s="1"/>
  <c r="W84" i="72"/>
  <c r="W204" i="72" s="1"/>
  <c r="Q59" i="72" a="1"/>
  <c r="Q59" i="72" s="1"/>
  <c r="Q179" i="72" s="1"/>
  <c r="K89" i="72"/>
  <c r="K209" i="72" s="1"/>
  <c r="AD88" i="72"/>
  <c r="AD208" i="72" s="1"/>
  <c r="AA69" i="72" a="1"/>
  <c r="AA69" i="72" s="1"/>
  <c r="AA189" i="72" s="1"/>
  <c r="AA249" i="72" s="1"/>
  <c r="AB46" i="68" s="1"/>
  <c r="X73" i="72" a="1"/>
  <c r="X73" i="72" s="1"/>
  <c r="X193" i="72" s="1"/>
  <c r="N58" i="72" a="1"/>
  <c r="N58" i="72" s="1"/>
  <c r="N178" i="72" s="1"/>
  <c r="L55" i="72" a="1"/>
  <c r="L55" i="72" s="1"/>
  <c r="L175" i="72" s="1"/>
  <c r="K71" i="72" a="1"/>
  <c r="K71" i="72" s="1"/>
  <c r="K191" i="72" s="1"/>
  <c r="M58" i="72" a="1"/>
  <c r="M58" i="72" s="1"/>
  <c r="M178" i="72" s="1"/>
  <c r="AA55" i="72" a="1"/>
  <c r="AA55" i="72" s="1"/>
  <c r="AA175" i="72" s="1"/>
  <c r="AA61" i="72" a="1"/>
  <c r="AA61" i="72" s="1"/>
  <c r="AA181" i="72" s="1"/>
  <c r="S85" i="72"/>
  <c r="S205" i="72" s="1"/>
  <c r="P330" i="72"/>
  <c r="P450" i="72" s="1"/>
  <c r="Y554" i="72" a="1"/>
  <c r="Y554" i="72" s="1"/>
  <c r="Y674" i="72" s="1"/>
  <c r="L553" i="72" a="1"/>
  <c r="L553" i="72" s="1"/>
  <c r="L673" i="72" s="1"/>
  <c r="AE328" i="72"/>
  <c r="N301" i="72" a="1"/>
  <c r="N301" i="72" s="1"/>
  <c r="N421" i="72" s="1"/>
  <c r="AC305" i="72" a="1"/>
  <c r="AC305" i="72" s="1"/>
  <c r="AC425" i="72" s="1"/>
  <c r="Q313" i="72" a="1"/>
  <c r="Q313" i="72" s="1"/>
  <c r="Q433" i="72" s="1"/>
  <c r="I344" i="72"/>
  <c r="I464" i="72" s="1"/>
  <c r="AC347" i="72"/>
  <c r="AC467" i="72" s="1"/>
  <c r="M344" i="72"/>
  <c r="M464" i="72" s="1"/>
  <c r="Z338" i="72"/>
  <c r="Z458" i="72" s="1"/>
  <c r="AF54" i="72" a="1"/>
  <c r="AF54" i="72" s="1"/>
  <c r="AF174" i="72" s="1"/>
  <c r="AF234" i="72" s="1"/>
  <c r="AG31" i="68" s="1"/>
  <c r="Q69" i="72" a="1"/>
  <c r="Q69" i="72" s="1"/>
  <c r="Q189" i="72" s="1"/>
  <c r="AE102" i="72"/>
  <c r="AE222" i="72" s="1"/>
  <c r="H88" i="72"/>
  <c r="H208" i="72" s="1"/>
  <c r="X72" i="72" a="1"/>
  <c r="X72" i="72" s="1"/>
  <c r="X192" i="72" s="1"/>
  <c r="Q84" i="72"/>
  <c r="Q204" i="72" s="1"/>
  <c r="X52" i="72" a="1"/>
  <c r="X52" i="72" s="1"/>
  <c r="AD73" i="72" a="1"/>
  <c r="AD73" i="72" s="1"/>
  <c r="AD193" i="72" s="1"/>
  <c r="H62" i="72" a="1"/>
  <c r="H62" i="72" s="1"/>
  <c r="H182" i="72" s="1"/>
  <c r="AC86" i="72"/>
  <c r="AC206" i="72" s="1"/>
  <c r="AG55" i="72" a="1"/>
  <c r="AG55" i="72" s="1"/>
  <c r="AG175" i="72" s="1"/>
  <c r="L73" i="72" a="1"/>
  <c r="L73" i="72" s="1"/>
  <c r="L193" i="72" s="1"/>
  <c r="U68" i="72" a="1"/>
  <c r="U68" i="72" s="1"/>
  <c r="U188" i="72" s="1"/>
  <c r="AD57" i="72" a="1"/>
  <c r="AD57" i="72" s="1"/>
  <c r="AD177" i="72" s="1"/>
  <c r="R59" i="72" a="1"/>
  <c r="R59" i="72" s="1"/>
  <c r="R179" i="72" s="1"/>
  <c r="W54" i="72" a="1"/>
  <c r="W54" i="72" s="1"/>
  <c r="W174" i="72" s="1"/>
  <c r="X87" i="72"/>
  <c r="X207" i="72" s="1"/>
  <c r="K61" i="72" a="1"/>
  <c r="K61" i="72" s="1"/>
  <c r="K181" i="72" s="1"/>
  <c r="H73" i="72" a="1"/>
  <c r="H73" i="72" s="1"/>
  <c r="H193" i="72" s="1"/>
  <c r="H253" i="72" s="1"/>
  <c r="I50" i="68" s="1"/>
  <c r="I89" i="72"/>
  <c r="I209" i="72" s="1"/>
  <c r="U82" i="72"/>
  <c r="V73" i="72" a="1"/>
  <c r="V73" i="72" s="1"/>
  <c r="V193" i="72" s="1"/>
  <c r="V253" i="72" s="1"/>
  <c r="W50" i="68" s="1"/>
  <c r="AE55" i="72" a="1"/>
  <c r="AE55" i="72" s="1"/>
  <c r="AE175" i="72" s="1"/>
  <c r="AB71" i="72" a="1"/>
  <c r="AB71" i="72" s="1"/>
  <c r="AB191" i="72" s="1"/>
  <c r="I98" i="72"/>
  <c r="I218" i="72" s="1"/>
  <c r="AF579" i="72"/>
  <c r="AF699" i="72" s="1"/>
  <c r="AA554" i="72" a="1"/>
  <c r="AA554" i="72" s="1"/>
  <c r="AA674" i="72" s="1"/>
  <c r="L592" i="72"/>
  <c r="L712" i="72" s="1"/>
  <c r="H310" i="72" a="1"/>
  <c r="H310" i="72" s="1"/>
  <c r="H430" i="72" s="1"/>
  <c r="H490" i="72" s="1"/>
  <c r="AE316" i="72" a="1"/>
  <c r="AE316" i="72" s="1"/>
  <c r="AE436" i="72" s="1"/>
  <c r="V314" i="72" a="1"/>
  <c r="V314" i="72" s="1"/>
  <c r="V434" i="72" s="1"/>
  <c r="V494" i="72" s="1"/>
  <c r="AF300" i="72" a="1"/>
  <c r="AF300" i="72" s="1"/>
  <c r="AF420" i="72" s="1"/>
  <c r="AG300" i="72" a="1"/>
  <c r="AG300" i="72" s="1"/>
  <c r="AG420" i="72" s="1"/>
  <c r="H308" i="72" a="1"/>
  <c r="H308" i="72" s="1"/>
  <c r="H428" i="72" s="1"/>
  <c r="Y346" i="72"/>
  <c r="Y466" i="72" s="1"/>
  <c r="H313" i="72" a="1"/>
  <c r="H313" i="72" s="1"/>
  <c r="H433" i="72" s="1"/>
  <c r="L61" i="72" a="1"/>
  <c r="L61" i="72" s="1"/>
  <c r="L181" i="72" s="1"/>
  <c r="P87" i="72"/>
  <c r="P207" i="72" s="1"/>
  <c r="AC69" i="72" a="1"/>
  <c r="AC69" i="72" s="1"/>
  <c r="AC189" i="72" s="1"/>
  <c r="P56" i="72" a="1"/>
  <c r="P56" i="72" s="1"/>
  <c r="P176" i="72" s="1"/>
  <c r="Q100" i="72"/>
  <c r="Q220" i="72" s="1"/>
  <c r="AF63" i="72" a="1"/>
  <c r="AF63" i="72" s="1"/>
  <c r="AF183" i="72" s="1"/>
  <c r="M52" i="72" a="1"/>
  <c r="M52" i="72" s="1"/>
  <c r="N73" i="72" a="1"/>
  <c r="N73" i="72" s="1"/>
  <c r="N193" i="72" s="1"/>
  <c r="V59" i="72" a="1"/>
  <c r="V59" i="72" s="1"/>
  <c r="V179" i="72" s="1"/>
  <c r="AG103" i="72"/>
  <c r="AG223" i="72" s="1"/>
  <c r="U99" i="72"/>
  <c r="U219" i="72" s="1"/>
  <c r="Q55" i="72" a="1"/>
  <c r="Q55" i="72" s="1"/>
  <c r="Q175" i="72" s="1"/>
  <c r="Z82" i="72"/>
  <c r="V72" i="72" a="1"/>
  <c r="V72" i="72" s="1"/>
  <c r="V192" i="72" s="1"/>
  <c r="J54" i="72" a="1"/>
  <c r="J54" i="72" s="1"/>
  <c r="J174" i="72" s="1"/>
  <c r="O68" i="72" a="1"/>
  <c r="O68" i="72" s="1"/>
  <c r="O188" i="72" s="1"/>
  <c r="U98" i="72"/>
  <c r="U218" i="72" s="1"/>
  <c r="Y70" i="72" a="1"/>
  <c r="Y70" i="72" s="1"/>
  <c r="Y190" i="72" s="1"/>
  <c r="I84" i="72"/>
  <c r="I204" i="72" s="1"/>
  <c r="AF55" i="72" a="1"/>
  <c r="AF55" i="72" s="1"/>
  <c r="AF175" i="72" s="1"/>
  <c r="I69" i="72" a="1"/>
  <c r="I69" i="72" s="1"/>
  <c r="I189" i="72" s="1"/>
  <c r="H70" i="72" a="1"/>
  <c r="H70" i="72" s="1"/>
  <c r="H190" i="72" s="1"/>
  <c r="AF88" i="72"/>
  <c r="AF208" i="72" s="1"/>
  <c r="T86" i="72"/>
  <c r="T206" i="72" s="1"/>
  <c r="I52" i="72" a="1"/>
  <c r="I52" i="72" s="1"/>
  <c r="AB57" i="72" a="1"/>
  <c r="AB57" i="72" s="1"/>
  <c r="AB177" i="72" s="1"/>
  <c r="AA72" i="72" a="1"/>
  <c r="AA72" i="72" s="1"/>
  <c r="AA192" i="72" s="1"/>
  <c r="AC101" i="72"/>
  <c r="AC221" i="72" s="1"/>
  <c r="AE88" i="72"/>
  <c r="AE208" i="72" s="1"/>
  <c r="S86" i="72"/>
  <c r="S206" i="72" s="1"/>
  <c r="Y63" i="72" a="1"/>
  <c r="Y63" i="72" s="1"/>
  <c r="Y183" i="72" s="1"/>
  <c r="Y243" i="72" s="1"/>
  <c r="Z40" i="68" s="1"/>
  <c r="Y55" i="72" a="1"/>
  <c r="Y55" i="72" s="1"/>
  <c r="Y175" i="72" s="1"/>
  <c r="AB101" i="72"/>
  <c r="AB221" i="72" s="1"/>
  <c r="R86" i="72"/>
  <c r="R206" i="72" s="1"/>
  <c r="X88" i="72"/>
  <c r="X208" i="72" s="1"/>
  <c r="R72" i="72" a="1"/>
  <c r="R72" i="72" s="1"/>
  <c r="R192" i="72" s="1"/>
  <c r="X57" i="72" a="1"/>
  <c r="X57" i="72" s="1"/>
  <c r="X177" i="72" s="1"/>
  <c r="X237" i="72" s="1"/>
  <c r="Y34" i="68" s="1"/>
  <c r="AG72" i="72" a="1"/>
  <c r="AG72" i="72" s="1"/>
  <c r="AG192" i="72" s="1"/>
  <c r="U100" i="72"/>
  <c r="U220" i="72" s="1"/>
  <c r="W57" i="72" a="1"/>
  <c r="W57" i="72" s="1"/>
  <c r="W177" i="72" s="1"/>
  <c r="K55" i="72" a="1"/>
  <c r="K55" i="72" s="1"/>
  <c r="K175" i="72" s="1"/>
  <c r="AE59" i="72" a="1"/>
  <c r="AE59" i="72" s="1"/>
  <c r="AE179" i="72" s="1"/>
  <c r="AF549" i="72" a="1"/>
  <c r="AF549" i="72" s="1"/>
  <c r="AF669" i="72" s="1"/>
  <c r="AG591" i="72"/>
  <c r="AG711" i="72" s="1"/>
  <c r="L562" i="72" a="1"/>
  <c r="L562" i="72" s="1"/>
  <c r="L682" i="72" s="1"/>
  <c r="P344" i="72"/>
  <c r="P464" i="72" s="1"/>
  <c r="AD298" i="72" a="1"/>
  <c r="AD298" i="72" s="1"/>
  <c r="L345" i="72"/>
  <c r="L465" i="72" s="1"/>
  <c r="S301" i="72" a="1"/>
  <c r="S301" i="72" s="1"/>
  <c r="S421" i="72" s="1"/>
  <c r="T301" i="72" a="1"/>
  <c r="T301" i="72" s="1"/>
  <c r="T421" i="72" s="1"/>
  <c r="H338" i="72"/>
  <c r="H458" i="72" s="1"/>
  <c r="Y316" i="72" a="1"/>
  <c r="Y316" i="72" s="1"/>
  <c r="Y436" i="72" s="1"/>
  <c r="AC99" i="72"/>
  <c r="AC219" i="72" s="1"/>
  <c r="S57" i="72" a="1"/>
  <c r="S57" i="72" s="1"/>
  <c r="S177" i="72" s="1"/>
  <c r="P63" i="72" a="1"/>
  <c r="P63" i="72" s="1"/>
  <c r="P183" i="72" s="1"/>
  <c r="AA73" i="72" a="1"/>
  <c r="AA73" i="72" s="1"/>
  <c r="AA193" i="72" s="1"/>
  <c r="Z70" i="72" a="1"/>
  <c r="Z70" i="72" s="1"/>
  <c r="Z190" i="72" s="1"/>
  <c r="I99" i="72"/>
  <c r="I219" i="72" s="1"/>
  <c r="AE58" i="72" a="1"/>
  <c r="AE58" i="72" s="1"/>
  <c r="AE178" i="72" s="1"/>
  <c r="H98" i="72"/>
  <c r="H218" i="72" s="1"/>
  <c r="U84" i="72"/>
  <c r="U204" i="72" s="1"/>
  <c r="V585" i="72"/>
  <c r="V705" i="72" s="1"/>
  <c r="P587" i="72"/>
  <c r="P707" i="72" s="1"/>
  <c r="I60" i="72" a="1"/>
  <c r="I60" i="72" s="1"/>
  <c r="I180" i="72" s="1"/>
  <c r="L341" i="72"/>
  <c r="L461" i="72" s="1"/>
  <c r="AF60" i="72" a="1"/>
  <c r="AF60" i="72" s="1"/>
  <c r="AF180" i="72" s="1"/>
  <c r="M313" i="72" a="1"/>
  <c r="M313" i="72" s="1"/>
  <c r="M433" i="72" s="1"/>
  <c r="L60" i="72" a="1"/>
  <c r="L60" i="72" s="1"/>
  <c r="L180" i="72" s="1"/>
  <c r="N340" i="72"/>
  <c r="N460" i="72" s="1"/>
  <c r="I558" i="72" a="1"/>
  <c r="I558" i="72" s="1"/>
  <c r="I678" i="72" s="1"/>
  <c r="AB90" i="72"/>
  <c r="AB210" i="72" s="1"/>
  <c r="K588" i="72"/>
  <c r="K708" i="72" s="1"/>
  <c r="J340" i="72"/>
  <c r="J460" i="72" s="1"/>
  <c r="N558" i="72" a="1"/>
  <c r="N558" i="72" s="1"/>
  <c r="N678" i="72" s="1"/>
  <c r="Y585" i="72"/>
  <c r="Y705" i="72" s="1"/>
  <c r="U60" i="72" a="1"/>
  <c r="U60" i="72" s="1"/>
  <c r="U180" i="72" s="1"/>
  <c r="P311" i="72" a="1"/>
  <c r="P311" i="72" s="1"/>
  <c r="P431" i="72" s="1"/>
  <c r="X585" i="72"/>
  <c r="X705" i="72" s="1"/>
  <c r="M311" i="72" a="1"/>
  <c r="M311" i="72" s="1"/>
  <c r="M431" i="72" s="1"/>
  <c r="O557" i="72" a="1"/>
  <c r="O557" i="72" s="1"/>
  <c r="O677" i="72" s="1"/>
  <c r="J313" i="72" a="1"/>
  <c r="J313" i="72" s="1"/>
  <c r="J433" i="72" s="1"/>
  <c r="I65" i="72" a="1"/>
  <c r="I65" i="72" s="1"/>
  <c r="I185" i="72" s="1"/>
  <c r="N341" i="72"/>
  <c r="N461" i="72" s="1"/>
  <c r="P340" i="72"/>
  <c r="P460" i="72" s="1"/>
  <c r="O340" i="72"/>
  <c r="O460" i="72" s="1"/>
  <c r="Y60" i="72" a="1"/>
  <c r="Y60" i="72" s="1"/>
  <c r="Y180" i="72" s="1"/>
  <c r="M586" i="72"/>
  <c r="M706" i="72" s="1"/>
  <c r="AA556" i="72" a="1"/>
  <c r="AA556" i="72" s="1"/>
  <c r="AA676" i="72" s="1"/>
  <c r="S90" i="72"/>
  <c r="S210" i="72" s="1"/>
  <c r="P557" i="72" a="1"/>
  <c r="P557" i="72" s="1"/>
  <c r="P677" i="72" s="1"/>
  <c r="Q90" i="72"/>
  <c r="Q210" i="72" s="1"/>
  <c r="L311" i="72" a="1"/>
  <c r="L311" i="72" s="1"/>
  <c r="L431" i="72" s="1"/>
  <c r="P90" i="72"/>
  <c r="P210" i="72" s="1"/>
  <c r="K341" i="72"/>
  <c r="K461" i="72" s="1"/>
  <c r="L343" i="72"/>
  <c r="L463" i="72" s="1"/>
  <c r="N90" i="72"/>
  <c r="N210" i="72" s="1"/>
  <c r="N310" i="72" a="1"/>
  <c r="N310" i="72" s="1"/>
  <c r="N430" i="72" s="1"/>
  <c r="P586" i="72"/>
  <c r="P706" i="72" s="1"/>
  <c r="AA90" i="72"/>
  <c r="AA210" i="72" s="1"/>
  <c r="N342" i="72"/>
  <c r="N462" i="72" s="1"/>
  <c r="O586" i="72"/>
  <c r="O706" i="72" s="1"/>
  <c r="AB60" i="72" a="1"/>
  <c r="AB60" i="72" s="1"/>
  <c r="AB180" i="72" s="1"/>
  <c r="K558" i="72" a="1"/>
  <c r="K558" i="72" s="1"/>
  <c r="K678" i="72" s="1"/>
  <c r="J310" i="72" a="1"/>
  <c r="J310" i="72" s="1"/>
  <c r="J430" i="72" s="1"/>
  <c r="W90" i="72"/>
  <c r="W210" i="72" s="1"/>
  <c r="L556" i="72" a="1"/>
  <c r="L556" i="72" s="1"/>
  <c r="L676" i="72" s="1"/>
  <c r="Y555" i="72" a="1"/>
  <c r="Y555" i="72" s="1"/>
  <c r="Y675" i="72" s="1"/>
  <c r="Y735" i="72" s="1"/>
  <c r="X555" i="72" a="1"/>
  <c r="X555" i="72" s="1"/>
  <c r="X675" i="72" s="1"/>
  <c r="K340" i="72"/>
  <c r="K460" i="72" s="1"/>
  <c r="I342" i="72"/>
  <c r="I462" i="72" s="1"/>
  <c r="O60" i="72" a="1"/>
  <c r="O60" i="72" s="1"/>
  <c r="O180" i="72" s="1"/>
  <c r="K310" i="72" a="1"/>
  <c r="K310" i="72" s="1"/>
  <c r="K430" i="72" s="1"/>
  <c r="S60" i="72" a="1"/>
  <c r="S60" i="72" s="1"/>
  <c r="S180" i="72" s="1"/>
  <c r="J588" i="72"/>
  <c r="J708" i="72" s="1"/>
  <c r="O343" i="72"/>
  <c r="O463" i="72" s="1"/>
  <c r="N585" i="72"/>
  <c r="N705" i="72" s="1"/>
  <c r="Q60" i="72" a="1"/>
  <c r="Q60" i="72" s="1"/>
  <c r="Q180" i="72" s="1"/>
  <c r="P60" i="72" a="1"/>
  <c r="P60" i="72" s="1"/>
  <c r="P180" i="72" s="1"/>
  <c r="K311" i="72" a="1"/>
  <c r="K311" i="72" s="1"/>
  <c r="K431" i="72" s="1"/>
  <c r="L313" i="72" a="1"/>
  <c r="L313" i="72" s="1"/>
  <c r="L433" i="72" s="1"/>
  <c r="AE90" i="72"/>
  <c r="AE210" i="72" s="1"/>
  <c r="N60" i="72" a="1"/>
  <c r="N60" i="72" s="1"/>
  <c r="N180" i="72" s="1"/>
  <c r="O342" i="72"/>
  <c r="O462" i="72" s="1"/>
  <c r="P556" i="72" a="1"/>
  <c r="P556" i="72" s="1"/>
  <c r="P676" i="72" s="1"/>
  <c r="AA60" i="72" a="1"/>
  <c r="AA60" i="72" s="1"/>
  <c r="AA180" i="72" s="1"/>
  <c r="N312" i="72" a="1"/>
  <c r="N312" i="72" s="1"/>
  <c r="N432" i="72" s="1"/>
  <c r="O556" i="72" a="1"/>
  <c r="O556" i="72" s="1"/>
  <c r="O676" i="72" s="1"/>
  <c r="Z90" i="72"/>
  <c r="Z210" i="72" s="1"/>
  <c r="N586" i="72"/>
  <c r="N706" i="72" s="1"/>
  <c r="W60" i="72" a="1"/>
  <c r="W60" i="72" s="1"/>
  <c r="W180" i="72" s="1"/>
  <c r="K342" i="72"/>
  <c r="K462" i="72" s="1"/>
  <c r="L586" i="72"/>
  <c r="L706" i="72" s="1"/>
  <c r="M588" i="72"/>
  <c r="M708" i="72" s="1"/>
  <c r="O341" i="72"/>
  <c r="O461" i="72" s="1"/>
  <c r="P313" i="72" a="1"/>
  <c r="P313" i="72" s="1"/>
  <c r="P433" i="72" s="1"/>
  <c r="AG60" i="72" a="1"/>
  <c r="AG60" i="72" s="1"/>
  <c r="AG180" i="72" s="1"/>
  <c r="M310" i="72" a="1"/>
  <c r="M310" i="72" s="1"/>
  <c r="M430" i="72" s="1"/>
  <c r="X90" i="72"/>
  <c r="X210" i="72" s="1"/>
  <c r="N313" i="72" a="1"/>
  <c r="N313" i="72" s="1"/>
  <c r="N433" i="72" s="1"/>
  <c r="R60" i="72" a="1"/>
  <c r="R60" i="72" s="1"/>
  <c r="R180" i="72" s="1"/>
  <c r="Y556" i="72" a="1"/>
  <c r="Y556" i="72" s="1"/>
  <c r="Y676" i="72" s="1"/>
  <c r="J586" i="72"/>
  <c r="J706" i="72" s="1"/>
  <c r="J558" i="72" a="1"/>
  <c r="J558" i="72" s="1"/>
  <c r="J678" i="72" s="1"/>
  <c r="O313" i="72" a="1"/>
  <c r="O313" i="72" s="1"/>
  <c r="O433" i="72" s="1"/>
  <c r="N555" i="72" a="1"/>
  <c r="N555" i="72" s="1"/>
  <c r="N675" i="72" s="1"/>
  <c r="J311" i="72" a="1"/>
  <c r="J311" i="72" s="1"/>
  <c r="J431" i="72" s="1"/>
  <c r="AE60" i="72" a="1"/>
  <c r="AE60" i="72" s="1"/>
  <c r="AE180" i="72" s="1"/>
  <c r="K343" i="72"/>
  <c r="K463" i="72" s="1"/>
  <c r="AC90" i="72"/>
  <c r="AC210" i="72" s="1"/>
  <c r="K90" i="72"/>
  <c r="K210" i="72" s="1"/>
  <c r="O312" i="72" a="1"/>
  <c r="O312" i="72" s="1"/>
  <c r="O432" i="72" s="1"/>
  <c r="J90" i="72"/>
  <c r="J210" i="72" s="1"/>
  <c r="L340" i="72"/>
  <c r="L460" i="72" s="1"/>
  <c r="Z60" i="72" a="1"/>
  <c r="Z60" i="72" s="1"/>
  <c r="Z180" i="72" s="1"/>
  <c r="M342" i="72"/>
  <c r="M462" i="72" s="1"/>
  <c r="N556" i="72" a="1"/>
  <c r="N556" i="72" s="1"/>
  <c r="N676" i="72" s="1"/>
  <c r="K312" i="72" a="1"/>
  <c r="K312" i="72" s="1"/>
  <c r="K432" i="72" s="1"/>
  <c r="M558" i="72" a="1"/>
  <c r="M558" i="72" s="1"/>
  <c r="M678" i="72" s="1"/>
  <c r="O311" i="72" a="1"/>
  <c r="O311" i="72" s="1"/>
  <c r="O431" i="72" s="1"/>
  <c r="L588" i="72"/>
  <c r="L708" i="72" s="1"/>
  <c r="O90" i="72"/>
  <c r="O210" i="72" s="1"/>
  <c r="P555" i="72" a="1"/>
  <c r="P555" i="72" s="1"/>
  <c r="P675" i="72" s="1"/>
  <c r="P343" i="72"/>
  <c r="P463" i="72" s="1"/>
  <c r="O585" i="72"/>
  <c r="O705" i="72" s="1"/>
  <c r="M341" i="72"/>
  <c r="M461" i="72" s="1"/>
  <c r="O587" i="72"/>
  <c r="O707" i="72" s="1"/>
  <c r="AG90" i="72"/>
  <c r="AG210" i="72" s="1"/>
  <c r="J341" i="72"/>
  <c r="J461" i="72" s="1"/>
  <c r="K313" i="72" a="1"/>
  <c r="K313" i="72" s="1"/>
  <c r="K433" i="72" s="1"/>
  <c r="AC60" i="72" a="1"/>
  <c r="AC60" i="72" s="1"/>
  <c r="AC180" i="72" s="1"/>
  <c r="J343" i="72"/>
  <c r="J463" i="72" s="1"/>
  <c r="K60" i="72" a="1"/>
  <c r="K60" i="72" s="1"/>
  <c r="K180" i="72" s="1"/>
  <c r="M340" i="72"/>
  <c r="M460" i="72" s="1"/>
  <c r="J60" i="72" a="1"/>
  <c r="J60" i="72" s="1"/>
  <c r="J180" i="72" s="1"/>
  <c r="L310" i="72" a="1"/>
  <c r="L310" i="72" s="1"/>
  <c r="L430" i="72" s="1"/>
  <c r="M312" i="72" a="1"/>
  <c r="M312" i="72" s="1"/>
  <c r="M432" i="72" s="1"/>
  <c r="I95" i="72"/>
  <c r="I215" i="72" s="1"/>
  <c r="O558" i="72" a="1"/>
  <c r="O558" i="72" s="1"/>
  <c r="O678" i="72" s="1"/>
  <c r="P585" i="72"/>
  <c r="P705" i="72" s="1"/>
  <c r="K586" i="72"/>
  <c r="K706" i="72" s="1"/>
  <c r="L558" i="72" a="1"/>
  <c r="L558" i="72" s="1"/>
  <c r="L678" i="72" s="1"/>
  <c r="P310" i="72" a="1"/>
  <c r="P310" i="72" s="1"/>
  <c r="P430" i="72" s="1"/>
  <c r="Y586" i="72"/>
  <c r="Y706" i="72" s="1"/>
  <c r="J556" i="72" a="1"/>
  <c r="J556" i="72" s="1"/>
  <c r="J676" i="72" s="1"/>
  <c r="M585" i="72"/>
  <c r="M705" i="72" s="1"/>
  <c r="M60" i="72" a="1"/>
  <c r="M60" i="72" s="1"/>
  <c r="M180" i="72" s="1"/>
  <c r="P312" i="72" a="1"/>
  <c r="P312" i="72" s="1"/>
  <c r="P432" i="72" s="1"/>
  <c r="L312" i="72" a="1"/>
  <c r="L312" i="72" s="1"/>
  <c r="L432" i="72" s="1"/>
  <c r="J312" i="72" a="1"/>
  <c r="J312" i="72" s="1"/>
  <c r="J432" i="72" s="1"/>
  <c r="N311" i="72" a="1"/>
  <c r="N311" i="72" s="1"/>
  <c r="N431" i="72" s="1"/>
  <c r="V555" i="72" a="1"/>
  <c r="V555" i="72" s="1"/>
  <c r="V675" i="72" s="1"/>
  <c r="I90" i="72"/>
  <c r="I210" i="72" s="1"/>
  <c r="N343" i="72"/>
  <c r="N463" i="72" s="1"/>
  <c r="M555" i="72" a="1"/>
  <c r="M555" i="72" s="1"/>
  <c r="M675" i="72" s="1"/>
  <c r="AF90" i="72"/>
  <c r="AF210" i="72" s="1"/>
  <c r="M343" i="72"/>
  <c r="M463" i="72" s="1"/>
  <c r="R90" i="72"/>
  <c r="R210" i="72" s="1"/>
  <c r="O310" i="72" a="1"/>
  <c r="O310" i="72" s="1"/>
  <c r="O430" i="72" s="1"/>
  <c r="L90" i="72"/>
  <c r="L210" i="72" s="1"/>
  <c r="P342" i="72"/>
  <c r="P462" i="72" s="1"/>
  <c r="I588" i="72"/>
  <c r="I708" i="72" s="1"/>
  <c r="L342" i="72"/>
  <c r="L462" i="72" s="1"/>
  <c r="M556" i="72" a="1"/>
  <c r="M556" i="72" s="1"/>
  <c r="M676" i="72" s="1"/>
  <c r="N588" i="72"/>
  <c r="N708" i="72" s="1"/>
  <c r="V60" i="72" a="1"/>
  <c r="V60" i="72" s="1"/>
  <c r="V180" i="72" s="1"/>
  <c r="J342" i="72"/>
  <c r="J462" i="72" s="1"/>
  <c r="AA586" i="72"/>
  <c r="AA706" i="72" s="1"/>
  <c r="U90" i="72"/>
  <c r="U210" i="72" s="1"/>
  <c r="P341" i="72"/>
  <c r="P461" i="72" s="1"/>
  <c r="O555" i="72" a="1"/>
  <c r="O555" i="72" s="1"/>
  <c r="O675" i="72" s="1"/>
  <c r="T90" i="72"/>
  <c r="T210" i="72" s="1"/>
  <c r="AD90" i="72"/>
  <c r="AD210" i="72" s="1"/>
  <c r="M90" i="72"/>
  <c r="M210" i="72" s="1"/>
  <c r="Y90" i="72"/>
  <c r="Y210" i="72" s="1"/>
  <c r="O588" i="72"/>
  <c r="O708" i="72" s="1"/>
  <c r="K556" i="72" a="1"/>
  <c r="K556" i="72" s="1"/>
  <c r="K676" i="72" s="1"/>
  <c r="T60" i="72" a="1"/>
  <c r="T60" i="72" s="1"/>
  <c r="T180" i="72" s="1"/>
  <c r="AD60" i="72" a="1"/>
  <c r="AD60" i="72" s="1"/>
  <c r="AD180" i="72" s="1"/>
  <c r="X60" i="72" a="1"/>
  <c r="X60" i="72" s="1"/>
  <c r="X180" i="72" s="1"/>
  <c r="V90" i="72"/>
  <c r="V210" i="72" s="1"/>
  <c r="I312" i="72" a="1"/>
  <c r="I312" i="72" s="1"/>
  <c r="I432" i="72" s="1"/>
  <c r="AG343" i="72"/>
  <c r="AG463" i="72" s="1"/>
  <c r="X95" i="72"/>
  <c r="X215" i="72" s="1"/>
  <c r="I67" i="72" a="1"/>
  <c r="I67" i="72" s="1"/>
  <c r="I187" i="72" s="1"/>
  <c r="U65" i="72" a="1"/>
  <c r="U65" i="72" s="1"/>
  <c r="U185" i="72" s="1"/>
  <c r="R306" i="72" a="1"/>
  <c r="R306" i="72" s="1"/>
  <c r="R426" i="72" s="1"/>
  <c r="N66" i="72" a="1"/>
  <c r="N66" i="72" s="1"/>
  <c r="N186" i="72" s="1"/>
  <c r="AG310" i="72" a="1"/>
  <c r="AG310" i="72" s="1"/>
  <c r="AG430" i="72" s="1"/>
  <c r="P551" i="72" a="1"/>
  <c r="P551" i="72" s="1"/>
  <c r="P671" i="72" s="1"/>
  <c r="I587" i="72"/>
  <c r="I707" i="72" s="1"/>
  <c r="AD337" i="72"/>
  <c r="AD457" i="72" s="1"/>
  <c r="O96" i="72"/>
  <c r="O216" i="72" s="1"/>
  <c r="S341" i="72"/>
  <c r="S461" i="72" s="1"/>
  <c r="AC555" i="72" a="1"/>
  <c r="AC555" i="72" s="1"/>
  <c r="AC675" i="72" s="1"/>
  <c r="N582" i="72"/>
  <c r="N702" i="72" s="1"/>
  <c r="AA96" i="72"/>
  <c r="AA216" i="72" s="1"/>
  <c r="R341" i="72"/>
  <c r="R461" i="72" s="1"/>
  <c r="T342" i="72"/>
  <c r="T462" i="72" s="1"/>
  <c r="V341" i="72"/>
  <c r="V461" i="72" s="1"/>
  <c r="Z551" i="72" a="1"/>
  <c r="Z551" i="72" s="1"/>
  <c r="Z671" i="72" s="1"/>
  <c r="AE66" i="72" a="1"/>
  <c r="AE66" i="72" s="1"/>
  <c r="AE186" i="72" s="1"/>
  <c r="Z65" i="72" a="1"/>
  <c r="Z65" i="72" s="1"/>
  <c r="Z185" i="72" s="1"/>
  <c r="V313" i="72" a="1"/>
  <c r="V313" i="72" s="1"/>
  <c r="V433" i="72" s="1"/>
  <c r="AD552" i="72" a="1"/>
  <c r="AD552" i="72" s="1"/>
  <c r="AD672" i="72" s="1"/>
  <c r="Y551" i="72" a="1"/>
  <c r="Y551" i="72" s="1"/>
  <c r="Y671" i="72" s="1"/>
  <c r="I313" i="72" a="1"/>
  <c r="I313" i="72" s="1"/>
  <c r="I433" i="72" s="1"/>
  <c r="S312" i="72" a="1"/>
  <c r="S312" i="72" s="1"/>
  <c r="S432" i="72" s="1"/>
  <c r="W585" i="72"/>
  <c r="W705" i="72" s="1"/>
  <c r="L582" i="72"/>
  <c r="L702" i="72" s="1"/>
  <c r="AB341" i="72"/>
  <c r="AB461" i="72" s="1"/>
  <c r="M96" i="72"/>
  <c r="M216" i="72" s="1"/>
  <c r="Y95" i="72"/>
  <c r="Y215" i="72" s="1"/>
  <c r="S94" i="72"/>
  <c r="S214" i="72" s="1"/>
  <c r="J587" i="72"/>
  <c r="J707" i="72" s="1"/>
  <c r="P65" i="72" a="1"/>
  <c r="P65" i="72" s="1"/>
  <c r="P185" i="72" s="1"/>
  <c r="O337" i="72"/>
  <c r="O457" i="72" s="1"/>
  <c r="AF341" i="72"/>
  <c r="AF461" i="72" s="1"/>
  <c r="Z582" i="72"/>
  <c r="Z702" i="72" s="1"/>
  <c r="K587" i="72"/>
  <c r="K707" i="72" s="1"/>
  <c r="S97" i="72"/>
  <c r="S217" i="72" s="1"/>
  <c r="K581" i="72"/>
  <c r="K701" i="72" s="1"/>
  <c r="AA342" i="72"/>
  <c r="AA462" i="72" s="1"/>
  <c r="U97" i="72"/>
  <c r="U217" i="72" s="1"/>
  <c r="AB585" i="72"/>
  <c r="AB705" i="72" s="1"/>
  <c r="I556" i="72" a="1"/>
  <c r="I556" i="72" s="1"/>
  <c r="I676" i="72" s="1"/>
  <c r="L307" i="72" a="1"/>
  <c r="L307" i="72" s="1"/>
  <c r="L427" i="72" s="1"/>
  <c r="AB312" i="72" a="1"/>
  <c r="AB312" i="72" s="1"/>
  <c r="AB432" i="72" s="1"/>
  <c r="AG585" i="72"/>
  <c r="AG705" i="72" s="1"/>
  <c r="AC336" i="72"/>
  <c r="AC456" i="72" s="1"/>
  <c r="T551" i="72" a="1"/>
  <c r="T551" i="72" s="1"/>
  <c r="T671" i="72" s="1"/>
  <c r="Z313" i="72" a="1"/>
  <c r="Z313" i="72" s="1"/>
  <c r="Z433" i="72" s="1"/>
  <c r="W306" i="72" a="1"/>
  <c r="W306" i="72" s="1"/>
  <c r="W426" i="72" s="1"/>
  <c r="I337" i="72"/>
  <c r="I457" i="72" s="1"/>
  <c r="AD586" i="72"/>
  <c r="AD706" i="72" s="1"/>
  <c r="AF306" i="72" a="1"/>
  <c r="AF306" i="72" s="1"/>
  <c r="AF426" i="72" s="1"/>
  <c r="Y312" i="72" a="1"/>
  <c r="Y312" i="72" s="1"/>
  <c r="Y432" i="72" s="1"/>
  <c r="N557" i="72" a="1"/>
  <c r="N557" i="72" s="1"/>
  <c r="N677" i="72" s="1"/>
  <c r="P96" i="72"/>
  <c r="P216" i="72" s="1"/>
  <c r="AD555" i="72" a="1"/>
  <c r="AD555" i="72" s="1"/>
  <c r="AD675" i="72" s="1"/>
  <c r="X311" i="72" a="1"/>
  <c r="X311" i="72" s="1"/>
  <c r="X431" i="72" s="1"/>
  <c r="AF552" i="72" a="1"/>
  <c r="AF552" i="72" s="1"/>
  <c r="AF672" i="72" s="1"/>
  <c r="Q307" i="72" a="1"/>
  <c r="Q307" i="72" s="1"/>
  <c r="Q427" i="72" s="1"/>
  <c r="Z306" i="72" a="1"/>
  <c r="Z306" i="72" s="1"/>
  <c r="Z426" i="72" s="1"/>
  <c r="S96" i="72"/>
  <c r="S216" i="72" s="1"/>
  <c r="K337" i="72"/>
  <c r="K457" i="72" s="1"/>
  <c r="AE312" i="72" a="1"/>
  <c r="AE312" i="72" s="1"/>
  <c r="AE432" i="72" s="1"/>
  <c r="AD558" i="72" a="1"/>
  <c r="AD558" i="72" s="1"/>
  <c r="AD678" i="72" s="1"/>
  <c r="Q581" i="72"/>
  <c r="Q701" i="72" s="1"/>
  <c r="N97" i="72"/>
  <c r="N217" i="72" s="1"/>
  <c r="X340" i="72"/>
  <c r="X460" i="72" s="1"/>
  <c r="X581" i="72"/>
  <c r="X701" i="72" s="1"/>
  <c r="AG337" i="72"/>
  <c r="AG457" i="72" s="1"/>
  <c r="AB588" i="72"/>
  <c r="AB708" i="72" s="1"/>
  <c r="AA97" i="72"/>
  <c r="AA217" i="72" s="1"/>
  <c r="AA307" i="72" a="1"/>
  <c r="AA307" i="72" s="1"/>
  <c r="AA427" i="72" s="1"/>
  <c r="W556" i="72" a="1"/>
  <c r="W556" i="72" s="1"/>
  <c r="W676" i="72" s="1"/>
  <c r="X65" i="72" a="1"/>
  <c r="X65" i="72" s="1"/>
  <c r="X185" i="72" s="1"/>
  <c r="Z97" i="72"/>
  <c r="Z217" i="72" s="1"/>
  <c r="T341" i="72"/>
  <c r="T461" i="72" s="1"/>
  <c r="Q97" i="72"/>
  <c r="Q217" i="72" s="1"/>
  <c r="Q336" i="72"/>
  <c r="Q456" i="72" s="1"/>
  <c r="T337" i="72"/>
  <c r="T457" i="72" s="1"/>
  <c r="T343" i="72"/>
  <c r="T463" i="72" s="1"/>
  <c r="U96" i="72"/>
  <c r="U216" i="72" s="1"/>
  <c r="J582" i="72"/>
  <c r="J702" i="72" s="1"/>
  <c r="O66" i="72" a="1"/>
  <c r="O66" i="72" s="1"/>
  <c r="O186" i="72" s="1"/>
  <c r="S311" i="72" a="1"/>
  <c r="S311" i="72" s="1"/>
  <c r="S431" i="72" s="1"/>
  <c r="AC585" i="72"/>
  <c r="AC705" i="72" s="1"/>
  <c r="N552" i="72" a="1"/>
  <c r="N552" i="72" s="1"/>
  <c r="N672" i="72" s="1"/>
  <c r="AA66" i="72" a="1"/>
  <c r="AA66" i="72" s="1"/>
  <c r="AA186" i="72" s="1"/>
  <c r="R311" i="72" a="1"/>
  <c r="R311" i="72" s="1"/>
  <c r="R431" i="72" s="1"/>
  <c r="T312" i="72" a="1"/>
  <c r="T312" i="72" s="1"/>
  <c r="T432" i="72" s="1"/>
  <c r="M95" i="72"/>
  <c r="M215" i="72" s="1"/>
  <c r="V97" i="72"/>
  <c r="V217" i="72" s="1"/>
  <c r="R313" i="72" a="1"/>
  <c r="R313" i="72" s="1"/>
  <c r="R433" i="72" s="1"/>
  <c r="R307" i="72" a="1"/>
  <c r="R307" i="72" s="1"/>
  <c r="R427" i="72" s="1"/>
  <c r="I581" i="72"/>
  <c r="I701" i="72" s="1"/>
  <c r="X96" i="72"/>
  <c r="X216" i="72" s="1"/>
  <c r="S95" i="72"/>
  <c r="S215" i="72" s="1"/>
  <c r="AA336" i="72"/>
  <c r="AA456" i="72" s="1"/>
  <c r="V337" i="72"/>
  <c r="V457" i="72" s="1"/>
  <c r="W555" i="72" a="1"/>
  <c r="W555" i="72" s="1"/>
  <c r="W675" i="72" s="1"/>
  <c r="L552" i="72" a="1"/>
  <c r="L552" i="72" s="1"/>
  <c r="L672" i="72" s="1"/>
  <c r="AB311" i="72" a="1"/>
  <c r="AB311" i="72" s="1"/>
  <c r="AB431" i="72" s="1"/>
  <c r="M66" i="72" a="1"/>
  <c r="M66" i="72" s="1"/>
  <c r="M186" i="72" s="1"/>
  <c r="Y65" i="72" a="1"/>
  <c r="Y65" i="72" s="1"/>
  <c r="Y185" i="72" s="1"/>
  <c r="S64" i="72" a="1"/>
  <c r="S64" i="72" s="1"/>
  <c r="S184" i="72" s="1"/>
  <c r="J557" i="72" a="1"/>
  <c r="J557" i="72" s="1"/>
  <c r="J677" i="72" s="1"/>
  <c r="P95" i="72"/>
  <c r="P215" i="72" s="1"/>
  <c r="O307" i="72" a="1"/>
  <c r="O307" i="72" s="1"/>
  <c r="O427" i="72" s="1"/>
  <c r="AF311" i="72" a="1"/>
  <c r="AF311" i="72" s="1"/>
  <c r="AF431" i="72" s="1"/>
  <c r="Z552" i="72" a="1"/>
  <c r="Z552" i="72" s="1"/>
  <c r="Z672" i="72" s="1"/>
  <c r="K557" i="72" a="1"/>
  <c r="K557" i="72" s="1"/>
  <c r="K677" i="72" s="1"/>
  <c r="S67" i="72" a="1"/>
  <c r="S67" i="72" s="1"/>
  <c r="S187" i="72" s="1"/>
  <c r="K551" i="72" a="1"/>
  <c r="K551" i="72" s="1"/>
  <c r="K671" i="72" s="1"/>
  <c r="AA312" i="72" a="1"/>
  <c r="AA312" i="72" s="1"/>
  <c r="AA432" i="72" s="1"/>
  <c r="U67" i="72" a="1"/>
  <c r="U67" i="72" s="1"/>
  <c r="U187" i="72" s="1"/>
  <c r="AB555" i="72" a="1"/>
  <c r="AB555" i="72" s="1"/>
  <c r="AB675" i="72" s="1"/>
  <c r="I586" i="72"/>
  <c r="I706" i="72" s="1"/>
  <c r="L337" i="72"/>
  <c r="L457" i="72" s="1"/>
  <c r="AB342" i="72"/>
  <c r="AB462" i="72" s="1"/>
  <c r="AG555" i="72" a="1"/>
  <c r="AG555" i="72" s="1"/>
  <c r="AG675" i="72" s="1"/>
  <c r="AC306" i="72" a="1"/>
  <c r="AC306" i="72" s="1"/>
  <c r="AC426" i="72" s="1"/>
  <c r="I585" i="72"/>
  <c r="I705" i="72" s="1"/>
  <c r="P582" i="72"/>
  <c r="P702" i="72" s="1"/>
  <c r="AA581" i="72"/>
  <c r="AA701" i="72" s="1"/>
  <c r="AD94" i="72"/>
  <c r="AD214" i="72" s="1"/>
  <c r="AB67" i="72" a="1"/>
  <c r="AB67" i="72" s="1"/>
  <c r="AB187" i="72" s="1"/>
  <c r="W341" i="72"/>
  <c r="W461" i="72" s="1"/>
  <c r="AB337" i="72"/>
  <c r="AB457" i="72" s="1"/>
  <c r="V336" i="72"/>
  <c r="V456" i="72" s="1"/>
  <c r="P66" i="72" a="1"/>
  <c r="P66" i="72" s="1"/>
  <c r="P186" i="72" s="1"/>
  <c r="Y582" i="72"/>
  <c r="Y702" i="72" s="1"/>
  <c r="M307" i="72" a="1"/>
  <c r="M307" i="72" s="1"/>
  <c r="M427" i="72" s="1"/>
  <c r="O95" i="72"/>
  <c r="O215" i="72" s="1"/>
  <c r="Z96" i="72"/>
  <c r="Z216" i="72" s="1"/>
  <c r="I341" i="72"/>
  <c r="I461" i="72" s="1"/>
  <c r="S66" i="72" a="1"/>
  <c r="S66" i="72" s="1"/>
  <c r="S186" i="72" s="1"/>
  <c r="W340" i="72"/>
  <c r="W460" i="72" s="1"/>
  <c r="AE343" i="72"/>
  <c r="AE463" i="72" s="1"/>
  <c r="AB96" i="72"/>
  <c r="AB216" i="72" s="1"/>
  <c r="N581" i="72"/>
  <c r="N701" i="72" s="1"/>
  <c r="Q551" i="72" a="1"/>
  <c r="Q551" i="72" s="1"/>
  <c r="Q671" i="72" s="1"/>
  <c r="N67" i="72" a="1"/>
  <c r="N67" i="72" s="1"/>
  <c r="N187" i="72" s="1"/>
  <c r="X310" i="72" a="1"/>
  <c r="X310" i="72" s="1"/>
  <c r="X430" i="72" s="1"/>
  <c r="X551" i="72" a="1"/>
  <c r="X551" i="72" s="1"/>
  <c r="X671" i="72" s="1"/>
  <c r="AG307" i="72" a="1"/>
  <c r="AG307" i="72" s="1"/>
  <c r="AG427" i="72" s="1"/>
  <c r="AB558" i="72" a="1"/>
  <c r="AB558" i="72" s="1"/>
  <c r="AB678" i="72" s="1"/>
  <c r="AA67" i="72" a="1"/>
  <c r="AA67" i="72" s="1"/>
  <c r="AA187" i="72" s="1"/>
  <c r="K582" i="72"/>
  <c r="K702" i="72" s="1"/>
  <c r="AE582" i="72"/>
  <c r="AE702" i="72" s="1"/>
  <c r="L551" i="72" a="1"/>
  <c r="L551" i="72" s="1"/>
  <c r="L671" i="72" s="1"/>
  <c r="AA558" i="72" a="1"/>
  <c r="AA558" i="72" s="1"/>
  <c r="AA678" i="72" s="1"/>
  <c r="AG312" i="72" a="1"/>
  <c r="AG312" i="72" s="1"/>
  <c r="AG432" i="72" s="1"/>
  <c r="V94" i="72"/>
  <c r="V214" i="72" s="1"/>
  <c r="Z67" i="72" a="1"/>
  <c r="Z67" i="72" s="1"/>
  <c r="Z187" i="72" s="1"/>
  <c r="T311" i="72" a="1"/>
  <c r="T311" i="72" s="1"/>
  <c r="T431" i="72" s="1"/>
  <c r="Q67" i="72" a="1"/>
  <c r="Q67" i="72" s="1"/>
  <c r="Q187" i="72" s="1"/>
  <c r="Q306" i="72" a="1"/>
  <c r="Q306" i="72" s="1"/>
  <c r="Q426" i="72" s="1"/>
  <c r="T307" i="72" a="1"/>
  <c r="T307" i="72" s="1"/>
  <c r="T427" i="72" s="1"/>
  <c r="T313" i="72" a="1"/>
  <c r="T313" i="72" s="1"/>
  <c r="T433" i="72" s="1"/>
  <c r="U66" i="72" a="1"/>
  <c r="U66" i="72" s="1"/>
  <c r="U186" i="72" s="1"/>
  <c r="J552" i="72" a="1"/>
  <c r="J552" i="72" s="1"/>
  <c r="J672" i="72" s="1"/>
  <c r="AA94" i="72"/>
  <c r="AA214" i="72" s="1"/>
  <c r="J95" i="72"/>
  <c r="J215" i="72" s="1"/>
  <c r="S581" i="72"/>
  <c r="S701" i="72" s="1"/>
  <c r="AG97" i="72"/>
  <c r="AG217" i="72" s="1"/>
  <c r="Y94" i="72"/>
  <c r="Y214" i="72" s="1"/>
  <c r="O581" i="72"/>
  <c r="O701" i="72" s="1"/>
  <c r="N336" i="72"/>
  <c r="N456" i="72" s="1"/>
  <c r="M65" i="72" a="1"/>
  <c r="M65" i="72" s="1"/>
  <c r="M185" i="72" s="1"/>
  <c r="V67" i="72" a="1"/>
  <c r="V67" i="72" s="1"/>
  <c r="V187" i="72" s="1"/>
  <c r="R343" i="72"/>
  <c r="R463" i="72" s="1"/>
  <c r="R337" i="72"/>
  <c r="R457" i="72" s="1"/>
  <c r="I551" i="72" a="1"/>
  <c r="I551" i="72" s="1"/>
  <c r="I671" i="72" s="1"/>
  <c r="X66" i="72" a="1"/>
  <c r="X66" i="72" s="1"/>
  <c r="X186" i="72" s="1"/>
  <c r="S65" i="72" a="1"/>
  <c r="S65" i="72" s="1"/>
  <c r="S185" i="72" s="1"/>
  <c r="AA306" i="72" a="1"/>
  <c r="AA306" i="72" s="1"/>
  <c r="AA426" i="72" s="1"/>
  <c r="V307" i="72" a="1"/>
  <c r="V307" i="72" s="1"/>
  <c r="V427" i="72" s="1"/>
  <c r="V310" i="72" a="1"/>
  <c r="V310" i="72" s="1"/>
  <c r="V430" i="72" s="1"/>
  <c r="AF585" i="72"/>
  <c r="AF705" i="72" s="1"/>
  <c r="AC343" i="72"/>
  <c r="AC463" i="72" s="1"/>
  <c r="AC551" i="72" a="1"/>
  <c r="AC551" i="72" s="1"/>
  <c r="AC671" i="72" s="1"/>
  <c r="T582" i="72"/>
  <c r="T702" i="72" s="1"/>
  <c r="AC97" i="72"/>
  <c r="AC217" i="72" s="1"/>
  <c r="AE97" i="72"/>
  <c r="AE217" i="72" s="1"/>
  <c r="M587" i="72"/>
  <c r="M707" i="72" s="1"/>
  <c r="J94" i="72"/>
  <c r="J214" i="72" s="1"/>
  <c r="I340" i="72"/>
  <c r="I460" i="72" s="1"/>
  <c r="Y336" i="72"/>
  <c r="Y456" i="72" s="1"/>
  <c r="AF97" i="72"/>
  <c r="AF217" i="72" s="1"/>
  <c r="AB310" i="72" a="1"/>
  <c r="AB310" i="72" s="1"/>
  <c r="AB430" i="72" s="1"/>
  <c r="AC96" i="72"/>
  <c r="AC216" i="72" s="1"/>
  <c r="AF343" i="72"/>
  <c r="AF463" i="72" s="1"/>
  <c r="P94" i="72"/>
  <c r="P214" i="72" s="1"/>
  <c r="L97" i="72"/>
  <c r="L217" i="72" s="1"/>
  <c r="V96" i="72"/>
  <c r="V216" i="72" s="1"/>
  <c r="AF65" i="72" a="1"/>
  <c r="AF65" i="72" s="1"/>
  <c r="AF185" i="72" s="1"/>
  <c r="AE337" i="72"/>
  <c r="AE457" i="72" s="1"/>
  <c r="AF310" i="72" a="1"/>
  <c r="AF310" i="72" s="1"/>
  <c r="AF430" i="72" s="1"/>
  <c r="I555" i="72" a="1"/>
  <c r="I555" i="72" s="1"/>
  <c r="I675" i="72" s="1"/>
  <c r="P552" i="72" a="1"/>
  <c r="P552" i="72" s="1"/>
  <c r="P672" i="72" s="1"/>
  <c r="AA551" i="72" a="1"/>
  <c r="AA551" i="72" s="1"/>
  <c r="AA671" i="72" s="1"/>
  <c r="AD64" i="72" a="1"/>
  <c r="AD64" i="72" s="1"/>
  <c r="AD184" i="72" s="1"/>
  <c r="AB97" i="72"/>
  <c r="AB217" i="72" s="1"/>
  <c r="W311" i="72" a="1"/>
  <c r="W311" i="72" s="1"/>
  <c r="W431" i="72" s="1"/>
  <c r="AB307" i="72" a="1"/>
  <c r="AB307" i="72" s="1"/>
  <c r="AB427" i="72" s="1"/>
  <c r="V306" i="72" a="1"/>
  <c r="V306" i="72" s="1"/>
  <c r="V426" i="72" s="1"/>
  <c r="Z585" i="72"/>
  <c r="Z705" i="72" s="1"/>
  <c r="Y552" i="72" a="1"/>
  <c r="Y552" i="72" s="1"/>
  <c r="Y672" i="72" s="1"/>
  <c r="M337" i="72"/>
  <c r="M457" i="72" s="1"/>
  <c r="O65" i="72" a="1"/>
  <c r="O65" i="72" s="1"/>
  <c r="O185" i="72" s="1"/>
  <c r="Z66" i="72" a="1"/>
  <c r="Z66" i="72" s="1"/>
  <c r="Z186" i="72" s="1"/>
  <c r="I311" i="72" a="1"/>
  <c r="I311" i="72" s="1"/>
  <c r="I431" i="72" s="1"/>
  <c r="AC556" i="72" a="1"/>
  <c r="AC556" i="72" s="1"/>
  <c r="AC676" i="72" s="1"/>
  <c r="R97" i="72"/>
  <c r="R217" i="72" s="1"/>
  <c r="W310" i="72" a="1"/>
  <c r="W310" i="72" s="1"/>
  <c r="W430" i="72" s="1"/>
  <c r="AE313" i="72" a="1"/>
  <c r="AE313" i="72" s="1"/>
  <c r="AE433" i="72" s="1"/>
  <c r="AB66" i="72" a="1"/>
  <c r="AB66" i="72" s="1"/>
  <c r="AB186" i="72" s="1"/>
  <c r="N551" i="72" a="1"/>
  <c r="N551" i="72" s="1"/>
  <c r="N671" i="72" s="1"/>
  <c r="U342" i="72"/>
  <c r="U462" i="72" s="1"/>
  <c r="Q95" i="72"/>
  <c r="Q215" i="72" s="1"/>
  <c r="AE95" i="72"/>
  <c r="AE215" i="72" s="1"/>
  <c r="R95" i="72"/>
  <c r="R215" i="72" s="1"/>
  <c r="AB581" i="72"/>
  <c r="AB701" i="72" s="1"/>
  <c r="O582" i="72"/>
  <c r="O702" i="72" s="1"/>
  <c r="X94" i="72"/>
  <c r="X214" i="72" s="1"/>
  <c r="K552" i="72" a="1"/>
  <c r="K552" i="72" s="1"/>
  <c r="K672" i="72" s="1"/>
  <c r="AE552" i="72" a="1"/>
  <c r="AE552" i="72" s="1"/>
  <c r="AE672" i="72" s="1"/>
  <c r="L581" i="72"/>
  <c r="L701" i="72" s="1"/>
  <c r="V64" i="72" a="1"/>
  <c r="V64" i="72" s="1"/>
  <c r="V184" i="72" s="1"/>
  <c r="AG95" i="72"/>
  <c r="AG215" i="72" s="1"/>
  <c r="AA95" i="72"/>
  <c r="AA215" i="72" s="1"/>
  <c r="Q552" i="72" a="1"/>
  <c r="Q552" i="72" s="1"/>
  <c r="Q672" i="72" s="1"/>
  <c r="X306" i="72" a="1"/>
  <c r="X306" i="72" s="1"/>
  <c r="X426" i="72" s="1"/>
  <c r="O94" i="72"/>
  <c r="O214" i="72" s="1"/>
  <c r="W307" i="72" a="1"/>
  <c r="W307" i="72" s="1"/>
  <c r="W427" i="72" s="1"/>
  <c r="AG336" i="72"/>
  <c r="AG456" i="72" s="1"/>
  <c r="N307" i="72" a="1"/>
  <c r="N307" i="72" s="1"/>
  <c r="N427" i="72" s="1"/>
  <c r="AA64" i="72" a="1"/>
  <c r="AA64" i="72" s="1"/>
  <c r="AA184" i="72" s="1"/>
  <c r="J65" i="72" a="1"/>
  <c r="J65" i="72" s="1"/>
  <c r="J185" i="72" s="1"/>
  <c r="S551" i="72" a="1"/>
  <c r="S551" i="72" s="1"/>
  <c r="S671" i="72" s="1"/>
  <c r="AG67" i="72" a="1"/>
  <c r="AG67" i="72" s="1"/>
  <c r="AG187" i="72" s="1"/>
  <c r="Y64" i="72" a="1"/>
  <c r="Y64" i="72" s="1"/>
  <c r="Y184" i="72" s="1"/>
  <c r="O551" i="72" a="1"/>
  <c r="O551" i="72" s="1"/>
  <c r="O671" i="72" s="1"/>
  <c r="N306" i="72" a="1"/>
  <c r="N306" i="72" s="1"/>
  <c r="N426" i="72" s="1"/>
  <c r="L587" i="72"/>
  <c r="L707" i="72" s="1"/>
  <c r="AF557" i="72" a="1"/>
  <c r="AF557" i="72" s="1"/>
  <c r="AF677" i="72" s="1"/>
  <c r="AG96" i="72"/>
  <c r="AG216" i="72" s="1"/>
  <c r="AE586" i="72"/>
  <c r="AE706" i="72" s="1"/>
  <c r="AG586" i="72"/>
  <c r="AG706" i="72" s="1"/>
  <c r="K585" i="72"/>
  <c r="K705" i="72" s="1"/>
  <c r="AC341" i="72"/>
  <c r="AC461" i="72" s="1"/>
  <c r="R340" i="72"/>
  <c r="R460" i="72" s="1"/>
  <c r="AD336" i="72"/>
  <c r="AD456" i="72" s="1"/>
  <c r="V340" i="72"/>
  <c r="V460" i="72" s="1"/>
  <c r="AF555" i="72" a="1"/>
  <c r="AF555" i="72" s="1"/>
  <c r="AF675" i="72" s="1"/>
  <c r="AC313" i="72" a="1"/>
  <c r="AC313" i="72" s="1"/>
  <c r="AC433" i="72" s="1"/>
  <c r="AC581" i="72"/>
  <c r="AC701" i="72" s="1"/>
  <c r="T552" i="72" a="1"/>
  <c r="T552" i="72" s="1"/>
  <c r="T672" i="72" s="1"/>
  <c r="AC67" i="72" a="1"/>
  <c r="AC67" i="72" s="1"/>
  <c r="AC187" i="72" s="1"/>
  <c r="AE67" i="72" a="1"/>
  <c r="AE67" i="72" s="1"/>
  <c r="AE187" i="72" s="1"/>
  <c r="M557" i="72" a="1"/>
  <c r="M557" i="72" s="1"/>
  <c r="M677" i="72" s="1"/>
  <c r="J64" i="72" a="1"/>
  <c r="J64" i="72" s="1"/>
  <c r="J184" i="72" s="1"/>
  <c r="I310" i="72" a="1"/>
  <c r="I310" i="72" s="1"/>
  <c r="I430" i="72" s="1"/>
  <c r="Y306" i="72" a="1"/>
  <c r="Y306" i="72" s="1"/>
  <c r="Y426" i="72" s="1"/>
  <c r="AF67" i="72" a="1"/>
  <c r="AF67" i="72" s="1"/>
  <c r="AF187" i="72" s="1"/>
  <c r="AB340" i="72"/>
  <c r="AB460" i="72" s="1"/>
  <c r="AC66" i="72" a="1"/>
  <c r="AC66" i="72" s="1"/>
  <c r="AC186" i="72" s="1"/>
  <c r="AF313" i="72" a="1"/>
  <c r="AF313" i="72" s="1"/>
  <c r="AF433" i="72" s="1"/>
  <c r="P64" i="72" a="1"/>
  <c r="P64" i="72" s="1"/>
  <c r="P184" i="72" s="1"/>
  <c r="L67" i="72" a="1"/>
  <c r="L67" i="72" s="1"/>
  <c r="L187" i="72" s="1"/>
  <c r="V66" i="72" a="1"/>
  <c r="V66" i="72" s="1"/>
  <c r="V186" i="72" s="1"/>
  <c r="AF95" i="72"/>
  <c r="AF215" i="72" s="1"/>
  <c r="AE307" i="72" a="1"/>
  <c r="AE307" i="72" s="1"/>
  <c r="AE427" i="72" s="1"/>
  <c r="AF340" i="72"/>
  <c r="AF460" i="72" s="1"/>
  <c r="R551" i="72" a="1"/>
  <c r="R551" i="72" s="1"/>
  <c r="R671" i="72" s="1"/>
  <c r="W96" i="72"/>
  <c r="W216" i="72" s="1"/>
  <c r="J96" i="72"/>
  <c r="J216" i="72" s="1"/>
  <c r="AG551" i="72" a="1"/>
  <c r="AG551" i="72" s="1"/>
  <c r="AG671" i="72" s="1"/>
  <c r="AF94" i="72"/>
  <c r="AF214" i="72" s="1"/>
  <c r="U341" i="72"/>
  <c r="U461" i="72" s="1"/>
  <c r="N95" i="72"/>
  <c r="N215" i="72" s="1"/>
  <c r="W94" i="72"/>
  <c r="W214" i="72" s="1"/>
  <c r="AD341" i="72"/>
  <c r="AD461" i="72" s="1"/>
  <c r="Z555" i="72" a="1"/>
  <c r="Z555" i="72" s="1"/>
  <c r="Z675" i="72" s="1"/>
  <c r="U313" i="72" a="1"/>
  <c r="U313" i="72" s="1"/>
  <c r="U433" i="72" s="1"/>
  <c r="W313" i="72" a="1"/>
  <c r="W313" i="72" s="1"/>
  <c r="W433" i="72" s="1"/>
  <c r="AE341" i="72"/>
  <c r="AE461" i="72" s="1"/>
  <c r="AE310" i="72" a="1"/>
  <c r="AE310" i="72" s="1"/>
  <c r="AE430" i="72" s="1"/>
  <c r="V586" i="72"/>
  <c r="V706" i="72" s="1"/>
  <c r="AC586" i="72"/>
  <c r="AC706" i="72" s="1"/>
  <c r="R67" i="72" a="1"/>
  <c r="R67" i="72" s="1"/>
  <c r="R187" i="72" s="1"/>
  <c r="AD95" i="72"/>
  <c r="AD215" i="72" s="1"/>
  <c r="S336" i="72"/>
  <c r="S456" i="72" s="1"/>
  <c r="AD340" i="72"/>
  <c r="AD460" i="72" s="1"/>
  <c r="AF96" i="72"/>
  <c r="AF216" i="72" s="1"/>
  <c r="U312" i="72" a="1"/>
  <c r="U312" i="72" s="1"/>
  <c r="U432" i="72" s="1"/>
  <c r="Q65" i="72" a="1"/>
  <c r="Q65" i="72" s="1"/>
  <c r="Q185" i="72" s="1"/>
  <c r="AE65" i="72" a="1"/>
  <c r="AE65" i="72" s="1"/>
  <c r="AE185" i="72" s="1"/>
  <c r="R65" i="72" a="1"/>
  <c r="R65" i="72" s="1"/>
  <c r="R185" i="72" s="1"/>
  <c r="AB551" i="72" a="1"/>
  <c r="AB551" i="72" s="1"/>
  <c r="AB671" i="72" s="1"/>
  <c r="O552" i="72" a="1"/>
  <c r="O552" i="72" s="1"/>
  <c r="O672" i="72" s="1"/>
  <c r="X64" i="72" a="1"/>
  <c r="X64" i="72" s="1"/>
  <c r="X184" i="72" s="1"/>
  <c r="U94" i="72"/>
  <c r="U214" i="72" s="1"/>
  <c r="AA340" i="72"/>
  <c r="AA460" i="72" s="1"/>
  <c r="Z80" i="72" a="1"/>
  <c r="Z80" i="72" s="1"/>
  <c r="Z200" i="72" s="1"/>
  <c r="Z110" i="72"/>
  <c r="Z230" i="72" s="1"/>
  <c r="AG65" i="72" a="1"/>
  <c r="AG65" i="72" s="1"/>
  <c r="AG185" i="72" s="1"/>
  <c r="AA65" i="72" a="1"/>
  <c r="AA65" i="72" s="1"/>
  <c r="AA185" i="72" s="1"/>
  <c r="Q582" i="72"/>
  <c r="Q702" i="72" s="1"/>
  <c r="X336" i="72"/>
  <c r="X456" i="72" s="1"/>
  <c r="O64" i="72" a="1"/>
  <c r="O64" i="72" s="1"/>
  <c r="O184" i="72" s="1"/>
  <c r="W337" i="72"/>
  <c r="W457" i="72" s="1"/>
  <c r="AG306" i="72" a="1"/>
  <c r="AG306" i="72" s="1"/>
  <c r="AG426" i="72" s="1"/>
  <c r="N337" i="72"/>
  <c r="N457" i="72" s="1"/>
  <c r="Q96" i="72"/>
  <c r="Q216" i="72" s="1"/>
  <c r="T340" i="72"/>
  <c r="T460" i="72" s="1"/>
  <c r="AE585" i="72"/>
  <c r="AE705" i="72" s="1"/>
  <c r="W97" i="72"/>
  <c r="W217" i="72" s="1"/>
  <c r="K336" i="72"/>
  <c r="K456" i="72" s="1"/>
  <c r="S343" i="72"/>
  <c r="S463" i="72" s="1"/>
  <c r="L557" i="72" a="1"/>
  <c r="L557" i="72" s="1"/>
  <c r="L677" i="72" s="1"/>
  <c r="AF587" i="72"/>
  <c r="AF707" i="72" s="1"/>
  <c r="AG66" i="72" a="1"/>
  <c r="AG66" i="72" s="1"/>
  <c r="AG186" i="72" s="1"/>
  <c r="AE556" i="72" a="1"/>
  <c r="AE556" i="72" s="1"/>
  <c r="AE676" i="72" s="1"/>
  <c r="AG556" i="72" a="1"/>
  <c r="AG556" i="72" s="1"/>
  <c r="AG676" i="72" s="1"/>
  <c r="K555" i="72" a="1"/>
  <c r="K555" i="72" s="1"/>
  <c r="K675" i="72" s="1"/>
  <c r="AC311" i="72" a="1"/>
  <c r="AC311" i="72" s="1"/>
  <c r="AC431" i="72" s="1"/>
  <c r="R310" i="72" a="1"/>
  <c r="R310" i="72" s="1"/>
  <c r="R430" i="72" s="1"/>
  <c r="AD306" i="72" a="1"/>
  <c r="AD306" i="72" s="1"/>
  <c r="AD426" i="72" s="1"/>
  <c r="P97" i="72"/>
  <c r="P217" i="72" s="1"/>
  <c r="P337" i="72"/>
  <c r="P457" i="72" s="1"/>
  <c r="W95" i="72"/>
  <c r="W215" i="72" s="1"/>
  <c r="Q94" i="72"/>
  <c r="Q214" i="72" s="1"/>
  <c r="V342" i="72"/>
  <c r="V462" i="72" s="1"/>
  <c r="M552" i="72" a="1"/>
  <c r="M552" i="72" s="1"/>
  <c r="M672" i="72" s="1"/>
  <c r="L94" i="72"/>
  <c r="L214" i="72" s="1"/>
  <c r="AC340" i="72"/>
  <c r="AC460" i="72" s="1"/>
  <c r="U337" i="72"/>
  <c r="U457" i="72" s="1"/>
  <c r="T94" i="72"/>
  <c r="T214" i="72" s="1"/>
  <c r="Y96" i="72"/>
  <c r="Y216" i="72" s="1"/>
  <c r="AC342" i="72"/>
  <c r="AC462" i="72" s="1"/>
  <c r="AG341" i="72"/>
  <c r="AG461" i="72" s="1"/>
  <c r="S337" i="72"/>
  <c r="S457" i="72" s="1"/>
  <c r="AC94" i="72"/>
  <c r="AC214" i="72" s="1"/>
  <c r="T96" i="72"/>
  <c r="T216" i="72" s="1"/>
  <c r="AC582" i="72"/>
  <c r="AC702" i="72" s="1"/>
  <c r="Z341" i="72"/>
  <c r="Z461" i="72" s="1"/>
  <c r="AD581" i="72"/>
  <c r="AD701" i="72" s="1"/>
  <c r="Y97" i="72"/>
  <c r="Y217" i="72" s="1"/>
  <c r="R581" i="72"/>
  <c r="R701" i="72" s="1"/>
  <c r="W66" i="72" a="1"/>
  <c r="W66" i="72" s="1"/>
  <c r="W186" i="72" s="1"/>
  <c r="J66" i="72" a="1"/>
  <c r="J66" i="72" s="1"/>
  <c r="J186" i="72" s="1"/>
  <c r="AG581" i="72"/>
  <c r="AG701" i="72" s="1"/>
  <c r="AF64" i="72" a="1"/>
  <c r="AF64" i="72" s="1"/>
  <c r="AF184" i="72" s="1"/>
  <c r="U311" i="72" a="1"/>
  <c r="U311" i="72" s="1"/>
  <c r="U431" i="72" s="1"/>
  <c r="N65" i="72" a="1"/>
  <c r="N65" i="72" s="1"/>
  <c r="N185" i="72" s="1"/>
  <c r="W64" i="72" a="1"/>
  <c r="W64" i="72" s="1"/>
  <c r="W184" i="72" s="1"/>
  <c r="AD311" i="72" a="1"/>
  <c r="AD311" i="72" s="1"/>
  <c r="AD431" i="72" s="1"/>
  <c r="I94" i="72"/>
  <c r="I214" i="72" s="1"/>
  <c r="U343" i="72"/>
  <c r="U463" i="72" s="1"/>
  <c r="W343" i="72"/>
  <c r="W463" i="72" s="1"/>
  <c r="AE311" i="72" a="1"/>
  <c r="AE311" i="72" s="1"/>
  <c r="AE431" i="72" s="1"/>
  <c r="AE340" i="72"/>
  <c r="AE460" i="72" s="1"/>
  <c r="V556" i="72" a="1"/>
  <c r="V556" i="72" s="1"/>
  <c r="V676" i="72" s="1"/>
  <c r="K97" i="72"/>
  <c r="K217" i="72" s="1"/>
  <c r="U340" i="72"/>
  <c r="U460" i="72" s="1"/>
  <c r="AD65" i="72" a="1"/>
  <c r="AD65" i="72" s="1"/>
  <c r="AD185" i="72" s="1"/>
  <c r="S306" i="72" a="1"/>
  <c r="S306" i="72" s="1"/>
  <c r="S426" i="72" s="1"/>
  <c r="AD310" i="72" a="1"/>
  <c r="AD310" i="72" s="1"/>
  <c r="AD430" i="72" s="1"/>
  <c r="AF66" i="72" a="1"/>
  <c r="AF66" i="72" s="1"/>
  <c r="AF186" i="72" s="1"/>
  <c r="X337" i="72"/>
  <c r="X457" i="72" s="1"/>
  <c r="W312" i="72" a="1"/>
  <c r="W312" i="72" s="1"/>
  <c r="W432" i="72" s="1"/>
  <c r="J307" i="72" a="1"/>
  <c r="J307" i="72" s="1"/>
  <c r="J427" i="72" s="1"/>
  <c r="AD96" i="72"/>
  <c r="AD216" i="72" s="1"/>
  <c r="R326" i="72" a="1"/>
  <c r="R326" i="72" s="1"/>
  <c r="R446" i="72" s="1"/>
  <c r="J97" i="72"/>
  <c r="J217" i="72" s="1"/>
  <c r="P588" i="72"/>
  <c r="P708" i="72" s="1"/>
  <c r="U64" i="72" a="1"/>
  <c r="U64" i="72" s="1"/>
  <c r="U184" i="72" s="1"/>
  <c r="AA310" i="72" a="1"/>
  <c r="AA310" i="72" s="1"/>
  <c r="AA430" i="72" s="1"/>
  <c r="AA601" i="72"/>
  <c r="AA721" i="72" s="1"/>
  <c r="X97" i="72"/>
  <c r="X217" i="72" s="1"/>
  <c r="R96" i="72"/>
  <c r="R216" i="72" s="1"/>
  <c r="AA582" i="72"/>
  <c r="AA702" i="72" s="1"/>
  <c r="K96" i="72"/>
  <c r="K216" i="72" s="1"/>
  <c r="Z556" i="72" a="1"/>
  <c r="Z556" i="72" s="1"/>
  <c r="Z676" i="72" s="1"/>
  <c r="W552" i="72" a="1"/>
  <c r="W552" i="72" s="1"/>
  <c r="W672" i="72" s="1"/>
  <c r="AE336" i="72"/>
  <c r="AE456" i="72" s="1"/>
  <c r="J555" i="72" a="1"/>
  <c r="J555" i="72" s="1"/>
  <c r="J675" i="72" s="1"/>
  <c r="Q66" i="72" a="1"/>
  <c r="Q66" i="72" s="1"/>
  <c r="Q186" i="72" s="1"/>
  <c r="T310" i="72" a="1"/>
  <c r="T310" i="72" s="1"/>
  <c r="T430" i="72" s="1"/>
  <c r="AE555" i="72" a="1"/>
  <c r="AE555" i="72" s="1"/>
  <c r="AE675" i="72" s="1"/>
  <c r="W67" i="72" a="1"/>
  <c r="W67" i="72" s="1"/>
  <c r="W187" i="72" s="1"/>
  <c r="K306" i="72" a="1"/>
  <c r="K306" i="72" s="1"/>
  <c r="K426" i="72" s="1"/>
  <c r="S313" i="72" a="1"/>
  <c r="S313" i="72" s="1"/>
  <c r="S433" i="72" s="1"/>
  <c r="L96" i="72"/>
  <c r="L216" i="72" s="1"/>
  <c r="U336" i="72"/>
  <c r="U456" i="72" s="1"/>
  <c r="M581" i="72"/>
  <c r="M701" i="72" s="1"/>
  <c r="S340" i="72"/>
  <c r="S460" i="72" s="1"/>
  <c r="M97" i="72"/>
  <c r="M217" i="72" s="1"/>
  <c r="O97" i="72"/>
  <c r="O217" i="72" s="1"/>
  <c r="T336" i="72"/>
  <c r="T456" i="72" s="1"/>
  <c r="X586" i="72"/>
  <c r="X706" i="72" s="1"/>
  <c r="AE581" i="72"/>
  <c r="AE701" i="72" s="1"/>
  <c r="AC95" i="72"/>
  <c r="AC215" i="72" s="1"/>
  <c r="P67" i="72" a="1"/>
  <c r="P67" i="72" s="1"/>
  <c r="P187" i="72" s="1"/>
  <c r="P307" i="72" a="1"/>
  <c r="P307" i="72" s="1"/>
  <c r="P427" i="72" s="1"/>
  <c r="W65" i="72" a="1"/>
  <c r="W65" i="72" s="1"/>
  <c r="W185" i="72" s="1"/>
  <c r="Q64" i="72" a="1"/>
  <c r="Q64" i="72" s="1"/>
  <c r="Q184" i="72" s="1"/>
  <c r="V312" i="72" a="1"/>
  <c r="V312" i="72" s="1"/>
  <c r="V432" i="72" s="1"/>
  <c r="M582" i="72"/>
  <c r="M702" i="72" s="1"/>
  <c r="L64" i="72" a="1"/>
  <c r="L64" i="72" s="1"/>
  <c r="L184" i="72" s="1"/>
  <c r="AC310" i="72" a="1"/>
  <c r="AC310" i="72" s="1"/>
  <c r="AC430" i="72" s="1"/>
  <c r="U307" i="72" a="1"/>
  <c r="U307" i="72" s="1"/>
  <c r="U427" i="72" s="1"/>
  <c r="T64" i="72" a="1"/>
  <c r="T64" i="72" s="1"/>
  <c r="T184" i="72" s="1"/>
  <c r="Y66" i="72" a="1"/>
  <c r="Y66" i="72" s="1"/>
  <c r="Y186" i="72" s="1"/>
  <c r="AC312" i="72" a="1"/>
  <c r="AC312" i="72" s="1"/>
  <c r="AC432" i="72" s="1"/>
  <c r="AG311" i="72" a="1"/>
  <c r="AG311" i="72" s="1"/>
  <c r="AG431" i="72" s="1"/>
  <c r="S307" i="72" a="1"/>
  <c r="S307" i="72" s="1"/>
  <c r="S427" i="72" s="1"/>
  <c r="AC64" i="72" a="1"/>
  <c r="AC64" i="72" s="1"/>
  <c r="AC184" i="72" s="1"/>
  <c r="T66" i="72" a="1"/>
  <c r="T66" i="72" s="1"/>
  <c r="T186" i="72" s="1"/>
  <c r="I97" i="72"/>
  <c r="I217" i="72" s="1"/>
  <c r="U95" i="72"/>
  <c r="U215" i="72" s="1"/>
  <c r="R336" i="72"/>
  <c r="R456" i="72" s="1"/>
  <c r="N96" i="72"/>
  <c r="N216" i="72" s="1"/>
  <c r="AG340" i="72"/>
  <c r="AG460" i="72" s="1"/>
  <c r="P581" i="72"/>
  <c r="P701" i="72" s="1"/>
  <c r="I557" i="72" a="1"/>
  <c r="I557" i="72" s="1"/>
  <c r="I677" i="72" s="1"/>
  <c r="AD307" i="72" a="1"/>
  <c r="AD307" i="72" s="1"/>
  <c r="AD427" i="72" s="1"/>
  <c r="U552" i="72" a="1"/>
  <c r="U552" i="72" s="1"/>
  <c r="U672" i="72" s="1"/>
  <c r="T65" i="72" a="1"/>
  <c r="T65" i="72" s="1"/>
  <c r="T185" i="72" s="1"/>
  <c r="R64" i="72" a="1"/>
  <c r="R64" i="72" s="1"/>
  <c r="R184" i="72" s="1"/>
  <c r="J336" i="72"/>
  <c r="J456" i="72" s="1"/>
  <c r="AG552" i="72" a="1"/>
  <c r="AG552" i="72" s="1"/>
  <c r="AG672" i="72" s="1"/>
  <c r="AE64" i="72" a="1"/>
  <c r="AE64" i="72" s="1"/>
  <c r="AE184" i="72" s="1"/>
  <c r="AF551" i="72" a="1"/>
  <c r="AF551" i="72" s="1"/>
  <c r="AF671" i="72" s="1"/>
  <c r="V311" i="72" a="1"/>
  <c r="V311" i="72" s="1"/>
  <c r="V431" i="72" s="1"/>
  <c r="Z581" i="72"/>
  <c r="Z701" i="72" s="1"/>
  <c r="AE96" i="72"/>
  <c r="AE216" i="72" s="1"/>
  <c r="Z95" i="72"/>
  <c r="Z215" i="72" s="1"/>
  <c r="V343" i="72"/>
  <c r="V463" i="72" s="1"/>
  <c r="AD582" i="72"/>
  <c r="AD702" i="72" s="1"/>
  <c r="Y581" i="72"/>
  <c r="Y701" i="72" s="1"/>
  <c r="I343" i="72"/>
  <c r="I463" i="72" s="1"/>
  <c r="S342" i="72"/>
  <c r="S462" i="72" s="1"/>
  <c r="I66" i="72" a="1"/>
  <c r="I66" i="72" s="1"/>
  <c r="I186" i="72" s="1"/>
  <c r="Z64" i="72" a="1"/>
  <c r="Z64" i="72" s="1"/>
  <c r="Z184" i="72" s="1"/>
  <c r="S552" i="72" a="1"/>
  <c r="S552" i="72" s="1"/>
  <c r="S672" i="72" s="1"/>
  <c r="R312" i="72" a="1"/>
  <c r="R312" i="72" s="1"/>
  <c r="R432" i="72" s="1"/>
  <c r="V65" i="72" a="1"/>
  <c r="V65" i="72" s="1"/>
  <c r="V185" i="72" s="1"/>
  <c r="Y307" i="72" a="1"/>
  <c r="Y307" i="72" s="1"/>
  <c r="Y427" i="72" s="1"/>
  <c r="V551" i="72" a="1"/>
  <c r="V551" i="72" s="1"/>
  <c r="V671" i="72" s="1"/>
  <c r="AB313" i="72" a="1"/>
  <c r="AB313" i="72" s="1"/>
  <c r="AB433" i="72" s="1"/>
  <c r="R582" i="72"/>
  <c r="R702" i="72" s="1"/>
  <c r="M336" i="72"/>
  <c r="M456" i="72" s="1"/>
  <c r="AB552" i="72" a="1"/>
  <c r="AB552" i="72" s="1"/>
  <c r="AB672" i="72" s="1"/>
  <c r="Y311" i="72" a="1"/>
  <c r="Y311" i="72" s="1"/>
  <c r="Y431" i="72" s="1"/>
  <c r="AF307" i="72" a="1"/>
  <c r="AF307" i="72" s="1"/>
  <c r="AF427" i="72" s="1"/>
  <c r="AD67" i="72" a="1"/>
  <c r="AD67" i="72" s="1"/>
  <c r="AD187" i="72" s="1"/>
  <c r="N64" i="72" a="1"/>
  <c r="N64" i="72" s="1"/>
  <c r="N184" i="72" s="1"/>
  <c r="AG64" i="72" a="1"/>
  <c r="AG64" i="72" s="1"/>
  <c r="AG184" i="72" s="1"/>
  <c r="P306" i="72" a="1"/>
  <c r="P306" i="72" s="1"/>
  <c r="P426" i="72" s="1"/>
  <c r="Y313" i="72" a="1"/>
  <c r="Y313" i="72" s="1"/>
  <c r="Y433" i="72" s="1"/>
  <c r="L555" i="72" a="1"/>
  <c r="L555" i="72" s="1"/>
  <c r="L675" i="72" s="1"/>
  <c r="K64" i="72" a="1"/>
  <c r="K64" i="72" s="1"/>
  <c r="K184" i="72" s="1"/>
  <c r="L306" i="72" a="1"/>
  <c r="L306" i="72" s="1"/>
  <c r="L426" i="72" s="1"/>
  <c r="T581" i="72"/>
  <c r="T701" i="72" s="1"/>
  <c r="Z343" i="72"/>
  <c r="Z463" i="72" s="1"/>
  <c r="W336" i="72"/>
  <c r="W456" i="72" s="1"/>
  <c r="I307" i="72" a="1"/>
  <c r="I307" i="72" s="1"/>
  <c r="I427" i="72" s="1"/>
  <c r="AD556" i="72" a="1"/>
  <c r="AD556" i="72" s="1"/>
  <c r="AD676" i="72" s="1"/>
  <c r="AF336" i="72"/>
  <c r="AF456" i="72" s="1"/>
  <c r="Y342" i="72"/>
  <c r="Y462" i="72" s="1"/>
  <c r="N587" i="72"/>
  <c r="N707" i="72" s="1"/>
  <c r="V552" i="72" a="1"/>
  <c r="V552" i="72" s="1"/>
  <c r="V672" i="72" s="1"/>
  <c r="AB306" i="72" a="1"/>
  <c r="AB306" i="72" s="1"/>
  <c r="AB426" i="72" s="1"/>
  <c r="AD585" i="72"/>
  <c r="AD705" i="72" s="1"/>
  <c r="X341" i="72"/>
  <c r="X461" i="72" s="1"/>
  <c r="AF582" i="72"/>
  <c r="AF702" i="72" s="1"/>
  <c r="Q337" i="72"/>
  <c r="Q457" i="72" s="1"/>
  <c r="Z336" i="72"/>
  <c r="Z456" i="72" s="1"/>
  <c r="W581" i="72"/>
  <c r="W701" i="72" s="1"/>
  <c r="AB65" i="72" a="1"/>
  <c r="AB65" i="72" s="1"/>
  <c r="AB185" i="72" s="1"/>
  <c r="K307" i="72" a="1"/>
  <c r="K307" i="72" s="1"/>
  <c r="K427" i="72" s="1"/>
  <c r="AE342" i="72"/>
  <c r="AE462" i="72" s="1"/>
  <c r="AD588" i="72"/>
  <c r="AD708" i="72" s="1"/>
  <c r="AF556" i="72" a="1"/>
  <c r="AF556" i="72" s="1"/>
  <c r="AF676" i="72" s="1"/>
  <c r="Z307" i="72" a="1"/>
  <c r="Z307" i="72" s="1"/>
  <c r="Z427" i="72" s="1"/>
  <c r="AA313" i="72" a="1"/>
  <c r="AA313" i="72" s="1"/>
  <c r="AA433" i="72" s="1"/>
  <c r="AD312" i="72" a="1"/>
  <c r="AD312" i="72" s="1"/>
  <c r="AD432" i="72" s="1"/>
  <c r="AC307" i="72" a="1"/>
  <c r="AC307" i="72" s="1"/>
  <c r="AC427" i="72" s="1"/>
  <c r="K65" i="72" a="1"/>
  <c r="K65" i="72" s="1"/>
  <c r="K185" i="72" s="1"/>
  <c r="AA337" i="72"/>
  <c r="AA457" i="72" s="1"/>
  <c r="W586" i="72"/>
  <c r="W706" i="72" s="1"/>
  <c r="Z586" i="72"/>
  <c r="Z706" i="72" s="1"/>
  <c r="J306" i="72" a="1"/>
  <c r="J306" i="72" s="1"/>
  <c r="J426" i="72" s="1"/>
  <c r="S310" i="72" a="1"/>
  <c r="S310" i="72" s="1"/>
  <c r="S430" i="72" s="1"/>
  <c r="V581" i="72"/>
  <c r="V701" i="72" s="1"/>
  <c r="N94" i="72"/>
  <c r="N214" i="72" s="1"/>
  <c r="K94" i="72"/>
  <c r="K214" i="72" s="1"/>
  <c r="AB94" i="72"/>
  <c r="AB214" i="72" s="1"/>
  <c r="U551" i="72" a="1"/>
  <c r="U551" i="72" s="1"/>
  <c r="U671" i="72" s="1"/>
  <c r="AD313" i="72" a="1"/>
  <c r="AD313" i="72" s="1"/>
  <c r="AD433" i="72" s="1"/>
  <c r="AB586" i="72"/>
  <c r="AB706" i="72" s="1"/>
  <c r="AD66" i="72" a="1"/>
  <c r="AD66" i="72" s="1"/>
  <c r="AD186" i="72" s="1"/>
  <c r="K95" i="72"/>
  <c r="K215" i="72" s="1"/>
  <c r="W582" i="72"/>
  <c r="W702" i="72" s="1"/>
  <c r="AG582" i="72"/>
  <c r="AG702" i="72" s="1"/>
  <c r="M67" i="72" a="1"/>
  <c r="M67" i="72" s="1"/>
  <c r="M187" i="72" s="1"/>
  <c r="AC65" i="72" a="1"/>
  <c r="AC65" i="72" s="1"/>
  <c r="AC185" i="72" s="1"/>
  <c r="AB343" i="72"/>
  <c r="AB463" i="72" s="1"/>
  <c r="AG94" i="72"/>
  <c r="AG214" i="72" s="1"/>
  <c r="Y67" i="72" a="1"/>
  <c r="Y67" i="72" s="1"/>
  <c r="Y187" i="72" s="1"/>
  <c r="AB64" i="72" a="1"/>
  <c r="AB64" i="72" s="1"/>
  <c r="AB184" i="72" s="1"/>
  <c r="U581" i="72"/>
  <c r="U701" i="72" s="1"/>
  <c r="J581" i="72"/>
  <c r="J701" i="72" s="1"/>
  <c r="AE557" i="72" a="1"/>
  <c r="AE557" i="72" s="1"/>
  <c r="AE677" i="72" s="1"/>
  <c r="X343" i="72"/>
  <c r="X463" i="72" s="1"/>
  <c r="AD342" i="72"/>
  <c r="AD462" i="72" s="1"/>
  <c r="AE306" i="72" a="1"/>
  <c r="AE306" i="72" s="1"/>
  <c r="AE426" i="72" s="1"/>
  <c r="AE94" i="72"/>
  <c r="AE214" i="72" s="1"/>
  <c r="O67" i="72" a="1"/>
  <c r="O67" i="72" s="1"/>
  <c r="O187" i="72" s="1"/>
  <c r="R552" i="72" a="1"/>
  <c r="R552" i="72" s="1"/>
  <c r="R672" i="72" s="1"/>
  <c r="P336" i="72"/>
  <c r="P456" i="72" s="1"/>
  <c r="L336" i="72"/>
  <c r="L456" i="72" s="1"/>
  <c r="AF342" i="72"/>
  <c r="AF462" i="72" s="1"/>
  <c r="Z340" i="72"/>
  <c r="Z460" i="72" s="1"/>
  <c r="J551" i="72" a="1"/>
  <c r="J551" i="72" s="1"/>
  <c r="J671" i="72" s="1"/>
  <c r="AE587" i="72"/>
  <c r="AE707" i="72" s="1"/>
  <c r="X313" i="72" a="1"/>
  <c r="X313" i="72" s="1"/>
  <c r="X433" i="72" s="1"/>
  <c r="X307" i="72" a="1"/>
  <c r="X307" i="72" s="1"/>
  <c r="X427" i="72" s="1"/>
  <c r="O336" i="72"/>
  <c r="O456" i="72" s="1"/>
  <c r="X342" i="72"/>
  <c r="X462" i="72" s="1"/>
  <c r="R94" i="72"/>
  <c r="R214" i="72" s="1"/>
  <c r="AD551" i="72" a="1"/>
  <c r="AD551" i="72" s="1"/>
  <c r="AD671" i="72" s="1"/>
  <c r="AA343" i="72"/>
  <c r="AA463" i="72" s="1"/>
  <c r="J585" i="72"/>
  <c r="J705" i="72" s="1"/>
  <c r="AF581" i="72"/>
  <c r="AF701" i="72" s="1"/>
  <c r="T306" i="72" a="1"/>
  <c r="T306" i="72" s="1"/>
  <c r="T426" i="72" s="1"/>
  <c r="Z94" i="72"/>
  <c r="Z214" i="72" s="1"/>
  <c r="M306" i="72" a="1"/>
  <c r="M306" i="72" s="1"/>
  <c r="M426" i="72" s="1"/>
  <c r="AC552" i="72" a="1"/>
  <c r="AC552" i="72" s="1"/>
  <c r="AC672" i="72" s="1"/>
  <c r="AF312" i="72" a="1"/>
  <c r="AF312" i="72" s="1"/>
  <c r="AF432" i="72" s="1"/>
  <c r="Z310" i="72" a="1"/>
  <c r="Z310" i="72" s="1"/>
  <c r="Z430" i="72" s="1"/>
  <c r="I336" i="72"/>
  <c r="I456" i="72" s="1"/>
  <c r="AA341" i="72"/>
  <c r="AA461" i="72" s="1"/>
  <c r="AF586" i="72"/>
  <c r="AF706" i="72" s="1"/>
  <c r="O306" i="72" a="1"/>
  <c r="O306" i="72" s="1"/>
  <c r="O426" i="72" s="1"/>
  <c r="X312" i="72" a="1"/>
  <c r="X312" i="72" s="1"/>
  <c r="X432" i="72" s="1"/>
  <c r="I96" i="72"/>
  <c r="I216" i="72" s="1"/>
  <c r="AD97" i="72"/>
  <c r="AD217" i="72" s="1"/>
  <c r="AB336" i="72"/>
  <c r="AB456" i="72" s="1"/>
  <c r="AB95" i="72"/>
  <c r="AB215" i="72" s="1"/>
  <c r="X67" i="72" a="1"/>
  <c r="X67" i="72" s="1"/>
  <c r="X187" i="72" s="1"/>
  <c r="X556" i="72" a="1"/>
  <c r="X556" i="72" s="1"/>
  <c r="X676" i="72" s="1"/>
  <c r="X736" i="72" s="1"/>
  <c r="S582" i="72"/>
  <c r="S702" i="72" s="1"/>
  <c r="AB582" i="72"/>
  <c r="AB702" i="72" s="1"/>
  <c r="Y343" i="72"/>
  <c r="Y463" i="72" s="1"/>
  <c r="M94" i="72"/>
  <c r="M214" i="72" s="1"/>
  <c r="AA585" i="72"/>
  <c r="AA705" i="72" s="1"/>
  <c r="I306" i="72" a="1"/>
  <c r="I306" i="72" s="1"/>
  <c r="I426" i="72" s="1"/>
  <c r="I486" i="72" s="1"/>
  <c r="K67" i="72" a="1"/>
  <c r="K67" i="72" s="1"/>
  <c r="K187" i="72" s="1"/>
  <c r="AA311" i="72" a="1"/>
  <c r="AA311" i="72" s="1"/>
  <c r="AA431" i="72" s="1"/>
  <c r="W342" i="72"/>
  <c r="W462" i="72" s="1"/>
  <c r="T97" i="72"/>
  <c r="T217" i="72" s="1"/>
  <c r="K66" i="72" a="1"/>
  <c r="K66" i="72" s="1"/>
  <c r="K186" i="72" s="1"/>
  <c r="Y310" i="72" a="1"/>
  <c r="Y310" i="72" s="1"/>
  <c r="Y430" i="72" s="1"/>
  <c r="AB556" i="72" a="1"/>
  <c r="AB556" i="72" s="1"/>
  <c r="AB676" i="72" s="1"/>
  <c r="R66" i="72" a="1"/>
  <c r="R66" i="72" s="1"/>
  <c r="R186" i="72" s="1"/>
  <c r="U582" i="72"/>
  <c r="U702" i="72" s="1"/>
  <c r="L66" i="72" a="1"/>
  <c r="L66" i="72" s="1"/>
  <c r="L186" i="72" s="1"/>
  <c r="AE551" i="72" a="1"/>
  <c r="AE551" i="72" s="1"/>
  <c r="AE671" i="72" s="1"/>
  <c r="R342" i="72"/>
  <c r="R462" i="72" s="1"/>
  <c r="Y341" i="72"/>
  <c r="Y461" i="72" s="1"/>
  <c r="Z311" i="72" a="1"/>
  <c r="Z311" i="72" s="1"/>
  <c r="Z431" i="72" s="1"/>
  <c r="M64" i="72" a="1"/>
  <c r="M64" i="72" s="1"/>
  <c r="M184" i="72" s="1"/>
  <c r="AA555" i="72" a="1"/>
  <c r="AA555" i="72" s="1"/>
  <c r="AA675" i="72" s="1"/>
  <c r="V582" i="72"/>
  <c r="V702" i="72" s="1"/>
  <c r="Z342" i="72"/>
  <c r="Z462" i="72" s="1"/>
  <c r="W551" i="72" a="1"/>
  <c r="W551" i="72" s="1"/>
  <c r="W671" i="72" s="1"/>
  <c r="X582" i="72"/>
  <c r="X702" i="72" s="1"/>
  <c r="Z337" i="72"/>
  <c r="Z457" i="72" s="1"/>
  <c r="J67" i="72" a="1"/>
  <c r="J67" i="72" s="1"/>
  <c r="J187" i="72" s="1"/>
  <c r="T67" i="72" a="1"/>
  <c r="T67" i="72" s="1"/>
  <c r="T187" i="72" s="1"/>
  <c r="Y337" i="72"/>
  <c r="Y457" i="72" s="1"/>
  <c r="AD343" i="72"/>
  <c r="AD463" i="72" s="1"/>
  <c r="P558" i="72" a="1"/>
  <c r="P558" i="72" s="1"/>
  <c r="P678" i="72" s="1"/>
  <c r="AA552" i="72" a="1"/>
  <c r="AA552" i="72" s="1"/>
  <c r="AA672" i="72" s="1"/>
  <c r="T95" i="72"/>
  <c r="T215" i="72" s="1"/>
  <c r="U306" i="72" a="1"/>
  <c r="U306" i="72" s="1"/>
  <c r="U426" i="72" s="1"/>
  <c r="V95" i="72"/>
  <c r="V215" i="72" s="1"/>
  <c r="AF337" i="72"/>
  <c r="AF457" i="72" s="1"/>
  <c r="L585" i="72"/>
  <c r="L705" i="72" s="1"/>
  <c r="Y340" i="72"/>
  <c r="Y460" i="72" s="1"/>
  <c r="L95" i="72"/>
  <c r="L215" i="72" s="1"/>
  <c r="I64" i="72" a="1"/>
  <c r="I64" i="72" s="1"/>
  <c r="I184" i="72" s="1"/>
  <c r="Z312" i="72" a="1"/>
  <c r="Z312" i="72" s="1"/>
  <c r="Z432" i="72" s="1"/>
  <c r="U310" i="72" a="1"/>
  <c r="U310" i="72" s="1"/>
  <c r="U430" i="72" s="1"/>
  <c r="X552" i="72" a="1"/>
  <c r="X552" i="72" s="1"/>
  <c r="X672" i="72" s="1"/>
  <c r="J337" i="72"/>
  <c r="J457" i="72" s="1"/>
  <c r="AC337" i="72"/>
  <c r="AC457" i="72" s="1"/>
  <c r="M551" i="72" a="1"/>
  <c r="M551" i="72" s="1"/>
  <c r="M671" i="72" s="1"/>
  <c r="L65" i="72" a="1"/>
  <c r="L65" i="72" s="1"/>
  <c r="L185" i="72" s="1"/>
  <c r="L245" i="72" s="1"/>
  <c r="M42" i="68" s="1"/>
  <c r="X356" i="72"/>
  <c r="X476" i="72" s="1"/>
  <c r="J599" i="72"/>
  <c r="J719" i="72" s="1"/>
  <c r="V595" i="72"/>
  <c r="V715" i="72" s="1"/>
  <c r="P596" i="72"/>
  <c r="P716" i="72" s="1"/>
  <c r="H568" i="72" a="1"/>
  <c r="H568" i="72" s="1"/>
  <c r="H688" i="72" s="1"/>
  <c r="Z109" i="72"/>
  <c r="Z229" i="72" s="1"/>
  <c r="X108" i="72"/>
  <c r="X228" i="72" s="1"/>
  <c r="I320" i="72" a="1"/>
  <c r="I320" i="72" s="1"/>
  <c r="I440" i="72" s="1"/>
  <c r="R544" i="72" a="1"/>
  <c r="R544" i="72" s="1"/>
  <c r="R664" i="72" s="1"/>
  <c r="T106" i="72"/>
  <c r="T226" i="72" s="1"/>
  <c r="AA570" i="72" a="1"/>
  <c r="AA570" i="72" s="1"/>
  <c r="AA690" i="72" s="1"/>
  <c r="O569" i="72" a="1"/>
  <c r="O569" i="72" s="1"/>
  <c r="O689" i="72" s="1"/>
  <c r="K574" i="72"/>
  <c r="K694" i="72" s="1"/>
  <c r="U597" i="72"/>
  <c r="U717" i="72" s="1"/>
  <c r="Q351" i="72"/>
  <c r="Q471" i="72" s="1"/>
  <c r="AE598" i="72"/>
  <c r="AE718" i="72" s="1"/>
  <c r="I53" i="72" a="1"/>
  <c r="I53" i="72" s="1"/>
  <c r="I173" i="72" s="1"/>
  <c r="AE78" i="72" a="1"/>
  <c r="AE78" i="72" s="1"/>
  <c r="AE198" i="72" s="1"/>
  <c r="AF350" i="72"/>
  <c r="AF470" i="72" s="1"/>
  <c r="Z75" i="72" a="1"/>
  <c r="Z75" i="72" s="1"/>
  <c r="Z195" i="72" s="1"/>
  <c r="AF571" i="72" a="1"/>
  <c r="AF571" i="72" s="1"/>
  <c r="AF691" i="72" s="1"/>
  <c r="T326" i="72" a="1"/>
  <c r="T326" i="72" s="1"/>
  <c r="T446" i="72" s="1"/>
  <c r="I599" i="72"/>
  <c r="I719" i="72" s="1"/>
  <c r="T595" i="72"/>
  <c r="T715" i="72" s="1"/>
  <c r="M104" i="72"/>
  <c r="M224" i="72" s="1"/>
  <c r="P326" i="72" a="1"/>
  <c r="P326" i="72" s="1"/>
  <c r="P446" i="72" s="1"/>
  <c r="Y79" i="72" a="1"/>
  <c r="Y79" i="72" s="1"/>
  <c r="Y199" i="72" s="1"/>
  <c r="U329" i="72"/>
  <c r="U449" i="72" s="1"/>
  <c r="H350" i="72"/>
  <c r="H470" i="72" s="1"/>
  <c r="AG558" i="72" a="1"/>
  <c r="AG558" i="72" s="1"/>
  <c r="AG678" i="72" s="1"/>
  <c r="AC587" i="72"/>
  <c r="AC707" i="72" s="1"/>
  <c r="Z570" i="72" a="1"/>
  <c r="Z570" i="72" s="1"/>
  <c r="Z690" i="72" s="1"/>
  <c r="X569" i="72" a="1"/>
  <c r="X569" i="72" s="1"/>
  <c r="X689" i="72" s="1"/>
  <c r="Z324" i="72" a="1"/>
  <c r="Z324" i="72" s="1"/>
  <c r="Z444" i="72" s="1"/>
  <c r="M597" i="72"/>
  <c r="M717" i="72" s="1"/>
  <c r="AA323" i="72" a="1"/>
  <c r="AA323" i="72" s="1"/>
  <c r="AA443" i="72" s="1"/>
  <c r="AB74" i="72" a="1"/>
  <c r="AB74" i="72" s="1"/>
  <c r="AB194" i="72" s="1"/>
  <c r="H53" i="72" a="1"/>
  <c r="H53" i="72" s="1"/>
  <c r="H173" i="72" s="1"/>
  <c r="X352" i="72"/>
  <c r="X472" i="72" s="1"/>
  <c r="K329" i="72"/>
  <c r="K449" i="72" s="1"/>
  <c r="K107" i="72"/>
  <c r="K227" i="72" s="1"/>
  <c r="I574" i="72"/>
  <c r="I694" i="72" s="1"/>
  <c r="J355" i="72"/>
  <c r="J475" i="72" s="1"/>
  <c r="H599" i="72"/>
  <c r="H719" i="72" s="1"/>
  <c r="R567" i="72" a="1"/>
  <c r="R567" i="72" s="1"/>
  <c r="R687" i="72" s="1"/>
  <c r="AE351" i="72"/>
  <c r="AE471" i="72" s="1"/>
  <c r="Z74" i="72" a="1"/>
  <c r="Z74" i="72" s="1"/>
  <c r="Z194" i="72" s="1"/>
  <c r="W53" i="72" a="1"/>
  <c r="W53" i="72" s="1"/>
  <c r="W173" i="72" s="1"/>
  <c r="R80" i="72" a="1"/>
  <c r="R80" i="72" s="1"/>
  <c r="R200" i="72" s="1"/>
  <c r="R75" i="72" a="1"/>
  <c r="R75" i="72" s="1"/>
  <c r="R195" i="72" s="1"/>
  <c r="X544" i="72" a="1"/>
  <c r="X544" i="72" s="1"/>
  <c r="X664" i="72" s="1"/>
  <c r="AG325" i="72" a="1"/>
  <c r="AG325" i="72" s="1"/>
  <c r="AG445" i="72" s="1"/>
  <c r="X324" i="72" a="1"/>
  <c r="X324" i="72" s="1"/>
  <c r="X444" i="72" s="1"/>
  <c r="J351" i="72"/>
  <c r="J471" i="72" s="1"/>
  <c r="W326" i="72" a="1"/>
  <c r="W326" i="72" s="1"/>
  <c r="W446" i="72" s="1"/>
  <c r="S323" i="72" a="1"/>
  <c r="S323" i="72" s="1"/>
  <c r="S443" i="72" s="1"/>
  <c r="AC566" i="72" a="1"/>
  <c r="AC566" i="72" s="1"/>
  <c r="AC686" i="72" s="1"/>
  <c r="O53" i="72" a="1"/>
  <c r="O53" i="72" s="1"/>
  <c r="O173" i="72" s="1"/>
  <c r="AE322" i="72" a="1"/>
  <c r="AE322" i="72" s="1"/>
  <c r="AE442" i="72" s="1"/>
  <c r="R299" i="72" a="1"/>
  <c r="R299" i="72" s="1"/>
  <c r="R419" i="72" s="1"/>
  <c r="U320" i="72" a="1"/>
  <c r="U320" i="72" s="1"/>
  <c r="U440" i="72" s="1"/>
  <c r="P544" i="72" a="1"/>
  <c r="P544" i="72" s="1"/>
  <c r="P664" i="72" s="1"/>
  <c r="AC571" i="72" a="1"/>
  <c r="AC571" i="72" s="1"/>
  <c r="AC691" i="72" s="1"/>
  <c r="Q570" i="72" a="1"/>
  <c r="Q570" i="72" s="1"/>
  <c r="Q690" i="72" s="1"/>
  <c r="AA326" i="72" a="1"/>
  <c r="AA326" i="72" s="1"/>
  <c r="AA446" i="72" s="1"/>
  <c r="S104" i="72"/>
  <c r="S224" i="72" s="1"/>
  <c r="L565" i="72" a="1"/>
  <c r="L565" i="72" s="1"/>
  <c r="L685" i="72" s="1"/>
  <c r="AD321" i="72" a="1"/>
  <c r="AD321" i="72" s="1"/>
  <c r="AD441" i="72" s="1"/>
  <c r="P104" i="72"/>
  <c r="P224" i="72" s="1"/>
  <c r="N108" i="72"/>
  <c r="N228" i="72" s="1"/>
  <c r="AB110" i="72"/>
  <c r="AB230" i="72" s="1"/>
  <c r="Q105" i="72"/>
  <c r="Q225" i="72" s="1"/>
  <c r="W574" i="72"/>
  <c r="W694" i="72" s="1"/>
  <c r="Q325" i="72" a="1"/>
  <c r="Q325" i="72" s="1"/>
  <c r="Q445" i="72" s="1"/>
  <c r="X600" i="72"/>
  <c r="X720" i="72" s="1"/>
  <c r="L569" i="72" a="1"/>
  <c r="L569" i="72" s="1"/>
  <c r="L689" i="72" s="1"/>
  <c r="AA597" i="72"/>
  <c r="AA717" i="72" s="1"/>
  <c r="Y323" i="72" a="1"/>
  <c r="Y323" i="72" s="1"/>
  <c r="Y443" i="72" s="1"/>
  <c r="X596" i="72"/>
  <c r="X716" i="72" s="1"/>
  <c r="T80" i="72" a="1"/>
  <c r="T80" i="72" s="1"/>
  <c r="T200" i="72" s="1"/>
  <c r="S109" i="72"/>
  <c r="S229" i="72" s="1"/>
  <c r="U322" i="72" a="1"/>
  <c r="U322" i="72" s="1"/>
  <c r="U442" i="72" s="1"/>
  <c r="I77" i="72" a="1"/>
  <c r="I77" i="72" s="1"/>
  <c r="I197" i="72" s="1"/>
  <c r="K76" i="72" a="1"/>
  <c r="K76" i="72" s="1"/>
  <c r="K196" i="72" s="1"/>
  <c r="AE570" i="72" a="1"/>
  <c r="AE570" i="72" s="1"/>
  <c r="AE690" i="72" s="1"/>
  <c r="U599" i="72"/>
  <c r="U719" i="72" s="1"/>
  <c r="I571" i="72" a="1"/>
  <c r="I571" i="72" s="1"/>
  <c r="I691" i="72" s="1"/>
  <c r="Q323" i="72" a="1"/>
  <c r="Q323" i="72" s="1"/>
  <c r="Q443" i="72" s="1"/>
  <c r="AC321" i="72" a="1"/>
  <c r="AC321" i="72" s="1"/>
  <c r="AC441" i="72" s="1"/>
  <c r="I104" i="72"/>
  <c r="I224" i="72" s="1"/>
  <c r="N352" i="72"/>
  <c r="N472" i="72" s="1"/>
  <c r="AF299" i="72" a="1"/>
  <c r="AF299" i="72" s="1"/>
  <c r="AF419" i="72" s="1"/>
  <c r="M320" i="72" a="1"/>
  <c r="M320" i="72" s="1"/>
  <c r="M440" i="72" s="1"/>
  <c r="K105" i="72"/>
  <c r="K225" i="72" s="1"/>
  <c r="O356" i="72"/>
  <c r="O476" i="72" s="1"/>
  <c r="AA110" i="72"/>
  <c r="AA230" i="72" s="1"/>
  <c r="W600" i="72"/>
  <c r="W720" i="72" s="1"/>
  <c r="AF598" i="72"/>
  <c r="AF718" i="72" s="1"/>
  <c r="Z565" i="72" a="1"/>
  <c r="Z565" i="72" s="1"/>
  <c r="Z685" i="72" s="1"/>
  <c r="AG326" i="72" a="1"/>
  <c r="AG326" i="72" s="1"/>
  <c r="AG446" i="72" s="1"/>
  <c r="U566" i="72" a="1"/>
  <c r="U566" i="72" s="1"/>
  <c r="U686" i="72" s="1"/>
  <c r="AA598" i="72"/>
  <c r="AA718" i="72" s="1"/>
  <c r="R83" i="72"/>
  <c r="R203" i="72" s="1"/>
  <c r="S322" i="72" a="1"/>
  <c r="S322" i="72" s="1"/>
  <c r="S442" i="72" s="1"/>
  <c r="H329" i="72"/>
  <c r="H449" i="72" s="1"/>
  <c r="X107" i="72"/>
  <c r="X227" i="72" s="1"/>
  <c r="AC326" i="72" a="1"/>
  <c r="AC326" i="72" s="1"/>
  <c r="AC446" i="72" s="1"/>
  <c r="H326" i="72" a="1"/>
  <c r="H326" i="72" s="1"/>
  <c r="H446" i="72" s="1"/>
  <c r="AG313" i="72" a="1"/>
  <c r="AG313" i="72" s="1"/>
  <c r="AG433" i="72" s="1"/>
  <c r="R601" i="72"/>
  <c r="R721" i="72" s="1"/>
  <c r="J569" i="72" a="1"/>
  <c r="J569" i="72" s="1"/>
  <c r="J689" i="72" s="1"/>
  <c r="V565" i="72" a="1"/>
  <c r="V565" i="72" s="1"/>
  <c r="V685" i="72" s="1"/>
  <c r="P566" i="72" a="1"/>
  <c r="P566" i="72" s="1"/>
  <c r="P686" i="72" s="1"/>
  <c r="H598" i="72"/>
  <c r="H718" i="72" s="1"/>
  <c r="Z79" i="72" a="1"/>
  <c r="Z79" i="72" s="1"/>
  <c r="Z199" i="72" s="1"/>
  <c r="X78" i="72" a="1"/>
  <c r="X78" i="72" s="1"/>
  <c r="X198" i="72" s="1"/>
  <c r="M107" i="72"/>
  <c r="M227" i="72" s="1"/>
  <c r="Z588" i="72"/>
  <c r="Z708" i="72" s="1"/>
  <c r="K354" i="72"/>
  <c r="K474" i="72" s="1"/>
  <c r="W597" i="72"/>
  <c r="W717" i="72" s="1"/>
  <c r="U567" i="72" a="1"/>
  <c r="U567" i="72" s="1"/>
  <c r="U687" i="72" s="1"/>
  <c r="Q321" i="72" a="1"/>
  <c r="Q321" i="72" s="1"/>
  <c r="Q441" i="72" s="1"/>
  <c r="AE568" i="72" a="1"/>
  <c r="AE568" i="72" s="1"/>
  <c r="AE688" i="72" s="1"/>
  <c r="I83" i="72"/>
  <c r="I203" i="72" s="1"/>
  <c r="AE108" i="72"/>
  <c r="AE228" i="72" s="1"/>
  <c r="X350" i="72"/>
  <c r="X470" i="72" s="1"/>
  <c r="T574" i="72"/>
  <c r="T694" i="72" s="1"/>
  <c r="AE326" i="72" a="1"/>
  <c r="AE326" i="72" s="1"/>
  <c r="AE446" i="72" s="1"/>
  <c r="K600" i="72"/>
  <c r="K720" i="72" s="1"/>
  <c r="AD599" i="72"/>
  <c r="AD719" i="72" s="1"/>
  <c r="S544" i="72" a="1"/>
  <c r="S544" i="72" s="1"/>
  <c r="S664" i="72" s="1"/>
  <c r="T565" i="72" a="1"/>
  <c r="T565" i="72" s="1"/>
  <c r="T685" i="72" s="1"/>
  <c r="M74" i="72" a="1"/>
  <c r="M74" i="72" s="1"/>
  <c r="M194" i="72" s="1"/>
  <c r="P356" i="72"/>
  <c r="P476" i="72" s="1"/>
  <c r="Y109" i="72"/>
  <c r="Y229" i="72" s="1"/>
  <c r="U299" i="72" a="1"/>
  <c r="U299" i="72" s="1"/>
  <c r="U419" i="72" s="1"/>
  <c r="H320" i="72" a="1"/>
  <c r="H320" i="72" s="1"/>
  <c r="H440" i="72" s="1"/>
  <c r="AG588" i="72"/>
  <c r="AG708" i="72" s="1"/>
  <c r="AC557" i="72" a="1"/>
  <c r="AC557" i="72" s="1"/>
  <c r="AC677" i="72" s="1"/>
  <c r="Z600" i="72"/>
  <c r="Z720" i="72" s="1"/>
  <c r="X599" i="72"/>
  <c r="X719" i="72" s="1"/>
  <c r="Z354" i="72"/>
  <c r="Z474" i="72" s="1"/>
  <c r="S597" i="72"/>
  <c r="S717" i="72" s="1"/>
  <c r="P351" i="72"/>
  <c r="P471" i="72" s="1"/>
  <c r="Q74" i="72" a="1"/>
  <c r="Q74" i="72" s="1"/>
  <c r="Q194" i="72" s="1"/>
  <c r="K110" i="72"/>
  <c r="K230" i="72" s="1"/>
  <c r="K299" i="72" a="1"/>
  <c r="K299" i="72" s="1"/>
  <c r="K419" i="72" s="1"/>
  <c r="S75" i="72" a="1"/>
  <c r="S75" i="72" s="1"/>
  <c r="S195" i="72" s="1"/>
  <c r="I544" i="72" a="1"/>
  <c r="I544" i="72" s="1"/>
  <c r="I664" i="72" s="1"/>
  <c r="J600" i="72"/>
  <c r="J720" i="72" s="1"/>
  <c r="AC569" i="72" a="1"/>
  <c r="AC569" i="72" s="1"/>
  <c r="AC689" i="72" s="1"/>
  <c r="M595" i="72"/>
  <c r="M715" i="72" s="1"/>
  <c r="I596" i="72"/>
  <c r="I716" i="72" s="1"/>
  <c r="N568" i="72" a="1"/>
  <c r="N568" i="72" s="1"/>
  <c r="N688" i="72" s="1"/>
  <c r="L78" i="72" a="1"/>
  <c r="L78" i="72" s="1"/>
  <c r="L198" i="72" s="1"/>
  <c r="O350" i="72"/>
  <c r="O470" i="72" s="1"/>
  <c r="I75" i="72" a="1"/>
  <c r="I75" i="72" s="1"/>
  <c r="I195" i="72" s="1"/>
  <c r="J356" i="72"/>
  <c r="J476" i="72" s="1"/>
  <c r="Y355" i="72"/>
  <c r="Y475" i="72" s="1"/>
  <c r="AC354" i="72"/>
  <c r="AC474" i="72" s="1"/>
  <c r="S107" i="72"/>
  <c r="S227" i="72" s="1"/>
  <c r="L567" i="72" a="1"/>
  <c r="L567" i="72" s="1"/>
  <c r="L687" i="72" s="1"/>
  <c r="Z353" i="72"/>
  <c r="Z473" i="72" s="1"/>
  <c r="AA74" i="72" a="1"/>
  <c r="AA74" i="72" s="1"/>
  <c r="AA194" i="72" s="1"/>
  <c r="W352" i="72"/>
  <c r="W472" i="72" s="1"/>
  <c r="Z77" i="72" a="1"/>
  <c r="Z77" i="72" s="1"/>
  <c r="Z197" i="72" s="1"/>
  <c r="AF325" i="72" a="1"/>
  <c r="AF325" i="72" s="1"/>
  <c r="AF445" i="72" s="1"/>
  <c r="I600" i="72"/>
  <c r="I720" i="72" s="1"/>
  <c r="W599" i="72"/>
  <c r="W719" i="72" s="1"/>
  <c r="AC108" i="72"/>
  <c r="AC228" i="72" s="1"/>
  <c r="R353" i="72"/>
  <c r="R473" i="72" s="1"/>
  <c r="W596" i="72"/>
  <c r="W716" i="72" s="1"/>
  <c r="M598" i="72"/>
  <c r="M718" i="72" s="1"/>
  <c r="U79" i="72" a="1"/>
  <c r="U79" i="72" s="1"/>
  <c r="U199" i="72" s="1"/>
  <c r="AG329" i="72"/>
  <c r="AG449" i="72" s="1"/>
  <c r="N350" i="72"/>
  <c r="N470" i="72" s="1"/>
  <c r="H105" i="72"/>
  <c r="H225" i="72" s="1"/>
  <c r="W544" i="72" a="1"/>
  <c r="W544" i="72" s="1"/>
  <c r="W664" i="72" s="1"/>
  <c r="X325" i="72" a="1"/>
  <c r="X325" i="72" s="1"/>
  <c r="X445" i="72" s="1"/>
  <c r="W354" i="72"/>
  <c r="W474" i="72" s="1"/>
  <c r="J80" i="72" a="1"/>
  <c r="J80" i="72" s="1"/>
  <c r="J200" i="72" s="1"/>
  <c r="AF597" i="72"/>
  <c r="AF717" i="72" s="1"/>
  <c r="N601" i="72"/>
  <c r="N721" i="72" s="1"/>
  <c r="AB596" i="72"/>
  <c r="AB716" i="72" s="1"/>
  <c r="N83" i="72"/>
  <c r="N203" i="72" s="1"/>
  <c r="S326" i="72" a="1"/>
  <c r="S326" i="72" s="1"/>
  <c r="S446" i="72" s="1"/>
  <c r="M78" i="72" a="1"/>
  <c r="M78" i="72" s="1"/>
  <c r="M198" i="72" s="1"/>
  <c r="Y356" i="72"/>
  <c r="Y476" i="72" s="1"/>
  <c r="P75" i="72" a="1"/>
  <c r="P75" i="72" s="1"/>
  <c r="P195" i="72" s="1"/>
  <c r="O544" i="72" a="1"/>
  <c r="O544" i="72" s="1"/>
  <c r="O664" i="72" s="1"/>
  <c r="O76" i="72" a="1"/>
  <c r="O76" i="72" s="1"/>
  <c r="O196" i="72" s="1"/>
  <c r="H600" i="72"/>
  <c r="H720" i="72" s="1"/>
  <c r="U76" i="72" a="1"/>
  <c r="U76" i="72" s="1"/>
  <c r="U196" i="72" s="1"/>
  <c r="K567" i="72" a="1"/>
  <c r="K567" i="72" s="1"/>
  <c r="K687" i="72" s="1"/>
  <c r="I353" i="72"/>
  <c r="I473" i="72" s="1"/>
  <c r="AD571" i="72" a="1"/>
  <c r="AD571" i="72" s="1"/>
  <c r="AD691" i="72" s="1"/>
  <c r="L598" i="72"/>
  <c r="L718" i="72" s="1"/>
  <c r="S53" i="72" a="1"/>
  <c r="S53" i="72" s="1"/>
  <c r="S173" i="72" s="1"/>
  <c r="T352" i="72"/>
  <c r="T472" i="72" s="1"/>
  <c r="AG107" i="72"/>
  <c r="AG227" i="72" s="1"/>
  <c r="P601" i="72"/>
  <c r="P721" i="72" s="1"/>
  <c r="O326" i="72" a="1"/>
  <c r="O326" i="72" s="1"/>
  <c r="O446" i="72" s="1"/>
  <c r="AA80" i="72" a="1"/>
  <c r="AA80" i="72" s="1"/>
  <c r="AA200" i="72" s="1"/>
  <c r="W570" i="72" a="1"/>
  <c r="W570" i="72" s="1"/>
  <c r="W690" i="72" s="1"/>
  <c r="AF568" i="72" a="1"/>
  <c r="AF568" i="72" s="1"/>
  <c r="AF688" i="72" s="1"/>
  <c r="AF353" i="72"/>
  <c r="AF473" i="72" s="1"/>
  <c r="H351" i="72"/>
  <c r="H471" i="72" s="1"/>
  <c r="AA596" i="72"/>
  <c r="AA716" i="72" s="1"/>
  <c r="N80" i="72" a="1"/>
  <c r="N80" i="72" s="1"/>
  <c r="N200" i="72" s="1"/>
  <c r="V108" i="72"/>
  <c r="V228" i="72" s="1"/>
  <c r="H299" i="72" a="1"/>
  <c r="H299" i="72" s="1"/>
  <c r="H419" i="72" s="1"/>
  <c r="O75" i="72" a="1"/>
  <c r="O75" i="72" s="1"/>
  <c r="O195" i="72" s="1"/>
  <c r="AC356" i="72"/>
  <c r="AC476" i="72" s="1"/>
  <c r="O325" i="72" a="1"/>
  <c r="O325" i="72" s="1"/>
  <c r="O445" i="72" s="1"/>
  <c r="T354" i="72"/>
  <c r="T474" i="72" s="1"/>
  <c r="AC107" i="72"/>
  <c r="AC227" i="72" s="1"/>
  <c r="O601" i="72"/>
  <c r="O721" i="72" s="1"/>
  <c r="J565" i="72" a="1"/>
  <c r="J565" i="72" s="1"/>
  <c r="J685" i="72" s="1"/>
  <c r="W321" i="72" a="1"/>
  <c r="W321" i="72" s="1"/>
  <c r="W441" i="72" s="1"/>
  <c r="T566" i="72" a="1"/>
  <c r="T566" i="72" s="1"/>
  <c r="T686" i="72" s="1"/>
  <c r="H80" i="72" a="1"/>
  <c r="H80" i="72" s="1"/>
  <c r="H200" i="72" s="1"/>
  <c r="AG342" i="72"/>
  <c r="AG462" i="72" s="1"/>
  <c r="AG80" i="72" a="1"/>
  <c r="AG80" i="72" s="1"/>
  <c r="AG200" i="72" s="1"/>
  <c r="W595" i="72"/>
  <c r="W715" i="72" s="1"/>
  <c r="O597" i="72"/>
  <c r="O717" i="72" s="1"/>
  <c r="M353" i="72"/>
  <c r="M473" i="72" s="1"/>
  <c r="AE74" i="72" a="1"/>
  <c r="AE74" i="72" s="1"/>
  <c r="AE194" i="72" s="1"/>
  <c r="H79" i="72" a="1"/>
  <c r="H79" i="72" s="1"/>
  <c r="H199" i="72" s="1"/>
  <c r="AB329" i="72"/>
  <c r="AB449" i="72" s="1"/>
  <c r="M77" i="72" a="1"/>
  <c r="M77" i="72" s="1"/>
  <c r="M197" i="72" s="1"/>
  <c r="Z574" i="72"/>
  <c r="Z694" i="72" s="1"/>
  <c r="Z558" i="72" a="1"/>
  <c r="Z558" i="72" s="1"/>
  <c r="Z678" i="72" s="1"/>
  <c r="K324" i="72" a="1"/>
  <c r="K324" i="72" s="1"/>
  <c r="K444" i="72" s="1"/>
  <c r="W567" i="72" a="1"/>
  <c r="W567" i="72" s="1"/>
  <c r="W687" i="72" s="1"/>
  <c r="K544" i="72" a="1"/>
  <c r="K544" i="72" s="1"/>
  <c r="K664" i="72" s="1"/>
  <c r="AD595" i="72"/>
  <c r="AD715" i="72" s="1"/>
  <c r="AE566" i="72" a="1"/>
  <c r="AE566" i="72" s="1"/>
  <c r="AE686" i="72" s="1"/>
  <c r="W598" i="72"/>
  <c r="W718" i="72" s="1"/>
  <c r="J109" i="72"/>
  <c r="J229" i="72" s="1"/>
  <c r="H108" i="72"/>
  <c r="H228" i="72" s="1"/>
  <c r="X320" i="72" a="1"/>
  <c r="X320" i="72" s="1"/>
  <c r="X440" i="72" s="1"/>
  <c r="T544" i="72" a="1"/>
  <c r="T544" i="72" s="1"/>
  <c r="T664" i="72" s="1"/>
  <c r="AE356" i="72"/>
  <c r="AE476" i="72" s="1"/>
  <c r="K570" i="72" a="1"/>
  <c r="K570" i="72" s="1"/>
  <c r="K690" i="72" s="1"/>
  <c r="AD569" i="72" a="1"/>
  <c r="AD569" i="72" s="1"/>
  <c r="AD689" i="72" s="1"/>
  <c r="AC567" i="72" a="1"/>
  <c r="AC567" i="72" s="1"/>
  <c r="AC687" i="72" s="1"/>
  <c r="L323" i="72" a="1"/>
  <c r="L323" i="72" s="1"/>
  <c r="L443" i="72" s="1"/>
  <c r="AG74" i="72" a="1"/>
  <c r="AG74" i="72" s="1"/>
  <c r="AG194" i="72" s="1"/>
  <c r="Q83" i="72"/>
  <c r="Q203" i="72" s="1"/>
  <c r="AD79" i="72" a="1"/>
  <c r="AD79" i="72" s="1"/>
  <c r="AD199" i="72" s="1"/>
  <c r="AA107" i="72"/>
  <c r="AA227" i="72" s="1"/>
  <c r="AG574" i="72"/>
  <c r="AG694" i="72" s="1"/>
  <c r="R106" i="72"/>
  <c r="R226" i="72" s="1"/>
  <c r="Y354" i="72"/>
  <c r="Y474" i="72" s="1"/>
  <c r="N599" i="72"/>
  <c r="N719" i="72" s="1"/>
  <c r="S567" i="72" a="1"/>
  <c r="S567" i="72" s="1"/>
  <c r="S687" i="72" s="1"/>
  <c r="P321" i="72" a="1"/>
  <c r="P321" i="72" s="1"/>
  <c r="P441" i="72" s="1"/>
  <c r="Q104" i="72"/>
  <c r="Q224" i="72" s="1"/>
  <c r="H83" i="72"/>
  <c r="H203" i="72" s="1"/>
  <c r="K80" i="72" a="1"/>
  <c r="K80" i="72" s="1"/>
  <c r="K200" i="72" s="1"/>
  <c r="S105" i="72"/>
  <c r="S225" i="72" s="1"/>
  <c r="J570" i="72" a="1"/>
  <c r="J570" i="72" s="1"/>
  <c r="J690" i="72" s="1"/>
  <c r="AC599" i="72"/>
  <c r="AC719" i="72" s="1"/>
  <c r="M565" i="72" a="1"/>
  <c r="M565" i="72" s="1"/>
  <c r="M685" i="72" s="1"/>
  <c r="I566" i="72" a="1"/>
  <c r="I566" i="72" s="1"/>
  <c r="I686" i="72" s="1"/>
  <c r="N598" i="72"/>
  <c r="N718" i="72" s="1"/>
  <c r="W83" i="72"/>
  <c r="W203" i="72" s="1"/>
  <c r="L108" i="72"/>
  <c r="L228" i="72" s="1"/>
  <c r="O320" i="72" a="1"/>
  <c r="O320" i="72" s="1"/>
  <c r="O440" i="72" s="1"/>
  <c r="I105" i="72"/>
  <c r="I225" i="72" s="1"/>
  <c r="J326" i="72" a="1"/>
  <c r="J326" i="72" s="1"/>
  <c r="J446" i="72" s="1"/>
  <c r="Y325" i="72" a="1"/>
  <c r="Y325" i="72" s="1"/>
  <c r="Y445" i="72" s="1"/>
  <c r="AC324" i="72" a="1"/>
  <c r="AC324" i="72" s="1"/>
  <c r="AC444" i="72" s="1"/>
  <c r="S77" i="72" a="1"/>
  <c r="S77" i="72" s="1"/>
  <c r="S197" i="72" s="1"/>
  <c r="L597" i="72"/>
  <c r="L717" i="72" s="1"/>
  <c r="Z323" i="72" a="1"/>
  <c r="Z323" i="72" s="1"/>
  <c r="Z443" i="72" s="1"/>
  <c r="AA104" i="72"/>
  <c r="AA224" i="72" s="1"/>
  <c r="V53" i="72" a="1"/>
  <c r="V53" i="72" s="1"/>
  <c r="V173" i="72" s="1"/>
  <c r="W322" i="72" a="1"/>
  <c r="W322" i="72" s="1"/>
  <c r="W442" i="72" s="1"/>
  <c r="J329" i="72"/>
  <c r="J449" i="72" s="1"/>
  <c r="Z107" i="72"/>
  <c r="Z227" i="72" s="1"/>
  <c r="H574" i="72"/>
  <c r="H694" i="72" s="1"/>
  <c r="AF355" i="72"/>
  <c r="AF475" i="72" s="1"/>
  <c r="I570" i="72" a="1"/>
  <c r="I570" i="72" s="1"/>
  <c r="I690" i="72" s="1"/>
  <c r="W569" i="72" a="1"/>
  <c r="W569" i="72" s="1"/>
  <c r="W689" i="72" s="1"/>
  <c r="AC78" i="72" a="1"/>
  <c r="AC78" i="72" s="1"/>
  <c r="AC198" i="72" s="1"/>
  <c r="R323" i="72" a="1"/>
  <c r="R323" i="72" s="1"/>
  <c r="R443" i="72" s="1"/>
  <c r="W566" i="72" a="1"/>
  <c r="W566" i="72" s="1"/>
  <c r="W686" i="72" s="1"/>
  <c r="M568" i="72" a="1"/>
  <c r="M568" i="72" s="1"/>
  <c r="M688" i="72" s="1"/>
  <c r="U109" i="72"/>
  <c r="U229" i="72" s="1"/>
  <c r="N320" i="72" a="1"/>
  <c r="N320" i="72" s="1"/>
  <c r="N440" i="72" s="1"/>
  <c r="H75" i="72" a="1"/>
  <c r="H75" i="72" s="1"/>
  <c r="H195" i="72" s="1"/>
  <c r="X355" i="72"/>
  <c r="X475" i="72" s="1"/>
  <c r="W324" i="72" a="1"/>
  <c r="W324" i="72" s="1"/>
  <c r="W444" i="72" s="1"/>
  <c r="J110" i="72"/>
  <c r="J230" i="72" s="1"/>
  <c r="AF567" i="72" a="1"/>
  <c r="AF567" i="72" s="1"/>
  <c r="AF687" i="72" s="1"/>
  <c r="N571" i="72" a="1"/>
  <c r="N571" i="72" s="1"/>
  <c r="N691" i="72" s="1"/>
  <c r="AB566" i="72" a="1"/>
  <c r="AB566" i="72" s="1"/>
  <c r="AB686" i="72" s="1"/>
  <c r="S356" i="72"/>
  <c r="S476" i="72" s="1"/>
  <c r="M108" i="72"/>
  <c r="M228" i="72" s="1"/>
  <c r="Y326" i="72" a="1"/>
  <c r="Y326" i="72" s="1"/>
  <c r="Y446" i="72" s="1"/>
  <c r="P105" i="72"/>
  <c r="P225" i="72" s="1"/>
  <c r="V574" i="72"/>
  <c r="V694" i="72" s="1"/>
  <c r="O106" i="72"/>
  <c r="O226" i="72" s="1"/>
  <c r="H570" i="72" a="1"/>
  <c r="H570" i="72" s="1"/>
  <c r="H690" i="72" s="1"/>
  <c r="U106" i="72"/>
  <c r="U226" i="72" s="1"/>
  <c r="K597" i="72"/>
  <c r="K717" i="72" s="1"/>
  <c r="I323" i="72" a="1"/>
  <c r="I323" i="72" s="1"/>
  <c r="I443" i="72" s="1"/>
  <c r="AD601" i="72"/>
  <c r="AD721" i="72" s="1"/>
  <c r="L568" i="72" a="1"/>
  <c r="L568" i="72" s="1"/>
  <c r="L688" i="72" s="1"/>
  <c r="S83" i="72"/>
  <c r="S203" i="72" s="1"/>
  <c r="T322" i="72" a="1"/>
  <c r="T322" i="72" s="1"/>
  <c r="T442" i="72" s="1"/>
  <c r="X329" i="72"/>
  <c r="X449" i="72" s="1"/>
  <c r="AG77" i="72" a="1"/>
  <c r="AG77" i="72" s="1"/>
  <c r="AG197" i="72" s="1"/>
  <c r="P571" i="72" a="1"/>
  <c r="P571" i="72" s="1"/>
  <c r="P691" i="72" s="1"/>
  <c r="X110" i="72"/>
  <c r="X230" i="72" s="1"/>
  <c r="AE325" i="72" a="1"/>
  <c r="AE325" i="72" s="1"/>
  <c r="AE445" i="72" s="1"/>
  <c r="U354" i="72"/>
  <c r="U474" i="72" s="1"/>
  <c r="X326" i="72" a="1"/>
  <c r="X326" i="72" s="1"/>
  <c r="X446" i="72" s="1"/>
  <c r="H601" i="72"/>
  <c r="H721" i="72" s="1"/>
  <c r="H110" i="72"/>
  <c r="H230" i="72" s="1"/>
  <c r="W565" i="72" a="1"/>
  <c r="W565" i="72" s="1"/>
  <c r="W685" i="72" s="1"/>
  <c r="O567" i="72" a="1"/>
  <c r="O567" i="72" s="1"/>
  <c r="O687" i="72" s="1"/>
  <c r="M323" i="72" a="1"/>
  <c r="M323" i="72" s="1"/>
  <c r="M443" i="72" s="1"/>
  <c r="AE104" i="72"/>
  <c r="AE224" i="72" s="1"/>
  <c r="AG53" i="72" a="1"/>
  <c r="AG53" i="72" s="1"/>
  <c r="AG173" i="72" s="1"/>
  <c r="H109" i="72"/>
  <c r="H229" i="72" s="1"/>
  <c r="AB299" i="72" a="1"/>
  <c r="AB299" i="72" s="1"/>
  <c r="AB419" i="72" s="1"/>
  <c r="R107" i="72"/>
  <c r="R227" i="72" s="1"/>
  <c r="AA355" i="72"/>
  <c r="AA475" i="72" s="1"/>
  <c r="AE354" i="72"/>
  <c r="AE474" i="72" s="1"/>
  <c r="AF596" i="72"/>
  <c r="AF716" i="72" s="1"/>
  <c r="AE599" i="72"/>
  <c r="AE719" i="72" s="1"/>
  <c r="AD565" i="72" a="1"/>
  <c r="AD565" i="72" s="1"/>
  <c r="AD685" i="72" s="1"/>
  <c r="AE596" i="72"/>
  <c r="AE716" i="72" s="1"/>
  <c r="W568" i="72" a="1"/>
  <c r="W568" i="72" s="1"/>
  <c r="W688" i="72" s="1"/>
  <c r="J79" i="72" a="1"/>
  <c r="J79" i="72" s="1"/>
  <c r="J199" i="72" s="1"/>
  <c r="H78" i="72" a="1"/>
  <c r="H78" i="72" s="1"/>
  <c r="H198" i="72" s="1"/>
  <c r="L77" i="72" a="1"/>
  <c r="L77" i="72" s="1"/>
  <c r="L197" i="72" s="1"/>
  <c r="S76" i="72" a="1"/>
  <c r="S76" i="72" s="1"/>
  <c r="S196" i="72" s="1"/>
  <c r="J324" i="72" a="1"/>
  <c r="J324" i="72" s="1"/>
  <c r="J444" i="72" s="1"/>
  <c r="X598" i="72"/>
  <c r="X718" i="72" s="1"/>
  <c r="AC597" i="72"/>
  <c r="AC717" i="72" s="1"/>
  <c r="L353" i="72"/>
  <c r="L473" i="72" s="1"/>
  <c r="AG104" i="72"/>
  <c r="AG224" i="72" s="1"/>
  <c r="Q53" i="72" a="1"/>
  <c r="Q53" i="72" s="1"/>
  <c r="Q173" i="72" s="1"/>
  <c r="AD109" i="72"/>
  <c r="AD229" i="72" s="1"/>
  <c r="AA329" i="72"/>
  <c r="AA449" i="72" s="1"/>
  <c r="AA77" i="72" a="1"/>
  <c r="AA77" i="72" s="1"/>
  <c r="AA197" i="72" s="1"/>
  <c r="R76" i="72" a="1"/>
  <c r="R76" i="72" s="1"/>
  <c r="R196" i="72" s="1"/>
  <c r="Y324" i="72" a="1"/>
  <c r="Y324" i="72" s="1"/>
  <c r="Y444" i="72" s="1"/>
  <c r="N569" i="72" a="1"/>
  <c r="N569" i="72" s="1"/>
  <c r="N689" i="72" s="1"/>
  <c r="AC565" i="72" a="1"/>
  <c r="AC565" i="72" s="1"/>
  <c r="AC685" i="72" s="1"/>
  <c r="Y596" i="72"/>
  <c r="Y716" i="72" s="1"/>
  <c r="AD568" i="72" a="1"/>
  <c r="AD568" i="72" s="1"/>
  <c r="AD688" i="72" s="1"/>
  <c r="I109" i="72"/>
  <c r="I229" i="72" s="1"/>
  <c r="AB78" i="72" a="1"/>
  <c r="AB78" i="72" s="1"/>
  <c r="AB198" i="72" s="1"/>
  <c r="AE350" i="72"/>
  <c r="AE470" i="72" s="1"/>
  <c r="Y75" i="72" a="1"/>
  <c r="Y75" i="72" s="1"/>
  <c r="Y195" i="72" s="1"/>
  <c r="Q76" i="72" a="1"/>
  <c r="Q76" i="72" s="1"/>
  <c r="Q196" i="72" s="1"/>
  <c r="I324" i="72" a="1"/>
  <c r="I324" i="72" s="1"/>
  <c r="I444" i="72" s="1"/>
  <c r="L106" i="72"/>
  <c r="L226" i="72" s="1"/>
  <c r="T323" i="72" a="1"/>
  <c r="T323" i="72" s="1"/>
  <c r="T443" i="72" s="1"/>
  <c r="N596" i="72"/>
  <c r="N716" i="72" s="1"/>
  <c r="AG587" i="72"/>
  <c r="AG707" i="72" s="1"/>
  <c r="W109" i="72"/>
  <c r="W229" i="72" s="1"/>
  <c r="T329" i="72"/>
  <c r="T449" i="72" s="1"/>
  <c r="V350" i="72"/>
  <c r="V470" i="72" s="1"/>
  <c r="AF574" i="72"/>
  <c r="AF694" i="72" s="1"/>
  <c r="AF106" i="72"/>
  <c r="AF226" i="72" s="1"/>
  <c r="AG600" i="72"/>
  <c r="AG720" i="72" s="1"/>
  <c r="Z569" i="72" a="1"/>
  <c r="Z569" i="72" s="1"/>
  <c r="Z689" i="72" s="1"/>
  <c r="M356" i="72"/>
  <c r="M476" i="72" s="1"/>
  <c r="AG597" i="72"/>
  <c r="AG717" i="72" s="1"/>
  <c r="O351" i="72"/>
  <c r="O471" i="72" s="1"/>
  <c r="AF74" i="72" a="1"/>
  <c r="AF74" i="72" s="1"/>
  <c r="AF194" i="72" s="1"/>
  <c r="V83" i="72"/>
  <c r="V203" i="72" s="1"/>
  <c r="Z601" i="72"/>
  <c r="Z721" i="72" s="1"/>
  <c r="J299" i="72" a="1"/>
  <c r="J299" i="72" s="1"/>
  <c r="J419" i="72" s="1"/>
  <c r="AG105" i="72"/>
  <c r="AG225" i="72" s="1"/>
  <c r="H544" i="72" a="1"/>
  <c r="H544" i="72" s="1"/>
  <c r="H664" i="72" s="1"/>
  <c r="I355" i="72"/>
  <c r="I475" i="72" s="1"/>
  <c r="H354" i="72"/>
  <c r="H474" i="72" s="1"/>
  <c r="AB599" i="72"/>
  <c r="AB719" i="72" s="1"/>
  <c r="AD597" i="72"/>
  <c r="AD717" i="72" s="1"/>
  <c r="J353" i="72"/>
  <c r="J473" i="72" s="1"/>
  <c r="M566" i="72" a="1"/>
  <c r="M566" i="72" s="1"/>
  <c r="M686" i="72" s="1"/>
  <c r="AD83" i="72"/>
  <c r="AD203" i="72" s="1"/>
  <c r="AD322" i="72" a="1"/>
  <c r="AD322" i="72" s="1"/>
  <c r="AD442" i="72" s="1"/>
  <c r="AG299" i="72" a="1"/>
  <c r="AG299" i="72" s="1"/>
  <c r="AG419" i="72" s="1"/>
  <c r="T350" i="72"/>
  <c r="T470" i="72" s="1"/>
  <c r="I582" i="72"/>
  <c r="I702" i="72" s="1"/>
  <c r="J106" i="72"/>
  <c r="J226" i="72" s="1"/>
  <c r="K356" i="72"/>
  <c r="K476" i="72" s="1"/>
  <c r="AB324" i="72" a="1"/>
  <c r="AB324" i="72" s="1"/>
  <c r="AB444" i="72" s="1"/>
  <c r="M329" i="72"/>
  <c r="M449" i="72" s="1"/>
  <c r="AA595" i="72"/>
  <c r="AA715" i="72" s="1"/>
  <c r="X321" i="72" a="1"/>
  <c r="X321" i="72" s="1"/>
  <c r="X441" i="72" s="1"/>
  <c r="Y104" i="72"/>
  <c r="Y224" i="72" s="1"/>
  <c r="N53" i="72" a="1"/>
  <c r="N53" i="72" s="1"/>
  <c r="N173" i="72" s="1"/>
  <c r="I80" i="72" a="1"/>
  <c r="I80" i="72" s="1"/>
  <c r="I200" i="72" s="1"/>
  <c r="Q329" i="72"/>
  <c r="Q449" i="72" s="1"/>
  <c r="AC350" i="72"/>
  <c r="AC470" i="72" s="1"/>
  <c r="AB75" i="72" a="1"/>
  <c r="AB75" i="72" s="1"/>
  <c r="AB195" i="72" s="1"/>
  <c r="P355" i="72"/>
  <c r="P475" i="72" s="1"/>
  <c r="V354" i="72"/>
  <c r="V474" i="72" s="1"/>
  <c r="P324" i="72" a="1"/>
  <c r="P324" i="72" s="1"/>
  <c r="P444" i="72" s="1"/>
  <c r="P597" i="72"/>
  <c r="P717" i="72" s="1"/>
  <c r="AC110" i="72"/>
  <c r="AC230" i="72" s="1"/>
  <c r="V596" i="72"/>
  <c r="V716" i="72" s="1"/>
  <c r="AA587" i="72"/>
  <c r="AA707" i="72" s="1"/>
  <c r="R79" i="72" a="1"/>
  <c r="R79" i="72" s="1"/>
  <c r="R199" i="72" s="1"/>
  <c r="W108" i="72"/>
  <c r="W228" i="72" s="1"/>
  <c r="AB77" i="72" a="1"/>
  <c r="AB77" i="72" s="1"/>
  <c r="AB197" i="72" s="1"/>
  <c r="AD574" i="72"/>
  <c r="AD694" i="72" s="1"/>
  <c r="X80" i="72" a="1"/>
  <c r="X80" i="72" s="1"/>
  <c r="X200" i="72" s="1"/>
  <c r="AE355" i="72"/>
  <c r="AE475" i="72" s="1"/>
  <c r="U324" i="72" a="1"/>
  <c r="U324" i="72" s="1"/>
  <c r="U444" i="72" s="1"/>
  <c r="R356" i="72"/>
  <c r="R476" i="72" s="1"/>
  <c r="AA571" i="72" a="1"/>
  <c r="AA571" i="72" s="1"/>
  <c r="AA691" i="72" s="1"/>
  <c r="P78" i="72" a="1"/>
  <c r="P78" i="72" s="1"/>
  <c r="P198" i="72" s="1"/>
  <c r="V597" i="72"/>
  <c r="V717" i="72" s="1"/>
  <c r="N326" i="72" a="1"/>
  <c r="N326" i="72" s="1"/>
  <c r="N446" i="72" s="1"/>
  <c r="J74" i="72" a="1"/>
  <c r="J74" i="72" s="1"/>
  <c r="J194" i="72" s="1"/>
  <c r="AG83" i="72"/>
  <c r="AG203" i="72" s="1"/>
  <c r="J352" i="72"/>
  <c r="J472" i="72" s="1"/>
  <c r="R77" i="72" a="1"/>
  <c r="R77" i="72" s="1"/>
  <c r="R197" i="72" s="1"/>
  <c r="Z544" i="72" a="1"/>
  <c r="Z544" i="72" s="1"/>
  <c r="Z664" i="72" s="1"/>
  <c r="AA325" i="72" a="1"/>
  <c r="AA325" i="72" s="1"/>
  <c r="AA445" i="72" s="1"/>
  <c r="AE324" i="72" a="1"/>
  <c r="AE324" i="72" s="1"/>
  <c r="AE444" i="72" s="1"/>
  <c r="AF566" i="72" a="1"/>
  <c r="AF566" i="72" s="1"/>
  <c r="AF686" i="72" s="1"/>
  <c r="AE569" i="72" a="1"/>
  <c r="AE569" i="72" s="1"/>
  <c r="AE689" i="72" s="1"/>
  <c r="U565" i="72" a="1"/>
  <c r="U565" i="72" s="1"/>
  <c r="U685" i="72" s="1"/>
  <c r="AC104" i="72"/>
  <c r="AC224" i="72" s="1"/>
  <c r="T79" i="72" a="1"/>
  <c r="T79" i="72" s="1"/>
  <c r="T199" i="72" s="1"/>
  <c r="L107" i="72"/>
  <c r="L227" i="72" s="1"/>
  <c r="J574" i="72"/>
  <c r="J694" i="72" s="1"/>
  <c r="S106" i="72"/>
  <c r="S226" i="72" s="1"/>
  <c r="J354" i="72"/>
  <c r="J474" i="72" s="1"/>
  <c r="X568" i="72" a="1"/>
  <c r="X568" i="72" s="1"/>
  <c r="X688" i="72" s="1"/>
  <c r="T597" i="72"/>
  <c r="T717" i="72" s="1"/>
  <c r="AF351" i="72"/>
  <c r="AF471" i="72" s="1"/>
  <c r="O598" i="72"/>
  <c r="O718" i="72" s="1"/>
  <c r="I352" i="72"/>
  <c r="I472" i="72" s="1"/>
  <c r="AA299" i="72" a="1"/>
  <c r="AA299" i="72" s="1"/>
  <c r="AA419" i="72" s="1"/>
  <c r="U75" i="72" a="1"/>
  <c r="U75" i="72" s="1"/>
  <c r="U195" i="72" s="1"/>
  <c r="AG544" i="72" a="1"/>
  <c r="AG544" i="72" s="1"/>
  <c r="AG664" i="72" s="1"/>
  <c r="Z325" i="72" a="1"/>
  <c r="Z325" i="72" s="1"/>
  <c r="Z445" i="72" s="1"/>
  <c r="AD354" i="72"/>
  <c r="AD474" i="72" s="1"/>
  <c r="K109" i="72"/>
  <c r="K229" i="72" s="1"/>
  <c r="AC595" i="72"/>
  <c r="AC715" i="72" s="1"/>
  <c r="Y566" i="72" a="1"/>
  <c r="Y566" i="72" s="1"/>
  <c r="Y686" i="72" s="1"/>
  <c r="AD598" i="72"/>
  <c r="AD718" i="72" s="1"/>
  <c r="I79" i="72" a="1"/>
  <c r="I79" i="72" s="1"/>
  <c r="I199" i="72" s="1"/>
  <c r="AB108" i="72"/>
  <c r="AB228" i="72" s="1"/>
  <c r="AE320" i="72" a="1"/>
  <c r="AE320" i="72" s="1"/>
  <c r="AE440" i="72" s="1"/>
  <c r="Y105" i="72"/>
  <c r="Y225" i="72" s="1"/>
  <c r="Q106" i="72"/>
  <c r="Q226" i="72" s="1"/>
  <c r="I354" i="72"/>
  <c r="I474" i="72" s="1"/>
  <c r="L76" i="72" a="1"/>
  <c r="L76" i="72" s="1"/>
  <c r="L196" i="72" s="1"/>
  <c r="T353" i="72"/>
  <c r="T473" i="72" s="1"/>
  <c r="N566" i="72" a="1"/>
  <c r="N566" i="72" s="1"/>
  <c r="N686" i="72" s="1"/>
  <c r="AG557" i="72" a="1"/>
  <c r="AG557" i="72" s="1"/>
  <c r="AG677" i="72" s="1"/>
  <c r="W79" i="72" a="1"/>
  <c r="W79" i="72" s="1"/>
  <c r="W199" i="72" s="1"/>
  <c r="V320" i="72" a="1"/>
  <c r="V320" i="72" s="1"/>
  <c r="V440" i="72" s="1"/>
  <c r="AF544" i="72" a="1"/>
  <c r="AF544" i="72" s="1"/>
  <c r="AF664" i="72" s="1"/>
  <c r="AF76" i="72" a="1"/>
  <c r="AF76" i="72" s="1"/>
  <c r="AF196" i="72" s="1"/>
  <c r="AG570" i="72" a="1"/>
  <c r="AG570" i="72" s="1"/>
  <c r="AG690" i="72" s="1"/>
  <c r="Z599" i="72"/>
  <c r="Z719" i="72" s="1"/>
  <c r="M326" i="72" a="1"/>
  <c r="M326" i="72" s="1"/>
  <c r="M446" i="72" s="1"/>
  <c r="AG567" i="72" a="1"/>
  <c r="AG567" i="72" s="1"/>
  <c r="AG687" i="72" s="1"/>
  <c r="O321" i="72" a="1"/>
  <c r="O321" i="72" s="1"/>
  <c r="O441" i="72" s="1"/>
  <c r="AF104" i="72"/>
  <c r="AF224" i="72" s="1"/>
  <c r="Z571" i="72" a="1"/>
  <c r="Z571" i="72" s="1"/>
  <c r="Z691" i="72" s="1"/>
  <c r="AG75" i="72" a="1"/>
  <c r="AG75" i="72" s="1"/>
  <c r="AG195" i="72" s="1"/>
  <c r="I325" i="72" a="1"/>
  <c r="I325" i="72" s="1"/>
  <c r="I445" i="72" s="1"/>
  <c r="H324" i="72" a="1"/>
  <c r="H324" i="72" s="1"/>
  <c r="H444" i="72" s="1"/>
  <c r="AB569" i="72" a="1"/>
  <c r="AB569" i="72" s="1"/>
  <c r="AB689" i="72" s="1"/>
  <c r="AD567" i="72" a="1"/>
  <c r="AD567" i="72" s="1"/>
  <c r="AD687" i="72" s="1"/>
  <c r="J323" i="72" a="1"/>
  <c r="J323" i="72" s="1"/>
  <c r="J443" i="72" s="1"/>
  <c r="M596" i="72"/>
  <c r="M716" i="72" s="1"/>
  <c r="AD352" i="72"/>
  <c r="AD472" i="72" s="1"/>
  <c r="Y329" i="72"/>
  <c r="Y449" i="72" s="1"/>
  <c r="T320" i="72" a="1"/>
  <c r="T320" i="72" s="1"/>
  <c r="T440" i="72" s="1"/>
  <c r="I552" i="72" a="1"/>
  <c r="I552" i="72" s="1"/>
  <c r="I672" i="72" s="1"/>
  <c r="J76" i="72" a="1"/>
  <c r="J76" i="72" s="1"/>
  <c r="J196" i="72" s="1"/>
  <c r="K326" i="72" a="1"/>
  <c r="K326" i="72" s="1"/>
  <c r="K446" i="72" s="1"/>
  <c r="AB354" i="72"/>
  <c r="AB474" i="72" s="1"/>
  <c r="M299" i="72" a="1"/>
  <c r="M299" i="72" s="1"/>
  <c r="M419" i="72" s="1"/>
  <c r="AA565" i="72" a="1"/>
  <c r="AA565" i="72" s="1"/>
  <c r="AA685" i="72" s="1"/>
  <c r="X351" i="72"/>
  <c r="X471" i="72" s="1"/>
  <c r="Y74" i="72" a="1"/>
  <c r="Y74" i="72" s="1"/>
  <c r="Y194" i="72" s="1"/>
  <c r="T83" i="72"/>
  <c r="T203" i="72" s="1"/>
  <c r="I110" i="72"/>
  <c r="I230" i="72" s="1"/>
  <c r="AC320" i="72" a="1"/>
  <c r="AC320" i="72" s="1"/>
  <c r="AC440" i="72" s="1"/>
  <c r="AB105" i="72"/>
  <c r="AB225" i="72" s="1"/>
  <c r="V544" i="72" a="1"/>
  <c r="V544" i="72" s="1"/>
  <c r="V664" i="72" s="1"/>
  <c r="P325" i="72" a="1"/>
  <c r="P325" i="72" s="1"/>
  <c r="P445" i="72" s="1"/>
  <c r="V324" i="72" a="1"/>
  <c r="V324" i="72" s="1"/>
  <c r="V444" i="72" s="1"/>
  <c r="P354" i="72"/>
  <c r="P474" i="72" s="1"/>
  <c r="P567" i="72" a="1"/>
  <c r="P567" i="72" s="1"/>
  <c r="P687" i="72" s="1"/>
  <c r="AC80" i="72" a="1"/>
  <c r="AC80" i="72" s="1"/>
  <c r="AC200" i="72" s="1"/>
  <c r="V566" i="72" a="1"/>
  <c r="V566" i="72" s="1"/>
  <c r="V686" i="72" s="1"/>
  <c r="AA557" i="72" a="1"/>
  <c r="AA557" i="72" s="1"/>
  <c r="AA677" i="72" s="1"/>
  <c r="R109" i="72"/>
  <c r="R229" i="72" s="1"/>
  <c r="W78" i="72" a="1"/>
  <c r="W78" i="72" s="1"/>
  <c r="W198" i="72" s="1"/>
  <c r="X299" i="72" a="1"/>
  <c r="X299" i="72" s="1"/>
  <c r="X419" i="72" s="1"/>
  <c r="AB107" i="72"/>
  <c r="AB227" i="72" s="1"/>
  <c r="AD544" i="72" a="1"/>
  <c r="AD544" i="72" s="1"/>
  <c r="AD664" i="72" s="1"/>
  <c r="AA106" i="72"/>
  <c r="AA226" i="72" s="1"/>
  <c r="W355" i="72"/>
  <c r="W475" i="72" s="1"/>
  <c r="T599" i="72"/>
  <c r="T719" i="72" s="1"/>
  <c r="Z567" i="72" a="1"/>
  <c r="Z567" i="72" s="1"/>
  <c r="Z687" i="72" s="1"/>
  <c r="X323" i="72" a="1"/>
  <c r="X323" i="72" s="1"/>
  <c r="X443" i="72" s="1"/>
  <c r="M321" i="72" a="1"/>
  <c r="M321" i="72" s="1"/>
  <c r="M441" i="72" s="1"/>
  <c r="H104" i="72"/>
  <c r="H224" i="72" s="1"/>
  <c r="L601" i="72"/>
  <c r="L721" i="72" s="1"/>
  <c r="AG109" i="72"/>
  <c r="AG229" i="72" s="1"/>
  <c r="K78" i="72" a="1"/>
  <c r="K78" i="72" s="1"/>
  <c r="K198" i="72" s="1"/>
  <c r="AB350" i="72"/>
  <c r="AB470" i="72" s="1"/>
  <c r="W75" i="72" a="1"/>
  <c r="W75" i="72" s="1"/>
  <c r="W195" i="72" s="1"/>
  <c r="AG110" i="72"/>
  <c r="AG230" i="72" s="1"/>
  <c r="R571" i="72" a="1"/>
  <c r="R571" i="72" s="1"/>
  <c r="R691" i="72" s="1"/>
  <c r="H356" i="72"/>
  <c r="H476" i="72" s="1"/>
  <c r="AA588" i="72"/>
  <c r="AA708" i="72" s="1"/>
  <c r="P108" i="72"/>
  <c r="P228" i="72" s="1"/>
  <c r="V567" i="72" a="1"/>
  <c r="V567" i="72" s="1"/>
  <c r="V687" i="72" s="1"/>
  <c r="N356" i="72"/>
  <c r="N476" i="72" s="1"/>
  <c r="J104" i="72"/>
  <c r="J224" i="72" s="1"/>
  <c r="Y83" i="72"/>
  <c r="Y203" i="72" s="1"/>
  <c r="J322" i="72" a="1"/>
  <c r="J322" i="72" s="1"/>
  <c r="J442" i="72" s="1"/>
  <c r="Q320" i="72" a="1"/>
  <c r="Q320" i="72" s="1"/>
  <c r="Q440" i="72" s="1"/>
  <c r="AF105" i="72"/>
  <c r="AF225" i="72" s="1"/>
  <c r="V80" i="72" a="1"/>
  <c r="V80" i="72" s="1"/>
  <c r="V200" i="72" s="1"/>
  <c r="O80" i="72" a="1"/>
  <c r="O80" i="72" s="1"/>
  <c r="O200" i="72" s="1"/>
  <c r="Y599" i="72"/>
  <c r="Y719" i="72" s="1"/>
  <c r="J53" i="72" a="1"/>
  <c r="J53" i="72" s="1"/>
  <c r="J173" i="72" s="1"/>
  <c r="U595" i="72"/>
  <c r="U715" i="72" s="1"/>
  <c r="AC74" i="72" a="1"/>
  <c r="AC74" i="72" s="1"/>
  <c r="AC194" i="72" s="1"/>
  <c r="AF83" i="72"/>
  <c r="AF203" i="72" s="1"/>
  <c r="T109" i="72"/>
  <c r="T229" i="72" s="1"/>
  <c r="L329" i="72"/>
  <c r="L449" i="72" s="1"/>
  <c r="T75" i="72" a="1"/>
  <c r="T75" i="72" s="1"/>
  <c r="T195" i="72" s="1"/>
  <c r="J544" i="72" a="1"/>
  <c r="J544" i="72" s="1"/>
  <c r="J664" i="72" s="1"/>
  <c r="K355" i="72"/>
  <c r="K475" i="72" s="1"/>
  <c r="O354" i="72"/>
  <c r="O474" i="72" s="1"/>
  <c r="AB587" i="72"/>
  <c r="AB707" i="72" s="1"/>
  <c r="T567" i="72" a="1"/>
  <c r="T567" i="72" s="1"/>
  <c r="T687" i="72" s="1"/>
  <c r="AF321" i="72" a="1"/>
  <c r="AF321" i="72" s="1"/>
  <c r="AF441" i="72" s="1"/>
  <c r="O568" i="72" a="1"/>
  <c r="O568" i="72" s="1"/>
  <c r="O688" i="72" s="1"/>
  <c r="X53" i="72" a="1"/>
  <c r="X53" i="72" s="1"/>
  <c r="X173" i="72" s="1"/>
  <c r="I322" i="72" a="1"/>
  <c r="I322" i="72" s="1"/>
  <c r="I442" i="72" s="1"/>
  <c r="U105" i="72"/>
  <c r="U225" i="72" s="1"/>
  <c r="Y574" i="72"/>
  <c r="Y694" i="72" s="1"/>
  <c r="Z355" i="72"/>
  <c r="Z475" i="72" s="1"/>
  <c r="AD324" i="72" a="1"/>
  <c r="AD324" i="72" s="1"/>
  <c r="AD444" i="72" s="1"/>
  <c r="K79" i="72" a="1"/>
  <c r="K79" i="72" s="1"/>
  <c r="K199" i="72" s="1"/>
  <c r="Q356" i="72"/>
  <c r="Q476" i="72" s="1"/>
  <c r="U353" i="72"/>
  <c r="U473" i="72" s="1"/>
  <c r="AD596" i="72"/>
  <c r="AD716" i="72" s="1"/>
  <c r="P83" i="72"/>
  <c r="P203" i="72" s="1"/>
  <c r="N109" i="72"/>
  <c r="N229" i="72" s="1"/>
  <c r="S329" i="72"/>
  <c r="S449" i="72" s="1"/>
  <c r="W350" i="72"/>
  <c r="W470" i="72" s="1"/>
  <c r="Q574" i="72"/>
  <c r="Q694" i="72" s="1"/>
  <c r="T601" i="72"/>
  <c r="T721" i="72" s="1"/>
  <c r="N354" i="72"/>
  <c r="N474" i="72" s="1"/>
  <c r="AB567" i="72" a="1"/>
  <c r="AB567" i="72" s="1"/>
  <c r="AB687" i="72" s="1"/>
  <c r="K353" i="72"/>
  <c r="K473" i="72" s="1"/>
  <c r="L104" i="72"/>
  <c r="L224" i="72" s="1"/>
  <c r="AE53" i="72" a="1"/>
  <c r="AE53" i="72" s="1"/>
  <c r="AE173" i="72" s="1"/>
  <c r="H322" i="72" a="1"/>
  <c r="H322" i="72" s="1"/>
  <c r="H442" i="72" s="1"/>
  <c r="T299" i="72" a="1"/>
  <c r="T299" i="72" s="1"/>
  <c r="T419" i="72" s="1"/>
  <c r="J77" i="72" a="1"/>
  <c r="J77" i="72" s="1"/>
  <c r="J197" i="72" s="1"/>
  <c r="AE110" i="72"/>
  <c r="AE230" i="72" s="1"/>
  <c r="Y600" i="72"/>
  <c r="Y720" i="72" s="1"/>
  <c r="M599" i="72"/>
  <c r="M719" i="72" s="1"/>
  <c r="L355" i="72"/>
  <c r="L475" i="72" s="1"/>
  <c r="AB565" i="72" a="1"/>
  <c r="AB565" i="72" s="1"/>
  <c r="AB685" i="72" s="1"/>
  <c r="H566" i="72" a="1"/>
  <c r="H566" i="72" s="1"/>
  <c r="H686" i="72" s="1"/>
  <c r="AC598" i="72"/>
  <c r="AC718" i="72" s="1"/>
  <c r="V79" i="72" a="1"/>
  <c r="V79" i="72" s="1"/>
  <c r="V199" i="72" s="1"/>
  <c r="R78" i="72" a="1"/>
  <c r="R78" i="72" s="1"/>
  <c r="R198" i="72" s="1"/>
  <c r="AD350" i="72"/>
  <c r="AD470" i="72" s="1"/>
  <c r="X75" i="72" a="1"/>
  <c r="X75" i="72" s="1"/>
  <c r="X195" i="72" s="1"/>
  <c r="P106" i="72"/>
  <c r="P226" i="72" s="1"/>
  <c r="Q601" i="72"/>
  <c r="Q721" i="72" s="1"/>
  <c r="M354" i="72"/>
  <c r="M474" i="72" s="1"/>
  <c r="AE597" i="72"/>
  <c r="AE717" i="72" s="1"/>
  <c r="Q597" i="72"/>
  <c r="Q717" i="72" s="1"/>
  <c r="Y351" i="72"/>
  <c r="Y471" i="72" s="1"/>
  <c r="K104" i="72"/>
  <c r="K224" i="72" s="1"/>
  <c r="AD53" i="72" a="1"/>
  <c r="AD53" i="72" s="1"/>
  <c r="AD173" i="72" s="1"/>
  <c r="V352" i="72"/>
  <c r="V472" i="72" s="1"/>
  <c r="Y299" i="72" a="1"/>
  <c r="Y299" i="72" s="1"/>
  <c r="Y419" i="72" s="1"/>
  <c r="Y107" i="72"/>
  <c r="Y227" i="72" s="1"/>
  <c r="AE574" i="72"/>
  <c r="AE694" i="72" s="1"/>
  <c r="AE106" i="72"/>
  <c r="AE226" i="72" s="1"/>
  <c r="AF600" i="72"/>
  <c r="AF720" i="72" s="1"/>
  <c r="V569" i="72" a="1"/>
  <c r="V569" i="72" s="1"/>
  <c r="V689" i="72" s="1"/>
  <c r="AG353" i="72"/>
  <c r="AG473" i="72" s="1"/>
  <c r="N351" i="72"/>
  <c r="N471" i="72" s="1"/>
  <c r="AB568" i="72" a="1"/>
  <c r="AB568" i="72" s="1"/>
  <c r="AB688" i="72" s="1"/>
  <c r="T53" i="72" a="1"/>
  <c r="T53" i="72" s="1"/>
  <c r="T173" i="72" s="1"/>
  <c r="O352" i="72"/>
  <c r="O472" i="72" s="1"/>
  <c r="Q299" i="72" a="1"/>
  <c r="Q299" i="72" s="1"/>
  <c r="Q419" i="72" s="1"/>
  <c r="AF107" i="72"/>
  <c r="AF227" i="72" s="1"/>
  <c r="L80" i="72" a="1"/>
  <c r="L80" i="72" s="1"/>
  <c r="L200" i="72" s="1"/>
  <c r="S601" i="72"/>
  <c r="S721" i="72" s="1"/>
  <c r="H325" i="72" a="1"/>
  <c r="H325" i="72" s="1"/>
  <c r="H445" i="72" s="1"/>
  <c r="L324" i="72" a="1"/>
  <c r="L324" i="72" s="1"/>
  <c r="L444" i="72" s="1"/>
  <c r="AF588" i="72"/>
  <c r="AF708" i="72" s="1"/>
  <c r="K565" i="72" a="1"/>
  <c r="K565" i="72" s="1"/>
  <c r="K685" i="72" s="1"/>
  <c r="I351" i="72"/>
  <c r="I471" i="72" s="1"/>
  <c r="L596" i="72"/>
  <c r="L716" i="72" s="1"/>
  <c r="AC83" i="72"/>
  <c r="AC203" i="72" s="1"/>
  <c r="J601" i="72"/>
  <c r="J721" i="72" s="1"/>
  <c r="AA78" i="72" a="1"/>
  <c r="AA78" i="72" s="1"/>
  <c r="AA198" i="72" s="1"/>
  <c r="U356" i="72"/>
  <c r="U476" i="72" s="1"/>
  <c r="AE105" i="72"/>
  <c r="AE225" i="72" s="1"/>
  <c r="AA76" i="72" a="1"/>
  <c r="AA76" i="72" s="1"/>
  <c r="AA196" i="72" s="1"/>
  <c r="W325" i="72" a="1"/>
  <c r="W325" i="72" s="1"/>
  <c r="W445" i="72" s="1"/>
  <c r="T569" i="72" a="1"/>
  <c r="T569" i="72" s="1"/>
  <c r="T689" i="72" s="1"/>
  <c r="S565" i="72" a="1"/>
  <c r="S565" i="72" s="1"/>
  <c r="S685" i="72" s="1"/>
  <c r="AE601" i="72"/>
  <c r="AE721" i="72" s="1"/>
  <c r="M80" i="72" a="1"/>
  <c r="M80" i="72" s="1"/>
  <c r="M200" i="72" s="1"/>
  <c r="U598" i="72"/>
  <c r="U718" i="72" s="1"/>
  <c r="M83" i="72"/>
  <c r="M203" i="72" s="1"/>
  <c r="AC352" i="72"/>
  <c r="AC472" i="72" s="1"/>
  <c r="P329" i="72"/>
  <c r="P449" i="72" s="1"/>
  <c r="Q107" i="72"/>
  <c r="Q227" i="72" s="1"/>
  <c r="N574" i="72"/>
  <c r="N694" i="72" s="1"/>
  <c r="AD76" i="72" a="1"/>
  <c r="AD76" i="72" s="1"/>
  <c r="AD196" i="72" s="1"/>
  <c r="P600" i="72"/>
  <c r="P720" i="72" s="1"/>
  <c r="R351" i="72"/>
  <c r="R471" i="72" s="1"/>
  <c r="J567" i="72" a="1"/>
  <c r="J567" i="72" s="1"/>
  <c r="J687" i="72" s="1"/>
  <c r="H323" i="72" a="1"/>
  <c r="H323" i="72" s="1"/>
  <c r="H443" i="72" s="1"/>
  <c r="W110" i="72"/>
  <c r="W230" i="72" s="1"/>
  <c r="H571" i="72" a="1"/>
  <c r="H571" i="72" s="1"/>
  <c r="H691" i="72" s="1"/>
  <c r="AA75" i="72" a="1"/>
  <c r="AA75" i="72" s="1"/>
  <c r="AA195" i="72" s="1"/>
  <c r="O595" i="72"/>
  <c r="O715" i="72" s="1"/>
  <c r="AG351" i="72"/>
  <c r="AG471" i="72" s="1"/>
  <c r="P598" i="72"/>
  <c r="P718" i="72" s="1"/>
  <c r="AF78" i="72" a="1"/>
  <c r="AF78" i="72" s="1"/>
  <c r="AF198" i="72" s="1"/>
  <c r="Q350" i="72"/>
  <c r="Q470" i="72" s="1"/>
  <c r="AF75" i="72" a="1"/>
  <c r="AF75" i="72" s="1"/>
  <c r="AF195" i="72" s="1"/>
  <c r="V110" i="72"/>
  <c r="V230" i="72" s="1"/>
  <c r="O110" i="72"/>
  <c r="O230" i="72" s="1"/>
  <c r="Y569" i="72" a="1"/>
  <c r="Y569" i="72" s="1"/>
  <c r="Y689" i="72" s="1"/>
  <c r="J83" i="72"/>
  <c r="J203" i="72" s="1"/>
  <c r="N567" i="72" a="1"/>
  <c r="N567" i="72" s="1"/>
  <c r="N687" i="72" s="1"/>
  <c r="AB353" i="72"/>
  <c r="AB473" i="72" s="1"/>
  <c r="R104" i="72"/>
  <c r="R224" i="72" s="1"/>
  <c r="AF53" i="72" a="1"/>
  <c r="AF53" i="72" s="1"/>
  <c r="AF173" i="72" s="1"/>
  <c r="Y322" i="72" a="1"/>
  <c r="Y322" i="72" s="1"/>
  <c r="Y442" i="72" s="1"/>
  <c r="L299" i="72" a="1"/>
  <c r="L299" i="72" s="1"/>
  <c r="L419" i="72" s="1"/>
  <c r="T105" i="72"/>
  <c r="T225" i="72" s="1"/>
  <c r="K325" i="72" a="1"/>
  <c r="K325" i="72" s="1"/>
  <c r="K445" i="72" s="1"/>
  <c r="O324" i="72" a="1"/>
  <c r="O324" i="72" s="1"/>
  <c r="O444" i="72" s="1"/>
  <c r="AB557" i="72" a="1"/>
  <c r="AB557" i="72" s="1"/>
  <c r="AB677" i="72" s="1"/>
  <c r="N595" i="72"/>
  <c r="N715" i="72" s="1"/>
  <c r="O566" i="72" a="1"/>
  <c r="O566" i="72" s="1"/>
  <c r="O686" i="72" s="1"/>
  <c r="V598" i="72"/>
  <c r="V718" i="72" s="1"/>
  <c r="X83" i="72"/>
  <c r="X203" i="72" s="1"/>
  <c r="O108" i="72"/>
  <c r="O228" i="72" s="1"/>
  <c r="P320" i="72" a="1"/>
  <c r="P320" i="72" s="1"/>
  <c r="P440" i="72" s="1"/>
  <c r="J105" i="72"/>
  <c r="J225" i="72" s="1"/>
  <c r="AF110" i="72"/>
  <c r="AF230" i="72" s="1"/>
  <c r="AG571" i="72" a="1"/>
  <c r="AG571" i="72" s="1"/>
  <c r="AG691" i="72" s="1"/>
  <c r="AG350" i="72"/>
  <c r="AG470" i="72" s="1"/>
  <c r="Q326" i="72" a="1"/>
  <c r="Q326" i="72" s="1"/>
  <c r="Q446" i="72" s="1"/>
  <c r="U323" i="72" a="1"/>
  <c r="U323" i="72" s="1"/>
  <c r="U443" i="72" s="1"/>
  <c r="AD566" i="72" a="1"/>
  <c r="AD566" i="72" s="1"/>
  <c r="AD686" i="72" s="1"/>
  <c r="P53" i="72" a="1"/>
  <c r="P53" i="72" s="1"/>
  <c r="P173" i="72" s="1"/>
  <c r="N79" i="72" a="1"/>
  <c r="N79" i="72" s="1"/>
  <c r="N199" i="72" s="1"/>
  <c r="W320" i="72" a="1"/>
  <c r="W320" i="72" s="1"/>
  <c r="W440" i="72" s="1"/>
  <c r="Q544" i="72" a="1"/>
  <c r="Q544" i="72" s="1"/>
  <c r="Q664" i="72" s="1"/>
  <c r="Q724" i="72" s="1"/>
  <c r="T571" i="72" a="1"/>
  <c r="T571" i="72" s="1"/>
  <c r="T691" i="72" s="1"/>
  <c r="T751" i="72" s="1"/>
  <c r="N324" i="72" a="1"/>
  <c r="N324" i="72" s="1"/>
  <c r="N444" i="72" s="1"/>
  <c r="N504" i="72" s="1"/>
  <c r="AB597" i="72"/>
  <c r="AB717" i="72" s="1"/>
  <c r="K323" i="72" a="1"/>
  <c r="K323" i="72" s="1"/>
  <c r="K443" i="72" s="1"/>
  <c r="K503" i="72" s="1"/>
  <c r="L363" i="68" s="1"/>
  <c r="L74" i="72" a="1"/>
  <c r="L74" i="72" s="1"/>
  <c r="L194" i="72" s="1"/>
  <c r="L254" i="72" s="1"/>
  <c r="M51" i="68" s="1"/>
  <c r="H352" i="72"/>
  <c r="H472" i="72" s="1"/>
  <c r="Z329" i="72"/>
  <c r="Z449" i="72" s="1"/>
  <c r="J107" i="72"/>
  <c r="J227" i="72" s="1"/>
  <c r="X574" i="72"/>
  <c r="X694" i="72" s="1"/>
  <c r="AE80" i="72" a="1"/>
  <c r="AE80" i="72" s="1"/>
  <c r="AE200" i="72" s="1"/>
  <c r="Y570" i="72" a="1"/>
  <c r="Y570" i="72" s="1"/>
  <c r="Y690" i="72" s="1"/>
  <c r="M569" i="72" a="1"/>
  <c r="M569" i="72" s="1"/>
  <c r="M689" i="72" s="1"/>
  <c r="L325" i="72" a="1"/>
  <c r="L325" i="72" s="1"/>
  <c r="L445" i="72" s="1"/>
  <c r="AF108" i="72"/>
  <c r="AF228" i="72" s="1"/>
  <c r="O599" i="72"/>
  <c r="O719" i="72" s="1"/>
  <c r="T356" i="72"/>
  <c r="T476" i="72" s="1"/>
  <c r="Y544" i="72" a="1"/>
  <c r="Y544" i="72" s="1"/>
  <c r="Y664" i="72" s="1"/>
  <c r="AG355" i="72"/>
  <c r="AG475" i="72" s="1"/>
  <c r="AC568" i="72" a="1"/>
  <c r="AC568" i="72" s="1"/>
  <c r="AC688" i="72" s="1"/>
  <c r="P76" i="72" a="1"/>
  <c r="P76" i="72" s="1"/>
  <c r="P196" i="72" s="1"/>
  <c r="Q567" i="72" a="1"/>
  <c r="Q567" i="72" s="1"/>
  <c r="Q687" i="72" s="1"/>
  <c r="U83" i="72"/>
  <c r="U203" i="72" s="1"/>
  <c r="Q75" i="72" a="1"/>
  <c r="Q75" i="72" s="1"/>
  <c r="Q195" i="72" s="1"/>
  <c r="V599" i="72"/>
  <c r="V719" i="72" s="1"/>
  <c r="X566" i="72" a="1"/>
  <c r="X566" i="72" s="1"/>
  <c r="X686" i="72" s="1"/>
  <c r="AF558" i="72" a="1"/>
  <c r="AF558" i="72" s="1"/>
  <c r="AF678" i="72" s="1"/>
  <c r="V76" i="72" a="1"/>
  <c r="V76" i="72" s="1"/>
  <c r="V196" i="72" s="1"/>
  <c r="S595" i="72"/>
  <c r="S715" i="72" s="1"/>
  <c r="M110" i="72"/>
  <c r="M230" i="72" s="1"/>
  <c r="M53" i="72" a="1"/>
  <c r="M53" i="72" s="1"/>
  <c r="M173" i="72" s="1"/>
  <c r="K108" i="72"/>
  <c r="K228" i="72" s="1"/>
  <c r="W105" i="72"/>
  <c r="W225" i="72" s="1"/>
  <c r="O355" i="72"/>
  <c r="O475" i="72" s="1"/>
  <c r="S569" i="72" a="1"/>
  <c r="S569" i="72" s="1"/>
  <c r="S689" i="72" s="1"/>
  <c r="J595" i="72"/>
  <c r="J715" i="72" s="1"/>
  <c r="AB321" i="72" a="1"/>
  <c r="AB321" i="72" s="1"/>
  <c r="AB441" i="72" s="1"/>
  <c r="X104" i="72"/>
  <c r="X224" i="72" s="1"/>
  <c r="AB109" i="72"/>
  <c r="AB229" i="72" s="1"/>
  <c r="U108" i="72"/>
  <c r="U228" i="72" s="1"/>
  <c r="W299" i="72" a="1"/>
  <c r="W299" i="72" s="1"/>
  <c r="W419" i="72" s="1"/>
  <c r="AD105" i="72"/>
  <c r="AD225" i="72" s="1"/>
  <c r="Y110" i="72"/>
  <c r="Y230" i="72" s="1"/>
  <c r="AD325" i="72" a="1"/>
  <c r="AD325" i="72" s="1"/>
  <c r="AD445" i="72" s="1"/>
  <c r="S324" i="72" a="1"/>
  <c r="S324" i="72" s="1"/>
  <c r="S444" i="72" s="1"/>
  <c r="Y595" i="72"/>
  <c r="Y715" i="72" s="1"/>
  <c r="L351" i="72"/>
  <c r="L471" i="72" s="1"/>
  <c r="W74" i="72" a="1"/>
  <c r="W74" i="72" s="1"/>
  <c r="W194" i="72" s="1"/>
  <c r="AG322" i="72" a="1"/>
  <c r="AG322" i="72" s="1"/>
  <c r="AG442" i="72" s="1"/>
  <c r="O299" i="72" a="1"/>
  <c r="O299" i="72" s="1"/>
  <c r="O419" i="72" s="1"/>
  <c r="AE77" i="72" a="1"/>
  <c r="AE77" i="72" s="1"/>
  <c r="AE197" i="72" s="1"/>
  <c r="AB326" i="72" a="1"/>
  <c r="AB326" i="72" s="1"/>
  <c r="AB446" i="72" s="1"/>
  <c r="T355" i="72"/>
  <c r="T475" i="72" s="1"/>
  <c r="R354" i="72"/>
  <c r="R474" i="72" s="1"/>
  <c r="O323" i="72" a="1"/>
  <c r="O323" i="72" s="1"/>
  <c r="O443" i="72" s="1"/>
  <c r="AA321" i="72" a="1"/>
  <c r="AA321" i="72" s="1"/>
  <c r="AA441" i="72" s="1"/>
  <c r="V104" i="72"/>
  <c r="V224" i="72" s="1"/>
  <c r="L109" i="72"/>
  <c r="L229" i="72" s="1"/>
  <c r="Q352" i="72"/>
  <c r="Q472" i="72" s="1"/>
  <c r="AD329" i="72"/>
  <c r="AD449" i="72" s="1"/>
  <c r="V77" i="72" a="1"/>
  <c r="V77" i="72" s="1"/>
  <c r="V197" i="72" s="1"/>
  <c r="X106" i="72"/>
  <c r="X226" i="72" s="1"/>
  <c r="AC600" i="72"/>
  <c r="AC720" i="72" s="1"/>
  <c r="Q569" i="72" a="1"/>
  <c r="Q569" i="72" s="1"/>
  <c r="Q689" i="72" s="1"/>
  <c r="X567" i="72" a="1"/>
  <c r="X567" i="72" s="1"/>
  <c r="X687" i="72" s="1"/>
  <c r="Y601" i="72"/>
  <c r="Y721" i="72" s="1"/>
  <c r="AG596" i="72"/>
  <c r="AG716" i="72" s="1"/>
  <c r="Y598" i="72"/>
  <c r="Y718" i="72" s="1"/>
  <c r="X79" i="72" a="1"/>
  <c r="X79" i="72" s="1"/>
  <c r="X199" i="72" s="1"/>
  <c r="Y78" i="72" a="1"/>
  <c r="Y78" i="72" s="1"/>
  <c r="Y198" i="72" s="1"/>
  <c r="AD77" i="72" a="1"/>
  <c r="AD77" i="72" s="1"/>
  <c r="AD197" i="72" s="1"/>
  <c r="L574" i="72"/>
  <c r="L694" i="72" s="1"/>
  <c r="M325" i="72" a="1"/>
  <c r="M325" i="72" s="1"/>
  <c r="M445" i="72" s="1"/>
  <c r="Q324" i="72" a="1"/>
  <c r="Q324" i="72" s="1"/>
  <c r="Q444" i="72" s="1"/>
  <c r="R595" i="72"/>
  <c r="R715" i="72" s="1"/>
  <c r="Z351" i="72"/>
  <c r="Z471" i="72" s="1"/>
  <c r="Q598" i="72"/>
  <c r="Q718" i="72" s="1"/>
  <c r="AA109" i="72"/>
  <c r="AA229" i="72" s="1"/>
  <c r="P322" i="72" a="1"/>
  <c r="P322" i="72" s="1"/>
  <c r="P442" i="72" s="1"/>
  <c r="AC299" i="72" a="1"/>
  <c r="AC299" i="72" s="1"/>
  <c r="AC419" i="72" s="1"/>
  <c r="T77" i="72" a="1"/>
  <c r="T77" i="72" s="1"/>
  <c r="T197" i="72" s="1"/>
  <c r="AA574" i="72"/>
  <c r="AA694" i="72" s="1"/>
  <c r="AB325" i="72" a="1"/>
  <c r="AB325" i="72" s="1"/>
  <c r="AB445" i="72" s="1"/>
  <c r="AA569" i="72" a="1"/>
  <c r="AA569" i="72" s="1"/>
  <c r="AA689" i="72" s="1"/>
  <c r="AA105" i="72"/>
  <c r="AA225" i="72" s="1"/>
  <c r="Y352" i="72"/>
  <c r="Y472" i="72" s="1"/>
  <c r="I569" i="72" a="1"/>
  <c r="I569" i="72" s="1"/>
  <c r="I689" i="72" s="1"/>
  <c r="O78" i="72" a="1"/>
  <c r="O78" i="72" s="1"/>
  <c r="O198" i="72" s="1"/>
  <c r="AF80" i="72" a="1"/>
  <c r="AF80" i="72" s="1"/>
  <c r="AF200" i="72" s="1"/>
  <c r="J325" i="72" a="1"/>
  <c r="J325" i="72" s="1"/>
  <c r="J445" i="72" s="1"/>
  <c r="R110" i="72"/>
  <c r="R230" i="72" s="1"/>
  <c r="X354" i="72"/>
  <c r="X474" i="72" s="1"/>
  <c r="O83" i="72"/>
  <c r="O203" i="72" s="1"/>
  <c r="AC601" i="72"/>
  <c r="AC721" i="72" s="1"/>
  <c r="L595" i="72"/>
  <c r="L715" i="72" s="1"/>
  <c r="AE544" i="72" a="1"/>
  <c r="AE544" i="72" s="1"/>
  <c r="AE664" i="72" s="1"/>
  <c r="L599" i="72"/>
  <c r="L719" i="72" s="1"/>
  <c r="AB598" i="72"/>
  <c r="AB718" i="72" s="1"/>
  <c r="I299" i="72" a="1"/>
  <c r="I299" i="72" s="1"/>
  <c r="I419" i="72" s="1"/>
  <c r="I601" i="72"/>
  <c r="I721" i="72" s="1"/>
  <c r="AC53" i="72" a="1"/>
  <c r="AC53" i="72" s="1"/>
  <c r="AC173" i="72" s="1"/>
  <c r="U326" i="72" a="1"/>
  <c r="U326" i="72" s="1"/>
  <c r="U446" i="72" s="1"/>
  <c r="V106" i="72"/>
  <c r="V226" i="72" s="1"/>
  <c r="Z595" i="72"/>
  <c r="Z715" i="72" s="1"/>
  <c r="U596" i="72"/>
  <c r="U716" i="72" s="1"/>
  <c r="V355" i="72"/>
  <c r="V475" i="72" s="1"/>
  <c r="R321" i="72" a="1"/>
  <c r="R321" i="72" s="1"/>
  <c r="R441" i="72" s="1"/>
  <c r="P353" i="72"/>
  <c r="P473" i="72" s="1"/>
  <c r="W80" i="72" a="1"/>
  <c r="W80" i="72" s="1"/>
  <c r="W200" i="72" s="1"/>
  <c r="S568" i="72" a="1"/>
  <c r="S568" i="72" s="1"/>
  <c r="S688" i="72" s="1"/>
  <c r="AB79" i="72" a="1"/>
  <c r="AB79" i="72" s="1"/>
  <c r="AB199" i="72" s="1"/>
  <c r="AB259" i="72" s="1"/>
  <c r="AC56" i="68" s="1"/>
  <c r="U78" i="72" a="1"/>
  <c r="U78" i="72" s="1"/>
  <c r="U198" i="72" s="1"/>
  <c r="U258" i="72" s="1"/>
  <c r="V55" i="68" s="1"/>
  <c r="AD75" i="72" a="1"/>
  <c r="AD75" i="72" s="1"/>
  <c r="AD195" i="72" s="1"/>
  <c r="Y106" i="72"/>
  <c r="Y226" i="72" s="1"/>
  <c r="U355" i="72"/>
  <c r="U475" i="72" s="1"/>
  <c r="R599" i="72"/>
  <c r="R719" i="72" s="1"/>
  <c r="Y565" i="72" a="1"/>
  <c r="Y565" i="72" s="1"/>
  <c r="Y685" i="72" s="1"/>
  <c r="L321" i="72" a="1"/>
  <c r="L321" i="72" s="1"/>
  <c r="L441" i="72" s="1"/>
  <c r="W104" i="72"/>
  <c r="W224" i="72" s="1"/>
  <c r="M109" i="72"/>
  <c r="M229" i="72" s="1"/>
  <c r="I356" i="72"/>
  <c r="I476" i="72" s="1"/>
  <c r="W77" i="72" a="1"/>
  <c r="W77" i="72" s="1"/>
  <c r="W197" i="72" s="1"/>
  <c r="AB356" i="72"/>
  <c r="AB476" i="72" s="1"/>
  <c r="T325" i="72" a="1"/>
  <c r="T325" i="72" s="1"/>
  <c r="T445" i="72" s="1"/>
  <c r="R324" i="72" a="1"/>
  <c r="R324" i="72" s="1"/>
  <c r="R444" i="72" s="1"/>
  <c r="I597" i="72"/>
  <c r="I717" i="72" s="1"/>
  <c r="V323" i="72" a="1"/>
  <c r="V323" i="72" s="1"/>
  <c r="V443" i="72" s="1"/>
  <c r="AD557" i="72" a="1"/>
  <c r="AD557" i="72" s="1"/>
  <c r="AD677" i="72" s="1"/>
  <c r="R568" i="72" a="1"/>
  <c r="R568" i="72" s="1"/>
  <c r="R688" i="72" s="1"/>
  <c r="L79" i="72" a="1"/>
  <c r="L79" i="72" s="1"/>
  <c r="L199" i="72" s="1"/>
  <c r="L259" i="72" s="1"/>
  <c r="M56" i="68" s="1"/>
  <c r="Q322" i="72" a="1"/>
  <c r="Q322" i="72" s="1"/>
  <c r="Q442" i="72" s="1"/>
  <c r="Q502" i="72" s="1"/>
  <c r="AC105" i="72"/>
  <c r="AC225" i="72" s="1"/>
  <c r="X76" i="72" a="1"/>
  <c r="X76" i="72" s="1"/>
  <c r="X196" i="72" s="1"/>
  <c r="AC570" i="72" a="1"/>
  <c r="AC570" i="72" s="1"/>
  <c r="AC690" i="72" s="1"/>
  <c r="Q599" i="72"/>
  <c r="Q719" i="72" s="1"/>
  <c r="X597" i="72"/>
  <c r="X717" i="72" s="1"/>
  <c r="Y571" i="72" a="1"/>
  <c r="Y571" i="72" s="1"/>
  <c r="Y691" i="72" s="1"/>
  <c r="AG566" i="72" a="1"/>
  <c r="AG566" i="72" s="1"/>
  <c r="AG686" i="72" s="1"/>
  <c r="Y568" i="72" a="1"/>
  <c r="Y568" i="72" s="1"/>
  <c r="Y688" i="72" s="1"/>
  <c r="AA352" i="72"/>
  <c r="AA472" i="72" s="1"/>
  <c r="N329" i="72"/>
  <c r="N449" i="72" s="1"/>
  <c r="AD107" i="72"/>
  <c r="AD227" i="72" s="1"/>
  <c r="R325" i="72" a="1"/>
  <c r="R325" i="72" s="1"/>
  <c r="R445" i="72" s="1"/>
  <c r="K599" i="72"/>
  <c r="K719" i="72" s="1"/>
  <c r="H595" i="72"/>
  <c r="H715" i="72" s="1"/>
  <c r="Q596" i="72"/>
  <c r="Q716" i="72" s="1"/>
  <c r="I598" i="72"/>
  <c r="I718" i="72" s="1"/>
  <c r="AA79" i="72" a="1"/>
  <c r="AA79" i="72" s="1"/>
  <c r="AA199" i="72" s="1"/>
  <c r="P352" i="72"/>
  <c r="P472" i="72" s="1"/>
  <c r="R350" i="72"/>
  <c r="R470" i="72" s="1"/>
  <c r="L75" i="72" a="1"/>
  <c r="L75" i="72" s="1"/>
  <c r="L195" i="72" s="1"/>
  <c r="AA544" i="72" a="1"/>
  <c r="AA544" i="72" s="1"/>
  <c r="AA664" i="72" s="1"/>
  <c r="AB600" i="72"/>
  <c r="AB720" i="72" s="1"/>
  <c r="P599" i="72"/>
  <c r="P719" i="72" s="1"/>
  <c r="O565" i="72" a="1"/>
  <c r="O565" i="72" s="1"/>
  <c r="O685" i="72" s="1"/>
  <c r="I350" i="72"/>
  <c r="I470" i="72" s="1"/>
  <c r="S574" i="72"/>
  <c r="S694" i="72" s="1"/>
  <c r="AG601" i="72"/>
  <c r="AG721" i="72" s="1"/>
  <c r="X322" i="72" a="1"/>
  <c r="X322" i="72" s="1"/>
  <c r="X442" i="72" s="1"/>
  <c r="H569" i="72" a="1"/>
  <c r="H569" i="72" s="1"/>
  <c r="H689" i="72" s="1"/>
  <c r="H749" i="72" s="1"/>
  <c r="J321" i="72" a="1"/>
  <c r="J321" i="72" s="1"/>
  <c r="J441" i="72" s="1"/>
  <c r="AD320" i="72" a="1"/>
  <c r="AD320" i="72" s="1"/>
  <c r="AD440" i="72" s="1"/>
  <c r="Q571" i="72" a="1"/>
  <c r="Q571" i="72" s="1"/>
  <c r="Q691" i="72" s="1"/>
  <c r="Y321" i="72" a="1"/>
  <c r="Y321" i="72" s="1"/>
  <c r="Y441" i="72" s="1"/>
  <c r="V322" i="72" a="1"/>
  <c r="V322" i="72" s="1"/>
  <c r="V442" i="72" s="1"/>
  <c r="T110" i="72"/>
  <c r="T230" i="72" s="1"/>
  <c r="I329" i="72"/>
  <c r="I449" i="72" s="1"/>
  <c r="S571" i="72" a="1"/>
  <c r="S571" i="72" s="1"/>
  <c r="S691" i="72" s="1"/>
  <c r="K595" i="72"/>
  <c r="K715" i="72" s="1"/>
  <c r="M350" i="72"/>
  <c r="M470" i="72" s="1"/>
  <c r="O600" i="72"/>
  <c r="O720" i="72" s="1"/>
  <c r="AF323" i="72" a="1"/>
  <c r="AF323" i="72" s="1"/>
  <c r="AF443" i="72" s="1"/>
  <c r="AA566" i="72" a="1"/>
  <c r="AA566" i="72" s="1"/>
  <c r="AA686" i="72" s="1"/>
  <c r="P299" i="72" a="1"/>
  <c r="P299" i="72" s="1"/>
  <c r="P419" i="72" s="1"/>
  <c r="N544" i="72" a="1"/>
  <c r="N544" i="72" s="1"/>
  <c r="N664" i="72" s="1"/>
  <c r="V325" i="72" a="1"/>
  <c r="V325" i="72" s="1"/>
  <c r="V445" i="72" s="1"/>
  <c r="O109" i="72"/>
  <c r="O229" i="72" s="1"/>
  <c r="O571" i="72" a="1"/>
  <c r="O571" i="72" s="1"/>
  <c r="O691" i="72" s="1"/>
  <c r="P323" i="72" a="1"/>
  <c r="P323" i="72" s="1"/>
  <c r="P443" i="72" s="1"/>
  <c r="X571" i="72" a="1"/>
  <c r="X571" i="72" s="1"/>
  <c r="X691" i="72" s="1"/>
  <c r="S598" i="72"/>
  <c r="S718" i="72" s="1"/>
  <c r="Q79" i="72" a="1"/>
  <c r="Q79" i="72" s="1"/>
  <c r="Q199" i="72" s="1"/>
  <c r="Z108" i="72"/>
  <c r="Z228" i="72" s="1"/>
  <c r="L350" i="72"/>
  <c r="L470" i="72" s="1"/>
  <c r="V105" i="72"/>
  <c r="V225" i="72" s="1"/>
  <c r="Y76" i="72" a="1"/>
  <c r="Y76" i="72" s="1"/>
  <c r="Y196" i="72" s="1"/>
  <c r="Y256" i="72" s="1"/>
  <c r="Z53" i="68" s="1"/>
  <c r="U325" i="72" a="1"/>
  <c r="U325" i="72" s="1"/>
  <c r="U445" i="72" s="1"/>
  <c r="U505" i="72" s="1"/>
  <c r="R569" i="72" a="1"/>
  <c r="R569" i="72" s="1"/>
  <c r="R689" i="72" s="1"/>
  <c r="R749" i="72" s="1"/>
  <c r="Q80" i="72" a="1"/>
  <c r="Q80" i="72" s="1"/>
  <c r="Q200" i="72" s="1"/>
  <c r="AE353" i="72"/>
  <c r="AE473" i="72" s="1"/>
  <c r="AD326" i="72" a="1"/>
  <c r="AD326" i="72" s="1"/>
  <c r="AD446" i="72" s="1"/>
  <c r="T598" i="72"/>
  <c r="T718" i="72" s="1"/>
  <c r="M79" i="72" a="1"/>
  <c r="M79" i="72" s="1"/>
  <c r="M199" i="72" s="1"/>
  <c r="I326" i="72" a="1"/>
  <c r="I326" i="72" s="1"/>
  <c r="I446" i="72" s="1"/>
  <c r="V299" i="72" a="1"/>
  <c r="V299" i="72" s="1"/>
  <c r="V419" i="72" s="1"/>
  <c r="W107" i="72"/>
  <c r="W227" i="72" s="1"/>
  <c r="I106" i="72"/>
  <c r="I226" i="72" s="1"/>
  <c r="AB571" i="72" a="1"/>
  <c r="AB571" i="72" s="1"/>
  <c r="AB691" i="72" s="1"/>
  <c r="AG599" i="72"/>
  <c r="AG719" i="72" s="1"/>
  <c r="I567" i="72" a="1"/>
  <c r="I567" i="72" s="1"/>
  <c r="I687" i="72" s="1"/>
  <c r="V353" i="72"/>
  <c r="V473" i="72" s="1"/>
  <c r="AD587" i="72"/>
  <c r="AD707" i="72" s="1"/>
  <c r="R598" i="72"/>
  <c r="R718" i="72" s="1"/>
  <c r="P79" i="72" a="1"/>
  <c r="P79" i="72" s="1"/>
  <c r="P199" i="72" s="1"/>
  <c r="U80" i="72" a="1"/>
  <c r="U80" i="72" s="1"/>
  <c r="U200" i="72" s="1"/>
  <c r="AD299" i="72" a="1"/>
  <c r="AD299" i="72" s="1"/>
  <c r="AD419" i="72" s="1"/>
  <c r="AC75" i="72" a="1"/>
  <c r="AC75" i="72" s="1"/>
  <c r="AC195" i="72" s="1"/>
  <c r="AC106" i="72"/>
  <c r="AC226" i="72" s="1"/>
  <c r="S600" i="72"/>
  <c r="S720" i="72" s="1"/>
  <c r="AD104" i="72"/>
  <c r="AD224" i="72" s="1"/>
  <c r="P565" i="72" a="1"/>
  <c r="P565" i="72" s="1"/>
  <c r="P685" i="72" s="1"/>
  <c r="T351" i="72"/>
  <c r="T471" i="72" s="1"/>
  <c r="O104" i="72"/>
  <c r="O224" i="72" s="1"/>
  <c r="K53" i="72" a="1"/>
  <c r="K53" i="72" s="1"/>
  <c r="K173" i="72" s="1"/>
  <c r="AA322" i="72" a="1"/>
  <c r="AA322" i="72" s="1"/>
  <c r="AA442" i="72" s="1"/>
  <c r="U107" i="72"/>
  <c r="U227" i="72" s="1"/>
  <c r="L544" i="72" a="1"/>
  <c r="L544" i="72" s="1"/>
  <c r="L664" i="72" s="1"/>
  <c r="R355" i="72"/>
  <c r="R475" i="72" s="1"/>
  <c r="K569" i="72" a="1"/>
  <c r="K569" i="72" s="1"/>
  <c r="K689" i="72" s="1"/>
  <c r="H565" i="72" a="1"/>
  <c r="H565" i="72" s="1"/>
  <c r="H685" i="72" s="1"/>
  <c r="Q566" i="72" a="1"/>
  <c r="Q566" i="72" s="1"/>
  <c r="Q686" i="72" s="1"/>
  <c r="I568" i="72" a="1"/>
  <c r="I568" i="72" s="1"/>
  <c r="I688" i="72" s="1"/>
  <c r="AE79" i="72" a="1"/>
  <c r="AE79" i="72" s="1"/>
  <c r="AE199" i="72" s="1"/>
  <c r="Q78" i="72" a="1"/>
  <c r="Q78" i="72" s="1"/>
  <c r="Q198" i="72" s="1"/>
  <c r="R320" i="72" a="1"/>
  <c r="R320" i="72" s="1"/>
  <c r="R440" i="72" s="1"/>
  <c r="L105" i="72"/>
  <c r="L225" i="72" s="1"/>
  <c r="AB570" i="72" a="1"/>
  <c r="AB570" i="72" s="1"/>
  <c r="AB690" i="72" s="1"/>
  <c r="P569" i="72" a="1"/>
  <c r="P569" i="72" s="1"/>
  <c r="P689" i="72" s="1"/>
  <c r="AG321" i="72" a="1"/>
  <c r="AG321" i="72" s="1"/>
  <c r="AG441" i="72" s="1"/>
  <c r="R574" i="72"/>
  <c r="R694" i="72" s="1"/>
  <c r="AF320" i="72" a="1"/>
  <c r="AF320" i="72" s="1"/>
  <c r="AF440" i="72" s="1"/>
  <c r="AF500" i="72" s="1"/>
  <c r="AG320" i="72" a="1"/>
  <c r="AG320" i="72" s="1"/>
  <c r="AG440" i="72" s="1"/>
  <c r="R597" i="72"/>
  <c r="R717" i="72" s="1"/>
  <c r="Z299" i="72" a="1"/>
  <c r="Z299" i="72" s="1"/>
  <c r="Z419" i="72" s="1"/>
  <c r="W356" i="72"/>
  <c r="W476" i="72" s="1"/>
  <c r="U350" i="72"/>
  <c r="U470" i="72" s="1"/>
  <c r="Q600" i="72"/>
  <c r="Q720" i="72" s="1"/>
  <c r="AD351" i="72"/>
  <c r="AD471" i="72" s="1"/>
  <c r="N78" i="72" a="1"/>
  <c r="N78" i="72" s="1"/>
  <c r="N198" i="72" s="1"/>
  <c r="K106" i="72"/>
  <c r="K226" i="72" s="1"/>
  <c r="Q353" i="72"/>
  <c r="Q473" i="72" s="1"/>
  <c r="J571" i="72" a="1"/>
  <c r="J571" i="72" s="1"/>
  <c r="J691" i="72" s="1"/>
  <c r="AE75" i="72" a="1"/>
  <c r="AE75" i="72" s="1"/>
  <c r="AE195" i="72" s="1"/>
  <c r="O570" i="72" a="1"/>
  <c r="O570" i="72" s="1"/>
  <c r="O690" i="72" s="1"/>
  <c r="X353" i="72"/>
  <c r="X473" i="72" s="1"/>
  <c r="H74" i="72" a="1"/>
  <c r="H74" i="72" s="1"/>
  <c r="H194" i="72" s="1"/>
  <c r="R53" i="72" a="1"/>
  <c r="R53" i="72" s="1"/>
  <c r="R173" i="72" s="1"/>
  <c r="Z106" i="72"/>
  <c r="Z226" i="72" s="1"/>
  <c r="P570" i="72" a="1"/>
  <c r="P570" i="72" s="1"/>
  <c r="P690" i="72" s="1"/>
  <c r="O79" i="72" a="1"/>
  <c r="O79" i="72" s="1"/>
  <c r="O199" i="72" s="1"/>
  <c r="AD110" i="72"/>
  <c r="AD230" i="72" s="1"/>
  <c r="H353" i="72"/>
  <c r="H473" i="72" s="1"/>
  <c r="X601" i="72"/>
  <c r="X721" i="72" s="1"/>
  <c r="K568" i="72" a="1"/>
  <c r="K568" i="72" s="1"/>
  <c r="K688" i="72" s="1"/>
  <c r="Q109" i="72"/>
  <c r="Q229" i="72" s="1"/>
  <c r="Z78" i="72" a="1"/>
  <c r="Z78" i="72" s="1"/>
  <c r="Z198" i="72" s="1"/>
  <c r="L320" i="72" a="1"/>
  <c r="L320" i="72" s="1"/>
  <c r="L440" i="72" s="1"/>
  <c r="V75" i="72" a="1"/>
  <c r="V75" i="72" s="1"/>
  <c r="V195" i="72" s="1"/>
  <c r="N106" i="72"/>
  <c r="N226" i="72" s="1"/>
  <c r="AD570" i="72" a="1"/>
  <c r="AD570" i="72" s="1"/>
  <c r="AD690" i="72" s="1"/>
  <c r="Z352" i="72"/>
  <c r="Z472" i="72" s="1"/>
  <c r="Q110" i="72"/>
  <c r="Q230" i="72" s="1"/>
  <c r="AE323" i="72" a="1"/>
  <c r="AE323" i="72" s="1"/>
  <c r="AE443" i="72" s="1"/>
  <c r="AD356" i="72"/>
  <c r="AD476" i="72" s="1"/>
  <c r="T568" i="72" a="1"/>
  <c r="T568" i="72" s="1"/>
  <c r="T688" i="72" s="1"/>
  <c r="AF109" i="72"/>
  <c r="AF229" i="72" s="1"/>
  <c r="T108" i="72"/>
  <c r="T228" i="72" s="1"/>
  <c r="V329" i="72"/>
  <c r="V449" i="72" s="1"/>
  <c r="N75" i="72" a="1"/>
  <c r="N75" i="72" s="1"/>
  <c r="N195" i="72" s="1"/>
  <c r="I76" i="72" a="1"/>
  <c r="I76" i="72" s="1"/>
  <c r="I196" i="72" s="1"/>
  <c r="AB601" i="72"/>
  <c r="AB721" i="72" s="1"/>
  <c r="AG569" i="72" a="1"/>
  <c r="AG569" i="72" s="1"/>
  <c r="AG689" i="72" s="1"/>
  <c r="AF595" i="72"/>
  <c r="AF715" i="72" s="1"/>
  <c r="S110" i="72"/>
  <c r="S230" i="72" s="1"/>
  <c r="R596" i="72"/>
  <c r="R716" i="72" s="1"/>
  <c r="J598" i="72"/>
  <c r="J718" i="72" s="1"/>
  <c r="P109" i="72"/>
  <c r="P229" i="72" s="1"/>
  <c r="U110" i="72"/>
  <c r="U230" i="72" s="1"/>
  <c r="K350" i="72"/>
  <c r="K470" i="72" s="1"/>
  <c r="AB574" i="72"/>
  <c r="AB694" i="72" s="1"/>
  <c r="AC76" i="72" a="1"/>
  <c r="AC76" i="72" s="1"/>
  <c r="AC196" i="72" s="1"/>
  <c r="S570" i="72" a="1"/>
  <c r="S570" i="72" s="1"/>
  <c r="S690" i="72" s="1"/>
  <c r="AD74" i="72" a="1"/>
  <c r="AD74" i="72" s="1"/>
  <c r="AD194" i="72" s="1"/>
  <c r="P595" i="72"/>
  <c r="P715" i="72" s="1"/>
  <c r="T321" i="72" a="1"/>
  <c r="T321" i="72" s="1"/>
  <c r="T441" i="72" s="1"/>
  <c r="O74" i="72" a="1"/>
  <c r="O74" i="72" s="1"/>
  <c r="O194" i="72" s="1"/>
  <c r="AF322" i="72" a="1"/>
  <c r="AF322" i="72" s="1"/>
  <c r="AF442" i="72" s="1"/>
  <c r="N299" i="72" a="1"/>
  <c r="N299" i="72" s="1"/>
  <c r="N419" i="72" s="1"/>
  <c r="U77" i="72" a="1"/>
  <c r="U77" i="72" s="1"/>
  <c r="U197" i="72" s="1"/>
  <c r="H106" i="72"/>
  <c r="H226" i="72" s="1"/>
  <c r="M600" i="72"/>
  <c r="M720" i="72" s="1"/>
  <c r="AF569" i="72" a="1"/>
  <c r="AF569" i="72" s="1"/>
  <c r="AF689" i="72" s="1"/>
  <c r="N323" i="72" a="1"/>
  <c r="N323" i="72" s="1"/>
  <c r="N443" i="72" s="1"/>
  <c r="N104" i="72"/>
  <c r="N224" i="72" s="1"/>
  <c r="U601" i="72"/>
  <c r="U721" i="72" s="1"/>
  <c r="AE109" i="72"/>
  <c r="AE229" i="72" s="1"/>
  <c r="Q108" i="72"/>
  <c r="Q228" i="72" s="1"/>
  <c r="J350" i="72"/>
  <c r="J470" i="72" s="1"/>
  <c r="AE558" i="72" a="1"/>
  <c r="AE558" i="72" s="1"/>
  <c r="AE678" i="72" s="1"/>
  <c r="W106" i="72"/>
  <c r="W226" i="72" s="1"/>
  <c r="AA354" i="72"/>
  <c r="AA474" i="72" s="1"/>
  <c r="P568" i="72" a="1"/>
  <c r="P568" i="72" s="1"/>
  <c r="P688" i="72" s="1"/>
  <c r="N597" i="72"/>
  <c r="N717" i="72" s="1"/>
  <c r="Z105" i="72"/>
  <c r="Z225" i="72" s="1"/>
  <c r="Z255" i="72" s="1"/>
  <c r="AA52" i="68" s="1"/>
  <c r="N565" i="72" a="1"/>
  <c r="N565" i="72" s="1"/>
  <c r="N685" i="72" s="1"/>
  <c r="N745" i="72" s="1"/>
  <c r="P350" i="72"/>
  <c r="P470" i="72" s="1"/>
  <c r="S299" i="72" a="1"/>
  <c r="S299" i="72" s="1"/>
  <c r="S419" i="72" s="1"/>
  <c r="AE321" i="72" a="1"/>
  <c r="AE321" i="72" s="1"/>
  <c r="AE441" i="72" s="1"/>
  <c r="AB595" i="72"/>
  <c r="AB715" i="72" s="1"/>
  <c r="V109" i="72"/>
  <c r="V229" i="72" s="1"/>
  <c r="X105" i="72"/>
  <c r="X225" i="72" s="1"/>
  <c r="M324" i="72" a="1"/>
  <c r="M324" i="72" s="1"/>
  <c r="M444" i="72" s="1"/>
  <c r="M504" i="72" s="1"/>
  <c r="K74" i="72" a="1"/>
  <c r="K74" i="72" s="1"/>
  <c r="K194" i="72" s="1"/>
  <c r="AE76" i="72" a="1"/>
  <c r="AE76" i="72" s="1"/>
  <c r="AE196" i="72" s="1"/>
  <c r="AE256" i="72" s="1"/>
  <c r="AF53" i="68" s="1"/>
  <c r="AA567" i="72" a="1"/>
  <c r="AA567" i="72" s="1"/>
  <c r="AA687" i="72" s="1"/>
  <c r="AA747" i="72" s="1"/>
  <c r="AF77" i="72" a="1"/>
  <c r="AF77" i="72" s="1"/>
  <c r="AF197" i="72" s="1"/>
  <c r="H355" i="72"/>
  <c r="H475" i="72" s="1"/>
  <c r="I321" i="72" a="1"/>
  <c r="I321" i="72" s="1"/>
  <c r="I441" i="72" s="1"/>
  <c r="I501" i="72" s="1"/>
  <c r="N322" i="72" a="1"/>
  <c r="N322" i="72" s="1"/>
  <c r="N442" i="72" s="1"/>
  <c r="N502" i="72" s="1"/>
  <c r="K75" i="72" a="1"/>
  <c r="K75" i="72" s="1"/>
  <c r="K195" i="72" s="1"/>
  <c r="AE595" i="72"/>
  <c r="AE715" i="72" s="1"/>
  <c r="AE571" i="72" a="1"/>
  <c r="AE571" i="72" s="1"/>
  <c r="AE691" i="72" s="1"/>
  <c r="U568" i="72" a="1"/>
  <c r="U568" i="72" s="1"/>
  <c r="U688" i="72" s="1"/>
  <c r="AG79" i="72" a="1"/>
  <c r="AG79" i="72" s="1"/>
  <c r="AG199" i="72" s="1"/>
  <c r="AB320" i="72" a="1"/>
  <c r="AB320" i="72" s="1"/>
  <c r="AB440" i="72" s="1"/>
  <c r="Z76" i="72" a="1"/>
  <c r="Z76" i="72" s="1"/>
  <c r="Z196" i="72" s="1"/>
  <c r="V570" i="72" a="1"/>
  <c r="V570" i="72" s="1"/>
  <c r="V690" i="72" s="1"/>
  <c r="AC77" i="72" a="1"/>
  <c r="AC77" i="72" s="1"/>
  <c r="AC197" i="72" s="1"/>
  <c r="AD80" i="72" a="1"/>
  <c r="AD80" i="72" s="1"/>
  <c r="AD200" i="72" s="1"/>
  <c r="AC588" i="72"/>
  <c r="AC708" i="72" s="1"/>
  <c r="T596" i="72"/>
  <c r="T716" i="72" s="1"/>
  <c r="K598" i="72"/>
  <c r="K718" i="72" s="1"/>
  <c r="M352" i="72"/>
  <c r="M472" i="72" s="1"/>
  <c r="AE329" i="72"/>
  <c r="AE449" i="72" s="1"/>
  <c r="P77" i="72" a="1"/>
  <c r="P77" i="72" s="1"/>
  <c r="P197" i="72" s="1"/>
  <c r="AC574" i="72"/>
  <c r="AC694" i="72" s="1"/>
  <c r="N76" i="72" a="1"/>
  <c r="N76" i="72" s="1"/>
  <c r="N196" i="72" s="1"/>
  <c r="AD600" i="72"/>
  <c r="AD720" i="72" s="1"/>
  <c r="Z322" i="72" a="1"/>
  <c r="Z322" i="72" s="1"/>
  <c r="Z442" i="72" s="1"/>
  <c r="Y597" i="72"/>
  <c r="Y717" i="72" s="1"/>
  <c r="W353" i="72"/>
  <c r="W473" i="72" s="1"/>
  <c r="S596" i="72"/>
  <c r="S716" i="72" s="1"/>
  <c r="Z598" i="72"/>
  <c r="Z718" i="72" s="1"/>
  <c r="AF79" i="72" a="1"/>
  <c r="AF79" i="72" s="1"/>
  <c r="AF199" i="72" s="1"/>
  <c r="T78" i="72" a="1"/>
  <c r="T78" i="72" s="1"/>
  <c r="T198" i="72" s="1"/>
  <c r="N105" i="72"/>
  <c r="N225" i="72" s="1"/>
  <c r="AG76" i="72" a="1"/>
  <c r="AG76" i="72" s="1"/>
  <c r="AG196" i="72" s="1"/>
  <c r="N600" i="72"/>
  <c r="N720" i="72" s="1"/>
  <c r="Y350" i="72"/>
  <c r="Y470" i="72" s="1"/>
  <c r="AF565" i="72" a="1"/>
  <c r="AF565" i="72" s="1"/>
  <c r="AF685" i="72" s="1"/>
  <c r="S80" i="72" a="1"/>
  <c r="S80" i="72" s="1"/>
  <c r="S200" i="72" s="1"/>
  <c r="R566" i="72" a="1"/>
  <c r="R566" i="72" s="1"/>
  <c r="R686" i="72" s="1"/>
  <c r="J568" i="72" a="1"/>
  <c r="J568" i="72" s="1"/>
  <c r="J688" i="72" s="1"/>
  <c r="W601" i="72"/>
  <c r="W721" i="72" s="1"/>
  <c r="S78" i="72" a="1"/>
  <c r="S78" i="72" s="1"/>
  <c r="S198" i="72" s="1"/>
  <c r="K320" i="72" a="1"/>
  <c r="K320" i="72" s="1"/>
  <c r="K440" i="72" s="1"/>
  <c r="AC355" i="72"/>
  <c r="AC475" i="72" s="1"/>
  <c r="AG354" i="72"/>
  <c r="AG474" i="72" s="1"/>
  <c r="M571" i="72" a="1"/>
  <c r="M571" i="72" s="1"/>
  <c r="M691" i="72" s="1"/>
  <c r="X595" i="72"/>
  <c r="X715" i="72" s="1"/>
  <c r="K351" i="72"/>
  <c r="K471" i="72" s="1"/>
  <c r="U74" i="72" a="1"/>
  <c r="U74" i="72" s="1"/>
  <c r="U194" i="72" s="1"/>
  <c r="K83" i="72"/>
  <c r="K203" i="72" s="1"/>
  <c r="AF352" i="72"/>
  <c r="AF472" i="72" s="1"/>
  <c r="S350" i="72"/>
  <c r="S470" i="72" s="1"/>
  <c r="M105" i="72"/>
  <c r="M225" i="72" s="1"/>
  <c r="H76" i="72" a="1"/>
  <c r="H76" i="72" s="1"/>
  <c r="H196" i="72" s="1"/>
  <c r="M570" i="72" a="1"/>
  <c r="M570" i="72" s="1"/>
  <c r="M690" i="72" s="1"/>
  <c r="AF599" i="72"/>
  <c r="AF719" i="72" s="1"/>
  <c r="N353" i="72"/>
  <c r="N473" i="72" s="1"/>
  <c r="N74" i="72" a="1"/>
  <c r="N74" i="72" s="1"/>
  <c r="N194" i="72" s="1"/>
  <c r="U571" i="72" a="1"/>
  <c r="U571" i="72" s="1"/>
  <c r="U691" i="72" s="1"/>
  <c r="AF326" i="72" a="1"/>
  <c r="AF326" i="72" s="1"/>
  <c r="AF446" i="72" s="1"/>
  <c r="I108" i="72"/>
  <c r="I228" i="72" s="1"/>
  <c r="J320" i="72" a="1"/>
  <c r="J320" i="72" s="1"/>
  <c r="J440" i="72" s="1"/>
  <c r="AE588" i="72"/>
  <c r="AE708" i="72" s="1"/>
  <c r="W76" i="72" a="1"/>
  <c r="W76" i="72" s="1"/>
  <c r="W196" i="72" s="1"/>
  <c r="AA324" i="72" a="1"/>
  <c r="AA324" i="72" s="1"/>
  <c r="AA444" i="72" s="1"/>
  <c r="AB323" i="72" a="1"/>
  <c r="AB323" i="72" s="1"/>
  <c r="AB443" i="72" s="1"/>
  <c r="O596" i="72"/>
  <c r="O716" i="72" s="1"/>
  <c r="J75" i="72" a="1"/>
  <c r="J75" i="72" s="1"/>
  <c r="J195" i="72" s="1"/>
  <c r="M567" i="72" a="1"/>
  <c r="M567" i="72" s="1"/>
  <c r="M687" i="72" s="1"/>
  <c r="Z104" i="72"/>
  <c r="Z224" i="72" s="1"/>
  <c r="R105" i="72"/>
  <c r="R225" i="72" s="1"/>
  <c r="S353" i="72"/>
  <c r="S473" i="72" s="1"/>
  <c r="AE352" i="72"/>
  <c r="AE472" i="72" s="1"/>
  <c r="P574" i="72"/>
  <c r="P694" i="72" s="1"/>
  <c r="AA356" i="72"/>
  <c r="AA476" i="72" s="1"/>
  <c r="P74" i="72" a="1"/>
  <c r="P74" i="72" s="1"/>
  <c r="P194" i="72" s="1"/>
  <c r="P254" i="72" s="1"/>
  <c r="Q51" i="68" s="1"/>
  <c r="Q355" i="72"/>
  <c r="Q475" i="72" s="1"/>
  <c r="AG323" i="72" a="1"/>
  <c r="AG323" i="72" s="1"/>
  <c r="AG443" i="72" s="1"/>
  <c r="S79" i="72" a="1"/>
  <c r="S79" i="72" s="1"/>
  <c r="S199" i="72" s="1"/>
  <c r="I107" i="72"/>
  <c r="I227" i="72" s="1"/>
  <c r="AE600" i="72"/>
  <c r="AE720" i="72" s="1"/>
  <c r="AC351" i="72"/>
  <c r="AC471" i="72" s="1"/>
  <c r="AA108" i="72"/>
  <c r="AA228" i="72" s="1"/>
  <c r="AE565" i="72" a="1"/>
  <c r="AE565" i="72" s="1"/>
  <c r="AE685" i="72" s="1"/>
  <c r="AG356" i="72"/>
  <c r="AG476" i="72" s="1"/>
  <c r="AA568" i="72" a="1"/>
  <c r="AA568" i="72" s="1"/>
  <c r="AA688" i="72" s="1"/>
  <c r="AC322" i="72" a="1"/>
  <c r="AC322" i="72" s="1"/>
  <c r="AC442" i="72" s="1"/>
  <c r="Q77" i="72" a="1"/>
  <c r="Q77" i="72" s="1"/>
  <c r="Q197" i="72" s="1"/>
  <c r="AD106" i="72"/>
  <c r="AD226" i="72" s="1"/>
  <c r="V600" i="72"/>
  <c r="V720" i="72" s="1"/>
  <c r="L600" i="72"/>
  <c r="L720" i="72" s="1"/>
  <c r="J597" i="72"/>
  <c r="J717" i="72" s="1"/>
  <c r="AC558" i="72" a="1"/>
  <c r="AC558" i="72" s="1"/>
  <c r="AC678" i="72" s="1"/>
  <c r="K596" i="72"/>
  <c r="K716" i="72" s="1"/>
  <c r="AB53" i="72" a="1"/>
  <c r="AB53" i="72" s="1"/>
  <c r="AB173" i="72" s="1"/>
  <c r="M322" i="72" a="1"/>
  <c r="M322" i="72" s="1"/>
  <c r="M442" i="72" s="1"/>
  <c r="P107" i="72"/>
  <c r="P227" i="72" s="1"/>
  <c r="Z356" i="72"/>
  <c r="Z476" i="72" s="1"/>
  <c r="U600" i="72"/>
  <c r="U720" i="72" s="1"/>
  <c r="Y567" i="72" a="1"/>
  <c r="Y567" i="72" s="1"/>
  <c r="Y687" i="72" s="1"/>
  <c r="W323" i="72" a="1"/>
  <c r="W323" i="72" s="1"/>
  <c r="W443" i="72" s="1"/>
  <c r="S566" i="72" a="1"/>
  <c r="S566" i="72" s="1"/>
  <c r="S686" i="72" s="1"/>
  <c r="Z568" i="72" a="1"/>
  <c r="Z568" i="72" s="1"/>
  <c r="Z688" i="72" s="1"/>
  <c r="AB352" i="72"/>
  <c r="AB472" i="72" s="1"/>
  <c r="J108" i="72"/>
  <c r="J228" i="72" s="1"/>
  <c r="AA350" i="72"/>
  <c r="AA470" i="72" s="1"/>
  <c r="M574" i="72"/>
  <c r="M694" i="72" s="1"/>
  <c r="AG106" i="72"/>
  <c r="AG226" i="72" s="1"/>
  <c r="N570" i="72" a="1"/>
  <c r="N570" i="72" s="1"/>
  <c r="N690" i="72" s="1"/>
  <c r="Y320" i="72" a="1"/>
  <c r="Y320" i="72" s="1"/>
  <c r="Y440" i="72" s="1"/>
  <c r="I565" i="72" a="1"/>
  <c r="I565" i="72" s="1"/>
  <c r="I685" i="72" s="1"/>
  <c r="U351" i="72"/>
  <c r="U471" i="72" s="1"/>
  <c r="J566" i="72" a="1"/>
  <c r="J566" i="72" s="1"/>
  <c r="J686" i="72" s="1"/>
  <c r="AA53" i="72" a="1"/>
  <c r="AA53" i="72" s="1"/>
  <c r="AA173" i="72" s="1"/>
  <c r="W571" i="72" a="1"/>
  <c r="W571" i="72" s="1"/>
  <c r="W691" i="72" s="1"/>
  <c r="S108" i="72"/>
  <c r="S228" i="72" s="1"/>
  <c r="O107" i="72"/>
  <c r="O227" i="72" s="1"/>
  <c r="AB544" i="72" a="1"/>
  <c r="AB544" i="72" s="1"/>
  <c r="AB664" i="72" s="1"/>
  <c r="AC325" i="72" a="1"/>
  <c r="AC325" i="72" s="1"/>
  <c r="AC445" i="72" s="1"/>
  <c r="AG324" i="72" a="1"/>
  <c r="AG324" i="72" s="1"/>
  <c r="AG444" i="72" s="1"/>
  <c r="M601" i="72"/>
  <c r="M721" i="72" s="1"/>
  <c r="X565" i="72" a="1"/>
  <c r="X565" i="72" s="1"/>
  <c r="X685" i="72" s="1"/>
  <c r="K321" i="72" a="1"/>
  <c r="K321" i="72" s="1"/>
  <c r="K441" i="72" s="1"/>
  <c r="U104" i="72"/>
  <c r="U224" i="72" s="1"/>
  <c r="AC79" i="72" a="1"/>
  <c r="AC79" i="72" s="1"/>
  <c r="AC199" i="72" s="1"/>
  <c r="AG78" i="72" a="1"/>
  <c r="AG78" i="72" s="1"/>
  <c r="AG198" i="72" s="1"/>
  <c r="S320" i="72" a="1"/>
  <c r="S320" i="72" s="1"/>
  <c r="S440" i="72" s="1"/>
  <c r="M75" i="72" a="1"/>
  <c r="M75" i="72" s="1"/>
  <c r="M195" i="72" s="1"/>
  <c r="M106" i="72"/>
  <c r="M226" i="72" s="1"/>
  <c r="R600" i="72"/>
  <c r="R720" i="72" s="1"/>
  <c r="AC353" i="72"/>
  <c r="AC473" i="72" s="1"/>
  <c r="H597" i="72"/>
  <c r="H717" i="72" s="1"/>
  <c r="S351" i="72"/>
  <c r="S471" i="72" s="1"/>
  <c r="T74" i="72" a="1"/>
  <c r="T74" i="72" s="1"/>
  <c r="T194" i="72" s="1"/>
  <c r="Z83" i="72"/>
  <c r="Z203" i="72" s="1"/>
  <c r="AF356" i="72"/>
  <c r="AF476" i="72" s="1"/>
  <c r="I78" i="72" a="1"/>
  <c r="I78" i="72" s="1"/>
  <c r="I198" i="72" s="1"/>
  <c r="N107" i="72"/>
  <c r="N227" i="72" s="1"/>
  <c r="U574" i="72"/>
  <c r="U694" i="72" s="1"/>
  <c r="AB76" i="72" a="1"/>
  <c r="AB76" i="72" s="1"/>
  <c r="AB196" i="72" s="1"/>
  <c r="AF354" i="72"/>
  <c r="AF474" i="72" s="1"/>
  <c r="T76" i="72" a="1"/>
  <c r="T76" i="72" s="1"/>
  <c r="T196" i="72" s="1"/>
  <c r="R74" i="72" a="1"/>
  <c r="R74" i="72" s="1"/>
  <c r="R194" i="72" s="1"/>
  <c r="V568" i="72" a="1"/>
  <c r="V568" i="72" s="1"/>
  <c r="V688" i="72" s="1"/>
  <c r="AA353" i="72"/>
  <c r="AA473" i="72" s="1"/>
  <c r="K77" i="72" a="1"/>
  <c r="K77" i="72" s="1"/>
  <c r="K197" i="72" s="1"/>
  <c r="H596" i="72"/>
  <c r="H716" i="72" s="1"/>
  <c r="R108" i="72"/>
  <c r="R228" i="72" s="1"/>
  <c r="AE567" i="72" a="1"/>
  <c r="AE567" i="72" s="1"/>
  <c r="AE687" i="72" s="1"/>
  <c r="AB80" i="72" a="1"/>
  <c r="AB80" i="72" s="1"/>
  <c r="AB200" i="72" s="1"/>
  <c r="AF570" i="72" a="1"/>
  <c r="AF570" i="72" s="1"/>
  <c r="AF690" i="72" s="1"/>
  <c r="Y353" i="72"/>
  <c r="Y473" i="72" s="1"/>
  <c r="O322" i="72" a="1"/>
  <c r="O322" i="72" s="1"/>
  <c r="O442" i="72" s="1"/>
  <c r="L110" i="72"/>
  <c r="L230" i="72" s="1"/>
  <c r="L354" i="72"/>
  <c r="L474" i="72" s="1"/>
  <c r="L566" i="72" a="1"/>
  <c r="L566" i="72" s="1"/>
  <c r="L686" i="72" s="1"/>
  <c r="AF329" i="72"/>
  <c r="AF449" i="72" s="1"/>
  <c r="V356" i="72"/>
  <c r="V476" i="72" s="1"/>
  <c r="H321" i="72" a="1"/>
  <c r="H321" i="72" s="1"/>
  <c r="H441" i="72" s="1"/>
  <c r="N110" i="72"/>
  <c r="N230" i="72" s="1"/>
  <c r="S352" i="72"/>
  <c r="S472" i="72" s="1"/>
  <c r="X77" i="72" a="1"/>
  <c r="X77" i="72" s="1"/>
  <c r="X197" i="72" s="1"/>
  <c r="V601" i="72"/>
  <c r="V721" i="72" s="1"/>
  <c r="T324" i="72" a="1"/>
  <c r="T324" i="72" s="1"/>
  <c r="T444" i="72" s="1"/>
  <c r="L570" i="72" a="1"/>
  <c r="L570" i="72" s="1"/>
  <c r="L690" i="72" s="1"/>
  <c r="AG595" i="72"/>
  <c r="AG715" i="72" s="1"/>
  <c r="W351" i="72"/>
  <c r="W471" i="72" s="1"/>
  <c r="K566" i="72" a="1"/>
  <c r="K566" i="72" s="1"/>
  <c r="K686" i="72" s="1"/>
  <c r="AB83" i="72"/>
  <c r="AB203" i="72" s="1"/>
  <c r="R352" i="72"/>
  <c r="R472" i="72" s="1"/>
  <c r="AE299" i="72" a="1"/>
  <c r="AE299" i="72" s="1"/>
  <c r="AE419" i="72" s="1"/>
  <c r="H77" i="72" a="1"/>
  <c r="H77" i="72" s="1"/>
  <c r="H197" i="72" s="1"/>
  <c r="AC544" i="72" a="1"/>
  <c r="AC544" i="72" s="1"/>
  <c r="AC664" i="72" s="1"/>
  <c r="Z326" i="72" a="1"/>
  <c r="Z326" i="72" s="1"/>
  <c r="Z446" i="72" s="1"/>
  <c r="U570" i="72" a="1"/>
  <c r="U570" i="72" s="1"/>
  <c r="U690" i="72" s="1"/>
  <c r="Q595" i="72"/>
  <c r="Q715" i="72" s="1"/>
  <c r="V321" i="72" a="1"/>
  <c r="V321" i="72" s="1"/>
  <c r="V441" i="72" s="1"/>
  <c r="Z596" i="72"/>
  <c r="Z716" i="72" s="1"/>
  <c r="L83" i="72"/>
  <c r="L203" i="72" s="1"/>
  <c r="AB322" i="72" a="1"/>
  <c r="AB322" i="72" s="1"/>
  <c r="AB442" i="72" s="1"/>
  <c r="J78" i="72" a="1"/>
  <c r="J78" i="72" s="1"/>
  <c r="J198" i="72" s="1"/>
  <c r="AA320" i="72" a="1"/>
  <c r="AA320" i="72" s="1"/>
  <c r="AA440" i="72" s="1"/>
  <c r="M544" i="72" a="1"/>
  <c r="M544" i="72" s="1"/>
  <c r="M664" i="72" s="1"/>
  <c r="N355" i="72"/>
  <c r="N475" i="72" s="1"/>
  <c r="T600" i="72"/>
  <c r="T720" i="72" s="1"/>
  <c r="I595" i="72"/>
  <c r="I715" i="72" s="1"/>
  <c r="U321" i="72" a="1"/>
  <c r="U321" i="72" s="1"/>
  <c r="U441" i="72" s="1"/>
  <c r="J596" i="72"/>
  <c r="J716" i="72" s="1"/>
  <c r="AA83" i="72"/>
  <c r="AA203" i="72" s="1"/>
  <c r="L352" i="72"/>
  <c r="L472" i="72" s="1"/>
  <c r="AD78" i="72" a="1"/>
  <c r="AD78" i="72" s="1"/>
  <c r="AD198" i="72" s="1"/>
  <c r="O77" i="72" a="1"/>
  <c r="O77" i="72" s="1"/>
  <c r="O197" i="72" s="1"/>
  <c r="P110" i="72"/>
  <c r="P230" i="72" s="1"/>
  <c r="S355" i="72"/>
  <c r="S475" i="72" s="1"/>
  <c r="K571" i="72" a="1"/>
  <c r="K571" i="72" s="1"/>
  <c r="K691" i="72" s="1"/>
  <c r="AD323" i="72" a="1"/>
  <c r="AD323" i="72" s="1"/>
  <c r="AD443" i="72" s="1"/>
  <c r="Z557" i="72" a="1"/>
  <c r="Z557" i="72" s="1"/>
  <c r="Z677" i="72" s="1"/>
  <c r="AG568" i="72" a="1"/>
  <c r="AG568" i="72" s="1"/>
  <c r="AG688" i="72" s="1"/>
  <c r="AC109" i="72"/>
  <c r="AC229" i="72" s="1"/>
  <c r="AG108" i="72"/>
  <c r="AG228" i="72" s="1"/>
  <c r="Z350" i="72"/>
  <c r="Z470" i="72" s="1"/>
  <c r="L326" i="72" a="1"/>
  <c r="L326" i="72" s="1"/>
  <c r="L446" i="72" s="1"/>
  <c r="M76" i="72" a="1"/>
  <c r="M76" i="72" s="1"/>
  <c r="M196" i="72" s="1"/>
  <c r="R570" i="72" a="1"/>
  <c r="R570" i="72" s="1"/>
  <c r="R690" i="72" s="1"/>
  <c r="AC323" i="72" a="1"/>
  <c r="AC323" i="72" s="1"/>
  <c r="AC443" i="72" s="1"/>
  <c r="H567" i="72" a="1"/>
  <c r="H567" i="72" s="1"/>
  <c r="H687" i="72" s="1"/>
  <c r="S321" i="72" a="1"/>
  <c r="S321" i="72" s="1"/>
  <c r="S441" i="72" s="1"/>
  <c r="T104" i="72"/>
  <c r="T224" i="72" s="1"/>
  <c r="Z53" i="72" a="1"/>
  <c r="Z53" i="72" s="1"/>
  <c r="Z173" i="72" s="1"/>
  <c r="K352" i="72"/>
  <c r="K472" i="72" s="1"/>
  <c r="AC329" i="72"/>
  <c r="AC449" i="72" s="1"/>
  <c r="N77" i="72" a="1"/>
  <c r="N77" i="72" s="1"/>
  <c r="N197" i="72" s="1"/>
  <c r="U544" i="72" a="1"/>
  <c r="U544" i="72" s="1"/>
  <c r="U664" i="72" s="1"/>
  <c r="AB106" i="72"/>
  <c r="AB226" i="72" s="1"/>
  <c r="AF324" i="72" a="1"/>
  <c r="AF324" i="72" s="1"/>
  <c r="AF444" i="72" s="1"/>
  <c r="U352" i="72"/>
  <c r="U472" i="72" s="1"/>
  <c r="M351" i="72"/>
  <c r="M471" i="72" s="1"/>
  <c r="R322" i="72" a="1"/>
  <c r="R322" i="72" s="1"/>
  <c r="R442" i="72" s="1"/>
  <c r="S354" i="72"/>
  <c r="S474" i="72" s="1"/>
  <c r="T570" i="72" a="1"/>
  <c r="T570" i="72" s="1"/>
  <c r="T690" i="72" s="1"/>
  <c r="L322" i="72" a="1"/>
  <c r="L322" i="72" s="1"/>
  <c r="L442" i="72" s="1"/>
  <c r="R565" i="72" a="1"/>
  <c r="R565" i="72" s="1"/>
  <c r="R685" i="72" s="1"/>
  <c r="AA600" i="72"/>
  <c r="AA720" i="72" s="1"/>
  <c r="AC596" i="72"/>
  <c r="AC716" i="72" s="1"/>
  <c r="S74" i="72" a="1"/>
  <c r="S74" i="72" s="1"/>
  <c r="S194" i="72" s="1"/>
  <c r="L571" i="72" a="1"/>
  <c r="L571" i="72" s="1"/>
  <c r="L691" i="72" s="1"/>
  <c r="V571" i="72" a="1"/>
  <c r="V571" i="72" s="1"/>
  <c r="V691" i="72" s="1"/>
  <c r="AG352" i="72"/>
  <c r="AG472" i="72" s="1"/>
  <c r="AD108" i="72"/>
  <c r="AD228" i="72" s="1"/>
  <c r="Z320" i="72" a="1"/>
  <c r="Z320" i="72" s="1"/>
  <c r="Z440" i="72" s="1"/>
  <c r="Z321" i="72" a="1"/>
  <c r="Z321" i="72" s="1"/>
  <c r="Z441" i="72" s="1"/>
  <c r="AB355" i="72"/>
  <c r="AB475" i="72" s="1"/>
  <c r="AF601" i="72"/>
  <c r="AF721" i="72" s="1"/>
  <c r="X570" i="72" a="1"/>
  <c r="X570" i="72" s="1"/>
  <c r="X690" i="72" s="1"/>
  <c r="S599" i="72"/>
  <c r="S719" i="72" s="1"/>
  <c r="W329" i="72"/>
  <c r="W449" i="72" s="1"/>
  <c r="O329" i="72"/>
  <c r="O449" i="72" s="1"/>
  <c r="AD353" i="72"/>
  <c r="AD473" i="72" s="1"/>
  <c r="L356" i="72"/>
  <c r="L476" i="72" s="1"/>
  <c r="Q568" i="72" a="1"/>
  <c r="Q568" i="72" s="1"/>
  <c r="Q688" i="72" s="1"/>
  <c r="AA599" i="72"/>
  <c r="AA719" i="72" s="1"/>
  <c r="Y77" i="72" a="1"/>
  <c r="Y77" i="72" s="1"/>
  <c r="Y197" i="72" s="1"/>
  <c r="N325" i="72" a="1"/>
  <c r="N325" i="72" s="1"/>
  <c r="N445" i="72" s="1"/>
  <c r="AB104" i="72"/>
  <c r="AB224" i="72" s="1"/>
  <c r="AB254" i="72" s="1"/>
  <c r="AC51" i="68" s="1"/>
  <c r="AE83" i="72"/>
  <c r="AE203" i="72" s="1"/>
  <c r="U53" i="72" a="1"/>
  <c r="U53" i="72" s="1"/>
  <c r="U173" i="72" s="1"/>
  <c r="U233" i="72" s="1"/>
  <c r="V30" i="68" s="1"/>
  <c r="O574" i="72"/>
  <c r="O694" i="72" s="1"/>
  <c r="V107" i="72"/>
  <c r="V227" i="72" s="1"/>
  <c r="Z587" i="72"/>
  <c r="Z707" i="72" s="1"/>
  <c r="R329" i="72"/>
  <c r="R449" i="72" s="1"/>
  <c r="V78" i="72" a="1"/>
  <c r="V78" i="72" s="1"/>
  <c r="V198" i="72" s="1"/>
  <c r="AG565" i="72" a="1"/>
  <c r="AG565" i="72" s="1"/>
  <c r="AG685" i="72" s="1"/>
  <c r="H107" i="72"/>
  <c r="H227" i="72" s="1"/>
  <c r="Q565" i="72" a="1"/>
  <c r="Q565" i="72" s="1"/>
  <c r="Q685" i="72" s="1"/>
  <c r="O353" i="72"/>
  <c r="O473" i="72" s="1"/>
  <c r="AG598" i="72"/>
  <c r="AG718" i="72" s="1"/>
  <c r="M355" i="72"/>
  <c r="M475" i="72" s="1"/>
  <c r="K322" i="72" a="1"/>
  <c r="K322" i="72" s="1"/>
  <c r="K442" i="72" s="1"/>
  <c r="K502" i="72" s="1"/>
  <c r="I74" i="72" a="1"/>
  <c r="I74" i="72" s="1"/>
  <c r="I194" i="72" s="1"/>
  <c r="Y53" i="72" a="1"/>
  <c r="Y53" i="72" s="1"/>
  <c r="Y173" i="72" s="1"/>
  <c r="N321" i="72" a="1"/>
  <c r="N321" i="72" s="1"/>
  <c r="N441" i="72" s="1"/>
  <c r="N501" i="72" s="1"/>
  <c r="V326" i="72" a="1"/>
  <c r="V326" i="72" s="1"/>
  <c r="V446" i="72" s="1"/>
  <c r="V506" i="72" s="1"/>
  <c r="AB351" i="72"/>
  <c r="AB471" i="72" s="1"/>
  <c r="V351" i="72"/>
  <c r="V471" i="72" s="1"/>
  <c r="AE107" i="72"/>
  <c r="AE227" i="72" s="1"/>
  <c r="AA351" i="72"/>
  <c r="AA471" i="72" s="1"/>
  <c r="P80" i="72" a="1"/>
  <c r="P80" i="72" s="1"/>
  <c r="P200" i="72" s="1"/>
  <c r="Q354" i="72"/>
  <c r="Q474" i="72" s="1"/>
  <c r="O105" i="72"/>
  <c r="O225" i="72" s="1"/>
  <c r="L53" i="72" a="1"/>
  <c r="L53" i="72" s="1"/>
  <c r="L173" i="72" s="1"/>
  <c r="Y108" i="72"/>
  <c r="Y228" i="72" s="1"/>
  <c r="U569" i="72" a="1"/>
  <c r="U569" i="72" s="1"/>
  <c r="U689" i="72" s="1"/>
  <c r="X74" i="72" a="1"/>
  <c r="X74" i="72" s="1"/>
  <c r="X194" i="72" s="1"/>
  <c r="Y80" i="72" a="1"/>
  <c r="Y80" i="72" s="1"/>
  <c r="Y200" i="72" s="1"/>
  <c r="Y260" i="72" s="1"/>
  <c r="Z57" i="68" s="1"/>
  <c r="Z566" i="72" a="1"/>
  <c r="Z566" i="72" s="1"/>
  <c r="Z686" i="72" s="1"/>
  <c r="V74" i="72" a="1"/>
  <c r="V74" i="72" s="1"/>
  <c r="V194" i="72" s="1"/>
  <c r="S325" i="72" a="1"/>
  <c r="S325" i="72" s="1"/>
  <c r="S445" i="72" s="1"/>
  <c r="X109" i="72"/>
  <c r="X229" i="72" s="1"/>
  <c r="T107" i="72"/>
  <c r="T227" i="72" s="1"/>
  <c r="Z597" i="72"/>
  <c r="Z717" i="72" s="1"/>
  <c r="AD355" i="72"/>
  <c r="AD475" i="72" s="1"/>
  <c r="K601" i="72"/>
  <c r="K721" i="72" s="1"/>
  <c r="F25" i="48"/>
  <c r="G25" i="48"/>
  <c r="AH905" i="18"/>
  <c r="F905" i="18" s="1"/>
  <c r="D282" i="48" s="1"/>
  <c r="D25" i="48"/>
  <c r="E25" i="48"/>
  <c r="AH908" i="18"/>
  <c r="F908" i="18" s="1"/>
  <c r="D285" i="48" s="1"/>
  <c r="AH907" i="18"/>
  <c r="F907" i="18" s="1"/>
  <c r="D284" i="48" s="1"/>
  <c r="AH906" i="18"/>
  <c r="F906" i="18" s="1"/>
  <c r="E22" i="1"/>
  <c r="E144" i="48"/>
  <c r="L233" i="72" l="1"/>
  <c r="M30" i="68" s="1"/>
  <c r="J479" i="72"/>
  <c r="V488" i="72"/>
  <c r="T483" i="72"/>
  <c r="AE729" i="72"/>
  <c r="AF653" i="68" s="1"/>
  <c r="U733" i="72"/>
  <c r="V657" i="68" s="1"/>
  <c r="Z730" i="72"/>
  <c r="AA654" i="68" s="1"/>
  <c r="J740" i="72"/>
  <c r="K664" i="68" s="1"/>
  <c r="AA502" i="72"/>
  <c r="AC255" i="72"/>
  <c r="AD52" i="68" s="1"/>
  <c r="Z484" i="72"/>
  <c r="AD739" i="72"/>
  <c r="N494" i="72"/>
  <c r="O354" i="68" s="1"/>
  <c r="M726" i="72"/>
  <c r="N650" i="68" s="1"/>
  <c r="K483" i="72"/>
  <c r="L343" i="68" s="1"/>
  <c r="AD484" i="72"/>
  <c r="AE344" i="68" s="1"/>
  <c r="L481" i="72"/>
  <c r="X742" i="72"/>
  <c r="Y239" i="72"/>
  <c r="Z36" i="68" s="1"/>
  <c r="K238" i="72"/>
  <c r="L35" i="68" s="1"/>
  <c r="H251" i="72"/>
  <c r="I48" i="68" s="1"/>
  <c r="I119" i="68" s="1"/>
  <c r="I210" i="68" s="1"/>
  <c r="I301" i="68" s="1"/>
  <c r="Q235" i="72"/>
  <c r="R32" i="68" s="1"/>
  <c r="R71" i="68" s="1"/>
  <c r="R162" i="68" s="1"/>
  <c r="R253" i="68" s="1"/>
  <c r="AB234" i="72"/>
  <c r="AC31" i="68" s="1"/>
  <c r="AC68" i="68" s="1"/>
  <c r="AC159" i="68" s="1"/>
  <c r="AC250" i="68" s="1"/>
  <c r="H740" i="72"/>
  <c r="I664" i="68" s="1"/>
  <c r="T729" i="72"/>
  <c r="W726" i="72"/>
  <c r="Q727" i="72"/>
  <c r="Y725" i="72"/>
  <c r="AE731" i="72"/>
  <c r="AF655" i="68" s="1"/>
  <c r="Y499" i="72"/>
  <c r="Z359" i="68" s="1"/>
  <c r="K724" i="72"/>
  <c r="L648" i="68" s="1"/>
  <c r="Q486" i="72"/>
  <c r="R346" i="68" s="1"/>
  <c r="H499" i="72"/>
  <c r="Q239" i="72"/>
  <c r="R36" i="68" s="1"/>
  <c r="AD243" i="72"/>
  <c r="AE40" i="68" s="1"/>
  <c r="H747" i="72"/>
  <c r="I671" i="68" s="1"/>
  <c r="Y500" i="72"/>
  <c r="Z360" i="68" s="1"/>
  <c r="O747" i="72"/>
  <c r="P671" i="68" s="1"/>
  <c r="AA260" i="72"/>
  <c r="AB57" i="68" s="1"/>
  <c r="P247" i="72"/>
  <c r="Q44" i="68" s="1"/>
  <c r="Q106" i="68" s="1"/>
  <c r="W244" i="72"/>
  <c r="X41" i="68" s="1"/>
  <c r="AF491" i="72"/>
  <c r="L732" i="72"/>
  <c r="S491" i="72"/>
  <c r="T351" i="68" s="1"/>
  <c r="L751" i="72"/>
  <c r="M675" i="68" s="1"/>
  <c r="N725" i="72"/>
  <c r="O649" i="68" s="1"/>
  <c r="I734" i="72"/>
  <c r="I798" i="72" s="1"/>
  <c r="J258" i="72"/>
  <c r="K55" i="68" s="1"/>
  <c r="K139" i="68" s="1"/>
  <c r="P479" i="72"/>
  <c r="U504" i="72"/>
  <c r="AE736" i="72"/>
  <c r="AF493" i="72"/>
  <c r="AG353" i="68" s="1"/>
  <c r="AE247" i="72"/>
  <c r="AF44" i="68" s="1"/>
  <c r="AF106" i="68" s="1"/>
  <c r="N486" i="72"/>
  <c r="O346" i="68" s="1"/>
  <c r="AC738" i="72"/>
  <c r="AD662" i="68" s="1"/>
  <c r="T238" i="72"/>
  <c r="U35" i="68" s="1"/>
  <c r="U80" i="68" s="1"/>
  <c r="U171" i="68" s="1"/>
  <c r="U262" i="68" s="1"/>
  <c r="U749" i="72"/>
  <c r="Y242" i="72"/>
  <c r="Z39" i="68" s="1"/>
  <c r="Z91" i="68" s="1"/>
  <c r="Q489" i="72"/>
  <c r="R349" i="68" s="1"/>
  <c r="R737" i="72"/>
  <c r="H260" i="72"/>
  <c r="I57" i="68" s="1"/>
  <c r="I146" i="68" s="1"/>
  <c r="AA732" i="72"/>
  <c r="K487" i="72"/>
  <c r="L347" i="68" s="1"/>
  <c r="AG246" i="72"/>
  <c r="AH43" i="68" s="1"/>
  <c r="AH104" i="68" s="1"/>
  <c r="AH195" i="68" s="1"/>
  <c r="AH286" i="68" s="1"/>
  <c r="AC246" i="72"/>
  <c r="AD43" i="68" s="1"/>
  <c r="AD103" i="68" s="1"/>
  <c r="O731" i="72"/>
  <c r="P655" i="68" s="1"/>
  <c r="AG737" i="72"/>
  <c r="K731" i="72"/>
  <c r="L655" i="68" s="1"/>
  <c r="K494" i="72"/>
  <c r="L354" i="68" s="1"/>
  <c r="N496" i="72"/>
  <c r="O356" i="68" s="1"/>
  <c r="AE724" i="72"/>
  <c r="K489" i="72"/>
  <c r="L349" i="68" s="1"/>
  <c r="AC740" i="72"/>
  <c r="AD664" i="68" s="1"/>
  <c r="Y728" i="72"/>
  <c r="Z652" i="68" s="1"/>
  <c r="R734" i="72"/>
  <c r="W480" i="72"/>
  <c r="X340" i="68" s="1"/>
  <c r="U252" i="72"/>
  <c r="V49" i="68" s="1"/>
  <c r="V121" i="68" s="1"/>
  <c r="AE243" i="72"/>
  <c r="AF40" i="68" s="1"/>
  <c r="AF94" i="68" s="1"/>
  <c r="Z737" i="72"/>
  <c r="AA661" i="68" s="1"/>
  <c r="AE747" i="72"/>
  <c r="AF671" i="68" s="1"/>
  <c r="W503" i="72"/>
  <c r="X363" i="68" s="1"/>
  <c r="O254" i="72"/>
  <c r="P51" i="68" s="1"/>
  <c r="P127" i="68" s="1"/>
  <c r="P218" i="68" s="1"/>
  <c r="K505" i="72"/>
  <c r="AA745" i="72"/>
  <c r="AB669" i="68" s="1"/>
  <c r="Q233" i="72"/>
  <c r="R30" i="68" s="1"/>
  <c r="R64" i="68" s="1"/>
  <c r="S257" i="72"/>
  <c r="T54" i="68" s="1"/>
  <c r="T137" i="68" s="1"/>
  <c r="T228" i="68" s="1"/>
  <c r="T319" i="68" s="1"/>
  <c r="M247" i="72"/>
  <c r="N44" i="68" s="1"/>
  <c r="N107" i="68" s="1"/>
  <c r="N198" i="68" s="1"/>
  <c r="N289" i="68" s="1"/>
  <c r="AB731" i="72"/>
  <c r="AC655" i="68" s="1"/>
  <c r="W491" i="72"/>
  <c r="X351" i="68" s="1"/>
  <c r="O735" i="72"/>
  <c r="P659" i="68" s="1"/>
  <c r="AE239" i="72"/>
  <c r="AF36" i="68" s="1"/>
  <c r="AE496" i="72"/>
  <c r="J236" i="72"/>
  <c r="K33" i="68" s="1"/>
  <c r="K74" i="68" s="1"/>
  <c r="K165" i="68" s="1"/>
  <c r="K256" i="68" s="1"/>
  <c r="AA483" i="72"/>
  <c r="AB343" i="68" s="1"/>
  <c r="L740" i="72"/>
  <c r="M664" i="68" s="1"/>
  <c r="V243" i="72"/>
  <c r="W40" i="68" s="1"/>
  <c r="W95" i="68" s="1"/>
  <c r="W186" i="68" s="1"/>
  <c r="W277" i="68" s="1"/>
  <c r="M489" i="72"/>
  <c r="O483" i="72"/>
  <c r="P343" i="68" s="1"/>
  <c r="AD494" i="72"/>
  <c r="U726" i="72"/>
  <c r="V650" i="68" s="1"/>
  <c r="L237" i="72"/>
  <c r="M34" i="68" s="1"/>
  <c r="M76" i="68" s="1"/>
  <c r="I253" i="72"/>
  <c r="J50" i="68" s="1"/>
  <c r="J124" i="68" s="1"/>
  <c r="AF740" i="72"/>
  <c r="AG664" i="68" s="1"/>
  <c r="AG498" i="72"/>
  <c r="AH358" i="68" s="1"/>
  <c r="I242" i="72"/>
  <c r="J39" i="68" s="1"/>
  <c r="J91" i="68" s="1"/>
  <c r="O499" i="72"/>
  <c r="P359" i="68" s="1"/>
  <c r="J239" i="72"/>
  <c r="K36" i="68" s="1"/>
  <c r="M243" i="72"/>
  <c r="N40" i="68" s="1"/>
  <c r="N95" i="68" s="1"/>
  <c r="N186" i="68" s="1"/>
  <c r="N277" i="68" s="1"/>
  <c r="W479" i="72"/>
  <c r="X339" i="68" s="1"/>
  <c r="X374" i="68" s="1"/>
  <c r="X465" i="68" s="1"/>
  <c r="X556" i="68" s="1"/>
  <c r="H745" i="72"/>
  <c r="I669" i="68" s="1"/>
  <c r="S487" i="72"/>
  <c r="S765" i="72" s="1"/>
  <c r="O241" i="72"/>
  <c r="P38" i="68" s="1"/>
  <c r="P88" i="68" s="1"/>
  <c r="N488" i="72"/>
  <c r="O348" i="68" s="1"/>
  <c r="J483" i="72"/>
  <c r="K343" i="68" s="1"/>
  <c r="AF726" i="72"/>
  <c r="AG650" i="68" s="1"/>
  <c r="S729" i="72"/>
  <c r="T653" i="68" s="1"/>
  <c r="R251" i="72"/>
  <c r="S48" i="68" s="1"/>
  <c r="S118" i="68" s="1"/>
  <c r="O480" i="72"/>
  <c r="P340" i="68" s="1"/>
  <c r="Y483" i="72"/>
  <c r="Z343" i="68" s="1"/>
  <c r="Y257" i="72"/>
  <c r="Z54" i="68" s="1"/>
  <c r="Z137" i="68" s="1"/>
  <c r="Z228" i="68" s="1"/>
  <c r="Z319" i="68" s="1"/>
  <c r="AE255" i="72"/>
  <c r="AF52" i="68" s="1"/>
  <c r="AF130" i="68" s="1"/>
  <c r="AF221" i="68" s="1"/>
  <c r="AA493" i="72"/>
  <c r="AB353" i="68" s="1"/>
  <c r="M738" i="72"/>
  <c r="N662" i="68" s="1"/>
  <c r="U480" i="72"/>
  <c r="V340" i="68" s="1"/>
  <c r="P252" i="72"/>
  <c r="Q49" i="68" s="1"/>
  <c r="Q121" i="68" s="1"/>
  <c r="AA242" i="72"/>
  <c r="AB39" i="68" s="1"/>
  <c r="AB91" i="68" s="1"/>
  <c r="T499" i="72"/>
  <c r="U359" i="68" s="1"/>
  <c r="Q492" i="72"/>
  <c r="R352" i="68" s="1"/>
  <c r="L730" i="72"/>
  <c r="M654" i="68" s="1"/>
  <c r="P743" i="72"/>
  <c r="Q667" i="68" s="1"/>
  <c r="M249" i="72"/>
  <c r="N46" i="68" s="1"/>
  <c r="Z236" i="72"/>
  <c r="AA33" i="68" s="1"/>
  <c r="AA74" i="68" s="1"/>
  <c r="AA165" i="68" s="1"/>
  <c r="AA256" i="68" s="1"/>
  <c r="N724" i="72"/>
  <c r="AE748" i="72"/>
  <c r="AF672" i="68" s="1"/>
  <c r="AC732" i="72"/>
  <c r="AD656" i="68" s="1"/>
  <c r="Q731" i="72"/>
  <c r="R655" i="68" s="1"/>
  <c r="Z751" i="72"/>
  <c r="AA675" i="68" s="1"/>
  <c r="V257" i="72"/>
  <c r="W54" i="68" s="1"/>
  <c r="V246" i="72"/>
  <c r="W43" i="68" s="1"/>
  <c r="T244" i="72"/>
  <c r="U41" i="68" s="1"/>
  <c r="U97" i="68" s="1"/>
  <c r="R257" i="72"/>
  <c r="S54" i="68" s="1"/>
  <c r="S137" i="68" s="1"/>
  <c r="S228" i="68" s="1"/>
  <c r="S319" i="68" s="1"/>
  <c r="Q246" i="72"/>
  <c r="R43" i="68" s="1"/>
  <c r="R104" i="68" s="1"/>
  <c r="R195" i="68" s="1"/>
  <c r="R286" i="68" s="1"/>
  <c r="R239" i="72"/>
  <c r="S36" i="68" s="1"/>
  <c r="S82" i="68" s="1"/>
  <c r="N238" i="72"/>
  <c r="O35" i="68" s="1"/>
  <c r="O80" i="68" s="1"/>
  <c r="O171" i="68" s="1"/>
  <c r="O262" i="68" s="1"/>
  <c r="O248" i="72"/>
  <c r="P45" i="68" s="1"/>
  <c r="P110" i="68" s="1"/>
  <c r="P201" i="68" s="1"/>
  <c r="P292" i="68" s="1"/>
  <c r="R242" i="72"/>
  <c r="S39" i="68" s="1"/>
  <c r="S92" i="68" s="1"/>
  <c r="S183" i="68" s="1"/>
  <c r="S274" i="68" s="1"/>
  <c r="K257" i="72"/>
  <c r="K781" i="72" s="1"/>
  <c r="O258" i="72"/>
  <c r="P55" i="68" s="1"/>
  <c r="P140" i="68" s="1"/>
  <c r="P231" i="68" s="1"/>
  <c r="P322" i="68" s="1"/>
  <c r="N247" i="72"/>
  <c r="O44" i="68" s="1"/>
  <c r="O107" i="68" s="1"/>
  <c r="O198" i="68" s="1"/>
  <c r="O289" i="68" s="1"/>
  <c r="I256" i="72"/>
  <c r="J53" i="68" s="1"/>
  <c r="J134" i="68" s="1"/>
  <c r="J225" i="68" s="1"/>
  <c r="J316" i="68" s="1"/>
  <c r="AC259" i="72"/>
  <c r="AD56" i="68" s="1"/>
  <c r="AD143" i="68" s="1"/>
  <c r="AD234" i="68" s="1"/>
  <c r="AD325" i="68" s="1"/>
  <c r="H254" i="72"/>
  <c r="I51" i="68" s="1"/>
  <c r="I127" i="68" s="1"/>
  <c r="I748" i="72"/>
  <c r="J672" i="68" s="1"/>
  <c r="Y258" i="72"/>
  <c r="Z55" i="68" s="1"/>
  <c r="Z139" i="68" s="1"/>
  <c r="Z230" i="68" s="1"/>
  <c r="H505" i="72"/>
  <c r="I365" i="68" s="1"/>
  <c r="X503" i="72"/>
  <c r="Y363" i="68" s="1"/>
  <c r="U502" i="72"/>
  <c r="V362" i="68" s="1"/>
  <c r="Z504" i="72"/>
  <c r="AA364" i="68" s="1"/>
  <c r="P506" i="72"/>
  <c r="Q366" i="68" s="1"/>
  <c r="M486" i="72"/>
  <c r="N346" i="68" s="1"/>
  <c r="AE737" i="72"/>
  <c r="AF661" i="68" s="1"/>
  <c r="M487" i="72"/>
  <c r="N347" i="68" s="1"/>
  <c r="W240" i="72"/>
  <c r="X37" i="68" s="1"/>
  <c r="X85" i="68" s="1"/>
  <c r="K501" i="72"/>
  <c r="L361" i="68" s="1"/>
  <c r="V255" i="72"/>
  <c r="W52" i="68" s="1"/>
  <c r="W131" i="68" s="1"/>
  <c r="W222" i="68" s="1"/>
  <c r="W313" i="68" s="1"/>
  <c r="K244" i="72"/>
  <c r="L41" i="68" s="1"/>
  <c r="L97" i="68" s="1"/>
  <c r="Z500" i="72"/>
  <c r="AA360" i="68" s="1"/>
  <c r="AB260" i="72"/>
  <c r="AC57" i="68" s="1"/>
  <c r="AC146" i="68" s="1"/>
  <c r="AC237" i="68" s="1"/>
  <c r="AC328" i="68" s="1"/>
  <c r="AB724" i="72"/>
  <c r="AC648" i="68" s="1"/>
  <c r="J500" i="72"/>
  <c r="K360" i="68" s="1"/>
  <c r="R233" i="72"/>
  <c r="S30" i="68" s="1"/>
  <c r="S64" i="68" s="1"/>
  <c r="N258" i="72"/>
  <c r="O55" i="68" s="1"/>
  <c r="O140" i="68" s="1"/>
  <c r="O231" i="68" s="1"/>
  <c r="O322" i="68" s="1"/>
  <c r="X502" i="72"/>
  <c r="Y362" i="68" s="1"/>
  <c r="I749" i="72"/>
  <c r="J673" i="68" s="1"/>
  <c r="K246" i="72"/>
  <c r="L43" i="68" s="1"/>
  <c r="L104" i="68" s="1"/>
  <c r="L195" i="68" s="1"/>
  <c r="L286" i="68" s="1"/>
  <c r="J235" i="72"/>
  <c r="K32" i="68" s="1"/>
  <c r="K70" i="68" s="1"/>
  <c r="AF251" i="72"/>
  <c r="AG48" i="68" s="1"/>
  <c r="AG118" i="68" s="1"/>
  <c r="AE249" i="72"/>
  <c r="AF46" i="68" s="1"/>
  <c r="AF112" i="68" s="1"/>
  <c r="U729" i="72"/>
  <c r="V653" i="68" s="1"/>
  <c r="Z250" i="72"/>
  <c r="AA47" i="68" s="1"/>
  <c r="AA115" i="68" s="1"/>
  <c r="V726" i="72"/>
  <c r="W650" i="68" s="1"/>
  <c r="AG259" i="72"/>
  <c r="AH56" i="68" s="1"/>
  <c r="AH142" i="68" s="1"/>
  <c r="P749" i="72"/>
  <c r="Q673" i="68" s="1"/>
  <c r="AF503" i="72"/>
  <c r="AG363" i="68" s="1"/>
  <c r="X748" i="72"/>
  <c r="Y672" i="68" s="1"/>
  <c r="AF747" i="72"/>
  <c r="AG671" i="68" s="1"/>
  <c r="W237" i="72"/>
  <c r="X34" i="68" s="1"/>
  <c r="X76" i="68" s="1"/>
  <c r="W252" i="72"/>
  <c r="X49" i="68" s="1"/>
  <c r="X121" i="68" s="1"/>
  <c r="X485" i="72"/>
  <c r="Y345" i="68" s="1"/>
  <c r="Z242" i="72"/>
  <c r="AA39" i="68" s="1"/>
  <c r="AA92" i="68" s="1"/>
  <c r="AA183" i="68" s="1"/>
  <c r="AA274" i="68" s="1"/>
  <c r="AA239" i="72"/>
  <c r="AB36" i="68" s="1"/>
  <c r="AB83" i="68" s="1"/>
  <c r="AB174" i="68" s="1"/>
  <c r="AB265" i="68" s="1"/>
  <c r="T485" i="72"/>
  <c r="U345" i="68" s="1"/>
  <c r="Z479" i="72"/>
  <c r="AA339" i="68" s="1"/>
  <c r="O236" i="72"/>
  <c r="P33" i="68" s="1"/>
  <c r="P73" i="68" s="1"/>
  <c r="R497" i="72"/>
  <c r="O726" i="72"/>
  <c r="P650" i="68" s="1"/>
  <c r="W504" i="72"/>
  <c r="X364" i="68" s="1"/>
  <c r="AB235" i="72"/>
  <c r="AC32" i="68" s="1"/>
  <c r="AC71" i="68" s="1"/>
  <c r="AC162" i="68" s="1"/>
  <c r="AC253" i="68" s="1"/>
  <c r="AF242" i="72"/>
  <c r="AG39" i="68" s="1"/>
  <c r="AG91" i="68" s="1"/>
  <c r="V482" i="72"/>
  <c r="W342" i="68" s="1"/>
  <c r="AC727" i="72"/>
  <c r="AD651" i="68" s="1"/>
  <c r="AB728" i="72"/>
  <c r="AC652" i="68" s="1"/>
  <c r="T252" i="72"/>
  <c r="U49" i="68" s="1"/>
  <c r="U121" i="68" s="1"/>
  <c r="I488" i="72"/>
  <c r="J348" i="68" s="1"/>
  <c r="W727" i="72"/>
  <c r="X651" i="68" s="1"/>
  <c r="AG748" i="72"/>
  <c r="AH672" i="68" s="1"/>
  <c r="I731" i="72"/>
  <c r="J655" i="68" s="1"/>
  <c r="AC724" i="72"/>
  <c r="AD648" i="68" s="1"/>
  <c r="AF724" i="72"/>
  <c r="AG648" i="68" s="1"/>
  <c r="W724" i="72"/>
  <c r="X648" i="68" s="1"/>
  <c r="AG503" i="72"/>
  <c r="AH363" i="68" s="1"/>
  <c r="V491" i="72"/>
  <c r="W351" i="68" s="1"/>
  <c r="W492" i="72"/>
  <c r="X352" i="68" s="1"/>
  <c r="H495" i="72"/>
  <c r="I355" i="68" s="1"/>
  <c r="AC489" i="72"/>
  <c r="AD349" i="68" s="1"/>
  <c r="U487" i="72"/>
  <c r="V347" i="68" s="1"/>
  <c r="X479" i="72"/>
  <c r="Y339" i="68" s="1"/>
  <c r="Q480" i="72"/>
  <c r="R340" i="68" s="1"/>
  <c r="I487" i="72"/>
  <c r="J347" i="68" s="1"/>
  <c r="K490" i="72"/>
  <c r="I506" i="72"/>
  <c r="J366" i="68" s="1"/>
  <c r="I259" i="72"/>
  <c r="J56" i="68" s="1"/>
  <c r="J143" i="68" s="1"/>
  <c r="J234" i="68" s="1"/>
  <c r="J325" i="68" s="1"/>
  <c r="AA253" i="72"/>
  <c r="AB50" i="68" s="1"/>
  <c r="AB124" i="68" s="1"/>
  <c r="J252" i="72"/>
  <c r="K49" i="68" s="1"/>
  <c r="K121" i="68" s="1"/>
  <c r="Q247" i="72"/>
  <c r="R44" i="68" s="1"/>
  <c r="R106" i="68" s="1"/>
  <c r="S248" i="72"/>
  <c r="T45" i="68" s="1"/>
  <c r="T109" i="68" s="1"/>
  <c r="AC248" i="72"/>
  <c r="AD45" i="68" s="1"/>
  <c r="AD110" i="68" s="1"/>
  <c r="AD201" i="68" s="1"/>
  <c r="AD292" i="68" s="1"/>
  <c r="AD246" i="72"/>
  <c r="AE43" i="68" s="1"/>
  <c r="AE104" i="68" s="1"/>
  <c r="AE195" i="68" s="1"/>
  <c r="AE286" i="68" s="1"/>
  <c r="W247" i="72"/>
  <c r="X44" i="68" s="1"/>
  <c r="X106" i="68" s="1"/>
  <c r="Y245" i="72"/>
  <c r="Z42" i="68" s="1"/>
  <c r="Z101" i="68" s="1"/>
  <c r="Z192" i="68" s="1"/>
  <c r="Z283" i="68" s="1"/>
  <c r="J245" i="72"/>
  <c r="K42" i="68" s="1"/>
  <c r="K101" i="68" s="1"/>
  <c r="K192" i="68" s="1"/>
  <c r="K283" i="68" s="1"/>
  <c r="AA744" i="72"/>
  <c r="X745" i="72"/>
  <c r="Y669" i="68" s="1"/>
  <c r="O745" i="72"/>
  <c r="P669" i="68" s="1"/>
  <c r="AF738" i="72"/>
  <c r="AG662" i="68" s="1"/>
  <c r="AG724" i="72"/>
  <c r="AH648" i="68" s="1"/>
  <c r="O739" i="72"/>
  <c r="P663" i="68" s="1"/>
  <c r="S750" i="72"/>
  <c r="T674" i="68" s="1"/>
  <c r="J751" i="72"/>
  <c r="K675" i="68" s="1"/>
  <c r="N746" i="72"/>
  <c r="O670" i="68" s="1"/>
  <c r="P732" i="72"/>
  <c r="Q656" i="68" s="1"/>
  <c r="AG735" i="72"/>
  <c r="AH659" i="68" s="1"/>
  <c r="AE734" i="72"/>
  <c r="R742" i="72"/>
  <c r="AB725" i="72"/>
  <c r="AC649" i="68" s="1"/>
  <c r="Z740" i="72"/>
  <c r="AA664" i="68" s="1"/>
  <c r="AF739" i="72"/>
  <c r="AG663" i="68" s="1"/>
  <c r="N726" i="72"/>
  <c r="O650" i="68" s="1"/>
  <c r="AE744" i="72"/>
  <c r="AF668" i="68" s="1"/>
  <c r="K744" i="72"/>
  <c r="N736" i="72"/>
  <c r="Q743" i="72"/>
  <c r="R667" i="68" s="1"/>
  <c r="T741" i="72"/>
  <c r="K486" i="72"/>
  <c r="L346" i="68" s="1"/>
  <c r="R491" i="72"/>
  <c r="S351" i="68" s="1"/>
  <c r="AE498" i="72"/>
  <c r="AF358" i="68" s="1"/>
  <c r="AA481" i="72"/>
  <c r="AB341" i="68" s="1"/>
  <c r="AE483" i="72"/>
  <c r="AF343" i="68" s="1"/>
  <c r="N482" i="72"/>
  <c r="O342" i="68" s="1"/>
  <c r="AE482" i="72"/>
  <c r="AF342" i="68" s="1"/>
  <c r="AD492" i="72"/>
  <c r="AE352" i="68" s="1"/>
  <c r="AG491" i="72"/>
  <c r="AH351" i="68" s="1"/>
  <c r="AD490" i="72"/>
  <c r="AE350" i="68" s="1"/>
  <c r="T482" i="72"/>
  <c r="U342" i="68" s="1"/>
  <c r="W489" i="72"/>
  <c r="X349" i="68" s="1"/>
  <c r="P490" i="72"/>
  <c r="Q350" i="68" s="1"/>
  <c r="N492" i="72"/>
  <c r="O352" i="68" s="1"/>
  <c r="O496" i="72"/>
  <c r="X494" i="72"/>
  <c r="O484" i="72"/>
  <c r="O762" i="72" s="1"/>
  <c r="AF480" i="72"/>
  <c r="AG340" i="68" s="1"/>
  <c r="AF246" i="72"/>
  <c r="AG43" i="68" s="1"/>
  <c r="AG103" i="68" s="1"/>
  <c r="AA250" i="72"/>
  <c r="AB47" i="68" s="1"/>
  <c r="AB115" i="68" s="1"/>
  <c r="S244" i="72"/>
  <c r="T41" i="68" s="1"/>
  <c r="T98" i="68" s="1"/>
  <c r="T189" i="68" s="1"/>
  <c r="T280" i="68" s="1"/>
  <c r="AE235" i="72"/>
  <c r="AF32" i="68" s="1"/>
  <c r="AF70" i="68" s="1"/>
  <c r="S504" i="72"/>
  <c r="T364" i="68" s="1"/>
  <c r="L479" i="72"/>
  <c r="M339" i="68" s="1"/>
  <c r="J490" i="72"/>
  <c r="K350" i="68" s="1"/>
  <c r="H493" i="72"/>
  <c r="I353" i="68" s="1"/>
  <c r="Z502" i="72"/>
  <c r="AA362" i="68" s="1"/>
  <c r="Y504" i="72"/>
  <c r="X506" i="72"/>
  <c r="Y366" i="68" s="1"/>
  <c r="J506" i="72"/>
  <c r="K366" i="68" s="1"/>
  <c r="V487" i="72"/>
  <c r="V765" i="72" s="1"/>
  <c r="U492" i="72"/>
  <c r="V352" i="68" s="1"/>
  <c r="AF506" i="72"/>
  <c r="AG366" i="68" s="1"/>
  <c r="M502" i="72"/>
  <c r="I490" i="72"/>
  <c r="J350" i="68" s="1"/>
  <c r="I496" i="72"/>
  <c r="J356" i="68" s="1"/>
  <c r="L488" i="72"/>
  <c r="M348" i="68" s="1"/>
  <c r="AA498" i="72"/>
  <c r="AA504" i="72"/>
  <c r="AB364" i="68" s="1"/>
  <c r="AC505" i="72"/>
  <c r="AD365" i="68" s="1"/>
  <c r="N479" i="72"/>
  <c r="O339" i="68" s="1"/>
  <c r="Q500" i="72"/>
  <c r="R360" i="68" s="1"/>
  <c r="P487" i="72"/>
  <c r="Q347" i="68" s="1"/>
  <c r="AD491" i="72"/>
  <c r="AE351" i="68" s="1"/>
  <c r="H256" i="72"/>
  <c r="I53" i="68" s="1"/>
  <c r="I133" i="68" s="1"/>
  <c r="S260" i="72"/>
  <c r="T57" i="68" s="1"/>
  <c r="T145" i="68" s="1"/>
  <c r="M256" i="72"/>
  <c r="N53" i="68" s="1"/>
  <c r="N133" i="68" s="1"/>
  <c r="N224" i="68" s="1"/>
  <c r="R259" i="72"/>
  <c r="S56" i="68" s="1"/>
  <c r="S142" i="68" s="1"/>
  <c r="AF252" i="72"/>
  <c r="AG49" i="68" s="1"/>
  <c r="AG122" i="68" s="1"/>
  <c r="AG213" i="68" s="1"/>
  <c r="AG304" i="68" s="1"/>
  <c r="R252" i="72"/>
  <c r="S49" i="68" s="1"/>
  <c r="S122" i="68" s="1"/>
  <c r="S213" i="68" s="1"/>
  <c r="S304" i="68" s="1"/>
  <c r="O247" i="72"/>
  <c r="P44" i="68" s="1"/>
  <c r="P107" i="68" s="1"/>
  <c r="P198" i="68" s="1"/>
  <c r="P289" i="68" s="1"/>
  <c r="AB251" i="72"/>
  <c r="AC48" i="68" s="1"/>
  <c r="AC119" i="68" s="1"/>
  <c r="AC210" i="68" s="1"/>
  <c r="AC301" i="68" s="1"/>
  <c r="AE238" i="72"/>
  <c r="AF35" i="68" s="1"/>
  <c r="AF79" i="68" s="1"/>
  <c r="R238" i="72"/>
  <c r="S35" i="68" s="1"/>
  <c r="S79" i="68" s="1"/>
  <c r="M237" i="72"/>
  <c r="N34" i="68" s="1"/>
  <c r="N76" i="68" s="1"/>
  <c r="AG237" i="72"/>
  <c r="AH34" i="68" s="1"/>
  <c r="AH76" i="68" s="1"/>
  <c r="N233" i="72"/>
  <c r="O30" i="68" s="1"/>
  <c r="O65" i="68" s="1"/>
  <c r="O156" i="68" s="1"/>
  <c r="O247" i="68" s="1"/>
  <c r="O233" i="72"/>
  <c r="P30" i="68" s="1"/>
  <c r="P64" i="68" s="1"/>
  <c r="S240" i="72"/>
  <c r="T37" i="68" s="1"/>
  <c r="T85" i="68" s="1"/>
  <c r="K236" i="72"/>
  <c r="L33" i="68" s="1"/>
  <c r="L74" i="68" s="1"/>
  <c r="L165" i="68" s="1"/>
  <c r="L256" i="68" s="1"/>
  <c r="AD250" i="72"/>
  <c r="AE47" i="68" s="1"/>
  <c r="AE115" i="68" s="1"/>
  <c r="U501" i="72"/>
  <c r="V361" i="68" s="1"/>
  <c r="AE749" i="72"/>
  <c r="AF673" i="68" s="1"/>
  <c r="Q483" i="72"/>
  <c r="R343" i="68" s="1"/>
  <c r="Q745" i="72"/>
  <c r="R669" i="68" s="1"/>
  <c r="AG255" i="72"/>
  <c r="AH52" i="68" s="1"/>
  <c r="AH130" i="68" s="1"/>
  <c r="AF498" i="72"/>
  <c r="AG358" i="68" s="1"/>
  <c r="AF745" i="72"/>
  <c r="AG669" i="68" s="1"/>
  <c r="Z256" i="72"/>
  <c r="AA53" i="68" s="1"/>
  <c r="AA133" i="68" s="1"/>
  <c r="S748" i="72"/>
  <c r="T672" i="68" s="1"/>
  <c r="AA245" i="72"/>
  <c r="AB42" i="68" s="1"/>
  <c r="Z735" i="72"/>
  <c r="I491" i="72"/>
  <c r="J351" i="68" s="1"/>
  <c r="AD240" i="72"/>
  <c r="AE37" i="68" s="1"/>
  <c r="AB502" i="72"/>
  <c r="AC362" i="68" s="1"/>
  <c r="AB479" i="72"/>
  <c r="AC339" i="68" s="1"/>
  <c r="U244" i="72"/>
  <c r="V41" i="68" s="1"/>
  <c r="V97" i="68" s="1"/>
  <c r="AF244" i="72"/>
  <c r="AG41" i="68" s="1"/>
  <c r="W488" i="72"/>
  <c r="W495" i="72"/>
  <c r="X355" i="68" s="1"/>
  <c r="AG256" i="72"/>
  <c r="AH53" i="68" s="1"/>
  <c r="K258" i="72"/>
  <c r="L55" i="68" s="1"/>
  <c r="V245" i="72"/>
  <c r="W42" i="68" s="1"/>
  <c r="W100" i="68" s="1"/>
  <c r="V498" i="72"/>
  <c r="W358" i="68" s="1"/>
  <c r="N497" i="72"/>
  <c r="O357" i="68" s="1"/>
  <c r="AF489" i="72"/>
  <c r="AG349" i="68" s="1"/>
  <c r="T250" i="72"/>
  <c r="U47" i="68" s="1"/>
  <c r="U115" i="68" s="1"/>
  <c r="AB750" i="72"/>
  <c r="AC674" i="68" s="1"/>
  <c r="O259" i="72"/>
  <c r="P56" i="68" s="1"/>
  <c r="P143" i="68" s="1"/>
  <c r="P234" i="68" s="1"/>
  <c r="P325" i="68" s="1"/>
  <c r="M506" i="72"/>
  <c r="N366" i="68" s="1"/>
  <c r="R256" i="72"/>
  <c r="S53" i="68" s="1"/>
  <c r="S134" i="68" s="1"/>
  <c r="S225" i="68" s="1"/>
  <c r="S316" i="68" s="1"/>
  <c r="R246" i="72"/>
  <c r="S43" i="68" s="1"/>
  <c r="S103" i="68" s="1"/>
  <c r="S490" i="72"/>
  <c r="T350" i="68" s="1"/>
  <c r="S246" i="72"/>
  <c r="T43" i="68" s="1"/>
  <c r="T103" i="68" s="1"/>
  <c r="S247" i="72"/>
  <c r="T44" i="68" s="1"/>
  <c r="T107" i="68" s="1"/>
  <c r="T198" i="68" s="1"/>
  <c r="T289" i="68" s="1"/>
  <c r="AA246" i="72"/>
  <c r="AB43" i="68" s="1"/>
  <c r="AB104" i="68" s="1"/>
  <c r="AB195" i="68" s="1"/>
  <c r="AB286" i="68" s="1"/>
  <c r="P240" i="72"/>
  <c r="Q37" i="68" s="1"/>
  <c r="Q86" i="68" s="1"/>
  <c r="Q177" i="68" s="1"/>
  <c r="Q268" i="68" s="1"/>
  <c r="AA251" i="72"/>
  <c r="S496" i="72"/>
  <c r="T356" i="68" s="1"/>
  <c r="J743" i="72"/>
  <c r="R738" i="72"/>
  <c r="AB726" i="72"/>
  <c r="AC650" i="68" s="1"/>
  <c r="P245" i="72"/>
  <c r="Q42" i="68" s="1"/>
  <c r="Q101" i="68" s="1"/>
  <c r="Q192" i="68" s="1"/>
  <c r="Q283" i="68" s="1"/>
  <c r="O240" i="72"/>
  <c r="Z741" i="72"/>
  <c r="M236" i="72"/>
  <c r="I728" i="72"/>
  <c r="J652" i="68" s="1"/>
  <c r="Q484" i="72"/>
  <c r="R344" i="68" s="1"/>
  <c r="H255" i="72"/>
  <c r="I52" i="68" s="1"/>
  <c r="P751" i="72"/>
  <c r="Q675" i="68" s="1"/>
  <c r="O482" i="72"/>
  <c r="I498" i="72"/>
  <c r="J358" i="68" s="1"/>
  <c r="Q735" i="72"/>
  <c r="R659" i="68" s="1"/>
  <c r="H489" i="72"/>
  <c r="I349" i="68" s="1"/>
  <c r="AG743" i="72"/>
  <c r="AH667" i="68" s="1"/>
  <c r="W258" i="72"/>
  <c r="X55" i="68" s="1"/>
  <c r="J735" i="72"/>
  <c r="AF245" i="72"/>
  <c r="AG42" i="68" s="1"/>
  <c r="AG101" i="68" s="1"/>
  <c r="AG192" i="68" s="1"/>
  <c r="AG283" i="68" s="1"/>
  <c r="AC730" i="72"/>
  <c r="AD654" i="68" s="1"/>
  <c r="V239" i="72"/>
  <c r="W36" i="68" s="1"/>
  <c r="W82" i="68" s="1"/>
  <c r="AB241" i="72"/>
  <c r="AC38" i="68" s="1"/>
  <c r="W742" i="72"/>
  <c r="AA488" i="72"/>
  <c r="AE481" i="72"/>
  <c r="X727" i="72"/>
  <c r="AE501" i="72"/>
  <c r="AC748" i="72"/>
  <c r="AD672" i="68" s="1"/>
  <c r="AE500" i="72"/>
  <c r="AF360" i="68" s="1"/>
  <c r="W748" i="72"/>
  <c r="X672" i="68" s="1"/>
  <c r="M745" i="72"/>
  <c r="N669" i="68" s="1"/>
  <c r="X487" i="72"/>
  <c r="Y347" i="68" s="1"/>
  <c r="AE491" i="72"/>
  <c r="AF351" i="68" s="1"/>
  <c r="AB738" i="72"/>
  <c r="AC662" i="68" s="1"/>
  <c r="N253" i="72"/>
  <c r="O50" i="68" s="1"/>
  <c r="O124" i="68" s="1"/>
  <c r="AF239" i="72"/>
  <c r="AG36" i="68" s="1"/>
  <c r="AG82" i="68" s="1"/>
  <c r="O250" i="72"/>
  <c r="P47" i="68" s="1"/>
  <c r="P115" i="68" s="1"/>
  <c r="AE241" i="72"/>
  <c r="AF38" i="68" s="1"/>
  <c r="AF88" i="68" s="1"/>
  <c r="AB499" i="72"/>
  <c r="AC359" i="68" s="1"/>
  <c r="AA237" i="72"/>
  <c r="J243" i="72"/>
  <c r="K40" i="68" s="1"/>
  <c r="K95" i="68" s="1"/>
  <c r="K186" i="68" s="1"/>
  <c r="K277" i="68" s="1"/>
  <c r="P235" i="72"/>
  <c r="X236" i="72"/>
  <c r="Y33" i="68" s="1"/>
  <c r="Y74" i="68" s="1"/>
  <c r="Y165" i="68" s="1"/>
  <c r="Y256" i="68" s="1"/>
  <c r="AD727" i="72"/>
  <c r="AE651" i="68" s="1"/>
  <c r="V725" i="72"/>
  <c r="W649" i="68" s="1"/>
  <c r="T489" i="72"/>
  <c r="K740" i="72"/>
  <c r="AB503" i="72"/>
  <c r="AC363" i="68" s="1"/>
  <c r="S258" i="72"/>
  <c r="AD254" i="72"/>
  <c r="AE51" i="68" s="1"/>
  <c r="R260" i="72"/>
  <c r="S57" i="68" s="1"/>
  <c r="Q506" i="72"/>
  <c r="R366" i="68" s="1"/>
  <c r="V260" i="72"/>
  <c r="W57" i="68" s="1"/>
  <c r="W145" i="68" s="1"/>
  <c r="V747" i="72"/>
  <c r="W671" i="68" s="1"/>
  <c r="AD747" i="72"/>
  <c r="AF746" i="72"/>
  <c r="AG670" i="68" s="1"/>
  <c r="P504" i="72"/>
  <c r="Q364" i="68" s="1"/>
  <c r="AF487" i="72"/>
  <c r="AG347" i="68" s="1"/>
  <c r="AG732" i="72"/>
  <c r="AH656" i="68" s="1"/>
  <c r="V492" i="72"/>
  <c r="W352" i="68" s="1"/>
  <c r="Z736" i="72"/>
  <c r="AA660" i="68" s="1"/>
  <c r="AB246" i="72"/>
  <c r="AC43" i="68" s="1"/>
  <c r="AC103" i="68" s="1"/>
  <c r="M245" i="72"/>
  <c r="N42" i="68" s="1"/>
  <c r="N100" i="68" s="1"/>
  <c r="AG487" i="72"/>
  <c r="AC486" i="72"/>
  <c r="AD346" i="68" s="1"/>
  <c r="L490" i="72"/>
  <c r="O736" i="72"/>
  <c r="P660" i="68" s="1"/>
  <c r="M491" i="72"/>
  <c r="N351" i="68" s="1"/>
  <c r="P243" i="72"/>
  <c r="Q40" i="68" s="1"/>
  <c r="Q94" i="68" s="1"/>
  <c r="AC485" i="72"/>
  <c r="AD345" i="68" s="1"/>
  <c r="AE236" i="72"/>
  <c r="Z480" i="72"/>
  <c r="AC242" i="72"/>
  <c r="AD39" i="68" s="1"/>
  <c r="AD92" i="68" s="1"/>
  <c r="AD183" i="68" s="1"/>
  <c r="AD274" i="68" s="1"/>
  <c r="U239" i="72"/>
  <c r="S727" i="72"/>
  <c r="T651" i="68" s="1"/>
  <c r="AG241" i="72"/>
  <c r="AH38" i="68" s="1"/>
  <c r="X499" i="72"/>
  <c r="Y359" i="68" s="1"/>
  <c r="Q481" i="72"/>
  <c r="R341" i="68" s="1"/>
  <c r="AA485" i="72"/>
  <c r="L725" i="72"/>
  <c r="M649" i="68" s="1"/>
  <c r="J730" i="72"/>
  <c r="K654" i="68" s="1"/>
  <c r="W733" i="72"/>
  <c r="X657" i="68" s="1"/>
  <c r="U741" i="72"/>
  <c r="V665" i="68" s="1"/>
  <c r="AB496" i="72"/>
  <c r="AC356" i="68" s="1"/>
  <c r="AG500" i="72"/>
  <c r="AH360" i="68" s="1"/>
  <c r="L500" i="72"/>
  <c r="M360" i="68" s="1"/>
  <c r="AF260" i="72"/>
  <c r="AG57" i="68" s="1"/>
  <c r="AG145" i="68" s="1"/>
  <c r="T747" i="72"/>
  <c r="U671" i="68" s="1"/>
  <c r="Z491" i="72"/>
  <c r="P236" i="72"/>
  <c r="W234" i="72"/>
  <c r="X31" i="68" s="1"/>
  <c r="X67" i="68" s="1"/>
  <c r="Z499" i="72"/>
  <c r="Z777" i="72" s="1"/>
  <c r="R498" i="72"/>
  <c r="H492" i="72"/>
  <c r="Q744" i="72"/>
  <c r="R726" i="72"/>
  <c r="L741" i="72"/>
  <c r="AC734" i="72"/>
  <c r="AD658" i="68" s="1"/>
  <c r="R234" i="72"/>
  <c r="S31" i="68" s="1"/>
  <c r="S68" i="68" s="1"/>
  <c r="S159" i="68" s="1"/>
  <c r="S250" i="68" s="1"/>
  <c r="AF255" i="72"/>
  <c r="L748" i="72"/>
  <c r="M672" i="68" s="1"/>
  <c r="AE490" i="72"/>
  <c r="AF350" i="68" s="1"/>
  <c r="U485" i="72"/>
  <c r="V345" i="68" s="1"/>
  <c r="AD480" i="72"/>
  <c r="AE340" i="68" s="1"/>
  <c r="AA748" i="72"/>
  <c r="AB672" i="68" s="1"/>
  <c r="Y479" i="72"/>
  <c r="Z339" i="68" s="1"/>
  <c r="V504" i="72"/>
  <c r="W364" i="68" s="1"/>
  <c r="H479" i="72"/>
  <c r="I339" i="68" s="1"/>
  <c r="Z259" i="72"/>
  <c r="AA56" i="68" s="1"/>
  <c r="AA142" i="68" s="1"/>
  <c r="U490" i="72"/>
  <c r="V350" i="68" s="1"/>
  <c r="AA252" i="72"/>
  <c r="AB49" i="68" s="1"/>
  <c r="AB122" i="68" s="1"/>
  <c r="AB213" i="68" s="1"/>
  <c r="AB304" i="68" s="1"/>
  <c r="Y734" i="72"/>
  <c r="Z658" i="68" s="1"/>
  <c r="AF484" i="72"/>
  <c r="AG344" i="68" s="1"/>
  <c r="U242" i="72"/>
  <c r="V39" i="68" s="1"/>
  <c r="V91" i="68" s="1"/>
  <c r="M248" i="72"/>
  <c r="N45" i="68" s="1"/>
  <c r="N110" i="68" s="1"/>
  <c r="N201" i="68" s="1"/>
  <c r="N292" i="68" s="1"/>
  <c r="P482" i="72"/>
  <c r="Q342" i="68" s="1"/>
  <c r="AG248" i="72"/>
  <c r="AH45" i="68" s="1"/>
  <c r="AH109" i="68" s="1"/>
  <c r="W483" i="72"/>
  <c r="Y498" i="72"/>
  <c r="Z358" i="68" s="1"/>
  <c r="O488" i="72"/>
  <c r="S739" i="72"/>
  <c r="X726" i="72"/>
  <c r="Y650" i="68" s="1"/>
  <c r="AF728" i="72"/>
  <c r="AG652" i="68" s="1"/>
  <c r="O728" i="72"/>
  <c r="P652" i="68" s="1"/>
  <c r="J750" i="72"/>
  <c r="K674" i="68" s="1"/>
  <c r="AF243" i="72"/>
  <c r="AG40" i="68" s="1"/>
  <c r="W749" i="72"/>
  <c r="X673" i="68" s="1"/>
  <c r="O242" i="72"/>
  <c r="P39" i="68" s="1"/>
  <c r="P92" i="68" s="1"/>
  <c r="P183" i="68" s="1"/>
  <c r="P274" i="68" s="1"/>
  <c r="R724" i="72"/>
  <c r="S648" i="68" s="1"/>
  <c r="L505" i="72"/>
  <c r="M365" i="68" s="1"/>
  <c r="P500" i="72"/>
  <c r="Q360" i="68" s="1"/>
  <c r="P505" i="72"/>
  <c r="Q365" i="68" s="1"/>
  <c r="AE258" i="72"/>
  <c r="AF55" i="68" s="1"/>
  <c r="AF140" i="68" s="1"/>
  <c r="AF231" i="68" s="1"/>
  <c r="AF322" i="68" s="1"/>
  <c r="X492" i="72"/>
  <c r="Y352" i="68" s="1"/>
  <c r="AB493" i="72"/>
  <c r="AC353" i="68" s="1"/>
  <c r="AD487" i="72"/>
  <c r="M735" i="72"/>
  <c r="N659" i="68" s="1"/>
  <c r="AC240" i="72"/>
  <c r="AD37" i="68" s="1"/>
  <c r="AD85" i="68" s="1"/>
  <c r="T481" i="72"/>
  <c r="U341" i="68" s="1"/>
  <c r="AB237" i="72"/>
  <c r="AC34" i="68" s="1"/>
  <c r="AC76" i="68" s="1"/>
  <c r="AD237" i="72"/>
  <c r="AE34" i="68" s="1"/>
  <c r="AE77" i="68" s="1"/>
  <c r="AE168" i="68" s="1"/>
  <c r="AE259" i="68" s="1"/>
  <c r="S239" i="72"/>
  <c r="AA243" i="72"/>
  <c r="AD481" i="72"/>
  <c r="V236" i="72"/>
  <c r="R243" i="72"/>
  <c r="AB480" i="72"/>
  <c r="AG739" i="72"/>
  <c r="AH663" i="68" s="1"/>
  <c r="V740" i="72"/>
  <c r="W664" i="68" s="1"/>
  <c r="AE485" i="72"/>
  <c r="AF345" i="68" s="1"/>
  <c r="I739" i="72"/>
  <c r="J663" i="68" s="1"/>
  <c r="AC726" i="72"/>
  <c r="AC790" i="72" s="1"/>
  <c r="AB247" i="72"/>
  <c r="AC44" i="68" s="1"/>
  <c r="AC107" i="68" s="1"/>
  <c r="AC198" i="68" s="1"/>
  <c r="AC289" i="68" s="1"/>
  <c r="AB243" i="72"/>
  <c r="AC40" i="68" s="1"/>
  <c r="AC94" i="68" s="1"/>
  <c r="O497" i="72"/>
  <c r="P357" i="68" s="1"/>
  <c r="N729" i="72"/>
  <c r="O653" i="68" s="1"/>
  <c r="M749" i="72"/>
  <c r="N673" i="68" s="1"/>
  <c r="H500" i="72"/>
  <c r="I360" i="68" s="1"/>
  <c r="I244" i="72"/>
  <c r="J41" i="68" s="1"/>
  <c r="J97" i="68" s="1"/>
  <c r="O486" i="72"/>
  <c r="P346" i="68" s="1"/>
  <c r="AC247" i="72"/>
  <c r="AC481" i="72"/>
  <c r="AA236" i="72"/>
  <c r="AB33" i="68" s="1"/>
  <c r="AB74" i="68" s="1"/>
  <c r="AB165" i="68" s="1"/>
  <c r="AB256" i="68" s="1"/>
  <c r="Z241" i="72"/>
  <c r="AA38" i="68" s="1"/>
  <c r="AA89" i="68" s="1"/>
  <c r="AA180" i="68" s="1"/>
  <c r="AA271" i="68" s="1"/>
  <c r="L485" i="72"/>
  <c r="L763" i="72" s="1"/>
  <c r="P239" i="72"/>
  <c r="Q36" i="68" s="1"/>
  <c r="Q83" i="68" s="1"/>
  <c r="Q174" i="68" s="1"/>
  <c r="Q265" i="68" s="1"/>
  <c r="R483" i="72"/>
  <c r="S343" i="68" s="1"/>
  <c r="H730" i="72"/>
  <c r="I654" i="68" s="1"/>
  <c r="J725" i="72"/>
  <c r="K649" i="68" s="1"/>
  <c r="T505" i="72"/>
  <c r="U365" i="68" s="1"/>
  <c r="P233" i="72"/>
  <c r="Q30" i="68" s="1"/>
  <c r="Q64" i="68" s="1"/>
  <c r="Q155" i="68" s="1"/>
  <c r="J480" i="72"/>
  <c r="Y750" i="72"/>
  <c r="J724" i="72"/>
  <c r="K648" i="68" s="1"/>
  <c r="Z738" i="72"/>
  <c r="AA662" i="68" s="1"/>
  <c r="U479" i="72"/>
  <c r="V339" i="68" s="1"/>
  <c r="L246" i="72"/>
  <c r="M43" i="68" s="1"/>
  <c r="M103" i="68" s="1"/>
  <c r="AA241" i="72"/>
  <c r="AB38" i="68" s="1"/>
  <c r="AB89" i="68" s="1"/>
  <c r="AB180" i="68" s="1"/>
  <c r="AB271" i="68" s="1"/>
  <c r="AE251" i="72"/>
  <c r="AF48" i="68" s="1"/>
  <c r="AF118" i="68" s="1"/>
  <c r="AC480" i="72"/>
  <c r="AD340" i="68" s="1"/>
  <c r="L739" i="72"/>
  <c r="M663" i="68" s="1"/>
  <c r="R241" i="72"/>
  <c r="S38" i="68" s="1"/>
  <c r="S89" i="68" s="1"/>
  <c r="S180" i="68" s="1"/>
  <c r="S271" i="68" s="1"/>
  <c r="AD728" i="72"/>
  <c r="AE652" i="68" s="1"/>
  <c r="O742" i="72"/>
  <c r="R725" i="72"/>
  <c r="AC733" i="72"/>
  <c r="AE728" i="72"/>
  <c r="AF652" i="68" s="1"/>
  <c r="R255" i="72"/>
  <c r="S52" i="68" s="1"/>
  <c r="S130" i="68" s="1"/>
  <c r="S221" i="68" s="1"/>
  <c r="O490" i="72"/>
  <c r="K729" i="72"/>
  <c r="AE738" i="72"/>
  <c r="AD260" i="72"/>
  <c r="AE57" i="68" s="1"/>
  <c r="AB505" i="72"/>
  <c r="T255" i="72"/>
  <c r="U52" i="68" s="1"/>
  <c r="AG747" i="72"/>
  <c r="AH671" i="68" s="1"/>
  <c r="W502" i="72"/>
  <c r="X362" i="68" s="1"/>
  <c r="X486" i="72"/>
  <c r="J732" i="72"/>
  <c r="K656" i="68" s="1"/>
  <c r="AA235" i="72"/>
  <c r="P241" i="72"/>
  <c r="Q38" i="68" s="1"/>
  <c r="Q88" i="68" s="1"/>
  <c r="AG236" i="72"/>
  <c r="AH33" i="68" s="1"/>
  <c r="AH73" i="68" s="1"/>
  <c r="W238" i="72"/>
  <c r="X35" i="68" s="1"/>
  <c r="X79" i="68" s="1"/>
  <c r="P242" i="72"/>
  <c r="Q39" i="68" s="1"/>
  <c r="Q91" i="68" s="1"/>
  <c r="AC728" i="72"/>
  <c r="AC792" i="72" s="1"/>
  <c r="P485" i="72"/>
  <c r="Q345" i="68" s="1"/>
  <c r="R480" i="72"/>
  <c r="S340" i="68" s="1"/>
  <c r="U484" i="72"/>
  <c r="V344" i="68" s="1"/>
  <c r="AE739" i="72"/>
  <c r="AF663" i="68" s="1"/>
  <c r="AD488" i="72"/>
  <c r="AE348" i="68" s="1"/>
  <c r="AF725" i="72"/>
  <c r="AG649" i="68" s="1"/>
  <c r="I730" i="72"/>
  <c r="J654" i="68" s="1"/>
  <c r="J495" i="72"/>
  <c r="K355" i="68" s="1"/>
  <c r="J746" i="72"/>
  <c r="K670" i="68" s="1"/>
  <c r="AC260" i="72"/>
  <c r="AD57" i="68" s="1"/>
  <c r="AD146" i="68" s="1"/>
  <c r="AD237" i="68" s="1"/>
  <c r="AD328" i="68" s="1"/>
  <c r="L506" i="72"/>
  <c r="M366" i="68" s="1"/>
  <c r="O751" i="72"/>
  <c r="M257" i="72"/>
  <c r="N54" i="68" s="1"/>
  <c r="N136" i="68" s="1"/>
  <c r="N227" i="68" s="1"/>
  <c r="Y732" i="72"/>
  <c r="Y796" i="72" s="1"/>
  <c r="M238" i="72"/>
  <c r="N35" i="68" s="1"/>
  <c r="P249" i="72"/>
  <c r="Q46" i="68" s="1"/>
  <c r="Q113" i="68" s="1"/>
  <c r="Q204" i="68" s="1"/>
  <c r="Q295" i="68" s="1"/>
  <c r="AF241" i="72"/>
  <c r="V242" i="72"/>
  <c r="K734" i="72"/>
  <c r="O743" i="72"/>
  <c r="O807" i="72" s="1"/>
  <c r="Y742" i="72"/>
  <c r="Z666" i="68" s="1"/>
  <c r="AE725" i="72"/>
  <c r="AF649" i="68" s="1"/>
  <c r="AC484" i="72"/>
  <c r="AD344" i="68" s="1"/>
  <c r="Q242" i="72"/>
  <c r="R39" i="68" s="1"/>
  <c r="R92" i="68" s="1"/>
  <c r="R183" i="68" s="1"/>
  <c r="R274" i="68" s="1"/>
  <c r="V496" i="72"/>
  <c r="W356" i="68" s="1"/>
  <c r="AG733" i="72"/>
  <c r="AG797" i="72" s="1"/>
  <c r="V751" i="72"/>
  <c r="W675" i="68" s="1"/>
  <c r="M254" i="72"/>
  <c r="AB736" i="72"/>
  <c r="AC660" i="68" s="1"/>
  <c r="AE486" i="72"/>
  <c r="AC491" i="72"/>
  <c r="AD351" i="68" s="1"/>
  <c r="AF735" i="72"/>
  <c r="T730" i="72"/>
  <c r="U654" i="68" s="1"/>
  <c r="AE250" i="72"/>
  <c r="AC488" i="72"/>
  <c r="AD348" i="68" s="1"/>
  <c r="Q491" i="72"/>
  <c r="H727" i="72"/>
  <c r="I651" i="68" s="1"/>
  <c r="Q495" i="72"/>
  <c r="R355" i="68" s="1"/>
  <c r="K727" i="72"/>
  <c r="AG496" i="72"/>
  <c r="AH356" i="68" s="1"/>
  <c r="H739" i="72"/>
  <c r="I663" i="68" s="1"/>
  <c r="K481" i="72"/>
  <c r="L341" i="68" s="1"/>
  <c r="U730" i="72"/>
  <c r="V654" i="68" s="1"/>
  <c r="AG742" i="72"/>
  <c r="AH666" i="68" s="1"/>
  <c r="V742" i="72"/>
  <c r="W666" i="68" s="1"/>
  <c r="P725" i="72"/>
  <c r="Q649" i="68" s="1"/>
  <c r="Q733" i="72"/>
  <c r="R657" i="68" s="1"/>
  <c r="Y738" i="72"/>
  <c r="Z662" i="68" s="1"/>
  <c r="R502" i="72"/>
  <c r="S362" i="68" s="1"/>
  <c r="U254" i="72"/>
  <c r="V51" i="68" s="1"/>
  <c r="V127" i="68" s="1"/>
  <c r="V218" i="68" s="1"/>
  <c r="AC241" i="72"/>
  <c r="AD38" i="68" s="1"/>
  <c r="AD89" i="68" s="1"/>
  <c r="AD180" i="68" s="1"/>
  <c r="AD271" i="68" s="1"/>
  <c r="M728" i="72"/>
  <c r="N652" i="68" s="1"/>
  <c r="Q748" i="72"/>
  <c r="R672" i="68" s="1"/>
  <c r="AB233" i="72"/>
  <c r="S751" i="72"/>
  <c r="S815" i="72" s="1"/>
  <c r="K750" i="72"/>
  <c r="L674" i="68" s="1"/>
  <c r="W250" i="72"/>
  <c r="X47" i="68" s="1"/>
  <c r="X116" i="68" s="1"/>
  <c r="X207" i="68" s="1"/>
  <c r="X298" i="68" s="1"/>
  <c r="Z726" i="72"/>
  <c r="N500" i="72"/>
  <c r="O360" i="68" s="1"/>
  <c r="W743" i="72"/>
  <c r="M499" i="72"/>
  <c r="AG729" i="72"/>
  <c r="AG244" i="72"/>
  <c r="H252" i="72"/>
  <c r="K496" i="72"/>
  <c r="L356" i="68" s="1"/>
  <c r="L727" i="72"/>
  <c r="M651" i="68" s="1"/>
  <c r="M748" i="72"/>
  <c r="N672" i="68" s="1"/>
  <c r="I746" i="72"/>
  <c r="J670" i="68" s="1"/>
  <c r="AA735" i="72"/>
  <c r="AB659" i="68" s="1"/>
  <c r="S237" i="72"/>
  <c r="T34" i="68" s="1"/>
  <c r="T76" i="68" s="1"/>
  <c r="N481" i="72"/>
  <c r="O341" i="68" s="1"/>
  <c r="AA499" i="72"/>
  <c r="AB359" i="68" s="1"/>
  <c r="X239" i="72"/>
  <c r="Y36" i="68" s="1"/>
  <c r="Y82" i="68" s="1"/>
  <c r="AD498" i="72"/>
  <c r="AE358" i="68" s="1"/>
  <c r="V497" i="72"/>
  <c r="V775" i="72" s="1"/>
  <c r="H725" i="72"/>
  <c r="I649" i="68" s="1"/>
  <c r="K742" i="72"/>
  <c r="H728" i="72"/>
  <c r="I652" i="68" s="1"/>
  <c r="P495" i="72"/>
  <c r="Q355" i="68" s="1"/>
  <c r="J731" i="72"/>
  <c r="K655" i="68" s="1"/>
  <c r="U243" i="72"/>
  <c r="V40" i="68" s="1"/>
  <c r="V94" i="68" s="1"/>
  <c r="K730" i="72"/>
  <c r="L654" i="68" s="1"/>
  <c r="O502" i="72"/>
  <c r="P362" i="68" s="1"/>
  <c r="S500" i="72"/>
  <c r="S259" i="72"/>
  <c r="AF259" i="72"/>
  <c r="AG56" i="68" s="1"/>
  <c r="AG143" i="68" s="1"/>
  <c r="AG234" i="68" s="1"/>
  <c r="AG325" i="68" s="1"/>
  <c r="K255" i="72"/>
  <c r="Q258" i="72"/>
  <c r="R55" i="68" s="1"/>
  <c r="V505" i="72"/>
  <c r="W365" i="68" s="1"/>
  <c r="Z749" i="72"/>
  <c r="AA673" i="68" s="1"/>
  <c r="W750" i="72"/>
  <c r="Z244" i="72"/>
  <c r="AA41" i="68" s="1"/>
  <c r="AA98" i="68" s="1"/>
  <c r="AA189" i="68" s="1"/>
  <c r="AA280" i="68" s="1"/>
  <c r="L491" i="72"/>
  <c r="M351" i="68" s="1"/>
  <c r="Q241" i="72"/>
  <c r="R38" i="68" s="1"/>
  <c r="R89" i="68" s="1"/>
  <c r="R180" i="68" s="1"/>
  <c r="R271" i="68" s="1"/>
  <c r="AD249" i="72"/>
  <c r="AE46" i="68" s="1"/>
  <c r="AE113" i="68" s="1"/>
  <c r="AE204" i="68" s="1"/>
  <c r="AE295" i="68" s="1"/>
  <c r="V234" i="72"/>
  <c r="W31" i="68" s="1"/>
  <c r="W67" i="68" s="1"/>
  <c r="L494" i="72"/>
  <c r="M354" i="68" s="1"/>
  <c r="AE743" i="72"/>
  <c r="Y743" i="72"/>
  <c r="Z667" i="68" s="1"/>
  <c r="M734" i="72"/>
  <c r="L726" i="72"/>
  <c r="M650" i="68" s="1"/>
  <c r="W728" i="72"/>
  <c r="AE233" i="72"/>
  <c r="AF30" i="68" s="1"/>
  <c r="AF64" i="68" s="1"/>
  <c r="L502" i="72"/>
  <c r="M362" i="68" s="1"/>
  <c r="L750" i="72"/>
  <c r="M674" i="68" s="1"/>
  <c r="N750" i="72"/>
  <c r="O674" i="68" s="1"/>
  <c r="K233" i="72"/>
  <c r="L30" i="68" s="1"/>
  <c r="AB751" i="72"/>
  <c r="AC675" i="68" s="1"/>
  <c r="Q259" i="72"/>
  <c r="R56" i="68" s="1"/>
  <c r="R143" i="68" s="1"/>
  <c r="R234" i="68" s="1"/>
  <c r="R325" i="68" s="1"/>
  <c r="T260" i="72"/>
  <c r="U57" i="68" s="1"/>
  <c r="U146" i="68" s="1"/>
  <c r="U237" i="68" s="1"/>
  <c r="U328" i="68" s="1"/>
  <c r="AC750" i="72"/>
  <c r="H258" i="72"/>
  <c r="W745" i="72"/>
  <c r="AD259" i="72"/>
  <c r="AE56" i="68" s="1"/>
  <c r="AE143" i="68" s="1"/>
  <c r="AE234" i="68" s="1"/>
  <c r="AE325" i="68" s="1"/>
  <c r="W747" i="72"/>
  <c r="X671" i="68" s="1"/>
  <c r="K747" i="72"/>
  <c r="L671" i="68" s="1"/>
  <c r="U724" i="72"/>
  <c r="V648" i="68" s="1"/>
  <c r="M747" i="72"/>
  <c r="N671" i="68" s="1"/>
  <c r="P748" i="72"/>
  <c r="Q672" i="68" s="1"/>
  <c r="AD479" i="72"/>
  <c r="AE339" i="68" s="1"/>
  <c r="L501" i="72"/>
  <c r="M361" i="68" s="1"/>
  <c r="U506" i="72"/>
  <c r="V366" i="68" s="1"/>
  <c r="AA258" i="72"/>
  <c r="AB55" i="68" s="1"/>
  <c r="AB139" i="68" s="1"/>
  <c r="O504" i="72"/>
  <c r="J503" i="72"/>
  <c r="K363" i="68" s="1"/>
  <c r="AG257" i="72"/>
  <c r="AH54" i="68" s="1"/>
  <c r="AH136" i="68" s="1"/>
  <c r="AB746" i="72"/>
  <c r="AC670" i="68" s="1"/>
  <c r="T724" i="72"/>
  <c r="U648" i="68" s="1"/>
  <c r="J745" i="72"/>
  <c r="K669" i="68" s="1"/>
  <c r="O506" i="72"/>
  <c r="P366" i="68" s="1"/>
  <c r="L747" i="72"/>
  <c r="M671" i="68" s="1"/>
  <c r="Q501" i="72"/>
  <c r="R361" i="68" s="1"/>
  <c r="Z492" i="72"/>
  <c r="AA352" i="68" s="1"/>
  <c r="T246" i="72"/>
  <c r="U43" i="68" s="1"/>
  <c r="U103" i="68" s="1"/>
  <c r="AC490" i="72"/>
  <c r="AD350" i="68" s="1"/>
  <c r="V736" i="72"/>
  <c r="W660" i="68" s="1"/>
  <c r="N245" i="72"/>
  <c r="AG745" i="72"/>
  <c r="AH669" i="68" s="1"/>
  <c r="T504" i="72"/>
  <c r="U364" i="68" s="1"/>
  <c r="U449" i="68" s="1"/>
  <c r="U540" i="68" s="1"/>
  <c r="U631" i="68" s="1"/>
  <c r="Y747" i="72"/>
  <c r="Z671" i="68" s="1"/>
  <c r="AB500" i="72"/>
  <c r="AC360" i="68" s="1"/>
  <c r="AB745" i="72"/>
  <c r="AC669" i="68" s="1"/>
  <c r="T501" i="72"/>
  <c r="U361" i="68" s="1"/>
  <c r="Q746" i="72"/>
  <c r="R670" i="68" s="1"/>
  <c r="AA746" i="72"/>
  <c r="AB670" i="68" s="1"/>
  <c r="W260" i="72"/>
  <c r="X57" i="68" s="1"/>
  <c r="X146" i="68" s="1"/>
  <c r="X237" i="68" s="1"/>
  <c r="X328" i="68" s="1"/>
  <c r="AC233" i="72"/>
  <c r="AD30" i="68" s="1"/>
  <c r="AD64" i="68" s="1"/>
  <c r="AD155" i="68" s="1"/>
  <c r="AD746" i="72"/>
  <c r="AE670" i="68" s="1"/>
  <c r="Y749" i="72"/>
  <c r="Z673" i="68" s="1"/>
  <c r="AD233" i="72"/>
  <c r="AE30" i="68" s="1"/>
  <c r="AE64" i="68" s="1"/>
  <c r="V500" i="72"/>
  <c r="W360" i="68" s="1"/>
  <c r="H750" i="72"/>
  <c r="I674" i="68" s="1"/>
  <c r="AC504" i="72"/>
  <c r="AD364" i="68" s="1"/>
  <c r="P501" i="72"/>
  <c r="Q361" i="68" s="1"/>
  <c r="X500" i="72"/>
  <c r="Y360" i="68" s="1"/>
  <c r="U747" i="72"/>
  <c r="V671" i="68" s="1"/>
  <c r="P746" i="72"/>
  <c r="Q670" i="68" s="1"/>
  <c r="I737" i="72"/>
  <c r="K500" i="72"/>
  <c r="O245" i="72"/>
  <c r="AD244" i="72"/>
  <c r="AE41" i="68" s="1"/>
  <c r="AE98" i="68" s="1"/>
  <c r="AE189" i="68" s="1"/>
  <c r="AE280" i="68" s="1"/>
  <c r="M492" i="72"/>
  <c r="O493" i="72"/>
  <c r="Y235" i="72"/>
  <c r="Z32" i="68" s="1"/>
  <c r="Z71" i="68" s="1"/>
  <c r="Z162" i="68" s="1"/>
  <c r="Z253" i="68" s="1"/>
  <c r="H240" i="72"/>
  <c r="I37" i="68" s="1"/>
  <c r="I85" i="68" s="1"/>
  <c r="U235" i="72"/>
  <c r="V32" i="68" s="1"/>
  <c r="V71" i="68" s="1"/>
  <c r="V162" i="68" s="1"/>
  <c r="V253" i="68" s="1"/>
  <c r="W243" i="72"/>
  <c r="X40" i="68" s="1"/>
  <c r="X95" i="68" s="1"/>
  <c r="X186" i="68" s="1"/>
  <c r="X277" i="68" s="1"/>
  <c r="X248" i="72"/>
  <c r="Y45" i="68" s="1"/>
  <c r="Y110" i="68" s="1"/>
  <c r="Y201" i="68" s="1"/>
  <c r="Y292" i="68" s="1"/>
  <c r="AF495" i="72"/>
  <c r="AG355" i="68" s="1"/>
  <c r="T241" i="72"/>
  <c r="U38" i="68" s="1"/>
  <c r="U88" i="68" s="1"/>
  <c r="AB485" i="72"/>
  <c r="AB763" i="72" s="1"/>
  <c r="AG481" i="72"/>
  <c r="AH341" i="68" s="1"/>
  <c r="AG744" i="72"/>
  <c r="H733" i="72"/>
  <c r="I657" i="68" s="1"/>
  <c r="R733" i="72"/>
  <c r="S657" i="68" s="1"/>
  <c r="L743" i="72"/>
  <c r="M667" i="68" s="1"/>
  <c r="AB741" i="72"/>
  <c r="AC665" i="68" s="1"/>
  <c r="AD726" i="72"/>
  <c r="AE650" i="68" s="1"/>
  <c r="AE487" i="72"/>
  <c r="AF347" i="68" s="1"/>
  <c r="AF247" i="72"/>
  <c r="AG247" i="72"/>
  <c r="AH44" i="68" s="1"/>
  <c r="AH107" i="68" s="1"/>
  <c r="AH198" i="68" s="1"/>
  <c r="AH289" i="68" s="1"/>
  <c r="V735" i="72"/>
  <c r="O491" i="72"/>
  <c r="O492" i="72"/>
  <c r="P493" i="72"/>
  <c r="K491" i="72"/>
  <c r="L351" i="68" s="1"/>
  <c r="K738" i="72"/>
  <c r="L662" i="68" s="1"/>
  <c r="AA734" i="72"/>
  <c r="AB658" i="68" s="1"/>
  <c r="U748" i="72"/>
  <c r="V672" i="68" s="1"/>
  <c r="V479" i="72"/>
  <c r="W339" i="68" s="1"/>
  <c r="Q751" i="72"/>
  <c r="R675" i="68" s="1"/>
  <c r="N506" i="72"/>
  <c r="O366" i="68" s="1"/>
  <c r="R503" i="72"/>
  <c r="S363" i="68" s="1"/>
  <c r="L503" i="72"/>
  <c r="M363" i="68" s="1"/>
  <c r="Y259" i="72"/>
  <c r="Z56" i="68" s="1"/>
  <c r="Z143" i="68" s="1"/>
  <c r="Z234" i="68" s="1"/>
  <c r="Z325" i="68" s="1"/>
  <c r="K247" i="72"/>
  <c r="L737" i="72"/>
  <c r="M661" i="68" s="1"/>
  <c r="Z260" i="72"/>
  <c r="J505" i="72"/>
  <c r="K365" i="68" s="1"/>
  <c r="X746" i="72"/>
  <c r="Y670" i="68" s="1"/>
  <c r="O748" i="72"/>
  <c r="P672" i="68" s="1"/>
  <c r="AB749" i="72"/>
  <c r="AC673" i="68" s="1"/>
  <c r="AE504" i="72"/>
  <c r="Y247" i="72"/>
  <c r="Z44" i="68" s="1"/>
  <c r="Z107" i="68" s="1"/>
  <c r="Z198" i="68" s="1"/>
  <c r="Z289" i="68" s="1"/>
  <c r="Y491" i="72"/>
  <c r="AC492" i="72"/>
  <c r="AD352" i="68" s="1"/>
  <c r="Q244" i="72"/>
  <c r="S486" i="72"/>
  <c r="J246" i="72"/>
  <c r="K43" i="68" s="1"/>
  <c r="K104" i="68" s="1"/>
  <c r="K195" i="68" s="1"/>
  <c r="K286" i="68" s="1"/>
  <c r="Q732" i="72"/>
  <c r="AE493" i="72"/>
  <c r="AF353" i="68" s="1"/>
  <c r="AA486" i="72"/>
  <c r="AB346" i="68" s="1"/>
  <c r="U246" i="72"/>
  <c r="V43" i="68" s="1"/>
  <c r="V103" i="68" s="1"/>
  <c r="X731" i="72"/>
  <c r="Y655" i="68" s="1"/>
  <c r="N491" i="72"/>
  <c r="O351" i="68" s="1"/>
  <c r="J240" i="72"/>
  <c r="K37" i="68" s="1"/>
  <c r="K85" i="68" s="1"/>
  <c r="H250" i="72"/>
  <c r="I47" i="68" s="1"/>
  <c r="I115" i="68" s="1"/>
  <c r="H488" i="72"/>
  <c r="I348" i="68" s="1"/>
  <c r="K241" i="72"/>
  <c r="L38" i="68" s="1"/>
  <c r="L88" i="68" s="1"/>
  <c r="Q249" i="72"/>
  <c r="R46" i="68" s="1"/>
  <c r="R113" i="68" s="1"/>
  <c r="R204" i="68" s="1"/>
  <c r="R295" i="68" s="1"/>
  <c r="J488" i="72"/>
  <c r="K348" i="68" s="1"/>
  <c r="W744" i="72"/>
  <c r="W808" i="72" s="1"/>
  <c r="N241" i="72"/>
  <c r="O38" i="68" s="1"/>
  <c r="O89" i="68" s="1"/>
  <c r="O180" i="68" s="1"/>
  <c r="O271" i="68" s="1"/>
  <c r="AD248" i="72"/>
  <c r="AE45" i="68" s="1"/>
  <c r="AE109" i="68" s="1"/>
  <c r="U236" i="72"/>
  <c r="V33" i="68" s="1"/>
  <c r="V73" i="68" s="1"/>
  <c r="S242" i="72"/>
  <c r="T39" i="68" s="1"/>
  <c r="AB242" i="72"/>
  <c r="AC39" i="68" s="1"/>
  <c r="X484" i="72"/>
  <c r="Y344" i="68" s="1"/>
  <c r="U751" i="72"/>
  <c r="V675" i="68" s="1"/>
  <c r="AA737" i="72"/>
  <c r="AB661" i="68" s="1"/>
  <c r="V745" i="72"/>
  <c r="W669" i="68" s="1"/>
  <c r="R732" i="72"/>
  <c r="S656" i="68" s="1"/>
  <c r="AE245" i="72"/>
  <c r="Z746" i="72"/>
  <c r="Z810" i="72" s="1"/>
  <c r="S479" i="72"/>
  <c r="T339" i="68" s="1"/>
  <c r="P745" i="72"/>
  <c r="P809" i="72" s="1"/>
  <c r="Y748" i="72"/>
  <c r="I479" i="72"/>
  <c r="S749" i="72"/>
  <c r="T673" i="68" s="1"/>
  <c r="H751" i="72"/>
  <c r="O260" i="72"/>
  <c r="P57" i="68" s="1"/>
  <c r="P145" i="68" s="1"/>
  <c r="AC500" i="72"/>
  <c r="AD360" i="68" s="1"/>
  <c r="O256" i="72"/>
  <c r="P53" i="68" s="1"/>
  <c r="P134" i="68" s="1"/>
  <c r="P225" i="68" s="1"/>
  <c r="P316" i="68" s="1"/>
  <c r="AF505" i="72"/>
  <c r="M731" i="72"/>
  <c r="X247" i="72"/>
  <c r="Y44" i="68" s="1"/>
  <c r="Y106" i="68" s="1"/>
  <c r="X493" i="72"/>
  <c r="Y353" i="68" s="1"/>
  <c r="AD486" i="72"/>
  <c r="AD500" i="72"/>
  <c r="AE360" i="68" s="1"/>
  <c r="W256" i="72"/>
  <c r="J748" i="72"/>
  <c r="K254" i="72"/>
  <c r="L51" i="68" s="1"/>
  <c r="L128" i="68" s="1"/>
  <c r="L219" i="68" s="1"/>
  <c r="L310" i="68" s="1"/>
  <c r="L724" i="72"/>
  <c r="M648" i="68" s="1"/>
  <c r="V503" i="72"/>
  <c r="V781" i="72" s="1"/>
  <c r="J501" i="72"/>
  <c r="J257" i="72"/>
  <c r="K54" i="68" s="1"/>
  <c r="K137" i="68" s="1"/>
  <c r="K228" i="68" s="1"/>
  <c r="K319" i="68" s="1"/>
  <c r="P747" i="72"/>
  <c r="I732" i="72"/>
  <c r="AA479" i="72"/>
  <c r="AB339" i="68" s="1"/>
  <c r="AA257" i="72"/>
  <c r="AB54" i="68" s="1"/>
  <c r="AB136" i="68" s="1"/>
  <c r="AB227" i="68" s="1"/>
  <c r="Y506" i="72"/>
  <c r="Z366" i="68" s="1"/>
  <c r="O500" i="72"/>
  <c r="P360" i="68" s="1"/>
  <c r="AG493" i="72"/>
  <c r="AH353" i="68" s="1"/>
  <c r="AE735" i="72"/>
  <c r="AF659" i="68" s="1"/>
  <c r="O244" i="72"/>
  <c r="P41" i="68" s="1"/>
  <c r="P97" i="68" s="1"/>
  <c r="I735" i="72"/>
  <c r="J659" i="68" s="1"/>
  <c r="X750" i="72"/>
  <c r="Y674" i="68" s="1"/>
  <c r="Y760" i="68" s="1"/>
  <c r="Y851" i="68" s="1"/>
  <c r="P503" i="72"/>
  <c r="R501" i="72"/>
  <c r="M724" i="72"/>
  <c r="U750" i="72"/>
  <c r="V674" i="68" s="1"/>
  <c r="H501" i="72"/>
  <c r="I361" i="68" s="1"/>
  <c r="AF750" i="72"/>
  <c r="AG674" i="68" s="1"/>
  <c r="Z748" i="72"/>
  <c r="AC257" i="72"/>
  <c r="AD54" i="68" s="1"/>
  <c r="AG749" i="72"/>
  <c r="Z258" i="72"/>
  <c r="AA724" i="72"/>
  <c r="Q749" i="72"/>
  <c r="W254" i="72"/>
  <c r="X51" i="68" s="1"/>
  <c r="X128" i="68" s="1"/>
  <c r="X219" i="68" s="1"/>
  <c r="X310" i="68" s="1"/>
  <c r="Q255" i="72"/>
  <c r="R52" i="68" s="1"/>
  <c r="AB737" i="72"/>
  <c r="AF258" i="72"/>
  <c r="AG55" i="68" s="1"/>
  <c r="AG139" i="68" s="1"/>
  <c r="H502" i="72"/>
  <c r="I362" i="68" s="1"/>
  <c r="I505" i="72"/>
  <c r="J365" i="68" s="1"/>
  <c r="AG750" i="72"/>
  <c r="Z724" i="72"/>
  <c r="AA648" i="68" s="1"/>
  <c r="I503" i="72"/>
  <c r="J363" i="68" s="1"/>
  <c r="I750" i="72"/>
  <c r="J674" i="68" s="1"/>
  <c r="Z503" i="72"/>
  <c r="AA363" i="68" s="1"/>
  <c r="T745" i="72"/>
  <c r="U669" i="68" s="1"/>
  <c r="J247" i="72"/>
  <c r="K44" i="68" s="1"/>
  <c r="K106" i="68" s="1"/>
  <c r="AF492" i="72"/>
  <c r="AF736" i="72"/>
  <c r="Y493" i="72"/>
  <c r="Z353" i="68" s="1"/>
  <c r="K735" i="72"/>
  <c r="L247" i="72"/>
  <c r="M44" i="68" s="1"/>
  <c r="M107" i="68" s="1"/>
  <c r="M198" i="68" s="1"/>
  <c r="M289" i="68" s="1"/>
  <c r="J244" i="72"/>
  <c r="AF737" i="72"/>
  <c r="AA244" i="72"/>
  <c r="AF490" i="72"/>
  <c r="AB490" i="72"/>
  <c r="X246" i="72"/>
  <c r="Y43" i="68" s="1"/>
  <c r="Y103" i="68" s="1"/>
  <c r="AB735" i="72"/>
  <c r="AC659" i="68" s="1"/>
  <c r="O487" i="72"/>
  <c r="W735" i="72"/>
  <c r="O246" i="72"/>
  <c r="P43" i="68" s="1"/>
  <c r="Q487" i="72"/>
  <c r="R347" i="68" s="1"/>
  <c r="L487" i="72"/>
  <c r="M347" i="68" s="1"/>
  <c r="Z245" i="72"/>
  <c r="AA42" i="68" s="1"/>
  <c r="AA100" i="68" s="1"/>
  <c r="AC735" i="72"/>
  <c r="AD659" i="68" s="1"/>
  <c r="R486" i="72"/>
  <c r="S346" i="68" s="1"/>
  <c r="M240" i="72"/>
  <c r="N37" i="68" s="1"/>
  <c r="N85" i="68" s="1"/>
  <c r="O738" i="72"/>
  <c r="P735" i="72"/>
  <c r="Q659" i="68" s="1"/>
  <c r="Z240" i="72"/>
  <c r="AA37" i="68" s="1"/>
  <c r="AA85" i="68" s="1"/>
  <c r="J491" i="72"/>
  <c r="N240" i="72"/>
  <c r="L736" i="72"/>
  <c r="L800" i="72" s="1"/>
  <c r="P737" i="72"/>
  <c r="Q661" i="68" s="1"/>
  <c r="I245" i="72"/>
  <c r="J42" i="68" s="1"/>
  <c r="J100" i="68" s="1"/>
  <c r="N738" i="72"/>
  <c r="AF240" i="72"/>
  <c r="AG37" i="68" s="1"/>
  <c r="Y250" i="72"/>
  <c r="Z47" i="68" s="1"/>
  <c r="X253" i="72"/>
  <c r="Y50" i="68" s="1"/>
  <c r="Y124" i="68" s="1"/>
  <c r="AD495" i="72"/>
  <c r="AE355" i="68" s="1"/>
  <c r="Y237" i="72"/>
  <c r="J253" i="72"/>
  <c r="K50" i="68" s="1"/>
  <c r="K253" i="72"/>
  <c r="L50" i="68" s="1"/>
  <c r="AC251" i="72"/>
  <c r="Y238" i="72"/>
  <c r="Z35" i="68" s="1"/>
  <c r="Z79" i="68" s="1"/>
  <c r="U250" i="72"/>
  <c r="V47" i="68" s="1"/>
  <c r="V116" i="68" s="1"/>
  <c r="V207" i="68" s="1"/>
  <c r="V298" i="68" s="1"/>
  <c r="H248" i="72"/>
  <c r="I45" i="68" s="1"/>
  <c r="I110" i="68" s="1"/>
  <c r="I201" i="68" s="1"/>
  <c r="I292" i="68" s="1"/>
  <c r="N249" i="72"/>
  <c r="O46" i="68" s="1"/>
  <c r="O113" i="68" s="1"/>
  <c r="O204" i="68" s="1"/>
  <c r="O295" i="68" s="1"/>
  <c r="Z481" i="72"/>
  <c r="AA341" i="68" s="1"/>
  <c r="S234" i="72"/>
  <c r="T31" i="68" s="1"/>
  <c r="T67" i="68" s="1"/>
  <c r="S243" i="72"/>
  <c r="T40" i="68" s="1"/>
  <c r="T94" i="68" s="1"/>
  <c r="K499" i="72"/>
  <c r="L359" i="68" s="1"/>
  <c r="L243" i="72"/>
  <c r="M40" i="68" s="1"/>
  <c r="M94" i="68" s="1"/>
  <c r="Y248" i="72"/>
  <c r="Z45" i="68" s="1"/>
  <c r="Z109" i="68" s="1"/>
  <c r="Y488" i="72"/>
  <c r="X497" i="72"/>
  <c r="Y357" i="68" s="1"/>
  <c r="H498" i="72"/>
  <c r="I358" i="68" s="1"/>
  <c r="AB740" i="72"/>
  <c r="AC664" i="68" s="1"/>
  <c r="X241" i="72"/>
  <c r="Y38" i="68" s="1"/>
  <c r="Y88" i="68" s="1"/>
  <c r="O243" i="72"/>
  <c r="P40" i="68" s="1"/>
  <c r="P94" i="68" s="1"/>
  <c r="N483" i="72"/>
  <c r="O343" i="68" s="1"/>
  <c r="H729" i="72"/>
  <c r="W235" i="72"/>
  <c r="X32" i="68" s="1"/>
  <c r="X71" i="68" s="1"/>
  <c r="X162" i="68" s="1"/>
  <c r="X253" i="68" s="1"/>
  <c r="U488" i="72"/>
  <c r="AG489" i="72"/>
  <c r="AF733" i="72"/>
  <c r="AG657" i="68" s="1"/>
  <c r="J744" i="72"/>
  <c r="I489" i="72"/>
  <c r="I767" i="72" s="1"/>
  <c r="M729" i="72"/>
  <c r="N653" i="68" s="1"/>
  <c r="AF499" i="72"/>
  <c r="AG359" i="68" s="1"/>
  <c r="R489" i="72"/>
  <c r="S349" i="68" s="1"/>
  <c r="AB727" i="72"/>
  <c r="AC651" i="68" s="1"/>
  <c r="K726" i="72"/>
  <c r="L650" i="68" s="1"/>
  <c r="I494" i="72"/>
  <c r="J354" i="68" s="1"/>
  <c r="AA482" i="72"/>
  <c r="AB342" i="68" s="1"/>
  <c r="V733" i="72"/>
  <c r="W657" i="68" s="1"/>
  <c r="K741" i="72"/>
  <c r="L665" i="68" s="1"/>
  <c r="Z739" i="72"/>
  <c r="N743" i="72"/>
  <c r="Q736" i="72"/>
  <c r="K725" i="72"/>
  <c r="L649" i="68" s="1"/>
  <c r="AE741" i="72"/>
  <c r="AF665" i="68" s="1"/>
  <c r="T742" i="72"/>
  <c r="U666" i="68" s="1"/>
  <c r="S734" i="72"/>
  <c r="T739" i="72"/>
  <c r="N740" i="72"/>
  <c r="O664" i="68" s="1"/>
  <c r="U728" i="72"/>
  <c r="U792" i="72" s="1"/>
  <c r="J741" i="72"/>
  <c r="Y733" i="72"/>
  <c r="Z657" i="68" s="1"/>
  <c r="AA740" i="72"/>
  <c r="M481" i="72"/>
  <c r="N341" i="68" s="1"/>
  <c r="AF253" i="72"/>
  <c r="AF237" i="72"/>
  <c r="AG34" i="68" s="1"/>
  <c r="N234" i="72"/>
  <c r="O31" i="68" s="1"/>
  <c r="O68" i="68" s="1"/>
  <c r="O159" i="68" s="1"/>
  <c r="O250" i="68" s="1"/>
  <c r="V235" i="72"/>
  <c r="W32" i="68" s="1"/>
  <c r="W70" i="68" s="1"/>
  <c r="L482" i="72"/>
  <c r="M342" i="68" s="1"/>
  <c r="H482" i="72"/>
  <c r="I342" i="68" s="1"/>
  <c r="H249" i="72"/>
  <c r="I46" i="68" s="1"/>
  <c r="I112" i="68" s="1"/>
  <c r="AC234" i="72"/>
  <c r="AD31" i="68" s="1"/>
  <c r="AD68" i="68" s="1"/>
  <c r="AD159" i="68" s="1"/>
  <c r="AD250" i="68" s="1"/>
  <c r="O729" i="72"/>
  <c r="P653" i="68" s="1"/>
  <c r="R485" i="72"/>
  <c r="S345" i="68" s="1"/>
  <c r="H238" i="72"/>
  <c r="AE732" i="72"/>
  <c r="AF656" i="68" s="1"/>
  <c r="T491" i="72"/>
  <c r="U351" i="68" s="1"/>
  <c r="T240" i="72"/>
  <c r="U37" i="68" s="1"/>
  <c r="U85" i="68" s="1"/>
  <c r="N490" i="72"/>
  <c r="O350" i="68" s="1"/>
  <c r="S481" i="72"/>
  <c r="T341" i="68" s="1"/>
  <c r="K235" i="72"/>
  <c r="L241" i="72"/>
  <c r="M38" i="68" s="1"/>
  <c r="M89" i="68" s="1"/>
  <c r="M180" i="68" s="1"/>
  <c r="M271" i="68" s="1"/>
  <c r="X252" i="72"/>
  <c r="Y49" i="68" s="1"/>
  <c r="T235" i="72"/>
  <c r="U32" i="68" s="1"/>
  <c r="U71" i="68" s="1"/>
  <c r="U162" i="68" s="1"/>
  <c r="U253" i="68" s="1"/>
  <c r="Q253" i="72"/>
  <c r="R50" i="68" s="1"/>
  <c r="R125" i="68" s="1"/>
  <c r="R216" i="68" s="1"/>
  <c r="R307" i="68" s="1"/>
  <c r="N243" i="72"/>
  <c r="O40" i="68" s="1"/>
  <c r="X481" i="72"/>
  <c r="Y341" i="68" s="1"/>
  <c r="N248" i="72"/>
  <c r="Q251" i="72"/>
  <c r="R48" i="68" s="1"/>
  <c r="R118" i="68" s="1"/>
  <c r="I251" i="72"/>
  <c r="J48" i="68" s="1"/>
  <c r="J118" i="68" s="1"/>
  <c r="H243" i="72"/>
  <c r="I40" i="68" s="1"/>
  <c r="I95" i="68" s="1"/>
  <c r="I186" i="68" s="1"/>
  <c r="I277" i="68" s="1"/>
  <c r="AF485" i="72"/>
  <c r="AG345" i="68" s="1"/>
  <c r="Z485" i="72"/>
  <c r="AA345" i="68" s="1"/>
  <c r="N480" i="72"/>
  <c r="Z495" i="72"/>
  <c r="AA355" i="68" s="1"/>
  <c r="W482" i="72"/>
  <c r="X342" i="68" s="1"/>
  <c r="AG243" i="72"/>
  <c r="AH40" i="68" s="1"/>
  <c r="AH95" i="68" s="1"/>
  <c r="AH186" i="68" s="1"/>
  <c r="AH277" i="68" s="1"/>
  <c r="P497" i="72"/>
  <c r="Q357" i="68" s="1"/>
  <c r="W497" i="72"/>
  <c r="K739" i="72"/>
  <c r="L663" i="68" s="1"/>
  <c r="AG495" i="72"/>
  <c r="T497" i="72"/>
  <c r="U357" i="68" s="1"/>
  <c r="AA729" i="72"/>
  <c r="AB653" i="68" s="1"/>
  <c r="AB729" i="72"/>
  <c r="AC653" i="68" s="1"/>
  <c r="I727" i="72"/>
  <c r="P483" i="72"/>
  <c r="Q343" i="68" s="1"/>
  <c r="AG488" i="72"/>
  <c r="AG766" i="72" s="1"/>
  <c r="P726" i="72"/>
  <c r="AE742" i="72"/>
  <c r="AF666" i="68" s="1"/>
  <c r="M480" i="72"/>
  <c r="N340" i="68" s="1"/>
  <c r="V737" i="72"/>
  <c r="AA743" i="72"/>
  <c r="AB667" i="68" s="1"/>
  <c r="M485" i="72"/>
  <c r="N345" i="68" s="1"/>
  <c r="K733" i="72"/>
  <c r="L657" i="68" s="1"/>
  <c r="AF744" i="72"/>
  <c r="AG668" i="68" s="1"/>
  <c r="Q729" i="72"/>
  <c r="Q793" i="72" s="1"/>
  <c r="Y730" i="72"/>
  <c r="Z654" i="68" s="1"/>
  <c r="K248" i="72"/>
  <c r="L45" i="68" s="1"/>
  <c r="L110" i="68" s="1"/>
  <c r="L201" i="68" s="1"/>
  <c r="L292" i="68" s="1"/>
  <c r="AC238" i="72"/>
  <c r="AD35" i="68" s="1"/>
  <c r="AD79" i="68" s="1"/>
  <c r="M488" i="72"/>
  <c r="N348" i="68" s="1"/>
  <c r="Z729" i="72"/>
  <c r="AA653" i="68" s="1"/>
  <c r="AF248" i="72"/>
  <c r="AG45" i="68" s="1"/>
  <c r="AG110" i="68" s="1"/>
  <c r="AG201" i="68" s="1"/>
  <c r="AG292" i="68" s="1"/>
  <c r="V249" i="72"/>
  <c r="W46" i="68" s="1"/>
  <c r="W112" i="68" s="1"/>
  <c r="AC239" i="72"/>
  <c r="AD36" i="68" s="1"/>
  <c r="AD82" i="68" s="1"/>
  <c r="H235" i="72"/>
  <c r="I32" i="68" s="1"/>
  <c r="I70" i="68" s="1"/>
  <c r="Q490" i="72"/>
  <c r="R350" i="68" s="1"/>
  <c r="U482" i="72"/>
  <c r="AF727" i="72"/>
  <c r="AG651" i="68" s="1"/>
  <c r="AE234" i="72"/>
  <c r="AB238" i="72"/>
  <c r="P489" i="72"/>
  <c r="X480" i="72"/>
  <c r="Y340" i="68" s="1"/>
  <c r="R735" i="72"/>
  <c r="S659" i="68" s="1"/>
  <c r="I499" i="72"/>
  <c r="Z483" i="72"/>
  <c r="AA343" i="68" s="1"/>
  <c r="N728" i="72"/>
  <c r="O652" i="68" s="1"/>
  <c r="Q498" i="72"/>
  <c r="P740" i="72"/>
  <c r="AE733" i="72"/>
  <c r="AF657" i="68" s="1"/>
  <c r="J489" i="72"/>
  <c r="K349" i="68" s="1"/>
  <c r="Q488" i="72"/>
  <c r="R348" i="68" s="1"/>
  <c r="V728" i="72"/>
  <c r="W652" i="68" s="1"/>
  <c r="J482" i="72"/>
  <c r="AD725" i="72"/>
  <c r="AE649" i="68" s="1"/>
  <c r="AB744" i="72"/>
  <c r="H742" i="72"/>
  <c r="I726" i="72"/>
  <c r="J650" i="68" s="1"/>
  <c r="S744" i="72"/>
  <c r="R739" i="72"/>
  <c r="S663" i="68" s="1"/>
  <c r="T734" i="72"/>
  <c r="U658" i="68" s="1"/>
  <c r="AC744" i="72"/>
  <c r="AD734" i="72"/>
  <c r="AE658" i="68" s="1"/>
  <c r="M725" i="72"/>
  <c r="N649" i="68" s="1"/>
  <c r="U727" i="72"/>
  <c r="V651" i="68" s="1"/>
  <c r="Q738" i="72"/>
  <c r="R662" i="68" s="1"/>
  <c r="O489" i="72"/>
  <c r="L489" i="72"/>
  <c r="M349" i="68" s="1"/>
  <c r="O249" i="72"/>
  <c r="P46" i="68" s="1"/>
  <c r="AA497" i="72"/>
  <c r="AC252" i="72"/>
  <c r="AD49" i="68" s="1"/>
  <c r="AD122" i="68" s="1"/>
  <c r="AD213" i="68" s="1"/>
  <c r="AD304" i="68" s="1"/>
  <c r="W499" i="72"/>
  <c r="Q499" i="72"/>
  <c r="R359" i="68" s="1"/>
  <c r="X498" i="72"/>
  <c r="Y358" i="68" s="1"/>
  <c r="N739" i="72"/>
  <c r="O663" i="68" s="1"/>
  <c r="AC482" i="72"/>
  <c r="AD342" i="68" s="1"/>
  <c r="O727" i="72"/>
  <c r="P651" i="68" s="1"/>
  <c r="M484" i="72"/>
  <c r="I482" i="72"/>
  <c r="J342" i="68" s="1"/>
  <c r="S742" i="72"/>
  <c r="T666" i="68" s="1"/>
  <c r="Y741" i="72"/>
  <c r="Z665" i="68" s="1"/>
  <c r="AC742" i="72"/>
  <c r="AD666" i="68" s="1"/>
  <c r="S725" i="72"/>
  <c r="T649" i="68" s="1"/>
  <c r="K737" i="72"/>
  <c r="M246" i="72"/>
  <c r="N43" i="68" s="1"/>
  <c r="N103" i="68" s="1"/>
  <c r="N732" i="72"/>
  <c r="O656" i="68" s="1"/>
  <c r="I492" i="72"/>
  <c r="L738" i="72"/>
  <c r="M662" i="68" s="1"/>
  <c r="K492" i="72"/>
  <c r="L352" i="68" s="1"/>
  <c r="AA240" i="72"/>
  <c r="AB37" i="68" s="1"/>
  <c r="AB85" i="68" s="1"/>
  <c r="Q240" i="72"/>
  <c r="R37" i="68" s="1"/>
  <c r="R85" i="68" s="1"/>
  <c r="L742" i="72"/>
  <c r="AG480" i="72"/>
  <c r="K251" i="72"/>
  <c r="L48" i="68" s="1"/>
  <c r="L119" i="68" s="1"/>
  <c r="L210" i="68" s="1"/>
  <c r="L301" i="68" s="1"/>
  <c r="Z234" i="72"/>
  <c r="N235" i="72"/>
  <c r="J251" i="72"/>
  <c r="Q252" i="72"/>
  <c r="R49" i="68" s="1"/>
  <c r="R121" i="68" s="1"/>
  <c r="W239" i="72"/>
  <c r="X36" i="68" s="1"/>
  <c r="X83" i="68" s="1"/>
  <c r="X174" i="68" s="1"/>
  <c r="X265" i="68" s="1"/>
  <c r="U241" i="72"/>
  <c r="V38" i="68" s="1"/>
  <c r="V88" i="68" s="1"/>
  <c r="AD239" i="72"/>
  <c r="AE36" i="68" s="1"/>
  <c r="AE83" i="68" s="1"/>
  <c r="AE174" i="68" s="1"/>
  <c r="AE265" i="68" s="1"/>
  <c r="AA495" i="72"/>
  <c r="AB355" i="68" s="1"/>
  <c r="AG734" i="72"/>
  <c r="AH658" i="68" s="1"/>
  <c r="AB250" i="72"/>
  <c r="AC47" i="68" s="1"/>
  <c r="AC115" i="68" s="1"/>
  <c r="Q485" i="72"/>
  <c r="R345" i="68" s="1"/>
  <c r="Y739" i="72"/>
  <c r="Q728" i="72"/>
  <c r="AF483" i="72"/>
  <c r="R496" i="72"/>
  <c r="S356" i="68" s="1"/>
  <c r="X482" i="72"/>
  <c r="Y342" i="68" s="1"/>
  <c r="H743" i="72"/>
  <c r="AB498" i="72"/>
  <c r="AC358" i="68" s="1"/>
  <c r="I743" i="72"/>
  <c r="J667" i="68" s="1"/>
  <c r="S738" i="72"/>
  <c r="W739" i="72"/>
  <c r="X663" i="68" s="1"/>
  <c r="U740" i="72"/>
  <c r="V664" i="68" s="1"/>
  <c r="AG727" i="72"/>
  <c r="AH651" i="68" s="1"/>
  <c r="T487" i="72"/>
  <c r="K240" i="72"/>
  <c r="R240" i="72"/>
  <c r="S37" i="68" s="1"/>
  <c r="S85" i="68" s="1"/>
  <c r="X735" i="72"/>
  <c r="AF235" i="72"/>
  <c r="AG32" i="68" s="1"/>
  <c r="AG70" i="68" s="1"/>
  <c r="AD253" i="72"/>
  <c r="AE50" i="68" s="1"/>
  <c r="AE124" i="68" s="1"/>
  <c r="M497" i="72"/>
  <c r="M775" i="72" s="1"/>
  <c r="U489" i="72"/>
  <c r="V349" i="68" s="1"/>
  <c r="S726" i="72"/>
  <c r="T650" i="68" s="1"/>
  <c r="T239" i="72"/>
  <c r="U36" i="68" s="1"/>
  <c r="U83" i="68" s="1"/>
  <c r="U174" i="68" s="1"/>
  <c r="U265" i="68" s="1"/>
  <c r="Z248" i="72"/>
  <c r="AA45" i="68" s="1"/>
  <c r="AA110" i="68" s="1"/>
  <c r="AA201" i="68" s="1"/>
  <c r="AA292" i="68" s="1"/>
  <c r="I497" i="72"/>
  <c r="J357" i="68" s="1"/>
  <c r="AA480" i="72"/>
  <c r="K234" i="72"/>
  <c r="L31" i="68" s="1"/>
  <c r="L67" i="68" s="1"/>
  <c r="AG485" i="72"/>
  <c r="AH345" i="68" s="1"/>
  <c r="J498" i="72"/>
  <c r="K358" i="68" s="1"/>
  <c r="O740" i="72"/>
  <c r="P664" i="68" s="1"/>
  <c r="AA238" i="72"/>
  <c r="AB35" i="68" s="1"/>
  <c r="AB79" i="68" s="1"/>
  <c r="AE242" i="72"/>
  <c r="AE494" i="72"/>
  <c r="AF354" i="68" s="1"/>
  <c r="W248" i="72"/>
  <c r="X45" i="68" s="1"/>
  <c r="X110" i="68" s="1"/>
  <c r="X201" i="68" s="1"/>
  <c r="X292" i="68" s="1"/>
  <c r="R484" i="72"/>
  <c r="AE489" i="72"/>
  <c r="U499" i="72"/>
  <c r="X489" i="72"/>
  <c r="Y349" i="68" s="1"/>
  <c r="AC499" i="72"/>
  <c r="S499" i="72"/>
  <c r="I495" i="72"/>
  <c r="J355" i="68" s="1"/>
  <c r="AD499" i="72"/>
  <c r="AE359" i="68" s="1"/>
  <c r="S484" i="72"/>
  <c r="T344" i="68" s="1"/>
  <c r="AA742" i="72"/>
  <c r="W730" i="72"/>
  <c r="X654" i="68" s="1"/>
  <c r="S482" i="72"/>
  <c r="T342" i="68" s="1"/>
  <c r="AF481" i="72"/>
  <c r="AG341" i="68" s="1"/>
  <c r="Z727" i="72"/>
  <c r="AA651" i="68" s="1"/>
  <c r="M741" i="72"/>
  <c r="N665" i="68" s="1"/>
  <c r="P742" i="72"/>
  <c r="Q666" i="68" s="1"/>
  <c r="O734" i="72"/>
  <c r="H737" i="72"/>
  <c r="AC741" i="72"/>
  <c r="AD665" i="68" s="1"/>
  <c r="I741" i="72"/>
  <c r="J665" i="68" s="1"/>
  <c r="H483" i="72"/>
  <c r="I343" i="68" s="1"/>
  <c r="R728" i="72"/>
  <c r="Z733" i="72"/>
  <c r="M128" i="68"/>
  <c r="M219" i="68" s="1"/>
  <c r="M310" i="68" s="1"/>
  <c r="M127" i="68"/>
  <c r="AF660" i="68"/>
  <c r="W124" i="68"/>
  <c r="W125" i="68"/>
  <c r="W216" i="68" s="1"/>
  <c r="W307" i="68" s="1"/>
  <c r="W118" i="68"/>
  <c r="W119" i="68"/>
  <c r="W210" i="68" s="1"/>
  <c r="W301" i="68" s="1"/>
  <c r="Y249" i="72"/>
  <c r="Z46" i="68" s="1"/>
  <c r="AF340" i="68"/>
  <c r="AA327" i="72"/>
  <c r="AA418" i="72"/>
  <c r="AG253" i="72"/>
  <c r="AH50" i="68" s="1"/>
  <c r="Q767" i="72"/>
  <c r="AD653" i="68"/>
  <c r="AC657" i="68"/>
  <c r="N744" i="72"/>
  <c r="Z448" i="72"/>
  <c r="Z477" i="72" s="1"/>
  <c r="Z357" i="72"/>
  <c r="X257" i="72"/>
  <c r="AF504" i="72"/>
  <c r="AD258" i="72"/>
  <c r="AE55" i="68" s="1"/>
  <c r="M64" i="68"/>
  <c r="M65" i="68"/>
  <c r="M156" i="68" s="1"/>
  <c r="M247" i="68" s="1"/>
  <c r="W366" i="68"/>
  <c r="V65" i="68"/>
  <c r="V156" i="68" s="1"/>
  <c r="V247" i="68" s="1"/>
  <c r="V64" i="68"/>
  <c r="R745" i="72"/>
  <c r="AA500" i="72"/>
  <c r="Z506" i="72"/>
  <c r="T256" i="72"/>
  <c r="U53" i="68" s="1"/>
  <c r="T254" i="72"/>
  <c r="U51" i="68" s="1"/>
  <c r="AG258" i="72"/>
  <c r="AH55" i="68" s="1"/>
  <c r="S746" i="72"/>
  <c r="K746" i="72"/>
  <c r="I134" i="68"/>
  <c r="I225" i="68" s="1"/>
  <c r="I316" i="68" s="1"/>
  <c r="M751" i="72"/>
  <c r="P257" i="72"/>
  <c r="Q54" i="68" s="1"/>
  <c r="V750" i="72"/>
  <c r="O362" i="68"/>
  <c r="AF502" i="72"/>
  <c r="AE503" i="72"/>
  <c r="AG360" i="68"/>
  <c r="AE259" i="72"/>
  <c r="AF56" i="68" s="1"/>
  <c r="AB362" i="68"/>
  <c r="AD130" i="68"/>
  <c r="AD131" i="68"/>
  <c r="AD222" i="68" s="1"/>
  <c r="AD313" i="68" s="1"/>
  <c r="AD506" i="72"/>
  <c r="L255" i="72"/>
  <c r="M52" i="68" s="1"/>
  <c r="R505" i="72"/>
  <c r="AC142" i="68"/>
  <c r="AC143" i="68"/>
  <c r="AC234" i="68" s="1"/>
  <c r="AC325" i="68" s="1"/>
  <c r="P502" i="72"/>
  <c r="AD257" i="72"/>
  <c r="AE54" i="68" s="1"/>
  <c r="O503" i="72"/>
  <c r="M233" i="72"/>
  <c r="N30" i="68" s="1"/>
  <c r="N259" i="72"/>
  <c r="O56" i="68" s="1"/>
  <c r="J255" i="72"/>
  <c r="K52" i="68" s="1"/>
  <c r="N747" i="72"/>
  <c r="L504" i="72"/>
  <c r="AB748" i="72"/>
  <c r="AC254" i="72"/>
  <c r="AD51" i="68" s="1"/>
  <c r="J502" i="72"/>
  <c r="M501" i="72"/>
  <c r="AF256" i="72"/>
  <c r="T259" i="72"/>
  <c r="U56" i="68" s="1"/>
  <c r="AB504" i="72"/>
  <c r="M746" i="72"/>
  <c r="K339" i="68"/>
  <c r="T503" i="72"/>
  <c r="AD748" i="72"/>
  <c r="L257" i="72"/>
  <c r="M54" i="68" s="1"/>
  <c r="S506" i="72"/>
  <c r="AE254" i="72"/>
  <c r="AF51" i="68" s="1"/>
  <c r="W501" i="72"/>
  <c r="M258" i="72"/>
  <c r="N55" i="68" s="1"/>
  <c r="X505" i="72"/>
  <c r="L258" i="72"/>
  <c r="M55" i="68" s="1"/>
  <c r="AC737" i="72"/>
  <c r="S724" i="72"/>
  <c r="AC506" i="72"/>
  <c r="Z745" i="72"/>
  <c r="I257" i="72"/>
  <c r="L745" i="72"/>
  <c r="AE502" i="72"/>
  <c r="X724" i="72"/>
  <c r="AA750" i="72"/>
  <c r="U486" i="72"/>
  <c r="AC245" i="72"/>
  <c r="AD42" i="68" s="1"/>
  <c r="U731" i="72"/>
  <c r="P486" i="72"/>
  <c r="I246" i="72"/>
  <c r="J43" i="68" s="1"/>
  <c r="U732" i="72"/>
  <c r="J487" i="72"/>
  <c r="X97" i="68"/>
  <c r="X98" i="68"/>
  <c r="X189" i="68" s="1"/>
  <c r="X280" i="68" s="1"/>
  <c r="AG736" i="72"/>
  <c r="O732" i="72"/>
  <c r="U493" i="72"/>
  <c r="P244" i="72"/>
  <c r="Q41" i="68" s="1"/>
  <c r="M737" i="72"/>
  <c r="N487" i="72"/>
  <c r="V244" i="72"/>
  <c r="W41" i="68" s="1"/>
  <c r="AC736" i="72"/>
  <c r="AB487" i="72"/>
  <c r="AC731" i="72"/>
  <c r="M656" i="68"/>
  <c r="R493" i="72"/>
  <c r="Z486" i="72"/>
  <c r="AF486" i="72"/>
  <c r="AB492" i="72"/>
  <c r="V493" i="72"/>
  <c r="N246" i="72"/>
  <c r="O43" i="68" s="1"/>
  <c r="X240" i="72"/>
  <c r="Y37" i="68" s="1"/>
  <c r="M736" i="72"/>
  <c r="P492" i="72"/>
  <c r="AE240" i="72"/>
  <c r="AF37" i="68" s="1"/>
  <c r="N493" i="72"/>
  <c r="Z659" i="68"/>
  <c r="M493" i="72"/>
  <c r="AF729" i="72"/>
  <c r="AC249" i="72"/>
  <c r="AD46" i="68" s="1"/>
  <c r="W354" i="68"/>
  <c r="AF71" i="68"/>
  <c r="AF162" i="68" s="1"/>
  <c r="AF253" i="68" s="1"/>
  <c r="X81" i="72"/>
  <c r="X172" i="72"/>
  <c r="AG249" i="72"/>
  <c r="AH46" i="68" s="1"/>
  <c r="AH118" i="68"/>
  <c r="AH119" i="68"/>
  <c r="AH210" i="68" s="1"/>
  <c r="AH301" i="68" s="1"/>
  <c r="K498" i="72"/>
  <c r="AD238" i="72"/>
  <c r="AE35" i="68" s="1"/>
  <c r="M235" i="72"/>
  <c r="AB248" i="72"/>
  <c r="AC45" i="68" s="1"/>
  <c r="AD77" i="68"/>
  <c r="AD168" i="68" s="1"/>
  <c r="AD259" i="68" s="1"/>
  <c r="AD76" i="68"/>
  <c r="K83" i="68"/>
  <c r="K174" i="68" s="1"/>
  <c r="K265" i="68" s="1"/>
  <c r="K82" i="68"/>
  <c r="N125" i="68"/>
  <c r="N216" i="68" s="1"/>
  <c r="N307" i="68" s="1"/>
  <c r="N124" i="68"/>
  <c r="N118" i="68"/>
  <c r="N119" i="68"/>
  <c r="N210" i="68" s="1"/>
  <c r="N301" i="68" s="1"/>
  <c r="X92" i="68"/>
  <c r="X183" i="68" s="1"/>
  <c r="X274" i="68" s="1"/>
  <c r="X91" i="68"/>
  <c r="AE81" i="72"/>
  <c r="AE172" i="72"/>
  <c r="AF249" i="72"/>
  <c r="AG46" i="68" s="1"/>
  <c r="AF113" i="68"/>
  <c r="AF204" i="68" s="1"/>
  <c r="AF295" i="68" s="1"/>
  <c r="AD236" i="72"/>
  <c r="AE33" i="68" s="1"/>
  <c r="AB253" i="72"/>
  <c r="AC50" i="68" s="1"/>
  <c r="W251" i="72"/>
  <c r="X48" i="68" s="1"/>
  <c r="AG250" i="72"/>
  <c r="AH47" i="68" s="1"/>
  <c r="L238" i="72"/>
  <c r="M35" i="68" s="1"/>
  <c r="P496" i="72"/>
  <c r="AH344" i="68"/>
  <c r="AG762" i="72"/>
  <c r="H494" i="72"/>
  <c r="Y485" i="72"/>
  <c r="I241" i="72"/>
  <c r="J38" i="68" s="1"/>
  <c r="W344" i="68"/>
  <c r="V762" i="72"/>
  <c r="N251" i="72"/>
  <c r="O48" i="68" s="1"/>
  <c r="K116" i="68"/>
  <c r="K207" i="68" s="1"/>
  <c r="K298" i="68" s="1"/>
  <c r="K115" i="68"/>
  <c r="Z88" i="68"/>
  <c r="Z89" i="68"/>
  <c r="Z180" i="68" s="1"/>
  <c r="Z271" i="68" s="1"/>
  <c r="L251" i="72"/>
  <c r="M48" i="68" s="1"/>
  <c r="I359" i="68"/>
  <c r="H777" i="72"/>
  <c r="R94" i="68"/>
  <c r="R95" i="68"/>
  <c r="R186" i="68" s="1"/>
  <c r="R277" i="68" s="1"/>
  <c r="AC494" i="72"/>
  <c r="U496" i="72"/>
  <c r="AE253" i="72"/>
  <c r="AA81" i="72"/>
  <c r="AA172" i="72"/>
  <c r="AH79" i="68"/>
  <c r="AH80" i="68"/>
  <c r="AH171" i="68" s="1"/>
  <c r="AH262" i="68" s="1"/>
  <c r="AE484" i="72"/>
  <c r="H497" i="72"/>
  <c r="X650" i="68"/>
  <c r="AA118" i="68"/>
  <c r="AA119" i="68"/>
  <c r="AA210" i="68" s="1"/>
  <c r="AA301" i="68" s="1"/>
  <c r="AC253" i="72"/>
  <c r="AD50" i="68" s="1"/>
  <c r="Y251" i="72"/>
  <c r="Z48" i="68" s="1"/>
  <c r="Y94" i="68"/>
  <c r="Y95" i="68"/>
  <c r="Y186" i="68" s="1"/>
  <c r="Y277" i="68" s="1"/>
  <c r="M494" i="72"/>
  <c r="AE773" i="72"/>
  <c r="AF355" i="68"/>
  <c r="W348" i="68"/>
  <c r="Q482" i="72"/>
  <c r="K488" i="72"/>
  <c r="AC495" i="72"/>
  <c r="M359" i="68"/>
  <c r="AA344" i="68"/>
  <c r="AC496" i="72"/>
  <c r="Q497" i="72"/>
  <c r="H734" i="72"/>
  <c r="AE663" i="68"/>
  <c r="O327" i="72"/>
  <c r="O418" i="72"/>
  <c r="Y481" i="72"/>
  <c r="K495" i="72"/>
  <c r="L496" i="72"/>
  <c r="AH343" i="68"/>
  <c r="O776" i="72"/>
  <c r="P358" i="68"/>
  <c r="R651" i="68"/>
  <c r="X743" i="72"/>
  <c r="U343" i="68"/>
  <c r="K497" i="72"/>
  <c r="Y355" i="68"/>
  <c r="S327" i="72"/>
  <c r="S418" i="72"/>
  <c r="T738" i="72"/>
  <c r="Q496" i="72"/>
  <c r="M743" i="72"/>
  <c r="AB657" i="68"/>
  <c r="AD733" i="72"/>
  <c r="M744" i="72"/>
  <c r="X805" i="72"/>
  <c r="Y665" i="68"/>
  <c r="U652" i="68"/>
  <c r="M482" i="72"/>
  <c r="AB742" i="72"/>
  <c r="I729" i="72"/>
  <c r="O741" i="72"/>
  <c r="S658" i="68"/>
  <c r="J734" i="72"/>
  <c r="AD663" i="68"/>
  <c r="T572" i="72"/>
  <c r="T663" i="72"/>
  <c r="I742" i="72"/>
  <c r="AF572" i="72"/>
  <c r="AF663" i="72"/>
  <c r="W665" i="68"/>
  <c r="R572" i="72"/>
  <c r="R663" i="72"/>
  <c r="V738" i="72"/>
  <c r="N742" i="72"/>
  <c r="AF743" i="72"/>
  <c r="W653" i="68"/>
  <c r="V793" i="72"/>
  <c r="P744" i="72"/>
  <c r="U737" i="72"/>
  <c r="Z649" i="68"/>
  <c r="Q737" i="72"/>
  <c r="K693" i="72"/>
  <c r="K722" i="72" s="1"/>
  <c r="K602" i="72"/>
  <c r="I448" i="72"/>
  <c r="I477" i="72" s="1"/>
  <c r="I357" i="72"/>
  <c r="S741" i="72"/>
  <c r="Z734" i="72"/>
  <c r="I252" i="72"/>
  <c r="J49" i="68" s="1"/>
  <c r="Y482" i="72"/>
  <c r="V448" i="72"/>
  <c r="V477" i="72" s="1"/>
  <c r="V357" i="72"/>
  <c r="W485" i="72"/>
  <c r="W693" i="72"/>
  <c r="W722" i="72" s="1"/>
  <c r="W602" i="72"/>
  <c r="P202" i="72"/>
  <c r="P231" i="72" s="1"/>
  <c r="P111" i="72"/>
  <c r="Q248" i="72"/>
  <c r="R45" i="68" s="1"/>
  <c r="W202" i="72"/>
  <c r="W231" i="72" s="1"/>
  <c r="W111" i="72"/>
  <c r="N250" i="72"/>
  <c r="O47" i="68" s="1"/>
  <c r="V202" i="72"/>
  <c r="V231" i="72" s="1"/>
  <c r="V111" i="72"/>
  <c r="Y737" i="72"/>
  <c r="AB202" i="72"/>
  <c r="AB231" i="72" s="1"/>
  <c r="AB111" i="72"/>
  <c r="P253" i="72"/>
  <c r="Q50" i="68" s="1"/>
  <c r="N252" i="72"/>
  <c r="O49" i="68" s="1"/>
  <c r="H487" i="72"/>
  <c r="W725" i="72"/>
  <c r="M483" i="72"/>
  <c r="S235" i="72"/>
  <c r="I485" i="72"/>
  <c r="I236" i="72"/>
  <c r="J33" i="68" s="1"/>
  <c r="AC572" i="72"/>
  <c r="AC663" i="72"/>
  <c r="W448" i="72"/>
  <c r="W477" i="72" s="1"/>
  <c r="W357" i="72"/>
  <c r="AC81" i="72"/>
  <c r="AC172" i="72"/>
  <c r="Y356" i="68"/>
  <c r="X774" i="72"/>
  <c r="L202" i="72"/>
  <c r="L231" i="72" s="1"/>
  <c r="L111" i="72"/>
  <c r="W651" i="68"/>
  <c r="N356" i="68"/>
  <c r="U572" i="72"/>
  <c r="U663" i="72"/>
  <c r="AB693" i="72"/>
  <c r="AB722" i="72" s="1"/>
  <c r="AB602" i="72"/>
  <c r="N202" i="72"/>
  <c r="N231" i="72" s="1"/>
  <c r="N111" i="72"/>
  <c r="J726" i="72"/>
  <c r="AF693" i="72"/>
  <c r="AF722" i="72" s="1"/>
  <c r="AF602" i="72"/>
  <c r="Y233" i="72"/>
  <c r="Z30" i="68" s="1"/>
  <c r="AC128" i="68"/>
  <c r="AC219" i="68" s="1"/>
  <c r="AC310" i="68" s="1"/>
  <c r="AC127" i="68"/>
  <c r="T750" i="72"/>
  <c r="N257" i="72"/>
  <c r="O54" i="68" s="1"/>
  <c r="R750" i="72"/>
  <c r="AD503" i="72"/>
  <c r="H257" i="72"/>
  <c r="I54" i="68" s="1"/>
  <c r="L746" i="72"/>
  <c r="AB256" i="72"/>
  <c r="AC53" i="68" s="1"/>
  <c r="Q127" i="68"/>
  <c r="Q128" i="68"/>
  <c r="Q219" i="68" s="1"/>
  <c r="Q310" i="68" s="1"/>
  <c r="N503" i="72"/>
  <c r="N255" i="72"/>
  <c r="O52" i="68" s="1"/>
  <c r="AG501" i="72"/>
  <c r="U260" i="72"/>
  <c r="V57" i="68" s="1"/>
  <c r="Q260" i="72"/>
  <c r="R57" i="68" s="1"/>
  <c r="V502" i="72"/>
  <c r="X256" i="72"/>
  <c r="Y53" i="68" s="1"/>
  <c r="R504" i="72"/>
  <c r="Y745" i="72"/>
  <c r="X259" i="72"/>
  <c r="AB501" i="72"/>
  <c r="P256" i="72"/>
  <c r="Q53" i="68" s="1"/>
  <c r="L446" i="68"/>
  <c r="L537" i="68" s="1"/>
  <c r="L628" i="68" s="1"/>
  <c r="L445" i="68"/>
  <c r="AD256" i="72"/>
  <c r="AE53" i="68" s="1"/>
  <c r="AE751" i="72"/>
  <c r="X255" i="72"/>
  <c r="Y52" i="68" s="1"/>
  <c r="J233" i="72"/>
  <c r="W255" i="72"/>
  <c r="X52" i="68" s="1"/>
  <c r="Z747" i="72"/>
  <c r="V724" i="72"/>
  <c r="M479" i="72"/>
  <c r="Y255" i="72"/>
  <c r="Z52" i="68" s="1"/>
  <c r="AD504" i="72"/>
  <c r="U745" i="72"/>
  <c r="I260" i="72"/>
  <c r="J57" i="68" s="1"/>
  <c r="J256" i="72"/>
  <c r="K53" i="68" s="1"/>
  <c r="I504" i="72"/>
  <c r="AC745" i="72"/>
  <c r="J259" i="72"/>
  <c r="K56" i="68" s="1"/>
  <c r="N751" i="72"/>
  <c r="K504" i="72"/>
  <c r="N260" i="72"/>
  <c r="O57" i="68" s="1"/>
  <c r="U256" i="72"/>
  <c r="V53" i="68" s="1"/>
  <c r="Q254" i="72"/>
  <c r="R51" i="68" s="1"/>
  <c r="AC501" i="72"/>
  <c r="AA506" i="72"/>
  <c r="AC746" i="72"/>
  <c r="X749" i="72"/>
  <c r="I233" i="72"/>
  <c r="J30" i="68" s="1"/>
  <c r="W731" i="72"/>
  <c r="K245" i="72"/>
  <c r="L42" i="68" s="1"/>
  <c r="AB486" i="72"/>
  <c r="N244" i="72"/>
  <c r="O41" i="68" s="1"/>
  <c r="V731" i="72"/>
  <c r="AF731" i="72"/>
  <c r="AC244" i="72"/>
  <c r="AD41" i="68" s="1"/>
  <c r="L244" i="72"/>
  <c r="M41" i="68" s="1"/>
  <c r="AA490" i="72"/>
  <c r="U491" i="72"/>
  <c r="AG245" i="72"/>
  <c r="AH42" i="68" s="1"/>
  <c r="R245" i="72"/>
  <c r="S42" i="68" s="1"/>
  <c r="R247" i="72"/>
  <c r="S44" i="68" s="1"/>
  <c r="R731" i="72"/>
  <c r="W487" i="72"/>
  <c r="Z246" i="72"/>
  <c r="AA247" i="72"/>
  <c r="AB44" i="68" s="1"/>
  <c r="U247" i="72"/>
  <c r="V44" i="68" s="1"/>
  <c r="X245" i="72"/>
  <c r="AF732" i="72"/>
  <c r="I736" i="72"/>
  <c r="AE246" i="72"/>
  <c r="AF43" i="68" s="1"/>
  <c r="U245" i="72"/>
  <c r="V42" i="68" s="1"/>
  <c r="K493" i="72"/>
  <c r="N735" i="72"/>
  <c r="M490" i="72"/>
  <c r="J493" i="72"/>
  <c r="I81" i="72"/>
  <c r="I172" i="72"/>
  <c r="H768" i="72"/>
  <c r="I350" i="68"/>
  <c r="U202" i="72"/>
  <c r="U231" i="72" s="1"/>
  <c r="U111" i="72"/>
  <c r="U248" i="72"/>
  <c r="V45" i="68" s="1"/>
  <c r="AB112" i="68"/>
  <c r="AB113" i="68"/>
  <c r="AB204" i="68" s="1"/>
  <c r="AB295" i="68" s="1"/>
  <c r="K250" i="72"/>
  <c r="AE252" i="72"/>
  <c r="AA95" i="68"/>
  <c r="AA186" i="68" s="1"/>
  <c r="AA277" i="68" s="1"/>
  <c r="AA94" i="68"/>
  <c r="L248" i="72"/>
  <c r="M45" i="68" s="1"/>
  <c r="AH91" i="68"/>
  <c r="AH92" i="68"/>
  <c r="AH183" i="68" s="1"/>
  <c r="AH274" i="68" s="1"/>
  <c r="AE89" i="68"/>
  <c r="AE180" i="68" s="1"/>
  <c r="AE271" i="68" s="1"/>
  <c r="AE88" i="68"/>
  <c r="AE116" i="68"/>
  <c r="AE207" i="68" s="1"/>
  <c r="AE298" i="68" s="1"/>
  <c r="AC349" i="68"/>
  <c r="T236" i="72"/>
  <c r="U33" i="68" s="1"/>
  <c r="S249" i="72"/>
  <c r="T46" i="68" s="1"/>
  <c r="S236" i="72"/>
  <c r="T33" i="68" s="1"/>
  <c r="R235" i="72"/>
  <c r="S32" i="68" s="1"/>
  <c r="V76" i="68"/>
  <c r="V77" i="68"/>
  <c r="V168" i="68" s="1"/>
  <c r="V259" i="68" s="1"/>
  <c r="H234" i="72"/>
  <c r="I31" i="68" s="1"/>
  <c r="AF488" i="72"/>
  <c r="Z124" i="68"/>
  <c r="Z125" i="68"/>
  <c r="Z216" i="68" s="1"/>
  <c r="Z307" i="68" s="1"/>
  <c r="H247" i="72"/>
  <c r="I44" i="68" s="1"/>
  <c r="I356" i="68"/>
  <c r="AG327" i="72"/>
  <c r="AG418" i="72"/>
  <c r="S250" i="72"/>
  <c r="T47" i="68" s="1"/>
  <c r="X88" i="68"/>
  <c r="X89" i="68"/>
  <c r="X180" i="68" s="1"/>
  <c r="X271" i="68" s="1"/>
  <c r="Q651" i="68"/>
  <c r="S202" i="72"/>
  <c r="S231" i="72" s="1"/>
  <c r="S111" i="72"/>
  <c r="T355" i="68"/>
  <c r="X235" i="72"/>
  <c r="Y32" i="68" s="1"/>
  <c r="AF348" i="68"/>
  <c r="N242" i="72"/>
  <c r="O39" i="68" s="1"/>
  <c r="Z235" i="72"/>
  <c r="AA32" i="68" s="1"/>
  <c r="V499" i="72"/>
  <c r="O235" i="72"/>
  <c r="P32" i="68" s="1"/>
  <c r="AA248" i="72"/>
  <c r="AB45" i="68" s="1"/>
  <c r="N236" i="72"/>
  <c r="O33" i="68" s="1"/>
  <c r="W481" i="72"/>
  <c r="AD497" i="72"/>
  <c r="AB484" i="72"/>
  <c r="T357" i="68"/>
  <c r="AA356" i="68"/>
  <c r="Y484" i="72"/>
  <c r="O448" i="72"/>
  <c r="O477" i="72" s="1"/>
  <c r="O357" i="72"/>
  <c r="W737" i="72"/>
  <c r="K357" i="68"/>
  <c r="P498" i="72"/>
  <c r="AA484" i="72"/>
  <c r="U327" i="72"/>
  <c r="U418" i="72"/>
  <c r="AB327" i="72"/>
  <c r="AB418" i="72"/>
  <c r="AB743" i="72"/>
  <c r="T348" i="68"/>
  <c r="AB483" i="72"/>
  <c r="AB349" i="68"/>
  <c r="P654" i="68"/>
  <c r="AA494" i="72"/>
  <c r="U497" i="72"/>
  <c r="M652" i="68"/>
  <c r="O744" i="72"/>
  <c r="U743" i="72"/>
  <c r="V354" i="68"/>
  <c r="AB734" i="72"/>
  <c r="V739" i="72"/>
  <c r="V743" i="72"/>
  <c r="P729" i="72"/>
  <c r="S668" i="68"/>
  <c r="O725" i="72"/>
  <c r="AD742" i="72"/>
  <c r="J484" i="72"/>
  <c r="W729" i="72"/>
  <c r="W734" i="72"/>
  <c r="Q572" i="72"/>
  <c r="Q663" i="72"/>
  <c r="S693" i="72"/>
  <c r="S722" i="72" s="1"/>
  <c r="S602" i="72"/>
  <c r="X728" i="72"/>
  <c r="K743" i="72"/>
  <c r="I744" i="72"/>
  <c r="J485" i="72"/>
  <c r="M234" i="72"/>
  <c r="N31" i="68" s="1"/>
  <c r="R730" i="72"/>
  <c r="I572" i="72"/>
  <c r="I663" i="72"/>
  <c r="U448" i="72"/>
  <c r="U477" i="72" s="1"/>
  <c r="U357" i="72"/>
  <c r="K484" i="72"/>
  <c r="AF742" i="72"/>
  <c r="AB249" i="72"/>
  <c r="AC46" i="68" s="1"/>
  <c r="O253" i="72"/>
  <c r="P50" i="68" s="1"/>
  <c r="AG499" i="72"/>
  <c r="U238" i="72"/>
  <c r="AE730" i="72"/>
  <c r="T248" i="72"/>
  <c r="U45" i="68" s="1"/>
  <c r="P250" i="72"/>
  <c r="AC327" i="72"/>
  <c r="AC418" i="72"/>
  <c r="Q726" i="72"/>
  <c r="U693" i="72"/>
  <c r="U722" i="72" s="1"/>
  <c r="U602" i="72"/>
  <c r="U734" i="72"/>
  <c r="Y448" i="72"/>
  <c r="Y477" i="72" s="1"/>
  <c r="Y357" i="72"/>
  <c r="J481" i="72"/>
  <c r="AA730" i="72"/>
  <c r="H485" i="72"/>
  <c r="X733" i="72"/>
  <c r="P237" i="72"/>
  <c r="Q34" i="68" s="1"/>
  <c r="AB739" i="72"/>
  <c r="P128" i="68"/>
  <c r="L365" i="68"/>
  <c r="R236" i="72"/>
  <c r="S33" i="68" s="1"/>
  <c r="V327" i="72"/>
  <c r="V418" i="72"/>
  <c r="W80" i="68"/>
  <c r="W171" i="68" s="1"/>
  <c r="W262" i="68" s="1"/>
  <c r="W79" i="68"/>
  <c r="P81" i="72"/>
  <c r="P172" i="72"/>
  <c r="T327" i="72"/>
  <c r="T418" i="72"/>
  <c r="AC497" i="72"/>
  <c r="U650" i="68"/>
  <c r="J327" i="72"/>
  <c r="J418" i="72"/>
  <c r="N693" i="72"/>
  <c r="N722" i="72" s="1"/>
  <c r="N602" i="72"/>
  <c r="O693" i="72"/>
  <c r="O722" i="72" s="1"/>
  <c r="O602" i="72"/>
  <c r="R693" i="72"/>
  <c r="R722" i="72" s="1"/>
  <c r="R602" i="72"/>
  <c r="I254" i="72"/>
  <c r="J51" i="68" s="1"/>
  <c r="V258" i="72"/>
  <c r="W55" i="68" s="1"/>
  <c r="K751" i="72"/>
  <c r="AE479" i="72"/>
  <c r="AC503" i="72"/>
  <c r="W751" i="72"/>
  <c r="K748" i="72"/>
  <c r="AF257" i="72"/>
  <c r="AG54" i="68" s="1"/>
  <c r="AF749" i="72"/>
  <c r="AD750" i="72"/>
  <c r="O750" i="72"/>
  <c r="P259" i="72"/>
  <c r="Q56" i="68" s="1"/>
  <c r="S673" i="68"/>
  <c r="X751" i="72"/>
  <c r="Y501" i="72"/>
  <c r="AA259" i="72"/>
  <c r="AB56" i="68" s="1"/>
  <c r="AA749" i="72"/>
  <c r="Z501" i="72"/>
  <c r="AB506" i="72"/>
  <c r="AD505" i="72"/>
  <c r="V256" i="72"/>
  <c r="U503" i="72"/>
  <c r="X233" i="72"/>
  <c r="Y30" i="68" s="1"/>
  <c r="AA255" i="72"/>
  <c r="AB52" i="68" s="1"/>
  <c r="S745" i="72"/>
  <c r="L260" i="72"/>
  <c r="M57" i="68" s="1"/>
  <c r="V749" i="72"/>
  <c r="AB747" i="72"/>
  <c r="T749" i="72"/>
  <c r="O501" i="72"/>
  <c r="Z505" i="72"/>
  <c r="J254" i="72"/>
  <c r="K51" i="68" s="1"/>
  <c r="X260" i="72"/>
  <c r="AF254" i="72"/>
  <c r="AG51" i="68" s="1"/>
  <c r="Q256" i="72"/>
  <c r="R53" i="68" s="1"/>
  <c r="N749" i="72"/>
  <c r="T502" i="72"/>
  <c r="W746" i="72"/>
  <c r="Y505" i="72"/>
  <c r="S747" i="72"/>
  <c r="AG254" i="72"/>
  <c r="AH51" i="68" s="1"/>
  <c r="AE506" i="72"/>
  <c r="S502" i="72"/>
  <c r="Q503" i="72"/>
  <c r="Q750" i="72"/>
  <c r="S503" i="72"/>
  <c r="W233" i="72"/>
  <c r="K479" i="72"/>
  <c r="Z750" i="72"/>
  <c r="I500" i="72"/>
  <c r="M100" i="68"/>
  <c r="M101" i="68"/>
  <c r="M192" i="68" s="1"/>
  <c r="M283" i="68" s="1"/>
  <c r="P738" i="72"/>
  <c r="AA491" i="72"/>
  <c r="Y660" i="68"/>
  <c r="T486" i="72"/>
  <c r="AC487" i="72"/>
  <c r="AB245" i="72"/>
  <c r="AC42" i="68" s="1"/>
  <c r="V732" i="72"/>
  <c r="AD247" i="72"/>
  <c r="AE44" i="68" s="1"/>
  <c r="Y487" i="72"/>
  <c r="AE244" i="72"/>
  <c r="S493" i="72"/>
  <c r="W732" i="72"/>
  <c r="T732" i="72"/>
  <c r="Y244" i="72"/>
  <c r="K732" i="72"/>
  <c r="N731" i="72"/>
  <c r="V490" i="72"/>
  <c r="V247" i="72"/>
  <c r="W44" i="68" s="1"/>
  <c r="Z247" i="72"/>
  <c r="AA44" i="68" s="1"/>
  <c r="P246" i="72"/>
  <c r="Q43" i="68" s="1"/>
  <c r="AA492" i="72"/>
  <c r="J737" i="72"/>
  <c r="T492" i="72"/>
  <c r="W736" i="72"/>
  <c r="X491" i="72"/>
  <c r="W486" i="72"/>
  <c r="Z731" i="72"/>
  <c r="I247" i="72"/>
  <c r="J44" i="68" s="1"/>
  <c r="K736" i="72"/>
  <c r="J736" i="72"/>
  <c r="AG240" i="72"/>
  <c r="AH37" i="68" s="1"/>
  <c r="L493" i="72"/>
  <c r="AA736" i="72"/>
  <c r="O737" i="72"/>
  <c r="I240" i="72"/>
  <c r="J37" i="68" s="1"/>
  <c r="X77" i="68"/>
  <c r="X168" i="68" s="1"/>
  <c r="X259" i="68" s="1"/>
  <c r="L253" i="72"/>
  <c r="M50" i="68" s="1"/>
  <c r="Q493" i="72"/>
  <c r="AB88" i="68"/>
  <c r="AC236" i="72"/>
  <c r="AF236" i="72"/>
  <c r="AG33" i="68" s="1"/>
  <c r="N485" i="72"/>
  <c r="Q236" i="72"/>
  <c r="R33" i="68" s="1"/>
  <c r="V81" i="72"/>
  <c r="V172" i="72"/>
  <c r="U91" i="68"/>
  <c r="U92" i="68"/>
  <c r="U183" i="68" s="1"/>
  <c r="U274" i="68" s="1"/>
  <c r="L122" i="68"/>
  <c r="L213" i="68" s="1"/>
  <c r="L304" i="68" s="1"/>
  <c r="L121" i="68"/>
  <c r="AF202" i="72"/>
  <c r="AF231" i="72" s="1"/>
  <c r="AF111" i="72"/>
  <c r="X122" i="68"/>
  <c r="X213" i="68" s="1"/>
  <c r="X304" i="68" s="1"/>
  <c r="Q448" i="72"/>
  <c r="Q477" i="72" s="1"/>
  <c r="Q357" i="72"/>
  <c r="U234" i="72"/>
  <c r="V31" i="68" s="1"/>
  <c r="V250" i="72"/>
  <c r="W47" i="68" s="1"/>
  <c r="AC243" i="72"/>
  <c r="AD40" i="68" s="1"/>
  <c r="S253" i="72"/>
  <c r="T50" i="68" s="1"/>
  <c r="Y489" i="72"/>
  <c r="Z498" i="72"/>
  <c r="AG725" i="72"/>
  <c r="I82" i="68"/>
  <c r="I83" i="68"/>
  <c r="I174" i="68" s="1"/>
  <c r="I265" i="68" s="1"/>
  <c r="U253" i="72"/>
  <c r="V50" i="68" s="1"/>
  <c r="M448" i="72"/>
  <c r="M477" i="72" s="1"/>
  <c r="M357" i="72"/>
  <c r="AF327" i="72"/>
  <c r="AF418" i="72"/>
  <c r="P251" i="72"/>
  <c r="Q48" i="68" s="1"/>
  <c r="U251" i="72"/>
  <c r="V48" i="68" s="1"/>
  <c r="Q237" i="72"/>
  <c r="R34" i="68" s="1"/>
  <c r="AC82" i="68"/>
  <c r="AC83" i="68"/>
  <c r="AC174" i="68" s="1"/>
  <c r="AC265" i="68" s="1"/>
  <c r="T234" i="72"/>
  <c r="U31" i="68" s="1"/>
  <c r="O76" i="68"/>
  <c r="O77" i="68"/>
  <c r="O168" i="68" s="1"/>
  <c r="O259" i="68" s="1"/>
  <c r="W340" i="68"/>
  <c r="M498" i="72"/>
  <c r="AG497" i="72"/>
  <c r="O657" i="68"/>
  <c r="R79" i="68"/>
  <c r="R80" i="68"/>
  <c r="R171" i="68" s="1"/>
  <c r="R262" i="68" s="1"/>
  <c r="J238" i="72"/>
  <c r="AF497" i="72"/>
  <c r="AD489" i="72"/>
  <c r="H741" i="72"/>
  <c r="O251" i="72"/>
  <c r="P48" i="68" s="1"/>
  <c r="T110" i="68"/>
  <c r="T201" i="68" s="1"/>
  <c r="T292" i="68" s="1"/>
  <c r="Z238" i="72"/>
  <c r="AA35" i="68" s="1"/>
  <c r="T495" i="72"/>
  <c r="O349" i="68"/>
  <c r="T340" i="68"/>
  <c r="R499" i="72"/>
  <c r="X572" i="72"/>
  <c r="X663" i="72"/>
  <c r="Y327" i="72"/>
  <c r="Y418" i="72"/>
  <c r="Z489" i="72"/>
  <c r="AH342" i="68"/>
  <c r="T494" i="72"/>
  <c r="R494" i="72"/>
  <c r="X744" i="72"/>
  <c r="L448" i="72"/>
  <c r="L477" i="72" s="1"/>
  <c r="L357" i="72"/>
  <c r="T496" i="72"/>
  <c r="Q665" i="68"/>
  <c r="AC448" i="72"/>
  <c r="AC477" i="72" s="1"/>
  <c r="AC357" i="72"/>
  <c r="U483" i="72"/>
  <c r="AC498" i="72"/>
  <c r="S494" i="72"/>
  <c r="N499" i="72"/>
  <c r="AC483" i="72"/>
  <c r="AE740" i="72"/>
  <c r="K728" i="72"/>
  <c r="AE665" i="68"/>
  <c r="W740" i="72"/>
  <c r="S740" i="72"/>
  <c r="R664" i="68"/>
  <c r="R327" i="72"/>
  <c r="R418" i="72"/>
  <c r="M730" i="72"/>
  <c r="Q741" i="72"/>
  <c r="H327" i="72"/>
  <c r="H418" i="72"/>
  <c r="Q742" i="72"/>
  <c r="T659" i="68"/>
  <c r="R740" i="72"/>
  <c r="W572" i="72"/>
  <c r="W663" i="72"/>
  <c r="S728" i="72"/>
  <c r="Y740" i="72"/>
  <c r="Q730" i="72"/>
  <c r="AG740" i="72"/>
  <c r="M341" i="68"/>
  <c r="N572" i="72"/>
  <c r="N663" i="72"/>
  <c r="N741" i="72"/>
  <c r="L693" i="72"/>
  <c r="L722" i="72" s="1"/>
  <c r="L602" i="72"/>
  <c r="Y726" i="72"/>
  <c r="T744" i="72"/>
  <c r="I740" i="72"/>
  <c r="S653" i="68"/>
  <c r="S793" i="72"/>
  <c r="J448" i="72"/>
  <c r="J477" i="72" s="1"/>
  <c r="J357" i="72"/>
  <c r="P480" i="72"/>
  <c r="T243" i="72"/>
  <c r="U40" i="68" s="1"/>
  <c r="X739" i="72"/>
  <c r="L252" i="72"/>
  <c r="M49" i="68" s="1"/>
  <c r="AF482" i="72"/>
  <c r="O237" i="72"/>
  <c r="P34" i="68" s="1"/>
  <c r="L480" i="72"/>
  <c r="H486" i="72"/>
  <c r="Y202" i="72"/>
  <c r="Y231" i="72" s="1"/>
  <c r="Y111" i="72"/>
  <c r="AC202" i="72"/>
  <c r="AC231" i="72" s="1"/>
  <c r="AC111" i="72"/>
  <c r="K327" i="72"/>
  <c r="K418" i="72"/>
  <c r="Q725" i="72"/>
  <c r="K485" i="72"/>
  <c r="J693" i="72"/>
  <c r="J722" i="72" s="1"/>
  <c r="J602" i="72"/>
  <c r="X249" i="72"/>
  <c r="Y46" i="68" s="1"/>
  <c r="P448" i="72"/>
  <c r="P477" i="72" s="1"/>
  <c r="P357" i="72"/>
  <c r="P730" i="72"/>
  <c r="H448" i="72"/>
  <c r="H477" i="72" s="1"/>
  <c r="H357" i="72"/>
  <c r="T743" i="72"/>
  <c r="Y236" i="72"/>
  <c r="Z33" i="68" s="1"/>
  <c r="I483" i="72"/>
  <c r="I480" i="72"/>
  <c r="AF356" i="68"/>
  <c r="T79" i="68"/>
  <c r="T80" i="68"/>
  <c r="T171" i="68" s="1"/>
  <c r="T262" i="68" s="1"/>
  <c r="U358" i="68"/>
  <c r="V663" i="68"/>
  <c r="O809" i="72"/>
  <c r="AE257" i="72"/>
  <c r="AF54" i="68" s="1"/>
  <c r="O364" i="68"/>
  <c r="Y502" i="72"/>
  <c r="R258" i="72"/>
  <c r="S55" i="68" s="1"/>
  <c r="AE260" i="72"/>
  <c r="AF57" i="68" s="1"/>
  <c r="V746" i="72"/>
  <c r="K506" i="72"/>
  <c r="AH661" i="68"/>
  <c r="AG260" i="72"/>
  <c r="AH57" i="68" s="1"/>
  <c r="AC749" i="72"/>
  <c r="J749" i="72"/>
  <c r="I751" i="72"/>
  <c r="AC751" i="72"/>
  <c r="W506" i="72"/>
  <c r="Z254" i="72"/>
  <c r="AA51" i="68" s="1"/>
  <c r="AB244" i="72"/>
  <c r="L486" i="72"/>
  <c r="AG486" i="72"/>
  <c r="Q245" i="72"/>
  <c r="R42" i="68" s="1"/>
  <c r="AA731" i="72"/>
  <c r="AA487" i="72"/>
  <c r="AD738" i="72"/>
  <c r="AD735" i="72"/>
  <c r="Z493" i="72"/>
  <c r="S492" i="72"/>
  <c r="J738" i="72"/>
  <c r="AD327" i="72"/>
  <c r="AD418" i="72"/>
  <c r="Z94" i="68"/>
  <c r="Z95" i="68"/>
  <c r="Z186" i="68" s="1"/>
  <c r="Z277" i="68" s="1"/>
  <c r="J234" i="72"/>
  <c r="K31" i="68" s="1"/>
  <c r="M81" i="72"/>
  <c r="M172" i="72"/>
  <c r="I125" i="68"/>
  <c r="I216" i="68" s="1"/>
  <c r="I307" i="68" s="1"/>
  <c r="I124" i="68"/>
  <c r="AG235" i="72"/>
  <c r="AH32" i="68" s="1"/>
  <c r="Y91" i="68"/>
  <c r="Y92" i="68"/>
  <c r="Y183" i="68" s="1"/>
  <c r="Y274" i="68" s="1"/>
  <c r="X448" i="72"/>
  <c r="X477" i="72" s="1"/>
  <c r="X357" i="72"/>
  <c r="X354" i="68"/>
  <c r="I100" i="68"/>
  <c r="I101" i="68"/>
  <c r="I192" i="68" s="1"/>
  <c r="I283" i="68" s="1"/>
  <c r="N88" i="68"/>
  <c r="N89" i="68"/>
  <c r="N180" i="68" s="1"/>
  <c r="N271" i="68" s="1"/>
  <c r="AG202" i="72"/>
  <c r="AG231" i="72" s="1"/>
  <c r="AG111" i="72"/>
  <c r="S252" i="72"/>
  <c r="T49" i="68" s="1"/>
  <c r="J248" i="72"/>
  <c r="K45" i="68" s="1"/>
  <c r="AE70" i="68"/>
  <c r="AE71" i="68"/>
  <c r="AE162" i="68" s="1"/>
  <c r="AE253" i="68" s="1"/>
  <c r="AF238" i="72"/>
  <c r="AG35" i="68" s="1"/>
  <c r="I237" i="72"/>
  <c r="J34" i="68" s="1"/>
  <c r="T251" i="72"/>
  <c r="U48" i="68" s="1"/>
  <c r="W236" i="72"/>
  <c r="W345" i="68"/>
  <c r="I234" i="72"/>
  <c r="J31" i="68" s="1"/>
  <c r="M83" i="68"/>
  <c r="M174" i="68" s="1"/>
  <c r="M265" i="68" s="1"/>
  <c r="M82" i="68"/>
  <c r="W341" i="68"/>
  <c r="U348" i="68"/>
  <c r="T766" i="72"/>
  <c r="L498" i="72"/>
  <c r="M668" i="68"/>
  <c r="J242" i="72"/>
  <c r="K39" i="68" s="1"/>
  <c r="AB481" i="72"/>
  <c r="P248" i="72"/>
  <c r="Q45" i="68" s="1"/>
  <c r="Q234" i="72"/>
  <c r="R31" i="68" s="1"/>
  <c r="Z488" i="72"/>
  <c r="Y666" i="68"/>
  <c r="U664" i="68"/>
  <c r="AD483" i="72"/>
  <c r="L497" i="72"/>
  <c r="AD485" i="72"/>
  <c r="AC342" i="68"/>
  <c r="L729" i="72"/>
  <c r="AE726" i="72"/>
  <c r="T727" i="72"/>
  <c r="P488" i="72"/>
  <c r="P728" i="72"/>
  <c r="I693" i="72"/>
  <c r="I722" i="72" s="1"/>
  <c r="I602" i="72"/>
  <c r="V666" i="68"/>
  <c r="AC357" i="68"/>
  <c r="V495" i="72"/>
  <c r="S743" i="72"/>
  <c r="U661" i="68"/>
  <c r="U735" i="72"/>
  <c r="H744" i="72"/>
  <c r="X737" i="72"/>
  <c r="AD740" i="72"/>
  <c r="AF734" i="72"/>
  <c r="AB572" i="72"/>
  <c r="AB663" i="72"/>
  <c r="U736" i="72"/>
  <c r="P572" i="72"/>
  <c r="P663" i="72"/>
  <c r="AG730" i="72"/>
  <c r="AA693" i="72"/>
  <c r="AA722" i="72" s="1"/>
  <c r="AA602" i="72"/>
  <c r="Z742" i="72"/>
  <c r="R741" i="72"/>
  <c r="K653" i="68"/>
  <c r="AA572" i="72"/>
  <c r="AA663" i="72"/>
  <c r="V730" i="72"/>
  <c r="AG693" i="72"/>
  <c r="AG722" i="72" s="1"/>
  <c r="AG602" i="72"/>
  <c r="X693" i="72"/>
  <c r="X722" i="72" s="1"/>
  <c r="X602" i="72"/>
  <c r="Z81" i="72"/>
  <c r="Z172" i="72"/>
  <c r="J202" i="72"/>
  <c r="J231" i="72" s="1"/>
  <c r="J111" i="72"/>
  <c r="V693" i="72"/>
  <c r="V722" i="72" s="1"/>
  <c r="V602" i="72"/>
  <c r="T480" i="72"/>
  <c r="Q202" i="72"/>
  <c r="Q231" i="72" s="1"/>
  <c r="Q111" i="72"/>
  <c r="AD242" i="72"/>
  <c r="AE39" i="68" s="1"/>
  <c r="T693" i="72"/>
  <c r="T722" i="72" s="1"/>
  <c r="T602" i="72"/>
  <c r="S737" i="72"/>
  <c r="AE693" i="72"/>
  <c r="AE722" i="72" s="1"/>
  <c r="AE602" i="72"/>
  <c r="Y252" i="72"/>
  <c r="Z49" i="68" s="1"/>
  <c r="L236" i="72"/>
  <c r="M33" i="68" s="1"/>
  <c r="H480" i="72"/>
  <c r="R253" i="72"/>
  <c r="S50" i="68" s="1"/>
  <c r="U81" i="72"/>
  <c r="U172" i="72"/>
  <c r="V248" i="72"/>
  <c r="W45" i="68" s="1"/>
  <c r="H202" i="72"/>
  <c r="H231" i="72" s="1"/>
  <c r="H111" i="72"/>
  <c r="N495" i="72"/>
  <c r="AC743" i="72"/>
  <c r="O733" i="72"/>
  <c r="AE727" i="72"/>
  <c r="I202" i="72"/>
  <c r="I231" i="72" s="1"/>
  <c r="I111" i="72"/>
  <c r="X327" i="72"/>
  <c r="X418" i="72"/>
  <c r="I481" i="72"/>
  <c r="Z497" i="72"/>
  <c r="Z572" i="72"/>
  <c r="Z663" i="72"/>
  <c r="J361" i="68"/>
  <c r="N748" i="72"/>
  <c r="J94" i="68"/>
  <c r="J95" i="68"/>
  <c r="J186" i="68" s="1"/>
  <c r="J277" i="68" s="1"/>
  <c r="I98" i="68"/>
  <c r="I189" i="68" s="1"/>
  <c r="I280" i="68" s="1"/>
  <c r="I97" i="68"/>
  <c r="L94" i="68"/>
  <c r="L95" i="68"/>
  <c r="L186" i="68" s="1"/>
  <c r="L277" i="68" s="1"/>
  <c r="P345" i="68"/>
  <c r="AE654" i="68"/>
  <c r="R658" i="68"/>
  <c r="Q798" i="72"/>
  <c r="J649" i="68"/>
  <c r="AE572" i="72"/>
  <c r="AE663" i="72"/>
  <c r="AG81" i="72"/>
  <c r="AG172" i="72"/>
  <c r="O202" i="72"/>
  <c r="O231" i="72" s="1"/>
  <c r="O111" i="72"/>
  <c r="Z146" i="68"/>
  <c r="Z237" i="68" s="1"/>
  <c r="Z328" i="68" s="1"/>
  <c r="Z145" i="68"/>
  <c r="AA233" i="72"/>
  <c r="N254" i="72"/>
  <c r="O51" i="68" s="1"/>
  <c r="V365" i="68"/>
  <c r="R362" i="68"/>
  <c r="S254" i="72"/>
  <c r="T51" i="68" s="1"/>
  <c r="Z233" i="72"/>
  <c r="AA30" i="68" s="1"/>
  <c r="P260" i="72"/>
  <c r="Q57" i="68" s="1"/>
  <c r="V501" i="72"/>
  <c r="I258" i="72"/>
  <c r="J55" i="68" s="1"/>
  <c r="AF134" i="68"/>
  <c r="AF225" i="68" s="1"/>
  <c r="AF316" i="68" s="1"/>
  <c r="AF133" i="68"/>
  <c r="Z134" i="68"/>
  <c r="Z225" i="68" s="1"/>
  <c r="Z316" i="68" s="1"/>
  <c r="Z133" i="68"/>
  <c r="AG746" i="72"/>
  <c r="M142" i="68"/>
  <c r="M233" i="68" s="1"/>
  <c r="M143" i="68"/>
  <c r="W257" i="72"/>
  <c r="X54" i="68" s="1"/>
  <c r="Q504" i="72"/>
  <c r="O479" i="72"/>
  <c r="Y724" i="72"/>
  <c r="U675" i="68"/>
  <c r="O746" i="72"/>
  <c r="W505" i="72"/>
  <c r="Q479" i="72"/>
  <c r="Q747" i="72"/>
  <c r="V259" i="72"/>
  <c r="W56" i="68" s="1"/>
  <c r="AA256" i="72"/>
  <c r="AB53" i="68" s="1"/>
  <c r="U255" i="72"/>
  <c r="V52" i="68" s="1"/>
  <c r="AB257" i="72"/>
  <c r="AC54" i="68" s="1"/>
  <c r="X501" i="72"/>
  <c r="AG479" i="72"/>
  <c r="W259" i="72"/>
  <c r="X56" i="68" s="1"/>
  <c r="AG233" i="72"/>
  <c r="AH30" i="68" s="1"/>
  <c r="AC258" i="72"/>
  <c r="AD55" i="68" s="1"/>
  <c r="V233" i="72"/>
  <c r="AC747" i="72"/>
  <c r="O505" i="72"/>
  <c r="S233" i="72"/>
  <c r="T30" i="68" s="1"/>
  <c r="O724" i="72"/>
  <c r="U259" i="72"/>
  <c r="V56" i="68" s="1"/>
  <c r="Z257" i="72"/>
  <c r="AA54" i="68" s="1"/>
  <c r="R751" i="72"/>
  <c r="Y503" i="72"/>
  <c r="P724" i="72"/>
  <c r="H233" i="72"/>
  <c r="I30" i="68" s="1"/>
  <c r="AG738" i="72"/>
  <c r="T506" i="72"/>
  <c r="J346" i="68"/>
  <c r="R492" i="72"/>
  <c r="R490" i="72"/>
  <c r="Y486" i="72"/>
  <c r="AC493" i="72"/>
  <c r="S731" i="72"/>
  <c r="AG492" i="72"/>
  <c r="AE492" i="72"/>
  <c r="T731" i="72"/>
  <c r="I493" i="72"/>
  <c r="AB240" i="72"/>
  <c r="Y240" i="72"/>
  <c r="Z37" i="68" s="1"/>
  <c r="I738" i="72"/>
  <c r="AG252" i="72"/>
  <c r="AH49" i="68" s="1"/>
  <c r="V252" i="72"/>
  <c r="W49" i="68" s="1"/>
  <c r="R83" i="68"/>
  <c r="R174" i="68" s="1"/>
  <c r="R265" i="68" s="1"/>
  <c r="R82" i="68"/>
  <c r="X125" i="68"/>
  <c r="X216" i="68" s="1"/>
  <c r="X307" i="68" s="1"/>
  <c r="X124" i="68"/>
  <c r="AE95" i="68"/>
  <c r="AE186" i="68" s="1"/>
  <c r="AE277" i="68" s="1"/>
  <c r="AE94" i="68"/>
  <c r="H81" i="72"/>
  <c r="H172" i="72"/>
  <c r="I238" i="72"/>
  <c r="J35" i="68" s="1"/>
  <c r="X234" i="72"/>
  <c r="Y31" i="68" s="1"/>
  <c r="Q80" i="68"/>
  <c r="Q171" i="68" s="1"/>
  <c r="Q262" i="68" s="1"/>
  <c r="Q79" i="68"/>
  <c r="M804" i="72"/>
  <c r="N664" i="68"/>
  <c r="I248" i="72"/>
  <c r="J45" i="68" s="1"/>
  <c r="S80" i="68"/>
  <c r="S171" i="68" s="1"/>
  <c r="S262" i="68" s="1"/>
  <c r="I239" i="72"/>
  <c r="J36" i="68" s="1"/>
  <c r="R81" i="72"/>
  <c r="R172" i="72"/>
  <c r="J494" i="72"/>
  <c r="N666" i="68"/>
  <c r="M806" i="72"/>
  <c r="T237" i="72"/>
  <c r="U34" i="68" s="1"/>
  <c r="Z82" i="68"/>
  <c r="Z83" i="68"/>
  <c r="Z174" i="68" s="1"/>
  <c r="Z265" i="68" s="1"/>
  <c r="AC354" i="68"/>
  <c r="I250" i="72"/>
  <c r="P74" i="68"/>
  <c r="P165" i="68" s="1"/>
  <c r="P256" i="68" s="1"/>
  <c r="K242" i="72"/>
  <c r="L39" i="68" s="1"/>
  <c r="L250" i="72"/>
  <c r="M47" i="68" s="1"/>
  <c r="P327" i="72"/>
  <c r="P418" i="72"/>
  <c r="P354" i="68"/>
  <c r="H799" i="72"/>
  <c r="I659" i="68"/>
  <c r="L495" i="72"/>
  <c r="V489" i="72"/>
  <c r="N651" i="68"/>
  <c r="M733" i="72"/>
  <c r="J742" i="72"/>
  <c r="S498" i="72"/>
  <c r="Y494" i="72"/>
  <c r="AA496" i="72"/>
  <c r="O344" i="68"/>
  <c r="L734" i="72"/>
  <c r="V483" i="72"/>
  <c r="P484" i="72"/>
  <c r="J499" i="72"/>
  <c r="AE327" i="72"/>
  <c r="AE418" i="72"/>
  <c r="P499" i="72"/>
  <c r="AB488" i="72"/>
  <c r="U725" i="72"/>
  <c r="K572" i="72"/>
  <c r="K663" i="72"/>
  <c r="I733" i="72"/>
  <c r="K652" i="68"/>
  <c r="AD649" i="68"/>
  <c r="AA649" i="68"/>
  <c r="U649" i="68"/>
  <c r="AF730" i="72"/>
  <c r="K651" i="68"/>
  <c r="T736" i="72"/>
  <c r="AH652" i="68"/>
  <c r="Z728" i="72"/>
  <c r="AA741" i="72"/>
  <c r="T657" i="68"/>
  <c r="T735" i="72"/>
  <c r="K448" i="72"/>
  <c r="K477" i="72" s="1"/>
  <c r="K357" i="72"/>
  <c r="X734" i="72"/>
  <c r="V572" i="72"/>
  <c r="V663" i="72"/>
  <c r="AD744" i="72"/>
  <c r="AA202" i="72"/>
  <c r="AA231" i="72" s="1"/>
  <c r="AA111" i="72"/>
  <c r="J249" i="72"/>
  <c r="X238" i="72"/>
  <c r="AC250" i="72"/>
  <c r="X251" i="72"/>
  <c r="Y48" i="68" s="1"/>
  <c r="AA726" i="72"/>
  <c r="K202" i="72"/>
  <c r="K231" i="72" s="1"/>
  <c r="K111" i="72"/>
  <c r="AD234" i="72"/>
  <c r="P693" i="72"/>
  <c r="P722" i="72" s="1"/>
  <c r="P602" i="72"/>
  <c r="M202" i="72"/>
  <c r="M231" i="72" s="1"/>
  <c r="M111" i="72"/>
  <c r="N239" i="72"/>
  <c r="O36" i="68" s="1"/>
  <c r="K482" i="72"/>
  <c r="H731" i="72"/>
  <c r="AA448" i="72"/>
  <c r="AA477" i="72" s="1"/>
  <c r="AA357" i="72"/>
  <c r="T253" i="72"/>
  <c r="U50" i="68" s="1"/>
  <c r="R248" i="72"/>
  <c r="S45" i="68" s="1"/>
  <c r="K480" i="72"/>
  <c r="N448" i="72"/>
  <c r="N477" i="72" s="1"/>
  <c r="N357" i="72"/>
  <c r="N730" i="72"/>
  <c r="Q693" i="72"/>
  <c r="Q722" i="72" s="1"/>
  <c r="Q602" i="72"/>
  <c r="M260" i="72"/>
  <c r="N57" i="68" s="1"/>
  <c r="V364" i="68"/>
  <c r="U782" i="72"/>
  <c r="AF83" i="68"/>
  <c r="AF174" i="68" s="1"/>
  <c r="AF265" i="68" s="1"/>
  <c r="AF82" i="68"/>
  <c r="Q81" i="72"/>
  <c r="Q172" i="72"/>
  <c r="I103" i="68"/>
  <c r="I104" i="68"/>
  <c r="I195" i="68" s="1"/>
  <c r="I286" i="68" s="1"/>
  <c r="Z327" i="72"/>
  <c r="Z418" i="72"/>
  <c r="Z355" i="68"/>
  <c r="AE354" i="68"/>
  <c r="Z693" i="72"/>
  <c r="Z722" i="72" s="1"/>
  <c r="Z602" i="72"/>
  <c r="AC693" i="72"/>
  <c r="AC722" i="72" s="1"/>
  <c r="AC602" i="72"/>
  <c r="M327" i="72"/>
  <c r="M418" i="72"/>
  <c r="L362" i="68"/>
  <c r="X254" i="72"/>
  <c r="Y51" i="68" s="1"/>
  <c r="V673" i="68"/>
  <c r="U813" i="72"/>
  <c r="W137" i="68"/>
  <c r="W228" i="68" s="1"/>
  <c r="W319" i="68" s="1"/>
  <c r="W136" i="68"/>
  <c r="O257" i="72"/>
  <c r="P54" i="68" s="1"/>
  <c r="N505" i="72"/>
  <c r="V748" i="72"/>
  <c r="M255" i="72"/>
  <c r="N52" i="68" s="1"/>
  <c r="AG504" i="72"/>
  <c r="Q257" i="72"/>
  <c r="R54" i="68" s="1"/>
  <c r="T258" i="72"/>
  <c r="N256" i="72"/>
  <c r="O53" i="68" s="1"/>
  <c r="AE745" i="72"/>
  <c r="O669" i="68"/>
  <c r="U257" i="72"/>
  <c r="V54" i="68" s="1"/>
  <c r="AC256" i="72"/>
  <c r="AD53" i="68" s="1"/>
  <c r="T748" i="72"/>
  <c r="P750" i="72"/>
  <c r="R500" i="72"/>
  <c r="M259" i="72"/>
  <c r="N56" i="68" s="1"/>
  <c r="Y751" i="72"/>
  <c r="R748" i="72"/>
  <c r="AD255" i="72"/>
  <c r="AE52" i="68" s="1"/>
  <c r="T257" i="72"/>
  <c r="U54" i="68" s="1"/>
  <c r="M505" i="72"/>
  <c r="X747" i="72"/>
  <c r="V254" i="72"/>
  <c r="W51" i="68" s="1"/>
  <c r="AG502" i="72"/>
  <c r="R648" i="68"/>
  <c r="AG751" i="72"/>
  <c r="R254" i="72"/>
  <c r="S51" i="68" s="1"/>
  <c r="H503" i="72"/>
  <c r="AC502" i="72"/>
  <c r="K745" i="72"/>
  <c r="T479" i="72"/>
  <c r="K259" i="72"/>
  <c r="L56" i="68" s="1"/>
  <c r="AF501" i="72"/>
  <c r="AD724" i="72"/>
  <c r="T233" i="72"/>
  <c r="U30" i="68" s="1"/>
  <c r="H504" i="72"/>
  <c r="AA505" i="72"/>
  <c r="P258" i="72"/>
  <c r="Q55" i="68" s="1"/>
  <c r="AD502" i="72"/>
  <c r="H724" i="72"/>
  <c r="AB258" i="72"/>
  <c r="AC55" i="68" s="1"/>
  <c r="J504" i="72"/>
  <c r="AE505" i="72"/>
  <c r="AD749" i="72"/>
  <c r="AE746" i="72"/>
  <c r="AF748" i="72"/>
  <c r="P255" i="72"/>
  <c r="Q52" i="68" s="1"/>
  <c r="J260" i="72"/>
  <c r="K57" i="68" s="1"/>
  <c r="I255" i="72"/>
  <c r="J52" i="68" s="1"/>
  <c r="I724" i="72"/>
  <c r="U746" i="72"/>
  <c r="M500" i="72"/>
  <c r="AE750" i="72"/>
  <c r="U500" i="72"/>
  <c r="X504" i="72"/>
  <c r="R747" i="72"/>
  <c r="AF751" i="72"/>
  <c r="H748" i="72"/>
  <c r="T247" i="72"/>
  <c r="U44" i="68" s="1"/>
  <c r="M244" i="72"/>
  <c r="N41" i="68" s="1"/>
  <c r="Z490" i="72"/>
  <c r="J486" i="72"/>
  <c r="Z487" i="72"/>
  <c r="L735" i="72"/>
  <c r="AB732" i="72"/>
  <c r="S732" i="72"/>
  <c r="R244" i="72"/>
  <c r="S41" i="68" s="1"/>
  <c r="Y246" i="72"/>
  <c r="Z43" i="68" s="1"/>
  <c r="W245" i="72"/>
  <c r="X42" i="68" s="1"/>
  <c r="R506" i="72"/>
  <c r="AD245" i="72"/>
  <c r="AE42" i="68" s="1"/>
  <c r="W246" i="72"/>
  <c r="X43" i="68" s="1"/>
  <c r="M732" i="72"/>
  <c r="W104" i="68"/>
  <c r="W195" i="68" s="1"/>
  <c r="W286" i="68" s="1"/>
  <c r="W103" i="68"/>
  <c r="W490" i="72"/>
  <c r="S245" i="72"/>
  <c r="T42" i="68" s="1"/>
  <c r="T493" i="72"/>
  <c r="AA738" i="72"/>
  <c r="X490" i="72"/>
  <c r="N737" i="72"/>
  <c r="Y731" i="72"/>
  <c r="P731" i="72"/>
  <c r="V240" i="72"/>
  <c r="W37" i="68" s="1"/>
  <c r="J492" i="72"/>
  <c r="Y736" i="72"/>
  <c r="P491" i="72"/>
  <c r="Y76" i="68"/>
  <c r="Y77" i="68"/>
  <c r="Y168" i="68" s="1"/>
  <c r="Y259" i="68" s="1"/>
  <c r="I249" i="72"/>
  <c r="Z202" i="72"/>
  <c r="Z231" i="72" s="1"/>
  <c r="Z111" i="72"/>
  <c r="H242" i="72"/>
  <c r="I39" i="68" s="1"/>
  <c r="AG68" i="68"/>
  <c r="AG159" i="68" s="1"/>
  <c r="AG250" i="68" s="1"/>
  <c r="AG67" i="68"/>
  <c r="AE448" i="72"/>
  <c r="AE477" i="72" s="1"/>
  <c r="AE357" i="72"/>
  <c r="I351" i="68"/>
  <c r="H769" i="72"/>
  <c r="N91" i="68"/>
  <c r="N92" i="68"/>
  <c r="N183" i="68" s="1"/>
  <c r="N274" i="68" s="1"/>
  <c r="T343" i="68"/>
  <c r="T88" i="68"/>
  <c r="T89" i="68"/>
  <c r="T180" i="68" s="1"/>
  <c r="T271" i="68" s="1"/>
  <c r="AD70" i="68"/>
  <c r="AD71" i="68"/>
  <c r="AD162" i="68" s="1"/>
  <c r="AD253" i="68" s="1"/>
  <c r="S113" i="68"/>
  <c r="S204" i="68" s="1"/>
  <c r="S295" i="68" s="1"/>
  <c r="S112" i="68"/>
  <c r="P122" i="68"/>
  <c r="P213" i="68" s="1"/>
  <c r="P304" i="68" s="1"/>
  <c r="P121" i="68"/>
  <c r="W81" i="72"/>
  <c r="W172" i="72"/>
  <c r="J237" i="72"/>
  <c r="K34" i="68" s="1"/>
  <c r="T249" i="72"/>
  <c r="U46" i="68" s="1"/>
  <c r="AA234" i="72"/>
  <c r="AB31" i="68" s="1"/>
  <c r="M739" i="72"/>
  <c r="Q250" i="72"/>
  <c r="R47" i="68" s="1"/>
  <c r="N327" i="72"/>
  <c r="N418" i="72"/>
  <c r="N81" i="72"/>
  <c r="N172" i="72"/>
  <c r="W77" i="68"/>
  <c r="W168" i="68" s="1"/>
  <c r="W259" i="68" s="1"/>
  <c r="W76" i="68"/>
  <c r="N112" i="68"/>
  <c r="N113" i="68"/>
  <c r="N204" i="68" s="1"/>
  <c r="N295" i="68" s="1"/>
  <c r="W327" i="72"/>
  <c r="W418" i="72"/>
  <c r="H800" i="72"/>
  <c r="I660" i="68"/>
  <c r="H572" i="72"/>
  <c r="H663" i="72"/>
  <c r="L80" i="68"/>
  <c r="L171" i="68" s="1"/>
  <c r="L262" i="68" s="1"/>
  <c r="L79" i="68"/>
  <c r="L234" i="72"/>
  <c r="M31" i="68" s="1"/>
  <c r="Y81" i="72"/>
  <c r="Y172" i="72"/>
  <c r="U481" i="72"/>
  <c r="Y497" i="72"/>
  <c r="O651" i="68"/>
  <c r="Y115" i="68"/>
  <c r="Y116" i="68"/>
  <c r="Y207" i="68" s="1"/>
  <c r="Y298" i="68" s="1"/>
  <c r="O495" i="72"/>
  <c r="I74" i="68"/>
  <c r="I165" i="68" s="1"/>
  <c r="I256" i="68" s="1"/>
  <c r="I73" i="68"/>
  <c r="Z239" i="72"/>
  <c r="AA36" i="68" s="1"/>
  <c r="Q327" i="72"/>
  <c r="Q418" i="72"/>
  <c r="AG448" i="72"/>
  <c r="AG477" i="72" s="1"/>
  <c r="AG357" i="72"/>
  <c r="AA727" i="72"/>
  <c r="R488" i="72"/>
  <c r="AE499" i="72"/>
  <c r="W498" i="72"/>
  <c r="AD743" i="72"/>
  <c r="I344" i="68"/>
  <c r="Y572" i="72"/>
  <c r="Y663" i="72"/>
  <c r="AG494" i="72"/>
  <c r="O358" i="68"/>
  <c r="U344" i="68"/>
  <c r="R495" i="72"/>
  <c r="S489" i="72"/>
  <c r="AF494" i="72"/>
  <c r="AF496" i="72"/>
  <c r="AD496" i="72"/>
  <c r="R736" i="72"/>
  <c r="Z743" i="72"/>
  <c r="AA728" i="72"/>
  <c r="AG741" i="72"/>
  <c r="Z651" i="68"/>
  <c r="V744" i="72"/>
  <c r="Q739" i="72"/>
  <c r="W738" i="72"/>
  <c r="U738" i="72"/>
  <c r="J572" i="72"/>
  <c r="J663" i="72"/>
  <c r="X738" i="72"/>
  <c r="L668" i="68"/>
  <c r="Y744" i="72"/>
  <c r="P733" i="72"/>
  <c r="AF741" i="72"/>
  <c r="P739" i="72"/>
  <c r="H738" i="72"/>
  <c r="X725" i="72"/>
  <c r="L81" i="72"/>
  <c r="L172" i="72"/>
  <c r="AB252" i="72"/>
  <c r="AC49" i="68" s="1"/>
  <c r="L484" i="72"/>
  <c r="H726" i="72"/>
  <c r="L249" i="72"/>
  <c r="M46" i="68" s="1"/>
  <c r="AF81" i="72"/>
  <c r="AF172" i="72"/>
  <c r="T448" i="72"/>
  <c r="T477" i="72" s="1"/>
  <c r="T357" i="72"/>
  <c r="I484" i="72"/>
  <c r="W741" i="72"/>
  <c r="AA725" i="72"/>
  <c r="S81" i="72"/>
  <c r="S172" i="72"/>
  <c r="H241" i="72"/>
  <c r="I38" i="68" s="1"/>
  <c r="R448" i="72"/>
  <c r="R477" i="72" s="1"/>
  <c r="R357" i="72"/>
  <c r="Z252" i="72"/>
  <c r="AA49" i="68" s="1"/>
  <c r="R250" i="72"/>
  <c r="S47" i="68" s="1"/>
  <c r="AD448" i="72"/>
  <c r="AD477" i="72" s="1"/>
  <c r="AD357" i="72"/>
  <c r="K239" i="72"/>
  <c r="L36" i="68" s="1"/>
  <c r="AB730" i="72"/>
  <c r="S448" i="72"/>
  <c r="S477" i="72" s="1"/>
  <c r="S357" i="72"/>
  <c r="S730" i="72"/>
  <c r="AB236" i="72"/>
  <c r="AC33" i="68" s="1"/>
  <c r="AD572" i="72"/>
  <c r="AD663" i="72"/>
  <c r="R237" i="72"/>
  <c r="S34" i="68" s="1"/>
  <c r="AF250" i="72"/>
  <c r="AG47" i="68" s="1"/>
  <c r="P234" i="72"/>
  <c r="Q31" i="68" s="1"/>
  <c r="O361" i="68"/>
  <c r="Q339" i="68"/>
  <c r="Q505" i="72"/>
  <c r="J81" i="72"/>
  <c r="J172" i="72"/>
  <c r="T81" i="72"/>
  <c r="T172" i="72"/>
  <c r="K356" i="68"/>
  <c r="J774" i="72"/>
  <c r="P341" i="68"/>
  <c r="N355" i="68"/>
  <c r="S661" i="68"/>
  <c r="O658" i="68"/>
  <c r="O572" i="72"/>
  <c r="O663" i="72"/>
  <c r="Y693" i="72"/>
  <c r="Y722" i="72" s="1"/>
  <c r="Y602" i="72"/>
  <c r="S505" i="72"/>
  <c r="AB671" i="68"/>
  <c r="S501" i="72"/>
  <c r="N648" i="68"/>
  <c r="I745" i="72"/>
  <c r="M750" i="72"/>
  <c r="R746" i="72"/>
  <c r="N364" i="68"/>
  <c r="AA130" i="68"/>
  <c r="AA131" i="68"/>
  <c r="AA222" i="68" s="1"/>
  <c r="AA313" i="68" s="1"/>
  <c r="I747" i="72"/>
  <c r="I673" i="68"/>
  <c r="K749" i="72"/>
  <c r="L673" i="68" s="1"/>
  <c r="AD737" i="72"/>
  <c r="V139" i="68"/>
  <c r="V140" i="68"/>
  <c r="V231" i="68" s="1"/>
  <c r="V322" i="68" s="1"/>
  <c r="AC479" i="72"/>
  <c r="AA501" i="72"/>
  <c r="J747" i="72"/>
  <c r="H746" i="72"/>
  <c r="W500" i="72"/>
  <c r="AF233" i="72"/>
  <c r="AG30" i="68" s="1"/>
  <c r="Y254" i="72"/>
  <c r="Z51" i="68" s="1"/>
  <c r="T500" i="72"/>
  <c r="AH674" i="68"/>
  <c r="L256" i="72"/>
  <c r="M53" i="68" s="1"/>
  <c r="Y746" i="72"/>
  <c r="I502" i="72"/>
  <c r="AA751" i="72"/>
  <c r="AB675" i="68" s="1"/>
  <c r="AB255" i="72"/>
  <c r="AC52" i="68" s="1"/>
  <c r="S256" i="72"/>
  <c r="T53" i="68" s="1"/>
  <c r="M503" i="72"/>
  <c r="I131" i="68"/>
  <c r="I222" i="68" s="1"/>
  <c r="I313" i="68" s="1"/>
  <c r="I130" i="68"/>
  <c r="K260" i="72"/>
  <c r="L57" i="68" s="1"/>
  <c r="AD745" i="72"/>
  <c r="H259" i="72"/>
  <c r="I56" i="68" s="1"/>
  <c r="T746" i="72"/>
  <c r="O255" i="72"/>
  <c r="P52" i="68" s="1"/>
  <c r="AD751" i="72"/>
  <c r="AA254" i="72"/>
  <c r="AB51" i="68" s="1"/>
  <c r="S255" i="72"/>
  <c r="T52" i="68" s="1"/>
  <c r="X258" i="72"/>
  <c r="Y55" i="68" s="1"/>
  <c r="H506" i="72"/>
  <c r="AG506" i="72"/>
  <c r="AF479" i="72"/>
  <c r="K256" i="72"/>
  <c r="L53" i="68" s="1"/>
  <c r="L749" i="72"/>
  <c r="AD501" i="72"/>
  <c r="R479" i="72"/>
  <c r="AG505" i="72"/>
  <c r="AA503" i="72"/>
  <c r="O749" i="72"/>
  <c r="X732" i="72"/>
  <c r="Y490" i="72"/>
  <c r="AD731" i="72"/>
  <c r="AD493" i="72"/>
  <c r="AD736" i="72"/>
  <c r="T245" i="72"/>
  <c r="U42" i="68" s="1"/>
  <c r="T490" i="72"/>
  <c r="X244" i="72"/>
  <c r="Y41" i="68" s="1"/>
  <c r="W493" i="72"/>
  <c r="AG731" i="72"/>
  <c r="V486" i="72"/>
  <c r="L731" i="72"/>
  <c r="Z732" i="72"/>
  <c r="AB491" i="72"/>
  <c r="R487" i="72"/>
  <c r="Y492" i="72"/>
  <c r="AD732" i="72"/>
  <c r="AG490" i="72"/>
  <c r="L492" i="72"/>
  <c r="O660" i="68"/>
  <c r="P736" i="72"/>
  <c r="U240" i="72"/>
  <c r="V37" i="68" s="1"/>
  <c r="L240" i="72"/>
  <c r="M37" i="68" s="1"/>
  <c r="Y496" i="72"/>
  <c r="R70" i="68"/>
  <c r="AC118" i="68"/>
  <c r="L733" i="72"/>
  <c r="L235" i="72"/>
  <c r="M32" i="68" s="1"/>
  <c r="AE119" i="68"/>
  <c r="AE210" i="68" s="1"/>
  <c r="AE301" i="68" s="1"/>
  <c r="AE118" i="68"/>
  <c r="AG239" i="72"/>
  <c r="AH36" i="68" s="1"/>
  <c r="Z237" i="72"/>
  <c r="AA34" i="68" s="1"/>
  <c r="Y234" i="72"/>
  <c r="Z31" i="68" s="1"/>
  <c r="P79" i="68"/>
  <c r="P80" i="68"/>
  <c r="P171" i="68" s="1"/>
  <c r="P262" i="68" s="1"/>
  <c r="AA125" i="68"/>
  <c r="AA216" i="68" s="1"/>
  <c r="AA307" i="68" s="1"/>
  <c r="AA124" i="68"/>
  <c r="AH67" i="68"/>
  <c r="AH68" i="68"/>
  <c r="AH159" i="68" s="1"/>
  <c r="AH250" i="68" s="1"/>
  <c r="W88" i="68"/>
  <c r="W89" i="68"/>
  <c r="W180" i="68" s="1"/>
  <c r="W271" i="68" s="1"/>
  <c r="AA354" i="68"/>
  <c r="O239" i="72"/>
  <c r="P36" i="68" s="1"/>
  <c r="L113" i="68"/>
  <c r="L204" i="68" s="1"/>
  <c r="L295" i="68" s="1"/>
  <c r="L112" i="68"/>
  <c r="H237" i="72"/>
  <c r="I34" i="68" s="1"/>
  <c r="M92" i="68"/>
  <c r="M183" i="68" s="1"/>
  <c r="M274" i="68" s="1"/>
  <c r="M91" i="68"/>
  <c r="M239" i="72"/>
  <c r="N36" i="68" s="1"/>
  <c r="O234" i="72"/>
  <c r="P31" i="68" s="1"/>
  <c r="K237" i="72"/>
  <c r="L34" i="68" s="1"/>
  <c r="Q341" i="68"/>
  <c r="AD81" i="72"/>
  <c r="AD172" i="72"/>
  <c r="W496" i="72"/>
  <c r="M252" i="72"/>
  <c r="N49" i="68" s="1"/>
  <c r="V358" i="68"/>
  <c r="AE248" i="72"/>
  <c r="AF45" i="68" s="1"/>
  <c r="O81" i="72"/>
  <c r="O172" i="72"/>
  <c r="I235" i="72"/>
  <c r="J32" i="68" s="1"/>
  <c r="AB81" i="72"/>
  <c r="AB172" i="72"/>
  <c r="AE497" i="72"/>
  <c r="T345" i="68"/>
  <c r="Y480" i="72"/>
  <c r="Y653" i="68"/>
  <c r="K81" i="72"/>
  <c r="K172" i="72"/>
  <c r="U249" i="72"/>
  <c r="V46" i="68" s="1"/>
  <c r="J241" i="72"/>
  <c r="K38" i="68" s="1"/>
  <c r="P494" i="72"/>
  <c r="Q494" i="72"/>
  <c r="U495" i="72"/>
  <c r="AG726" i="72"/>
  <c r="K657" i="68"/>
  <c r="AA342" i="68"/>
  <c r="AB663" i="68"/>
  <c r="AB666" i="68"/>
  <c r="AD482" i="72"/>
  <c r="AC355" i="68"/>
  <c r="X488" i="72"/>
  <c r="S342" i="68"/>
  <c r="R481" i="72"/>
  <c r="R743" i="72"/>
  <c r="X740" i="72"/>
  <c r="I341" i="68"/>
  <c r="Y654" i="68"/>
  <c r="S736" i="72"/>
  <c r="U653" i="68"/>
  <c r="AG572" i="72"/>
  <c r="AG663" i="72"/>
  <c r="T733" i="72"/>
  <c r="P734" i="72"/>
  <c r="M693" i="72"/>
  <c r="M722" i="72" s="1"/>
  <c r="M602" i="72"/>
  <c r="L572" i="72"/>
  <c r="L663" i="72"/>
  <c r="R727" i="72"/>
  <c r="M572" i="72"/>
  <c r="M663" i="72"/>
  <c r="AD693" i="72"/>
  <c r="AD722" i="72" s="1"/>
  <c r="AD602" i="72"/>
  <c r="AE653" i="68"/>
  <c r="U744" i="72"/>
  <c r="V734" i="72"/>
  <c r="Z744" i="72"/>
  <c r="S251" i="72"/>
  <c r="T48" i="68" s="1"/>
  <c r="AB448" i="72"/>
  <c r="AB477" i="72" s="1"/>
  <c r="AB357" i="72"/>
  <c r="AE237" i="72"/>
  <c r="AF34" i="68" s="1"/>
  <c r="X202" i="72"/>
  <c r="X231" i="72" s="1"/>
  <c r="X111" i="72"/>
  <c r="AD252" i="72"/>
  <c r="AE49" i="68" s="1"/>
  <c r="R111" i="72"/>
  <c r="R202" i="72"/>
  <c r="R231" i="72" s="1"/>
  <c r="AE202" i="72"/>
  <c r="AE231" i="72" s="1"/>
  <c r="AE111" i="72"/>
  <c r="Z249" i="72"/>
  <c r="AA46" i="68" s="1"/>
  <c r="L483" i="72"/>
  <c r="J739" i="72"/>
  <c r="T202" i="72"/>
  <c r="T231" i="72" s="1"/>
  <c r="T111" i="72"/>
  <c r="AD202" i="72"/>
  <c r="AD231" i="72" s="1"/>
  <c r="AD111" i="72"/>
  <c r="W249" i="72"/>
  <c r="X46" i="68" s="1"/>
  <c r="L327" i="72"/>
  <c r="L418" i="72"/>
  <c r="Y729" i="72"/>
  <c r="I327" i="72"/>
  <c r="I418" i="72"/>
  <c r="X483" i="72"/>
  <c r="S572" i="72"/>
  <c r="S663" i="72"/>
  <c r="M250" i="72"/>
  <c r="N47" i="68" s="1"/>
  <c r="AF448" i="72"/>
  <c r="AF477" i="72" s="1"/>
  <c r="AF357" i="72"/>
  <c r="W484" i="72"/>
  <c r="H732" i="72"/>
  <c r="H693" i="72"/>
  <c r="H722" i="72" s="1"/>
  <c r="H602" i="72"/>
  <c r="D283" i="48"/>
  <c r="E145" i="48"/>
  <c r="E24" i="61"/>
  <c r="F24" i="61" s="1"/>
  <c r="G24" i="61" s="1"/>
  <c r="H24" i="61" s="1"/>
  <c r="I24" i="61" s="1"/>
  <c r="J24" i="61" s="1"/>
  <c r="K24" i="61" s="1"/>
  <c r="L24" i="61" s="1"/>
  <c r="M24" i="61" s="1"/>
  <c r="N24" i="61" s="1"/>
  <c r="O24" i="61" s="1"/>
  <c r="P24" i="61" s="1"/>
  <c r="Q24" i="61" s="1"/>
  <c r="R24" i="61" s="1"/>
  <c r="S24" i="61" s="1"/>
  <c r="T24" i="61" s="1"/>
  <c r="U24" i="61" s="1"/>
  <c r="V24" i="61" s="1"/>
  <c r="W24" i="61" s="1"/>
  <c r="X24" i="61" s="1"/>
  <c r="Y24" i="61" s="1"/>
  <c r="Z24" i="61" s="1"/>
  <c r="AA24" i="61" s="1"/>
  <c r="AB24" i="61" s="1"/>
  <c r="AC24" i="61" s="1"/>
  <c r="AD24" i="61" s="1"/>
  <c r="AE24" i="61" s="1"/>
  <c r="F83" i="61"/>
  <c r="G83" i="61" s="1"/>
  <c r="H83" i="61" s="1"/>
  <c r="I83" i="61" s="1"/>
  <c r="J83" i="61" s="1"/>
  <c r="K83" i="61" s="1"/>
  <c r="L83" i="61" s="1"/>
  <c r="M83" i="61" s="1"/>
  <c r="N83" i="61" s="1"/>
  <c r="O83" i="61" s="1"/>
  <c r="P83" i="61" s="1"/>
  <c r="Q83" i="61" s="1"/>
  <c r="R83" i="61" s="1"/>
  <c r="S83" i="61" s="1"/>
  <c r="T83" i="61" s="1"/>
  <c r="U83" i="61" s="1"/>
  <c r="V83" i="61" s="1"/>
  <c r="W83" i="61" s="1"/>
  <c r="X83" i="61" s="1"/>
  <c r="Y83" i="61" s="1"/>
  <c r="Z83" i="61" s="1"/>
  <c r="AA83" i="61" s="1"/>
  <c r="AB83" i="61" s="1"/>
  <c r="AC83" i="61" s="1"/>
  <c r="AD83" i="61" s="1"/>
  <c r="AE83" i="61" s="1"/>
  <c r="H806" i="72" l="1"/>
  <c r="X373" i="68"/>
  <c r="I118" i="68"/>
  <c r="AC67" i="68"/>
  <c r="P344" i="68"/>
  <c r="P388" i="68" s="1"/>
  <c r="U797" i="72"/>
  <c r="Y777" i="72"/>
  <c r="AB92" i="68"/>
  <c r="AB183" i="68" s="1"/>
  <c r="AB274" i="68" s="1"/>
  <c r="O64" i="68"/>
  <c r="O66" i="68" s="1"/>
  <c r="J658" i="68"/>
  <c r="J712" i="68" s="1"/>
  <c r="U79" i="68"/>
  <c r="U81" i="68" s="1"/>
  <c r="T762" i="72"/>
  <c r="K140" i="68"/>
  <c r="K231" i="68" s="1"/>
  <c r="K322" i="68" s="1"/>
  <c r="AA91" i="68"/>
  <c r="AA182" i="68" s="1"/>
  <c r="Z100" i="68"/>
  <c r="AC70" i="68"/>
  <c r="AC72" i="68" s="1"/>
  <c r="K73" i="68"/>
  <c r="K75" i="68" s="1"/>
  <c r="I145" i="68"/>
  <c r="I236" i="68" s="1"/>
  <c r="I327" i="68" s="1"/>
  <c r="R806" i="72"/>
  <c r="AA73" i="68"/>
  <c r="AA75" i="68" s="1"/>
  <c r="J791" i="72"/>
  <c r="V122" i="68"/>
  <c r="V213" i="68" s="1"/>
  <c r="V304" i="68" s="1"/>
  <c r="S136" i="68"/>
  <c r="S138" i="68" s="1"/>
  <c r="R775" i="72"/>
  <c r="U776" i="72"/>
  <c r="M77" i="68"/>
  <c r="M168" i="68" s="1"/>
  <c r="M259" i="68" s="1"/>
  <c r="J760" i="72"/>
  <c r="S119" i="68"/>
  <c r="S210" i="68" s="1"/>
  <c r="S301" i="68" s="1"/>
  <c r="O106" i="68"/>
  <c r="O108" i="68" s="1"/>
  <c r="AF107" i="68"/>
  <c r="AF198" i="68" s="1"/>
  <c r="AF289" i="68" s="1"/>
  <c r="H815" i="72"/>
  <c r="Q122" i="68"/>
  <c r="Q213" i="68" s="1"/>
  <c r="Q304" i="68" s="1"/>
  <c r="Q788" i="72"/>
  <c r="R65" i="68"/>
  <c r="R156" i="68" s="1"/>
  <c r="R247" i="68" s="1"/>
  <c r="AE802" i="72"/>
  <c r="X86" i="68"/>
  <c r="X177" i="68" s="1"/>
  <c r="X268" i="68" s="1"/>
  <c r="U122" i="68"/>
  <c r="U213" i="68" s="1"/>
  <c r="U304" i="68" s="1"/>
  <c r="AG100" i="68"/>
  <c r="M660" i="68"/>
  <c r="M718" i="68" s="1"/>
  <c r="S357" i="68"/>
  <c r="S428" i="68" s="1"/>
  <c r="S519" i="68" s="1"/>
  <c r="S610" i="68" s="1"/>
  <c r="T104" i="68"/>
  <c r="T195" i="68" s="1"/>
  <c r="T286" i="68" s="1"/>
  <c r="AD109" i="68"/>
  <c r="AD111" i="68" s="1"/>
  <c r="AC803" i="72"/>
  <c r="T146" i="68"/>
  <c r="T237" i="68" s="1"/>
  <c r="T328" i="68" s="1"/>
  <c r="Q107" i="68"/>
  <c r="Q198" i="68" s="1"/>
  <c r="Q289" i="68" s="1"/>
  <c r="T776" i="72"/>
  <c r="N779" i="72"/>
  <c r="T793" i="72"/>
  <c r="M773" i="72"/>
  <c r="W792" i="72"/>
  <c r="AF769" i="72"/>
  <c r="I805" i="72"/>
  <c r="AD805" i="72"/>
  <c r="S91" i="68"/>
  <c r="X668" i="68"/>
  <c r="X742" i="68" s="1"/>
  <c r="W797" i="72"/>
  <c r="I675" i="68"/>
  <c r="I763" i="68" s="1"/>
  <c r="I854" i="68" s="1"/>
  <c r="Z774" i="72"/>
  <c r="Z140" i="68"/>
  <c r="Z231" i="68" s="1"/>
  <c r="Z322" i="68" s="1"/>
  <c r="Y766" i="72"/>
  <c r="S803" i="72"/>
  <c r="Y782" i="72"/>
  <c r="X652" i="68"/>
  <c r="X694" i="68" s="1"/>
  <c r="Z760" i="72"/>
  <c r="AA134" i="68"/>
  <c r="AA225" i="68" s="1"/>
  <c r="AA316" i="68" s="1"/>
  <c r="S799" i="72"/>
  <c r="H811" i="72"/>
  <c r="P139" i="68"/>
  <c r="P230" i="68" s="1"/>
  <c r="AC95" i="68"/>
  <c r="AC186" i="68" s="1"/>
  <c r="AC277" i="68" s="1"/>
  <c r="U98" i="68"/>
  <c r="U189" i="68" s="1"/>
  <c r="U280" i="68" s="1"/>
  <c r="T97" i="68"/>
  <c r="T99" i="68" s="1"/>
  <c r="N782" i="72"/>
  <c r="AG83" i="68"/>
  <c r="AG174" i="68" s="1"/>
  <c r="AG265" i="68" s="1"/>
  <c r="AG351" i="68"/>
  <c r="AG409" i="68" s="1"/>
  <c r="X781" i="72"/>
  <c r="M780" i="72"/>
  <c r="AA359" i="68"/>
  <c r="AA434" i="68" s="1"/>
  <c r="AA525" i="68" s="1"/>
  <c r="AA616" i="68" s="1"/>
  <c r="U116" i="68"/>
  <c r="U207" i="68" s="1"/>
  <c r="U298" i="68" s="1"/>
  <c r="P807" i="72"/>
  <c r="AE103" i="68"/>
  <c r="AE194" i="68" s="1"/>
  <c r="AD652" i="68"/>
  <c r="AD695" i="68" s="1"/>
  <c r="AD786" i="68" s="1"/>
  <c r="AD877" i="68" s="1"/>
  <c r="N134" i="68"/>
  <c r="N135" i="68" s="1"/>
  <c r="AB767" i="72"/>
  <c r="AA116" i="68"/>
  <c r="AA207" i="68" s="1"/>
  <c r="AA298" i="68" s="1"/>
  <c r="AB809" i="72"/>
  <c r="Z92" i="68"/>
  <c r="Z183" i="68" s="1"/>
  <c r="Z274" i="68" s="1"/>
  <c r="M765" i="72"/>
  <c r="AE789" i="72"/>
  <c r="R88" i="68"/>
  <c r="R179" i="68" s="1"/>
  <c r="W788" i="72"/>
  <c r="N77" i="68"/>
  <c r="N168" i="68" s="1"/>
  <c r="N259" i="68" s="1"/>
  <c r="AE788" i="72"/>
  <c r="L98" i="68"/>
  <c r="L189" i="68" s="1"/>
  <c r="L280" i="68" s="1"/>
  <c r="N106" i="68"/>
  <c r="N108" i="68" s="1"/>
  <c r="AD790" i="72"/>
  <c r="AH143" i="68"/>
  <c r="AH234" i="68" s="1"/>
  <c r="AH325" i="68" s="1"/>
  <c r="AG814" i="72"/>
  <c r="N362" i="68"/>
  <c r="N442" i="68" s="1"/>
  <c r="N533" i="68" s="1"/>
  <c r="T347" i="68"/>
  <c r="T398" i="68" s="1"/>
  <c r="T489" i="68" s="1"/>
  <c r="T580" i="68" s="1"/>
  <c r="AG92" i="68"/>
  <c r="AG183" i="68" s="1"/>
  <c r="AG274" i="68" s="1"/>
  <c r="AF648" i="68"/>
  <c r="AF682" i="68" s="1"/>
  <c r="AF119" i="68"/>
  <c r="AF210" i="68" s="1"/>
  <c r="AF301" i="68" s="1"/>
  <c r="U86" i="68"/>
  <c r="U177" i="68" s="1"/>
  <c r="U268" i="68" s="1"/>
  <c r="AE112" i="68"/>
  <c r="AE114" i="68" s="1"/>
  <c r="X68" i="68"/>
  <c r="X159" i="68" s="1"/>
  <c r="X250" i="68" s="1"/>
  <c r="M802" i="72"/>
  <c r="AB82" i="68"/>
  <c r="AB84" i="68" s="1"/>
  <c r="P65" i="68"/>
  <c r="P156" i="68" s="1"/>
  <c r="P247" i="68" s="1"/>
  <c r="Z136" i="68"/>
  <c r="Z138" i="68" s="1"/>
  <c r="Y812" i="72"/>
  <c r="M767" i="72"/>
  <c r="AA796" i="72"/>
  <c r="AG801" i="72"/>
  <c r="P667" i="68"/>
  <c r="P739" i="68" s="1"/>
  <c r="W94" i="68"/>
  <c r="W96" i="68" s="1"/>
  <c r="K71" i="68"/>
  <c r="K162" i="68" s="1"/>
  <c r="K253" i="68" s="1"/>
  <c r="AD794" i="72"/>
  <c r="Q92" i="68"/>
  <c r="Q183" i="68" s="1"/>
  <c r="Q274" i="68" s="1"/>
  <c r="AB656" i="68"/>
  <c r="AB707" i="68" s="1"/>
  <c r="AB798" i="68" s="1"/>
  <c r="AB889" i="68" s="1"/>
  <c r="K767" i="72"/>
  <c r="AF95" i="68"/>
  <c r="AF186" i="68" s="1"/>
  <c r="AF277" i="68" s="1"/>
  <c r="AD104" i="68"/>
  <c r="AD195" i="68" s="1"/>
  <c r="AD286" i="68" s="1"/>
  <c r="J92" i="68"/>
  <c r="J183" i="68" s="1"/>
  <c r="J274" i="68" s="1"/>
  <c r="K799" i="72"/>
  <c r="K768" i="72"/>
  <c r="P106" i="68"/>
  <c r="AC106" i="68"/>
  <c r="AC197" i="68" s="1"/>
  <c r="AB790" i="72"/>
  <c r="N104" i="68"/>
  <c r="N195" i="68" s="1"/>
  <c r="N286" i="68" s="1"/>
  <c r="N809" i="72"/>
  <c r="AE811" i="72"/>
  <c r="R103" i="68"/>
  <c r="R105" i="68" s="1"/>
  <c r="AF800" i="72"/>
  <c r="N349" i="68"/>
  <c r="AC796" i="72"/>
  <c r="I766" i="72"/>
  <c r="Q762" i="72"/>
  <c r="J794" i="72"/>
  <c r="AH74" i="68"/>
  <c r="AH165" i="68" s="1"/>
  <c r="AH256" i="68" s="1"/>
  <c r="K122" i="68"/>
  <c r="K213" i="68" s="1"/>
  <c r="K304" i="68" s="1"/>
  <c r="V806" i="72"/>
  <c r="AF131" i="68"/>
  <c r="I128" i="68"/>
  <c r="I219" i="68" s="1"/>
  <c r="I310" i="68" s="1"/>
  <c r="S104" i="68"/>
  <c r="S195" i="68" s="1"/>
  <c r="S286" i="68" s="1"/>
  <c r="Z364" i="68"/>
  <c r="Z449" i="68" s="1"/>
  <c r="Z540" i="68" s="1"/>
  <c r="Z631" i="68" s="1"/>
  <c r="R107" i="68"/>
  <c r="R198" i="68" s="1"/>
  <c r="R289" i="68" s="1"/>
  <c r="W767" i="72"/>
  <c r="P109" i="68"/>
  <c r="P111" i="68" s="1"/>
  <c r="L794" i="72"/>
  <c r="R801" i="72"/>
  <c r="W357" i="68"/>
  <c r="W427" i="68" s="1"/>
  <c r="Q669" i="68"/>
  <c r="Q746" i="68" s="1"/>
  <c r="Q837" i="68" s="1"/>
  <c r="Q928" i="68" s="1"/>
  <c r="M104" i="68"/>
  <c r="M195" i="68" s="1"/>
  <c r="M286" i="68" s="1"/>
  <c r="H809" i="72"/>
  <c r="O765" i="72"/>
  <c r="N788" i="72"/>
  <c r="Q770" i="72"/>
  <c r="O772" i="72"/>
  <c r="P89" i="68"/>
  <c r="P180" i="68" s="1"/>
  <c r="P271" i="68" s="1"/>
  <c r="AG119" i="68"/>
  <c r="AG210" i="68" s="1"/>
  <c r="AG301" i="68" s="1"/>
  <c r="W758" i="72"/>
  <c r="N793" i="72"/>
  <c r="AA97" i="68"/>
  <c r="AA188" i="68" s="1"/>
  <c r="W781" i="72"/>
  <c r="N762" i="72"/>
  <c r="AB116" i="68"/>
  <c r="AB207" i="68" s="1"/>
  <c r="AB298" i="68" s="1"/>
  <c r="AB802" i="72"/>
  <c r="I94" i="68"/>
  <c r="I185" i="68" s="1"/>
  <c r="AH103" i="68"/>
  <c r="AH105" i="68" s="1"/>
  <c r="O79" i="68"/>
  <c r="O170" i="68" s="1"/>
  <c r="AB775" i="72"/>
  <c r="N789" i="72"/>
  <c r="AB788" i="72"/>
  <c r="AC345" i="68"/>
  <c r="AC392" i="68" s="1"/>
  <c r="AC483" i="68" s="1"/>
  <c r="AC574" i="68" s="1"/>
  <c r="K765" i="72"/>
  <c r="AH131" i="68"/>
  <c r="AH222" i="68" s="1"/>
  <c r="AH313" i="68" s="1"/>
  <c r="AD764" i="72"/>
  <c r="AB121" i="68"/>
  <c r="AB123" i="68" s="1"/>
  <c r="AG146" i="68"/>
  <c r="AG237" i="68" s="1"/>
  <c r="AG328" i="68" s="1"/>
  <c r="Q763" i="72"/>
  <c r="L350" i="68"/>
  <c r="L407" i="68" s="1"/>
  <c r="L498" i="68" s="1"/>
  <c r="L589" i="68" s="1"/>
  <c r="J125" i="68"/>
  <c r="J216" i="68" s="1"/>
  <c r="J307" i="68" s="1"/>
  <c r="T136" i="68"/>
  <c r="T227" i="68" s="1"/>
  <c r="L103" i="68"/>
  <c r="L105" i="68" s="1"/>
  <c r="AE798" i="72"/>
  <c r="J133" i="68"/>
  <c r="J135" i="68" s="1"/>
  <c r="AD762" i="72"/>
  <c r="H778" i="72"/>
  <c r="AD142" i="68"/>
  <c r="AD144" i="68" s="1"/>
  <c r="AB771" i="72"/>
  <c r="AD88" i="68"/>
  <c r="AD90" i="68" s="1"/>
  <c r="AB125" i="68"/>
  <c r="AB216" i="68" s="1"/>
  <c r="AB307" i="68" s="1"/>
  <c r="L792" i="72"/>
  <c r="AA797" i="72"/>
  <c r="N94" i="68"/>
  <c r="N96" i="68" s="1"/>
  <c r="S83" i="68"/>
  <c r="S174" i="68" s="1"/>
  <c r="S265" i="68" s="1"/>
  <c r="O648" i="68"/>
  <c r="O682" i="68" s="1"/>
  <c r="O139" i="68"/>
  <c r="O141" i="68" s="1"/>
  <c r="Z782" i="72"/>
  <c r="K100" i="68"/>
  <c r="K191" i="68" s="1"/>
  <c r="U765" i="72"/>
  <c r="S812" i="72"/>
  <c r="V792" i="72"/>
  <c r="T675" i="68"/>
  <c r="T764" i="68" s="1"/>
  <c r="T855" i="68" s="1"/>
  <c r="T946" i="68" s="1"/>
  <c r="Q765" i="72"/>
  <c r="AC145" i="68"/>
  <c r="V115" i="68"/>
  <c r="V117" i="68" s="1"/>
  <c r="V769" i="72"/>
  <c r="T805" i="72"/>
  <c r="AG71" i="68"/>
  <c r="AG162" i="68" s="1"/>
  <c r="AG253" i="68" s="1"/>
  <c r="Z70" i="68"/>
  <c r="Z72" i="68" s="1"/>
  <c r="AF790" i="72"/>
  <c r="O125" i="68"/>
  <c r="O216" i="68" s="1"/>
  <c r="O307" i="68" s="1"/>
  <c r="Q778" i="72"/>
  <c r="O88" i="68"/>
  <c r="O90" i="68" s="1"/>
  <c r="R793" i="72"/>
  <c r="N109" i="68"/>
  <c r="N200" i="68" s="1"/>
  <c r="S65" i="68"/>
  <c r="S156" i="68" s="1"/>
  <c r="S247" i="68" s="1"/>
  <c r="O760" i="72"/>
  <c r="K772" i="72"/>
  <c r="L54" i="68"/>
  <c r="L136" i="68" s="1"/>
  <c r="L89" i="68"/>
  <c r="L180" i="68" s="1"/>
  <c r="L271" i="68" s="1"/>
  <c r="R762" i="72"/>
  <c r="J807" i="72"/>
  <c r="R788" i="72"/>
  <c r="R797" i="72"/>
  <c r="S121" i="68"/>
  <c r="S123" i="68" s="1"/>
  <c r="O791" i="72"/>
  <c r="J795" i="72"/>
  <c r="I113" i="68"/>
  <c r="I204" i="68" s="1"/>
  <c r="I295" i="68" s="1"/>
  <c r="H804" i="72"/>
  <c r="J142" i="68"/>
  <c r="J144" i="68" s="1"/>
  <c r="W130" i="68"/>
  <c r="W132" i="68" s="1"/>
  <c r="AB80" i="68"/>
  <c r="AB171" i="68" s="1"/>
  <c r="AB262" i="68" s="1"/>
  <c r="W782" i="72"/>
  <c r="N792" i="72"/>
  <c r="X107" i="68"/>
  <c r="X198" i="68" s="1"/>
  <c r="X289" i="68" s="1"/>
  <c r="AB814" i="72"/>
  <c r="H774" i="72"/>
  <c r="AC808" i="72"/>
  <c r="U82" i="68"/>
  <c r="U84" i="68" s="1"/>
  <c r="Y83" i="68"/>
  <c r="Y174" i="68" s="1"/>
  <c r="Y265" i="68" s="1"/>
  <c r="AD798" i="72"/>
  <c r="P116" i="68"/>
  <c r="P207" i="68" s="1"/>
  <c r="P298" i="68" s="1"/>
  <c r="Y89" i="68"/>
  <c r="Y180" i="68" s="1"/>
  <c r="Y271" i="68" s="1"/>
  <c r="N758" i="72"/>
  <c r="Q797" i="72"/>
  <c r="AG792" i="72"/>
  <c r="O799" i="72"/>
  <c r="Y791" i="72"/>
  <c r="V74" i="68"/>
  <c r="V165" i="68" s="1"/>
  <c r="V256" i="68" s="1"/>
  <c r="U665" i="68"/>
  <c r="U734" i="68" s="1"/>
  <c r="U825" i="68" s="1"/>
  <c r="U916" i="68" s="1"/>
  <c r="AB789" i="72"/>
  <c r="O803" i="72"/>
  <c r="AD768" i="72"/>
  <c r="M795" i="72"/>
  <c r="AC767" i="72"/>
  <c r="S666" i="68"/>
  <c r="S737" i="68" s="1"/>
  <c r="AD668" i="68"/>
  <c r="AD742" i="68" s="1"/>
  <c r="AF658" i="68"/>
  <c r="AF712" i="68" s="1"/>
  <c r="O793" i="72"/>
  <c r="Z791" i="72"/>
  <c r="AC769" i="72"/>
  <c r="AF784" i="72"/>
  <c r="I814" i="72"/>
  <c r="AF758" i="72"/>
  <c r="N757" i="72"/>
  <c r="L769" i="72"/>
  <c r="I783" i="72"/>
  <c r="AE813" i="72"/>
  <c r="S143" i="68"/>
  <c r="S234" i="68" s="1"/>
  <c r="S325" i="68" s="1"/>
  <c r="AA143" i="68"/>
  <c r="AA234" i="68" s="1"/>
  <c r="AA325" i="68" s="1"/>
  <c r="J810" i="72"/>
  <c r="AB808" i="72"/>
  <c r="S808" i="72"/>
  <c r="T777" i="72"/>
  <c r="AA808" i="72"/>
  <c r="J808" i="72"/>
  <c r="AG121" i="68"/>
  <c r="AG212" i="68" s="1"/>
  <c r="R112" i="68"/>
  <c r="R114" i="68" s="1"/>
  <c r="O774" i="72"/>
  <c r="N774" i="72"/>
  <c r="U805" i="72"/>
  <c r="AG104" i="68"/>
  <c r="AG195" i="68" s="1"/>
  <c r="AG286" i="68" s="1"/>
  <c r="O802" i="72"/>
  <c r="W101" i="68"/>
  <c r="W192" i="68" s="1"/>
  <c r="W283" i="68" s="1"/>
  <c r="X772" i="72"/>
  <c r="V800" i="72"/>
  <c r="T798" i="72"/>
  <c r="T767" i="72"/>
  <c r="Q95" i="68"/>
  <c r="Q186" i="68" s="1"/>
  <c r="Q277" i="68" s="1"/>
  <c r="P767" i="72"/>
  <c r="H767" i="72"/>
  <c r="I666" i="68"/>
  <c r="I736" i="68" s="1"/>
  <c r="P662" i="68"/>
  <c r="P725" i="68" s="1"/>
  <c r="P816" i="68" s="1"/>
  <c r="P907" i="68" s="1"/>
  <c r="AD650" i="68"/>
  <c r="AD688" i="68" s="1"/>
  <c r="P806" i="72"/>
  <c r="Y798" i="72"/>
  <c r="T811" i="72"/>
  <c r="AC668" i="68"/>
  <c r="AC743" i="68" s="1"/>
  <c r="AC834" i="68" s="1"/>
  <c r="AC925" i="68" s="1"/>
  <c r="Y811" i="72"/>
  <c r="AH657" i="68"/>
  <c r="AB668" i="68"/>
  <c r="AB743" i="68" s="1"/>
  <c r="AB834" i="68" s="1"/>
  <c r="AB925" i="68" s="1"/>
  <c r="AG806" i="72"/>
  <c r="Y354" i="68"/>
  <c r="Y418" i="68" s="1"/>
  <c r="AE346" i="68"/>
  <c r="AE395" i="68" s="1"/>
  <c r="AE486" i="68" s="1"/>
  <c r="AE577" i="68" s="1"/>
  <c r="AC783" i="72"/>
  <c r="AD770" i="72"/>
  <c r="L757" i="72"/>
  <c r="AC758" i="72"/>
  <c r="H779" i="72"/>
  <c r="X80" i="68"/>
  <c r="X171" i="68" s="1"/>
  <c r="X262" i="68" s="1"/>
  <c r="AF80" i="68"/>
  <c r="AF171" i="68" s="1"/>
  <c r="AF262" i="68" s="1"/>
  <c r="AD793" i="72"/>
  <c r="AE793" i="72"/>
  <c r="O340" i="68"/>
  <c r="O376" i="68" s="1"/>
  <c r="P356" i="68"/>
  <c r="P425" i="68" s="1"/>
  <c r="P516" i="68" s="1"/>
  <c r="P607" i="68" s="1"/>
  <c r="P342" i="68"/>
  <c r="P383" i="68" s="1"/>
  <c r="P474" i="68" s="1"/>
  <c r="P565" i="68" s="1"/>
  <c r="P778" i="72"/>
  <c r="W347" i="68"/>
  <c r="W397" i="68" s="1"/>
  <c r="P768" i="72"/>
  <c r="AA782" i="72"/>
  <c r="X767" i="72"/>
  <c r="J776" i="72"/>
  <c r="AA773" i="72"/>
  <c r="R763" i="72"/>
  <c r="AB778" i="72"/>
  <c r="I781" i="72"/>
  <c r="P142" i="68"/>
  <c r="P144" i="68" s="1"/>
  <c r="Q780" i="72"/>
  <c r="O815" i="72"/>
  <c r="Z780" i="72"/>
  <c r="K778" i="72"/>
  <c r="AA776" i="72"/>
  <c r="Y807" i="72"/>
  <c r="AG798" i="72"/>
  <c r="AA109" i="68"/>
  <c r="AA111" i="68" s="1"/>
  <c r="W770" i="72"/>
  <c r="S774" i="72"/>
  <c r="W794" i="72"/>
  <c r="L73" i="68"/>
  <c r="L75" i="68" s="1"/>
  <c r="AG760" i="72"/>
  <c r="Z759" i="72"/>
  <c r="S768" i="72"/>
  <c r="L766" i="72"/>
  <c r="Q766" i="72"/>
  <c r="L783" i="72"/>
  <c r="N357" i="68"/>
  <c r="N427" i="68" s="1"/>
  <c r="O778" i="72"/>
  <c r="H780" i="72"/>
  <c r="H760" i="72"/>
  <c r="U757" i="72"/>
  <c r="AB358" i="68"/>
  <c r="AB431" i="68" s="1"/>
  <c r="AB522" i="68" s="1"/>
  <c r="AB613" i="68" s="1"/>
  <c r="AF776" i="72"/>
  <c r="O764" i="72"/>
  <c r="W814" i="72"/>
  <c r="R780" i="72"/>
  <c r="AA812" i="72"/>
  <c r="P811" i="72"/>
  <c r="S133" i="68"/>
  <c r="S135" i="68" s="1"/>
  <c r="N810" i="72"/>
  <c r="R776" i="72"/>
  <c r="R122" i="68"/>
  <c r="R213" i="68" s="1"/>
  <c r="R304" i="68" s="1"/>
  <c r="Q807" i="72"/>
  <c r="X776" i="72"/>
  <c r="N101" i="68"/>
  <c r="N192" i="68" s="1"/>
  <c r="N283" i="68" s="1"/>
  <c r="J98" i="68"/>
  <c r="J189" i="68" s="1"/>
  <c r="J280" i="68" s="1"/>
  <c r="I770" i="72"/>
  <c r="O768" i="72"/>
  <c r="Z799" i="72"/>
  <c r="Z772" i="72"/>
  <c r="I768" i="72"/>
  <c r="AB805" i="72"/>
  <c r="AA775" i="72"/>
  <c r="AF803" i="72"/>
  <c r="L806" i="72"/>
  <c r="Q800" i="72"/>
  <c r="V799" i="72"/>
  <c r="I801" i="72"/>
  <c r="I799" i="72"/>
  <c r="AB772" i="72"/>
  <c r="O767" i="72"/>
  <c r="AB800" i="72"/>
  <c r="L772" i="72"/>
  <c r="N770" i="72"/>
  <c r="AC104" i="68"/>
  <c r="AC195" i="68" s="1"/>
  <c r="AC286" i="68" s="1"/>
  <c r="P91" i="68"/>
  <c r="P93" i="68" s="1"/>
  <c r="T86" i="68"/>
  <c r="T177" i="68" s="1"/>
  <c r="T268" i="68" s="1"/>
  <c r="P765" i="72"/>
  <c r="P796" i="72"/>
  <c r="Q89" i="68"/>
  <c r="Q180" i="68" s="1"/>
  <c r="Q271" i="68" s="1"/>
  <c r="O766" i="72"/>
  <c r="N766" i="72"/>
  <c r="Q85" i="68"/>
  <c r="Q87" i="68" s="1"/>
  <c r="S88" i="68"/>
  <c r="S90" i="68" s="1"/>
  <c r="N797" i="72"/>
  <c r="S766" i="72"/>
  <c r="T794" i="72"/>
  <c r="H793" i="72"/>
  <c r="L790" i="72"/>
  <c r="AB73" i="68"/>
  <c r="AB75" i="68" s="1"/>
  <c r="AG761" i="72"/>
  <c r="AH77" i="68"/>
  <c r="AH168" i="68" s="1"/>
  <c r="AH259" i="68" s="1"/>
  <c r="P790" i="72"/>
  <c r="S761" i="72"/>
  <c r="T77" i="68"/>
  <c r="T168" i="68" s="1"/>
  <c r="T259" i="68" s="1"/>
  <c r="Y73" i="68"/>
  <c r="Y75" i="68" s="1"/>
  <c r="X791" i="72"/>
  <c r="Z790" i="72"/>
  <c r="W68" i="68"/>
  <c r="W159" i="68" s="1"/>
  <c r="W250" i="68" s="1"/>
  <c r="V758" i="72"/>
  <c r="AC789" i="72"/>
  <c r="AF65" i="68"/>
  <c r="AF156" i="68" s="1"/>
  <c r="AF247" i="68" s="1"/>
  <c r="P103" i="68"/>
  <c r="P104" i="68"/>
  <c r="P195" i="68" s="1"/>
  <c r="P286" i="68" s="1"/>
  <c r="K798" i="72"/>
  <c r="L658" i="68"/>
  <c r="L712" i="68" s="1"/>
  <c r="AB32" i="68"/>
  <c r="AA759" i="72"/>
  <c r="AB345" i="68"/>
  <c r="AB392" i="68" s="1"/>
  <c r="AB483" i="68" s="1"/>
  <c r="AB574" i="68" s="1"/>
  <c r="AA763" i="72"/>
  <c r="AE671" i="68"/>
  <c r="AD811" i="72"/>
  <c r="T359" i="68"/>
  <c r="T434" i="68" s="1"/>
  <c r="T525" i="68" s="1"/>
  <c r="T616" i="68" s="1"/>
  <c r="S777" i="72"/>
  <c r="O32" i="68"/>
  <c r="N790" i="72"/>
  <c r="N759" i="72"/>
  <c r="R358" i="68"/>
  <c r="R431" i="68" s="1"/>
  <c r="R522" i="68" s="1"/>
  <c r="R613" i="68" s="1"/>
  <c r="Q776" i="72"/>
  <c r="AG50" i="68"/>
  <c r="AF808" i="72"/>
  <c r="AD48" i="68"/>
  <c r="AD118" i="68" s="1"/>
  <c r="AD209" i="68" s="1"/>
  <c r="AC806" i="72"/>
  <c r="X659" i="68"/>
  <c r="X716" i="68" s="1"/>
  <c r="X807" i="68" s="1"/>
  <c r="X898" i="68" s="1"/>
  <c r="W799" i="72"/>
  <c r="J656" i="68"/>
  <c r="J706" i="68" s="1"/>
  <c r="J797" i="68" s="1"/>
  <c r="I796" i="72"/>
  <c r="Q796" i="72"/>
  <c r="R656" i="68"/>
  <c r="R707" i="68" s="1"/>
  <c r="R798" i="68" s="1"/>
  <c r="R889" i="68" s="1"/>
  <c r="M770" i="72"/>
  <c r="N352" i="68"/>
  <c r="N412" i="68" s="1"/>
  <c r="AA757" i="68"/>
  <c r="AA848" i="68" s="1"/>
  <c r="AA758" i="68"/>
  <c r="AA849" i="68" s="1"/>
  <c r="AA940" i="68" s="1"/>
  <c r="AH134" i="68"/>
  <c r="AH225" i="68" s="1"/>
  <c r="AH316" i="68" s="1"/>
  <c r="AH133" i="68"/>
  <c r="AE763" i="72"/>
  <c r="AD359" i="68"/>
  <c r="AD434" i="68" s="1"/>
  <c r="AD525" i="68" s="1"/>
  <c r="AD616" i="68" s="1"/>
  <c r="AC777" i="72"/>
  <c r="L37" i="68"/>
  <c r="L86" i="68" s="1"/>
  <c r="L177" i="68" s="1"/>
  <c r="L268" i="68" s="1"/>
  <c r="K795" i="72"/>
  <c r="AA31" i="68"/>
  <c r="Z789" i="72"/>
  <c r="O45" i="68"/>
  <c r="O109" i="68" s="1"/>
  <c r="O200" i="68" s="1"/>
  <c r="N772" i="72"/>
  <c r="L124" i="68"/>
  <c r="L126" i="68" s="1"/>
  <c r="L125" i="68"/>
  <c r="L216" i="68" s="1"/>
  <c r="L307" i="68" s="1"/>
  <c r="R130" i="68"/>
  <c r="R131" i="68"/>
  <c r="R222" i="68" s="1"/>
  <c r="R313" i="68" s="1"/>
  <c r="AF42" i="68"/>
  <c r="AF100" i="68" s="1"/>
  <c r="AF191" i="68" s="1"/>
  <c r="AE769" i="72"/>
  <c r="AE800" i="72"/>
  <c r="Q353" i="68"/>
  <c r="Q415" i="68" s="1"/>
  <c r="P771" i="72"/>
  <c r="O42" i="68"/>
  <c r="O100" i="68" s="1"/>
  <c r="O191" i="68" s="1"/>
  <c r="N800" i="72"/>
  <c r="N769" i="72"/>
  <c r="X669" i="68"/>
  <c r="X745" i="68" s="1"/>
  <c r="W809" i="72"/>
  <c r="AG38" i="68"/>
  <c r="AF765" i="72"/>
  <c r="X764" i="72"/>
  <c r="Y346" i="68"/>
  <c r="Y394" i="68" s="1"/>
  <c r="Z674" i="68"/>
  <c r="Z760" i="68" s="1"/>
  <c r="Y814" i="72"/>
  <c r="AD47" i="68"/>
  <c r="AD115" i="68" s="1"/>
  <c r="AC805" i="72"/>
  <c r="J119" i="68"/>
  <c r="J210" i="68" s="1"/>
  <c r="J301" i="68" s="1"/>
  <c r="L47" i="68"/>
  <c r="L115" i="68" s="1"/>
  <c r="K805" i="72"/>
  <c r="U347" i="68"/>
  <c r="U397" i="68" s="1"/>
  <c r="T765" i="72"/>
  <c r="V801" i="72"/>
  <c r="W661" i="68"/>
  <c r="W722" i="68" s="1"/>
  <c r="W813" i="68" s="1"/>
  <c r="W904" i="68" s="1"/>
  <c r="AB664" i="68"/>
  <c r="AB730" i="68" s="1"/>
  <c r="AA804" i="72"/>
  <c r="K124" i="68"/>
  <c r="K126" i="68" s="1"/>
  <c r="K125" i="68"/>
  <c r="K216" i="68" s="1"/>
  <c r="K307" i="68" s="1"/>
  <c r="S764" i="72"/>
  <c r="T346" i="68"/>
  <c r="T395" i="68" s="1"/>
  <c r="T486" i="68" s="1"/>
  <c r="T577" i="68" s="1"/>
  <c r="O770" i="72"/>
  <c r="P42" i="68"/>
  <c r="P100" i="68" s="1"/>
  <c r="P191" i="68" s="1"/>
  <c r="O800" i="72"/>
  <c r="I55" i="68"/>
  <c r="H813" i="72"/>
  <c r="R139" i="68"/>
  <c r="R140" i="68"/>
  <c r="R231" i="68" s="1"/>
  <c r="R322" i="68" s="1"/>
  <c r="I49" i="68"/>
  <c r="H776" i="72"/>
  <c r="J758" i="72"/>
  <c r="K340" i="68"/>
  <c r="K376" i="68" s="1"/>
  <c r="AG52" i="68"/>
  <c r="AF810" i="72"/>
  <c r="AH89" i="68"/>
  <c r="AH180" i="68" s="1"/>
  <c r="AH271" i="68" s="1"/>
  <c r="AH88" i="68"/>
  <c r="X348" i="68"/>
  <c r="X400" i="68" s="1"/>
  <c r="W766" i="72"/>
  <c r="Q671" i="68"/>
  <c r="Q752" i="68" s="1"/>
  <c r="Y35" i="68"/>
  <c r="Y79" i="68" s="1"/>
  <c r="X793" i="72"/>
  <c r="P352" i="68"/>
  <c r="P412" i="68" s="1"/>
  <c r="V815" i="72"/>
  <c r="K361" i="68"/>
  <c r="K439" i="68" s="1"/>
  <c r="J779" i="72"/>
  <c r="AG98" i="68"/>
  <c r="AG189" i="68" s="1"/>
  <c r="AG280" i="68" s="1"/>
  <c r="AG97" i="68"/>
  <c r="AG188" i="68" s="1"/>
  <c r="K808" i="72"/>
  <c r="K46" i="68"/>
  <c r="K112" i="68" s="1"/>
  <c r="J804" i="72"/>
  <c r="W30" i="68"/>
  <c r="W65" i="68" s="1"/>
  <c r="W156" i="68" s="1"/>
  <c r="W247" i="68" s="1"/>
  <c r="V757" i="72"/>
  <c r="K764" i="72"/>
  <c r="AF797" i="72"/>
  <c r="U794" i="72"/>
  <c r="S662" i="68"/>
  <c r="S725" i="68" s="1"/>
  <c r="S816" i="68" s="1"/>
  <c r="S907" i="68" s="1"/>
  <c r="R802" i="72"/>
  <c r="P773" i="72"/>
  <c r="Q100" i="68"/>
  <c r="Q102" i="68" s="1"/>
  <c r="AA43" i="68"/>
  <c r="AA103" i="68" s="1"/>
  <c r="Z801" i="72"/>
  <c r="AF768" i="72"/>
  <c r="Z351" i="68"/>
  <c r="Z409" i="68" s="1"/>
  <c r="Y769" i="72"/>
  <c r="AB783" i="72"/>
  <c r="AC365" i="68"/>
  <c r="AC452" i="68" s="1"/>
  <c r="AC543" i="68" s="1"/>
  <c r="AC634" i="68" s="1"/>
  <c r="R764" i="72"/>
  <c r="V98" i="68"/>
  <c r="V189" i="68" s="1"/>
  <c r="V280" i="68" s="1"/>
  <c r="R119" i="68"/>
  <c r="R210" i="68" s="1"/>
  <c r="R301" i="68" s="1"/>
  <c r="S802" i="72"/>
  <c r="T662" i="68"/>
  <c r="T725" i="68" s="1"/>
  <c r="T816" i="68" s="1"/>
  <c r="T907" i="68" s="1"/>
  <c r="Z758" i="72"/>
  <c r="Q759" i="72"/>
  <c r="AG796" i="72"/>
  <c r="AC35" i="68"/>
  <c r="AC79" i="68" s="1"/>
  <c r="AB793" i="72"/>
  <c r="AG661" i="68"/>
  <c r="AG721" i="68" s="1"/>
  <c r="AF801" i="72"/>
  <c r="AF33" i="68"/>
  <c r="AE760" i="72"/>
  <c r="AB48" i="68"/>
  <c r="AA806" i="72"/>
  <c r="AE86" i="68"/>
  <c r="AE177" i="68" s="1"/>
  <c r="AE268" i="68" s="1"/>
  <c r="AE85" i="68"/>
  <c r="AE176" i="68" s="1"/>
  <c r="R774" i="72"/>
  <c r="X795" i="72"/>
  <c r="AA807" i="72"/>
  <c r="P347" i="68"/>
  <c r="P398" i="68" s="1"/>
  <c r="P489" i="68" s="1"/>
  <c r="P580" i="68" s="1"/>
  <c r="AF50" i="68"/>
  <c r="AE808" i="72"/>
  <c r="V35" i="68"/>
  <c r="V80" i="68" s="1"/>
  <c r="V171" i="68" s="1"/>
  <c r="V262" i="68" s="1"/>
  <c r="U762" i="72"/>
  <c r="W39" i="68"/>
  <c r="V766" i="72"/>
  <c r="AB357" i="68"/>
  <c r="AB428" i="68" s="1"/>
  <c r="AB519" i="68" s="1"/>
  <c r="AB610" i="68" s="1"/>
  <c r="AF773" i="72"/>
  <c r="K667" i="68"/>
  <c r="K740" i="68" s="1"/>
  <c r="K831" i="68" s="1"/>
  <c r="K922" i="68" s="1"/>
  <c r="K668" i="68"/>
  <c r="K743" i="68" s="1"/>
  <c r="K834" i="68" s="1"/>
  <c r="K925" i="68" s="1"/>
  <c r="AE771" i="72"/>
  <c r="W146" i="68"/>
  <c r="W237" i="68" s="1"/>
  <c r="W328" i="68" s="1"/>
  <c r="Y659" i="68"/>
  <c r="Y715" i="68" s="1"/>
  <c r="X799" i="72"/>
  <c r="K48" i="68"/>
  <c r="K119" i="68" s="1"/>
  <c r="K210" i="68" s="1"/>
  <c r="K301" i="68" s="1"/>
  <c r="J775" i="72"/>
  <c r="Q664" i="68"/>
  <c r="P804" i="72"/>
  <c r="AG77" i="68"/>
  <c r="AG168" i="68" s="1"/>
  <c r="AG259" i="68" s="1"/>
  <c r="AG76" i="68"/>
  <c r="P353" i="68"/>
  <c r="P416" i="68" s="1"/>
  <c r="P507" i="68" s="1"/>
  <c r="P598" i="68" s="1"/>
  <c r="O771" i="72"/>
  <c r="N33" i="68"/>
  <c r="M791" i="72"/>
  <c r="X359" i="68"/>
  <c r="W777" i="72"/>
  <c r="AC661" i="68"/>
  <c r="AC722" i="68" s="1"/>
  <c r="AC813" i="68" s="1"/>
  <c r="AC904" i="68" s="1"/>
  <c r="AB801" i="72"/>
  <c r="AG95" i="68"/>
  <c r="AG186" i="68" s="1"/>
  <c r="AG277" i="68" s="1"/>
  <c r="AG94" i="68"/>
  <c r="AA665" i="68"/>
  <c r="AA733" i="68" s="1"/>
  <c r="Z805" i="72"/>
  <c r="AF49" i="68"/>
  <c r="AF122" i="68" s="1"/>
  <c r="AF213" i="68" s="1"/>
  <c r="AF304" i="68" s="1"/>
  <c r="AE776" i="72"/>
  <c r="P37" i="68"/>
  <c r="O795" i="72"/>
  <c r="J349" i="68"/>
  <c r="J403" i="68" s="1"/>
  <c r="X127" i="68"/>
  <c r="X218" i="68" s="1"/>
  <c r="T32" i="68"/>
  <c r="T71" i="68" s="1"/>
  <c r="T162" i="68" s="1"/>
  <c r="T253" i="68" s="1"/>
  <c r="S790" i="72"/>
  <c r="V784" i="72"/>
  <c r="AF799" i="72"/>
  <c r="AB101" i="68"/>
  <c r="AB192" i="68" s="1"/>
  <c r="AB283" i="68" s="1"/>
  <c r="AB100" i="68"/>
  <c r="AB191" i="68" s="1"/>
  <c r="I775" i="72"/>
  <c r="AF767" i="72"/>
  <c r="X674" i="68"/>
  <c r="X760" i="68" s="1"/>
  <c r="X851" i="68" s="1"/>
  <c r="L118" i="68"/>
  <c r="L120" i="68" s="1"/>
  <c r="AA670" i="68"/>
  <c r="J661" i="68"/>
  <c r="J722" i="68" s="1"/>
  <c r="J813" i="68" s="1"/>
  <c r="J904" i="68" s="1"/>
  <c r="S760" i="72"/>
  <c r="AE31" i="68"/>
  <c r="AE67" i="68" s="1"/>
  <c r="AD789" i="72"/>
  <c r="Q112" i="68"/>
  <c r="Q114" i="68" s="1"/>
  <c r="AF777" i="72"/>
  <c r="AA659" i="68"/>
  <c r="AA715" i="68" s="1"/>
  <c r="M769" i="72"/>
  <c r="L814" i="72"/>
  <c r="T775" i="72"/>
  <c r="V95" i="68"/>
  <c r="V186" i="68" s="1"/>
  <c r="V277" i="68" s="1"/>
  <c r="T789" i="72"/>
  <c r="I784" i="72"/>
  <c r="S131" i="68"/>
  <c r="S132" i="68" s="1"/>
  <c r="AC77" i="68"/>
  <c r="AC168" i="68" s="1"/>
  <c r="AC259" i="68" s="1"/>
  <c r="AG659" i="68"/>
  <c r="AG716" i="68" s="1"/>
  <c r="AG807" i="68" s="1"/>
  <c r="AG898" i="68" s="1"/>
  <c r="AE76" i="68"/>
  <c r="AE78" i="68" s="1"/>
  <c r="AD772" i="72"/>
  <c r="M792" i="72"/>
  <c r="AD792" i="72"/>
  <c r="AE807" i="72"/>
  <c r="H759" i="72"/>
  <c r="Y773" i="72"/>
  <c r="AE110" i="68"/>
  <c r="AE201" i="68" s="1"/>
  <c r="AE292" i="68" s="1"/>
  <c r="AB103" i="68"/>
  <c r="AB105" i="68" s="1"/>
  <c r="L803" i="72"/>
  <c r="AD145" i="68"/>
  <c r="AD236" i="68" s="1"/>
  <c r="Q810" i="72"/>
  <c r="AA803" i="72"/>
  <c r="Z788" i="72"/>
  <c r="J781" i="72"/>
  <c r="Q82" i="68"/>
  <c r="H807" i="72"/>
  <c r="U760" i="72"/>
  <c r="P350" i="68"/>
  <c r="P406" i="68" s="1"/>
  <c r="AF791" i="72"/>
  <c r="AG773" i="72"/>
  <c r="AG808" i="72"/>
  <c r="Q815" i="72"/>
  <c r="X765" i="72"/>
  <c r="X760" i="72"/>
  <c r="T106" i="68"/>
  <c r="T108" i="68" s="1"/>
  <c r="O763" i="72"/>
  <c r="AA88" i="68"/>
  <c r="AA90" i="68" s="1"/>
  <c r="R660" i="68"/>
  <c r="R718" i="68" s="1"/>
  <c r="AB774" i="72"/>
  <c r="AC89" i="68"/>
  <c r="AC180" i="68" s="1"/>
  <c r="AC271" i="68" s="1"/>
  <c r="AC88" i="68"/>
  <c r="AC798" i="72"/>
  <c r="AA764" i="72"/>
  <c r="L360" i="68"/>
  <c r="L436" i="68" s="1"/>
  <c r="S67" i="68"/>
  <c r="S158" i="68" s="1"/>
  <c r="AC768" i="72"/>
  <c r="Q773" i="72"/>
  <c r="W659" i="68"/>
  <c r="W716" i="68" s="1"/>
  <c r="W807" i="68" s="1"/>
  <c r="W898" i="68" s="1"/>
  <c r="W53" i="68"/>
  <c r="W134" i="68" s="1"/>
  <c r="W225" i="68" s="1"/>
  <c r="W316" i="68" s="1"/>
  <c r="V811" i="72"/>
  <c r="H794" i="72"/>
  <c r="AE801" i="72"/>
  <c r="AE765" i="72"/>
  <c r="U349" i="68"/>
  <c r="U404" i="68" s="1"/>
  <c r="U495" i="68" s="1"/>
  <c r="U586" i="68" s="1"/>
  <c r="Y57" i="68"/>
  <c r="Y146" i="68" s="1"/>
  <c r="Y237" i="68" s="1"/>
  <c r="Y328" i="68" s="1"/>
  <c r="X784" i="72"/>
  <c r="V783" i="72"/>
  <c r="Y805" i="72"/>
  <c r="S791" i="72"/>
  <c r="Y797" i="72"/>
  <c r="M88" i="68"/>
  <c r="M90" i="68" s="1"/>
  <c r="I661" i="68"/>
  <c r="I722" i="68" s="1"/>
  <c r="I813" i="68" s="1"/>
  <c r="I904" i="68" s="1"/>
  <c r="H801" i="72"/>
  <c r="AG343" i="68"/>
  <c r="AG385" i="68" s="1"/>
  <c r="AF761" i="72"/>
  <c r="K801" i="72"/>
  <c r="L661" i="68"/>
  <c r="L722" i="68" s="1"/>
  <c r="L813" i="68" s="1"/>
  <c r="L904" i="68" s="1"/>
  <c r="O37" i="68"/>
  <c r="O85" i="68" s="1"/>
  <c r="N764" i="72"/>
  <c r="AA57" i="68"/>
  <c r="AA146" i="68" s="1"/>
  <c r="AA237" i="68" s="1"/>
  <c r="AA328" i="68" s="1"/>
  <c r="Z815" i="72"/>
  <c r="AC30" i="68"/>
  <c r="AB757" i="72"/>
  <c r="AF346" i="68"/>
  <c r="AF395" i="68" s="1"/>
  <c r="AF486" i="68" s="1"/>
  <c r="AF577" i="68" s="1"/>
  <c r="AE764" i="72"/>
  <c r="AC797" i="72"/>
  <c r="AD657" i="68"/>
  <c r="AD710" i="68" s="1"/>
  <c r="AD801" i="68" s="1"/>
  <c r="AD892" i="68" s="1"/>
  <c r="AD341" i="68"/>
  <c r="AD379" i="68" s="1"/>
  <c r="AC759" i="72"/>
  <c r="Q33" i="68"/>
  <c r="P791" i="72"/>
  <c r="L768" i="72"/>
  <c r="M350" i="68"/>
  <c r="M407" i="68" s="1"/>
  <c r="M498" i="68" s="1"/>
  <c r="M589" i="68" s="1"/>
  <c r="Q32" i="68"/>
  <c r="P759" i="72"/>
  <c r="J799" i="72"/>
  <c r="K659" i="68"/>
  <c r="K715" i="68" s="1"/>
  <c r="H761" i="72"/>
  <c r="H791" i="72"/>
  <c r="Q779" i="72"/>
  <c r="Z656" i="68"/>
  <c r="Z707" i="68" s="1"/>
  <c r="Z798" i="68" s="1"/>
  <c r="Z889" i="68" s="1"/>
  <c r="Z106" i="68"/>
  <c r="Z108" i="68" s="1"/>
  <c r="AB815" i="72"/>
  <c r="V92" i="68"/>
  <c r="V183" i="68" s="1"/>
  <c r="V274" i="68" s="1"/>
  <c r="O798" i="72"/>
  <c r="Q792" i="72"/>
  <c r="R652" i="68"/>
  <c r="R695" i="68" s="1"/>
  <c r="R786" i="68" s="1"/>
  <c r="R877" i="68" s="1"/>
  <c r="O667" i="68"/>
  <c r="O739" i="68" s="1"/>
  <c r="N807" i="72"/>
  <c r="J769" i="72"/>
  <c r="K351" i="68"/>
  <c r="K410" i="68" s="1"/>
  <c r="K501" i="68" s="1"/>
  <c r="K592" i="68" s="1"/>
  <c r="AG352" i="68"/>
  <c r="AG413" i="68" s="1"/>
  <c r="AG504" i="68" s="1"/>
  <c r="AG595" i="68" s="1"/>
  <c r="AF770" i="72"/>
  <c r="R779" i="72"/>
  <c r="S361" i="68"/>
  <c r="S439" i="68" s="1"/>
  <c r="L666" i="68"/>
  <c r="L737" i="68" s="1"/>
  <c r="L828" i="68" s="1"/>
  <c r="L919" i="68" s="1"/>
  <c r="K806" i="72"/>
  <c r="R789" i="72"/>
  <c r="S649" i="68"/>
  <c r="S686" i="68" s="1"/>
  <c r="S777" i="68" s="1"/>
  <c r="S868" i="68" s="1"/>
  <c r="AD44" i="68"/>
  <c r="AC802" i="72"/>
  <c r="AA351" i="68"/>
  <c r="AA409" i="68" s="1"/>
  <c r="Z769" i="72"/>
  <c r="X140" i="68"/>
  <c r="X231" i="68" s="1"/>
  <c r="X322" i="68" s="1"/>
  <c r="X139" i="68"/>
  <c r="X230" i="68" s="1"/>
  <c r="J46" i="68"/>
  <c r="J112" i="68" s="1"/>
  <c r="I773" i="72"/>
  <c r="L127" i="68"/>
  <c r="L218" i="68" s="1"/>
  <c r="AB340" i="68"/>
  <c r="AB377" i="68" s="1"/>
  <c r="AB468" i="68" s="1"/>
  <c r="AB559" i="68" s="1"/>
  <c r="AA758" i="72"/>
  <c r="Z663" i="68"/>
  <c r="Y803" i="72"/>
  <c r="X357" i="68"/>
  <c r="X428" i="68" s="1"/>
  <c r="X519" i="68" s="1"/>
  <c r="X610" i="68" s="1"/>
  <c r="W775" i="72"/>
  <c r="I35" i="68"/>
  <c r="I79" i="68" s="1"/>
  <c r="I170" i="68" s="1"/>
  <c r="H762" i="72"/>
  <c r="AA663" i="68"/>
  <c r="AA727" i="68" s="1"/>
  <c r="Z803" i="72"/>
  <c r="Q363" i="68"/>
  <c r="Q445" i="68" s="1"/>
  <c r="P781" i="72"/>
  <c r="AF783" i="72"/>
  <c r="AG365" i="68"/>
  <c r="AG451" i="68" s="1"/>
  <c r="AG542" i="68" s="1"/>
  <c r="L44" i="68"/>
  <c r="L106" i="68" s="1"/>
  <c r="L197" i="68" s="1"/>
  <c r="K802" i="72"/>
  <c r="P364" i="68"/>
  <c r="P448" i="68" s="1"/>
  <c r="O782" i="72"/>
  <c r="M798" i="72"/>
  <c r="N658" i="68"/>
  <c r="N712" i="68" s="1"/>
  <c r="N51" i="68"/>
  <c r="M809" i="72"/>
  <c r="P666" i="68"/>
  <c r="P737" i="68" s="1"/>
  <c r="P828" i="68" s="1"/>
  <c r="P919" i="68" s="1"/>
  <c r="O806" i="72"/>
  <c r="AE347" i="68"/>
  <c r="AE398" i="68" s="1"/>
  <c r="AE489" i="68" s="1"/>
  <c r="AE580" i="68" s="1"/>
  <c r="AD765" i="72"/>
  <c r="AG765" i="72"/>
  <c r="AH347" i="68"/>
  <c r="AH398" i="68" s="1"/>
  <c r="AH489" i="68" s="1"/>
  <c r="AH580" i="68" s="1"/>
  <c r="AB34" i="68"/>
  <c r="AA761" i="72"/>
  <c r="T809" i="72"/>
  <c r="AB781" i="72"/>
  <c r="W813" i="72"/>
  <c r="O784" i="72"/>
  <c r="AB30" i="68"/>
  <c r="AB64" i="68" s="1"/>
  <c r="AA757" i="72"/>
  <c r="M793" i="72"/>
  <c r="Q65" i="68"/>
  <c r="Q66" i="68" s="1"/>
  <c r="P763" i="72"/>
  <c r="Q804" i="72"/>
  <c r="AF41" i="68"/>
  <c r="AF98" i="68" s="1"/>
  <c r="AF189" i="68" s="1"/>
  <c r="AF280" i="68" s="1"/>
  <c r="AE768" i="72"/>
  <c r="AF804" i="72"/>
  <c r="V804" i="72"/>
  <c r="O94" i="68"/>
  <c r="O185" i="68" s="1"/>
  <c r="O95" i="68"/>
  <c r="O186" i="68" s="1"/>
  <c r="O277" i="68" s="1"/>
  <c r="AF361" i="68"/>
  <c r="AF440" i="68" s="1"/>
  <c r="AF531" i="68" s="1"/>
  <c r="AF622" i="68" s="1"/>
  <c r="AE779" i="72"/>
  <c r="U130" i="68"/>
  <c r="U221" i="68" s="1"/>
  <c r="U131" i="68"/>
  <c r="U222" i="68" s="1"/>
  <c r="U313" i="68" s="1"/>
  <c r="N798" i="72"/>
  <c r="W33" i="68"/>
  <c r="V791" i="72"/>
  <c r="AE145" i="68"/>
  <c r="AE146" i="68"/>
  <c r="AE237" i="68" s="1"/>
  <c r="AE328" i="68" s="1"/>
  <c r="K672" i="68"/>
  <c r="K755" i="68" s="1"/>
  <c r="K846" i="68" s="1"/>
  <c r="K937" i="68" s="1"/>
  <c r="J812" i="72"/>
  <c r="L32" i="68"/>
  <c r="K759" i="72"/>
  <c r="X343" i="68"/>
  <c r="X386" i="68" s="1"/>
  <c r="X477" i="68" s="1"/>
  <c r="X568" i="68" s="1"/>
  <c r="W761" i="72"/>
  <c r="AF662" i="68"/>
  <c r="AF724" i="68" s="1"/>
  <c r="N761" i="72"/>
  <c r="N32" i="68"/>
  <c r="N70" i="68" s="1"/>
  <c r="M790" i="72"/>
  <c r="M759" i="72"/>
  <c r="M666" i="68"/>
  <c r="K790" i="72"/>
  <c r="K30" i="68"/>
  <c r="K64" i="68" s="1"/>
  <c r="J788" i="72"/>
  <c r="AG767" i="72"/>
  <c r="AH349" i="68"/>
  <c r="AH404" i="68" s="1"/>
  <c r="AH495" i="68" s="1"/>
  <c r="AH586" i="68" s="1"/>
  <c r="O769" i="72"/>
  <c r="P351" i="68"/>
  <c r="P410" i="68" s="1"/>
  <c r="P501" i="68" s="1"/>
  <c r="P592" i="68" s="1"/>
  <c r="N79" i="68"/>
  <c r="N80" i="68"/>
  <c r="N171" i="68" s="1"/>
  <c r="N262" i="68" s="1"/>
  <c r="AB758" i="72"/>
  <c r="AC340" i="68"/>
  <c r="AC376" i="68" s="1"/>
  <c r="AC37" i="68"/>
  <c r="AC86" i="68" s="1"/>
  <c r="AC177" i="68" s="1"/>
  <c r="AC268" i="68" s="1"/>
  <c r="AB795" i="72"/>
  <c r="AB41" i="68"/>
  <c r="AA799" i="72"/>
  <c r="T360" i="68"/>
  <c r="T436" i="68" s="1"/>
  <c r="S778" i="72"/>
  <c r="Q808" i="72"/>
  <c r="R668" i="68"/>
  <c r="R743" i="68" s="1"/>
  <c r="R834" i="68" s="1"/>
  <c r="R925" i="68" s="1"/>
  <c r="N767" i="72"/>
  <c r="AF39" i="68"/>
  <c r="AE797" i="72"/>
  <c r="I352" i="68"/>
  <c r="I412" i="68" s="1"/>
  <c r="H770" i="72"/>
  <c r="Z348" i="68"/>
  <c r="Z400" i="68" s="1"/>
  <c r="O780" i="72"/>
  <c r="AH348" i="68"/>
  <c r="AH401" i="68" s="1"/>
  <c r="AH492" i="68" s="1"/>
  <c r="AH583" i="68" s="1"/>
  <c r="J359" i="68"/>
  <c r="J434" i="68" s="1"/>
  <c r="J525" i="68" s="1"/>
  <c r="J616" i="68" s="1"/>
  <c r="I777" i="72"/>
  <c r="R41" i="68"/>
  <c r="R98" i="68" s="1"/>
  <c r="R189" i="68" s="1"/>
  <c r="R280" i="68" s="1"/>
  <c r="Q768" i="72"/>
  <c r="L52" i="68"/>
  <c r="K779" i="72"/>
  <c r="AC350" i="68"/>
  <c r="AC406" i="68" s="1"/>
  <c r="AB768" i="72"/>
  <c r="W363" i="68"/>
  <c r="W446" i="68" s="1"/>
  <c r="W537" i="68" s="1"/>
  <c r="W628" i="68" s="1"/>
  <c r="AG44" i="68"/>
  <c r="AF771" i="72"/>
  <c r="AB348" i="68"/>
  <c r="AB401" i="68" s="1"/>
  <c r="AB492" i="68" s="1"/>
  <c r="AB583" i="68" s="1"/>
  <c r="AA766" i="72"/>
  <c r="AG811" i="72"/>
  <c r="AC80" i="68"/>
  <c r="AC171" i="68" s="1"/>
  <c r="AC262" i="68" s="1"/>
  <c r="AG86" i="68"/>
  <c r="AG177" i="68" s="1"/>
  <c r="AG268" i="68" s="1"/>
  <c r="AG85" i="68"/>
  <c r="AF364" i="68"/>
  <c r="AF449" i="68" s="1"/>
  <c r="AE782" i="72"/>
  <c r="AF31" i="68"/>
  <c r="AE758" i="72"/>
  <c r="X53" i="68"/>
  <c r="W780" i="72"/>
  <c r="Q47" i="68"/>
  <c r="Q116" i="68" s="1"/>
  <c r="Q207" i="68" s="1"/>
  <c r="Q298" i="68" s="1"/>
  <c r="P805" i="72"/>
  <c r="P95" i="68"/>
  <c r="P186" i="68" s="1"/>
  <c r="P277" i="68" s="1"/>
  <c r="T663" i="68"/>
  <c r="T727" i="68" s="1"/>
  <c r="M762" i="72"/>
  <c r="Y771" i="72"/>
  <c r="P757" i="72"/>
  <c r="AD773" i="72"/>
  <c r="K770" i="72"/>
  <c r="S797" i="72"/>
  <c r="U791" i="72"/>
  <c r="I653" i="68"/>
  <c r="I697" i="68" s="1"/>
  <c r="Y651" i="68"/>
  <c r="Y692" i="68" s="1"/>
  <c r="Y783" i="68" s="1"/>
  <c r="Y874" i="68" s="1"/>
  <c r="X770" i="72"/>
  <c r="L651" i="68"/>
  <c r="L692" i="68" s="1"/>
  <c r="L783" i="68" s="1"/>
  <c r="L874" i="68" s="1"/>
  <c r="K791" i="72"/>
  <c r="J47" i="68"/>
  <c r="J116" i="68" s="1"/>
  <c r="J207" i="68" s="1"/>
  <c r="J298" i="68" s="1"/>
  <c r="I774" i="72"/>
  <c r="AB648" i="68"/>
  <c r="AB683" i="68" s="1"/>
  <c r="AB774" i="68" s="1"/>
  <c r="AB865" i="68" s="1"/>
  <c r="AA788" i="72"/>
  <c r="AE128" i="68"/>
  <c r="AE219" i="68" s="1"/>
  <c r="AE310" i="68" s="1"/>
  <c r="AE127" i="68"/>
  <c r="AE218" i="68" s="1"/>
  <c r="N137" i="68"/>
  <c r="N138" i="68" s="1"/>
  <c r="Z116" i="68"/>
  <c r="Z207" i="68" s="1"/>
  <c r="Z298" i="68" s="1"/>
  <c r="Z115" i="68"/>
  <c r="S650" i="68"/>
  <c r="S689" i="68" s="1"/>
  <c r="S780" i="68" s="1"/>
  <c r="S871" i="68" s="1"/>
  <c r="R790" i="72"/>
  <c r="AF814" i="72"/>
  <c r="Z797" i="72"/>
  <c r="AA657" i="68"/>
  <c r="AA709" i="68" s="1"/>
  <c r="L65" i="68"/>
  <c r="L156" i="68" s="1"/>
  <c r="L247" i="68" s="1"/>
  <c r="L64" i="68"/>
  <c r="L155" i="68" s="1"/>
  <c r="K41" i="68"/>
  <c r="J768" i="72"/>
  <c r="AE766" i="72"/>
  <c r="X109" i="68"/>
  <c r="X111" i="68" s="1"/>
  <c r="AG660" i="68"/>
  <c r="AG719" i="68" s="1"/>
  <c r="AG810" i="68" s="1"/>
  <c r="AG901" i="68" s="1"/>
  <c r="L802" i="72"/>
  <c r="P349" i="68"/>
  <c r="P404" i="68" s="1"/>
  <c r="P495" i="68" s="1"/>
  <c r="P586" i="68" s="1"/>
  <c r="AD766" i="72"/>
  <c r="AD91" i="68"/>
  <c r="AD93" i="68" s="1"/>
  <c r="T779" i="72"/>
  <c r="S146" i="68"/>
  <c r="S237" i="68" s="1"/>
  <c r="S328" i="68" s="1"/>
  <c r="S145" i="68"/>
  <c r="S236" i="68" s="1"/>
  <c r="AF349" i="68"/>
  <c r="AF403" i="68" s="1"/>
  <c r="AE767" i="72"/>
  <c r="K665" i="68"/>
  <c r="K734" i="68" s="1"/>
  <c r="K825" i="68" s="1"/>
  <c r="K916" i="68" s="1"/>
  <c r="J805" i="72"/>
  <c r="AH653" i="68"/>
  <c r="AH698" i="68" s="1"/>
  <c r="AH789" i="68" s="1"/>
  <c r="AH880" i="68" s="1"/>
  <c r="AG793" i="72"/>
  <c r="S40" i="68"/>
  <c r="R798" i="72"/>
  <c r="M665" i="68"/>
  <c r="M733" i="68" s="1"/>
  <c r="L805" i="72"/>
  <c r="R351" i="68"/>
  <c r="R409" i="68" s="1"/>
  <c r="Q769" i="72"/>
  <c r="X666" i="68"/>
  <c r="X736" i="68" s="1"/>
  <c r="X827" i="68" s="1"/>
  <c r="W806" i="72"/>
  <c r="AA340" i="68"/>
  <c r="AA377" i="68" s="1"/>
  <c r="AA468" i="68" s="1"/>
  <c r="AA559" i="68" s="1"/>
  <c r="M812" i="72"/>
  <c r="S652" i="68"/>
  <c r="S695" i="68" s="1"/>
  <c r="S786" i="68" s="1"/>
  <c r="S877" i="68" s="1"/>
  <c r="R792" i="72"/>
  <c r="S798" i="72"/>
  <c r="T658" i="68"/>
  <c r="T712" i="68" s="1"/>
  <c r="L653" i="68"/>
  <c r="L698" i="68" s="1"/>
  <c r="L789" i="68" s="1"/>
  <c r="L880" i="68" s="1"/>
  <c r="K793" i="72"/>
  <c r="AG142" i="68"/>
  <c r="AG144" i="68" s="1"/>
  <c r="AD778" i="72"/>
  <c r="AF789" i="72"/>
  <c r="Q349" i="68"/>
  <c r="Q404" i="68" s="1"/>
  <c r="Q495" i="68" s="1"/>
  <c r="Q586" i="68" s="1"/>
  <c r="W772" i="72"/>
  <c r="AC764" i="72"/>
  <c r="K94" i="68"/>
  <c r="K96" i="68" s="1"/>
  <c r="P348" i="68"/>
  <c r="P401" i="68" s="1"/>
  <c r="P492" i="68" s="1"/>
  <c r="P583" i="68" s="1"/>
  <c r="J54" i="68"/>
  <c r="J137" i="68" s="1"/>
  <c r="I812" i="72"/>
  <c r="AH340" i="68"/>
  <c r="AH377" i="68" s="1"/>
  <c r="AH468" i="68" s="1"/>
  <c r="AH559" i="68" s="1"/>
  <c r="AG758" i="72"/>
  <c r="Q813" i="72"/>
  <c r="R673" i="68"/>
  <c r="R757" i="68" s="1"/>
  <c r="R848" i="68" s="1"/>
  <c r="AH41" i="68"/>
  <c r="AG799" i="72"/>
  <c r="V36" i="68"/>
  <c r="U763" i="72"/>
  <c r="AF341" i="68"/>
  <c r="AF379" i="68" s="1"/>
  <c r="AE759" i="72"/>
  <c r="Y54" i="68"/>
  <c r="Y137" i="68" s="1"/>
  <c r="X812" i="72"/>
  <c r="AD137" i="68"/>
  <c r="AD228" i="68" s="1"/>
  <c r="AD319" i="68" s="1"/>
  <c r="AD136" i="68"/>
  <c r="AD227" i="68" s="1"/>
  <c r="K804" i="72"/>
  <c r="L664" i="68"/>
  <c r="L730" i="68" s="1"/>
  <c r="I791" i="72"/>
  <c r="J651" i="68"/>
  <c r="J692" i="68" s="1"/>
  <c r="J783" i="68" s="1"/>
  <c r="J874" i="68" s="1"/>
  <c r="T92" i="68"/>
  <c r="T183" i="68" s="1"/>
  <c r="T274" i="68" s="1"/>
  <c r="T91" i="68"/>
  <c r="T36" i="68"/>
  <c r="S763" i="72"/>
  <c r="AF781" i="72"/>
  <c r="AB86" i="68"/>
  <c r="AB177" i="68" s="1"/>
  <c r="AB268" i="68" s="1"/>
  <c r="AG791" i="72"/>
  <c r="AG774" i="72"/>
  <c r="AD86" i="68"/>
  <c r="AD177" i="68" s="1"/>
  <c r="AD268" i="68" s="1"/>
  <c r="X33" i="68"/>
  <c r="X73" i="68" s="1"/>
  <c r="W791" i="72"/>
  <c r="N784" i="72"/>
  <c r="AF802" i="72"/>
  <c r="V359" i="68"/>
  <c r="V434" i="68" s="1"/>
  <c r="V525" i="68" s="1"/>
  <c r="V616" i="68" s="1"/>
  <c r="U777" i="72"/>
  <c r="Z34" i="68"/>
  <c r="Y792" i="72"/>
  <c r="Y761" i="72"/>
  <c r="AC814" i="72"/>
  <c r="AD674" i="68"/>
  <c r="AD760" i="68" s="1"/>
  <c r="AD851" i="68" s="1"/>
  <c r="U766" i="72"/>
  <c r="V348" i="68"/>
  <c r="V400" i="68" s="1"/>
  <c r="T56" i="68"/>
  <c r="S814" i="72"/>
  <c r="AH673" i="68"/>
  <c r="AH758" i="68" s="1"/>
  <c r="AH849" i="68" s="1"/>
  <c r="AH940" i="68" s="1"/>
  <c r="AG813" i="72"/>
  <c r="W807" i="72"/>
  <c r="X667" i="68"/>
  <c r="X739" i="68" s="1"/>
  <c r="Q802" i="72"/>
  <c r="Y42" i="68"/>
  <c r="Y101" i="68" s="1"/>
  <c r="Y192" i="68" s="1"/>
  <c r="Y283" i="68" s="1"/>
  <c r="X800" i="72"/>
  <c r="AC91" i="68"/>
  <c r="AC92" i="68"/>
  <c r="AC183" i="68" s="1"/>
  <c r="AC274" i="68" s="1"/>
  <c r="AC812" i="72"/>
  <c r="AA672" i="68"/>
  <c r="AA755" i="68" s="1"/>
  <c r="AA846" i="68" s="1"/>
  <c r="AA937" i="68" s="1"/>
  <c r="Z812" i="72"/>
  <c r="AF47" i="68"/>
  <c r="AE774" i="72"/>
  <c r="AA650" i="68"/>
  <c r="AA688" i="68" s="1"/>
  <c r="Y104" i="68"/>
  <c r="Y195" i="68" s="1"/>
  <c r="Y286" i="68" s="1"/>
  <c r="P675" i="68"/>
  <c r="P763" i="68" s="1"/>
  <c r="AD33" i="68"/>
  <c r="AD74" i="68" s="1"/>
  <c r="AD165" i="68" s="1"/>
  <c r="AD256" i="68" s="1"/>
  <c r="AC791" i="72"/>
  <c r="Z41" i="68"/>
  <c r="Z98" i="68" s="1"/>
  <c r="Z189" i="68" s="1"/>
  <c r="Z280" i="68" s="1"/>
  <c r="Y799" i="72"/>
  <c r="Q799" i="72"/>
  <c r="P112" i="68"/>
  <c r="P113" i="68"/>
  <c r="P204" i="68" s="1"/>
  <c r="P295" i="68" s="1"/>
  <c r="M777" i="72"/>
  <c r="N359" i="68"/>
  <c r="N433" i="68" s="1"/>
  <c r="T55" i="68"/>
  <c r="S782" i="72"/>
  <c r="S813" i="72"/>
  <c r="L788" i="72"/>
  <c r="Y122" i="68"/>
  <c r="Y213" i="68" s="1"/>
  <c r="Y304" i="68" s="1"/>
  <c r="Y121" i="68"/>
  <c r="AE341" i="68"/>
  <c r="AE380" i="68" s="1"/>
  <c r="AE471" i="68" s="1"/>
  <c r="AE562" i="68" s="1"/>
  <c r="AD759" i="72"/>
  <c r="AC41" i="68"/>
  <c r="AC98" i="68" s="1"/>
  <c r="AC189" i="68" s="1"/>
  <c r="AC280" i="68" s="1"/>
  <c r="AB799" i="72"/>
  <c r="K35" i="68"/>
  <c r="K79" i="68" s="1"/>
  <c r="J793" i="72"/>
  <c r="U663" i="68"/>
  <c r="U728" i="68" s="1"/>
  <c r="U819" i="68" s="1"/>
  <c r="U910" i="68" s="1"/>
  <c r="T803" i="72"/>
  <c r="AB40" i="68"/>
  <c r="AA767" i="72"/>
  <c r="AA798" i="72"/>
  <c r="N802" i="72"/>
  <c r="O662" i="68"/>
  <c r="O724" i="68" s="1"/>
  <c r="Y802" i="72"/>
  <c r="AG350" i="68"/>
  <c r="AG407" i="68" s="1"/>
  <c r="AG498" i="68" s="1"/>
  <c r="AG589" i="68" s="1"/>
  <c r="V760" i="72"/>
  <c r="AC766" i="72"/>
  <c r="AG53" i="68"/>
  <c r="AG133" i="68" s="1"/>
  <c r="AG224" i="68" s="1"/>
  <c r="AF811" i="72"/>
  <c r="S806" i="72"/>
  <c r="R758" i="72"/>
  <c r="I667" i="68"/>
  <c r="I739" i="68" s="1"/>
  <c r="R796" i="72"/>
  <c r="AA793" i="72"/>
  <c r="W83" i="68"/>
  <c r="W174" i="68" s="1"/>
  <c r="W265" i="68" s="1"/>
  <c r="K777" i="72"/>
  <c r="U767" i="72"/>
  <c r="AA811" i="72"/>
  <c r="L778" i="72"/>
  <c r="AF759" i="72"/>
  <c r="T788" i="72"/>
  <c r="I769" i="72"/>
  <c r="V342" i="68"/>
  <c r="V382" i="68" s="1"/>
  <c r="M766" i="72"/>
  <c r="V770" i="72"/>
  <c r="AC778" i="72"/>
  <c r="H771" i="72"/>
  <c r="P760" i="72"/>
  <c r="AF139" i="68"/>
  <c r="AF141" i="68" s="1"/>
  <c r="J352" i="68"/>
  <c r="J413" i="68" s="1"/>
  <c r="J504" i="68" s="1"/>
  <c r="J595" i="68" s="1"/>
  <c r="M106" i="68"/>
  <c r="M108" i="68" s="1"/>
  <c r="K342" i="68"/>
  <c r="K383" i="68" s="1"/>
  <c r="K474" i="68" s="1"/>
  <c r="K565" i="68" s="1"/>
  <c r="L780" i="72"/>
  <c r="AE805" i="72"/>
  <c r="AC760" i="72"/>
  <c r="I757" i="72"/>
  <c r="AC762" i="72"/>
  <c r="X810" i="72"/>
  <c r="J101" i="68"/>
  <c r="J192" i="68" s="1"/>
  <c r="J283" i="68" s="1"/>
  <c r="T763" i="72"/>
  <c r="X763" i="72"/>
  <c r="AB777" i="72"/>
  <c r="O794" i="72"/>
  <c r="U768" i="72"/>
  <c r="L765" i="72"/>
  <c r="AF667" i="68"/>
  <c r="AF739" i="68" s="1"/>
  <c r="N796" i="72"/>
  <c r="I760" i="72"/>
  <c r="R91" i="68"/>
  <c r="R93" i="68" s="1"/>
  <c r="V789" i="72"/>
  <c r="Q791" i="72"/>
  <c r="AH110" i="68"/>
  <c r="AH201" i="68" s="1"/>
  <c r="AH292" i="68" s="1"/>
  <c r="AG778" i="72"/>
  <c r="AD803" i="72"/>
  <c r="AC793" i="72"/>
  <c r="AG803" i="72"/>
  <c r="M345" i="68"/>
  <c r="M391" i="68" s="1"/>
  <c r="S358" i="68"/>
  <c r="S431" i="68" s="1"/>
  <c r="S522" i="68" s="1"/>
  <c r="S613" i="68" s="1"/>
  <c r="O804" i="72"/>
  <c r="U784" i="72"/>
  <c r="AE799" i="72"/>
  <c r="N344" i="68"/>
  <c r="N389" i="68" s="1"/>
  <c r="N480" i="68" s="1"/>
  <c r="N571" i="68" s="1"/>
  <c r="AA777" i="72"/>
  <c r="V128" i="68"/>
  <c r="V219" i="68" s="1"/>
  <c r="V310" i="68" s="1"/>
  <c r="R781" i="72"/>
  <c r="S758" i="72"/>
  <c r="AF89" i="68"/>
  <c r="AF180" i="68" s="1"/>
  <c r="AF271" i="68" s="1"/>
  <c r="X115" i="68"/>
  <c r="X117" i="68" s="1"/>
  <c r="L659" i="68"/>
  <c r="L716" i="68" s="1"/>
  <c r="L807" i="68" s="1"/>
  <c r="L898" i="68" s="1"/>
  <c r="Z781" i="72"/>
  <c r="H773" i="72"/>
  <c r="AA760" i="72"/>
  <c r="Y109" i="68"/>
  <c r="Y111" i="68" s="1"/>
  <c r="V797" i="72"/>
  <c r="X794" i="72"/>
  <c r="AB792" i="72"/>
  <c r="L808" i="72"/>
  <c r="V763" i="72"/>
  <c r="M764" i="72"/>
  <c r="U89" i="68"/>
  <c r="U180" i="68" s="1"/>
  <c r="U271" i="68" s="1"/>
  <c r="I109" i="68"/>
  <c r="I111" i="68" s="1"/>
  <c r="S86" i="68"/>
  <c r="S177" i="68" s="1"/>
  <c r="S268" i="68" s="1"/>
  <c r="P98" i="68"/>
  <c r="P189" i="68" s="1"/>
  <c r="P280" i="68" s="1"/>
  <c r="AH94" i="68"/>
  <c r="AH96" i="68" s="1"/>
  <c r="AD83" i="68"/>
  <c r="AD174" i="68" s="1"/>
  <c r="AD265" i="68" s="1"/>
  <c r="Z142" i="68"/>
  <c r="Z144" i="68" s="1"/>
  <c r="P133" i="68"/>
  <c r="P224" i="68" s="1"/>
  <c r="T95" i="68"/>
  <c r="T186" i="68" s="1"/>
  <c r="T277" i="68" s="1"/>
  <c r="AE125" i="68"/>
  <c r="AE216" i="68" s="1"/>
  <c r="AE307" i="68" s="1"/>
  <c r="AD121" i="68"/>
  <c r="AD123" i="68" s="1"/>
  <c r="AG109" i="68"/>
  <c r="AG200" i="68" s="1"/>
  <c r="P146" i="68"/>
  <c r="P237" i="68" s="1"/>
  <c r="P328" i="68" s="1"/>
  <c r="X94" i="68"/>
  <c r="X96" i="68" s="1"/>
  <c r="K107" i="68"/>
  <c r="K198" i="68" s="1"/>
  <c r="K289" i="68" s="1"/>
  <c r="T68" i="68"/>
  <c r="T159" i="68" s="1"/>
  <c r="T250" i="68" s="1"/>
  <c r="Z110" i="68"/>
  <c r="Z201" i="68" s="1"/>
  <c r="Z292" i="68" s="1"/>
  <c r="I116" i="68"/>
  <c r="I207" i="68" s="1"/>
  <c r="I298" i="68" s="1"/>
  <c r="AD80" i="68"/>
  <c r="AD171" i="68" s="1"/>
  <c r="AD262" i="68" s="1"/>
  <c r="AE65" i="68"/>
  <c r="AE156" i="68" s="1"/>
  <c r="AE247" i="68" s="1"/>
  <c r="AE82" i="68"/>
  <c r="AE173" i="68" s="1"/>
  <c r="AC116" i="68"/>
  <c r="AC207" i="68" s="1"/>
  <c r="AC298" i="68" s="1"/>
  <c r="N86" i="68"/>
  <c r="N177" i="68" s="1"/>
  <c r="N268" i="68" s="1"/>
  <c r="M95" i="68"/>
  <c r="M186" i="68" s="1"/>
  <c r="M277" i="68" s="1"/>
  <c r="AE97" i="68"/>
  <c r="AE99" i="68" s="1"/>
  <c r="AB137" i="68"/>
  <c r="AB138" i="68" s="1"/>
  <c r="AD65" i="68"/>
  <c r="AD66" i="68" s="1"/>
  <c r="AB140" i="68"/>
  <c r="AB231" i="68" s="1"/>
  <c r="AB322" i="68" s="1"/>
  <c r="L109" i="68"/>
  <c r="L111" i="68" s="1"/>
  <c r="AG140" i="68"/>
  <c r="AG231" i="68" s="1"/>
  <c r="AG322" i="68" s="1"/>
  <c r="AA86" i="68"/>
  <c r="AA177" i="68" s="1"/>
  <c r="AA268" i="68" s="1"/>
  <c r="X82" i="68"/>
  <c r="X84" i="68" s="1"/>
  <c r="I71" i="68"/>
  <c r="I162" i="68" s="1"/>
  <c r="I253" i="68" s="1"/>
  <c r="Y107" i="68"/>
  <c r="Y198" i="68" s="1"/>
  <c r="Y289" i="68" s="1"/>
  <c r="O67" i="68"/>
  <c r="O69" i="68" s="1"/>
  <c r="W113" i="68"/>
  <c r="W204" i="68" s="1"/>
  <c r="W295" i="68" s="1"/>
  <c r="K103" i="68"/>
  <c r="K105" i="68" s="1"/>
  <c r="K136" i="68"/>
  <c r="K138" i="68" s="1"/>
  <c r="AE142" i="68"/>
  <c r="AE144" i="68" s="1"/>
  <c r="X145" i="68"/>
  <c r="X147" i="68" s="1"/>
  <c r="U448" i="68"/>
  <c r="U539" i="68" s="1"/>
  <c r="AD67" i="68"/>
  <c r="AD158" i="68" s="1"/>
  <c r="K86" i="68"/>
  <c r="K177" i="68" s="1"/>
  <c r="K268" i="68" s="1"/>
  <c r="O112" i="68"/>
  <c r="O114" i="68" s="1"/>
  <c r="L68" i="68"/>
  <c r="L159" i="68" s="1"/>
  <c r="L250" i="68" s="1"/>
  <c r="K783" i="72"/>
  <c r="R653" i="68"/>
  <c r="R698" i="68" s="1"/>
  <c r="R789" i="68" s="1"/>
  <c r="R880" i="68" s="1"/>
  <c r="Q650" i="68"/>
  <c r="Q689" i="68" s="1"/>
  <c r="Q780" i="68" s="1"/>
  <c r="Q871" i="68" s="1"/>
  <c r="AF763" i="72"/>
  <c r="O759" i="72"/>
  <c r="W803" i="72"/>
  <c r="Y806" i="72"/>
  <c r="U758" i="72"/>
  <c r="J766" i="72"/>
  <c r="V104" i="68"/>
  <c r="V195" i="68" s="1"/>
  <c r="V286" i="68" s="1"/>
  <c r="S757" i="72"/>
  <c r="N814" i="72"/>
  <c r="T668" i="68"/>
  <c r="T743" i="68" s="1"/>
  <c r="T834" i="68" s="1"/>
  <c r="T925" i="68" s="1"/>
  <c r="U806" i="72"/>
  <c r="J767" i="72"/>
  <c r="AH137" i="68"/>
  <c r="AH228" i="68" s="1"/>
  <c r="AH319" i="68" s="1"/>
  <c r="N804" i="72"/>
  <c r="U145" i="68"/>
  <c r="U147" i="68" s="1"/>
  <c r="N768" i="72"/>
  <c r="AE795" i="72"/>
  <c r="M811" i="72"/>
  <c r="AF792" i="72"/>
  <c r="Q795" i="72"/>
  <c r="K788" i="72"/>
  <c r="AF778" i="72"/>
  <c r="AB797" i="72"/>
  <c r="R760" i="72"/>
  <c r="U788" i="72"/>
  <c r="O790" i="72"/>
  <c r="N803" i="72"/>
  <c r="U770" i="72"/>
  <c r="AH668" i="68"/>
  <c r="AH743" i="68" s="1"/>
  <c r="AH834" i="68" s="1"/>
  <c r="AH925" i="68" s="1"/>
  <c r="AE778" i="72"/>
  <c r="U779" i="72"/>
  <c r="AH355" i="68"/>
  <c r="AH422" i="68" s="1"/>
  <c r="AH513" i="68" s="1"/>
  <c r="AH604" i="68" s="1"/>
  <c r="R124" i="68"/>
  <c r="R126" i="68" s="1"/>
  <c r="AG781" i="72"/>
  <c r="AG812" i="72"/>
  <c r="Z813" i="72"/>
  <c r="M788" i="72"/>
  <c r="V652" i="68"/>
  <c r="V694" i="68" s="1"/>
  <c r="N776" i="72"/>
  <c r="Y784" i="72"/>
  <c r="J339" i="68"/>
  <c r="J374" i="68" s="1"/>
  <c r="J465" i="68" s="1"/>
  <c r="J556" i="68" s="1"/>
  <c r="R767" i="72"/>
  <c r="T815" i="72"/>
  <c r="L779" i="72"/>
  <c r="X777" i="72"/>
  <c r="AH106" i="68"/>
  <c r="AH108" i="68" s="1"/>
  <c r="L781" i="72"/>
  <c r="U815" i="72"/>
  <c r="Y125" i="68"/>
  <c r="Y216" i="68" s="1"/>
  <c r="Y307" i="68" s="1"/>
  <c r="AA101" i="68"/>
  <c r="AA192" i="68" s="1"/>
  <c r="AA283" i="68" s="1"/>
  <c r="V790" i="72"/>
  <c r="AE796" i="72"/>
  <c r="Y813" i="72"/>
  <c r="X70" i="68"/>
  <c r="X72" i="68" s="1"/>
  <c r="Z80" i="68"/>
  <c r="Z171" i="68" s="1"/>
  <c r="Z262" i="68" s="1"/>
  <c r="Q764" i="72"/>
  <c r="Y761" i="68"/>
  <c r="Y762" i="68" s="1"/>
  <c r="S344" i="68"/>
  <c r="S388" i="68" s="1"/>
  <c r="S762" i="72"/>
  <c r="AG763" i="72"/>
  <c r="T759" i="72"/>
  <c r="R86" i="68"/>
  <c r="R177" i="68" s="1"/>
  <c r="R268" i="68" s="1"/>
  <c r="AG771" i="72"/>
  <c r="Q812" i="72"/>
  <c r="Q777" i="72"/>
  <c r="L767" i="72"/>
  <c r="L812" i="72"/>
  <c r="I789" i="72"/>
  <c r="Z800" i="72"/>
  <c r="N655" i="68"/>
  <c r="N703" i="68" s="1"/>
  <c r="K789" i="72"/>
  <c r="I86" i="68"/>
  <c r="I177" i="68" s="1"/>
  <c r="I268" i="68" s="1"/>
  <c r="W812" i="72"/>
  <c r="T783" i="72"/>
  <c r="Y794" i="72"/>
  <c r="R808" i="72"/>
  <c r="AE806" i="72"/>
  <c r="Z773" i="72"/>
  <c r="U70" i="68"/>
  <c r="U161" i="68" s="1"/>
  <c r="AG809" i="72"/>
  <c r="AC788" i="72"/>
  <c r="W811" i="72"/>
  <c r="AD757" i="72"/>
  <c r="AA55" i="68"/>
  <c r="AA139" i="68" s="1"/>
  <c r="AB773" i="72"/>
  <c r="P658" i="68"/>
  <c r="P712" i="68" s="1"/>
  <c r="M805" i="72"/>
  <c r="K814" i="72"/>
  <c r="P789" i="72"/>
  <c r="I792" i="72"/>
  <c r="V89" i="68"/>
  <c r="V180" i="68" s="1"/>
  <c r="V271" i="68" s="1"/>
  <c r="Z672" i="68"/>
  <c r="Z755" i="68" s="1"/>
  <c r="Z846" i="68" s="1"/>
  <c r="Z937" i="68" s="1"/>
  <c r="W71" i="68"/>
  <c r="W162" i="68" s="1"/>
  <c r="W253" i="68" s="1"/>
  <c r="S789" i="72"/>
  <c r="AC770" i="72"/>
  <c r="AB813" i="72"/>
  <c r="R142" i="68"/>
  <c r="R144" i="68" s="1"/>
  <c r="T801" i="72"/>
  <c r="V759" i="72"/>
  <c r="AC763" i="72"/>
  <c r="L801" i="72"/>
  <c r="AD791" i="72"/>
  <c r="V70" i="68"/>
  <c r="V161" i="68" s="1"/>
  <c r="AA801" i="72"/>
  <c r="T790" i="72"/>
  <c r="K803" i="72"/>
  <c r="L796" i="72"/>
  <c r="X757" i="72"/>
  <c r="U104" i="68"/>
  <c r="U195" i="68" s="1"/>
  <c r="U286" i="68" s="1"/>
  <c r="J797" i="72"/>
  <c r="AD777" i="72"/>
  <c r="AD769" i="72"/>
  <c r="H803" i="72"/>
  <c r="X762" i="72"/>
  <c r="J814" i="72"/>
  <c r="AE803" i="72"/>
  <c r="X771" i="72"/>
  <c r="P775" i="72"/>
  <c r="U811" i="72"/>
  <c r="AC794" i="72"/>
  <c r="L777" i="72"/>
  <c r="W790" i="72"/>
  <c r="O811" i="72"/>
  <c r="U790" i="72"/>
  <c r="U698" i="68"/>
  <c r="U789" i="68" s="1"/>
  <c r="U880" i="68" s="1"/>
  <c r="U697" i="68"/>
  <c r="W158" i="68"/>
  <c r="N83" i="68"/>
  <c r="N174" i="68" s="1"/>
  <c r="N265" i="68" s="1"/>
  <c r="N82" i="68"/>
  <c r="V86" i="68"/>
  <c r="V177" i="68" s="1"/>
  <c r="V268" i="68" s="1"/>
  <c r="V85" i="68"/>
  <c r="W346" i="68"/>
  <c r="V764" i="72"/>
  <c r="K424" i="68"/>
  <c r="K425" i="68"/>
  <c r="K516" i="68" s="1"/>
  <c r="K607" i="68" s="1"/>
  <c r="I650" i="68"/>
  <c r="H790" i="72"/>
  <c r="V662" i="68"/>
  <c r="U802" i="72"/>
  <c r="AF772" i="72"/>
  <c r="AG354" i="68"/>
  <c r="P355" i="68"/>
  <c r="O773" i="72"/>
  <c r="I718" i="68"/>
  <c r="I719" i="68"/>
  <c r="I810" i="68" s="1"/>
  <c r="I901" i="68" s="1"/>
  <c r="AD409" i="68"/>
  <c r="AD410" i="68"/>
  <c r="AD501" i="68" s="1"/>
  <c r="AD592" i="68" s="1"/>
  <c r="W127" i="68"/>
  <c r="W128" i="68"/>
  <c r="W219" i="68" s="1"/>
  <c r="W310" i="68" s="1"/>
  <c r="AA790" i="72"/>
  <c r="AB650" i="68"/>
  <c r="AC686" i="68"/>
  <c r="AC777" i="68" s="1"/>
  <c r="AC868" i="68" s="1"/>
  <c r="AC685" i="68"/>
  <c r="O727" i="68"/>
  <c r="O728" i="68"/>
  <c r="O819" i="68" s="1"/>
  <c r="O910" i="68" s="1"/>
  <c r="R671" i="68"/>
  <c r="Q811" i="72"/>
  <c r="V309" i="68"/>
  <c r="T374" i="68"/>
  <c r="T465" i="68" s="1"/>
  <c r="T556" i="68" s="1"/>
  <c r="T373" i="68"/>
  <c r="AG232" i="72"/>
  <c r="AG201" i="72"/>
  <c r="X413" i="68"/>
  <c r="X504" i="68" s="1"/>
  <c r="X595" i="68" s="1"/>
  <c r="X412" i="68"/>
  <c r="K230" i="68"/>
  <c r="U232" i="72"/>
  <c r="U201" i="72"/>
  <c r="K698" i="68"/>
  <c r="K789" i="68" s="1"/>
  <c r="K880" i="68" s="1"/>
  <c r="K697" i="68"/>
  <c r="AB692" i="72"/>
  <c r="AB723" i="72"/>
  <c r="AH409" i="68"/>
  <c r="AH410" i="68"/>
  <c r="AH501" i="68" s="1"/>
  <c r="AH592" i="68" s="1"/>
  <c r="J675" i="68"/>
  <c r="I815" i="72"/>
  <c r="AF145" i="68"/>
  <c r="AF146" i="68"/>
  <c r="AF237" i="68" s="1"/>
  <c r="AF328" i="68" s="1"/>
  <c r="M763" i="68"/>
  <c r="M854" i="68" s="1"/>
  <c r="M764" i="68"/>
  <c r="Z650" i="68"/>
  <c r="Y790" i="72"/>
  <c r="AD343" i="68"/>
  <c r="AC761" i="72"/>
  <c r="Y447" i="72"/>
  <c r="Y478" i="72"/>
  <c r="AE692" i="68"/>
  <c r="AE783" i="68" s="1"/>
  <c r="AE874" i="68" s="1"/>
  <c r="AE691" i="68"/>
  <c r="W115" i="68"/>
  <c r="W116" i="68"/>
  <c r="W207" i="68" s="1"/>
  <c r="W298" i="68" s="1"/>
  <c r="L339" i="68"/>
  <c r="K757" i="72"/>
  <c r="M145" i="68"/>
  <c r="M146" i="68"/>
  <c r="M237" i="68" s="1"/>
  <c r="M328" i="68" s="1"/>
  <c r="S758" i="68"/>
  <c r="S849" i="68" s="1"/>
  <c r="S940" i="68" s="1"/>
  <c r="S757" i="68"/>
  <c r="O731" i="68"/>
  <c r="O822" i="68" s="1"/>
  <c r="O913" i="68" s="1"/>
  <c r="O730" i="68"/>
  <c r="H763" i="72"/>
  <c r="I345" i="68"/>
  <c r="O808" i="72"/>
  <c r="P668" i="68"/>
  <c r="L728" i="68"/>
  <c r="L819" i="68" s="1"/>
  <c r="L910" i="68" s="1"/>
  <c r="L727" i="68"/>
  <c r="V109" i="68"/>
  <c r="V110" i="68"/>
  <c r="V201" i="68" s="1"/>
  <c r="V292" i="68" s="1"/>
  <c r="L353" i="68"/>
  <c r="K771" i="72"/>
  <c r="L100" i="68"/>
  <c r="L101" i="68"/>
  <c r="L192" i="68" s="1"/>
  <c r="L283" i="68" s="1"/>
  <c r="K143" i="68"/>
  <c r="K234" i="68" s="1"/>
  <c r="K325" i="68" s="1"/>
  <c r="K142" i="68"/>
  <c r="AE155" i="68"/>
  <c r="AB749" i="68"/>
  <c r="AB840" i="68" s="1"/>
  <c r="AB931" i="68" s="1"/>
  <c r="AB748" i="68"/>
  <c r="Y425" i="68"/>
  <c r="Y516" i="68" s="1"/>
  <c r="Y607" i="68" s="1"/>
  <c r="Y424" i="68"/>
  <c r="M751" i="68"/>
  <c r="M752" i="68"/>
  <c r="M843" i="68" s="1"/>
  <c r="M934" i="68" s="1"/>
  <c r="Q356" i="68"/>
  <c r="P774" i="72"/>
  <c r="V182" i="68"/>
  <c r="O796" i="72"/>
  <c r="P656" i="68"/>
  <c r="N140" i="68"/>
  <c r="N231" i="68" s="1"/>
  <c r="N322" i="68" s="1"/>
  <c r="N139" i="68"/>
  <c r="M364" i="68"/>
  <c r="L782" i="72"/>
  <c r="L689" i="68"/>
  <c r="L780" i="68" s="1"/>
  <c r="L871" i="68" s="1"/>
  <c r="L688" i="68"/>
  <c r="X752" i="68"/>
  <c r="X843" i="68" s="1"/>
  <c r="X934" i="68" s="1"/>
  <c r="X751" i="68"/>
  <c r="X344" i="68"/>
  <c r="W762" i="72"/>
  <c r="K731" i="68"/>
  <c r="K822" i="68" s="1"/>
  <c r="K913" i="68" s="1"/>
  <c r="K730" i="68"/>
  <c r="V113" i="68"/>
  <c r="V204" i="68" s="1"/>
  <c r="V295" i="68" s="1"/>
  <c r="V112" i="68"/>
  <c r="O232" i="72"/>
  <c r="O201" i="72"/>
  <c r="Q379" i="68"/>
  <c r="Q380" i="68"/>
  <c r="Q471" i="68" s="1"/>
  <c r="Q562" i="68" s="1"/>
  <c r="Y139" i="68"/>
  <c r="Y230" i="68" s="1"/>
  <c r="Y140" i="68"/>
  <c r="AA132" i="68"/>
  <c r="AA221" i="68"/>
  <c r="Q437" i="68"/>
  <c r="Q528" i="68" s="1"/>
  <c r="Q619" i="68" s="1"/>
  <c r="Q436" i="68"/>
  <c r="T349" i="68"/>
  <c r="S767" i="72"/>
  <c r="S424" i="68"/>
  <c r="S425" i="68"/>
  <c r="S516" i="68" s="1"/>
  <c r="S607" i="68" s="1"/>
  <c r="AA82" i="68"/>
  <c r="AA83" i="68"/>
  <c r="AA174" i="68" s="1"/>
  <c r="AA265" i="68" s="1"/>
  <c r="R212" i="68"/>
  <c r="R176" i="68"/>
  <c r="AG675" i="68"/>
  <c r="AF815" i="72"/>
  <c r="S128" i="68"/>
  <c r="S219" i="68" s="1"/>
  <c r="S310" i="68" s="1"/>
  <c r="S127" i="68"/>
  <c r="AH364" i="68"/>
  <c r="AG782" i="72"/>
  <c r="L340" i="68"/>
  <c r="K758" i="72"/>
  <c r="AD685" i="68"/>
  <c r="AD686" i="68"/>
  <c r="AD777" i="68" s="1"/>
  <c r="AD868" i="68" s="1"/>
  <c r="L798" i="72"/>
  <c r="M658" i="68"/>
  <c r="I716" i="68"/>
  <c r="I807" i="68" s="1"/>
  <c r="I898" i="68" s="1"/>
  <c r="I715" i="68"/>
  <c r="AD404" i="68"/>
  <c r="AD495" i="68" s="1"/>
  <c r="AD586" i="68" s="1"/>
  <c r="AD403" i="68"/>
  <c r="X108" i="68"/>
  <c r="X197" i="68"/>
  <c r="AB716" i="68"/>
  <c r="AB807" i="68" s="1"/>
  <c r="AB898" i="68" s="1"/>
  <c r="AB715" i="68"/>
  <c r="V143" i="68"/>
  <c r="V234" i="68" s="1"/>
  <c r="V325" i="68" s="1"/>
  <c r="V142" i="68"/>
  <c r="K760" i="68"/>
  <c r="K761" i="68"/>
  <c r="K852" i="68" s="1"/>
  <c r="K943" i="68" s="1"/>
  <c r="V131" i="68"/>
  <c r="V222" i="68" s="1"/>
  <c r="V313" i="68" s="1"/>
  <c r="V130" i="68"/>
  <c r="AC757" i="68"/>
  <c r="AC848" i="68" s="1"/>
  <c r="AC758" i="68"/>
  <c r="R339" i="68"/>
  <c r="Q757" i="72"/>
  <c r="M324" i="68"/>
  <c r="Q145" i="68"/>
  <c r="Q146" i="68"/>
  <c r="Q237" i="68" s="1"/>
  <c r="Q328" i="68" s="1"/>
  <c r="R764" i="68"/>
  <c r="R855" i="68" s="1"/>
  <c r="R946" i="68" s="1"/>
  <c r="R763" i="68"/>
  <c r="P391" i="68"/>
  <c r="P392" i="68"/>
  <c r="P483" i="68" s="1"/>
  <c r="P574" i="68" s="1"/>
  <c r="L96" i="68"/>
  <c r="L185" i="68"/>
  <c r="K446" i="68"/>
  <c r="K537" i="68" s="1"/>
  <c r="K628" i="68" s="1"/>
  <c r="K445" i="68"/>
  <c r="Z723" i="72"/>
  <c r="Z692" i="72"/>
  <c r="AF651" i="68"/>
  <c r="AE791" i="72"/>
  <c r="M685" i="68"/>
  <c r="M686" i="68"/>
  <c r="M777" i="68" s="1"/>
  <c r="M868" i="68" s="1"/>
  <c r="AF728" i="68"/>
  <c r="AF819" i="68" s="1"/>
  <c r="AF910" i="68" s="1"/>
  <c r="AF727" i="68"/>
  <c r="S377" i="68"/>
  <c r="S468" i="68" s="1"/>
  <c r="S559" i="68" s="1"/>
  <c r="S376" i="68"/>
  <c r="U731" i="68"/>
  <c r="U822" i="68" s="1"/>
  <c r="U913" i="68" s="1"/>
  <c r="U730" i="68"/>
  <c r="AA348" i="68"/>
  <c r="Z766" i="72"/>
  <c r="R799" i="72"/>
  <c r="Q93" i="68"/>
  <c r="Q182" i="68"/>
  <c r="M84" i="68"/>
  <c r="M173" i="68"/>
  <c r="AG691" i="68"/>
  <c r="AG692" i="68"/>
  <c r="AG783" i="68" s="1"/>
  <c r="AG874" i="68" s="1"/>
  <c r="Z385" i="68"/>
  <c r="Z386" i="68"/>
  <c r="Z477" i="68" s="1"/>
  <c r="Z568" i="68" s="1"/>
  <c r="AD173" i="68"/>
  <c r="AE72" i="68"/>
  <c r="AE161" i="68"/>
  <c r="AD391" i="68"/>
  <c r="AD392" i="68"/>
  <c r="AD483" i="68" s="1"/>
  <c r="AD574" i="68" s="1"/>
  <c r="K67" i="68"/>
  <c r="K68" i="68"/>
  <c r="K159" i="68" s="1"/>
  <c r="K250" i="68" s="1"/>
  <c r="N409" i="68"/>
  <c r="N410" i="68"/>
  <c r="N501" i="68" s="1"/>
  <c r="N592" i="68" s="1"/>
  <c r="P719" i="68"/>
  <c r="P810" i="68" s="1"/>
  <c r="P901" i="68" s="1"/>
  <c r="P718" i="68"/>
  <c r="AD799" i="72"/>
  <c r="AE659" i="68"/>
  <c r="L703" i="68"/>
  <c r="L704" i="68"/>
  <c r="L795" i="68" s="1"/>
  <c r="L886" i="68" s="1"/>
  <c r="N191" i="68"/>
  <c r="AA719" i="68"/>
  <c r="AA810" i="68" s="1"/>
  <c r="AA901" i="68" s="1"/>
  <c r="AA718" i="68"/>
  <c r="AE413" i="68"/>
  <c r="AE504" i="68" s="1"/>
  <c r="AE595" i="68" s="1"/>
  <c r="AE412" i="68"/>
  <c r="K673" i="68"/>
  <c r="J813" i="72"/>
  <c r="AH145" i="68"/>
  <c r="AH146" i="68"/>
  <c r="AH237" i="68" s="1"/>
  <c r="AH328" i="68" s="1"/>
  <c r="S445" i="68"/>
  <c r="S446" i="68"/>
  <c r="S537" i="68" s="1"/>
  <c r="S628" i="68" s="1"/>
  <c r="O455" i="68"/>
  <c r="O546" i="68" s="1"/>
  <c r="O637" i="68" s="1"/>
  <c r="O454" i="68"/>
  <c r="AH752" i="68"/>
  <c r="AH843" i="68" s="1"/>
  <c r="AH934" i="68" s="1"/>
  <c r="AH751" i="68"/>
  <c r="K813" i="72"/>
  <c r="S140" i="68"/>
  <c r="S231" i="68" s="1"/>
  <c r="S322" i="68" s="1"/>
  <c r="S139" i="68"/>
  <c r="AC760" i="68"/>
  <c r="AC761" i="68"/>
  <c r="AC852" i="68" s="1"/>
  <c r="AC943" i="68" s="1"/>
  <c r="L815" i="72"/>
  <c r="AF425" i="68"/>
  <c r="AF516" i="68" s="1"/>
  <c r="AF607" i="68" s="1"/>
  <c r="AF424" i="68"/>
  <c r="AC703" i="68"/>
  <c r="AC704" i="68"/>
  <c r="AC795" i="68" s="1"/>
  <c r="AC886" i="68" s="1"/>
  <c r="X683" i="68"/>
  <c r="X774" i="68" s="1"/>
  <c r="X865" i="68" s="1"/>
  <c r="X682" i="68"/>
  <c r="T754" i="68"/>
  <c r="T845" i="68" s="1"/>
  <c r="T755" i="68"/>
  <c r="M442" i="68"/>
  <c r="M533" i="68" s="1"/>
  <c r="M443" i="68"/>
  <c r="AG342" i="68"/>
  <c r="AF760" i="72"/>
  <c r="T697" i="68"/>
  <c r="T698" i="68"/>
  <c r="T789" i="68" s="1"/>
  <c r="T880" i="68" s="1"/>
  <c r="AG689" i="68"/>
  <c r="AG780" i="68" s="1"/>
  <c r="AG871" i="68" s="1"/>
  <c r="AG688" i="68"/>
  <c r="O359" i="68"/>
  <c r="N777" i="72"/>
  <c r="S354" i="68"/>
  <c r="R772" i="72"/>
  <c r="AE389" i="68"/>
  <c r="AE480" i="68" s="1"/>
  <c r="AE571" i="68" s="1"/>
  <c r="AE388" i="68"/>
  <c r="AA93" i="68"/>
  <c r="U179" i="68"/>
  <c r="W376" i="68"/>
  <c r="W377" i="68"/>
  <c r="W468" i="68" s="1"/>
  <c r="W559" i="68" s="1"/>
  <c r="R77" i="68"/>
  <c r="R168" i="68" s="1"/>
  <c r="R259" i="68" s="1"/>
  <c r="R76" i="68"/>
  <c r="AG789" i="72"/>
  <c r="AH649" i="68"/>
  <c r="Y392" i="68"/>
  <c r="Y483" i="68" s="1"/>
  <c r="Y574" i="68" s="1"/>
  <c r="Y391" i="68"/>
  <c r="V67" i="68"/>
  <c r="V68" i="68"/>
  <c r="V159" i="68" s="1"/>
  <c r="V250" i="68" s="1"/>
  <c r="P206" i="68"/>
  <c r="AB90" i="68"/>
  <c r="AB179" i="68"/>
  <c r="P661" i="68"/>
  <c r="O801" i="72"/>
  <c r="X346" i="68"/>
  <c r="W764" i="72"/>
  <c r="AC725" i="68"/>
  <c r="AC816" i="68" s="1"/>
  <c r="AC907" i="68" s="1"/>
  <c r="AC724" i="68"/>
  <c r="N795" i="72"/>
  <c r="O655" i="68"/>
  <c r="W757" i="72"/>
  <c r="X30" i="68"/>
  <c r="Z365" i="68"/>
  <c r="Y783" i="72"/>
  <c r="X755" i="68"/>
  <c r="X846" i="68" s="1"/>
  <c r="X937" i="68" s="1"/>
  <c r="X754" i="68"/>
  <c r="T669" i="68"/>
  <c r="S809" i="72"/>
  <c r="U452" i="68"/>
  <c r="U543" i="68" s="1"/>
  <c r="U634" i="68" s="1"/>
  <c r="U451" i="68"/>
  <c r="Q143" i="68"/>
  <c r="Q234" i="68" s="1"/>
  <c r="Q325" i="68" s="1"/>
  <c r="Q142" i="68"/>
  <c r="V440" i="68"/>
  <c r="V531" i="68" s="1"/>
  <c r="V622" i="68" s="1"/>
  <c r="V439" i="68"/>
  <c r="W140" i="68"/>
  <c r="W231" i="68" s="1"/>
  <c r="W322" i="68" s="1"/>
  <c r="W139" i="68"/>
  <c r="P697" i="68"/>
  <c r="P698" i="68"/>
  <c r="P789" i="68" s="1"/>
  <c r="P880" i="68" s="1"/>
  <c r="AB791" i="72"/>
  <c r="K811" i="72"/>
  <c r="AD725" i="68"/>
  <c r="AD816" i="68" s="1"/>
  <c r="AD907" i="68" s="1"/>
  <c r="AD724" i="68"/>
  <c r="AB654" i="68"/>
  <c r="AA794" i="72"/>
  <c r="AC447" i="72"/>
  <c r="AC478" i="72"/>
  <c r="AC113" i="68"/>
  <c r="AC204" i="68" s="1"/>
  <c r="AC295" i="68" s="1"/>
  <c r="AC112" i="68"/>
  <c r="N67" i="68"/>
  <c r="N68" i="68"/>
  <c r="N159" i="68" s="1"/>
  <c r="N250" i="68" s="1"/>
  <c r="X653" i="68"/>
  <c r="W793" i="72"/>
  <c r="K686" i="68"/>
  <c r="K777" i="68" s="1"/>
  <c r="K868" i="68" s="1"/>
  <c r="K685" i="68"/>
  <c r="V357" i="68"/>
  <c r="U775" i="72"/>
  <c r="T400" i="68"/>
  <c r="T401" i="68"/>
  <c r="T492" i="68" s="1"/>
  <c r="T583" i="68" s="1"/>
  <c r="U428" i="68"/>
  <c r="U519" i="68" s="1"/>
  <c r="U610" i="68" s="1"/>
  <c r="U427" i="68"/>
  <c r="U478" i="72"/>
  <c r="U447" i="72"/>
  <c r="X661" i="68"/>
  <c r="W801" i="72"/>
  <c r="T428" i="68"/>
  <c r="T519" i="68" s="1"/>
  <c r="T610" i="68" s="1"/>
  <c r="T427" i="68"/>
  <c r="AB110" i="68"/>
  <c r="AB201" i="68" s="1"/>
  <c r="AB292" i="68" s="1"/>
  <c r="AB109" i="68"/>
  <c r="AA422" i="68"/>
  <c r="AA513" i="68" s="1"/>
  <c r="AA604" i="68" s="1"/>
  <c r="AA421" i="68"/>
  <c r="Z763" i="72"/>
  <c r="T115" i="68"/>
  <c r="T116" i="68"/>
  <c r="T207" i="68" s="1"/>
  <c r="T298" i="68" s="1"/>
  <c r="T112" i="68"/>
  <c r="T113" i="68"/>
  <c r="T204" i="68" s="1"/>
  <c r="T295" i="68" s="1"/>
  <c r="I201" i="72"/>
  <c r="I232" i="72"/>
  <c r="K353" i="68"/>
  <c r="J771" i="72"/>
  <c r="U176" i="68"/>
  <c r="AB106" i="68"/>
  <c r="AB107" i="68"/>
  <c r="AB198" i="68" s="1"/>
  <c r="AB289" i="68" s="1"/>
  <c r="P703" i="68"/>
  <c r="P704" i="68"/>
  <c r="P795" i="68" s="1"/>
  <c r="P886" i="68" s="1"/>
  <c r="AH100" i="68"/>
  <c r="AH101" i="68"/>
  <c r="AH192" i="68" s="1"/>
  <c r="AH283" i="68" s="1"/>
  <c r="J188" i="68"/>
  <c r="X778" i="72"/>
  <c r="AD669" i="68"/>
  <c r="AC809" i="72"/>
  <c r="W437" i="68"/>
  <c r="W528" i="68" s="1"/>
  <c r="W619" i="68" s="1"/>
  <c r="W436" i="68"/>
  <c r="R146" i="68"/>
  <c r="R237" i="68" s="1"/>
  <c r="R328" i="68" s="1"/>
  <c r="R145" i="68"/>
  <c r="O363" i="68"/>
  <c r="N781" i="72"/>
  <c r="Z752" i="68"/>
  <c r="Z843" i="68" s="1"/>
  <c r="Z934" i="68" s="1"/>
  <c r="Z751" i="68"/>
  <c r="AE363" i="68"/>
  <c r="AD781" i="72"/>
  <c r="J419" i="68"/>
  <c r="J510" i="68" s="1"/>
  <c r="J601" i="68" s="1"/>
  <c r="J418" i="68"/>
  <c r="AC232" i="72"/>
  <c r="AC201" i="72"/>
  <c r="AD716" i="68"/>
  <c r="AD807" i="68" s="1"/>
  <c r="AD898" i="68" s="1"/>
  <c r="AD715" i="68"/>
  <c r="AD682" i="68"/>
  <c r="AD683" i="68"/>
  <c r="AD774" i="68" s="1"/>
  <c r="AD865" i="68" s="1"/>
  <c r="Z661" i="68"/>
  <c r="Y801" i="72"/>
  <c r="K761" i="72"/>
  <c r="Q801" i="72"/>
  <c r="R661" i="68"/>
  <c r="O792" i="72"/>
  <c r="AF692" i="72"/>
  <c r="AF723" i="72"/>
  <c r="AD727" i="68"/>
  <c r="AD728" i="68"/>
  <c r="AD819" i="68" s="1"/>
  <c r="AD910" i="68" s="1"/>
  <c r="O805" i="72"/>
  <c r="P665" i="68"/>
  <c r="T792" i="72"/>
  <c r="N667" i="68"/>
  <c r="M807" i="72"/>
  <c r="R691" i="68"/>
  <c r="R692" i="68"/>
  <c r="R783" i="68" s="1"/>
  <c r="R874" i="68" s="1"/>
  <c r="I403" i="68"/>
  <c r="I404" i="68"/>
  <c r="I495" i="68" s="1"/>
  <c r="I586" i="68" s="1"/>
  <c r="AE727" i="68"/>
  <c r="AE728" i="68"/>
  <c r="AE819" i="68" s="1"/>
  <c r="AE910" i="68" s="1"/>
  <c r="M433" i="68"/>
  <c r="M434" i="68"/>
  <c r="M525" i="68" s="1"/>
  <c r="M616" i="68" s="1"/>
  <c r="Y96" i="68"/>
  <c r="Y185" i="68"/>
  <c r="X689" i="68"/>
  <c r="X780" i="68" s="1"/>
  <c r="X871" i="68" s="1"/>
  <c r="X688" i="68"/>
  <c r="AH81" i="68"/>
  <c r="AH170" i="68"/>
  <c r="V212" i="68"/>
  <c r="AH200" i="68"/>
  <c r="M80" i="68"/>
  <c r="M171" i="68" s="1"/>
  <c r="M262" i="68" s="1"/>
  <c r="M79" i="68"/>
  <c r="AC110" i="68"/>
  <c r="AC201" i="68" s="1"/>
  <c r="AC292" i="68" s="1"/>
  <c r="AC109" i="68"/>
  <c r="N771" i="72"/>
  <c r="O353" i="68"/>
  <c r="AG346" i="68"/>
  <c r="AF764" i="72"/>
  <c r="AC347" i="68"/>
  <c r="AB765" i="72"/>
  <c r="AH660" i="68"/>
  <c r="AG800" i="72"/>
  <c r="AD101" i="68"/>
  <c r="AD192" i="68" s="1"/>
  <c r="AD283" i="68" s="1"/>
  <c r="AD100" i="68"/>
  <c r="AB674" i="68"/>
  <c r="AA814" i="72"/>
  <c r="AA233" i="68"/>
  <c r="AB146" i="68"/>
  <c r="AB237" i="68" s="1"/>
  <c r="AB328" i="68" s="1"/>
  <c r="AB145" i="68"/>
  <c r="M137" i="68"/>
  <c r="M228" i="68" s="1"/>
  <c r="M319" i="68" s="1"/>
  <c r="M136" i="68"/>
  <c r="Y374" i="68"/>
  <c r="Y465" i="68" s="1"/>
  <c r="Y556" i="68" s="1"/>
  <c r="Y373" i="68"/>
  <c r="O671" i="68"/>
  <c r="N811" i="72"/>
  <c r="I813" i="72"/>
  <c r="AG436" i="68"/>
  <c r="AG527" i="68" s="1"/>
  <c r="AG437" i="68"/>
  <c r="O442" i="68"/>
  <c r="O443" i="68"/>
  <c r="O534" i="68" s="1"/>
  <c r="O625" i="68" s="1"/>
  <c r="J778" i="72"/>
  <c r="Z436" i="68"/>
  <c r="Z437" i="68"/>
  <c r="Z528" i="68" s="1"/>
  <c r="Z619" i="68" s="1"/>
  <c r="Z778" i="72"/>
  <c r="Y942" i="68"/>
  <c r="AF377" i="68"/>
  <c r="AF468" i="68" s="1"/>
  <c r="AF559" i="68" s="1"/>
  <c r="AF376" i="68"/>
  <c r="AE374" i="68"/>
  <c r="AE465" i="68" s="1"/>
  <c r="AE556" i="68" s="1"/>
  <c r="AE373" i="68"/>
  <c r="AB363" i="68"/>
  <c r="AA781" i="72"/>
  <c r="X360" i="68"/>
  <c r="W778" i="72"/>
  <c r="Z724" i="68"/>
  <c r="Z725" i="68"/>
  <c r="Z816" i="68" s="1"/>
  <c r="Z907" i="68" s="1"/>
  <c r="Z807" i="72"/>
  <c r="AA667" i="68"/>
  <c r="T90" i="68"/>
  <c r="T179" i="68"/>
  <c r="I409" i="68"/>
  <c r="I410" i="68"/>
  <c r="I501" i="68" s="1"/>
  <c r="I592" i="68" s="1"/>
  <c r="Z104" i="68"/>
  <c r="Z195" i="68" s="1"/>
  <c r="Z286" i="68" s="1"/>
  <c r="Z103" i="68"/>
  <c r="AF812" i="72"/>
  <c r="AG672" i="68"/>
  <c r="AE421" i="68"/>
  <c r="AE422" i="68"/>
  <c r="AE513" i="68" s="1"/>
  <c r="AE604" i="68" s="1"/>
  <c r="Y446" i="68"/>
  <c r="Y537" i="68" s="1"/>
  <c r="Y628" i="68" s="1"/>
  <c r="Y445" i="68"/>
  <c r="T800" i="72"/>
  <c r="U660" i="68"/>
  <c r="U433" i="68"/>
  <c r="U434" i="68"/>
  <c r="U525" i="68" s="1"/>
  <c r="U616" i="68" s="1"/>
  <c r="Q81" i="68"/>
  <c r="Q170" i="68"/>
  <c r="N725" i="68"/>
  <c r="N816" i="68" s="1"/>
  <c r="N907" i="68" s="1"/>
  <c r="N724" i="68"/>
  <c r="T661" i="68"/>
  <c r="S801" i="72"/>
  <c r="AE343" i="68"/>
  <c r="AD761" i="72"/>
  <c r="S715" i="68"/>
  <c r="S716" i="68"/>
  <c r="S807" i="68" s="1"/>
  <c r="S898" i="68" s="1"/>
  <c r="AE406" i="68"/>
  <c r="AE407" i="68"/>
  <c r="AE498" i="68" s="1"/>
  <c r="AE589" i="68" s="1"/>
  <c r="Y197" i="68"/>
  <c r="R455" i="68"/>
  <c r="R546" i="68" s="1"/>
  <c r="R637" i="68" s="1"/>
  <c r="R454" i="68"/>
  <c r="I431" i="68"/>
  <c r="I522" i="68" s="1"/>
  <c r="I613" i="68" s="1"/>
  <c r="I430" i="68"/>
  <c r="Q654" i="68"/>
  <c r="P794" i="72"/>
  <c r="AA79" i="68"/>
  <c r="AA80" i="68"/>
  <c r="AA171" i="68" s="1"/>
  <c r="AA262" i="68" s="1"/>
  <c r="AC84" i="68"/>
  <c r="AC173" i="68"/>
  <c r="V232" i="72"/>
  <c r="V201" i="72"/>
  <c r="AH85" i="68"/>
  <c r="AH86" i="68"/>
  <c r="AH177" i="68" s="1"/>
  <c r="AH268" i="68" s="1"/>
  <c r="AD347" i="68"/>
  <c r="AC765" i="72"/>
  <c r="P361" i="68"/>
  <c r="O779" i="72"/>
  <c r="AG673" i="68"/>
  <c r="AF813" i="72"/>
  <c r="W81" i="68"/>
  <c r="W170" i="68"/>
  <c r="AB745" i="68"/>
  <c r="AB746" i="68"/>
  <c r="AB837" i="68" s="1"/>
  <c r="AB928" i="68" s="1"/>
  <c r="R650" i="68"/>
  <c r="Q790" i="72"/>
  <c r="I700" i="68"/>
  <c r="I701" i="68"/>
  <c r="I792" i="68" s="1"/>
  <c r="I883" i="68" s="1"/>
  <c r="O73" i="68"/>
  <c r="O74" i="68"/>
  <c r="O165" i="68" s="1"/>
  <c r="O256" i="68" s="1"/>
  <c r="Y70" i="68"/>
  <c r="Y71" i="68"/>
  <c r="Y162" i="68" s="1"/>
  <c r="Y253" i="68" s="1"/>
  <c r="I425" i="68"/>
  <c r="I516" i="68" s="1"/>
  <c r="I607" i="68" s="1"/>
  <c r="I424" i="68"/>
  <c r="W173" i="68"/>
  <c r="AD449" i="68"/>
  <c r="AD540" i="68" s="1"/>
  <c r="AD631" i="68" s="1"/>
  <c r="AD448" i="68"/>
  <c r="AD246" i="68"/>
  <c r="AC443" i="68"/>
  <c r="AC534" i="68" s="1"/>
  <c r="AC625" i="68" s="1"/>
  <c r="AC442" i="68"/>
  <c r="J728" i="68"/>
  <c r="J819" i="68" s="1"/>
  <c r="J910" i="68" s="1"/>
  <c r="J727" i="68"/>
  <c r="I451" i="68"/>
  <c r="I452" i="68"/>
  <c r="I543" i="68" s="1"/>
  <c r="I634" i="68" s="1"/>
  <c r="I763" i="72"/>
  <c r="J345" i="68"/>
  <c r="J122" i="68"/>
  <c r="J213" i="68" s="1"/>
  <c r="J304" i="68" s="1"/>
  <c r="J121" i="68"/>
  <c r="S478" i="72"/>
  <c r="S447" i="72"/>
  <c r="M356" i="68"/>
  <c r="L774" i="72"/>
  <c r="AD354" i="68"/>
  <c r="AC772" i="72"/>
  <c r="AF114" i="68"/>
  <c r="AF203" i="68"/>
  <c r="AD112" i="68"/>
  <c r="AD113" i="68"/>
  <c r="AD204" i="68" s="1"/>
  <c r="AD295" i="68" s="1"/>
  <c r="V655" i="68"/>
  <c r="U795" i="72"/>
  <c r="T670" i="68"/>
  <c r="S810" i="72"/>
  <c r="W454" i="68"/>
  <c r="W545" i="68" s="1"/>
  <c r="W455" i="68"/>
  <c r="AC710" i="68"/>
  <c r="AC801" i="68" s="1"/>
  <c r="AC892" i="68" s="1"/>
  <c r="AC709" i="68"/>
  <c r="AE121" i="68"/>
  <c r="AE122" i="68"/>
  <c r="AE213" i="68" s="1"/>
  <c r="AE304" i="68" s="1"/>
  <c r="X804" i="72"/>
  <c r="Y664" i="68"/>
  <c r="AB737" i="68"/>
  <c r="AB828" i="68" s="1"/>
  <c r="AB919" i="68" s="1"/>
  <c r="AB736" i="68"/>
  <c r="P772" i="72"/>
  <c r="Q354" i="68"/>
  <c r="P730" i="68"/>
  <c r="P731" i="68"/>
  <c r="P822" i="68" s="1"/>
  <c r="P913" i="68" s="1"/>
  <c r="M93" i="68"/>
  <c r="M182" i="68"/>
  <c r="O719" i="68"/>
  <c r="O810" i="68" s="1"/>
  <c r="O901" i="68" s="1"/>
  <c r="O718" i="68"/>
  <c r="AH655" i="68"/>
  <c r="AG795" i="72"/>
  <c r="Y768" i="72"/>
  <c r="Z350" i="68"/>
  <c r="T133" i="68"/>
  <c r="T224" i="68" s="1"/>
  <c r="T134" i="68"/>
  <c r="I440" i="68"/>
  <c r="I531" i="68" s="1"/>
  <c r="I622" i="68" s="1"/>
  <c r="I439" i="68"/>
  <c r="S116" i="68"/>
  <c r="S207" i="68" s="1"/>
  <c r="S298" i="68" s="1"/>
  <c r="S115" i="68"/>
  <c r="AF743" i="68"/>
  <c r="AF834" i="68" s="1"/>
  <c r="AF925" i="68" s="1"/>
  <c r="AF742" i="68"/>
  <c r="AG403" i="68"/>
  <c r="AG404" i="68"/>
  <c r="AG495" i="68" s="1"/>
  <c r="AG586" i="68" s="1"/>
  <c r="O707" i="68"/>
  <c r="O798" i="68" s="1"/>
  <c r="O889" i="68" s="1"/>
  <c r="O706" i="68"/>
  <c r="N656" i="68"/>
  <c r="M796" i="72"/>
  <c r="AF365" i="68"/>
  <c r="AE783" i="72"/>
  <c r="N143" i="68"/>
  <c r="N234" i="68" s="1"/>
  <c r="N325" i="68" s="1"/>
  <c r="N142" i="68"/>
  <c r="R398" i="68"/>
  <c r="R489" i="68" s="1"/>
  <c r="R580" i="68" s="1"/>
  <c r="R397" i="68"/>
  <c r="AA652" i="68"/>
  <c r="Z792" i="72"/>
  <c r="AE376" i="68"/>
  <c r="AE377" i="68"/>
  <c r="AE468" i="68" s="1"/>
  <c r="AE559" i="68" s="1"/>
  <c r="K354" i="68"/>
  <c r="J772" i="72"/>
  <c r="AE200" i="68"/>
  <c r="K401" i="68"/>
  <c r="K492" i="68" s="1"/>
  <c r="K583" i="68" s="1"/>
  <c r="K400" i="68"/>
  <c r="Z85" i="68"/>
  <c r="Z86" i="68"/>
  <c r="Z177" i="68" s="1"/>
  <c r="Z268" i="68" s="1"/>
  <c r="AF407" i="68"/>
  <c r="AF498" i="68" s="1"/>
  <c r="AF589" i="68" s="1"/>
  <c r="AF406" i="68"/>
  <c r="P798" i="72"/>
  <c r="Q658" i="68"/>
  <c r="AA656" i="68"/>
  <c r="Z796" i="72"/>
  <c r="J362" i="68"/>
  <c r="I780" i="72"/>
  <c r="Z127" i="68"/>
  <c r="Z128" i="68"/>
  <c r="Z219" i="68" s="1"/>
  <c r="Z310" i="68" s="1"/>
  <c r="I443" i="68"/>
  <c r="I534" i="68" s="1"/>
  <c r="I625" i="68" s="1"/>
  <c r="I442" i="68"/>
  <c r="AG236" i="68"/>
  <c r="AD339" i="68"/>
  <c r="AC757" i="72"/>
  <c r="L757" i="68"/>
  <c r="L758" i="68"/>
  <c r="L849" i="68" s="1"/>
  <c r="L940" i="68" s="1"/>
  <c r="W452" i="68"/>
  <c r="W543" i="68" s="1"/>
  <c r="W634" i="68" s="1"/>
  <c r="W451" i="68"/>
  <c r="N448" i="68"/>
  <c r="N449" i="68"/>
  <c r="N540" i="68" s="1"/>
  <c r="N631" i="68" s="1"/>
  <c r="I809" i="72"/>
  <c r="J669" i="68"/>
  <c r="N421" i="68"/>
  <c r="N422" i="68"/>
  <c r="N513" i="68" s="1"/>
  <c r="N604" i="68" s="1"/>
  <c r="O385" i="68"/>
  <c r="O386" i="68"/>
  <c r="O477" i="68" s="1"/>
  <c r="O568" i="68" s="1"/>
  <c r="T158" i="68"/>
  <c r="T654" i="68"/>
  <c r="S794" i="72"/>
  <c r="AA121" i="68"/>
  <c r="AA122" i="68"/>
  <c r="AA213" i="68" s="1"/>
  <c r="AA304" i="68" s="1"/>
  <c r="J344" i="68"/>
  <c r="I762" i="72"/>
  <c r="AC121" i="68"/>
  <c r="AC122" i="68"/>
  <c r="AC213" i="68" s="1"/>
  <c r="AC304" i="68" s="1"/>
  <c r="K794" i="72"/>
  <c r="Q686" i="68"/>
  <c r="Q777" i="68" s="1"/>
  <c r="Q868" i="68" s="1"/>
  <c r="Q685" i="68"/>
  <c r="U804" i="72"/>
  <c r="I807" i="72"/>
  <c r="S355" i="68"/>
  <c r="R773" i="72"/>
  <c r="U389" i="68"/>
  <c r="U480" i="68" s="1"/>
  <c r="U571" i="68" s="1"/>
  <c r="U388" i="68"/>
  <c r="AE761" i="72"/>
  <c r="AE667" i="68"/>
  <c r="AD807" i="72"/>
  <c r="I75" i="68"/>
  <c r="I164" i="68"/>
  <c r="Y117" i="68"/>
  <c r="Y206" i="68"/>
  <c r="AB422" i="68"/>
  <c r="AB513" i="68" s="1"/>
  <c r="AB604" i="68" s="1"/>
  <c r="AB421" i="68"/>
  <c r="R115" i="68"/>
  <c r="R116" i="68"/>
  <c r="R207" i="68" s="1"/>
  <c r="R298" i="68" s="1"/>
  <c r="K76" i="68"/>
  <c r="K77" i="68"/>
  <c r="K168" i="68" s="1"/>
  <c r="K259" i="68" s="1"/>
  <c r="T386" i="68"/>
  <c r="T477" i="68" s="1"/>
  <c r="T568" i="68" s="1"/>
  <c r="T385" i="68"/>
  <c r="U701" i="68"/>
  <c r="U792" i="68" s="1"/>
  <c r="U883" i="68" s="1"/>
  <c r="U700" i="68"/>
  <c r="W86" i="68"/>
  <c r="W177" i="68" s="1"/>
  <c r="W268" i="68" s="1"/>
  <c r="W85" i="68"/>
  <c r="J407" i="68"/>
  <c r="J498" i="68" s="1"/>
  <c r="J589" i="68" s="1"/>
  <c r="J406" i="68"/>
  <c r="X103" i="68"/>
  <c r="X104" i="68"/>
  <c r="X195" i="68" s="1"/>
  <c r="X286" i="68" s="1"/>
  <c r="T656" i="68"/>
  <c r="S796" i="72"/>
  <c r="K703" i="68"/>
  <c r="K704" i="68"/>
  <c r="K795" i="68" s="1"/>
  <c r="K886" i="68" s="1"/>
  <c r="S671" i="68"/>
  <c r="R811" i="72"/>
  <c r="AE673" i="68"/>
  <c r="AD813" i="72"/>
  <c r="K364" i="68"/>
  <c r="J782" i="72"/>
  <c r="AD788" i="72"/>
  <c r="AE648" i="68"/>
  <c r="AH675" i="68"/>
  <c r="AG815" i="72"/>
  <c r="N365" i="68"/>
  <c r="M783" i="72"/>
  <c r="V136" i="68"/>
  <c r="V227" i="68" s="1"/>
  <c r="V137" i="68"/>
  <c r="N130" i="68"/>
  <c r="N221" i="68" s="1"/>
  <c r="N131" i="68"/>
  <c r="W138" i="68"/>
  <c r="W227" i="68"/>
  <c r="AA442" i="68"/>
  <c r="AA443" i="68"/>
  <c r="AA534" i="68" s="1"/>
  <c r="AA625" i="68" s="1"/>
  <c r="S403" i="68"/>
  <c r="S404" i="68"/>
  <c r="S495" i="68" s="1"/>
  <c r="S586" i="68" s="1"/>
  <c r="AC416" i="68"/>
  <c r="AC507" i="68" s="1"/>
  <c r="AC598" i="68" s="1"/>
  <c r="AC415" i="68"/>
  <c r="P454" i="68"/>
  <c r="P545" i="68" s="1"/>
  <c r="P455" i="68"/>
  <c r="S109" i="68"/>
  <c r="S110" i="68"/>
  <c r="S201" i="68" s="1"/>
  <c r="S292" i="68" s="1"/>
  <c r="I695" i="68"/>
  <c r="I786" i="68" s="1"/>
  <c r="I877" i="68" s="1"/>
  <c r="I694" i="68"/>
  <c r="AF697" i="68"/>
  <c r="AF698" i="68"/>
  <c r="AF789" i="68" s="1"/>
  <c r="AF880" i="68" s="1"/>
  <c r="K692" i="68"/>
  <c r="K783" i="68" s="1"/>
  <c r="K874" i="68" s="1"/>
  <c r="K691" i="68"/>
  <c r="U686" i="68"/>
  <c r="U777" i="68" s="1"/>
  <c r="U868" i="68" s="1"/>
  <c r="U685" i="68"/>
  <c r="J792" i="72"/>
  <c r="J777" i="72"/>
  <c r="K359" i="68"/>
  <c r="AD758" i="72"/>
  <c r="O389" i="68"/>
  <c r="O480" i="68" s="1"/>
  <c r="O571" i="68" s="1"/>
  <c r="O388" i="68"/>
  <c r="R433" i="68"/>
  <c r="R434" i="68"/>
  <c r="R525" i="68" s="1"/>
  <c r="R616" i="68" s="1"/>
  <c r="AB182" i="68"/>
  <c r="T424" i="68"/>
  <c r="T425" i="68"/>
  <c r="T516" i="68" s="1"/>
  <c r="T607" i="68" s="1"/>
  <c r="P75" i="68"/>
  <c r="P164" i="68"/>
  <c r="R232" i="72"/>
  <c r="R201" i="72"/>
  <c r="H232" i="72"/>
  <c r="H201" i="72"/>
  <c r="X126" i="68"/>
  <c r="X215" i="68"/>
  <c r="W121" i="68"/>
  <c r="W122" i="68"/>
  <c r="W213" i="68" s="1"/>
  <c r="W304" i="68" s="1"/>
  <c r="K176" i="68"/>
  <c r="U655" i="68"/>
  <c r="T795" i="72"/>
  <c r="AH715" i="68"/>
  <c r="AH716" i="68"/>
  <c r="AH807" i="68" s="1"/>
  <c r="AH898" i="68" s="1"/>
  <c r="V194" i="68"/>
  <c r="AF415" i="68"/>
  <c r="AF416" i="68"/>
  <c r="AF507" i="68" s="1"/>
  <c r="AF598" i="68" s="1"/>
  <c r="T784" i="72"/>
  <c r="U366" i="68"/>
  <c r="P648" i="68"/>
  <c r="O788" i="72"/>
  <c r="X365" i="68"/>
  <c r="W783" i="72"/>
  <c r="Y748" i="68"/>
  <c r="Y839" i="68" s="1"/>
  <c r="Y749" i="68"/>
  <c r="AH670" i="68"/>
  <c r="AG810" i="72"/>
  <c r="J454" i="68"/>
  <c r="J545" i="68" s="1"/>
  <c r="J455" i="68"/>
  <c r="AB449" i="68"/>
  <c r="AB540" i="68" s="1"/>
  <c r="AB631" i="68" s="1"/>
  <c r="AB448" i="68"/>
  <c r="AA64" i="68"/>
  <c r="AA65" i="68"/>
  <c r="AA156" i="68" s="1"/>
  <c r="AA247" i="68" s="1"/>
  <c r="U783" i="72"/>
  <c r="Z147" i="68"/>
  <c r="Z236" i="68"/>
  <c r="AE723" i="72"/>
  <c r="AE692" i="72"/>
  <c r="L734" i="68"/>
  <c r="L825" i="68" s="1"/>
  <c r="L916" i="68" s="1"/>
  <c r="L733" i="68"/>
  <c r="AC730" i="68"/>
  <c r="AC731" i="68"/>
  <c r="AC822" i="68" s="1"/>
  <c r="AC913" i="68" s="1"/>
  <c r="N716" i="68"/>
  <c r="N807" i="68" s="1"/>
  <c r="N898" i="68" s="1"/>
  <c r="N715" i="68"/>
  <c r="P657" i="68"/>
  <c r="O797" i="72"/>
  <c r="S124" i="68"/>
  <c r="S125" i="68"/>
  <c r="S216" i="68" s="1"/>
  <c r="S307" i="68" s="1"/>
  <c r="S665" i="68"/>
  <c r="R805" i="72"/>
  <c r="AH654" i="68"/>
  <c r="AG794" i="72"/>
  <c r="X710" i="68"/>
  <c r="X801" i="68" s="1"/>
  <c r="X892" i="68" s="1"/>
  <c r="X709" i="68"/>
  <c r="AF798" i="72"/>
  <c r="AG658" i="68"/>
  <c r="L789" i="72"/>
  <c r="W694" i="68"/>
  <c r="W695" i="68"/>
  <c r="W786" i="68" s="1"/>
  <c r="W877" i="68" s="1"/>
  <c r="AE401" i="68"/>
  <c r="AE492" i="68" s="1"/>
  <c r="AE583" i="68" s="1"/>
  <c r="AE400" i="68"/>
  <c r="R401" i="68"/>
  <c r="R492" i="68" s="1"/>
  <c r="R583" i="68" s="1"/>
  <c r="R400" i="68"/>
  <c r="AB760" i="72"/>
  <c r="T804" i="72"/>
  <c r="R68" i="68"/>
  <c r="R159" i="68" s="1"/>
  <c r="R250" i="68" s="1"/>
  <c r="R67" i="68"/>
  <c r="Q391" i="68"/>
  <c r="Q392" i="68"/>
  <c r="Q483" i="68" s="1"/>
  <c r="Q574" i="68" s="1"/>
  <c r="AF431" i="68"/>
  <c r="AF522" i="68" s="1"/>
  <c r="AF613" i="68" s="1"/>
  <c r="AF430" i="68"/>
  <c r="M358" i="68"/>
  <c r="L776" i="72"/>
  <c r="T760" i="72"/>
  <c r="J76" i="68"/>
  <c r="J77" i="68"/>
  <c r="J168" i="68" s="1"/>
  <c r="J259" i="68" s="1"/>
  <c r="K109" i="68"/>
  <c r="K110" i="68"/>
  <c r="K201" i="68" s="1"/>
  <c r="K292" i="68" s="1"/>
  <c r="AH70" i="68"/>
  <c r="AH71" i="68"/>
  <c r="AH162" i="68" s="1"/>
  <c r="AH253" i="68" s="1"/>
  <c r="AD802" i="72"/>
  <c r="AE662" i="68"/>
  <c r="AH346" i="68"/>
  <c r="AG764" i="72"/>
  <c r="AH707" i="68"/>
  <c r="AH798" i="68" s="1"/>
  <c r="AH889" i="68" s="1"/>
  <c r="AH706" i="68"/>
  <c r="AG748" i="68"/>
  <c r="AG839" i="68" s="1"/>
  <c r="AG749" i="68"/>
  <c r="O449" i="68"/>
  <c r="O540" i="68" s="1"/>
  <c r="O631" i="68" s="1"/>
  <c r="O448" i="68"/>
  <c r="L804" i="72"/>
  <c r="J340" i="68"/>
  <c r="I758" i="72"/>
  <c r="M121" i="68"/>
  <c r="M122" i="68"/>
  <c r="M213" i="68" s="1"/>
  <c r="M304" i="68" s="1"/>
  <c r="S697" i="68"/>
  <c r="S698" i="68"/>
  <c r="S789" i="68" s="1"/>
  <c r="S880" i="68" s="1"/>
  <c r="L759" i="72"/>
  <c r="S664" i="68"/>
  <c r="R804" i="72"/>
  <c r="R665" i="68"/>
  <c r="Q805" i="72"/>
  <c r="L807" i="72"/>
  <c r="J761" i="72"/>
  <c r="AE695" i="68"/>
  <c r="AE786" i="68" s="1"/>
  <c r="AE877" i="68" s="1"/>
  <c r="AE694" i="68"/>
  <c r="T354" i="68"/>
  <c r="S772" i="72"/>
  <c r="Q733" i="68"/>
  <c r="Q734" i="68"/>
  <c r="Q825" i="68" s="1"/>
  <c r="Q916" i="68" s="1"/>
  <c r="U354" i="68"/>
  <c r="T772" i="72"/>
  <c r="X692" i="72"/>
  <c r="X723" i="72"/>
  <c r="J773" i="72"/>
  <c r="AC391" i="68"/>
  <c r="V118" i="68"/>
  <c r="V119" i="68"/>
  <c r="V210" i="68" s="1"/>
  <c r="V301" i="68" s="1"/>
  <c r="Z776" i="72"/>
  <c r="AA358" i="68"/>
  <c r="AG173" i="68"/>
  <c r="R353" i="68"/>
  <c r="Q771" i="72"/>
  <c r="AA800" i="72"/>
  <c r="AB660" i="68"/>
  <c r="Y351" i="68"/>
  <c r="X769" i="72"/>
  <c r="AA107" i="68"/>
  <c r="AA198" i="68" s="1"/>
  <c r="AA289" i="68" s="1"/>
  <c r="AA106" i="68"/>
  <c r="L656" i="68"/>
  <c r="K796" i="72"/>
  <c r="AF409" i="68"/>
  <c r="AF410" i="68"/>
  <c r="AF501" i="68" s="1"/>
  <c r="AF592" i="68" s="1"/>
  <c r="S707" i="68"/>
  <c r="S798" i="68" s="1"/>
  <c r="S889" i="68" s="1"/>
  <c r="S706" i="68"/>
  <c r="M194" i="68"/>
  <c r="S781" i="72"/>
  <c r="T363" i="68"/>
  <c r="V373" i="68"/>
  <c r="V374" i="68"/>
  <c r="V465" i="68" s="1"/>
  <c r="V556" i="68" s="1"/>
  <c r="X670" i="68"/>
  <c r="W810" i="72"/>
  <c r="O673" i="68"/>
  <c r="N813" i="72"/>
  <c r="AF757" i="68"/>
  <c r="AF848" i="68" s="1"/>
  <c r="AF758" i="68"/>
  <c r="AB721" i="68"/>
  <c r="AB722" i="68"/>
  <c r="AB813" i="68" s="1"/>
  <c r="AB904" i="68" s="1"/>
  <c r="AB130" i="68"/>
  <c r="AB131" i="68"/>
  <c r="AB222" i="68" s="1"/>
  <c r="AB313" i="68" s="1"/>
  <c r="AD754" i="68"/>
  <c r="AD845" i="68" s="1"/>
  <c r="AD755" i="68"/>
  <c r="AB142" i="68"/>
  <c r="AB143" i="68"/>
  <c r="AB234" i="68" s="1"/>
  <c r="AB325" i="68" s="1"/>
  <c r="V764" i="68"/>
  <c r="V855" i="68" s="1"/>
  <c r="V946" i="68" s="1"/>
  <c r="V763" i="68"/>
  <c r="K815" i="72"/>
  <c r="L675" i="68"/>
  <c r="J127" i="68"/>
  <c r="J218" i="68" s="1"/>
  <c r="J128" i="68"/>
  <c r="N379" i="68"/>
  <c r="N380" i="68"/>
  <c r="N471" i="68" s="1"/>
  <c r="N562" i="68" s="1"/>
  <c r="T447" i="72"/>
  <c r="T478" i="72"/>
  <c r="V478" i="72"/>
  <c r="V447" i="72"/>
  <c r="L752" i="68"/>
  <c r="L843" i="68" s="1"/>
  <c r="L934" i="68" s="1"/>
  <c r="L751" i="68"/>
  <c r="L451" i="68"/>
  <c r="L542" i="68" s="1"/>
  <c r="L452" i="68"/>
  <c r="K341" i="68"/>
  <c r="J759" i="72"/>
  <c r="AG666" i="68"/>
  <c r="AF806" i="72"/>
  <c r="K345" i="68"/>
  <c r="J763" i="72"/>
  <c r="AG742" i="68"/>
  <c r="AG743" i="68"/>
  <c r="AG834" i="68" s="1"/>
  <c r="AG925" i="68" s="1"/>
  <c r="Q692" i="72"/>
  <c r="Q723" i="72"/>
  <c r="K344" i="68"/>
  <c r="J762" i="72"/>
  <c r="J789" i="72"/>
  <c r="W689" i="68"/>
  <c r="W780" i="68" s="1"/>
  <c r="W871" i="68" s="1"/>
  <c r="W688" i="68"/>
  <c r="M694" i="68"/>
  <c r="M695" i="68"/>
  <c r="M786" i="68" s="1"/>
  <c r="M877" i="68" s="1"/>
  <c r="P761" i="72"/>
  <c r="R761" i="72"/>
  <c r="O777" i="72"/>
  <c r="S775" i="72"/>
  <c r="P70" i="68"/>
  <c r="P71" i="68"/>
  <c r="P162" i="68" s="1"/>
  <c r="P253" i="68" s="1"/>
  <c r="AA392" i="68"/>
  <c r="AA483" i="68" s="1"/>
  <c r="AA574" i="68" s="1"/>
  <c r="AA391" i="68"/>
  <c r="J209" i="68"/>
  <c r="Y379" i="68"/>
  <c r="Y380" i="68"/>
  <c r="Y471" i="68" s="1"/>
  <c r="Y562" i="68" s="1"/>
  <c r="I107" i="68"/>
  <c r="I198" i="68" s="1"/>
  <c r="I289" i="68" s="1"/>
  <c r="I106" i="68"/>
  <c r="V78" i="68"/>
  <c r="V167" i="68"/>
  <c r="AC404" i="68"/>
  <c r="AC495" i="68" s="1"/>
  <c r="AC586" i="68" s="1"/>
  <c r="AC403" i="68"/>
  <c r="AH93" i="68"/>
  <c r="AH182" i="68"/>
  <c r="T769" i="72"/>
  <c r="AG655" i="68"/>
  <c r="AF795" i="72"/>
  <c r="P395" i="68"/>
  <c r="P486" i="68" s="1"/>
  <c r="P577" i="68" s="1"/>
  <c r="P394" i="68"/>
  <c r="J64" i="68"/>
  <c r="J65" i="68"/>
  <c r="J156" i="68" s="1"/>
  <c r="J247" i="68" s="1"/>
  <c r="V751" i="68"/>
  <c r="V842" i="68" s="1"/>
  <c r="V752" i="68"/>
  <c r="Y436" i="68"/>
  <c r="Y437" i="68"/>
  <c r="Y528" i="68" s="1"/>
  <c r="Y619" i="68" s="1"/>
  <c r="N755" i="68"/>
  <c r="N846" i="68" s="1"/>
  <c r="N937" i="68" s="1"/>
  <c r="N754" i="68"/>
  <c r="J364" i="68"/>
  <c r="I782" i="72"/>
  <c r="N339" i="68"/>
  <c r="M757" i="72"/>
  <c r="AF675" i="68"/>
  <c r="AE815" i="72"/>
  <c r="M813" i="72"/>
  <c r="V145" i="68"/>
  <c r="V146" i="68"/>
  <c r="V237" i="68" s="1"/>
  <c r="V328" i="68" s="1"/>
  <c r="AC745" i="68"/>
  <c r="AC746" i="68"/>
  <c r="AC837" i="68" s="1"/>
  <c r="AC928" i="68" s="1"/>
  <c r="AC134" i="68"/>
  <c r="AC225" i="68" s="1"/>
  <c r="AC316" i="68" s="1"/>
  <c r="AC133" i="68"/>
  <c r="S674" i="68"/>
  <c r="R814" i="72"/>
  <c r="AH745" i="68"/>
  <c r="AH836" i="68" s="1"/>
  <c r="AH746" i="68"/>
  <c r="I772" i="72"/>
  <c r="AF392" i="68"/>
  <c r="AF483" i="68" s="1"/>
  <c r="AF574" i="68" s="1"/>
  <c r="AF391" i="68"/>
  <c r="AC799" i="72"/>
  <c r="M451" i="68"/>
  <c r="M542" i="68" s="1"/>
  <c r="M452" i="68"/>
  <c r="M761" i="72"/>
  <c r="N343" i="68"/>
  <c r="L386" i="68"/>
  <c r="L477" i="68" s="1"/>
  <c r="L568" i="68" s="1"/>
  <c r="L385" i="68"/>
  <c r="Y789" i="72"/>
  <c r="P694" i="68"/>
  <c r="P695" i="68"/>
  <c r="P786" i="68" s="1"/>
  <c r="P877" i="68" s="1"/>
  <c r="K658" i="68"/>
  <c r="J798" i="72"/>
  <c r="I793" i="72"/>
  <c r="J653" i="68"/>
  <c r="U694" i="68"/>
  <c r="U695" i="68"/>
  <c r="U786" i="68" s="1"/>
  <c r="U877" i="68" s="1"/>
  <c r="R356" i="68"/>
  <c r="Q774" i="72"/>
  <c r="X773" i="72"/>
  <c r="P431" i="68"/>
  <c r="P522" i="68" s="1"/>
  <c r="P613" i="68" s="1"/>
  <c r="P430" i="68"/>
  <c r="L404" i="68"/>
  <c r="L495" i="68" s="1"/>
  <c r="L586" i="68" s="1"/>
  <c r="L403" i="68"/>
  <c r="AD355" i="68"/>
  <c r="AC773" i="72"/>
  <c r="R342" i="68"/>
  <c r="Q760" i="72"/>
  <c r="Z118" i="68"/>
  <c r="Z119" i="68"/>
  <c r="Z210" i="68" s="1"/>
  <c r="Z301" i="68" s="1"/>
  <c r="AA232" i="72"/>
  <c r="AA201" i="72"/>
  <c r="R96" i="68"/>
  <c r="R185" i="68"/>
  <c r="I434" i="68"/>
  <c r="I525" i="68" s="1"/>
  <c r="I616" i="68" s="1"/>
  <c r="I433" i="68"/>
  <c r="AH167" i="68"/>
  <c r="AH116" i="68"/>
  <c r="AH207" i="68" s="1"/>
  <c r="AH298" i="68" s="1"/>
  <c r="AH115" i="68"/>
  <c r="AG113" i="68"/>
  <c r="AG204" i="68" s="1"/>
  <c r="AG295" i="68" s="1"/>
  <c r="AG112" i="68"/>
  <c r="AF383" i="68"/>
  <c r="AF474" i="68" s="1"/>
  <c r="AF565" i="68" s="1"/>
  <c r="AF382" i="68"/>
  <c r="AH120" i="68"/>
  <c r="AH209" i="68"/>
  <c r="S173" i="68"/>
  <c r="AF86" i="68"/>
  <c r="AF177" i="68" s="1"/>
  <c r="AF268" i="68" s="1"/>
  <c r="AF85" i="68"/>
  <c r="AA346" i="68"/>
  <c r="Z764" i="72"/>
  <c r="AD660" i="68"/>
  <c r="AC800" i="72"/>
  <c r="V397" i="68"/>
  <c r="V398" i="68"/>
  <c r="V489" i="68" s="1"/>
  <c r="V580" i="68" s="1"/>
  <c r="Y648" i="68"/>
  <c r="X788" i="72"/>
  <c r="AE812" i="72"/>
  <c r="AA815" i="72"/>
  <c r="N778" i="72"/>
  <c r="AE672" i="68"/>
  <c r="AD812" i="72"/>
  <c r="U142" i="68"/>
  <c r="U143" i="68"/>
  <c r="U234" i="68" s="1"/>
  <c r="U325" i="68" s="1"/>
  <c r="M779" i="72"/>
  <c r="N361" i="68"/>
  <c r="K131" i="68"/>
  <c r="K222" i="68" s="1"/>
  <c r="K313" i="68" s="1"/>
  <c r="K130" i="68"/>
  <c r="AE366" i="68"/>
  <c r="AD784" i="72"/>
  <c r="W674" i="68"/>
  <c r="V814" i="72"/>
  <c r="K436" i="68"/>
  <c r="K527" i="68" s="1"/>
  <c r="K437" i="68"/>
  <c r="Y778" i="72"/>
  <c r="AA366" i="68"/>
  <c r="Z784" i="72"/>
  <c r="AA436" i="68"/>
  <c r="AA437" i="68"/>
  <c r="AA528" i="68" s="1"/>
  <c r="AA619" i="68" s="1"/>
  <c r="M66" i="68"/>
  <c r="M155" i="68"/>
  <c r="L760" i="72"/>
  <c r="AD698" i="68"/>
  <c r="AD789" i="68" s="1"/>
  <c r="AD880" i="68" s="1"/>
  <c r="AD697" i="68"/>
  <c r="R403" i="68"/>
  <c r="R404" i="68"/>
  <c r="R495" i="68" s="1"/>
  <c r="R586" i="68" s="1"/>
  <c r="Y179" i="68"/>
  <c r="Z113" i="68"/>
  <c r="Z204" i="68" s="1"/>
  <c r="Z295" i="68" s="1"/>
  <c r="Z112" i="68"/>
  <c r="W126" i="68"/>
  <c r="W215" i="68"/>
  <c r="N398" i="68"/>
  <c r="N489" i="68" s="1"/>
  <c r="N580" i="68" s="1"/>
  <c r="N397" i="68"/>
  <c r="Y412" i="68"/>
  <c r="Y413" i="68"/>
  <c r="Y504" i="68" s="1"/>
  <c r="Y595" i="68" s="1"/>
  <c r="P812" i="72"/>
  <c r="U808" i="72"/>
  <c r="V668" i="68"/>
  <c r="AA418" i="68"/>
  <c r="AA419" i="68"/>
  <c r="AA510" i="68" s="1"/>
  <c r="AA601" i="68" s="1"/>
  <c r="U350" i="68"/>
  <c r="T768" i="72"/>
  <c r="I366" i="68"/>
  <c r="H784" i="72"/>
  <c r="N363" i="68"/>
  <c r="M781" i="72"/>
  <c r="AG760" i="68"/>
  <c r="AG761" i="68"/>
  <c r="AG852" i="68" s="1"/>
  <c r="AG943" i="68" s="1"/>
  <c r="M185" i="68"/>
  <c r="AA789" i="72"/>
  <c r="AB649" i="68"/>
  <c r="AH692" i="68"/>
  <c r="AH783" i="68" s="1"/>
  <c r="AH874" i="68" s="1"/>
  <c r="AH691" i="68"/>
  <c r="O428" i="68"/>
  <c r="O519" i="68" s="1"/>
  <c r="O610" i="68" s="1"/>
  <c r="O427" i="68"/>
  <c r="T771" i="72"/>
  <c r="U353" i="68"/>
  <c r="Q140" i="68"/>
  <c r="Q231" i="68" s="1"/>
  <c r="Q322" i="68" s="1"/>
  <c r="Q139" i="68"/>
  <c r="O134" i="68"/>
  <c r="O225" i="68" s="1"/>
  <c r="O316" i="68" s="1"/>
  <c r="O133" i="68"/>
  <c r="I105" i="68"/>
  <c r="I194" i="68"/>
  <c r="O82" i="68"/>
  <c r="O83" i="68"/>
  <c r="O174" i="68" s="1"/>
  <c r="O265" i="68" s="1"/>
  <c r="Y431" i="68"/>
  <c r="Y522" i="68" s="1"/>
  <c r="Y613" i="68" s="1"/>
  <c r="Y430" i="68"/>
  <c r="U76" i="68"/>
  <c r="U77" i="68"/>
  <c r="U168" i="68" s="1"/>
  <c r="U259" i="68" s="1"/>
  <c r="N731" i="68"/>
  <c r="N822" i="68" s="1"/>
  <c r="N913" i="68" s="1"/>
  <c r="N730" i="68"/>
  <c r="AA136" i="68"/>
  <c r="AA227" i="68" s="1"/>
  <c r="AA137" i="68"/>
  <c r="Z648" i="68"/>
  <c r="Y788" i="72"/>
  <c r="W361" i="68"/>
  <c r="V779" i="72"/>
  <c r="M440" i="68"/>
  <c r="M531" i="68" s="1"/>
  <c r="M622" i="68" s="1"/>
  <c r="M439" i="68"/>
  <c r="R380" i="68"/>
  <c r="R471" i="68" s="1"/>
  <c r="R562" i="68" s="1"/>
  <c r="R379" i="68"/>
  <c r="AC341" i="68"/>
  <c r="AB759" i="72"/>
  <c r="X403" i="68"/>
  <c r="X404" i="68"/>
  <c r="X495" i="68" s="1"/>
  <c r="X586" i="68" s="1"/>
  <c r="Z771" i="72"/>
  <c r="AA353" i="68"/>
  <c r="W692" i="72"/>
  <c r="W723" i="72"/>
  <c r="X808" i="72"/>
  <c r="Y668" i="68"/>
  <c r="T376" i="68"/>
  <c r="T377" i="68"/>
  <c r="T468" i="68" s="1"/>
  <c r="T559" i="68" s="1"/>
  <c r="AG421" i="68"/>
  <c r="AG422" i="68"/>
  <c r="AG513" i="68" s="1"/>
  <c r="AG604" i="68" s="1"/>
  <c r="J86" i="68"/>
  <c r="J177" i="68" s="1"/>
  <c r="J268" i="68" s="1"/>
  <c r="J85" i="68"/>
  <c r="AA769" i="72"/>
  <c r="AB351" i="68"/>
  <c r="K127" i="68"/>
  <c r="K218" i="68" s="1"/>
  <c r="K128" i="68"/>
  <c r="S392" i="68"/>
  <c r="S483" i="68" s="1"/>
  <c r="S574" i="68" s="1"/>
  <c r="S391" i="68"/>
  <c r="AC691" i="68"/>
  <c r="AC692" i="68"/>
  <c r="AC783" i="68" s="1"/>
  <c r="AC874" i="68" s="1"/>
  <c r="P124" i="68"/>
  <c r="P125" i="68"/>
  <c r="P216" i="68" s="1"/>
  <c r="P307" i="68" s="1"/>
  <c r="Q427" i="68"/>
  <c r="Q428" i="68"/>
  <c r="Q519" i="68" s="1"/>
  <c r="Q610" i="68" s="1"/>
  <c r="X90" i="68"/>
  <c r="X179" i="68"/>
  <c r="U74" i="68"/>
  <c r="U165" i="68" s="1"/>
  <c r="U256" i="68" s="1"/>
  <c r="U73" i="68"/>
  <c r="S100" i="68"/>
  <c r="S101" i="68"/>
  <c r="S192" i="68" s="1"/>
  <c r="S283" i="68" s="1"/>
  <c r="Q748" i="68"/>
  <c r="Q749" i="68"/>
  <c r="Q840" i="68" s="1"/>
  <c r="Q931" i="68" s="1"/>
  <c r="V778" i="72"/>
  <c r="U439" i="68"/>
  <c r="U530" i="68" s="1"/>
  <c r="U440" i="68"/>
  <c r="W733" i="68"/>
  <c r="W734" i="68"/>
  <c r="W825" i="68" s="1"/>
  <c r="W916" i="68" s="1"/>
  <c r="AB710" i="68"/>
  <c r="AB801" i="68" s="1"/>
  <c r="AB892" i="68" s="1"/>
  <c r="AB709" i="68"/>
  <c r="O118" i="68"/>
  <c r="O119" i="68"/>
  <c r="O210" i="68" s="1"/>
  <c r="O301" i="68" s="1"/>
  <c r="X232" i="72"/>
  <c r="X201" i="72"/>
  <c r="AD655" i="68"/>
  <c r="AC795" i="72"/>
  <c r="P752" i="68"/>
  <c r="P843" i="68" s="1"/>
  <c r="P934" i="68" s="1"/>
  <c r="P751" i="68"/>
  <c r="J757" i="68"/>
  <c r="J758" i="68"/>
  <c r="J849" i="68" s="1"/>
  <c r="J940" i="68" s="1"/>
  <c r="N780" i="72"/>
  <c r="R809" i="72"/>
  <c r="S669" i="68"/>
  <c r="U194" i="68"/>
  <c r="K710" i="68"/>
  <c r="K801" i="68" s="1"/>
  <c r="K892" i="68" s="1"/>
  <c r="K709" i="68"/>
  <c r="L158" i="68"/>
  <c r="X158" i="68"/>
  <c r="AC351" i="68"/>
  <c r="AB769" i="72"/>
  <c r="AH365" i="68"/>
  <c r="AG783" i="72"/>
  <c r="AA446" i="68"/>
  <c r="AA537" i="68" s="1"/>
  <c r="AA628" i="68" s="1"/>
  <c r="AA445" i="68"/>
  <c r="U360" i="68"/>
  <c r="T778" i="72"/>
  <c r="AE661" i="68"/>
  <c r="AD801" i="72"/>
  <c r="N197" i="68"/>
  <c r="AA722" i="68"/>
  <c r="AA813" i="68" s="1"/>
  <c r="AA904" i="68" s="1"/>
  <c r="AA721" i="68"/>
  <c r="W805" i="72"/>
  <c r="X665" i="68"/>
  <c r="Q657" i="68"/>
  <c r="P797" i="72"/>
  <c r="X662" i="68"/>
  <c r="W802" i="72"/>
  <c r="J740" i="68"/>
  <c r="J831" i="68" s="1"/>
  <c r="J922" i="68" s="1"/>
  <c r="J739" i="68"/>
  <c r="J695" i="68"/>
  <c r="J786" i="68" s="1"/>
  <c r="J877" i="68" s="1"/>
  <c r="J694" i="68"/>
  <c r="P123" i="68"/>
  <c r="P212" i="68"/>
  <c r="K352" i="68"/>
  <c r="J770" i="72"/>
  <c r="S97" i="68"/>
  <c r="S98" i="68"/>
  <c r="S189" i="68" s="1"/>
  <c r="S280" i="68" s="1"/>
  <c r="AH416" i="68"/>
  <c r="AH507" i="68" s="1"/>
  <c r="AH598" i="68" s="1"/>
  <c r="AH415" i="68"/>
  <c r="AB365" i="68"/>
  <c r="AA783" i="72"/>
  <c r="Y671" i="68"/>
  <c r="X811" i="72"/>
  <c r="T782" i="72"/>
  <c r="U55" i="68"/>
  <c r="AF84" i="68"/>
  <c r="AF173" i="68"/>
  <c r="N145" i="68"/>
  <c r="N236" i="68" s="1"/>
  <c r="N146" i="68"/>
  <c r="Y118" i="68"/>
  <c r="Y119" i="68"/>
  <c r="Y210" i="68" s="1"/>
  <c r="Y301" i="68" s="1"/>
  <c r="K739" i="68"/>
  <c r="O380" i="68"/>
  <c r="O471" i="68" s="1"/>
  <c r="O562" i="68" s="1"/>
  <c r="O379" i="68"/>
  <c r="J353" i="68"/>
  <c r="I771" i="72"/>
  <c r="AC421" i="68"/>
  <c r="AC422" i="68"/>
  <c r="AC513" i="68" s="1"/>
  <c r="AC604" i="68" s="1"/>
  <c r="AH650" i="68"/>
  <c r="AG790" i="72"/>
  <c r="K232" i="72"/>
  <c r="K201" i="72"/>
  <c r="Z340" i="68"/>
  <c r="Y758" i="72"/>
  <c r="N121" i="68"/>
  <c r="N122" i="68"/>
  <c r="N213" i="68" s="1"/>
  <c r="N304" i="68" s="1"/>
  <c r="AA76" i="68"/>
  <c r="AA77" i="68"/>
  <c r="AA168" i="68" s="1"/>
  <c r="AA259" i="68" s="1"/>
  <c r="AC120" i="68"/>
  <c r="AC209" i="68"/>
  <c r="M409" i="68"/>
  <c r="M410" i="68"/>
  <c r="M501" i="68" s="1"/>
  <c r="M592" i="68" s="1"/>
  <c r="X353" i="68"/>
  <c r="W771" i="72"/>
  <c r="AD800" i="72"/>
  <c r="AE660" i="68"/>
  <c r="L478" i="72"/>
  <c r="L447" i="72"/>
  <c r="M343" i="68"/>
  <c r="L761" i="72"/>
  <c r="M692" i="72"/>
  <c r="M723" i="72"/>
  <c r="U657" i="68"/>
  <c r="T797" i="72"/>
  <c r="M689" i="68"/>
  <c r="M780" i="68" s="1"/>
  <c r="M871" i="68" s="1"/>
  <c r="M688" i="68"/>
  <c r="N733" i="68"/>
  <c r="N734" i="68"/>
  <c r="N825" i="68" s="1"/>
  <c r="N916" i="68" s="1"/>
  <c r="AA689" i="68"/>
  <c r="AA780" i="68" s="1"/>
  <c r="AA871" i="68" s="1"/>
  <c r="AA691" i="68"/>
  <c r="AA692" i="68"/>
  <c r="AA783" i="68" s="1"/>
  <c r="AA874" i="68" s="1"/>
  <c r="AG380" i="68"/>
  <c r="AG471" i="68" s="1"/>
  <c r="AG562" i="68" s="1"/>
  <c r="AG379" i="68"/>
  <c r="AE342" i="68"/>
  <c r="AD760" i="72"/>
  <c r="T389" i="68"/>
  <c r="T480" i="68" s="1"/>
  <c r="T571" i="68" s="1"/>
  <c r="T388" i="68"/>
  <c r="Y404" i="68"/>
  <c r="Y495" i="68" s="1"/>
  <c r="Y586" i="68" s="1"/>
  <c r="Y403" i="68"/>
  <c r="V355" i="68"/>
  <c r="U773" i="72"/>
  <c r="K212" i="68"/>
  <c r="K431" i="68"/>
  <c r="K522" i="68" s="1"/>
  <c r="K613" i="68" s="1"/>
  <c r="K430" i="68"/>
  <c r="U117" i="68"/>
  <c r="U206" i="68"/>
  <c r="J428" i="68"/>
  <c r="J519" i="68" s="1"/>
  <c r="J610" i="68" s="1"/>
  <c r="J427" i="68"/>
  <c r="I77" i="68"/>
  <c r="I168" i="68" s="1"/>
  <c r="I259" i="68" s="1"/>
  <c r="I76" i="68"/>
  <c r="AH83" i="68"/>
  <c r="AH174" i="68" s="1"/>
  <c r="AH265" i="68" s="1"/>
  <c r="AH82" i="68"/>
  <c r="AG161" i="68"/>
  <c r="Y194" i="68"/>
  <c r="Y97" i="68"/>
  <c r="Y98" i="68"/>
  <c r="Y189" i="68" s="1"/>
  <c r="Y280" i="68" s="1"/>
  <c r="AE361" i="68"/>
  <c r="AD779" i="72"/>
  <c r="U745" i="68"/>
  <c r="U746" i="68"/>
  <c r="U837" i="68" s="1"/>
  <c r="U928" i="68" s="1"/>
  <c r="I143" i="68"/>
  <c r="I234" i="68" s="1"/>
  <c r="I325" i="68" s="1"/>
  <c r="I142" i="68"/>
  <c r="J760" i="68"/>
  <c r="J761" i="68"/>
  <c r="J852" i="68" s="1"/>
  <c r="J943" i="68" s="1"/>
  <c r="Z670" i="68"/>
  <c r="Y810" i="72"/>
  <c r="H810" i="72"/>
  <c r="I670" i="68"/>
  <c r="M782" i="72"/>
  <c r="N674" i="68"/>
  <c r="M814" i="72"/>
  <c r="U814" i="72"/>
  <c r="AC445" i="68"/>
  <c r="AC446" i="68"/>
  <c r="AC537" i="68" s="1"/>
  <c r="AC628" i="68" s="1"/>
  <c r="AH727" i="68"/>
  <c r="AH728" i="68"/>
  <c r="AH819" i="68" s="1"/>
  <c r="AH910" i="68" s="1"/>
  <c r="J232" i="72"/>
  <c r="J201" i="72"/>
  <c r="R365" i="68"/>
  <c r="Q783" i="72"/>
  <c r="V454" i="68"/>
  <c r="V545" i="68" s="1"/>
  <c r="V455" i="68"/>
  <c r="O439" i="68"/>
  <c r="O440" i="68"/>
  <c r="O531" i="68" s="1"/>
  <c r="O622" i="68" s="1"/>
  <c r="L232" i="72"/>
  <c r="L201" i="72"/>
  <c r="L701" i="68"/>
  <c r="L792" i="68" s="1"/>
  <c r="L883" i="68" s="1"/>
  <c r="L700" i="68"/>
  <c r="W736" i="68"/>
  <c r="W737" i="68"/>
  <c r="W828" i="68" s="1"/>
  <c r="W919" i="68" s="1"/>
  <c r="AC689" i="68"/>
  <c r="AC780" i="68" s="1"/>
  <c r="AC871" i="68" s="1"/>
  <c r="AC688" i="68"/>
  <c r="V731" i="68"/>
  <c r="V822" i="68" s="1"/>
  <c r="V913" i="68" s="1"/>
  <c r="V730" i="68"/>
  <c r="Z794" i="72"/>
  <c r="S660" i="68"/>
  <c r="R800" i="72"/>
  <c r="AD692" i="68"/>
  <c r="AD783" i="68" s="1"/>
  <c r="AD874" i="68" s="1"/>
  <c r="AD691" i="68"/>
  <c r="R388" i="68"/>
  <c r="R389" i="68"/>
  <c r="R480" i="68" s="1"/>
  <c r="R571" i="68" s="1"/>
  <c r="I692" i="68"/>
  <c r="I783" i="68" s="1"/>
  <c r="I874" i="68" s="1"/>
  <c r="I691" i="68"/>
  <c r="AF385" i="68"/>
  <c r="AF386" i="68"/>
  <c r="AF477" i="68" s="1"/>
  <c r="AF568" i="68" s="1"/>
  <c r="X358" i="68"/>
  <c r="W776" i="72"/>
  <c r="N791" i="72"/>
  <c r="M68" i="68"/>
  <c r="M159" i="68" s="1"/>
  <c r="M250" i="68" s="1"/>
  <c r="M67" i="68"/>
  <c r="N114" i="68"/>
  <c r="N203" i="68"/>
  <c r="M400" i="68"/>
  <c r="M401" i="68"/>
  <c r="M492" i="68" s="1"/>
  <c r="M583" i="68" s="1"/>
  <c r="W232" i="72"/>
  <c r="W201" i="72"/>
  <c r="S114" i="68"/>
  <c r="S203" i="68"/>
  <c r="AG69" i="68"/>
  <c r="AG158" i="68"/>
  <c r="AB176" i="68"/>
  <c r="N194" i="68"/>
  <c r="J716" i="68"/>
  <c r="J807" i="68" s="1"/>
  <c r="J898" i="68" s="1"/>
  <c r="J715" i="68"/>
  <c r="W105" i="68"/>
  <c r="W194" i="68"/>
  <c r="AE101" i="68"/>
  <c r="AE192" i="68" s="1"/>
  <c r="AE283" i="68" s="1"/>
  <c r="AE100" i="68"/>
  <c r="AB796" i="72"/>
  <c r="AC656" i="68"/>
  <c r="Z768" i="72"/>
  <c r="AA350" i="68"/>
  <c r="Y364" i="68"/>
  <c r="X782" i="72"/>
  <c r="AB374" i="68"/>
  <c r="AB465" i="68" s="1"/>
  <c r="AB556" i="68" s="1"/>
  <c r="AB373" i="68"/>
  <c r="AG361" i="68"/>
  <c r="AF779" i="72"/>
  <c r="U137" i="68"/>
  <c r="U228" i="68" s="1"/>
  <c r="U319" i="68" s="1"/>
  <c r="U136" i="68"/>
  <c r="Z478" i="72"/>
  <c r="Z447" i="72"/>
  <c r="X775" i="72"/>
  <c r="Q232" i="72"/>
  <c r="Q201" i="72"/>
  <c r="AF722" i="68"/>
  <c r="AF813" i="68" s="1"/>
  <c r="AF904" i="68" s="1"/>
  <c r="AF721" i="68"/>
  <c r="AC749" i="68"/>
  <c r="AC840" i="68" s="1"/>
  <c r="AC931" i="68" s="1"/>
  <c r="AC748" i="68"/>
  <c r="S682" i="68"/>
  <c r="S683" i="68"/>
  <c r="S774" i="68" s="1"/>
  <c r="S865" i="68" s="1"/>
  <c r="V682" i="68"/>
  <c r="V683" i="68"/>
  <c r="V774" i="68" s="1"/>
  <c r="V865" i="68" s="1"/>
  <c r="U125" i="68"/>
  <c r="U216" i="68" s="1"/>
  <c r="U307" i="68" s="1"/>
  <c r="U124" i="68"/>
  <c r="H792" i="72"/>
  <c r="U659" i="68"/>
  <c r="T799" i="72"/>
  <c r="Z736" i="68"/>
  <c r="Z827" i="68" s="1"/>
  <c r="Z737" i="68"/>
  <c r="K694" i="68"/>
  <c r="K695" i="68"/>
  <c r="K786" i="68" s="1"/>
  <c r="K877" i="68" s="1"/>
  <c r="V649" i="68"/>
  <c r="U789" i="72"/>
  <c r="H789" i="72"/>
  <c r="Q344" i="68"/>
  <c r="P762" i="72"/>
  <c r="K666" i="68"/>
  <c r="J806" i="72"/>
  <c r="N691" i="68"/>
  <c r="N692" i="68"/>
  <c r="N783" i="68" s="1"/>
  <c r="N874" i="68" s="1"/>
  <c r="P447" i="72"/>
  <c r="P478" i="72"/>
  <c r="M404" i="68"/>
  <c r="M495" i="68" s="1"/>
  <c r="M586" i="68" s="1"/>
  <c r="M403" i="68"/>
  <c r="AC419" i="68"/>
  <c r="AC510" i="68" s="1"/>
  <c r="AC601" i="68" s="1"/>
  <c r="AC418" i="68"/>
  <c r="AB433" i="68"/>
  <c r="AB434" i="68"/>
  <c r="AB525" i="68" s="1"/>
  <c r="AB616" i="68" s="1"/>
  <c r="AE770" i="72"/>
  <c r="AF352" i="68"/>
  <c r="V412" i="68"/>
  <c r="V413" i="68"/>
  <c r="V504" i="68" s="1"/>
  <c r="V595" i="68" s="1"/>
  <c r="L188" i="68"/>
  <c r="AH662" i="68"/>
  <c r="AG802" i="72"/>
  <c r="T65" i="68"/>
  <c r="T156" i="68" s="1"/>
  <c r="T247" i="68" s="1"/>
  <c r="T64" i="68"/>
  <c r="AD140" i="68"/>
  <c r="AD231" i="68" s="1"/>
  <c r="AD322" i="68" s="1"/>
  <c r="AD139" i="68"/>
  <c r="X142" i="68"/>
  <c r="X143" i="68"/>
  <c r="X234" i="68" s="1"/>
  <c r="X325" i="68" s="1"/>
  <c r="P339" i="68"/>
  <c r="O757" i="72"/>
  <c r="Z757" i="72"/>
  <c r="T127" i="68"/>
  <c r="T218" i="68" s="1"/>
  <c r="T128" i="68"/>
  <c r="V452" i="68"/>
  <c r="V543" i="68" s="1"/>
  <c r="V634" i="68" s="1"/>
  <c r="V451" i="68"/>
  <c r="N698" i="68"/>
  <c r="N789" i="68" s="1"/>
  <c r="N880" i="68" s="1"/>
  <c r="N697" i="68"/>
  <c r="AB804" i="72"/>
  <c r="AB385" i="68"/>
  <c r="AB386" i="68"/>
  <c r="AB477" i="68" s="1"/>
  <c r="AB568" i="68" s="1"/>
  <c r="M799" i="72"/>
  <c r="S312" i="68"/>
  <c r="P783" i="72"/>
  <c r="I779" i="72"/>
  <c r="Z775" i="72"/>
  <c r="AA357" i="68"/>
  <c r="AC807" i="72"/>
  <c r="AD667" i="68"/>
  <c r="I340" i="68"/>
  <c r="H758" i="72"/>
  <c r="AE91" i="68"/>
  <c r="AE92" i="68"/>
  <c r="AE183" i="68" s="1"/>
  <c r="AE274" i="68" s="1"/>
  <c r="Z201" i="72"/>
  <c r="Z232" i="72"/>
  <c r="W654" i="68"/>
  <c r="V794" i="72"/>
  <c r="AA666" i="68"/>
  <c r="Z806" i="72"/>
  <c r="P723" i="72"/>
  <c r="P692" i="72"/>
  <c r="AD804" i="72"/>
  <c r="AE664" i="68"/>
  <c r="H808" i="72"/>
  <c r="I668" i="68"/>
  <c r="S807" i="72"/>
  <c r="T667" i="68"/>
  <c r="AF709" i="68"/>
  <c r="AF710" i="68"/>
  <c r="AF801" i="68" s="1"/>
  <c r="AF892" i="68" s="1"/>
  <c r="AC382" i="68"/>
  <c r="AC383" i="68"/>
  <c r="AC474" i="68" s="1"/>
  <c r="AC565" i="68" s="1"/>
  <c r="X806" i="72"/>
  <c r="Q110" i="68"/>
  <c r="Q201" i="68" s="1"/>
  <c r="Q292" i="68" s="1"/>
  <c r="Q109" i="68"/>
  <c r="AG123" i="68"/>
  <c r="U382" i="68"/>
  <c r="U383" i="68"/>
  <c r="U474" i="68" s="1"/>
  <c r="U565" i="68" s="1"/>
  <c r="O758" i="72"/>
  <c r="AG80" i="68"/>
  <c r="AG171" i="68" s="1"/>
  <c r="AG262" i="68" s="1"/>
  <c r="AG79" i="68"/>
  <c r="T121" i="68"/>
  <c r="T122" i="68"/>
  <c r="T213" i="68" s="1"/>
  <c r="T304" i="68" s="1"/>
  <c r="Q179" i="68"/>
  <c r="S120" i="68"/>
  <c r="S209" i="68"/>
  <c r="I126" i="68"/>
  <c r="I215" i="68"/>
  <c r="Z96" i="68"/>
  <c r="Z185" i="68"/>
  <c r="L724" i="68"/>
  <c r="L725" i="68"/>
  <c r="L816" i="68" s="1"/>
  <c r="L907" i="68" s="1"/>
  <c r="AB347" i="68"/>
  <c r="AA765" i="72"/>
  <c r="AD395" i="68"/>
  <c r="AD486" i="68" s="1"/>
  <c r="AD577" i="68" s="1"/>
  <c r="AD394" i="68"/>
  <c r="M446" i="68"/>
  <c r="M537" i="68" s="1"/>
  <c r="M628" i="68" s="1"/>
  <c r="M445" i="68"/>
  <c r="Y455" i="68"/>
  <c r="Y546" i="68" s="1"/>
  <c r="Y637" i="68" s="1"/>
  <c r="Y454" i="68"/>
  <c r="AE752" i="68"/>
  <c r="AE843" i="68" s="1"/>
  <c r="AE934" i="68" s="1"/>
  <c r="AE751" i="68"/>
  <c r="W751" i="68"/>
  <c r="W752" i="68"/>
  <c r="W843" i="68" s="1"/>
  <c r="W934" i="68" s="1"/>
  <c r="L686" i="68"/>
  <c r="L777" i="68" s="1"/>
  <c r="L868" i="68" s="1"/>
  <c r="L685" i="68"/>
  <c r="M730" i="68"/>
  <c r="M731" i="68"/>
  <c r="M822" i="68" s="1"/>
  <c r="M913" i="68" s="1"/>
  <c r="W719" i="68"/>
  <c r="W810" i="68" s="1"/>
  <c r="W901" i="68" s="1"/>
  <c r="W718" i="68"/>
  <c r="AH227" i="68"/>
  <c r="AC764" i="68"/>
  <c r="AC855" i="68" s="1"/>
  <c r="AC946" i="68" s="1"/>
  <c r="AC763" i="68"/>
  <c r="I761" i="72"/>
  <c r="J343" i="68"/>
  <c r="Y113" i="68"/>
  <c r="Y204" i="68" s="1"/>
  <c r="Y295" i="68" s="1"/>
  <c r="Y112" i="68"/>
  <c r="Y663" i="68"/>
  <c r="X803" i="72"/>
  <c r="AE792" i="72"/>
  <c r="M380" i="68"/>
  <c r="M471" i="68" s="1"/>
  <c r="M562" i="68" s="1"/>
  <c r="M379" i="68"/>
  <c r="T715" i="68"/>
  <c r="T716" i="68"/>
  <c r="T807" i="68" s="1"/>
  <c r="T898" i="68" s="1"/>
  <c r="M794" i="72"/>
  <c r="N654" i="68"/>
  <c r="M740" i="68"/>
  <c r="M831" i="68" s="1"/>
  <c r="M922" i="68" s="1"/>
  <c r="M739" i="68"/>
  <c r="K386" i="68"/>
  <c r="K477" i="68" s="1"/>
  <c r="K568" i="68" s="1"/>
  <c r="K385" i="68"/>
  <c r="W804" i="72"/>
  <c r="X664" i="68"/>
  <c r="AC776" i="72"/>
  <c r="AD358" i="68"/>
  <c r="U356" i="68"/>
  <c r="T774" i="72"/>
  <c r="Q761" i="72"/>
  <c r="AG759" i="72"/>
  <c r="K422" i="68"/>
  <c r="K513" i="68" s="1"/>
  <c r="K604" i="68" s="1"/>
  <c r="K421" i="68"/>
  <c r="R81" i="68"/>
  <c r="R170" i="68"/>
  <c r="Z433" i="68"/>
  <c r="Z434" i="68"/>
  <c r="Z525" i="68" s="1"/>
  <c r="Z616" i="68" s="1"/>
  <c r="Q118" i="68"/>
  <c r="Q119" i="68"/>
  <c r="Q210" i="68" s="1"/>
  <c r="Q301" i="68" s="1"/>
  <c r="Y767" i="72"/>
  <c r="Z349" i="68"/>
  <c r="U93" i="68"/>
  <c r="U182" i="68"/>
  <c r="AC434" i="68"/>
  <c r="AC525" i="68" s="1"/>
  <c r="AC616" i="68" s="1"/>
  <c r="AC433" i="68"/>
  <c r="N763" i="72"/>
  <c r="O345" i="68"/>
  <c r="M124" i="68"/>
  <c r="M125" i="68"/>
  <c r="M216" i="68" s="1"/>
  <c r="M307" i="68" s="1"/>
  <c r="K407" i="68"/>
  <c r="K498" i="68" s="1"/>
  <c r="K589" i="68" s="1"/>
  <c r="K406" i="68"/>
  <c r="W800" i="72"/>
  <c r="X660" i="68"/>
  <c r="W106" i="68"/>
  <c r="W107" i="68"/>
  <c r="W198" i="68" s="1"/>
  <c r="W289" i="68" s="1"/>
  <c r="Q662" i="68"/>
  <c r="P802" i="72"/>
  <c r="R674" i="68"/>
  <c r="Q814" i="72"/>
  <c r="AA724" i="68"/>
  <c r="AA725" i="68"/>
  <c r="AA816" i="68" s="1"/>
  <c r="AA907" i="68" s="1"/>
  <c r="AG752" i="68"/>
  <c r="AG843" i="68" s="1"/>
  <c r="AG934" i="68" s="1"/>
  <c r="AG751" i="68"/>
  <c r="R133" i="68"/>
  <c r="R134" i="68"/>
  <c r="R225" i="68" s="1"/>
  <c r="R316" i="68" s="1"/>
  <c r="U673" i="68"/>
  <c r="T813" i="72"/>
  <c r="Z361" i="68"/>
  <c r="Y779" i="72"/>
  <c r="I746" i="68"/>
  <c r="I837" i="68" s="1"/>
  <c r="I928" i="68" s="1"/>
  <c r="I745" i="68"/>
  <c r="AG137" i="68"/>
  <c r="AG228" i="68" s="1"/>
  <c r="AG319" i="68" s="1"/>
  <c r="AG136" i="68"/>
  <c r="X675" i="68"/>
  <c r="W815" i="72"/>
  <c r="J447" i="72"/>
  <c r="J478" i="72"/>
  <c r="L344" i="68"/>
  <c r="K762" i="72"/>
  <c r="I808" i="72"/>
  <c r="J668" i="68"/>
  <c r="AE666" i="68"/>
  <c r="AD806" i="72"/>
  <c r="M758" i="72"/>
  <c r="W663" i="68"/>
  <c r="V803" i="72"/>
  <c r="Q386" i="68"/>
  <c r="Q477" i="68" s="1"/>
  <c r="Q568" i="68" s="1"/>
  <c r="Q385" i="68"/>
  <c r="S385" i="68"/>
  <c r="S386" i="68"/>
  <c r="S477" i="68" s="1"/>
  <c r="S568" i="68" s="1"/>
  <c r="P433" i="68"/>
  <c r="P434" i="68"/>
  <c r="P525" i="68" s="1"/>
  <c r="P616" i="68" s="1"/>
  <c r="AB344" i="68"/>
  <c r="AA762" i="72"/>
  <c r="AC344" i="68"/>
  <c r="AB762" i="72"/>
  <c r="AG392" i="68"/>
  <c r="AG483" i="68" s="1"/>
  <c r="AG574" i="68" s="1"/>
  <c r="AG391" i="68"/>
  <c r="X759" i="72"/>
  <c r="S71" i="68"/>
  <c r="S162" i="68" s="1"/>
  <c r="S253" i="68" s="1"/>
  <c r="S70" i="68"/>
  <c r="M109" i="68"/>
  <c r="M110" i="68"/>
  <c r="M201" i="68" s="1"/>
  <c r="M292" i="68" s="1"/>
  <c r="I407" i="68"/>
  <c r="I498" i="68" s="1"/>
  <c r="I589" i="68" s="1"/>
  <c r="I406" i="68"/>
  <c r="O406" i="68"/>
  <c r="O407" i="68"/>
  <c r="O498" i="68" s="1"/>
  <c r="O589" i="68" s="1"/>
  <c r="V100" i="68"/>
  <c r="V101" i="68"/>
  <c r="V192" i="68" s="1"/>
  <c r="V283" i="68" s="1"/>
  <c r="U409" i="68"/>
  <c r="U410" i="68"/>
  <c r="U501" i="68" s="1"/>
  <c r="U592" i="68" s="1"/>
  <c r="W655" i="68"/>
  <c r="V795" i="72"/>
  <c r="Y673" i="68"/>
  <c r="X813" i="72"/>
  <c r="P779" i="72"/>
  <c r="N815" i="72"/>
  <c r="O675" i="68"/>
  <c r="K134" i="68"/>
  <c r="K225" i="68" s="1"/>
  <c r="K316" i="68" s="1"/>
  <c r="K133" i="68"/>
  <c r="W648" i="68"/>
  <c r="V788" i="72"/>
  <c r="AE134" i="68"/>
  <c r="AE225" i="68" s="1"/>
  <c r="AE316" i="68" s="1"/>
  <c r="AE133" i="68"/>
  <c r="N757" i="68"/>
  <c r="N758" i="68"/>
  <c r="N849" i="68" s="1"/>
  <c r="N940" i="68" s="1"/>
  <c r="Y809" i="72"/>
  <c r="Z669" i="68"/>
  <c r="M670" i="68"/>
  <c r="L810" i="72"/>
  <c r="O137" i="68"/>
  <c r="O228" i="68" s="1"/>
  <c r="O319" i="68" s="1"/>
  <c r="O136" i="68"/>
  <c r="Z65" i="68"/>
  <c r="Z156" i="68" s="1"/>
  <c r="Z247" i="68" s="1"/>
  <c r="Z64" i="68"/>
  <c r="T806" i="72"/>
  <c r="M774" i="72"/>
  <c r="X649" i="68"/>
  <c r="W789" i="72"/>
  <c r="Z798" i="72"/>
  <c r="AA658" i="68"/>
  <c r="Z685" i="68"/>
  <c r="Z686" i="68"/>
  <c r="Z777" i="68" s="1"/>
  <c r="Z868" i="68" s="1"/>
  <c r="O666" i="68"/>
  <c r="N806" i="72"/>
  <c r="J666" i="68"/>
  <c r="I806" i="72"/>
  <c r="N689" i="68"/>
  <c r="N780" i="68" s="1"/>
  <c r="N871" i="68" s="1"/>
  <c r="N688" i="68"/>
  <c r="Y734" i="68"/>
  <c r="Y825" i="68" s="1"/>
  <c r="Y916" i="68" s="1"/>
  <c r="Y733" i="68"/>
  <c r="AD731" i="68"/>
  <c r="AD822" i="68" s="1"/>
  <c r="AD913" i="68" s="1"/>
  <c r="AD730" i="68"/>
  <c r="Y422" i="68"/>
  <c r="Y513" i="68" s="1"/>
  <c r="Y604" i="68" s="1"/>
  <c r="Y421" i="68"/>
  <c r="K773" i="72"/>
  <c r="L355" i="68"/>
  <c r="I658" i="68"/>
  <c r="H798" i="72"/>
  <c r="AC425" i="68"/>
  <c r="AC516" i="68" s="1"/>
  <c r="AC607" i="68" s="1"/>
  <c r="AC424" i="68"/>
  <c r="X118" i="68"/>
  <c r="X119" i="68"/>
  <c r="X210" i="68" s="1"/>
  <c r="X301" i="68" s="1"/>
  <c r="AE232" i="72"/>
  <c r="AE201" i="72"/>
  <c r="K84" i="68"/>
  <c r="K173" i="68"/>
  <c r="AE80" i="68"/>
  <c r="AE171" i="68" s="1"/>
  <c r="AE262" i="68" s="1"/>
  <c r="AE79" i="68"/>
  <c r="AH112" i="68"/>
  <c r="AH113" i="68"/>
  <c r="AH204" i="68" s="1"/>
  <c r="AH295" i="68" s="1"/>
  <c r="AF793" i="72"/>
  <c r="AG653" i="68"/>
  <c r="P770" i="72"/>
  <c r="Q352" i="68"/>
  <c r="S769" i="72"/>
  <c r="R703" i="68"/>
  <c r="R704" i="68"/>
  <c r="R795" i="68" s="1"/>
  <c r="R886" i="68" s="1"/>
  <c r="W97" i="68"/>
  <c r="W98" i="68"/>
  <c r="W189" i="68" s="1"/>
  <c r="W280" i="68" s="1"/>
  <c r="X99" i="68"/>
  <c r="X188" i="68"/>
  <c r="V656" i="68"/>
  <c r="U796" i="72"/>
  <c r="AD707" i="68"/>
  <c r="AD798" i="68" s="1"/>
  <c r="AD889" i="68" s="1"/>
  <c r="AD706" i="68"/>
  <c r="AF362" i="68"/>
  <c r="AE780" i="72"/>
  <c r="AF755" i="68"/>
  <c r="AF846" i="68" s="1"/>
  <c r="AF937" i="68" s="1"/>
  <c r="AF754" i="68"/>
  <c r="I374" i="68"/>
  <c r="I465" i="68" s="1"/>
  <c r="I556" i="68" s="1"/>
  <c r="I373" i="68"/>
  <c r="O436" i="68"/>
  <c r="O527" i="68" s="1"/>
  <c r="O437" i="68"/>
  <c r="U363" i="68"/>
  <c r="T781" i="72"/>
  <c r="K362" i="68"/>
  <c r="J780" i="72"/>
  <c r="O143" i="68"/>
  <c r="O234" i="68" s="1"/>
  <c r="O325" i="68" s="1"/>
  <c r="O142" i="68"/>
  <c r="AC144" i="68"/>
  <c r="AC233" i="68"/>
  <c r="Q136" i="68"/>
  <c r="Q227" i="68" s="1"/>
  <c r="Q137" i="68"/>
  <c r="AC682" i="68"/>
  <c r="AC773" i="68" s="1"/>
  <c r="AC683" i="68"/>
  <c r="AA778" i="72"/>
  <c r="AB360" i="68"/>
  <c r="V66" i="68"/>
  <c r="V155" i="68"/>
  <c r="AE139" i="68"/>
  <c r="AE230" i="68" s="1"/>
  <c r="AE140" i="68"/>
  <c r="M382" i="68"/>
  <c r="M383" i="68"/>
  <c r="M474" i="68" s="1"/>
  <c r="M565" i="68" s="1"/>
  <c r="V689" i="68"/>
  <c r="V780" i="68" s="1"/>
  <c r="V871" i="68" s="1"/>
  <c r="V688" i="68"/>
  <c r="Q721" i="68"/>
  <c r="Q722" i="68"/>
  <c r="Q813" i="68" s="1"/>
  <c r="Q904" i="68" s="1"/>
  <c r="W769" i="72"/>
  <c r="Q755" i="68"/>
  <c r="Q846" i="68" s="1"/>
  <c r="Q937" i="68" s="1"/>
  <c r="Q754" i="68"/>
  <c r="I478" i="72"/>
  <c r="I447" i="72"/>
  <c r="Z808" i="72"/>
  <c r="AA668" i="68"/>
  <c r="AG723" i="72"/>
  <c r="AG692" i="72"/>
  <c r="X691" i="68"/>
  <c r="X692" i="68"/>
  <c r="X783" i="68" s="1"/>
  <c r="X874" i="68" s="1"/>
  <c r="AD201" i="72"/>
  <c r="AD232" i="72"/>
  <c r="S347" i="68"/>
  <c r="R765" i="72"/>
  <c r="V141" i="68"/>
  <c r="V230" i="68"/>
  <c r="AB751" i="68"/>
  <c r="AB752" i="68"/>
  <c r="AB843" i="68" s="1"/>
  <c r="AB934" i="68" s="1"/>
  <c r="AF805" i="72"/>
  <c r="AG665" i="68"/>
  <c r="X727" i="68"/>
  <c r="X728" i="68"/>
  <c r="X819" i="68" s="1"/>
  <c r="X910" i="68" s="1"/>
  <c r="AB651" i="68"/>
  <c r="AA791" i="72"/>
  <c r="AH712" i="68"/>
  <c r="AH713" i="68"/>
  <c r="AH804" i="68" s="1"/>
  <c r="AH895" i="68" s="1"/>
  <c r="I672" i="68"/>
  <c r="H812" i="72"/>
  <c r="Z454" i="68"/>
  <c r="Z545" i="68" s="1"/>
  <c r="Z455" i="68"/>
  <c r="I363" i="68"/>
  <c r="H781" i="72"/>
  <c r="U672" i="68"/>
  <c r="T812" i="72"/>
  <c r="L443" i="68"/>
  <c r="L534" i="68" s="1"/>
  <c r="L625" i="68" s="1"/>
  <c r="L442" i="68"/>
  <c r="Z421" i="68"/>
  <c r="Z422" i="68"/>
  <c r="Z513" i="68" s="1"/>
  <c r="Z604" i="68" s="1"/>
  <c r="S394" i="68"/>
  <c r="S395" i="68"/>
  <c r="S486" i="68" s="1"/>
  <c r="S577" i="68" s="1"/>
  <c r="M355" i="68"/>
  <c r="L773" i="72"/>
  <c r="L419" i="68"/>
  <c r="L510" i="68" s="1"/>
  <c r="L601" i="68" s="1"/>
  <c r="L418" i="68"/>
  <c r="J662" i="68"/>
  <c r="I802" i="72"/>
  <c r="AH352" i="68"/>
  <c r="AG770" i="72"/>
  <c r="AH64" i="68"/>
  <c r="AH155" i="68" s="1"/>
  <c r="AH65" i="68"/>
  <c r="M144" i="68"/>
  <c r="M234" i="68"/>
  <c r="M325" i="68" s="1"/>
  <c r="AE713" i="68"/>
  <c r="AE804" i="68" s="1"/>
  <c r="AE895" i="68" s="1"/>
  <c r="AE712" i="68"/>
  <c r="P727" i="68"/>
  <c r="P728" i="68"/>
  <c r="P819" i="68" s="1"/>
  <c r="P910" i="68" s="1"/>
  <c r="U721" i="68"/>
  <c r="U722" i="68"/>
  <c r="U813" i="68" s="1"/>
  <c r="U904" i="68" s="1"/>
  <c r="Q348" i="68"/>
  <c r="P766" i="72"/>
  <c r="M742" i="68"/>
  <c r="M743" i="68"/>
  <c r="M834" i="68" s="1"/>
  <c r="M925" i="68" s="1"/>
  <c r="AH164" i="68"/>
  <c r="L139" i="68"/>
  <c r="L230" i="68" s="1"/>
  <c r="L140" i="68"/>
  <c r="P76" i="68"/>
  <c r="P77" i="68"/>
  <c r="P168" i="68" s="1"/>
  <c r="P259" i="68" s="1"/>
  <c r="N723" i="72"/>
  <c r="N692" i="72"/>
  <c r="T664" i="68"/>
  <c r="S804" i="72"/>
  <c r="I709" i="68"/>
  <c r="I710" i="68"/>
  <c r="I801" i="68" s="1"/>
  <c r="I892" i="68" s="1"/>
  <c r="M728" i="68"/>
  <c r="M819" i="68" s="1"/>
  <c r="M910" i="68" s="1"/>
  <c r="M727" i="68"/>
  <c r="I84" i="68"/>
  <c r="I173" i="68"/>
  <c r="L123" i="68"/>
  <c r="L212" i="68"/>
  <c r="AD376" i="68"/>
  <c r="AD377" i="68"/>
  <c r="AD468" i="68" s="1"/>
  <c r="AD559" i="68" s="1"/>
  <c r="AA655" i="68"/>
  <c r="Z795" i="72"/>
  <c r="T353" i="68"/>
  <c r="S771" i="72"/>
  <c r="AF366" i="68"/>
  <c r="AE784" i="72"/>
  <c r="S73" i="68"/>
  <c r="S74" i="68"/>
  <c r="S165" i="68" s="1"/>
  <c r="S256" i="68" s="1"/>
  <c r="P309" i="68"/>
  <c r="S654" i="68"/>
  <c r="R794" i="72"/>
  <c r="X658" i="68"/>
  <c r="W798" i="72"/>
  <c r="AA424" i="68"/>
  <c r="AA425" i="68"/>
  <c r="AA516" i="68" s="1"/>
  <c r="AA607" i="68" s="1"/>
  <c r="I68" i="68"/>
  <c r="I159" i="68" s="1"/>
  <c r="I250" i="68" s="1"/>
  <c r="I67" i="68"/>
  <c r="V107" i="68"/>
  <c r="V198" i="68" s="1"/>
  <c r="V289" i="68" s="1"/>
  <c r="V106" i="68"/>
  <c r="L364" i="68"/>
  <c r="K782" i="72"/>
  <c r="L447" i="68"/>
  <c r="L536" i="68"/>
  <c r="AF108" i="68"/>
  <c r="AF197" i="68"/>
  <c r="N751" i="68"/>
  <c r="N842" i="68" s="1"/>
  <c r="N752" i="68"/>
  <c r="AG667" i="68"/>
  <c r="AF807" i="72"/>
  <c r="N342" i="68"/>
  <c r="M760" i="72"/>
  <c r="J430" i="68"/>
  <c r="J431" i="68"/>
  <c r="J522" i="68" s="1"/>
  <c r="J613" i="68" s="1"/>
  <c r="K161" i="68"/>
  <c r="AC352" i="68"/>
  <c r="AB770" i="72"/>
  <c r="Q197" i="68"/>
  <c r="V406" i="68"/>
  <c r="V407" i="68"/>
  <c r="V498" i="68" s="1"/>
  <c r="V589" i="68" s="1"/>
  <c r="L683" i="68"/>
  <c r="L774" i="68" s="1"/>
  <c r="L865" i="68" s="1"/>
  <c r="L682" i="68"/>
  <c r="AC147" i="68"/>
  <c r="AC236" i="68"/>
  <c r="N808" i="72"/>
  <c r="O668" i="68"/>
  <c r="S383" i="68"/>
  <c r="S474" i="68" s="1"/>
  <c r="S565" i="68" s="1"/>
  <c r="S382" i="68"/>
  <c r="AA383" i="68"/>
  <c r="AA474" i="68" s="1"/>
  <c r="AA565" i="68" s="1"/>
  <c r="AA382" i="68"/>
  <c r="Z67" i="68"/>
  <c r="Z68" i="68"/>
  <c r="Z159" i="68" s="1"/>
  <c r="Z250" i="68" s="1"/>
  <c r="R72" i="68"/>
  <c r="R161" i="68"/>
  <c r="Z415" i="68"/>
  <c r="Z416" i="68"/>
  <c r="Z507" i="68" s="1"/>
  <c r="Z598" i="68" s="1"/>
  <c r="P131" i="68"/>
  <c r="P222" i="68" s="1"/>
  <c r="P313" i="68" s="1"/>
  <c r="P130" i="68"/>
  <c r="AA683" i="68"/>
  <c r="AA774" i="68" s="1"/>
  <c r="AA865" i="68" s="1"/>
  <c r="AA682" i="68"/>
  <c r="AH436" i="68"/>
  <c r="AH437" i="68"/>
  <c r="AH528" i="68" s="1"/>
  <c r="AH619" i="68" s="1"/>
  <c r="O723" i="72"/>
  <c r="O692" i="72"/>
  <c r="P716" i="68"/>
  <c r="P807" i="68" s="1"/>
  <c r="P898" i="68" s="1"/>
  <c r="P715" i="68"/>
  <c r="AC74" i="68"/>
  <c r="AC165" i="68" s="1"/>
  <c r="AC256" i="68" s="1"/>
  <c r="AC73" i="68"/>
  <c r="L762" i="72"/>
  <c r="M344" i="68"/>
  <c r="P389" i="68"/>
  <c r="P480" i="68" s="1"/>
  <c r="P571" i="68" s="1"/>
  <c r="Y232" i="72"/>
  <c r="Y201" i="72"/>
  <c r="V179" i="68"/>
  <c r="T100" i="68"/>
  <c r="T101" i="68"/>
  <c r="T192" i="68" s="1"/>
  <c r="T283" i="68" s="1"/>
  <c r="AF670" i="68"/>
  <c r="AE810" i="72"/>
  <c r="AD133" i="68"/>
  <c r="AD134" i="68"/>
  <c r="AD225" i="68" s="1"/>
  <c r="AD316" i="68" s="1"/>
  <c r="R754" i="68"/>
  <c r="R755" i="68"/>
  <c r="R846" i="68" s="1"/>
  <c r="R937" i="68" s="1"/>
  <c r="M447" i="72"/>
  <c r="M478" i="72"/>
  <c r="N404" i="68"/>
  <c r="N495" i="68" s="1"/>
  <c r="N586" i="68" s="1"/>
  <c r="N403" i="68"/>
  <c r="X445" i="68"/>
  <c r="X536" i="68" s="1"/>
  <c r="X446" i="68"/>
  <c r="AD808" i="72"/>
  <c r="AE668" i="68"/>
  <c r="T736" i="68"/>
  <c r="T827" i="68" s="1"/>
  <c r="T737" i="68"/>
  <c r="AD383" i="68"/>
  <c r="AD474" i="68" s="1"/>
  <c r="AD565" i="68" s="1"/>
  <c r="AD382" i="68"/>
  <c r="U170" i="68"/>
  <c r="Y793" i="72"/>
  <c r="Z653" i="68"/>
  <c r="K663" i="68"/>
  <c r="J803" i="72"/>
  <c r="I386" i="68"/>
  <c r="I477" i="68" s="1"/>
  <c r="I568" i="68" s="1"/>
  <c r="I385" i="68"/>
  <c r="M419" i="68"/>
  <c r="M510" i="68" s="1"/>
  <c r="M601" i="68" s="1"/>
  <c r="M418" i="68"/>
  <c r="W90" i="68"/>
  <c r="W179" i="68"/>
  <c r="R90" i="68"/>
  <c r="AE120" i="68"/>
  <c r="AE209" i="68"/>
  <c r="Q398" i="68"/>
  <c r="Q489" i="68" s="1"/>
  <c r="Q580" i="68" s="1"/>
  <c r="Q397" i="68"/>
  <c r="S339" i="68"/>
  <c r="R757" i="72"/>
  <c r="U670" i="68"/>
  <c r="T810" i="72"/>
  <c r="S670" i="68"/>
  <c r="R810" i="72"/>
  <c r="N115" i="68"/>
  <c r="N116" i="68"/>
  <c r="N207" i="68" s="1"/>
  <c r="N298" i="68" s="1"/>
  <c r="AA113" i="68"/>
  <c r="AA204" i="68" s="1"/>
  <c r="AA295" i="68" s="1"/>
  <c r="AA112" i="68"/>
  <c r="AF76" i="68"/>
  <c r="AF77" i="68"/>
  <c r="AF168" i="68" s="1"/>
  <c r="AF259" i="68" s="1"/>
  <c r="J734" i="68"/>
  <c r="J825" i="68" s="1"/>
  <c r="J916" i="68" s="1"/>
  <c r="J733" i="68"/>
  <c r="Z740" i="68"/>
  <c r="Z831" i="68" s="1"/>
  <c r="Z922" i="68" s="1"/>
  <c r="Z739" i="68"/>
  <c r="Y348" i="68"/>
  <c r="X766" i="72"/>
  <c r="R354" i="68"/>
  <c r="Q772" i="72"/>
  <c r="K89" i="68"/>
  <c r="K180" i="68" s="1"/>
  <c r="K271" i="68" s="1"/>
  <c r="K88" i="68"/>
  <c r="U212" i="68"/>
  <c r="T391" i="68"/>
  <c r="T392" i="68"/>
  <c r="T483" i="68" s="1"/>
  <c r="T574" i="68" s="1"/>
  <c r="R740" i="68"/>
  <c r="R831" i="68" s="1"/>
  <c r="R922" i="68" s="1"/>
  <c r="R739" i="68"/>
  <c r="L114" i="68"/>
  <c r="L203" i="68"/>
  <c r="AH69" i="68"/>
  <c r="AH158" i="68"/>
  <c r="M71" i="68"/>
  <c r="M162" i="68" s="1"/>
  <c r="M253" i="68" s="1"/>
  <c r="M70" i="68"/>
  <c r="M352" i="68"/>
  <c r="L770" i="72"/>
  <c r="U99" i="68"/>
  <c r="U188" i="68"/>
  <c r="L813" i="72"/>
  <c r="M673" i="68"/>
  <c r="T130" i="68"/>
  <c r="T131" i="68"/>
  <c r="T222" i="68" s="1"/>
  <c r="T313" i="68" s="1"/>
  <c r="AE669" i="68"/>
  <c r="AD809" i="72"/>
  <c r="I132" i="68"/>
  <c r="I221" i="68"/>
  <c r="AC130" i="68"/>
  <c r="AC221" i="68" s="1"/>
  <c r="AC131" i="68"/>
  <c r="M133" i="68"/>
  <c r="M224" i="68" s="1"/>
  <c r="M134" i="68"/>
  <c r="R436" i="68"/>
  <c r="R437" i="68"/>
  <c r="R528" i="68" s="1"/>
  <c r="R619" i="68" s="1"/>
  <c r="J811" i="72"/>
  <c r="K671" i="68"/>
  <c r="M437" i="68"/>
  <c r="M528" i="68" s="1"/>
  <c r="M619" i="68" s="1"/>
  <c r="M436" i="68"/>
  <c r="AD452" i="68"/>
  <c r="AD543" i="68" s="1"/>
  <c r="AD634" i="68" s="1"/>
  <c r="AD451" i="68"/>
  <c r="V761" i="68"/>
  <c r="V852" i="68" s="1"/>
  <c r="V943" i="68" s="1"/>
  <c r="V760" i="68"/>
  <c r="T365" i="68"/>
  <c r="S783" i="72"/>
  <c r="P379" i="68"/>
  <c r="P380" i="68"/>
  <c r="P471" i="68" s="1"/>
  <c r="P562" i="68" s="1"/>
  <c r="Q373" i="68"/>
  <c r="Q374" i="68"/>
  <c r="Q465" i="68" s="1"/>
  <c r="Q556" i="68" s="1"/>
  <c r="Q67" i="68"/>
  <c r="Q68" i="68"/>
  <c r="Q159" i="68" s="1"/>
  <c r="Q250" i="68" s="1"/>
  <c r="Z668" i="68"/>
  <c r="Y808" i="72"/>
  <c r="R709" i="68"/>
  <c r="R710" i="68"/>
  <c r="R801" i="68" s="1"/>
  <c r="R892" i="68" s="1"/>
  <c r="O688" i="68"/>
  <c r="O689" i="68"/>
  <c r="O780" i="68" s="1"/>
  <c r="O871" i="68" s="1"/>
  <c r="Z804" i="72"/>
  <c r="R663" i="68"/>
  <c r="Q803" i="72"/>
  <c r="Z692" i="68"/>
  <c r="Z783" i="68" s="1"/>
  <c r="Z874" i="68" s="1"/>
  <c r="Z691" i="68"/>
  <c r="AA701" i="68"/>
  <c r="AA792" i="68" s="1"/>
  <c r="AA883" i="68" s="1"/>
  <c r="AA700" i="68"/>
  <c r="AC695" i="68"/>
  <c r="AC786" i="68" s="1"/>
  <c r="AC877" i="68" s="1"/>
  <c r="AC694" i="68"/>
  <c r="V710" i="68"/>
  <c r="V801" i="68" s="1"/>
  <c r="V892" i="68" s="1"/>
  <c r="V709" i="68"/>
  <c r="O431" i="68"/>
  <c r="O522" i="68" s="1"/>
  <c r="O613" i="68" s="1"/>
  <c r="O430" i="68"/>
  <c r="AB776" i="72"/>
  <c r="Y692" i="72"/>
  <c r="Y723" i="72"/>
  <c r="AF359" i="68"/>
  <c r="AE777" i="72"/>
  <c r="I120" i="68"/>
  <c r="I209" i="68"/>
  <c r="W383" i="68"/>
  <c r="W474" i="68" s="1"/>
  <c r="W565" i="68" s="1"/>
  <c r="W382" i="68"/>
  <c r="O692" i="68"/>
  <c r="O783" i="68" s="1"/>
  <c r="O874" i="68" s="1"/>
  <c r="O691" i="68"/>
  <c r="L81" i="68"/>
  <c r="L170" i="68"/>
  <c r="W478" i="72"/>
  <c r="W447" i="72"/>
  <c r="W78" i="68"/>
  <c r="W167" i="68"/>
  <c r="N478" i="72"/>
  <c r="N447" i="72"/>
  <c r="N93" i="68"/>
  <c r="N182" i="68"/>
  <c r="R413" i="68"/>
  <c r="R504" i="68" s="1"/>
  <c r="R595" i="68" s="1"/>
  <c r="R412" i="68"/>
  <c r="Y78" i="68"/>
  <c r="Y167" i="68"/>
  <c r="Z660" i="68"/>
  <c r="Y800" i="72"/>
  <c r="X350" i="68"/>
  <c r="W768" i="72"/>
  <c r="S366" i="68"/>
  <c r="R784" i="72"/>
  <c r="M659" i="68"/>
  <c r="L799" i="72"/>
  <c r="V360" i="68"/>
  <c r="U778" i="72"/>
  <c r="J648" i="68"/>
  <c r="I788" i="72"/>
  <c r="P436" i="68"/>
  <c r="P437" i="68"/>
  <c r="P528" i="68" s="1"/>
  <c r="P619" i="68" s="1"/>
  <c r="AB318" i="68"/>
  <c r="I364" i="68"/>
  <c r="H782" i="72"/>
  <c r="L143" i="68"/>
  <c r="L234" i="68" s="1"/>
  <c r="L325" i="68" s="1"/>
  <c r="L142" i="68"/>
  <c r="R683" i="68"/>
  <c r="R774" i="68" s="1"/>
  <c r="R865" i="68" s="1"/>
  <c r="R682" i="68"/>
  <c r="AE130" i="68"/>
  <c r="AE131" i="68"/>
  <c r="AE222" i="68" s="1"/>
  <c r="AE313" i="68" s="1"/>
  <c r="O746" i="68"/>
  <c r="O837" i="68" s="1"/>
  <c r="O928" i="68" s="1"/>
  <c r="O745" i="68"/>
  <c r="AG455" i="68"/>
  <c r="AG546" i="68" s="1"/>
  <c r="AG637" i="68" s="1"/>
  <c r="AG454" i="68"/>
  <c r="W374" i="68"/>
  <c r="W465" i="68" s="1"/>
  <c r="W556" i="68" s="1"/>
  <c r="W373" i="68"/>
  <c r="W161" i="68"/>
  <c r="Y428" i="68"/>
  <c r="Y519" i="68" s="1"/>
  <c r="Y610" i="68" s="1"/>
  <c r="Y427" i="68"/>
  <c r="J410" i="68"/>
  <c r="J501" i="68" s="1"/>
  <c r="J592" i="68" s="1"/>
  <c r="J409" i="68"/>
  <c r="AB810" i="72"/>
  <c r="I218" i="68"/>
  <c r="V723" i="72"/>
  <c r="V692" i="72"/>
  <c r="AH695" i="68"/>
  <c r="AH786" i="68" s="1"/>
  <c r="AH877" i="68" s="1"/>
  <c r="AH694" i="68"/>
  <c r="AD736" i="68"/>
  <c r="AD737" i="68"/>
  <c r="AD828" i="68" s="1"/>
  <c r="AD919" i="68" s="1"/>
  <c r="J657" i="68"/>
  <c r="I797" i="72"/>
  <c r="AC348" i="68"/>
  <c r="AB766" i="72"/>
  <c r="I686" i="68"/>
  <c r="I777" i="68" s="1"/>
  <c r="I868" i="68" s="1"/>
  <c r="I685" i="68"/>
  <c r="V761" i="72"/>
  <c r="W343" i="68"/>
  <c r="AA774" i="72"/>
  <c r="AB356" i="68"/>
  <c r="N657" i="68"/>
  <c r="M797" i="72"/>
  <c r="I422" i="68"/>
  <c r="I513" i="68" s="1"/>
  <c r="I604" i="68" s="1"/>
  <c r="I421" i="68"/>
  <c r="V776" i="72"/>
  <c r="N736" i="68"/>
  <c r="N737" i="68"/>
  <c r="N828" i="68" s="1"/>
  <c r="N919" i="68" s="1"/>
  <c r="V164" i="68"/>
  <c r="Y68" i="68"/>
  <c r="Y159" i="68" s="1"/>
  <c r="Y250" i="68" s="1"/>
  <c r="Y67" i="68"/>
  <c r="AE96" i="68"/>
  <c r="AE185" i="68"/>
  <c r="R84" i="68"/>
  <c r="R173" i="68"/>
  <c r="I206" i="68"/>
  <c r="Q406" i="68"/>
  <c r="Q407" i="68"/>
  <c r="Q498" i="68" s="1"/>
  <c r="Q589" i="68" s="1"/>
  <c r="AB394" i="68"/>
  <c r="AB395" i="68"/>
  <c r="AB486" i="68" s="1"/>
  <c r="AB577" i="68" s="1"/>
  <c r="S350" i="68"/>
  <c r="R768" i="72"/>
  <c r="AB416" i="68"/>
  <c r="AB507" i="68" s="1"/>
  <c r="AB598" i="68" s="1"/>
  <c r="AB415" i="68"/>
  <c r="I764" i="72"/>
  <c r="I65" i="68"/>
  <c r="I156" i="68" s="1"/>
  <c r="I247" i="68" s="1"/>
  <c r="I64" i="68"/>
  <c r="P365" i="68"/>
  <c r="O783" i="72"/>
  <c r="AG757" i="72"/>
  <c r="AH339" i="68"/>
  <c r="O749" i="68"/>
  <c r="O840" i="68" s="1"/>
  <c r="O931" i="68" s="1"/>
  <c r="O748" i="68"/>
  <c r="AB134" i="68"/>
  <c r="AB225" i="68" s="1"/>
  <c r="AB316" i="68" s="1"/>
  <c r="AB133" i="68"/>
  <c r="R364" i="68"/>
  <c r="Q782" i="72"/>
  <c r="AE436" i="68"/>
  <c r="AE527" i="68" s="1"/>
  <c r="AE437" i="68"/>
  <c r="AA374" i="68"/>
  <c r="AA465" i="68" s="1"/>
  <c r="AA556" i="68" s="1"/>
  <c r="AA373" i="68"/>
  <c r="T761" i="68"/>
  <c r="T852" i="68" s="1"/>
  <c r="T943" i="68" s="1"/>
  <c r="T760" i="68"/>
  <c r="K749" i="68"/>
  <c r="K840" i="68" s="1"/>
  <c r="K931" i="68" s="1"/>
  <c r="K748" i="68"/>
  <c r="O127" i="68"/>
  <c r="O128" i="68"/>
  <c r="O219" i="68" s="1"/>
  <c r="O310" i="68" s="1"/>
  <c r="I99" i="68"/>
  <c r="I188" i="68"/>
  <c r="O672" i="68"/>
  <c r="N812" i="72"/>
  <c r="Q451" i="68"/>
  <c r="Q452" i="68"/>
  <c r="Q543" i="68" s="1"/>
  <c r="Q634" i="68" s="1"/>
  <c r="J440" i="68"/>
  <c r="J531" i="68" s="1"/>
  <c r="J622" i="68" s="1"/>
  <c r="J439" i="68"/>
  <c r="J341" i="68"/>
  <c r="I759" i="72"/>
  <c r="O355" i="68"/>
  <c r="N773" i="72"/>
  <c r="M74" i="68"/>
  <c r="M165" i="68" s="1"/>
  <c r="M256" i="68" s="1"/>
  <c r="M73" i="68"/>
  <c r="AA723" i="72"/>
  <c r="AA692" i="72"/>
  <c r="V691" i="68"/>
  <c r="V692" i="68"/>
  <c r="V783" i="68" s="1"/>
  <c r="V874" i="68" s="1"/>
  <c r="U713" i="68"/>
  <c r="U804" i="68" s="1"/>
  <c r="U895" i="68" s="1"/>
  <c r="U712" i="68"/>
  <c r="J689" i="68"/>
  <c r="J780" i="68" s="1"/>
  <c r="J871" i="68" s="1"/>
  <c r="J688" i="68"/>
  <c r="K700" i="68"/>
  <c r="K701" i="68"/>
  <c r="K792" i="68" s="1"/>
  <c r="K883" i="68" s="1"/>
  <c r="X801" i="72"/>
  <c r="Y661" i="68"/>
  <c r="U799" i="72"/>
  <c r="V659" i="68"/>
  <c r="W355" i="68"/>
  <c r="V773" i="72"/>
  <c r="V737" i="68"/>
  <c r="V828" i="68" s="1"/>
  <c r="V919" i="68" s="1"/>
  <c r="V736" i="68"/>
  <c r="K403" i="68"/>
  <c r="K404" i="68"/>
  <c r="K495" i="68" s="1"/>
  <c r="K586" i="68" s="1"/>
  <c r="Q730" i="68"/>
  <c r="Q731" i="68"/>
  <c r="Q822" i="68" s="1"/>
  <c r="Q913" i="68" s="1"/>
  <c r="V388" i="68"/>
  <c r="V389" i="68"/>
  <c r="V480" i="68" s="1"/>
  <c r="V571" i="68" s="1"/>
  <c r="AE345" i="68"/>
  <c r="AD763" i="72"/>
  <c r="Y736" i="68"/>
  <c r="Y827" i="68" s="1"/>
  <c r="Y737" i="68"/>
  <c r="X758" i="72"/>
  <c r="U400" i="68"/>
  <c r="U401" i="68"/>
  <c r="U492" i="68" s="1"/>
  <c r="U583" i="68" s="1"/>
  <c r="W391" i="68"/>
  <c r="W392" i="68"/>
  <c r="W483" i="68" s="1"/>
  <c r="W574" i="68" s="1"/>
  <c r="P376" i="68"/>
  <c r="P377" i="68"/>
  <c r="P468" i="68" s="1"/>
  <c r="P559" i="68" s="1"/>
  <c r="Z793" i="72"/>
  <c r="AD447" i="72"/>
  <c r="AD478" i="72"/>
  <c r="J802" i="72"/>
  <c r="K662" i="68"/>
  <c r="R769" i="72"/>
  <c r="AB655" i="68"/>
  <c r="AA795" i="72"/>
  <c r="M722" i="68"/>
  <c r="M813" i="68" s="1"/>
  <c r="M904" i="68" s="1"/>
  <c r="M721" i="68"/>
  <c r="L394" i="68"/>
  <c r="L395" i="68"/>
  <c r="L486" i="68" s="1"/>
  <c r="L577" i="68" s="1"/>
  <c r="W102" i="68"/>
  <c r="W191" i="68"/>
  <c r="P108" i="68"/>
  <c r="P197" i="68"/>
  <c r="AD673" i="68"/>
  <c r="AC813" i="72"/>
  <c r="J784" i="72"/>
  <c r="AG788" i="72"/>
  <c r="L366" i="68"/>
  <c r="K784" i="72"/>
  <c r="AG724" i="68"/>
  <c r="AG725" i="68"/>
  <c r="AG816" i="68" s="1"/>
  <c r="AG907" i="68" s="1"/>
  <c r="V727" i="68"/>
  <c r="V728" i="68"/>
  <c r="V819" i="68" s="1"/>
  <c r="V910" i="68" s="1"/>
  <c r="Z74" i="68"/>
  <c r="Z165" i="68" s="1"/>
  <c r="Z256" i="68" s="1"/>
  <c r="Z73" i="68"/>
  <c r="U94" i="68"/>
  <c r="U95" i="68"/>
  <c r="U186" i="68" s="1"/>
  <c r="U277" i="68" s="1"/>
  <c r="J664" i="68"/>
  <c r="I804" i="72"/>
  <c r="AF695" i="68"/>
  <c r="AF786" i="68" s="1"/>
  <c r="AF877" i="68" s="1"/>
  <c r="AF694" i="68"/>
  <c r="AG804" i="72"/>
  <c r="AH664" i="68"/>
  <c r="R447" i="72"/>
  <c r="R478" i="72"/>
  <c r="V343" i="68"/>
  <c r="U761" i="72"/>
  <c r="R386" i="68"/>
  <c r="R477" i="68" s="1"/>
  <c r="R568" i="68" s="1"/>
  <c r="R385" i="68"/>
  <c r="AH379" i="68"/>
  <c r="AH380" i="68"/>
  <c r="AH471" i="68" s="1"/>
  <c r="AH562" i="68" s="1"/>
  <c r="S359" i="68"/>
  <c r="R777" i="72"/>
  <c r="O404" i="68"/>
  <c r="O495" i="68" s="1"/>
  <c r="O586" i="68" s="1"/>
  <c r="O403" i="68"/>
  <c r="R74" i="68"/>
  <c r="R165" i="68" s="1"/>
  <c r="R256" i="68" s="1"/>
  <c r="R73" i="68"/>
  <c r="AG73" i="68"/>
  <c r="AG74" i="68"/>
  <c r="AG165" i="68" s="1"/>
  <c r="AG256" i="68" s="1"/>
  <c r="AF120" i="68"/>
  <c r="AF209" i="68"/>
  <c r="U352" i="68"/>
  <c r="T770" i="72"/>
  <c r="W350" i="68"/>
  <c r="V768" i="72"/>
  <c r="U656" i="68"/>
  <c r="T796" i="72"/>
  <c r="AG194" i="68"/>
  <c r="Z347" i="68"/>
  <c r="Y765" i="72"/>
  <c r="Y398" i="68"/>
  <c r="Y489" i="68" s="1"/>
  <c r="Y580" i="68" s="1"/>
  <c r="Y397" i="68"/>
  <c r="R363" i="68"/>
  <c r="Q781" i="72"/>
  <c r="Z802" i="72"/>
  <c r="AG128" i="68"/>
  <c r="AG219" i="68" s="1"/>
  <c r="AG310" i="68" s="1"/>
  <c r="AG127" i="68"/>
  <c r="Y754" i="68"/>
  <c r="Y755" i="68"/>
  <c r="Y846" i="68" s="1"/>
  <c r="Y937" i="68" s="1"/>
  <c r="M373" i="68"/>
  <c r="M464" i="68" s="1"/>
  <c r="M374" i="68"/>
  <c r="AE365" i="68"/>
  <c r="AD783" i="72"/>
  <c r="P813" i="72"/>
  <c r="N315" i="68"/>
  <c r="U689" i="68"/>
  <c r="U780" i="68" s="1"/>
  <c r="U871" i="68" s="1"/>
  <c r="U688" i="68"/>
  <c r="P232" i="72"/>
  <c r="P201" i="72"/>
  <c r="Y126" i="68"/>
  <c r="Y215" i="68"/>
  <c r="AA191" i="68"/>
  <c r="M761" i="68"/>
  <c r="M852" i="68" s="1"/>
  <c r="M943" i="68" s="1"/>
  <c r="M760" i="68"/>
  <c r="U110" i="68"/>
  <c r="U201" i="68" s="1"/>
  <c r="U292" i="68" s="1"/>
  <c r="U109" i="68"/>
  <c r="L667" i="68"/>
  <c r="K807" i="72"/>
  <c r="K797" i="72"/>
  <c r="O789" i="72"/>
  <c r="P649" i="68"/>
  <c r="N376" i="68"/>
  <c r="N377" i="68"/>
  <c r="N468" i="68" s="1"/>
  <c r="N559" i="68" s="1"/>
  <c r="AB798" i="72"/>
  <c r="AC658" i="68"/>
  <c r="AF736" i="68"/>
  <c r="AF737" i="68"/>
  <c r="AF828" i="68" s="1"/>
  <c r="AF919" i="68" s="1"/>
  <c r="Q358" i="68"/>
  <c r="P776" i="72"/>
  <c r="AE357" i="68"/>
  <c r="AD775" i="72"/>
  <c r="AA71" i="68"/>
  <c r="AA162" i="68" s="1"/>
  <c r="AA253" i="68" s="1"/>
  <c r="AA70" i="68"/>
  <c r="J182" i="68"/>
  <c r="Q691" i="68"/>
  <c r="Q692" i="68"/>
  <c r="Q783" i="68" s="1"/>
  <c r="Q874" i="68" s="1"/>
  <c r="T73" i="68"/>
  <c r="T74" i="68"/>
  <c r="T165" i="68" s="1"/>
  <c r="T256" i="68" s="1"/>
  <c r="AE117" i="68"/>
  <c r="AE206" i="68"/>
  <c r="AA96" i="68"/>
  <c r="AA185" i="68"/>
  <c r="AF104" i="68"/>
  <c r="AF195" i="68" s="1"/>
  <c r="AF286" i="68" s="1"/>
  <c r="AF103" i="68"/>
  <c r="V351" i="68"/>
  <c r="U769" i="72"/>
  <c r="O97" i="68"/>
  <c r="O98" i="68"/>
  <c r="O189" i="68" s="1"/>
  <c r="O280" i="68" s="1"/>
  <c r="AF703" i="68"/>
  <c r="AF704" i="68"/>
  <c r="AF795" i="68" s="1"/>
  <c r="AF886" i="68" s="1"/>
  <c r="AD670" i="68"/>
  <c r="AC810" i="72"/>
  <c r="I437" i="68"/>
  <c r="I528" i="68" s="1"/>
  <c r="I619" i="68" s="1"/>
  <c r="I436" i="68"/>
  <c r="Q439" i="68"/>
  <c r="Q440" i="68"/>
  <c r="Q531" i="68" s="1"/>
  <c r="Q622" i="68" s="1"/>
  <c r="H814" i="72"/>
  <c r="J145" i="68"/>
  <c r="J236" i="68" s="1"/>
  <c r="J146" i="68"/>
  <c r="AA671" i="68"/>
  <c r="Z811" i="72"/>
  <c r="Q134" i="68"/>
  <c r="Q225" i="68" s="1"/>
  <c r="Q316" i="68" s="1"/>
  <c r="Q133" i="68"/>
  <c r="S364" i="68"/>
  <c r="R782" i="72"/>
  <c r="R749" i="68"/>
  <c r="R840" i="68" s="1"/>
  <c r="R931" i="68" s="1"/>
  <c r="R748" i="68"/>
  <c r="U674" i="68"/>
  <c r="T814" i="72"/>
  <c r="AD700" i="68"/>
  <c r="AD701" i="68"/>
  <c r="AD792" i="68" s="1"/>
  <c r="AD883" i="68" s="1"/>
  <c r="U737" i="68"/>
  <c r="U828" i="68" s="1"/>
  <c r="U919" i="68" s="1"/>
  <c r="U736" i="68"/>
  <c r="N424" i="68"/>
  <c r="N425" i="68"/>
  <c r="N516" i="68" s="1"/>
  <c r="N607" i="68" s="1"/>
  <c r="W730" i="68"/>
  <c r="W731" i="68"/>
  <c r="W822" i="68" s="1"/>
  <c r="W913" i="68" s="1"/>
  <c r="W409" i="68"/>
  <c r="W410" i="68"/>
  <c r="W501" i="68" s="1"/>
  <c r="W592" i="68" s="1"/>
  <c r="I347" i="68"/>
  <c r="H765" i="72"/>
  <c r="O116" i="68"/>
  <c r="O207" i="68" s="1"/>
  <c r="O298" i="68" s="1"/>
  <c r="O115" i="68"/>
  <c r="X345" i="68"/>
  <c r="W763" i="72"/>
  <c r="T665" i="68"/>
  <c r="S805" i="72"/>
  <c r="V661" i="68"/>
  <c r="U801" i="72"/>
  <c r="W662" i="68"/>
  <c r="V802" i="72"/>
  <c r="AG695" i="68"/>
  <c r="AG786" i="68" s="1"/>
  <c r="AG877" i="68" s="1"/>
  <c r="AG694" i="68"/>
  <c r="AC804" i="72"/>
  <c r="L357" i="68"/>
  <c r="K775" i="72"/>
  <c r="R376" i="68"/>
  <c r="R377" i="68"/>
  <c r="R468" i="68" s="1"/>
  <c r="R559" i="68" s="1"/>
  <c r="AH386" i="68"/>
  <c r="AH477" i="68" s="1"/>
  <c r="AH568" i="68" s="1"/>
  <c r="AH385" i="68"/>
  <c r="Y759" i="72"/>
  <c r="Z341" i="68"/>
  <c r="R357" i="68"/>
  <c r="Q775" i="72"/>
  <c r="W400" i="68"/>
  <c r="W401" i="68"/>
  <c r="W492" i="68" s="1"/>
  <c r="W583" i="68" s="1"/>
  <c r="AF185" i="68"/>
  <c r="I357" i="68"/>
  <c r="H775" i="72"/>
  <c r="AF125" i="68"/>
  <c r="AF216" i="68" s="1"/>
  <c r="AF307" i="68" s="1"/>
  <c r="AF124" i="68"/>
  <c r="Z93" i="68"/>
  <c r="Z182" i="68"/>
  <c r="X376" i="68"/>
  <c r="X377" i="68"/>
  <c r="X468" i="68" s="1"/>
  <c r="X559" i="68" s="1"/>
  <c r="Z345" i="68"/>
  <c r="Y763" i="72"/>
  <c r="AC125" i="68"/>
  <c r="AC216" i="68" s="1"/>
  <c r="AC307" i="68" s="1"/>
  <c r="AC124" i="68"/>
  <c r="N120" i="68"/>
  <c r="N209" i="68"/>
  <c r="AF762" i="72"/>
  <c r="AF170" i="68"/>
  <c r="M800" i="72"/>
  <c r="N660" i="68"/>
  <c r="T409" i="68"/>
  <c r="T410" i="68"/>
  <c r="T501" i="68" s="1"/>
  <c r="T592" i="68" s="1"/>
  <c r="O347" i="68"/>
  <c r="N765" i="72"/>
  <c r="J765" i="72"/>
  <c r="K347" i="68"/>
  <c r="J103" i="68"/>
  <c r="J104" i="68"/>
  <c r="J195" i="68" s="1"/>
  <c r="J286" i="68" s="1"/>
  <c r="M669" i="68"/>
  <c r="L809" i="72"/>
  <c r="S788" i="72"/>
  <c r="T648" i="68"/>
  <c r="H757" i="72"/>
  <c r="T366" i="68"/>
  <c r="S784" i="72"/>
  <c r="J757" i="72"/>
  <c r="AD128" i="68"/>
  <c r="AD219" i="68" s="1"/>
  <c r="AD310" i="68" s="1"/>
  <c r="AD127" i="68"/>
  <c r="N65" i="68"/>
  <c r="N156" i="68" s="1"/>
  <c r="N247" i="68" s="1"/>
  <c r="N64" i="68"/>
  <c r="S365" i="68"/>
  <c r="R783" i="72"/>
  <c r="AD132" i="68"/>
  <c r="AD221" i="68"/>
  <c r="S155" i="68"/>
  <c r="T236" i="68"/>
  <c r="AH445" i="68"/>
  <c r="AH446" i="68"/>
  <c r="AH537" i="68" s="1"/>
  <c r="AH628" i="68" s="1"/>
  <c r="AG364" i="68"/>
  <c r="AF782" i="72"/>
  <c r="W709" i="68"/>
  <c r="W710" i="68"/>
  <c r="W801" i="68" s="1"/>
  <c r="W892" i="68" s="1"/>
  <c r="AG710" i="68"/>
  <c r="AG801" i="68" s="1"/>
  <c r="AG892" i="68" s="1"/>
  <c r="AG709" i="68"/>
  <c r="P801" i="72"/>
  <c r="X409" i="68"/>
  <c r="X410" i="68"/>
  <c r="X501" i="68" s="1"/>
  <c r="X592" i="68" s="1"/>
  <c r="M129" i="68"/>
  <c r="M218" i="68"/>
  <c r="AG746" i="68"/>
  <c r="AG837" i="68" s="1"/>
  <c r="AG928" i="68" s="1"/>
  <c r="AG745" i="68"/>
  <c r="W431" i="68"/>
  <c r="W522" i="68" s="1"/>
  <c r="W613" i="68" s="1"/>
  <c r="W430" i="68"/>
  <c r="J110" i="68"/>
  <c r="J201" i="68" s="1"/>
  <c r="J292" i="68" s="1"/>
  <c r="J109" i="68"/>
  <c r="L90" i="68"/>
  <c r="L179" i="68"/>
  <c r="AH121" i="68"/>
  <c r="AH122" i="68"/>
  <c r="AH213" i="68" s="1"/>
  <c r="AH304" i="68" s="1"/>
  <c r="T194" i="68"/>
  <c r="S795" i="72"/>
  <c r="T655" i="68"/>
  <c r="AA771" i="72"/>
  <c r="J394" i="68"/>
  <c r="J395" i="68"/>
  <c r="J486" i="68" s="1"/>
  <c r="J577" i="68" s="1"/>
  <c r="Q648" i="68"/>
  <c r="P788" i="72"/>
  <c r="X448" i="68"/>
  <c r="X539" i="68" s="1"/>
  <c r="X449" i="68"/>
  <c r="Y361" i="68"/>
  <c r="X779" i="72"/>
  <c r="P754" i="68"/>
  <c r="P755" i="68"/>
  <c r="P846" i="68" s="1"/>
  <c r="P937" i="68" s="1"/>
  <c r="P670" i="68"/>
  <c r="O810" i="72"/>
  <c r="J783" i="72"/>
  <c r="J815" i="72"/>
  <c r="AF135" i="68"/>
  <c r="AF224" i="68"/>
  <c r="J139" i="68"/>
  <c r="J140" i="68"/>
  <c r="J231" i="68" s="1"/>
  <c r="J322" i="68" s="1"/>
  <c r="I383" i="68"/>
  <c r="I474" i="68" s="1"/>
  <c r="I565" i="68" s="1"/>
  <c r="I382" i="68"/>
  <c r="J686" i="68"/>
  <c r="J777" i="68" s="1"/>
  <c r="J868" i="68" s="1"/>
  <c r="J685" i="68"/>
  <c r="AB383" i="68"/>
  <c r="AB474" i="68" s="1"/>
  <c r="AB565" i="68" s="1"/>
  <c r="AB382" i="68"/>
  <c r="J96" i="68"/>
  <c r="J185" i="68"/>
  <c r="AC715" i="68"/>
  <c r="AC716" i="68"/>
  <c r="AC807" i="68" s="1"/>
  <c r="AC898" i="68" s="1"/>
  <c r="J809" i="72"/>
  <c r="O760" i="68"/>
  <c r="O851" i="68" s="1"/>
  <c r="O761" i="68"/>
  <c r="X447" i="72"/>
  <c r="X478" i="72"/>
  <c r="Z121" i="68"/>
  <c r="Z122" i="68"/>
  <c r="Z213" i="68" s="1"/>
  <c r="Z304" i="68" s="1"/>
  <c r="I790" i="72"/>
  <c r="O686" i="68"/>
  <c r="O777" i="68" s="1"/>
  <c r="O868" i="68" s="1"/>
  <c r="O685" i="68"/>
  <c r="U800" i="72"/>
  <c r="V660" i="68"/>
  <c r="U651" i="68"/>
  <c r="T791" i="72"/>
  <c r="M357" i="68"/>
  <c r="L775" i="72"/>
  <c r="Z761" i="72"/>
  <c r="K92" i="68"/>
  <c r="K183" i="68" s="1"/>
  <c r="K274" i="68" s="1"/>
  <c r="K91" i="68"/>
  <c r="Y377" i="68"/>
  <c r="Y468" i="68" s="1"/>
  <c r="Y559" i="68" s="1"/>
  <c r="Y376" i="68"/>
  <c r="X170" i="68"/>
  <c r="R406" i="68"/>
  <c r="R407" i="68"/>
  <c r="R498" i="68" s="1"/>
  <c r="R589" i="68" s="1"/>
  <c r="AA697" i="68"/>
  <c r="AA698" i="68"/>
  <c r="AA789" i="68" s="1"/>
  <c r="AA880" i="68" s="1"/>
  <c r="N90" i="68"/>
  <c r="N179" i="68"/>
  <c r="I102" i="68"/>
  <c r="I191" i="68"/>
  <c r="Y93" i="68"/>
  <c r="Y182" i="68"/>
  <c r="AB712" i="68"/>
  <c r="AB713" i="68"/>
  <c r="AB804" i="68" s="1"/>
  <c r="AB895" i="68" s="1"/>
  <c r="T352" i="68"/>
  <c r="S770" i="72"/>
  <c r="S409" i="68"/>
  <c r="S410" i="68"/>
  <c r="S501" i="68" s="1"/>
  <c r="S592" i="68" s="1"/>
  <c r="AC194" i="68"/>
  <c r="AA127" i="68"/>
  <c r="AA218" i="68" s="1"/>
  <c r="AA128" i="68"/>
  <c r="K455" i="68"/>
  <c r="K546" i="68" s="1"/>
  <c r="K637" i="68" s="1"/>
  <c r="K454" i="68"/>
  <c r="AH682" i="68"/>
  <c r="AH683" i="68"/>
  <c r="AH774" i="68" s="1"/>
  <c r="AH865" i="68" s="1"/>
  <c r="P236" i="68"/>
  <c r="W236" i="68"/>
  <c r="P745" i="68"/>
  <c r="P746" i="68"/>
  <c r="P837" i="68" s="1"/>
  <c r="P928" i="68" s="1"/>
  <c r="U803" i="72"/>
  <c r="N176" i="68"/>
  <c r="U667" i="68"/>
  <c r="T807" i="72"/>
  <c r="Q340" i="68"/>
  <c r="P758" i="72"/>
  <c r="AB742" i="68"/>
  <c r="N805" i="72"/>
  <c r="O665" i="68"/>
  <c r="R654" i="68"/>
  <c r="Q794" i="72"/>
  <c r="R666" i="68"/>
  <c r="Q806" i="72"/>
  <c r="AE689" i="68"/>
  <c r="AE780" i="68" s="1"/>
  <c r="AE871" i="68" s="1"/>
  <c r="AE688" i="68"/>
  <c r="S709" i="68"/>
  <c r="S710" i="68"/>
  <c r="S801" i="68" s="1"/>
  <c r="S892" i="68" s="1"/>
  <c r="AE734" i="68"/>
  <c r="AE825" i="68" s="1"/>
  <c r="AE916" i="68" s="1"/>
  <c r="AE733" i="68"/>
  <c r="X422" i="68"/>
  <c r="X513" i="68" s="1"/>
  <c r="X604" i="68" s="1"/>
  <c r="X421" i="68"/>
  <c r="U355" i="68"/>
  <c r="T773" i="72"/>
  <c r="O400" i="68"/>
  <c r="O401" i="68"/>
  <c r="O492" i="68" s="1"/>
  <c r="O583" i="68" s="1"/>
  <c r="AD767" i="72"/>
  <c r="AE349" i="68"/>
  <c r="O710" i="68"/>
  <c r="O801" i="68" s="1"/>
  <c r="O892" i="68" s="1"/>
  <c r="O709" i="68"/>
  <c r="O78" i="68"/>
  <c r="O167" i="68"/>
  <c r="P179" i="68"/>
  <c r="S93" i="68"/>
  <c r="S182" i="68"/>
  <c r="X123" i="68"/>
  <c r="X212" i="68"/>
  <c r="I415" i="68"/>
  <c r="I416" i="68"/>
  <c r="I507" i="68" s="1"/>
  <c r="I598" i="68" s="1"/>
  <c r="X78" i="68"/>
  <c r="X167" i="68"/>
  <c r="J800" i="72"/>
  <c r="K660" i="68"/>
  <c r="K661" i="68"/>
  <c r="J801" i="72"/>
  <c r="AE106" i="68"/>
  <c r="AE107" i="68"/>
  <c r="AE198" i="68" s="1"/>
  <c r="AE289" i="68" s="1"/>
  <c r="U346" i="68"/>
  <c r="T764" i="72"/>
  <c r="M102" i="68"/>
  <c r="M191" i="68"/>
  <c r="T362" i="68"/>
  <c r="S780" i="72"/>
  <c r="AH128" i="68"/>
  <c r="AH219" i="68" s="1"/>
  <c r="AH310" i="68" s="1"/>
  <c r="AH127" i="68"/>
  <c r="U362" i="68"/>
  <c r="T780" i="72"/>
  <c r="AA365" i="68"/>
  <c r="Z783" i="72"/>
  <c r="K683" i="68"/>
  <c r="K774" i="68" s="1"/>
  <c r="K865" i="68" s="1"/>
  <c r="K682" i="68"/>
  <c r="Y64" i="68"/>
  <c r="Y65" i="68"/>
  <c r="Y156" i="68" s="1"/>
  <c r="Y247" i="68" s="1"/>
  <c r="AC366" i="68"/>
  <c r="AB784" i="72"/>
  <c r="AG446" i="68"/>
  <c r="AG537" i="68" s="1"/>
  <c r="AG628" i="68" s="1"/>
  <c r="AG445" i="68"/>
  <c r="Q757" i="68"/>
  <c r="Q758" i="68"/>
  <c r="Q849" i="68" s="1"/>
  <c r="Q940" i="68" s="1"/>
  <c r="AH233" i="68"/>
  <c r="L440" i="68"/>
  <c r="L531" i="68" s="1"/>
  <c r="L622" i="68" s="1"/>
  <c r="L439" i="68"/>
  <c r="AD357" i="68"/>
  <c r="AC775" i="72"/>
  <c r="AA379" i="68"/>
  <c r="AA380" i="68"/>
  <c r="AA471" i="68" s="1"/>
  <c r="AA562" i="68" s="1"/>
  <c r="N395" i="68"/>
  <c r="N486" i="68" s="1"/>
  <c r="N577" i="68" s="1"/>
  <c r="N394" i="68"/>
  <c r="AB803" i="72"/>
  <c r="AC663" i="68"/>
  <c r="V658" i="68"/>
  <c r="U798" i="72"/>
  <c r="AF654" i="68"/>
  <c r="AE794" i="72"/>
  <c r="Y652" i="68"/>
  <c r="X792" i="72"/>
  <c r="L710" i="68"/>
  <c r="L801" i="68" s="1"/>
  <c r="L892" i="68" s="1"/>
  <c r="L709" i="68"/>
  <c r="P793" i="72"/>
  <c r="Q653" i="68"/>
  <c r="V419" i="68"/>
  <c r="V510" i="68" s="1"/>
  <c r="V601" i="68" s="1"/>
  <c r="V418" i="68"/>
  <c r="AC697" i="68"/>
  <c r="AC698" i="68"/>
  <c r="AC789" i="68" s="1"/>
  <c r="AC880" i="68" s="1"/>
  <c r="K428" i="68"/>
  <c r="K519" i="68" s="1"/>
  <c r="K610" i="68" s="1"/>
  <c r="K427" i="68"/>
  <c r="X341" i="68"/>
  <c r="W759" i="72"/>
  <c r="O91" i="68"/>
  <c r="O92" i="68"/>
  <c r="O183" i="68" s="1"/>
  <c r="O274" i="68" s="1"/>
  <c r="AF401" i="68"/>
  <c r="AF492" i="68" s="1"/>
  <c r="AF583" i="68" s="1"/>
  <c r="AF400" i="68"/>
  <c r="T421" i="68"/>
  <c r="T422" i="68"/>
  <c r="T513" i="68" s="1"/>
  <c r="T604" i="68" s="1"/>
  <c r="AG776" i="72"/>
  <c r="AG731" i="68"/>
  <c r="AG822" i="68" s="1"/>
  <c r="AG913" i="68" s="1"/>
  <c r="AG730" i="68"/>
  <c r="AC179" i="68"/>
  <c r="AB114" i="68"/>
  <c r="AB203" i="68"/>
  <c r="S759" i="72"/>
  <c r="T176" i="68"/>
  <c r="J660" i="68"/>
  <c r="I800" i="72"/>
  <c r="AD194" i="68"/>
  <c r="AB350" i="68"/>
  <c r="AA768" i="72"/>
  <c r="AC346" i="68"/>
  <c r="AB764" i="72"/>
  <c r="X655" i="68"/>
  <c r="W795" i="72"/>
  <c r="AB366" i="68"/>
  <c r="AA784" i="72"/>
  <c r="R127" i="68"/>
  <c r="R218" i="68" s="1"/>
  <c r="R128" i="68"/>
  <c r="I810" i="72"/>
  <c r="I760" i="68"/>
  <c r="I851" i="68" s="1"/>
  <c r="I761" i="68"/>
  <c r="V669" i="68"/>
  <c r="U809" i="72"/>
  <c r="X131" i="68"/>
  <c r="X222" i="68" s="1"/>
  <c r="X313" i="68" s="1"/>
  <c r="X130" i="68"/>
  <c r="Z758" i="68"/>
  <c r="Z849" i="68" s="1"/>
  <c r="Z940" i="68" s="1"/>
  <c r="Z757" i="68"/>
  <c r="AC361" i="68"/>
  <c r="AB779" i="72"/>
  <c r="Y134" i="68"/>
  <c r="Y225" i="68" s="1"/>
  <c r="Y316" i="68" s="1"/>
  <c r="Y133" i="68"/>
  <c r="AH361" i="68"/>
  <c r="AG779" i="72"/>
  <c r="AC437" i="68"/>
  <c r="AC528" i="68" s="1"/>
  <c r="AC619" i="68" s="1"/>
  <c r="AC436" i="68"/>
  <c r="L791" i="72"/>
  <c r="R197" i="68"/>
  <c r="Z770" i="72"/>
  <c r="AC692" i="72"/>
  <c r="AC723" i="72"/>
  <c r="O121" i="68"/>
  <c r="O122" i="68"/>
  <c r="O213" i="68" s="1"/>
  <c r="O304" i="68" s="1"/>
  <c r="Q668" i="68"/>
  <c r="P808" i="72"/>
  <c r="R692" i="72"/>
  <c r="R723" i="72"/>
  <c r="AG807" i="72"/>
  <c r="M808" i="72"/>
  <c r="N668" i="68"/>
  <c r="X790" i="72"/>
  <c r="T761" i="72"/>
  <c r="Q758" i="72"/>
  <c r="O478" i="72"/>
  <c r="O447" i="72"/>
  <c r="AD356" i="68"/>
  <c r="AC774" i="72"/>
  <c r="AF421" i="68"/>
  <c r="AF422" i="68"/>
  <c r="AF513" i="68" s="1"/>
  <c r="AF604" i="68" s="1"/>
  <c r="AD125" i="68"/>
  <c r="AD216" i="68" s="1"/>
  <c r="AD307" i="68" s="1"/>
  <c r="AD124" i="68"/>
  <c r="AF344" i="68"/>
  <c r="AE762" i="72"/>
  <c r="U793" i="72"/>
  <c r="Y776" i="72"/>
  <c r="M119" i="68"/>
  <c r="M210" i="68" s="1"/>
  <c r="M301" i="68" s="1"/>
  <c r="M118" i="68"/>
  <c r="N167" i="68"/>
  <c r="I354" i="68"/>
  <c r="H772" i="72"/>
  <c r="AE74" i="68"/>
  <c r="AE165" i="68" s="1"/>
  <c r="AE256" i="68" s="1"/>
  <c r="AE73" i="68"/>
  <c r="AD78" i="68"/>
  <c r="AD167" i="68"/>
  <c r="AG389" i="68"/>
  <c r="AG480" i="68" s="1"/>
  <c r="AG571" i="68" s="1"/>
  <c r="AG388" i="68"/>
  <c r="AF72" i="68"/>
  <c r="AF161" i="68"/>
  <c r="Y85" i="68"/>
  <c r="Y86" i="68"/>
  <c r="Y177" i="68" s="1"/>
  <c r="Y268" i="68" s="1"/>
  <c r="S353" i="68"/>
  <c r="R771" i="72"/>
  <c r="R394" i="68"/>
  <c r="R395" i="68"/>
  <c r="R486" i="68" s="1"/>
  <c r="R577" i="68" s="1"/>
  <c r="M801" i="72"/>
  <c r="N661" i="68"/>
  <c r="Q346" i="68"/>
  <c r="P764" i="72"/>
  <c r="AC801" i="72"/>
  <c r="AD661" i="68"/>
  <c r="X361" i="68"/>
  <c r="W779" i="72"/>
  <c r="P815" i="72"/>
  <c r="K373" i="68"/>
  <c r="K464" i="68" s="1"/>
  <c r="K374" i="68"/>
  <c r="AH221" i="68"/>
  <c r="Y757" i="72"/>
  <c r="P363" i="68"/>
  <c r="O781" i="72"/>
  <c r="M131" i="68"/>
  <c r="M222" i="68" s="1"/>
  <c r="M313" i="68" s="1"/>
  <c r="M130" i="68"/>
  <c r="AB443" i="68"/>
  <c r="AB534" i="68" s="1"/>
  <c r="AB625" i="68" s="1"/>
  <c r="AB442" i="68"/>
  <c r="AH140" i="68"/>
  <c r="AH231" i="68" s="1"/>
  <c r="AH322" i="68" s="1"/>
  <c r="AH139" i="68"/>
  <c r="AH755" i="68"/>
  <c r="AH846" i="68" s="1"/>
  <c r="AH937" i="68" s="1"/>
  <c r="AH754" i="68"/>
  <c r="Q809" i="72"/>
  <c r="V754" i="68"/>
  <c r="V755" i="68"/>
  <c r="V846" i="68" s="1"/>
  <c r="V937" i="68" s="1"/>
  <c r="K774" i="72"/>
  <c r="P799" i="72"/>
  <c r="U780" i="72"/>
  <c r="AF809" i="72"/>
  <c r="P81" i="68"/>
  <c r="P170" i="68"/>
  <c r="J452" i="68"/>
  <c r="J543" i="68" s="1"/>
  <c r="J634" i="68" s="1"/>
  <c r="J451" i="68"/>
  <c r="AD406" i="68"/>
  <c r="AD407" i="68"/>
  <c r="AD498" i="68" s="1"/>
  <c r="AD589" i="68" s="1"/>
  <c r="M724" i="68"/>
  <c r="M725" i="68"/>
  <c r="M816" i="68" s="1"/>
  <c r="M907" i="68" s="1"/>
  <c r="S723" i="72"/>
  <c r="S692" i="72"/>
  <c r="AE433" i="68"/>
  <c r="AE434" i="68"/>
  <c r="AE525" i="68" s="1"/>
  <c r="AE616" i="68" s="1"/>
  <c r="N760" i="72"/>
  <c r="Y698" i="68"/>
  <c r="Y789" i="68" s="1"/>
  <c r="Y880" i="68" s="1"/>
  <c r="Y697" i="68"/>
  <c r="AF110" i="68"/>
  <c r="AF201" i="68" s="1"/>
  <c r="AF292" i="68" s="1"/>
  <c r="AF109" i="68"/>
  <c r="X356" i="68"/>
  <c r="W774" i="72"/>
  <c r="AA126" i="68"/>
  <c r="AA215" i="68"/>
  <c r="T689" i="68"/>
  <c r="T780" i="68" s="1"/>
  <c r="T871" i="68" s="1"/>
  <c r="T688" i="68"/>
  <c r="AG377" i="68"/>
  <c r="AG468" i="68" s="1"/>
  <c r="AG559" i="68" s="1"/>
  <c r="AG376" i="68"/>
  <c r="Q660" i="68"/>
  <c r="P800" i="72"/>
  <c r="U100" i="68"/>
  <c r="U101" i="68"/>
  <c r="U192" i="68" s="1"/>
  <c r="U283" i="68" s="1"/>
  <c r="K197" i="68"/>
  <c r="AB128" i="68"/>
  <c r="AB219" i="68" s="1"/>
  <c r="AB310" i="68" s="1"/>
  <c r="AB127" i="68"/>
  <c r="AH760" i="68"/>
  <c r="AH851" i="68" s="1"/>
  <c r="AH761" i="68"/>
  <c r="J671" i="68"/>
  <c r="I811" i="72"/>
  <c r="T232" i="72"/>
  <c r="T201" i="72"/>
  <c r="AG115" i="68"/>
  <c r="AG116" i="68"/>
  <c r="AG207" i="68" s="1"/>
  <c r="AG298" i="68" s="1"/>
  <c r="I88" i="68"/>
  <c r="I89" i="68"/>
  <c r="I180" i="68" s="1"/>
  <c r="I271" i="68" s="1"/>
  <c r="Y649" i="68"/>
  <c r="X789" i="72"/>
  <c r="AA731" i="68"/>
  <c r="AA822" i="68" s="1"/>
  <c r="AA913" i="68" s="1"/>
  <c r="AA730" i="68"/>
  <c r="AC431" i="68"/>
  <c r="AC522" i="68" s="1"/>
  <c r="AC613" i="68" s="1"/>
  <c r="AC430" i="68"/>
  <c r="R421" i="68"/>
  <c r="R422" i="68"/>
  <c r="R513" i="68" s="1"/>
  <c r="R604" i="68" s="1"/>
  <c r="Q478" i="72"/>
  <c r="Q447" i="72"/>
  <c r="Z727" i="68"/>
  <c r="Z728" i="68"/>
  <c r="Z819" i="68" s="1"/>
  <c r="Z910" i="68" s="1"/>
  <c r="Q655" i="68"/>
  <c r="P795" i="72"/>
  <c r="AC718" i="68"/>
  <c r="AC719" i="68"/>
  <c r="AC810" i="68" s="1"/>
  <c r="AC901" i="68" s="1"/>
  <c r="J130" i="68"/>
  <c r="J131" i="68"/>
  <c r="J222" i="68" s="1"/>
  <c r="J313" i="68" s="1"/>
  <c r="M682" i="68"/>
  <c r="M683" i="68"/>
  <c r="M774" i="68" s="1"/>
  <c r="M865" i="68" s="1"/>
  <c r="W672" i="68"/>
  <c r="V812" i="72"/>
  <c r="AF132" i="68"/>
  <c r="AF222" i="68"/>
  <c r="AF313" i="68" s="1"/>
  <c r="AD388" i="68"/>
  <c r="AD389" i="68"/>
  <c r="AD480" i="68" s="1"/>
  <c r="AD571" i="68" s="1"/>
  <c r="T709" i="68"/>
  <c r="T710" i="68"/>
  <c r="T801" i="68" s="1"/>
  <c r="T892" i="68" s="1"/>
  <c r="Q359" i="68"/>
  <c r="P777" i="72"/>
  <c r="Z354" i="68"/>
  <c r="Y772" i="72"/>
  <c r="AD776" i="72"/>
  <c r="L692" i="72"/>
  <c r="L723" i="72"/>
  <c r="T660" i="68"/>
  <c r="S800" i="72"/>
  <c r="S667" i="68"/>
  <c r="R807" i="72"/>
  <c r="O382" i="68"/>
  <c r="O383" i="68"/>
  <c r="O474" i="68" s="1"/>
  <c r="O565" i="68" s="1"/>
  <c r="AE772" i="72"/>
  <c r="AB201" i="72"/>
  <c r="AB232" i="72"/>
  <c r="L76" i="68"/>
  <c r="L77" i="68"/>
  <c r="L168" i="68" s="1"/>
  <c r="L259" i="68" s="1"/>
  <c r="P82" i="68"/>
  <c r="P83" i="68"/>
  <c r="P174" i="68" s="1"/>
  <c r="P265" i="68" s="1"/>
  <c r="AE126" i="68"/>
  <c r="AE215" i="68"/>
  <c r="Z356" i="68"/>
  <c r="Y774" i="72"/>
  <c r="AE656" i="68"/>
  <c r="AD796" i="72"/>
  <c r="AE655" i="68"/>
  <c r="AD795" i="72"/>
  <c r="Y656" i="68"/>
  <c r="X796" i="72"/>
  <c r="AG339" i="68"/>
  <c r="AF757" i="72"/>
  <c r="AE675" i="68"/>
  <c r="AD815" i="72"/>
  <c r="L761" i="68"/>
  <c r="L852" i="68" s="1"/>
  <c r="L943" i="68" s="1"/>
  <c r="L760" i="68"/>
  <c r="S233" i="68"/>
  <c r="AG230" i="68"/>
  <c r="AF683" i="68"/>
  <c r="AF774" i="68" s="1"/>
  <c r="AF865" i="68" s="1"/>
  <c r="N683" i="68"/>
  <c r="N774" i="68" s="1"/>
  <c r="N865" i="68" s="1"/>
  <c r="N682" i="68"/>
  <c r="S443" i="68"/>
  <c r="S534" i="68" s="1"/>
  <c r="S625" i="68" s="1"/>
  <c r="S442" i="68"/>
  <c r="O713" i="68"/>
  <c r="O804" i="68" s="1"/>
  <c r="O895" i="68" s="1"/>
  <c r="O712" i="68"/>
  <c r="AG102" i="68"/>
  <c r="AG191" i="68"/>
  <c r="AG683" i="68"/>
  <c r="AG774" i="68" s="1"/>
  <c r="AG865" i="68" s="1"/>
  <c r="AG682" i="68"/>
  <c r="S76" i="68"/>
  <c r="S77" i="68"/>
  <c r="S168" i="68" s="1"/>
  <c r="S259" i="68" s="1"/>
  <c r="L83" i="68"/>
  <c r="L174" i="68" s="1"/>
  <c r="L265" i="68" s="1"/>
  <c r="L82" i="68"/>
  <c r="S232" i="72"/>
  <c r="S201" i="72"/>
  <c r="I662" i="68"/>
  <c r="H802" i="72"/>
  <c r="AG728" i="68"/>
  <c r="AG819" i="68" s="1"/>
  <c r="AG910" i="68" s="1"/>
  <c r="AG727" i="68"/>
  <c r="V700" i="68"/>
  <c r="V701" i="68"/>
  <c r="V792" i="68" s="1"/>
  <c r="V883" i="68" s="1"/>
  <c r="AH665" i="68"/>
  <c r="AG805" i="72"/>
  <c r="L379" i="68"/>
  <c r="L380" i="68"/>
  <c r="L471" i="68" s="1"/>
  <c r="L562" i="68" s="1"/>
  <c r="AD774" i="72"/>
  <c r="AE356" i="68"/>
  <c r="AH425" i="68"/>
  <c r="AH516" i="68" s="1"/>
  <c r="AH607" i="68" s="1"/>
  <c r="AH424" i="68"/>
  <c r="AH709" i="68"/>
  <c r="AH710" i="68"/>
  <c r="AH801" i="68" s="1"/>
  <c r="AH892" i="68" s="1"/>
  <c r="AC206" i="68"/>
  <c r="AG182" i="68"/>
  <c r="V341" i="68"/>
  <c r="U759" i="72"/>
  <c r="H723" i="72"/>
  <c r="H692" i="72"/>
  <c r="N232" i="72"/>
  <c r="N201" i="72"/>
  <c r="AB68" i="68"/>
  <c r="AB159" i="68" s="1"/>
  <c r="AB250" i="68" s="1"/>
  <c r="AB67" i="68"/>
  <c r="Q740" i="68"/>
  <c r="Q831" i="68" s="1"/>
  <c r="Q922" i="68" s="1"/>
  <c r="Q739" i="68"/>
  <c r="AD72" i="68"/>
  <c r="AD161" i="68"/>
  <c r="M736" i="68"/>
  <c r="M827" i="68" s="1"/>
  <c r="M737" i="68"/>
  <c r="Z655" i="68"/>
  <c r="Y795" i="72"/>
  <c r="Y350" i="68"/>
  <c r="X768" i="72"/>
  <c r="P188" i="68"/>
  <c r="AF716" i="68"/>
  <c r="AF807" i="68" s="1"/>
  <c r="AF898" i="68" s="1"/>
  <c r="AF715" i="68"/>
  <c r="K346" i="68"/>
  <c r="J764" i="72"/>
  <c r="N97" i="68"/>
  <c r="N98" i="68"/>
  <c r="N189" i="68" s="1"/>
  <c r="N280" i="68" s="1"/>
  <c r="M778" i="72"/>
  <c r="N360" i="68"/>
  <c r="K145" i="68"/>
  <c r="K236" i="68" s="1"/>
  <c r="K146" i="68"/>
  <c r="X758" i="68"/>
  <c r="X849" i="68" s="1"/>
  <c r="X940" i="68" s="1"/>
  <c r="X757" i="68"/>
  <c r="I648" i="68"/>
  <c r="H788" i="72"/>
  <c r="L669" i="68"/>
  <c r="K809" i="72"/>
  <c r="Y815" i="72"/>
  <c r="Z675" i="68"/>
  <c r="S360" i="68"/>
  <c r="R778" i="72"/>
  <c r="R137" i="68"/>
  <c r="R228" i="68" s="1"/>
  <c r="R319" i="68" s="1"/>
  <c r="R136" i="68"/>
  <c r="O365" i="68"/>
  <c r="N783" i="72"/>
  <c r="Y128" i="68"/>
  <c r="Y219" i="68" s="1"/>
  <c r="Y310" i="68" s="1"/>
  <c r="Y127" i="68"/>
  <c r="AF312" i="68"/>
  <c r="M454" i="68"/>
  <c r="M455" i="68"/>
  <c r="M546" i="68" s="1"/>
  <c r="M637" i="68" s="1"/>
  <c r="AD176" i="68"/>
  <c r="AG416" i="68"/>
  <c r="AG507" i="68" s="1"/>
  <c r="AG598" i="68" s="1"/>
  <c r="AG415" i="68"/>
  <c r="AA448" i="68"/>
  <c r="AA539" i="68" s="1"/>
  <c r="AA449" i="68"/>
  <c r="V448" i="68"/>
  <c r="V449" i="68"/>
  <c r="V540" i="68" s="1"/>
  <c r="V631" i="68" s="1"/>
  <c r="N794" i="72"/>
  <c r="O654" i="68"/>
  <c r="I655" i="68"/>
  <c r="H795" i="72"/>
  <c r="Q422" i="68"/>
  <c r="Q513" i="68" s="1"/>
  <c r="Q604" i="68" s="1"/>
  <c r="Q421" i="68"/>
  <c r="Y658" i="68"/>
  <c r="X798" i="72"/>
  <c r="AA805" i="72"/>
  <c r="AB665" i="68"/>
  <c r="Z734" i="68"/>
  <c r="Z825" i="68" s="1"/>
  <c r="Z916" i="68" s="1"/>
  <c r="Z733" i="68"/>
  <c r="AE478" i="72"/>
  <c r="AE447" i="72"/>
  <c r="P689" i="68"/>
  <c r="P780" i="68" s="1"/>
  <c r="P871" i="68" s="1"/>
  <c r="P688" i="68"/>
  <c r="W424" i="68"/>
  <c r="W425" i="68"/>
  <c r="W516" i="68" s="1"/>
  <c r="W607" i="68" s="1"/>
  <c r="T358" i="68"/>
  <c r="S776" i="72"/>
  <c r="W428" i="68"/>
  <c r="W519" i="68" s="1"/>
  <c r="W610" i="68" s="1"/>
  <c r="AE431" i="68"/>
  <c r="AE522" i="68" s="1"/>
  <c r="AE613" i="68" s="1"/>
  <c r="AE430" i="68"/>
  <c r="X434" i="68"/>
  <c r="X525" i="68" s="1"/>
  <c r="X616" i="68" s="1"/>
  <c r="X433" i="68"/>
  <c r="O425" i="68"/>
  <c r="O516" i="68" s="1"/>
  <c r="O607" i="68" s="1"/>
  <c r="O424" i="68"/>
  <c r="Q212" i="68"/>
  <c r="L91" i="68"/>
  <c r="L92" i="68"/>
  <c r="L183" i="68" s="1"/>
  <c r="L274" i="68" s="1"/>
  <c r="Y389" i="68"/>
  <c r="Y480" i="68" s="1"/>
  <c r="Y571" i="68" s="1"/>
  <c r="Y388" i="68"/>
  <c r="J82" i="68"/>
  <c r="J83" i="68"/>
  <c r="J174" i="68" s="1"/>
  <c r="J265" i="68" s="1"/>
  <c r="V391" i="68"/>
  <c r="V392" i="68"/>
  <c r="V483" i="68" s="1"/>
  <c r="V574" i="68" s="1"/>
  <c r="H766" i="72"/>
  <c r="O413" i="68"/>
  <c r="O504" i="68" s="1"/>
  <c r="O595" i="68" s="1"/>
  <c r="O412" i="68"/>
  <c r="O409" i="68"/>
  <c r="O410" i="68"/>
  <c r="O501" i="68" s="1"/>
  <c r="O592" i="68" s="1"/>
  <c r="Z102" i="68"/>
  <c r="Z191" i="68"/>
  <c r="Y704" i="68"/>
  <c r="Y795" i="68" s="1"/>
  <c r="Y886" i="68" s="1"/>
  <c r="Y703" i="68"/>
  <c r="Q706" i="68"/>
  <c r="Q707" i="68"/>
  <c r="Q798" i="68" s="1"/>
  <c r="Q889" i="68" s="1"/>
  <c r="AD353" i="68"/>
  <c r="AC771" i="72"/>
  <c r="AD413" i="68"/>
  <c r="AD504" i="68" s="1"/>
  <c r="AD595" i="68" s="1"/>
  <c r="AD412" i="68"/>
  <c r="S194" i="68"/>
  <c r="Y781" i="72"/>
  <c r="Z363" i="68"/>
  <c r="N318" i="68"/>
  <c r="AC137" i="68"/>
  <c r="AC228" i="68" s="1"/>
  <c r="AC319" i="68" s="1"/>
  <c r="AC136" i="68"/>
  <c r="M784" i="72"/>
  <c r="O812" i="72"/>
  <c r="U763" i="68"/>
  <c r="U764" i="68"/>
  <c r="U855" i="68" s="1"/>
  <c r="U946" i="68" s="1"/>
  <c r="K451" i="68"/>
  <c r="K452" i="68"/>
  <c r="K543" i="68" s="1"/>
  <c r="K634" i="68" s="1"/>
  <c r="K764" i="68"/>
  <c r="K855" i="68" s="1"/>
  <c r="K946" i="68" s="1"/>
  <c r="K763" i="68"/>
  <c r="AA749" i="68"/>
  <c r="AA840" i="68" s="1"/>
  <c r="AA931" i="68" s="1"/>
  <c r="AA748" i="68"/>
  <c r="K746" i="68"/>
  <c r="K837" i="68" s="1"/>
  <c r="K928" i="68" s="1"/>
  <c r="K745" i="68"/>
  <c r="Q246" i="68"/>
  <c r="U340" i="68"/>
  <c r="T758" i="72"/>
  <c r="M789" i="72"/>
  <c r="R803" i="72"/>
  <c r="J701" i="68"/>
  <c r="J792" i="68" s="1"/>
  <c r="J883" i="68" s="1"/>
  <c r="J700" i="68"/>
  <c r="Y434" i="68"/>
  <c r="Y525" i="68" s="1"/>
  <c r="Y616" i="68" s="1"/>
  <c r="Y433" i="68"/>
  <c r="AB380" i="68"/>
  <c r="AB471" i="68" s="1"/>
  <c r="AB562" i="68" s="1"/>
  <c r="AB379" i="68"/>
  <c r="AF650" i="68"/>
  <c r="AE790" i="72"/>
  <c r="AA385" i="68"/>
  <c r="AA386" i="68"/>
  <c r="AA477" i="68" s="1"/>
  <c r="AA568" i="68" s="1"/>
  <c r="W380" i="68"/>
  <c r="W471" i="68" s="1"/>
  <c r="W562" i="68" s="1"/>
  <c r="W379" i="68"/>
  <c r="I161" i="68"/>
  <c r="W203" i="68"/>
  <c r="K769" i="72"/>
  <c r="K707" i="68"/>
  <c r="K798" i="68" s="1"/>
  <c r="K889" i="68" s="1"/>
  <c r="K706" i="68"/>
  <c r="AF398" i="68"/>
  <c r="AF489" i="68" s="1"/>
  <c r="AF580" i="68" s="1"/>
  <c r="AF397" i="68"/>
  <c r="W412" i="68"/>
  <c r="W413" i="68"/>
  <c r="W504" i="68" s="1"/>
  <c r="W595" i="68" s="1"/>
  <c r="AG398" i="68"/>
  <c r="AG489" i="68" s="1"/>
  <c r="AG580" i="68" s="1"/>
  <c r="AG397" i="68"/>
  <c r="Y416" i="68"/>
  <c r="Y507" i="68" s="1"/>
  <c r="Y598" i="68" s="1"/>
  <c r="Y415" i="68"/>
  <c r="W784" i="72"/>
  <c r="X366" i="68"/>
  <c r="P782" i="72"/>
  <c r="AH721" i="68"/>
  <c r="AH722" i="68"/>
  <c r="AH813" i="68" s="1"/>
  <c r="AH904" i="68" s="1"/>
  <c r="AD436" i="68"/>
  <c r="AD527" i="68" s="1"/>
  <c r="AD437" i="68"/>
  <c r="Z362" i="68"/>
  <c r="Y780" i="72"/>
  <c r="T757" i="68"/>
  <c r="T758" i="68"/>
  <c r="T849" i="68" s="1"/>
  <c r="T940" i="68" s="1"/>
  <c r="X809" i="72"/>
  <c r="Q455" i="68"/>
  <c r="Q546" i="68" s="1"/>
  <c r="Q637" i="68" s="1"/>
  <c r="Q454" i="68"/>
  <c r="AB230" i="68"/>
  <c r="L345" i="68"/>
  <c r="K763" i="72"/>
  <c r="I346" i="68"/>
  <c r="H764" i="72"/>
  <c r="Z664" i="68"/>
  <c r="Y804" i="72"/>
  <c r="H478" i="72"/>
  <c r="H447" i="72"/>
  <c r="L652" i="68"/>
  <c r="K792" i="72"/>
  <c r="U392" i="68"/>
  <c r="U483" i="68" s="1"/>
  <c r="U574" i="68" s="1"/>
  <c r="U391" i="68"/>
  <c r="AH382" i="68"/>
  <c r="AH383" i="68"/>
  <c r="AH474" i="68" s="1"/>
  <c r="AH565" i="68" s="1"/>
  <c r="W773" i="72"/>
  <c r="W685" i="68"/>
  <c r="W686" i="68"/>
  <c r="W777" i="68" s="1"/>
  <c r="W868" i="68" s="1"/>
  <c r="T111" i="68"/>
  <c r="T200" i="68"/>
  <c r="H805" i="72"/>
  <c r="I665" i="68"/>
  <c r="AF775" i="72"/>
  <c r="AG357" i="68"/>
  <c r="AG775" i="72"/>
  <c r="AH357" i="68"/>
  <c r="U67" i="68"/>
  <c r="U68" i="68"/>
  <c r="U159" i="68" s="1"/>
  <c r="U250" i="68" s="1"/>
  <c r="AF447" i="72"/>
  <c r="AF478" i="72"/>
  <c r="V124" i="68"/>
  <c r="V125" i="68"/>
  <c r="V216" i="68" s="1"/>
  <c r="V307" i="68" s="1"/>
  <c r="T124" i="68"/>
  <c r="T125" i="68"/>
  <c r="T216" i="68" s="1"/>
  <c r="T307" i="68" s="1"/>
  <c r="AF179" i="68"/>
  <c r="AB117" i="68"/>
  <c r="AB206" i="68"/>
  <c r="K800" i="72"/>
  <c r="L660" i="68"/>
  <c r="AB352" i="68"/>
  <c r="AA770" i="72"/>
  <c r="V188" i="68"/>
  <c r="W656" i="68"/>
  <c r="V796" i="72"/>
  <c r="J360" i="68"/>
  <c r="I778" i="72"/>
  <c r="W746" i="68"/>
  <c r="W837" i="68" s="1"/>
  <c r="W928" i="68" s="1"/>
  <c r="W745" i="68"/>
  <c r="T671" i="68"/>
  <c r="S811" i="72"/>
  <c r="AC373" i="68"/>
  <c r="AC374" i="68"/>
  <c r="AC465" i="68" s="1"/>
  <c r="AC556" i="68" s="1"/>
  <c r="AB811" i="72"/>
  <c r="AC671" i="68"/>
  <c r="V363" i="68"/>
  <c r="U781" i="72"/>
  <c r="AA361" i="68"/>
  <c r="Z779" i="72"/>
  <c r="Y675" i="68"/>
  <c r="X815" i="72"/>
  <c r="P674" i="68"/>
  <c r="O814" i="72"/>
  <c r="L672" i="68"/>
  <c r="K812" i="72"/>
  <c r="AD363" i="68"/>
  <c r="AC781" i="72"/>
  <c r="T449" i="68"/>
  <c r="T540" i="68" s="1"/>
  <c r="T631" i="68" s="1"/>
  <c r="T448" i="68"/>
  <c r="Z709" i="68"/>
  <c r="Z710" i="68"/>
  <c r="Z801" i="68" s="1"/>
  <c r="Z892" i="68" s="1"/>
  <c r="O761" i="72"/>
  <c r="AC167" i="68"/>
  <c r="R155" i="68"/>
  <c r="J754" i="68"/>
  <c r="J845" i="68" s="1"/>
  <c r="J755" i="68"/>
  <c r="Q77" i="68"/>
  <c r="Q168" i="68" s="1"/>
  <c r="Q259" i="68" s="1"/>
  <c r="Q76" i="68"/>
  <c r="I692" i="72"/>
  <c r="I723" i="72"/>
  <c r="N391" i="68"/>
  <c r="N392" i="68"/>
  <c r="N483" i="68" s="1"/>
  <c r="N574" i="68" s="1"/>
  <c r="W667" i="68"/>
  <c r="V807" i="72"/>
  <c r="U772" i="72"/>
  <c r="AB354" i="68"/>
  <c r="AA772" i="72"/>
  <c r="AB404" i="68"/>
  <c r="AB495" i="68" s="1"/>
  <c r="AB586" i="68" s="1"/>
  <c r="AB403" i="68"/>
  <c r="AC667" i="68"/>
  <c r="AB807" i="72"/>
  <c r="Z344" i="68"/>
  <c r="Y762" i="72"/>
  <c r="Q84" i="68"/>
  <c r="Q173" i="68"/>
  <c r="X382" i="68"/>
  <c r="X383" i="68"/>
  <c r="X474" i="68" s="1"/>
  <c r="X565" i="68" s="1"/>
  <c r="S773" i="72"/>
  <c r="R209" i="68"/>
  <c r="AH430" i="68"/>
  <c r="AH431" i="68"/>
  <c r="AH522" i="68" s="1"/>
  <c r="AH613" i="68" s="1"/>
  <c r="AG478" i="72"/>
  <c r="AG447" i="72"/>
  <c r="Z126" i="68"/>
  <c r="Z215" i="68"/>
  <c r="T379" i="68"/>
  <c r="T380" i="68"/>
  <c r="T471" i="68" s="1"/>
  <c r="T562" i="68" s="1"/>
  <c r="N350" i="68"/>
  <c r="M768" i="72"/>
  <c r="AG656" i="68"/>
  <c r="AF796" i="72"/>
  <c r="AF707" i="68"/>
  <c r="AF798" i="68" s="1"/>
  <c r="AF889" i="68" s="1"/>
  <c r="AF706" i="68"/>
  <c r="R795" i="72"/>
  <c r="S655" i="68"/>
  <c r="M97" i="68"/>
  <c r="M98" i="68"/>
  <c r="M189" i="68" s="1"/>
  <c r="M280" i="68" s="1"/>
  <c r="L398" i="68"/>
  <c r="L489" i="68" s="1"/>
  <c r="L580" i="68" s="1"/>
  <c r="L397" i="68"/>
  <c r="AB706" i="68"/>
  <c r="AD361" i="68"/>
  <c r="AC779" i="72"/>
  <c r="V133" i="68"/>
  <c r="V134" i="68"/>
  <c r="V225" i="68" s="1"/>
  <c r="V316" i="68" s="1"/>
  <c r="J748" i="68"/>
  <c r="J749" i="68"/>
  <c r="J840" i="68" s="1"/>
  <c r="J931" i="68" s="1"/>
  <c r="I237" i="68"/>
  <c r="I328" i="68" s="1"/>
  <c r="AD782" i="72"/>
  <c r="AE364" i="68"/>
  <c r="AD810" i="72"/>
  <c r="X814" i="72"/>
  <c r="Y56" i="68"/>
  <c r="W362" i="68"/>
  <c r="V780" i="72"/>
  <c r="O131" i="68"/>
  <c r="O222" i="68" s="1"/>
  <c r="O313" i="68" s="1"/>
  <c r="O130" i="68"/>
  <c r="I137" i="68"/>
  <c r="I228" i="68" s="1"/>
  <c r="I319" i="68" s="1"/>
  <c r="I136" i="68"/>
  <c r="X375" i="68"/>
  <c r="X464" i="68"/>
  <c r="K650" i="68"/>
  <c r="J790" i="72"/>
  <c r="M692" i="68"/>
  <c r="M783" i="68" s="1"/>
  <c r="M874" i="68" s="1"/>
  <c r="M691" i="68"/>
  <c r="AG434" i="68"/>
  <c r="AG525" i="68" s="1"/>
  <c r="AG616" i="68" s="1"/>
  <c r="AG433" i="68"/>
  <c r="L434" i="68"/>
  <c r="L525" i="68" s="1"/>
  <c r="L616" i="68" s="1"/>
  <c r="L433" i="68"/>
  <c r="Z170" i="68"/>
  <c r="AA412" i="68"/>
  <c r="AA413" i="68"/>
  <c r="AA504" i="68" s="1"/>
  <c r="AA595" i="68" s="1"/>
  <c r="AA763" i="68"/>
  <c r="AA764" i="68"/>
  <c r="AA855" i="68" s="1"/>
  <c r="AA946" i="68" s="1"/>
  <c r="Q125" i="68"/>
  <c r="Q216" i="68" s="1"/>
  <c r="Q307" i="68" s="1"/>
  <c r="Q124" i="68"/>
  <c r="T723" i="72"/>
  <c r="T692" i="72"/>
  <c r="AH740" i="68"/>
  <c r="AH831" i="68" s="1"/>
  <c r="AH922" i="68" s="1"/>
  <c r="AH739" i="68"/>
  <c r="Z695" i="68"/>
  <c r="Z786" i="68" s="1"/>
  <c r="Z877" i="68" s="1"/>
  <c r="Z694" i="68"/>
  <c r="AD797" i="72"/>
  <c r="AE657" i="68"/>
  <c r="Y688" i="68"/>
  <c r="Y689" i="68"/>
  <c r="Y780" i="68" s="1"/>
  <c r="Y871" i="68" s="1"/>
  <c r="U385" i="68"/>
  <c r="U386" i="68"/>
  <c r="U477" i="68" s="1"/>
  <c r="U568" i="68" s="1"/>
  <c r="R716" i="68"/>
  <c r="R807" i="68" s="1"/>
  <c r="R898" i="68" s="1"/>
  <c r="R715" i="68"/>
  <c r="Z762" i="72"/>
  <c r="AF686" i="68"/>
  <c r="AF777" i="68" s="1"/>
  <c r="AF868" i="68" s="1"/>
  <c r="AF685" i="68"/>
  <c r="O775" i="72"/>
  <c r="V697" i="68"/>
  <c r="V698" i="68"/>
  <c r="V789" i="68" s="1"/>
  <c r="V880" i="68" s="1"/>
  <c r="Z430" i="68"/>
  <c r="Z431" i="68"/>
  <c r="Z522" i="68" s="1"/>
  <c r="Z613" i="68" s="1"/>
  <c r="K117" i="68"/>
  <c r="K206" i="68"/>
  <c r="W389" i="68"/>
  <c r="W480" i="68" s="1"/>
  <c r="W571" i="68" s="1"/>
  <c r="W388" i="68"/>
  <c r="Q383" i="68"/>
  <c r="Q474" i="68" s="1"/>
  <c r="Q565" i="68" s="1"/>
  <c r="Q382" i="68"/>
  <c r="AG209" i="68"/>
  <c r="L358" i="68"/>
  <c r="K776" i="72"/>
  <c r="Z713" i="68"/>
  <c r="Z804" i="68" s="1"/>
  <c r="Z895" i="68" s="1"/>
  <c r="Z712" i="68"/>
  <c r="V772" i="72"/>
  <c r="N353" i="68"/>
  <c r="M771" i="72"/>
  <c r="O104" i="68"/>
  <c r="O195" i="68" s="1"/>
  <c r="O286" i="68" s="1"/>
  <c r="O103" i="68"/>
  <c r="I795" i="72"/>
  <c r="Q97" i="68"/>
  <c r="Q98" i="68"/>
  <c r="Q189" i="68" s="1"/>
  <c r="Q280" i="68" s="1"/>
  <c r="I765" i="72"/>
  <c r="V346" i="68"/>
  <c r="U764" i="72"/>
  <c r="AA669" i="68"/>
  <c r="Z809" i="72"/>
  <c r="M140" i="68"/>
  <c r="M231" i="68" s="1"/>
  <c r="M322" i="68" s="1"/>
  <c r="M139" i="68"/>
  <c r="AF128" i="68"/>
  <c r="AF219" i="68" s="1"/>
  <c r="AF310" i="68" s="1"/>
  <c r="AF127" i="68"/>
  <c r="Q763" i="68"/>
  <c r="Q764" i="68"/>
  <c r="Q855" i="68" s="1"/>
  <c r="Q946" i="68" s="1"/>
  <c r="N670" i="68"/>
  <c r="M810" i="72"/>
  <c r="W449" i="68"/>
  <c r="W540" i="68" s="1"/>
  <c r="W631" i="68" s="1"/>
  <c r="W448" i="68"/>
  <c r="Z374" i="68"/>
  <c r="Z465" i="68" s="1"/>
  <c r="Z556" i="68" s="1"/>
  <c r="Z373" i="68"/>
  <c r="AE137" i="68"/>
  <c r="AE228" i="68" s="1"/>
  <c r="AE319" i="68" s="1"/>
  <c r="AE136" i="68"/>
  <c r="X780" i="72"/>
  <c r="AA780" i="72"/>
  <c r="AF363" i="68"/>
  <c r="AE781" i="72"/>
  <c r="N675" i="68"/>
  <c r="M815" i="72"/>
  <c r="AB754" i="68"/>
  <c r="AB755" i="68"/>
  <c r="AB846" i="68" s="1"/>
  <c r="AB937" i="68" s="1"/>
  <c r="U127" i="68"/>
  <c r="U218" i="68" s="1"/>
  <c r="U128" i="68"/>
  <c r="I752" i="68"/>
  <c r="I843" i="68" s="1"/>
  <c r="I934" i="68" s="1"/>
  <c r="I751" i="68"/>
  <c r="R746" i="68"/>
  <c r="R837" i="68" s="1"/>
  <c r="R928" i="68" s="1"/>
  <c r="R745" i="68"/>
  <c r="U812" i="72"/>
  <c r="AF734" i="68"/>
  <c r="AF825" i="68" s="1"/>
  <c r="AF916" i="68" s="1"/>
  <c r="AF733" i="68"/>
  <c r="L425" i="68"/>
  <c r="L516" i="68" s="1"/>
  <c r="L607" i="68" s="1"/>
  <c r="L424" i="68"/>
  <c r="AA478" i="72"/>
  <c r="AA447" i="72"/>
  <c r="W120" i="68"/>
  <c r="W209" i="68"/>
  <c r="Q715" i="68"/>
  <c r="Q716" i="68"/>
  <c r="Q807" i="68" s="1"/>
  <c r="Q898" i="68" s="1"/>
  <c r="AF718" i="68"/>
  <c r="AF719" i="68"/>
  <c r="AF810" i="68" s="1"/>
  <c r="AF901" i="68" s="1"/>
  <c r="V442" i="68"/>
  <c r="V533" i="68" s="1"/>
  <c r="V443" i="68"/>
  <c r="AF155" i="68"/>
  <c r="H796" i="72"/>
  <c r="I656" i="68"/>
  <c r="J71" i="68"/>
  <c r="J162" i="68" s="1"/>
  <c r="J253" i="68" s="1"/>
  <c r="J70" i="68"/>
  <c r="AA176" i="68"/>
  <c r="J723" i="72"/>
  <c r="J692" i="72"/>
  <c r="R440" i="68"/>
  <c r="R531" i="68" s="1"/>
  <c r="R622" i="68" s="1"/>
  <c r="R439" i="68"/>
  <c r="K478" i="72"/>
  <c r="K447" i="72"/>
  <c r="X112" i="68"/>
  <c r="X113" i="68"/>
  <c r="X204" i="68" s="1"/>
  <c r="X295" i="68" s="1"/>
  <c r="W658" i="68"/>
  <c r="V798" i="72"/>
  <c r="S651" i="68"/>
  <c r="R791" i="72"/>
  <c r="Q737" i="68"/>
  <c r="Q828" i="68" s="1"/>
  <c r="Q919" i="68" s="1"/>
  <c r="Q736" i="68"/>
  <c r="T383" i="68"/>
  <c r="T474" i="68" s="1"/>
  <c r="T565" i="68" s="1"/>
  <c r="T382" i="68"/>
  <c r="AB728" i="68"/>
  <c r="AB819" i="68" s="1"/>
  <c r="AB910" i="68" s="1"/>
  <c r="AB727" i="68"/>
  <c r="AF357" i="68"/>
  <c r="AE775" i="72"/>
  <c r="AH392" i="68"/>
  <c r="AH483" i="68" s="1"/>
  <c r="AH574" i="68" s="1"/>
  <c r="AH391" i="68"/>
  <c r="I731" i="68"/>
  <c r="I822" i="68" s="1"/>
  <c r="I913" i="68" s="1"/>
  <c r="I730" i="68"/>
  <c r="AC69" i="68"/>
  <c r="AC158" i="68"/>
  <c r="M657" i="68"/>
  <c r="L797" i="72"/>
  <c r="AH350" i="68"/>
  <c r="AG768" i="72"/>
  <c r="AE353" i="68"/>
  <c r="AD771" i="72"/>
  <c r="L134" i="68"/>
  <c r="L225" i="68" s="1"/>
  <c r="L316" i="68" s="1"/>
  <c r="L133" i="68"/>
  <c r="AG64" i="68"/>
  <c r="AG65" i="68"/>
  <c r="AG156" i="68" s="1"/>
  <c r="AG247" i="68" s="1"/>
  <c r="I758" i="68"/>
  <c r="I849" i="68" s="1"/>
  <c r="I940" i="68" s="1"/>
  <c r="I757" i="68"/>
  <c r="U379" i="68"/>
  <c r="U380" i="68"/>
  <c r="U471" i="68" s="1"/>
  <c r="U562" i="68" s="1"/>
  <c r="U682" i="68"/>
  <c r="U773" i="68" s="1"/>
  <c r="U683" i="68"/>
  <c r="AC654" i="68"/>
  <c r="AB794" i="72"/>
  <c r="AF232" i="72"/>
  <c r="AF201" i="72"/>
  <c r="L743" i="68"/>
  <c r="L834" i="68" s="1"/>
  <c r="L925" i="68" s="1"/>
  <c r="L742" i="68"/>
  <c r="X802" i="72"/>
  <c r="Y662" i="68"/>
  <c r="I728" i="68"/>
  <c r="I819" i="68" s="1"/>
  <c r="I910" i="68" s="1"/>
  <c r="I727" i="68"/>
  <c r="Z357" i="68"/>
  <c r="Y775" i="72"/>
  <c r="N663" i="68"/>
  <c r="M803" i="72"/>
  <c r="M700" i="68"/>
  <c r="M701" i="68"/>
  <c r="M792" i="68" s="1"/>
  <c r="M883" i="68" s="1"/>
  <c r="I92" i="68"/>
  <c r="I183" i="68" s="1"/>
  <c r="I274" i="68" s="1"/>
  <c r="I91" i="68"/>
  <c r="L412" i="68"/>
  <c r="L413" i="68"/>
  <c r="L504" i="68" s="1"/>
  <c r="L595" i="68" s="1"/>
  <c r="AA347" i="68"/>
  <c r="Z765" i="72"/>
  <c r="AE814" i="72"/>
  <c r="AF674" i="68"/>
  <c r="AC140" i="68"/>
  <c r="AC231" i="68" s="1"/>
  <c r="AC322" i="68" s="1"/>
  <c r="AC139" i="68"/>
  <c r="U339" i="68"/>
  <c r="T757" i="72"/>
  <c r="S672" i="68"/>
  <c r="R812" i="72"/>
  <c r="V757" i="68"/>
  <c r="V848" i="68" s="1"/>
  <c r="V758" i="68"/>
  <c r="L784" i="72"/>
  <c r="AE419" i="68"/>
  <c r="AE510" i="68" s="1"/>
  <c r="AE601" i="68" s="1"/>
  <c r="AE418" i="68"/>
  <c r="Z200" i="68"/>
  <c r="N694" i="68"/>
  <c r="N695" i="68"/>
  <c r="N786" i="68" s="1"/>
  <c r="N877" i="68" s="1"/>
  <c r="P692" i="68"/>
  <c r="P783" i="68" s="1"/>
  <c r="P874" i="68" s="1"/>
  <c r="P691" i="68"/>
  <c r="V774" i="72"/>
  <c r="AE697" i="68"/>
  <c r="AE698" i="68"/>
  <c r="AE789" i="68" s="1"/>
  <c r="AE880" i="68" s="1"/>
  <c r="AD712" i="68"/>
  <c r="AD713" i="68"/>
  <c r="AD804" i="68" s="1"/>
  <c r="AD895" i="68" s="1"/>
  <c r="I379" i="68"/>
  <c r="I380" i="68"/>
  <c r="I471" i="68" s="1"/>
  <c r="I562" i="68" s="1"/>
  <c r="Y343" i="68"/>
  <c r="X761" i="72"/>
  <c r="T119" i="68"/>
  <c r="T210" i="68" s="1"/>
  <c r="T301" i="68" s="1"/>
  <c r="T118" i="68"/>
  <c r="AD733" i="68"/>
  <c r="AD734" i="68"/>
  <c r="AD825" i="68" s="1"/>
  <c r="AD916" i="68" s="1"/>
  <c r="Y701" i="68"/>
  <c r="Y792" i="68" s="1"/>
  <c r="Y883" i="68" s="1"/>
  <c r="Y700" i="68"/>
  <c r="S341" i="68"/>
  <c r="R759" i="72"/>
  <c r="X700" i="68"/>
  <c r="X701" i="68"/>
  <c r="X792" i="68" s="1"/>
  <c r="X883" i="68" s="1"/>
  <c r="J422" i="68"/>
  <c r="J513" i="68" s="1"/>
  <c r="J604" i="68" s="1"/>
  <c r="J421" i="68"/>
  <c r="J400" i="68"/>
  <c r="J401" i="68"/>
  <c r="J492" i="68" s="1"/>
  <c r="J583" i="68" s="1"/>
  <c r="AF419" i="68"/>
  <c r="AF510" i="68" s="1"/>
  <c r="AF601" i="68" s="1"/>
  <c r="AF418" i="68"/>
  <c r="AB170" i="68"/>
  <c r="AC185" i="68"/>
  <c r="V431" i="68"/>
  <c r="V522" i="68" s="1"/>
  <c r="V613" i="68" s="1"/>
  <c r="V430" i="68"/>
  <c r="AA433" i="68"/>
  <c r="P67" i="68"/>
  <c r="P68" i="68"/>
  <c r="P159" i="68" s="1"/>
  <c r="P250" i="68" s="1"/>
  <c r="V404" i="68"/>
  <c r="V495" i="68" s="1"/>
  <c r="V586" i="68" s="1"/>
  <c r="V403" i="68"/>
  <c r="M85" i="68"/>
  <c r="M86" i="68"/>
  <c r="M177" i="68" s="1"/>
  <c r="M268" i="68" s="1"/>
  <c r="S176" i="68"/>
  <c r="Z352" i="68"/>
  <c r="Y770" i="72"/>
  <c r="L795" i="72"/>
  <c r="M655" i="68"/>
  <c r="M197" i="68"/>
  <c r="AE410" i="68"/>
  <c r="AE501" i="68" s="1"/>
  <c r="AE592" i="68" s="1"/>
  <c r="AE409" i="68"/>
  <c r="P673" i="68"/>
  <c r="O813" i="72"/>
  <c r="AH366" i="68"/>
  <c r="AG784" i="72"/>
  <c r="L146" i="68"/>
  <c r="L237" i="68" s="1"/>
  <c r="L328" i="68" s="1"/>
  <c r="L145" i="68"/>
  <c r="J445" i="68"/>
  <c r="J536" i="68" s="1"/>
  <c r="J446" i="68"/>
  <c r="AB764" i="68"/>
  <c r="AB855" i="68" s="1"/>
  <c r="AB946" i="68" s="1"/>
  <c r="AB763" i="68"/>
  <c r="U751" i="68"/>
  <c r="U752" i="68"/>
  <c r="U843" i="68" s="1"/>
  <c r="U934" i="68" s="1"/>
  <c r="AB361" i="68"/>
  <c r="AA779" i="72"/>
  <c r="O374" i="68"/>
  <c r="O465" i="68" s="1"/>
  <c r="O556" i="68" s="1"/>
  <c r="O373" i="68"/>
  <c r="T361" i="68"/>
  <c r="S779" i="72"/>
  <c r="I114" i="68"/>
  <c r="I203" i="68"/>
  <c r="S722" i="68"/>
  <c r="S813" i="68" s="1"/>
  <c r="S904" i="68" s="1"/>
  <c r="S721" i="68"/>
  <c r="AF788" i="72"/>
  <c r="AD723" i="72"/>
  <c r="AD692" i="72"/>
  <c r="M113" i="68"/>
  <c r="M204" i="68" s="1"/>
  <c r="M295" i="68" s="1"/>
  <c r="M112" i="68"/>
  <c r="P803" i="72"/>
  <c r="Q663" i="68"/>
  <c r="AH736" i="68"/>
  <c r="AH737" i="68"/>
  <c r="AH828" i="68" s="1"/>
  <c r="AH919" i="68" s="1"/>
  <c r="V808" i="72"/>
  <c r="W668" i="68"/>
  <c r="AA792" i="72"/>
  <c r="AB652" i="68"/>
  <c r="AG356" i="68"/>
  <c r="AF774" i="72"/>
  <c r="O697" i="68"/>
  <c r="O698" i="68"/>
  <c r="O789" i="68" s="1"/>
  <c r="O880" i="68" s="1"/>
  <c r="AG772" i="72"/>
  <c r="AH354" i="68"/>
  <c r="Y382" i="68"/>
  <c r="Y383" i="68"/>
  <c r="Y474" i="68" s="1"/>
  <c r="Y565" i="68" s="1"/>
  <c r="I388" i="68"/>
  <c r="I389" i="68"/>
  <c r="I480" i="68" s="1"/>
  <c r="I571" i="68" s="1"/>
  <c r="S348" i="68"/>
  <c r="R766" i="72"/>
  <c r="V185" i="68"/>
  <c r="R392" i="68"/>
  <c r="R483" i="68" s="1"/>
  <c r="R574" i="68" s="1"/>
  <c r="R391" i="68"/>
  <c r="AD400" i="68"/>
  <c r="AD401" i="68"/>
  <c r="AD492" i="68" s="1"/>
  <c r="AD583" i="68" s="1"/>
  <c r="J425" i="68"/>
  <c r="J516" i="68" s="1"/>
  <c r="J607" i="68" s="1"/>
  <c r="J424" i="68"/>
  <c r="U113" i="68"/>
  <c r="U204" i="68" s="1"/>
  <c r="U295" i="68" s="1"/>
  <c r="U112" i="68"/>
  <c r="N775" i="72"/>
  <c r="P769" i="72"/>
  <c r="Q351" i="68"/>
  <c r="O661" i="68"/>
  <c r="N801" i="72"/>
  <c r="AA802" i="72"/>
  <c r="AB662" i="68"/>
  <c r="X100" i="68"/>
  <c r="X101" i="68"/>
  <c r="X192" i="68" s="1"/>
  <c r="X283" i="68" s="1"/>
  <c r="U106" i="68"/>
  <c r="U107" i="68"/>
  <c r="U198" i="68" s="1"/>
  <c r="U289" i="68" s="1"/>
  <c r="V670" i="68"/>
  <c r="U810" i="72"/>
  <c r="Q130" i="68"/>
  <c r="Q221" i="68" s="1"/>
  <c r="Q131" i="68"/>
  <c r="AE362" i="68"/>
  <c r="AD780" i="72"/>
  <c r="U65" i="68"/>
  <c r="U156" i="68" s="1"/>
  <c r="U247" i="68" s="1"/>
  <c r="U64" i="68"/>
  <c r="AD362" i="68"/>
  <c r="AC780" i="72"/>
  <c r="AH362" i="68"/>
  <c r="AG780" i="72"/>
  <c r="Q674" i="68"/>
  <c r="P814" i="72"/>
  <c r="AF669" i="68"/>
  <c r="AE809" i="72"/>
  <c r="P136" i="68"/>
  <c r="P137" i="68"/>
  <c r="P228" i="68" s="1"/>
  <c r="P319" i="68" s="1"/>
  <c r="K780" i="72"/>
  <c r="AA224" i="68"/>
  <c r="L342" i="68"/>
  <c r="K760" i="72"/>
  <c r="T686" i="68"/>
  <c r="T777" i="68" s="1"/>
  <c r="T868" i="68" s="1"/>
  <c r="T685" i="68"/>
  <c r="AF794" i="72"/>
  <c r="AG654" i="68"/>
  <c r="AA685" i="68"/>
  <c r="AA686" i="68"/>
  <c r="AA777" i="68" s="1"/>
  <c r="AA868" i="68" s="1"/>
  <c r="J382" i="68"/>
  <c r="J383" i="68"/>
  <c r="J474" i="68" s="1"/>
  <c r="J565" i="68" s="1"/>
  <c r="K723" i="72"/>
  <c r="K692" i="72"/>
  <c r="W349" i="68"/>
  <c r="V767" i="72"/>
  <c r="P418" i="68"/>
  <c r="P419" i="68"/>
  <c r="P510" i="68" s="1"/>
  <c r="P601" i="68" s="1"/>
  <c r="M115" i="68"/>
  <c r="M116" i="68"/>
  <c r="M207" i="68" s="1"/>
  <c r="M298" i="68" s="1"/>
  <c r="Y173" i="68"/>
  <c r="R724" i="68"/>
  <c r="R725" i="68"/>
  <c r="R816" i="68" s="1"/>
  <c r="R907" i="68" s="1"/>
  <c r="Z84" i="68"/>
  <c r="Z173" i="68"/>
  <c r="V377" i="68"/>
  <c r="V468" i="68" s="1"/>
  <c r="V559" i="68" s="1"/>
  <c r="V376" i="68"/>
  <c r="S81" i="68"/>
  <c r="S170" i="68"/>
  <c r="J79" i="68"/>
  <c r="J80" i="68"/>
  <c r="J171" i="68" s="1"/>
  <c r="J262" i="68" s="1"/>
  <c r="I400" i="68"/>
  <c r="I401" i="68"/>
  <c r="I492" i="68" s="1"/>
  <c r="I583" i="68" s="1"/>
  <c r="T78" i="68"/>
  <c r="T167" i="68"/>
  <c r="Z346" i="68"/>
  <c r="Y764" i="72"/>
  <c r="R770" i="72"/>
  <c r="S352" i="68"/>
  <c r="T406" i="68"/>
  <c r="T407" i="68"/>
  <c r="T498" i="68" s="1"/>
  <c r="T589" i="68" s="1"/>
  <c r="S675" i="68"/>
  <c r="R815" i="72"/>
  <c r="AD671" i="68"/>
  <c r="AC811" i="72"/>
  <c r="M755" i="68"/>
  <c r="M846" i="68" s="1"/>
  <c r="M937" i="68" s="1"/>
  <c r="M754" i="68"/>
  <c r="N454" i="68"/>
  <c r="N545" i="68" s="1"/>
  <c r="N455" i="68"/>
  <c r="W143" i="68"/>
  <c r="W234" i="68" s="1"/>
  <c r="W325" i="68" s="1"/>
  <c r="W142" i="68"/>
  <c r="X137" i="68"/>
  <c r="X228" i="68" s="1"/>
  <c r="X319" i="68" s="1"/>
  <c r="X136" i="68"/>
  <c r="Z135" i="68"/>
  <c r="Z224" i="68"/>
  <c r="P442" i="68"/>
  <c r="P443" i="68"/>
  <c r="P534" i="68" s="1"/>
  <c r="P625" i="68" s="1"/>
  <c r="R442" i="68"/>
  <c r="R443" i="68"/>
  <c r="R534" i="68" s="1"/>
  <c r="R625" i="68" s="1"/>
  <c r="R713" i="68"/>
  <c r="R804" i="68" s="1"/>
  <c r="R895" i="68" s="1"/>
  <c r="R712" i="68"/>
  <c r="AE700" i="68"/>
  <c r="AE701" i="68"/>
  <c r="AE792" i="68" s="1"/>
  <c r="AE883" i="68" s="1"/>
  <c r="T185" i="68"/>
  <c r="J191" i="68"/>
  <c r="W110" i="68"/>
  <c r="W201" i="68" s="1"/>
  <c r="W292" i="68" s="1"/>
  <c r="W109" i="68"/>
  <c r="V734" i="68"/>
  <c r="V825" i="68" s="1"/>
  <c r="V916" i="68" s="1"/>
  <c r="V733" i="68"/>
  <c r="N686" i="68"/>
  <c r="N777" i="68" s="1"/>
  <c r="N868" i="68" s="1"/>
  <c r="N685" i="68"/>
  <c r="S728" i="68"/>
  <c r="S819" i="68" s="1"/>
  <c r="S910" i="68" s="1"/>
  <c r="S727" i="68"/>
  <c r="I794" i="72"/>
  <c r="AG685" i="68"/>
  <c r="AG686" i="68"/>
  <c r="AG777" i="68" s="1"/>
  <c r="AG868" i="68" s="1"/>
  <c r="AE686" i="68"/>
  <c r="AE777" i="68" s="1"/>
  <c r="AE868" i="68" s="1"/>
  <c r="AE685" i="68"/>
  <c r="AC428" i="68"/>
  <c r="AC519" i="68" s="1"/>
  <c r="AC610" i="68" s="1"/>
  <c r="AC427" i="68"/>
  <c r="P792" i="72"/>
  <c r="Q652" i="68"/>
  <c r="M653" i="68"/>
  <c r="L793" i="72"/>
  <c r="O695" i="68"/>
  <c r="O786" i="68" s="1"/>
  <c r="O877" i="68" s="1"/>
  <c r="O694" i="68"/>
  <c r="T692" i="68"/>
  <c r="T783" i="68" s="1"/>
  <c r="T874" i="68" s="1"/>
  <c r="T691" i="68"/>
  <c r="J67" i="68"/>
  <c r="J68" i="68"/>
  <c r="J159" i="68" s="1"/>
  <c r="J250" i="68" s="1"/>
  <c r="U118" i="68"/>
  <c r="U119" i="68"/>
  <c r="U210" i="68" s="1"/>
  <c r="U301" i="68" s="1"/>
  <c r="N400" i="68"/>
  <c r="N401" i="68"/>
  <c r="N492" i="68" s="1"/>
  <c r="N583" i="68" s="1"/>
  <c r="AD170" i="68"/>
  <c r="X419" i="68"/>
  <c r="X510" i="68" s="1"/>
  <c r="X601" i="68" s="1"/>
  <c r="X418" i="68"/>
  <c r="M201" i="72"/>
  <c r="M232" i="72"/>
  <c r="Q185" i="68"/>
  <c r="L410" i="68"/>
  <c r="L501" i="68" s="1"/>
  <c r="L592" i="68" s="1"/>
  <c r="L409" i="68"/>
  <c r="J796" i="72"/>
  <c r="R101" i="68"/>
  <c r="R192" i="68" s="1"/>
  <c r="R283" i="68" s="1"/>
  <c r="R100" i="68"/>
  <c r="AG769" i="72"/>
  <c r="M346" i="68"/>
  <c r="L764" i="72"/>
  <c r="AD675" i="68"/>
  <c r="AC815" i="72"/>
  <c r="X443" i="68"/>
  <c r="X534" i="68" s="1"/>
  <c r="X625" i="68" s="1"/>
  <c r="X442" i="68"/>
  <c r="Q448" i="68"/>
  <c r="Q449" i="68"/>
  <c r="Q540" i="68" s="1"/>
  <c r="Q631" i="68" s="1"/>
  <c r="V810" i="72"/>
  <c r="W670" i="68"/>
  <c r="Q784" i="72"/>
  <c r="AF137" i="68"/>
  <c r="AF228" i="68" s="1"/>
  <c r="AF319" i="68" s="1"/>
  <c r="AF136" i="68"/>
  <c r="Y746" i="68"/>
  <c r="Y837" i="68" s="1"/>
  <c r="Y928" i="68" s="1"/>
  <c r="Y745" i="68"/>
  <c r="U430" i="68"/>
  <c r="U431" i="68"/>
  <c r="U522" i="68" s="1"/>
  <c r="U613" i="68" s="1"/>
  <c r="T81" i="68"/>
  <c r="T170" i="68"/>
  <c r="M398" i="68"/>
  <c r="M489" i="68" s="1"/>
  <c r="M580" i="68" s="1"/>
  <c r="M397" i="68"/>
  <c r="P784" i="72"/>
  <c r="AF751" i="68"/>
  <c r="AF752" i="68"/>
  <c r="AF843" i="68" s="1"/>
  <c r="AF934" i="68" s="1"/>
  <c r="Q789" i="72"/>
  <c r="R649" i="68"/>
  <c r="M340" i="68"/>
  <c r="L758" i="72"/>
  <c r="T808" i="72"/>
  <c r="U668" i="68"/>
  <c r="T652" i="68"/>
  <c r="S792" i="72"/>
  <c r="AC734" i="68"/>
  <c r="AC825" i="68" s="1"/>
  <c r="AC916" i="68" s="1"/>
  <c r="AC733" i="68"/>
  <c r="R730" i="68"/>
  <c r="R731" i="68"/>
  <c r="R822" i="68" s="1"/>
  <c r="R913" i="68" s="1"/>
  <c r="AF664" i="68"/>
  <c r="AE804" i="72"/>
  <c r="H797" i="72"/>
  <c r="Z767" i="72"/>
  <c r="AA349" i="68"/>
  <c r="P118" i="68"/>
  <c r="P119" i="68"/>
  <c r="P210" i="68" s="1"/>
  <c r="P301" i="68" s="1"/>
  <c r="N358" i="68"/>
  <c r="M776" i="72"/>
  <c r="AD95" i="68"/>
  <c r="AD186" i="68" s="1"/>
  <c r="AD277" i="68" s="1"/>
  <c r="AD94" i="68"/>
  <c r="I176" i="68"/>
  <c r="O126" i="68"/>
  <c r="O215" i="68"/>
  <c r="AB126" i="68"/>
  <c r="AB215" i="68"/>
  <c r="M353" i="68"/>
  <c r="L771" i="72"/>
  <c r="J107" i="68"/>
  <c r="J198" i="68" s="1"/>
  <c r="J289" i="68" s="1"/>
  <c r="J106" i="68"/>
  <c r="Q103" i="68"/>
  <c r="Q104" i="68"/>
  <c r="Q195" i="68" s="1"/>
  <c r="Q286" i="68" s="1"/>
  <c r="X656" i="68"/>
  <c r="W796" i="72"/>
  <c r="AC101" i="68"/>
  <c r="AC192" i="68" s="1"/>
  <c r="AC283" i="68" s="1"/>
  <c r="AC100" i="68"/>
  <c r="Y718" i="68"/>
  <c r="Y719" i="68"/>
  <c r="Y810" i="68" s="1"/>
  <c r="Y901" i="68" s="1"/>
  <c r="AA674" i="68"/>
  <c r="Z814" i="72"/>
  <c r="V809" i="72"/>
  <c r="N745" i="68"/>
  <c r="N746" i="68"/>
  <c r="N837" i="68" s="1"/>
  <c r="N928" i="68" s="1"/>
  <c r="AF436" i="68"/>
  <c r="AF437" i="68"/>
  <c r="AF528" i="68" s="1"/>
  <c r="AF619" i="68" s="1"/>
  <c r="V813" i="72"/>
  <c r="W673" i="68"/>
  <c r="AB673" i="68"/>
  <c r="AA813" i="72"/>
  <c r="R813" i="72"/>
  <c r="AE674" i="68"/>
  <c r="AD814" i="72"/>
  <c r="AF339" i="68"/>
  <c r="AE757" i="72"/>
  <c r="W763" i="68"/>
  <c r="W854" i="68" s="1"/>
  <c r="W764" i="68"/>
  <c r="P386" i="68"/>
  <c r="P477" i="68" s="1"/>
  <c r="P568" i="68" s="1"/>
  <c r="P385" i="68"/>
  <c r="O395" i="68"/>
  <c r="O486" i="68" s="1"/>
  <c r="O577" i="68" s="1"/>
  <c r="O394" i="68"/>
  <c r="P155" i="68"/>
  <c r="AA809" i="72"/>
  <c r="P129" i="68"/>
  <c r="P219" i="68"/>
  <c r="P310" i="68" s="1"/>
  <c r="Y657" i="68"/>
  <c r="X797" i="72"/>
  <c r="AG777" i="72"/>
  <c r="AH359" i="68"/>
  <c r="Z701" i="68"/>
  <c r="Z792" i="68" s="1"/>
  <c r="Z883" i="68" s="1"/>
  <c r="Z700" i="68"/>
  <c r="M763" i="72"/>
  <c r="AB740" i="68"/>
  <c r="AB831" i="68" s="1"/>
  <c r="AB922" i="68" s="1"/>
  <c r="AB739" i="68"/>
  <c r="S742" i="68"/>
  <c r="S743" i="68"/>
  <c r="S834" i="68" s="1"/>
  <c r="S925" i="68" s="1"/>
  <c r="U807" i="72"/>
  <c r="V667" i="68"/>
  <c r="P701" i="68"/>
  <c r="P792" i="68" s="1"/>
  <c r="P883" i="68" s="1"/>
  <c r="P700" i="68"/>
  <c r="AB761" i="72"/>
  <c r="AC343" i="68"/>
  <c r="AB697" i="68"/>
  <c r="AB698" i="68"/>
  <c r="AB789" i="68" s="1"/>
  <c r="AB880" i="68" s="1"/>
  <c r="AB447" i="72"/>
  <c r="AB478" i="72"/>
  <c r="W359" i="68"/>
  <c r="V777" i="72"/>
  <c r="W760" i="72"/>
  <c r="AG348" i="68"/>
  <c r="AF766" i="72"/>
  <c r="J126" i="68"/>
  <c r="J215" i="68"/>
  <c r="AE90" i="68"/>
  <c r="AE179" i="68"/>
  <c r="M167" i="68"/>
  <c r="AA206" i="68"/>
  <c r="O659" i="68"/>
  <c r="N799" i="72"/>
  <c r="X347" i="68"/>
  <c r="W765" i="72"/>
  <c r="S107" i="68"/>
  <c r="S198" i="68" s="1"/>
  <c r="S289" i="68" s="1"/>
  <c r="S106" i="68"/>
  <c r="AD97" i="68"/>
  <c r="AD98" i="68"/>
  <c r="AD189" i="68" s="1"/>
  <c r="AD280" i="68" s="1"/>
  <c r="P810" i="72"/>
  <c r="O145" i="68"/>
  <c r="O146" i="68"/>
  <c r="O237" i="68" s="1"/>
  <c r="O328" i="68" s="1"/>
  <c r="AC782" i="72"/>
  <c r="Z130" i="68"/>
  <c r="Z131" i="68"/>
  <c r="Z222" i="68" s="1"/>
  <c r="Z313" i="68" s="1"/>
  <c r="Y130" i="68"/>
  <c r="Y131" i="68"/>
  <c r="Y222" i="68" s="1"/>
  <c r="Y313" i="68" s="1"/>
  <c r="AE748" i="68"/>
  <c r="AE839" i="68" s="1"/>
  <c r="AE749" i="68"/>
  <c r="AA810" i="72"/>
  <c r="Q129" i="68"/>
  <c r="Q218" i="68"/>
  <c r="AB780" i="72"/>
  <c r="AC129" i="68"/>
  <c r="AC218" i="68"/>
  <c r="I803" i="72"/>
  <c r="U692" i="72"/>
  <c r="U723" i="72"/>
  <c r="W691" i="68"/>
  <c r="W692" i="68"/>
  <c r="W783" i="68" s="1"/>
  <c r="W874" i="68" s="1"/>
  <c r="P185" i="68"/>
  <c r="X176" i="68"/>
  <c r="L811" i="72"/>
  <c r="H783" i="72"/>
  <c r="J74" i="68"/>
  <c r="J165" i="68" s="1"/>
  <c r="J256" i="68" s="1"/>
  <c r="J73" i="68"/>
  <c r="R110" i="68"/>
  <c r="R201" i="68" s="1"/>
  <c r="R292" i="68" s="1"/>
  <c r="R109" i="68"/>
  <c r="Z342" i="68"/>
  <c r="Y760" i="72"/>
  <c r="W698" i="68"/>
  <c r="W789" i="68" s="1"/>
  <c r="W880" i="68" s="1"/>
  <c r="W697" i="68"/>
  <c r="V805" i="72"/>
  <c r="S712" i="68"/>
  <c r="S713" i="68"/>
  <c r="S804" i="68" s="1"/>
  <c r="S895" i="68" s="1"/>
  <c r="AC666" i="68"/>
  <c r="AB806" i="72"/>
  <c r="T802" i="72"/>
  <c r="U662" i="68"/>
  <c r="Y667" i="68"/>
  <c r="X807" i="72"/>
  <c r="AG430" i="68"/>
  <c r="AG431" i="68"/>
  <c r="AG522" i="68" s="1"/>
  <c r="AG613" i="68" s="1"/>
  <c r="O419" i="68"/>
  <c r="O510" i="68" s="1"/>
  <c r="O601" i="68" s="1"/>
  <c r="O418" i="68"/>
  <c r="AA388" i="68"/>
  <c r="AA389" i="68"/>
  <c r="AA480" i="68" s="1"/>
  <c r="AA571" i="68" s="1"/>
  <c r="L348" i="68"/>
  <c r="K766" i="72"/>
  <c r="N354" i="68"/>
  <c r="M772" i="72"/>
  <c r="AA120" i="68"/>
  <c r="AA209" i="68"/>
  <c r="P428" i="68"/>
  <c r="P519" i="68" s="1"/>
  <c r="P610" i="68" s="1"/>
  <c r="P427" i="68"/>
  <c r="U774" i="72"/>
  <c r="V356" i="68"/>
  <c r="I776" i="72"/>
  <c r="Z90" i="68"/>
  <c r="Z179" i="68"/>
  <c r="J88" i="68"/>
  <c r="J89" i="68"/>
  <c r="J180" i="68" s="1"/>
  <c r="J271" i="68" s="1"/>
  <c r="AH389" i="68"/>
  <c r="AH480" i="68" s="1"/>
  <c r="AH571" i="68" s="1"/>
  <c r="AH388" i="68"/>
  <c r="X93" i="68"/>
  <c r="X182" i="68"/>
  <c r="N126" i="68"/>
  <c r="N215" i="68"/>
  <c r="W418" i="68"/>
  <c r="W419" i="68"/>
  <c r="W510" i="68" s="1"/>
  <c r="W601" i="68" s="1"/>
  <c r="Z716" i="68"/>
  <c r="Z807" i="68" s="1"/>
  <c r="Z898" i="68" s="1"/>
  <c r="Z715" i="68"/>
  <c r="W353" i="68"/>
  <c r="V771" i="72"/>
  <c r="M707" i="68"/>
  <c r="M798" i="68" s="1"/>
  <c r="M889" i="68" s="1"/>
  <c r="M706" i="68"/>
  <c r="J704" i="68"/>
  <c r="J795" i="68" s="1"/>
  <c r="J886" i="68" s="1"/>
  <c r="J703" i="68"/>
  <c r="V353" i="68"/>
  <c r="U771" i="72"/>
  <c r="J397" i="68"/>
  <c r="J398" i="68"/>
  <c r="J489" i="68" s="1"/>
  <c r="J580" i="68" s="1"/>
  <c r="AD366" i="68"/>
  <c r="AC784" i="72"/>
  <c r="Y365" i="68"/>
  <c r="X783" i="72"/>
  <c r="AB782" i="72"/>
  <c r="AC364" i="68"/>
  <c r="V782" i="72"/>
  <c r="AB812" i="72"/>
  <c r="AC672" i="68"/>
  <c r="Q362" i="68"/>
  <c r="P780" i="72"/>
  <c r="Y442" i="68"/>
  <c r="Y443" i="68"/>
  <c r="Y534" i="68" s="1"/>
  <c r="Y625" i="68" s="1"/>
  <c r="AF143" i="68"/>
  <c r="AF234" i="68" s="1"/>
  <c r="AF325" i="68" s="1"/>
  <c r="AF142" i="68"/>
  <c r="AG362" i="68"/>
  <c r="AF780" i="72"/>
  <c r="I135" i="68"/>
  <c r="I224" i="68"/>
  <c r="L670" i="68"/>
  <c r="K810" i="72"/>
  <c r="U134" i="68"/>
  <c r="U225" i="68" s="1"/>
  <c r="U316" i="68" s="1"/>
  <c r="U133" i="68"/>
  <c r="AH124" i="68"/>
  <c r="AH125" i="68"/>
  <c r="AH216" i="68" s="1"/>
  <c r="AH307" i="68" s="1"/>
  <c r="Z321" i="68"/>
  <c r="E9" i="1"/>
  <c r="E11" i="1" s="1"/>
  <c r="V695" i="68" l="1"/>
  <c r="V786" i="68" s="1"/>
  <c r="V877" i="68" s="1"/>
  <c r="AF230" i="68"/>
  <c r="AF404" i="68"/>
  <c r="AF495" i="68" s="1"/>
  <c r="AF586" i="68" s="1"/>
  <c r="O197" i="68"/>
  <c r="U123" i="68"/>
  <c r="K141" i="68"/>
  <c r="L715" i="68"/>
  <c r="Q108" i="68"/>
  <c r="L99" i="68"/>
  <c r="AB93" i="68"/>
  <c r="AC96" i="68"/>
  <c r="P382" i="68"/>
  <c r="V123" i="68"/>
  <c r="K164" i="68"/>
  <c r="O230" i="68"/>
  <c r="AF121" i="68"/>
  <c r="AF212" i="68" s="1"/>
  <c r="AG84" i="68"/>
  <c r="Z141" i="68"/>
  <c r="N185" i="68"/>
  <c r="AD689" i="68"/>
  <c r="AD780" i="68" s="1"/>
  <c r="AD871" i="68" s="1"/>
  <c r="T397" i="68"/>
  <c r="T399" i="68" s="1"/>
  <c r="Z706" i="68"/>
  <c r="Z797" i="68" s="1"/>
  <c r="AD433" i="68"/>
  <c r="AD435" i="68" s="1"/>
  <c r="N78" i="68"/>
  <c r="W185" i="68"/>
  <c r="W276" i="68" s="1"/>
  <c r="W278" i="68" s="1"/>
  <c r="AG147" i="68"/>
  <c r="AD73" i="68"/>
  <c r="K87" i="68"/>
  <c r="J713" i="68"/>
  <c r="J804" i="68" s="1"/>
  <c r="J895" i="68" s="1"/>
  <c r="AD694" i="68"/>
  <c r="AD785" i="68" s="1"/>
  <c r="AA135" i="68"/>
  <c r="K440" i="68"/>
  <c r="K531" i="68" s="1"/>
  <c r="K622" i="68" s="1"/>
  <c r="X69" i="68"/>
  <c r="O155" i="68"/>
  <c r="O246" i="68" s="1"/>
  <c r="O248" i="68" s="1"/>
  <c r="T105" i="68"/>
  <c r="I764" i="68"/>
  <c r="AB430" i="68"/>
  <c r="AB432" i="68" s="1"/>
  <c r="P233" i="68"/>
  <c r="P235" i="68" s="1"/>
  <c r="AG120" i="68"/>
  <c r="AD87" i="68"/>
  <c r="K102" i="68"/>
  <c r="AE105" i="68"/>
  <c r="AA144" i="68"/>
  <c r="S427" i="68"/>
  <c r="I96" i="68"/>
  <c r="P135" i="68"/>
  <c r="W84" i="68"/>
  <c r="T138" i="68"/>
  <c r="T433" i="68"/>
  <c r="T524" i="68" s="1"/>
  <c r="J102" i="68"/>
  <c r="AC407" i="68"/>
  <c r="AC498" i="68" s="1"/>
  <c r="AC589" i="68" s="1"/>
  <c r="V79" i="68"/>
  <c r="S105" i="68"/>
  <c r="L721" i="68"/>
  <c r="L812" i="68" s="1"/>
  <c r="R410" i="68"/>
  <c r="R501" i="68" s="1"/>
  <c r="R592" i="68" s="1"/>
  <c r="J233" i="68"/>
  <c r="J324" i="68" s="1"/>
  <c r="J326" i="68" s="1"/>
  <c r="S224" i="68"/>
  <c r="S315" i="68" s="1"/>
  <c r="S317" i="68" s="1"/>
  <c r="Q191" i="68"/>
  <c r="Q282" i="68" s="1"/>
  <c r="Q284" i="68" s="1"/>
  <c r="Q123" i="68"/>
  <c r="AC161" i="68"/>
  <c r="AH132" i="68"/>
  <c r="L194" i="68"/>
  <c r="L285" i="68" s="1"/>
  <c r="L287" i="68" s="1"/>
  <c r="AH144" i="68"/>
  <c r="R706" i="68"/>
  <c r="R708" i="68" s="1"/>
  <c r="T197" i="68"/>
  <c r="T288" i="68" s="1"/>
  <c r="T290" i="68" s="1"/>
  <c r="R203" i="68"/>
  <c r="R294" i="68" s="1"/>
  <c r="R296" i="68" s="1"/>
  <c r="X81" i="68"/>
  <c r="Q745" i="68"/>
  <c r="N228" i="68"/>
  <c r="N319" i="68" s="1"/>
  <c r="N320" i="68" s="1"/>
  <c r="AE203" i="68"/>
  <c r="AE294" i="68" s="1"/>
  <c r="AE296" i="68" s="1"/>
  <c r="M78" i="68"/>
  <c r="I147" i="68"/>
  <c r="R66" i="68"/>
  <c r="O81" i="68"/>
  <c r="T147" i="68"/>
  <c r="P141" i="68"/>
  <c r="X87" i="68"/>
  <c r="AA164" i="68"/>
  <c r="AA255" i="68" s="1"/>
  <c r="AA257" i="68" s="1"/>
  <c r="AA117" i="68"/>
  <c r="O377" i="68"/>
  <c r="O468" i="68" s="1"/>
  <c r="O559" i="68" s="1"/>
  <c r="K742" i="68"/>
  <c r="K744" i="68" s="1"/>
  <c r="Q90" i="68"/>
  <c r="AC108" i="68"/>
  <c r="J691" i="68"/>
  <c r="R697" i="68"/>
  <c r="R699" i="68" s="1"/>
  <c r="I129" i="68"/>
  <c r="AD179" i="68"/>
  <c r="AD270" i="68" s="1"/>
  <c r="AD272" i="68" s="1"/>
  <c r="T188" i="68"/>
  <c r="T190" i="68" s="1"/>
  <c r="V206" i="68"/>
  <c r="V297" i="68" s="1"/>
  <c r="V299" i="68" s="1"/>
  <c r="X695" i="68"/>
  <c r="X786" i="68" s="1"/>
  <c r="X877" i="68" s="1"/>
  <c r="N713" i="68"/>
  <c r="N804" i="68" s="1"/>
  <c r="N895" i="68" s="1"/>
  <c r="X743" i="68"/>
  <c r="X834" i="68" s="1"/>
  <c r="X925" i="68" s="1"/>
  <c r="S144" i="68"/>
  <c r="O179" i="68"/>
  <c r="O270" i="68" s="1"/>
  <c r="O272" i="68" s="1"/>
  <c r="P724" i="68"/>
  <c r="P726" i="68" s="1"/>
  <c r="S227" i="68"/>
  <c r="S318" i="68" s="1"/>
  <c r="S320" i="68" s="1"/>
  <c r="J721" i="68"/>
  <c r="J723" i="68" s="1"/>
  <c r="O740" i="68"/>
  <c r="O831" i="68" s="1"/>
  <c r="O922" i="68" s="1"/>
  <c r="AB194" i="68"/>
  <c r="AB285" i="68" s="1"/>
  <c r="AB287" i="68" s="1"/>
  <c r="M719" i="68"/>
  <c r="M810" i="68" s="1"/>
  <c r="M901" i="68" s="1"/>
  <c r="K215" i="68"/>
  <c r="K217" i="68" s="1"/>
  <c r="P90" i="68"/>
  <c r="N87" i="68"/>
  <c r="U87" i="68"/>
  <c r="P740" i="68"/>
  <c r="P831" i="68" s="1"/>
  <c r="P922" i="68" s="1"/>
  <c r="J224" i="68"/>
  <c r="J315" i="68" s="1"/>
  <c r="J317" i="68" s="1"/>
  <c r="AD200" i="68"/>
  <c r="AD291" i="68" s="1"/>
  <c r="AD293" i="68" s="1"/>
  <c r="N443" i="68"/>
  <c r="P736" i="68"/>
  <c r="P827" i="68" s="1"/>
  <c r="AD105" i="68"/>
  <c r="AG72" i="68"/>
  <c r="AB81" i="68"/>
  <c r="R108" i="68"/>
  <c r="Y716" i="68"/>
  <c r="Y807" i="68" s="1"/>
  <c r="Y898" i="68" s="1"/>
  <c r="AB212" i="68"/>
  <c r="AB303" i="68" s="1"/>
  <c r="AB305" i="68" s="1"/>
  <c r="N225" i="68"/>
  <c r="N316" i="68" s="1"/>
  <c r="N317" i="68" s="1"/>
  <c r="AG410" i="68"/>
  <c r="AG501" i="68" s="1"/>
  <c r="AG592" i="68" s="1"/>
  <c r="AH75" i="68"/>
  <c r="AB173" i="68"/>
  <c r="AB264" i="68" s="1"/>
  <c r="AB266" i="68" s="1"/>
  <c r="P66" i="68"/>
  <c r="AG93" i="68"/>
  <c r="AA99" i="68"/>
  <c r="J93" i="68"/>
  <c r="O683" i="68"/>
  <c r="O774" i="68" s="1"/>
  <c r="O865" i="68" s="1"/>
  <c r="L406" i="68"/>
  <c r="L497" i="68" s="1"/>
  <c r="W715" i="68"/>
  <c r="W717" i="68" s="1"/>
  <c r="AD233" i="68"/>
  <c r="AD235" i="68" s="1"/>
  <c r="L137" i="68"/>
  <c r="L228" i="68" s="1"/>
  <c r="L319" i="68" s="1"/>
  <c r="Z227" i="68"/>
  <c r="Z318" i="68" s="1"/>
  <c r="Z320" i="68" s="1"/>
  <c r="AB87" i="68"/>
  <c r="AA716" i="68"/>
  <c r="AA807" i="68" s="1"/>
  <c r="AA898" i="68" s="1"/>
  <c r="T728" i="68"/>
  <c r="T819" i="68" s="1"/>
  <c r="T910" i="68" s="1"/>
  <c r="R430" i="68"/>
  <c r="R432" i="68" s="1"/>
  <c r="Y90" i="68"/>
  <c r="L164" i="68"/>
  <c r="L166" i="68" s="1"/>
  <c r="W72" i="68"/>
  <c r="P424" i="68"/>
  <c r="P426" i="68" s="1"/>
  <c r="AB427" i="68"/>
  <c r="AB518" i="68" s="1"/>
  <c r="T763" i="68"/>
  <c r="T765" i="68" s="1"/>
  <c r="AG78" i="68"/>
  <c r="Z754" i="68"/>
  <c r="Z756" i="68" s="1"/>
  <c r="R194" i="68"/>
  <c r="R285" i="68" s="1"/>
  <c r="R287" i="68" s="1"/>
  <c r="AB391" i="68"/>
  <c r="AB482" i="68" s="1"/>
  <c r="K72" i="68"/>
  <c r="N105" i="68"/>
  <c r="L437" i="68"/>
  <c r="L528" i="68" s="1"/>
  <c r="L619" i="68" s="1"/>
  <c r="N111" i="68"/>
  <c r="N434" i="68"/>
  <c r="N525" i="68" s="1"/>
  <c r="N616" i="68" s="1"/>
  <c r="Z117" i="68"/>
  <c r="AF81" i="68"/>
  <c r="Y123" i="68"/>
  <c r="V96" i="68"/>
  <c r="AH400" i="68"/>
  <c r="AH491" i="68" s="1"/>
  <c r="P407" i="68"/>
  <c r="P498" i="68" s="1"/>
  <c r="P589" i="68" s="1"/>
  <c r="V99" i="68"/>
  <c r="Y419" i="68"/>
  <c r="Y510" i="68" s="1"/>
  <c r="Y601" i="68" s="1"/>
  <c r="AB164" i="68"/>
  <c r="AB255" i="68" s="1"/>
  <c r="AB257" i="68" s="1"/>
  <c r="M105" i="68"/>
  <c r="W221" i="68"/>
  <c r="W223" i="68" s="1"/>
  <c r="U173" i="68"/>
  <c r="U175" i="68" s="1"/>
  <c r="AA200" i="68"/>
  <c r="AA291" i="68" s="1"/>
  <c r="AA293" i="68" s="1"/>
  <c r="AE68" i="68"/>
  <c r="AE159" i="68" s="1"/>
  <c r="AE250" i="68" s="1"/>
  <c r="Z448" i="68"/>
  <c r="Z450" i="68" s="1"/>
  <c r="AF96" i="68"/>
  <c r="AG167" i="68"/>
  <c r="AG258" i="68" s="1"/>
  <c r="AG260" i="68" s="1"/>
  <c r="AH194" i="68"/>
  <c r="AH285" i="68" s="1"/>
  <c r="AH287" i="68" s="1"/>
  <c r="Z197" i="68"/>
  <c r="Z288" i="68" s="1"/>
  <c r="Z290" i="68" s="1"/>
  <c r="AD147" i="68"/>
  <c r="O101" i="68"/>
  <c r="O192" i="68" s="1"/>
  <c r="O283" i="68" s="1"/>
  <c r="L713" i="68"/>
  <c r="L804" i="68" s="1"/>
  <c r="L895" i="68" s="1"/>
  <c r="K382" i="68"/>
  <c r="K384" i="68" s="1"/>
  <c r="S84" i="68"/>
  <c r="P117" i="68"/>
  <c r="U733" i="68"/>
  <c r="U735" i="68" s="1"/>
  <c r="K123" i="68"/>
  <c r="AF713" i="68"/>
  <c r="AF804" i="68" s="1"/>
  <c r="AF895" i="68" s="1"/>
  <c r="J136" i="68"/>
  <c r="J227" i="68" s="1"/>
  <c r="J318" i="68" s="1"/>
  <c r="P200" i="68"/>
  <c r="P291" i="68" s="1"/>
  <c r="P293" i="68" s="1"/>
  <c r="N428" i="68"/>
  <c r="N519" i="68" s="1"/>
  <c r="N610" i="68" s="1"/>
  <c r="AG96" i="68"/>
  <c r="S222" i="68"/>
  <c r="S313" i="68" s="1"/>
  <c r="S314" i="68" s="1"/>
  <c r="T70" i="68"/>
  <c r="T72" i="68" s="1"/>
  <c r="AG105" i="68"/>
  <c r="Z161" i="68"/>
  <c r="Z252" i="68" s="1"/>
  <c r="Z254" i="68" s="1"/>
  <c r="V93" i="68"/>
  <c r="T87" i="68"/>
  <c r="Q96" i="68"/>
  <c r="S66" i="68"/>
  <c r="S212" i="68"/>
  <c r="S303" i="68" s="1"/>
  <c r="S305" i="68" s="1"/>
  <c r="Q115" i="68"/>
  <c r="Q117" i="68" s="1"/>
  <c r="S69" i="68"/>
  <c r="Q203" i="68"/>
  <c r="Q205" i="68" s="1"/>
  <c r="J113" i="68"/>
  <c r="J204" i="68" s="1"/>
  <c r="J295" i="68" s="1"/>
  <c r="T93" i="68"/>
  <c r="AC81" i="68"/>
  <c r="AH90" i="68"/>
  <c r="S87" i="68"/>
  <c r="X129" i="68"/>
  <c r="AD709" i="68"/>
  <c r="AD711" i="68" s="1"/>
  <c r="X401" i="68"/>
  <c r="X492" i="68" s="1"/>
  <c r="X583" i="68" s="1"/>
  <c r="S736" i="68"/>
  <c r="S827" i="68" s="1"/>
  <c r="S918" i="68" s="1"/>
  <c r="V75" i="68"/>
  <c r="K185" i="68"/>
  <c r="K187" i="68" s="1"/>
  <c r="S430" i="68"/>
  <c r="S432" i="68" s="1"/>
  <c r="Z206" i="68"/>
  <c r="Z297" i="68" s="1"/>
  <c r="Z299" i="68" s="1"/>
  <c r="I200" i="68"/>
  <c r="I202" i="68" s="1"/>
  <c r="W69" i="68"/>
  <c r="L129" i="68"/>
  <c r="P182" i="68"/>
  <c r="P273" i="68" s="1"/>
  <c r="P275" i="68" s="1"/>
  <c r="AG185" i="68"/>
  <c r="AG276" i="68" s="1"/>
  <c r="AG278" i="68" s="1"/>
  <c r="T394" i="68"/>
  <c r="T485" i="68" s="1"/>
  <c r="R120" i="68"/>
  <c r="AA179" i="68"/>
  <c r="AA181" i="68" s="1"/>
  <c r="AE394" i="68"/>
  <c r="AE396" i="68" s="1"/>
  <c r="AH697" i="68"/>
  <c r="AH699" i="68" s="1"/>
  <c r="AG722" i="68"/>
  <c r="AG813" i="68" s="1"/>
  <c r="AG904" i="68" s="1"/>
  <c r="R123" i="68"/>
  <c r="AC93" i="68"/>
  <c r="S179" i="68"/>
  <c r="S270" i="68" s="1"/>
  <c r="S272" i="68" s="1"/>
  <c r="AD743" i="68"/>
  <c r="AD834" i="68" s="1"/>
  <c r="AD925" i="68" s="1"/>
  <c r="AA145" i="68"/>
  <c r="AA147" i="68" s="1"/>
  <c r="N81" i="68"/>
  <c r="Y84" i="68"/>
  <c r="AH757" i="68"/>
  <c r="AH759" i="68" s="1"/>
  <c r="K733" i="68"/>
  <c r="K735" i="68" s="1"/>
  <c r="AC721" i="68"/>
  <c r="AC812" i="68" s="1"/>
  <c r="P713" i="68"/>
  <c r="P804" i="68" s="1"/>
  <c r="P895" i="68" s="1"/>
  <c r="I737" i="68"/>
  <c r="I828" i="68" s="1"/>
  <c r="I919" i="68" s="1"/>
  <c r="AC377" i="68"/>
  <c r="AC468" i="68" s="1"/>
  <c r="AC559" i="68" s="1"/>
  <c r="J433" i="68"/>
  <c r="J435" i="68" s="1"/>
  <c r="AB141" i="68"/>
  <c r="V129" i="68"/>
  <c r="P114" i="68"/>
  <c r="L116" i="68"/>
  <c r="L207" i="68" s="1"/>
  <c r="L298" i="68" s="1"/>
  <c r="AC97" i="68"/>
  <c r="AC99" i="68" s="1"/>
  <c r="AG99" i="68"/>
  <c r="P105" i="68"/>
  <c r="AC105" i="68"/>
  <c r="J99" i="68"/>
  <c r="M96" i="68"/>
  <c r="O96" i="68"/>
  <c r="S688" i="68"/>
  <c r="S690" i="68" s="1"/>
  <c r="AA759" i="68"/>
  <c r="AA734" i="68"/>
  <c r="AA825" i="68" s="1"/>
  <c r="AA916" i="68" s="1"/>
  <c r="X746" i="68"/>
  <c r="X837" i="68" s="1"/>
  <c r="X928" i="68" s="1"/>
  <c r="X740" i="68"/>
  <c r="X831" i="68" s="1"/>
  <c r="X922" i="68" s="1"/>
  <c r="AC742" i="68"/>
  <c r="AC744" i="68" s="1"/>
  <c r="T724" i="68"/>
  <c r="T815" i="68" s="1"/>
  <c r="Q403" i="68"/>
  <c r="Q494" i="68" s="1"/>
  <c r="AG406" i="68"/>
  <c r="AG408" i="68" s="1"/>
  <c r="P413" i="68"/>
  <c r="P504" i="68" s="1"/>
  <c r="P595" i="68" s="1"/>
  <c r="Q416" i="68"/>
  <c r="Q507" i="68" s="1"/>
  <c r="Q598" i="68" s="1"/>
  <c r="X427" i="68"/>
  <c r="X429" i="68" s="1"/>
  <c r="W398" i="68"/>
  <c r="W489" i="68" s="1"/>
  <c r="W580" i="68" s="1"/>
  <c r="N413" i="68"/>
  <c r="N504" i="68" s="1"/>
  <c r="N595" i="68" s="1"/>
  <c r="K409" i="68"/>
  <c r="K411" i="68" s="1"/>
  <c r="J373" i="68"/>
  <c r="J464" i="68" s="1"/>
  <c r="AH403" i="68"/>
  <c r="AH405" i="68" s="1"/>
  <c r="J404" i="68"/>
  <c r="J495" i="68" s="1"/>
  <c r="J586" i="68" s="1"/>
  <c r="AF439" i="68"/>
  <c r="AF441" i="68" s="1"/>
  <c r="M392" i="68"/>
  <c r="M483" i="68" s="1"/>
  <c r="M574" i="68" s="1"/>
  <c r="X141" i="68"/>
  <c r="AH135" i="68"/>
  <c r="R132" i="68"/>
  <c r="Y100" i="68"/>
  <c r="Y102" i="68" s="1"/>
  <c r="X200" i="68"/>
  <c r="X291" i="68" s="1"/>
  <c r="X293" i="68" s="1"/>
  <c r="Q176" i="68"/>
  <c r="Q267" i="68" s="1"/>
  <c r="Q269" i="68" s="1"/>
  <c r="L85" i="68"/>
  <c r="L176" i="68" s="1"/>
  <c r="L267" i="68" s="1"/>
  <c r="L269" i="68" s="1"/>
  <c r="O86" i="68"/>
  <c r="O177" i="68" s="1"/>
  <c r="O268" i="68" s="1"/>
  <c r="AC85" i="68"/>
  <c r="AC87" i="68" s="1"/>
  <c r="R87" i="68"/>
  <c r="AH78" i="68"/>
  <c r="AD69" i="68"/>
  <c r="AF66" i="68"/>
  <c r="AC451" i="68"/>
  <c r="AC453" i="68" s="1"/>
  <c r="J412" i="68"/>
  <c r="J503" i="68" s="1"/>
  <c r="Z401" i="68"/>
  <c r="Z492" i="68" s="1"/>
  <c r="Z583" i="68" s="1"/>
  <c r="AE397" i="68"/>
  <c r="AE399" i="68" s="1"/>
  <c r="P400" i="68"/>
  <c r="P402" i="68" s="1"/>
  <c r="AB376" i="68"/>
  <c r="AB378" i="68" s="1"/>
  <c r="AE147" i="68"/>
  <c r="W147" i="68"/>
  <c r="R141" i="68"/>
  <c r="AG134" i="68"/>
  <c r="AG135" i="68" s="1"/>
  <c r="U236" i="68"/>
  <c r="U327" i="68" s="1"/>
  <c r="U329" i="68" s="1"/>
  <c r="AE129" i="68"/>
  <c r="AE111" i="68"/>
  <c r="R97" i="68"/>
  <c r="R188" i="68" s="1"/>
  <c r="R279" i="68" s="1"/>
  <c r="R281" i="68" s="1"/>
  <c r="P101" i="68"/>
  <c r="P192" i="68" s="1"/>
  <c r="P283" i="68" s="1"/>
  <c r="N102" i="68"/>
  <c r="K113" i="68"/>
  <c r="K204" i="68" s="1"/>
  <c r="K295" i="68" s="1"/>
  <c r="P194" i="68"/>
  <c r="P285" i="68" s="1"/>
  <c r="P287" i="68" s="1"/>
  <c r="P96" i="68"/>
  <c r="P203" i="68"/>
  <c r="P294" i="68" s="1"/>
  <c r="P296" i="68" s="1"/>
  <c r="AD116" i="68"/>
  <c r="AD207" i="68" s="1"/>
  <c r="AD298" i="68" s="1"/>
  <c r="P99" i="68"/>
  <c r="O176" i="68"/>
  <c r="O267" i="68" s="1"/>
  <c r="T182" i="68"/>
  <c r="T184" i="68" s="1"/>
  <c r="V90" i="68"/>
  <c r="AG87" i="68"/>
  <c r="AF90" i="68"/>
  <c r="Y80" i="68"/>
  <c r="Y171" i="68" s="1"/>
  <c r="Y262" i="68" s="1"/>
  <c r="N170" i="68"/>
  <c r="N172" i="68" s="1"/>
  <c r="Y164" i="68"/>
  <c r="Y166" i="68" s="1"/>
  <c r="K65" i="68"/>
  <c r="K156" i="68" s="1"/>
  <c r="K247" i="68" s="1"/>
  <c r="L66" i="68"/>
  <c r="AE167" i="68"/>
  <c r="AE258" i="68" s="1"/>
  <c r="AE260" i="68" s="1"/>
  <c r="I121" i="68"/>
  <c r="I122" i="68"/>
  <c r="I213" i="68" s="1"/>
  <c r="I304" i="68" s="1"/>
  <c r="AG131" i="68"/>
  <c r="AG222" i="68" s="1"/>
  <c r="AG313" i="68" s="1"/>
  <c r="AG130" i="68"/>
  <c r="AA68" i="68"/>
  <c r="AA159" i="68" s="1"/>
  <c r="AA250" i="68" s="1"/>
  <c r="AA67" i="68"/>
  <c r="AE87" i="68"/>
  <c r="O70" i="68"/>
  <c r="O71" i="68"/>
  <c r="O162" i="68" s="1"/>
  <c r="O253" i="68" s="1"/>
  <c r="X715" i="68"/>
  <c r="X717" i="68" s="1"/>
  <c r="Q751" i="68"/>
  <c r="Q842" i="68" s="1"/>
  <c r="Q933" i="68" s="1"/>
  <c r="L209" i="68"/>
  <c r="L300" i="68" s="1"/>
  <c r="L302" i="68" s="1"/>
  <c r="AB400" i="68"/>
  <c r="AB402" i="68" s="1"/>
  <c r="AA410" i="68"/>
  <c r="AA501" i="68" s="1"/>
  <c r="AA592" i="68" s="1"/>
  <c r="I139" i="68"/>
  <c r="I140" i="68"/>
  <c r="I231" i="68" s="1"/>
  <c r="I322" i="68" s="1"/>
  <c r="V401" i="68"/>
  <c r="V492" i="68" s="1"/>
  <c r="V583" i="68" s="1"/>
  <c r="AA104" i="68"/>
  <c r="AA195" i="68" s="1"/>
  <c r="AA286" i="68" s="1"/>
  <c r="AG715" i="68"/>
  <c r="AG717" i="68" s="1"/>
  <c r="X737" i="68"/>
  <c r="X828" i="68" s="1"/>
  <c r="X919" i="68" s="1"/>
  <c r="Z233" i="68"/>
  <c r="Z324" i="68" s="1"/>
  <c r="Z326" i="68" s="1"/>
  <c r="O102" i="68"/>
  <c r="AB102" i="68"/>
  <c r="AD119" i="68"/>
  <c r="AD210" i="68" s="1"/>
  <c r="AD301" i="68" s="1"/>
  <c r="AA102" i="68"/>
  <c r="X385" i="68"/>
  <c r="X476" i="68" s="1"/>
  <c r="Y395" i="68"/>
  <c r="Y486" i="68" s="1"/>
  <c r="Y577" i="68" s="1"/>
  <c r="AC182" i="68"/>
  <c r="AC273" i="68" s="1"/>
  <c r="AC275" i="68" s="1"/>
  <c r="U398" i="68"/>
  <c r="U489" i="68" s="1"/>
  <c r="U580" i="68" s="1"/>
  <c r="L69" i="68"/>
  <c r="Z761" i="68"/>
  <c r="Z852" i="68" s="1"/>
  <c r="Z943" i="68" s="1"/>
  <c r="W64" i="68"/>
  <c r="W66" i="68" s="1"/>
  <c r="AF101" i="68"/>
  <c r="AF192" i="68" s="1"/>
  <c r="AF283" i="68" s="1"/>
  <c r="U403" i="68"/>
  <c r="U405" i="68" s="1"/>
  <c r="AG88" i="68"/>
  <c r="AG89" i="68"/>
  <c r="AG180" i="68" s="1"/>
  <c r="AG271" i="68" s="1"/>
  <c r="O158" i="68"/>
  <c r="O249" i="68" s="1"/>
  <c r="O251" i="68" s="1"/>
  <c r="Q688" i="68"/>
  <c r="Q690" i="68" s="1"/>
  <c r="R719" i="68"/>
  <c r="R810" i="68" s="1"/>
  <c r="R901" i="68" s="1"/>
  <c r="N704" i="68"/>
  <c r="N795" i="68" s="1"/>
  <c r="N886" i="68" s="1"/>
  <c r="W445" i="68"/>
  <c r="W447" i="68" s="1"/>
  <c r="X74" i="68"/>
  <c r="X165" i="68" s="1"/>
  <c r="X256" i="68" s="1"/>
  <c r="X206" i="68"/>
  <c r="X297" i="68" s="1"/>
  <c r="X299" i="68" s="1"/>
  <c r="Z410" i="68"/>
  <c r="Z501" i="68" s="1"/>
  <c r="Z592" i="68" s="1"/>
  <c r="K377" i="68"/>
  <c r="K468" i="68" s="1"/>
  <c r="K559" i="68" s="1"/>
  <c r="AH179" i="68"/>
  <c r="AH270" i="68" s="1"/>
  <c r="AH272" i="68" s="1"/>
  <c r="AH111" i="68"/>
  <c r="R758" i="68"/>
  <c r="R759" i="68" s="1"/>
  <c r="K118" i="68"/>
  <c r="W92" i="68"/>
  <c r="W183" i="68" s="1"/>
  <c r="W274" i="68" s="1"/>
  <c r="W91" i="68"/>
  <c r="AB71" i="68"/>
  <c r="AB162" i="68" s="1"/>
  <c r="AB253" i="68" s="1"/>
  <c r="AB70" i="68"/>
  <c r="AB118" i="68"/>
  <c r="AB119" i="68"/>
  <c r="AB210" i="68" s="1"/>
  <c r="AB301" i="68" s="1"/>
  <c r="AF74" i="68"/>
  <c r="AF165" i="68" s="1"/>
  <c r="AF256" i="68" s="1"/>
  <c r="AF73" i="68"/>
  <c r="AC78" i="68"/>
  <c r="AH742" i="68"/>
  <c r="AH744" i="68" s="1"/>
  <c r="R230" i="68"/>
  <c r="R321" i="68" s="1"/>
  <c r="R323" i="68" s="1"/>
  <c r="AE379" i="68"/>
  <c r="AE470" i="68" s="1"/>
  <c r="AF394" i="68"/>
  <c r="AF396" i="68" s="1"/>
  <c r="J120" i="68"/>
  <c r="AH224" i="68"/>
  <c r="AH315" i="68" s="1"/>
  <c r="AH317" i="68" s="1"/>
  <c r="P86" i="68"/>
  <c r="P177" i="68" s="1"/>
  <c r="P268" i="68" s="1"/>
  <c r="P85" i="68"/>
  <c r="AE236" i="68"/>
  <c r="AE327" i="68" s="1"/>
  <c r="AE329" i="68" s="1"/>
  <c r="J707" i="68"/>
  <c r="J708" i="68" s="1"/>
  <c r="R694" i="68"/>
  <c r="R696" i="68" s="1"/>
  <c r="S724" i="68"/>
  <c r="S726" i="68" s="1"/>
  <c r="O110" i="68"/>
  <c r="O201" i="68" s="1"/>
  <c r="O292" i="68" s="1"/>
  <c r="N71" i="68"/>
  <c r="N162" i="68" s="1"/>
  <c r="N253" i="68" s="1"/>
  <c r="W721" i="68"/>
  <c r="W723" i="68" s="1"/>
  <c r="I413" i="68"/>
  <c r="I504" i="68" s="1"/>
  <c r="I595" i="68" s="1"/>
  <c r="AD380" i="68"/>
  <c r="AD471" i="68" s="1"/>
  <c r="AD562" i="68" s="1"/>
  <c r="N73" i="68"/>
  <c r="N74" i="68"/>
  <c r="N165" i="68" s="1"/>
  <c r="N256" i="68" s="1"/>
  <c r="AB731" i="68"/>
  <c r="AB822" i="68" s="1"/>
  <c r="AB913" i="68" s="1"/>
  <c r="AD138" i="68"/>
  <c r="AG386" i="68"/>
  <c r="AG477" i="68" s="1"/>
  <c r="AG568" i="68" s="1"/>
  <c r="P397" i="68"/>
  <c r="P399" i="68" s="1"/>
  <c r="R221" i="68"/>
  <c r="R312" i="68" s="1"/>
  <c r="R314" i="68" s="1"/>
  <c r="AC90" i="68"/>
  <c r="X761" i="68"/>
  <c r="X762" i="68" s="1"/>
  <c r="L215" i="68"/>
  <c r="L306" i="68" s="1"/>
  <c r="L308" i="68" s="1"/>
  <c r="P415" i="68"/>
  <c r="P417" i="68" s="1"/>
  <c r="AG124" i="68"/>
  <c r="AG125" i="68"/>
  <c r="AG216" i="68" s="1"/>
  <c r="AG307" i="68" s="1"/>
  <c r="L731" i="68"/>
  <c r="L822" i="68" s="1"/>
  <c r="L913" i="68" s="1"/>
  <c r="P147" i="68"/>
  <c r="O725" i="68"/>
  <c r="O816" i="68" s="1"/>
  <c r="O907" i="68" s="1"/>
  <c r="AG233" i="68"/>
  <c r="AG324" i="68" s="1"/>
  <c r="AG326" i="68" s="1"/>
  <c r="AF92" i="68"/>
  <c r="AF183" i="68" s="1"/>
  <c r="AF274" i="68" s="1"/>
  <c r="AF91" i="68"/>
  <c r="AD106" i="68"/>
  <c r="AD107" i="68"/>
  <c r="AD198" i="68" s="1"/>
  <c r="AD289" i="68" s="1"/>
  <c r="Q70" i="68"/>
  <c r="Q71" i="68"/>
  <c r="Q162" i="68" s="1"/>
  <c r="Q253" i="68" s="1"/>
  <c r="AB94" i="68"/>
  <c r="AB95" i="68"/>
  <c r="AB186" i="68" s="1"/>
  <c r="AB277" i="68" s="1"/>
  <c r="Z232" i="68"/>
  <c r="AB682" i="68"/>
  <c r="AB684" i="68" s="1"/>
  <c r="M406" i="68"/>
  <c r="M408" i="68" s="1"/>
  <c r="Z77" i="68"/>
  <c r="Z168" i="68" s="1"/>
  <c r="Z259" i="68" s="1"/>
  <c r="Z76" i="68"/>
  <c r="Z323" i="68"/>
  <c r="P403" i="68"/>
  <c r="P494" i="68" s="1"/>
  <c r="AD761" i="68"/>
  <c r="AD762" i="68" s="1"/>
  <c r="T713" i="68"/>
  <c r="T804" i="68" s="1"/>
  <c r="T895" i="68" s="1"/>
  <c r="L70" i="68"/>
  <c r="L71" i="68"/>
  <c r="L162" i="68" s="1"/>
  <c r="L253" i="68" s="1"/>
  <c r="Q73" i="68"/>
  <c r="Q74" i="68"/>
  <c r="Q165" i="68" s="1"/>
  <c r="Q256" i="68" s="1"/>
  <c r="V383" i="68"/>
  <c r="V474" i="68" s="1"/>
  <c r="V565" i="68" s="1"/>
  <c r="AF116" i="68"/>
  <c r="AF207" i="68" s="1"/>
  <c r="AF298" i="68" s="1"/>
  <c r="AF115" i="68"/>
  <c r="V83" i="68"/>
  <c r="V174" i="68" s="1"/>
  <c r="V265" i="68" s="1"/>
  <c r="V82" i="68"/>
  <c r="AB98" i="68"/>
  <c r="AB189" i="68" s="1"/>
  <c r="AB280" i="68" s="1"/>
  <c r="AB97" i="68"/>
  <c r="K108" i="68"/>
  <c r="I721" i="68"/>
  <c r="I812" i="68" s="1"/>
  <c r="AB65" i="68"/>
  <c r="AB156" i="68" s="1"/>
  <c r="AB247" i="68" s="1"/>
  <c r="R742" i="68"/>
  <c r="R744" i="68" s="1"/>
  <c r="AF725" i="68"/>
  <c r="AF816" i="68" s="1"/>
  <c r="AF907" i="68" s="1"/>
  <c r="S685" i="68"/>
  <c r="S687" i="68" s="1"/>
  <c r="AG106" i="68"/>
  <c r="AG107" i="68"/>
  <c r="AG198" i="68" s="1"/>
  <c r="AG289" i="68" s="1"/>
  <c r="Q446" i="68"/>
  <c r="Q537" i="68" s="1"/>
  <c r="Q628" i="68" s="1"/>
  <c r="AA376" i="68"/>
  <c r="AA467" i="68" s="1"/>
  <c r="R182" i="68"/>
  <c r="R184" i="68" s="1"/>
  <c r="K754" i="68"/>
  <c r="K845" i="68" s="1"/>
  <c r="AH97" i="68"/>
  <c r="AH98" i="68"/>
  <c r="AH189" i="68" s="1"/>
  <c r="AH280" i="68" s="1"/>
  <c r="K97" i="68"/>
  <c r="K98" i="68"/>
  <c r="K189" i="68" s="1"/>
  <c r="K280" i="68" s="1"/>
  <c r="P409" i="68"/>
  <c r="P411" i="68" s="1"/>
  <c r="AH376" i="68"/>
  <c r="AH378" i="68" s="1"/>
  <c r="Y212" i="68"/>
  <c r="Y303" i="68" s="1"/>
  <c r="Y305" i="68" s="1"/>
  <c r="AF97" i="68"/>
  <c r="AF99" i="68" s="1"/>
  <c r="S440" i="68"/>
  <c r="S531" i="68" s="1"/>
  <c r="S622" i="68" s="1"/>
  <c r="Y108" i="68"/>
  <c r="AB76" i="68"/>
  <c r="AB77" i="68"/>
  <c r="AB168" i="68" s="1"/>
  <c r="AB259" i="68" s="1"/>
  <c r="AG452" i="68"/>
  <c r="AG453" i="68" s="1"/>
  <c r="Y136" i="68"/>
  <c r="Y227" i="68" s="1"/>
  <c r="Y318" i="68" s="1"/>
  <c r="L131" i="68"/>
  <c r="L222" i="68" s="1"/>
  <c r="L313" i="68" s="1"/>
  <c r="L130" i="68"/>
  <c r="Y145" i="68"/>
  <c r="Y147" i="68" s="1"/>
  <c r="M734" i="68"/>
  <c r="M825" i="68" s="1"/>
  <c r="M916" i="68" s="1"/>
  <c r="AA728" i="68"/>
  <c r="AA819" i="68" s="1"/>
  <c r="AA910" i="68" s="1"/>
  <c r="U132" i="68"/>
  <c r="V433" i="68"/>
  <c r="V435" i="68" s="1"/>
  <c r="AA87" i="68"/>
  <c r="N388" i="68"/>
  <c r="N390" i="68" s="1"/>
  <c r="AH397" i="68"/>
  <c r="AH399" i="68" s="1"/>
  <c r="S694" i="68"/>
  <c r="S696" i="68" s="1"/>
  <c r="J115" i="68"/>
  <c r="J206" i="68" s="1"/>
  <c r="S94" i="68"/>
  <c r="S95" i="68"/>
  <c r="S186" i="68" s="1"/>
  <c r="S277" i="68" s="1"/>
  <c r="M179" i="68"/>
  <c r="M181" i="68" s="1"/>
  <c r="Z97" i="68"/>
  <c r="Z188" i="68" s="1"/>
  <c r="V72" i="68"/>
  <c r="AG412" i="68"/>
  <c r="AG414" i="68" s="1"/>
  <c r="W114" i="68"/>
  <c r="AE188" i="68"/>
  <c r="AE190" i="68" s="1"/>
  <c r="U727" i="68"/>
  <c r="U818" i="68" s="1"/>
  <c r="AH185" i="68"/>
  <c r="AH276" i="68" s="1"/>
  <c r="AH278" i="68" s="1"/>
  <c r="AF380" i="68"/>
  <c r="AF471" i="68" s="1"/>
  <c r="AF562" i="68" s="1"/>
  <c r="W73" i="68"/>
  <c r="W74" i="68"/>
  <c r="W165" i="68" s="1"/>
  <c r="W256" i="68" s="1"/>
  <c r="O203" i="68"/>
  <c r="O294" i="68" s="1"/>
  <c r="O296" i="68" s="1"/>
  <c r="AD182" i="68"/>
  <c r="AD273" i="68" s="1"/>
  <c r="AD275" i="68" s="1"/>
  <c r="Y200" i="68"/>
  <c r="Y291" i="68" s="1"/>
  <c r="Y293" i="68" s="1"/>
  <c r="AG718" i="68"/>
  <c r="AG720" i="68" s="1"/>
  <c r="L691" i="68"/>
  <c r="L693" i="68" s="1"/>
  <c r="S147" i="68"/>
  <c r="AG176" i="68"/>
  <c r="AG267" i="68" s="1"/>
  <c r="AG269" i="68" s="1"/>
  <c r="I80" i="68"/>
  <c r="T140" i="68"/>
  <c r="T231" i="68" s="1"/>
  <c r="T322" i="68" s="1"/>
  <c r="T139" i="68"/>
  <c r="T82" i="68"/>
  <c r="T83" i="68"/>
  <c r="T174" i="68" s="1"/>
  <c r="T265" i="68" s="1"/>
  <c r="AG111" i="68"/>
  <c r="AF448" i="68"/>
  <c r="AF539" i="68" s="1"/>
  <c r="AF630" i="68" s="1"/>
  <c r="L697" i="68"/>
  <c r="L788" i="68" s="1"/>
  <c r="T437" i="68"/>
  <c r="T528" i="68" s="1"/>
  <c r="T619" i="68" s="1"/>
  <c r="Y691" i="68"/>
  <c r="Y693" i="68" s="1"/>
  <c r="AA754" i="68"/>
  <c r="AA756" i="68" s="1"/>
  <c r="AD156" i="68"/>
  <c r="AD247" i="68" s="1"/>
  <c r="AD248" i="68" s="1"/>
  <c r="I698" i="68"/>
  <c r="I789" i="68" s="1"/>
  <c r="I880" i="68" s="1"/>
  <c r="K716" i="68"/>
  <c r="K807" i="68" s="1"/>
  <c r="K898" i="68" s="1"/>
  <c r="Q156" i="68"/>
  <c r="P764" i="68"/>
  <c r="P855" i="68" s="1"/>
  <c r="P946" i="68" s="1"/>
  <c r="AB228" i="68"/>
  <c r="AB319" i="68" s="1"/>
  <c r="AB320" i="68" s="1"/>
  <c r="X133" i="68"/>
  <c r="X134" i="68"/>
  <c r="X225" i="68" s="1"/>
  <c r="X316" i="68" s="1"/>
  <c r="N127" i="68"/>
  <c r="N128" i="68"/>
  <c r="N219" i="68" s="1"/>
  <c r="N310" i="68" s="1"/>
  <c r="Z111" i="68"/>
  <c r="P449" i="68"/>
  <c r="P540" i="68" s="1"/>
  <c r="P631" i="68" s="1"/>
  <c r="AF740" i="68"/>
  <c r="AF831" i="68" s="1"/>
  <c r="AF922" i="68" s="1"/>
  <c r="I72" i="68"/>
  <c r="I740" i="68"/>
  <c r="I831" i="68" s="1"/>
  <c r="I922" i="68" s="1"/>
  <c r="AA710" i="68"/>
  <c r="AA801" i="68" s="1"/>
  <c r="AA892" i="68" s="1"/>
  <c r="W133" i="68"/>
  <c r="W135" i="68" s="1"/>
  <c r="AD212" i="68"/>
  <c r="AD303" i="68" s="1"/>
  <c r="AD305" i="68" s="1"/>
  <c r="L200" i="68"/>
  <c r="L291" i="68" s="1"/>
  <c r="L293" i="68" s="1"/>
  <c r="AC170" i="68"/>
  <c r="AC261" i="68" s="1"/>
  <c r="AC263" i="68" s="1"/>
  <c r="AC65" i="68"/>
  <c r="AC156" i="68" s="1"/>
  <c r="AC247" i="68" s="1"/>
  <c r="AC64" i="68"/>
  <c r="K80" i="68"/>
  <c r="K171" i="68" s="1"/>
  <c r="K262" i="68" s="1"/>
  <c r="L736" i="68"/>
  <c r="L738" i="68" s="1"/>
  <c r="X173" i="68"/>
  <c r="X175" i="68" s="1"/>
  <c r="L107" i="68"/>
  <c r="L198" i="68" s="1"/>
  <c r="L289" i="68" s="1"/>
  <c r="T142" i="68"/>
  <c r="T143" i="68"/>
  <c r="T234" i="68" s="1"/>
  <c r="T325" i="68" s="1"/>
  <c r="AF67" i="68"/>
  <c r="AF68" i="68"/>
  <c r="AF159" i="68" s="1"/>
  <c r="AF250" i="68" s="1"/>
  <c r="I117" i="68"/>
  <c r="Y105" i="68"/>
  <c r="AD81" i="68"/>
  <c r="AE84" i="68"/>
  <c r="U72" i="68"/>
  <c r="T96" i="68"/>
  <c r="AE233" i="68"/>
  <c r="AE324" i="68" s="1"/>
  <c r="AE326" i="68" s="1"/>
  <c r="U105" i="68"/>
  <c r="T742" i="68"/>
  <c r="T744" i="68" s="1"/>
  <c r="K227" i="68"/>
  <c r="K229" i="68" s="1"/>
  <c r="AH421" i="68"/>
  <c r="AH512" i="68" s="1"/>
  <c r="Y852" i="68"/>
  <c r="AC117" i="68"/>
  <c r="R215" i="68"/>
  <c r="R306" i="68" s="1"/>
  <c r="R308" i="68" s="1"/>
  <c r="AD84" i="68"/>
  <c r="U450" i="68"/>
  <c r="V105" i="68"/>
  <c r="U90" i="68"/>
  <c r="R233" i="68"/>
  <c r="R324" i="68" s="1"/>
  <c r="R326" i="68" s="1"/>
  <c r="X236" i="68"/>
  <c r="X327" i="68" s="1"/>
  <c r="X329" i="68" s="1"/>
  <c r="AE66" i="68"/>
  <c r="K194" i="68"/>
  <c r="K285" i="68" s="1"/>
  <c r="K287" i="68" s="1"/>
  <c r="X185" i="68"/>
  <c r="X276" i="68" s="1"/>
  <c r="X278" i="68" s="1"/>
  <c r="S389" i="68"/>
  <c r="S480" i="68" s="1"/>
  <c r="S571" i="68" s="1"/>
  <c r="AH197" i="68"/>
  <c r="AH288" i="68" s="1"/>
  <c r="AH290" i="68" s="1"/>
  <c r="Z81" i="68"/>
  <c r="AG141" i="68"/>
  <c r="X161" i="68"/>
  <c r="X252" i="68" s="1"/>
  <c r="X254" i="68" s="1"/>
  <c r="T69" i="68"/>
  <c r="I87" i="68"/>
  <c r="I238" i="68"/>
  <c r="AF314" i="68"/>
  <c r="AF223" i="68"/>
  <c r="AH138" i="68"/>
  <c r="AA140" i="68"/>
  <c r="AA231" i="68" s="1"/>
  <c r="AA322" i="68" s="1"/>
  <c r="AC385" i="68"/>
  <c r="AC386" i="68"/>
  <c r="AC477" i="68" s="1"/>
  <c r="AC568" i="68" s="1"/>
  <c r="AF731" i="68"/>
  <c r="AF822" i="68" s="1"/>
  <c r="AF913" i="68" s="1"/>
  <c r="AF730" i="68"/>
  <c r="AH338" i="68"/>
  <c r="AH367" i="68" s="1"/>
  <c r="AG507" i="72"/>
  <c r="AG756" i="72"/>
  <c r="AG785" i="72" s="1"/>
  <c r="P84" i="68"/>
  <c r="P173" i="68"/>
  <c r="AF423" i="68"/>
  <c r="AF512" i="68"/>
  <c r="AC728" i="68"/>
  <c r="AC819" i="68" s="1"/>
  <c r="AC910" i="68" s="1"/>
  <c r="AC727" i="68"/>
  <c r="X303" i="68"/>
  <c r="X305" i="68" s="1"/>
  <c r="X214" i="68"/>
  <c r="Y440" i="68"/>
  <c r="Y531" i="68" s="1"/>
  <c r="Y622" i="68" s="1"/>
  <c r="Y439" i="68"/>
  <c r="AH381" i="68"/>
  <c r="AH470" i="68"/>
  <c r="O750" i="68"/>
  <c r="O839" i="68"/>
  <c r="P438" i="68"/>
  <c r="P527" i="68"/>
  <c r="Y806" i="68"/>
  <c r="AA684" i="68"/>
  <c r="AA773" i="68"/>
  <c r="P539" i="68"/>
  <c r="Q413" i="68"/>
  <c r="Q504" i="68" s="1"/>
  <c r="Q595" i="68" s="1"/>
  <c r="Q412" i="68"/>
  <c r="N294" i="68"/>
  <c r="N296" i="68" s="1"/>
  <c r="N205" i="68"/>
  <c r="AA500" i="68"/>
  <c r="M338" i="68"/>
  <c r="L507" i="72"/>
  <c r="L756" i="72"/>
  <c r="L785" i="72" s="1"/>
  <c r="Q429" i="68"/>
  <c r="Q518" i="68"/>
  <c r="W261" i="68"/>
  <c r="W263" i="68" s="1"/>
  <c r="W172" i="68"/>
  <c r="AC397" i="68"/>
  <c r="AC398" i="68"/>
  <c r="AC489" i="68" s="1"/>
  <c r="AC580" i="68" s="1"/>
  <c r="J420" i="68"/>
  <c r="J509" i="68"/>
  <c r="U135" i="68"/>
  <c r="U224" i="68"/>
  <c r="I788" i="68"/>
  <c r="AA761" i="68"/>
  <c r="AA852" i="68" s="1"/>
  <c r="AA943" i="68" s="1"/>
  <c r="AA760" i="68"/>
  <c r="Q536" i="68"/>
  <c r="S249" i="68"/>
  <c r="S251" i="68" s="1"/>
  <c r="S160" i="68"/>
  <c r="V415" i="68"/>
  <c r="V416" i="68"/>
  <c r="V507" i="68" s="1"/>
  <c r="V598" i="68" s="1"/>
  <c r="P429" i="68"/>
  <c r="P518" i="68"/>
  <c r="U724" i="68"/>
  <c r="U725" i="68"/>
  <c r="U816" i="68" s="1"/>
  <c r="U907" i="68" s="1"/>
  <c r="J306" i="68"/>
  <c r="J308" i="68" s="1"/>
  <c r="J217" i="68"/>
  <c r="I276" i="68"/>
  <c r="I278" i="68" s="1"/>
  <c r="I187" i="68"/>
  <c r="AB699" i="68"/>
  <c r="AB788" i="68"/>
  <c r="AH433" i="68"/>
  <c r="AH434" i="68"/>
  <c r="AH525" i="68" s="1"/>
  <c r="AH616" i="68" s="1"/>
  <c r="AE760" i="68"/>
  <c r="AE761" i="68"/>
  <c r="AE852" i="68" s="1"/>
  <c r="AE943" i="68" s="1"/>
  <c r="Y720" i="68"/>
  <c r="Y809" i="68"/>
  <c r="Q105" i="68"/>
  <c r="Q194" i="68"/>
  <c r="N430" i="68"/>
  <c r="N431" i="68"/>
  <c r="N522" i="68" s="1"/>
  <c r="N613" i="68" s="1"/>
  <c r="R686" i="68"/>
  <c r="R777" i="68" s="1"/>
  <c r="R868" i="68" s="1"/>
  <c r="R685" i="68"/>
  <c r="X444" i="68"/>
  <c r="X533" i="68"/>
  <c r="L411" i="68"/>
  <c r="L500" i="68"/>
  <c r="AD261" i="68"/>
  <c r="AD263" i="68" s="1"/>
  <c r="AD172" i="68"/>
  <c r="Q695" i="68"/>
  <c r="Q786" i="68" s="1"/>
  <c r="Q877" i="68" s="1"/>
  <c r="Q694" i="68"/>
  <c r="AE702" i="68"/>
  <c r="AE791" i="68"/>
  <c r="P444" i="68"/>
  <c r="P533" i="68"/>
  <c r="S764" i="68"/>
  <c r="S855" i="68" s="1"/>
  <c r="S946" i="68" s="1"/>
  <c r="S763" i="68"/>
  <c r="Z394" i="68"/>
  <c r="Z395" i="68"/>
  <c r="Z486" i="68" s="1"/>
  <c r="Z577" i="68" s="1"/>
  <c r="W403" i="68"/>
  <c r="W404" i="68"/>
  <c r="W495" i="68" s="1"/>
  <c r="W586" i="68" s="1"/>
  <c r="AA687" i="68"/>
  <c r="AA776" i="68"/>
  <c r="K530" i="68"/>
  <c r="U108" i="68"/>
  <c r="U197" i="68"/>
  <c r="U114" i="68"/>
  <c r="U203" i="68"/>
  <c r="P758" i="68"/>
  <c r="P849" i="68" s="1"/>
  <c r="P940" i="68" s="1"/>
  <c r="P757" i="68"/>
  <c r="M87" i="68"/>
  <c r="M176" i="68"/>
  <c r="M824" i="68"/>
  <c r="Y385" i="68"/>
  <c r="Y386" i="68"/>
  <c r="Y477" i="68" s="1"/>
  <c r="Y568" i="68" s="1"/>
  <c r="AE699" i="68"/>
  <c r="AE788" i="68"/>
  <c r="AE420" i="68"/>
  <c r="AE509" i="68"/>
  <c r="S754" i="68"/>
  <c r="S845" i="68" s="1"/>
  <c r="S755" i="68"/>
  <c r="AA398" i="68"/>
  <c r="AA489" i="68" s="1"/>
  <c r="AA580" i="68" s="1"/>
  <c r="AA397" i="68"/>
  <c r="N727" i="68"/>
  <c r="N728" i="68"/>
  <c r="N819" i="68" s="1"/>
  <c r="N910" i="68" s="1"/>
  <c r="U381" i="68"/>
  <c r="U470" i="68"/>
  <c r="L338" i="68"/>
  <c r="K507" i="72"/>
  <c r="K756" i="72"/>
  <c r="K785" i="72" s="1"/>
  <c r="AF720" i="68"/>
  <c r="AF809" i="68"/>
  <c r="U129" i="68"/>
  <c r="U219" i="68"/>
  <c r="U310" i="68" s="1"/>
  <c r="Q99" i="68"/>
  <c r="Q188" i="68"/>
  <c r="V699" i="68"/>
  <c r="V788" i="68"/>
  <c r="U387" i="68"/>
  <c r="U476" i="68"/>
  <c r="AA414" i="68"/>
  <c r="AA503" i="68"/>
  <c r="Z388" i="68"/>
  <c r="Z389" i="68"/>
  <c r="Z480" i="68" s="1"/>
  <c r="Z571" i="68" s="1"/>
  <c r="J647" i="68"/>
  <c r="I752" i="72"/>
  <c r="I787" i="72"/>
  <c r="I816" i="72" s="1"/>
  <c r="R246" i="68"/>
  <c r="R248" i="68" s="1"/>
  <c r="R157" i="68"/>
  <c r="Z711" i="68"/>
  <c r="Z800" i="68"/>
  <c r="P760" i="68"/>
  <c r="P761" i="68"/>
  <c r="P852" i="68" s="1"/>
  <c r="P943" i="68" s="1"/>
  <c r="V126" i="68"/>
  <c r="V215" i="68"/>
  <c r="W687" i="68"/>
  <c r="W776" i="68"/>
  <c r="AB321" i="68"/>
  <c r="AB323" i="68" s="1"/>
  <c r="AB232" i="68"/>
  <c r="Z442" i="68"/>
  <c r="Z443" i="68"/>
  <c r="Z534" i="68" s="1"/>
  <c r="Z625" i="68" s="1"/>
  <c r="X455" i="68"/>
  <c r="X546" i="68" s="1"/>
  <c r="X637" i="68" s="1"/>
  <c r="X454" i="68"/>
  <c r="AF688" i="68"/>
  <c r="AF689" i="68"/>
  <c r="AF780" i="68" s="1"/>
  <c r="AF871" i="68" s="1"/>
  <c r="K453" i="68"/>
  <c r="K542" i="68"/>
  <c r="X435" i="68"/>
  <c r="X524" i="68"/>
  <c r="AB734" i="68"/>
  <c r="AB825" i="68" s="1"/>
  <c r="AB916" i="68" s="1"/>
  <c r="AB733" i="68"/>
  <c r="O700" i="68"/>
  <c r="O701" i="68"/>
  <c r="O792" i="68" s="1"/>
  <c r="O883" i="68" s="1"/>
  <c r="AD267" i="68"/>
  <c r="AD269" i="68" s="1"/>
  <c r="AD178" i="68"/>
  <c r="K282" i="68"/>
  <c r="K284" i="68" s="1"/>
  <c r="K193" i="68"/>
  <c r="AD252" i="68"/>
  <c r="AD254" i="68" s="1"/>
  <c r="AD163" i="68"/>
  <c r="X309" i="68"/>
  <c r="X311" i="68" s="1"/>
  <c r="X220" i="68"/>
  <c r="O384" i="68"/>
  <c r="O473" i="68"/>
  <c r="AC432" i="68"/>
  <c r="AC521" i="68"/>
  <c r="K288" i="68"/>
  <c r="K290" i="68" s="1"/>
  <c r="K199" i="68"/>
  <c r="AE435" i="68"/>
  <c r="AE524" i="68"/>
  <c r="AD408" i="68"/>
  <c r="AD497" i="68"/>
  <c r="M132" i="68"/>
  <c r="M221" i="68"/>
  <c r="K555" i="68"/>
  <c r="AD258" i="68"/>
  <c r="AD260" i="68" s="1"/>
  <c r="AD169" i="68"/>
  <c r="M120" i="68"/>
  <c r="M209" i="68"/>
  <c r="AC438" i="68"/>
  <c r="AC527" i="68"/>
  <c r="Z759" i="68"/>
  <c r="Z848" i="68"/>
  <c r="AC395" i="68"/>
  <c r="AC486" i="68" s="1"/>
  <c r="AC577" i="68" s="1"/>
  <c r="AC394" i="68"/>
  <c r="AC270" i="68"/>
  <c r="AC272" i="68" s="1"/>
  <c r="AC181" i="68"/>
  <c r="AC699" i="68"/>
  <c r="AC788" i="68"/>
  <c r="V713" i="68"/>
  <c r="V804" i="68" s="1"/>
  <c r="V895" i="68" s="1"/>
  <c r="V712" i="68"/>
  <c r="AD428" i="68"/>
  <c r="AD519" i="68" s="1"/>
  <c r="AD610" i="68" s="1"/>
  <c r="AD427" i="68"/>
  <c r="AA452" i="68"/>
  <c r="AA543" i="68" s="1"/>
  <c r="AA634" i="68" s="1"/>
  <c r="AA451" i="68"/>
  <c r="K721" i="68"/>
  <c r="K722" i="68"/>
  <c r="K813" i="68" s="1"/>
  <c r="K904" i="68" s="1"/>
  <c r="I417" i="68"/>
  <c r="I506" i="68"/>
  <c r="O402" i="68"/>
  <c r="O491" i="68"/>
  <c r="S711" i="68"/>
  <c r="S800" i="68"/>
  <c r="P327" i="68"/>
  <c r="P329" i="68" s="1"/>
  <c r="P238" i="68"/>
  <c r="AA129" i="68"/>
  <c r="AA219" i="68"/>
  <c r="AA310" i="68" s="1"/>
  <c r="I282" i="68"/>
  <c r="I284" i="68" s="1"/>
  <c r="I193" i="68"/>
  <c r="K93" i="68"/>
  <c r="K182" i="68"/>
  <c r="U692" i="68"/>
  <c r="U783" i="68" s="1"/>
  <c r="U874" i="68" s="1"/>
  <c r="U691" i="68"/>
  <c r="AH123" i="68"/>
  <c r="AH212" i="68"/>
  <c r="AD312" i="68"/>
  <c r="AD314" i="68" s="1"/>
  <c r="AD223" i="68"/>
  <c r="N719" i="68"/>
  <c r="N810" i="68" s="1"/>
  <c r="N901" i="68" s="1"/>
  <c r="N718" i="68"/>
  <c r="O117" i="68"/>
  <c r="O206" i="68"/>
  <c r="Q135" i="68"/>
  <c r="Q224" i="68"/>
  <c r="Q441" i="68"/>
  <c r="Q530" i="68"/>
  <c r="O99" i="68"/>
  <c r="O188" i="68"/>
  <c r="T75" i="68"/>
  <c r="T164" i="68"/>
  <c r="N378" i="68"/>
  <c r="N467" i="68"/>
  <c r="M762" i="68"/>
  <c r="M851" i="68"/>
  <c r="AG285" i="68"/>
  <c r="AG287" i="68" s="1"/>
  <c r="AG196" i="68"/>
  <c r="AF300" i="68"/>
  <c r="AF302" i="68" s="1"/>
  <c r="AF211" i="68"/>
  <c r="S338" i="68"/>
  <c r="R756" i="72"/>
  <c r="R785" i="72" s="1"/>
  <c r="R507" i="72"/>
  <c r="W282" i="68"/>
  <c r="W284" i="68" s="1"/>
  <c r="W193" i="68"/>
  <c r="Y918" i="68"/>
  <c r="K405" i="68"/>
  <c r="K494" i="68"/>
  <c r="V693" i="68"/>
  <c r="V782" i="68"/>
  <c r="J380" i="68"/>
  <c r="J471" i="68" s="1"/>
  <c r="J562" i="68" s="1"/>
  <c r="J379" i="68"/>
  <c r="AB196" i="68"/>
  <c r="AE276" i="68"/>
  <c r="AE278" i="68" s="1"/>
  <c r="AE187" i="68"/>
  <c r="J411" i="68"/>
  <c r="J500" i="68"/>
  <c r="W375" i="68"/>
  <c r="W464" i="68"/>
  <c r="R684" i="68"/>
  <c r="R773" i="68"/>
  <c r="O693" i="68"/>
  <c r="O782" i="68"/>
  <c r="R728" i="68"/>
  <c r="R819" i="68" s="1"/>
  <c r="R910" i="68" s="1"/>
  <c r="R727" i="68"/>
  <c r="K752" i="68"/>
  <c r="K843" i="68" s="1"/>
  <c r="K934" i="68" s="1"/>
  <c r="K751" i="68"/>
  <c r="I312" i="68"/>
  <c r="I314" i="68" s="1"/>
  <c r="I223" i="68"/>
  <c r="U279" i="68"/>
  <c r="U281" i="68" s="1"/>
  <c r="U190" i="68"/>
  <c r="L294" i="68"/>
  <c r="L296" i="68" s="1"/>
  <c r="L205" i="68"/>
  <c r="K90" i="68"/>
  <c r="K179" i="68"/>
  <c r="AE300" i="68"/>
  <c r="AE302" i="68" s="1"/>
  <c r="AE211" i="68"/>
  <c r="M420" i="68"/>
  <c r="M509" i="68"/>
  <c r="T738" i="68"/>
  <c r="T828" i="68"/>
  <c r="T919" i="68" s="1"/>
  <c r="N338" i="68"/>
  <c r="N367" i="68" s="1"/>
  <c r="M507" i="72"/>
  <c r="M756" i="72"/>
  <c r="M785" i="72" s="1"/>
  <c r="P717" i="68"/>
  <c r="P806" i="68"/>
  <c r="AH438" i="68"/>
  <c r="AH527" i="68"/>
  <c r="U488" i="68"/>
  <c r="V408" i="68"/>
  <c r="V497" i="68"/>
  <c r="J432" i="68"/>
  <c r="J521" i="68"/>
  <c r="P311" i="68"/>
  <c r="AA704" i="68"/>
  <c r="AA795" i="68" s="1"/>
  <c r="AA886" i="68" s="1"/>
  <c r="AA703" i="68"/>
  <c r="O647" i="68"/>
  <c r="N752" i="72"/>
  <c r="N787" i="72"/>
  <c r="N816" i="72" s="1"/>
  <c r="M744" i="68"/>
  <c r="M833" i="68"/>
  <c r="P729" i="68"/>
  <c r="P818" i="68"/>
  <c r="AH246" i="68"/>
  <c r="I754" i="68"/>
  <c r="I755" i="68"/>
  <c r="I846" i="68" s="1"/>
  <c r="I937" i="68" s="1"/>
  <c r="X729" i="68"/>
  <c r="X818" i="68"/>
  <c r="X942" i="68"/>
  <c r="X693" i="68"/>
  <c r="X782" i="68"/>
  <c r="AC684" i="68"/>
  <c r="AC774" i="68"/>
  <c r="AC865" i="68" s="1"/>
  <c r="I375" i="68"/>
  <c r="I464" i="68"/>
  <c r="J737" i="68"/>
  <c r="J828" i="68" s="1"/>
  <c r="J919" i="68" s="1"/>
  <c r="J736" i="68"/>
  <c r="X685" i="68"/>
  <c r="X686" i="68"/>
  <c r="X777" i="68" s="1"/>
  <c r="X868" i="68" s="1"/>
  <c r="M748" i="68"/>
  <c r="M749" i="68"/>
  <c r="M840" i="68" s="1"/>
  <c r="M931" i="68" s="1"/>
  <c r="W683" i="68"/>
  <c r="W774" i="68" s="1"/>
  <c r="W865" i="68" s="1"/>
  <c r="W682" i="68"/>
  <c r="I408" i="68"/>
  <c r="I497" i="68"/>
  <c r="AB389" i="68"/>
  <c r="AB480" i="68" s="1"/>
  <c r="AB571" i="68" s="1"/>
  <c r="AB388" i="68"/>
  <c r="W727" i="68"/>
  <c r="W728" i="68"/>
  <c r="W819" i="68" s="1"/>
  <c r="W910" i="68" s="1"/>
  <c r="AG753" i="68"/>
  <c r="AG842" i="68"/>
  <c r="O391" i="68"/>
  <c r="O392" i="68"/>
  <c r="O483" i="68" s="1"/>
  <c r="O574" i="68" s="1"/>
  <c r="Z404" i="68"/>
  <c r="Z495" i="68" s="1"/>
  <c r="Z586" i="68" s="1"/>
  <c r="Z403" i="68"/>
  <c r="K423" i="68"/>
  <c r="K512" i="68"/>
  <c r="AD431" i="68"/>
  <c r="AD522" i="68" s="1"/>
  <c r="AD613" i="68" s="1"/>
  <c r="AD430" i="68"/>
  <c r="N701" i="68"/>
  <c r="N792" i="68" s="1"/>
  <c r="N883" i="68" s="1"/>
  <c r="N700" i="68"/>
  <c r="Y728" i="68"/>
  <c r="Y819" i="68" s="1"/>
  <c r="Y910" i="68" s="1"/>
  <c r="Y727" i="68"/>
  <c r="AF815" i="68"/>
  <c r="N794" i="68"/>
  <c r="AB397" i="68"/>
  <c r="AB398" i="68"/>
  <c r="AB489" i="68" s="1"/>
  <c r="AB580" i="68" s="1"/>
  <c r="T123" i="68"/>
  <c r="T212" i="68"/>
  <c r="AG303" i="68"/>
  <c r="AG305" i="68" s="1"/>
  <c r="AG214" i="68"/>
  <c r="AC384" i="68"/>
  <c r="AC473" i="68"/>
  <c r="T66" i="68"/>
  <c r="T155" i="68"/>
  <c r="M405" i="68"/>
  <c r="M494" i="68"/>
  <c r="K696" i="68"/>
  <c r="K785" i="68"/>
  <c r="U126" i="68"/>
  <c r="U215" i="68"/>
  <c r="AF723" i="68"/>
  <c r="AF812" i="68"/>
  <c r="L227" i="68"/>
  <c r="AG439" i="68"/>
  <c r="AG440" i="68"/>
  <c r="AG531" i="68" s="1"/>
  <c r="AG622" i="68" s="1"/>
  <c r="M402" i="68"/>
  <c r="M491" i="68"/>
  <c r="W738" i="68"/>
  <c r="W827" i="68"/>
  <c r="V636" i="68"/>
  <c r="AH729" i="68"/>
  <c r="AH818" i="68"/>
  <c r="J762" i="68"/>
  <c r="J851" i="68"/>
  <c r="AC288" i="68"/>
  <c r="AC290" i="68" s="1"/>
  <c r="AC199" i="68"/>
  <c r="J429" i="68"/>
  <c r="J518" i="68"/>
  <c r="AG381" i="68"/>
  <c r="AG470" i="68"/>
  <c r="M690" i="68"/>
  <c r="M779" i="68"/>
  <c r="N147" i="68"/>
  <c r="N237" i="68"/>
  <c r="N328" i="68" s="1"/>
  <c r="P303" i="68"/>
  <c r="P305" i="68" s="1"/>
  <c r="P214" i="68"/>
  <c r="N288" i="68"/>
  <c r="N290" i="68" s="1"/>
  <c r="N199" i="68"/>
  <c r="AA447" i="68"/>
  <c r="AA536" i="68"/>
  <c r="L249" i="68"/>
  <c r="L251" i="68" s="1"/>
  <c r="L160" i="68"/>
  <c r="U285" i="68"/>
  <c r="U287" i="68" s="1"/>
  <c r="U196" i="68"/>
  <c r="L527" i="68"/>
  <c r="J87" i="68"/>
  <c r="J176" i="68"/>
  <c r="AA416" i="68"/>
  <c r="AA507" i="68" s="1"/>
  <c r="AA598" i="68" s="1"/>
  <c r="AA415" i="68"/>
  <c r="R381" i="68"/>
  <c r="R470" i="68"/>
  <c r="O135" i="68"/>
  <c r="O224" i="68"/>
  <c r="O429" i="68"/>
  <c r="O518" i="68"/>
  <c r="R405" i="68"/>
  <c r="R494" i="68"/>
  <c r="W761" i="68"/>
  <c r="W852" i="68" s="1"/>
  <c r="W943" i="68" s="1"/>
  <c r="W760" i="68"/>
  <c r="AF87" i="68"/>
  <c r="AF176" i="68"/>
  <c r="AF384" i="68"/>
  <c r="AF473" i="68"/>
  <c r="R276" i="68"/>
  <c r="R278" i="68" s="1"/>
  <c r="R187" i="68"/>
  <c r="K712" i="68"/>
  <c r="K713" i="68"/>
  <c r="K804" i="68" s="1"/>
  <c r="K895" i="68" s="1"/>
  <c r="M453" i="68"/>
  <c r="M543" i="68"/>
  <c r="M634" i="68" s="1"/>
  <c r="Z491" i="68"/>
  <c r="AC135" i="68"/>
  <c r="AC224" i="68"/>
  <c r="AF763" i="68"/>
  <c r="AF764" i="68"/>
  <c r="AF855" i="68" s="1"/>
  <c r="AF946" i="68" s="1"/>
  <c r="Y438" i="68"/>
  <c r="Y527" i="68"/>
  <c r="AG704" i="68"/>
  <c r="AG795" i="68" s="1"/>
  <c r="AG886" i="68" s="1"/>
  <c r="AG703" i="68"/>
  <c r="AH273" i="68"/>
  <c r="AH275" i="68" s="1"/>
  <c r="AH184" i="68"/>
  <c r="I108" i="68"/>
  <c r="I197" i="68"/>
  <c r="O467" i="68"/>
  <c r="K389" i="68"/>
  <c r="K480" i="68" s="1"/>
  <c r="K571" i="68" s="1"/>
  <c r="K388" i="68"/>
  <c r="AG736" i="68"/>
  <c r="AG737" i="68"/>
  <c r="AG828" i="68" s="1"/>
  <c r="AG919" i="68" s="1"/>
  <c r="T803" i="68"/>
  <c r="AB132" i="68"/>
  <c r="AB221" i="68"/>
  <c r="X749" i="68"/>
  <c r="X840" i="68" s="1"/>
  <c r="X931" i="68" s="1"/>
  <c r="X748" i="68"/>
  <c r="V120" i="68"/>
  <c r="V209" i="68"/>
  <c r="M123" i="68"/>
  <c r="M212" i="68"/>
  <c r="AG750" i="68"/>
  <c r="AG840" i="68"/>
  <c r="AG931" i="68" s="1"/>
  <c r="W696" i="68"/>
  <c r="W785" i="68"/>
  <c r="L735" i="68"/>
  <c r="L824" i="68"/>
  <c r="J636" i="68"/>
  <c r="AH717" i="68"/>
  <c r="AH806" i="68"/>
  <c r="W123" i="68"/>
  <c r="W212" i="68"/>
  <c r="K433" i="68"/>
  <c r="K434" i="68"/>
  <c r="K525" i="68" s="1"/>
  <c r="K616" i="68" s="1"/>
  <c r="AF699" i="68"/>
  <c r="AF788" i="68"/>
  <c r="S111" i="68"/>
  <c r="S200" i="68"/>
  <c r="S405" i="68"/>
  <c r="S494" i="68"/>
  <c r="N312" i="68"/>
  <c r="S752" i="68"/>
  <c r="S843" i="68" s="1"/>
  <c r="S934" i="68" s="1"/>
  <c r="S751" i="68"/>
  <c r="J388" i="68"/>
  <c r="J389" i="68"/>
  <c r="J480" i="68" s="1"/>
  <c r="J571" i="68" s="1"/>
  <c r="N450" i="68"/>
  <c r="N539" i="68"/>
  <c r="AA707" i="68"/>
  <c r="AA798" i="68" s="1"/>
  <c r="AA889" i="68" s="1"/>
  <c r="AA706" i="68"/>
  <c r="AE378" i="68"/>
  <c r="AE467" i="68"/>
  <c r="AG405" i="68"/>
  <c r="AG494" i="68"/>
  <c r="W636" i="68"/>
  <c r="AG500" i="68"/>
  <c r="M424" i="68"/>
  <c r="M425" i="68"/>
  <c r="M516" i="68" s="1"/>
  <c r="M607" i="68" s="1"/>
  <c r="I453" i="68"/>
  <c r="I542" i="68"/>
  <c r="O75" i="68"/>
  <c r="O164" i="68"/>
  <c r="AD397" i="68"/>
  <c r="AD398" i="68"/>
  <c r="AD489" i="68" s="1"/>
  <c r="AD580" i="68" s="1"/>
  <c r="AE386" i="68"/>
  <c r="AE477" i="68" s="1"/>
  <c r="AE568" i="68" s="1"/>
  <c r="AE385" i="68"/>
  <c r="I411" i="68"/>
  <c r="I500" i="68"/>
  <c r="Y375" i="68"/>
  <c r="Y464" i="68"/>
  <c r="AA324" i="68"/>
  <c r="AA326" i="68" s="1"/>
  <c r="AA235" i="68"/>
  <c r="AC111" i="68"/>
  <c r="AC200" i="68"/>
  <c r="AH261" i="68"/>
  <c r="AH263" i="68" s="1"/>
  <c r="AH172" i="68"/>
  <c r="AC261" i="72"/>
  <c r="AD29" i="68"/>
  <c r="O446" i="68"/>
  <c r="O537" i="68" s="1"/>
  <c r="O628" i="68" s="1"/>
  <c r="O445" i="68"/>
  <c r="AD746" i="68"/>
  <c r="AD837" i="68" s="1"/>
  <c r="AD928" i="68" s="1"/>
  <c r="AD745" i="68"/>
  <c r="I261" i="72"/>
  <c r="J29" i="68"/>
  <c r="X722" i="68"/>
  <c r="X813" i="68" s="1"/>
  <c r="X904" i="68" s="1"/>
  <c r="X721" i="68"/>
  <c r="J693" i="68"/>
  <c r="J782" i="68"/>
  <c r="AB700" i="68"/>
  <c r="AB701" i="68"/>
  <c r="AB792" i="68" s="1"/>
  <c r="AB883" i="68" s="1"/>
  <c r="P699" i="68"/>
  <c r="P788" i="68"/>
  <c r="P721" i="68"/>
  <c r="P722" i="68"/>
  <c r="P813" i="68" s="1"/>
  <c r="P904" i="68" s="1"/>
  <c r="S418" i="68"/>
  <c r="S419" i="68"/>
  <c r="S510" i="68" s="1"/>
  <c r="S601" i="68" s="1"/>
  <c r="T699" i="68"/>
  <c r="T788" i="68"/>
  <c r="S141" i="68"/>
  <c r="S230" i="68"/>
  <c r="S447" i="68"/>
  <c r="S536" i="68"/>
  <c r="K69" i="68"/>
  <c r="K158" i="68"/>
  <c r="Z387" i="68"/>
  <c r="Z476" i="68"/>
  <c r="V132" i="68"/>
  <c r="V221" i="68"/>
  <c r="AB717" i="68"/>
  <c r="AB806" i="68"/>
  <c r="R267" i="68"/>
  <c r="R269" i="68" s="1"/>
  <c r="R178" i="68"/>
  <c r="L690" i="68"/>
  <c r="L779" i="68"/>
  <c r="P707" i="68"/>
  <c r="P798" i="68" s="1"/>
  <c r="P889" i="68" s="1"/>
  <c r="P706" i="68"/>
  <c r="Y426" i="68"/>
  <c r="Y515" i="68"/>
  <c r="P743" i="68"/>
  <c r="P834" i="68" s="1"/>
  <c r="P925" i="68" s="1"/>
  <c r="P742" i="68"/>
  <c r="Z338" i="68"/>
  <c r="Y756" i="72"/>
  <c r="Y785" i="72" s="1"/>
  <c r="Y507" i="72"/>
  <c r="K699" i="68"/>
  <c r="K788" i="68"/>
  <c r="AC687" i="68"/>
  <c r="AC776" i="68"/>
  <c r="V87" i="68"/>
  <c r="V176" i="68"/>
  <c r="S78" i="68"/>
  <c r="S167" i="68"/>
  <c r="AD726" i="68"/>
  <c r="AD815" i="68"/>
  <c r="W141" i="68"/>
  <c r="W230" i="68"/>
  <c r="O704" i="68"/>
  <c r="O795" i="68" s="1"/>
  <c r="O886" i="68" s="1"/>
  <c r="O703" i="68"/>
  <c r="AB270" i="68"/>
  <c r="AB272" i="68" s="1"/>
  <c r="AB181" i="68"/>
  <c r="AH685" i="68"/>
  <c r="AH686" i="68"/>
  <c r="AH777" i="68" s="1"/>
  <c r="AH868" i="68" s="1"/>
  <c r="AA273" i="68"/>
  <c r="AA275" i="68" s="1"/>
  <c r="AA184" i="68"/>
  <c r="AA400" i="68"/>
  <c r="AA401" i="68"/>
  <c r="AA492" i="68" s="1"/>
  <c r="AA583" i="68" s="1"/>
  <c r="M687" i="68"/>
  <c r="M776" i="68"/>
  <c r="P393" i="68"/>
  <c r="P482" i="68"/>
  <c r="Q147" i="68"/>
  <c r="Q236" i="68"/>
  <c r="S429" i="68"/>
  <c r="S518" i="68"/>
  <c r="L376" i="68"/>
  <c r="L377" i="68"/>
  <c r="L468" i="68" s="1"/>
  <c r="L559" i="68" s="1"/>
  <c r="T404" i="68"/>
  <c r="T495" i="68" s="1"/>
  <c r="T586" i="68" s="1"/>
  <c r="T403" i="68"/>
  <c r="L102" i="68"/>
  <c r="L191" i="68"/>
  <c r="M147" i="68"/>
  <c r="M236" i="68"/>
  <c r="AF147" i="68"/>
  <c r="AF236" i="68"/>
  <c r="R751" i="68"/>
  <c r="R752" i="68"/>
  <c r="R843" i="68" s="1"/>
  <c r="R934" i="68" s="1"/>
  <c r="I720" i="68"/>
  <c r="I809" i="68"/>
  <c r="I689" i="68"/>
  <c r="I780" i="68" s="1"/>
  <c r="I871" i="68" s="1"/>
  <c r="I688" i="68"/>
  <c r="J705" i="68"/>
  <c r="J794" i="68"/>
  <c r="AC102" i="68"/>
  <c r="AC191" i="68"/>
  <c r="J282" i="68"/>
  <c r="J284" i="68" s="1"/>
  <c r="J193" i="68"/>
  <c r="P497" i="68"/>
  <c r="O699" i="68"/>
  <c r="O788" i="68"/>
  <c r="AF246" i="68"/>
  <c r="AF248" i="68" s="1"/>
  <c r="AF157" i="68"/>
  <c r="AG338" i="68"/>
  <c r="AF507" i="72"/>
  <c r="AF756" i="72"/>
  <c r="AF785" i="72" s="1"/>
  <c r="W294" i="68"/>
  <c r="W296" i="68" s="1"/>
  <c r="W205" i="68"/>
  <c r="AC720" i="68"/>
  <c r="AC809" i="68"/>
  <c r="Q719" i="68"/>
  <c r="Q810" i="68" s="1"/>
  <c r="Q901" i="68" s="1"/>
  <c r="Q718" i="68"/>
  <c r="R288" i="68"/>
  <c r="R290" i="68" s="1"/>
  <c r="R199" i="68"/>
  <c r="L270" i="68"/>
  <c r="L272" i="68" s="1"/>
  <c r="L181" i="68"/>
  <c r="Z273" i="68"/>
  <c r="Z275" i="68" s="1"/>
  <c r="Z184" i="68"/>
  <c r="U760" i="68"/>
  <c r="U761" i="68"/>
  <c r="U852" i="68" s="1"/>
  <c r="U943" i="68" s="1"/>
  <c r="S455" i="68"/>
  <c r="S546" i="68" s="1"/>
  <c r="S637" i="68" s="1"/>
  <c r="S454" i="68"/>
  <c r="AC696" i="68"/>
  <c r="AC785" i="68"/>
  <c r="U749" i="68"/>
  <c r="U840" i="68" s="1"/>
  <c r="U931" i="68" s="1"/>
  <c r="U748" i="68"/>
  <c r="AE714" i="68"/>
  <c r="AE803" i="68"/>
  <c r="AG734" i="68"/>
  <c r="AG825" i="68" s="1"/>
  <c r="AG916" i="68" s="1"/>
  <c r="AG733" i="68"/>
  <c r="Z746" i="68"/>
  <c r="Z837" i="68" s="1"/>
  <c r="Z928" i="68" s="1"/>
  <c r="Z745" i="68"/>
  <c r="AG393" i="68"/>
  <c r="AG482" i="68"/>
  <c r="Z440" i="68"/>
  <c r="Z531" i="68" s="1"/>
  <c r="Z622" i="68" s="1"/>
  <c r="Z439" i="68"/>
  <c r="Y114" i="68"/>
  <c r="Y203" i="68"/>
  <c r="AG81" i="68"/>
  <c r="AG170" i="68"/>
  <c r="S294" i="68"/>
  <c r="S296" i="68" s="1"/>
  <c r="S205" i="68"/>
  <c r="S719" i="68"/>
  <c r="S810" i="68" s="1"/>
  <c r="S901" i="68" s="1"/>
  <c r="S718" i="68"/>
  <c r="I144" i="68"/>
  <c r="I233" i="68"/>
  <c r="V421" i="68"/>
  <c r="V422" i="68"/>
  <c r="V513" i="68" s="1"/>
  <c r="V604" i="68" s="1"/>
  <c r="J416" i="68"/>
  <c r="J507" i="68" s="1"/>
  <c r="J598" i="68" s="1"/>
  <c r="J415" i="68"/>
  <c r="AA438" i="68"/>
  <c r="AA527" i="68"/>
  <c r="X830" i="68"/>
  <c r="AC393" i="68"/>
  <c r="AC482" i="68"/>
  <c r="AH394" i="68"/>
  <c r="AH395" i="68"/>
  <c r="AH486" i="68" s="1"/>
  <c r="AH577" i="68" s="1"/>
  <c r="P710" i="68"/>
  <c r="P801" i="68" s="1"/>
  <c r="P892" i="68" s="1"/>
  <c r="P709" i="68"/>
  <c r="V138" i="68"/>
  <c r="V228" i="68"/>
  <c r="V319" i="68" s="1"/>
  <c r="Q713" i="68"/>
  <c r="Q804" i="68" s="1"/>
  <c r="Q895" i="68" s="1"/>
  <c r="Q712" i="68"/>
  <c r="W264" i="68"/>
  <c r="W266" i="68" s="1"/>
  <c r="W175" i="68"/>
  <c r="T270" i="68"/>
  <c r="T272" i="68" s="1"/>
  <c r="T181" i="68"/>
  <c r="J90" i="68"/>
  <c r="J179" i="68"/>
  <c r="S108" i="68"/>
  <c r="S197" i="68"/>
  <c r="AA297" i="68"/>
  <c r="AA299" i="68" s="1"/>
  <c r="AA208" i="68"/>
  <c r="S744" i="68"/>
  <c r="S833" i="68"/>
  <c r="K170" i="68"/>
  <c r="U432" i="68"/>
  <c r="U521" i="68"/>
  <c r="U312" i="68"/>
  <c r="U314" i="68" s="1"/>
  <c r="U223" i="68"/>
  <c r="P315" i="68"/>
  <c r="P317" i="68" s="1"/>
  <c r="P226" i="68"/>
  <c r="Q276" i="68"/>
  <c r="Q278" i="68" s="1"/>
  <c r="Q187" i="68"/>
  <c r="T693" i="68"/>
  <c r="T782" i="68"/>
  <c r="AC429" i="68"/>
  <c r="AC518" i="68"/>
  <c r="N636" i="68"/>
  <c r="T408" i="68"/>
  <c r="T497" i="68"/>
  <c r="J81" i="68"/>
  <c r="J170" i="68"/>
  <c r="M117" i="68"/>
  <c r="M206" i="68"/>
  <c r="K806" i="68"/>
  <c r="AE443" i="68"/>
  <c r="AE534" i="68" s="1"/>
  <c r="AE625" i="68" s="1"/>
  <c r="AE442" i="68"/>
  <c r="X102" i="68"/>
  <c r="X191" i="68"/>
  <c r="J426" i="68"/>
  <c r="J515" i="68"/>
  <c r="R393" i="68"/>
  <c r="R482" i="68"/>
  <c r="J803" i="68"/>
  <c r="T439" i="68"/>
  <c r="T440" i="68"/>
  <c r="T531" i="68" s="1"/>
  <c r="T622" i="68" s="1"/>
  <c r="J627" i="68"/>
  <c r="AA435" i="68"/>
  <c r="AA524" i="68"/>
  <c r="X702" i="68"/>
  <c r="X791" i="68"/>
  <c r="AD735" i="68"/>
  <c r="AD824" i="68"/>
  <c r="I381" i="68"/>
  <c r="I470" i="68"/>
  <c r="P693" i="68"/>
  <c r="P782" i="68"/>
  <c r="U373" i="68"/>
  <c r="U374" i="68"/>
  <c r="U465" i="68" s="1"/>
  <c r="U556" i="68" s="1"/>
  <c r="L414" i="68"/>
  <c r="L503" i="68"/>
  <c r="Z427" i="68"/>
  <c r="Z428" i="68"/>
  <c r="Z519" i="68" s="1"/>
  <c r="Z610" i="68" s="1"/>
  <c r="AF261" i="72"/>
  <c r="AG29" i="68"/>
  <c r="J494" i="68"/>
  <c r="AE415" i="68"/>
  <c r="AE416" i="68"/>
  <c r="AE507" i="68" s="1"/>
  <c r="AE598" i="68" s="1"/>
  <c r="M710" i="68"/>
  <c r="M801" i="68" s="1"/>
  <c r="M892" i="68" s="1"/>
  <c r="M709" i="68"/>
  <c r="AF428" i="68"/>
  <c r="AF519" i="68" s="1"/>
  <c r="AF610" i="68" s="1"/>
  <c r="AF427" i="68"/>
  <c r="S692" i="68"/>
  <c r="S783" i="68" s="1"/>
  <c r="S874" i="68" s="1"/>
  <c r="S691" i="68"/>
  <c r="Q717" i="68"/>
  <c r="Q806" i="68"/>
  <c r="AE138" i="68"/>
  <c r="AE227" i="68"/>
  <c r="O105" i="68"/>
  <c r="O194" i="68"/>
  <c r="L431" i="68"/>
  <c r="L522" i="68" s="1"/>
  <c r="L613" i="68" s="1"/>
  <c r="L430" i="68"/>
  <c r="AF687" i="68"/>
  <c r="AF776" i="68"/>
  <c r="Y690" i="68"/>
  <c r="Y779" i="68"/>
  <c r="U647" i="68"/>
  <c r="T752" i="72"/>
  <c r="T787" i="72"/>
  <c r="T816" i="72" s="1"/>
  <c r="AE449" i="68"/>
  <c r="AE540" i="68" s="1"/>
  <c r="AE631" i="68" s="1"/>
  <c r="AE448" i="68"/>
  <c r="S704" i="68"/>
  <c r="S795" i="68" s="1"/>
  <c r="S886" i="68" s="1"/>
  <c r="S703" i="68"/>
  <c r="X384" i="68"/>
  <c r="X473" i="68"/>
  <c r="AC740" i="68"/>
  <c r="AC831" i="68" s="1"/>
  <c r="AC922" i="68" s="1"/>
  <c r="AC739" i="68"/>
  <c r="V81" i="68"/>
  <c r="V170" i="68"/>
  <c r="Y764" i="68"/>
  <c r="Y855" i="68" s="1"/>
  <c r="Y946" i="68" s="1"/>
  <c r="Y763" i="68"/>
  <c r="J436" i="68"/>
  <c r="J527" i="68" s="1"/>
  <c r="J437" i="68"/>
  <c r="AB413" i="68"/>
  <c r="AB504" i="68" s="1"/>
  <c r="AB595" i="68" s="1"/>
  <c r="AB412" i="68"/>
  <c r="Q456" i="68"/>
  <c r="Q545" i="68"/>
  <c r="AD618" i="68"/>
  <c r="Y417" i="68"/>
  <c r="Y506" i="68"/>
  <c r="AF399" i="68"/>
  <c r="AF488" i="68"/>
  <c r="AA806" i="68"/>
  <c r="U765" i="68"/>
  <c r="U854" i="68"/>
  <c r="AD415" i="68"/>
  <c r="AD416" i="68"/>
  <c r="AD507" i="68" s="1"/>
  <c r="AD598" i="68" s="1"/>
  <c r="O411" i="68"/>
  <c r="O500" i="68"/>
  <c r="Q303" i="68"/>
  <c r="Q305" i="68" s="1"/>
  <c r="Q214" i="68"/>
  <c r="AE432" i="68"/>
  <c r="AE521" i="68"/>
  <c r="P690" i="68"/>
  <c r="P779" i="68"/>
  <c r="AD300" i="68"/>
  <c r="Y129" i="68"/>
  <c r="Y218" i="68"/>
  <c r="Z763" i="68"/>
  <c r="Z854" i="68" s="1"/>
  <c r="Z764" i="68"/>
  <c r="X759" i="68"/>
  <c r="X848" i="68"/>
  <c r="Q741" i="68"/>
  <c r="Q830" i="68"/>
  <c r="O714" i="68"/>
  <c r="O803" i="68"/>
  <c r="AG321" i="68"/>
  <c r="AG323" i="68" s="1"/>
  <c r="AG232" i="68"/>
  <c r="S740" i="68"/>
  <c r="S831" i="68" s="1"/>
  <c r="S922" i="68" s="1"/>
  <c r="S739" i="68"/>
  <c r="AA732" i="68"/>
  <c r="AA821" i="68"/>
  <c r="AG378" i="68"/>
  <c r="AG467" i="68"/>
  <c r="AF111" i="68"/>
  <c r="AF200" i="68"/>
  <c r="N624" i="68"/>
  <c r="AH756" i="68"/>
  <c r="AH845" i="68"/>
  <c r="AE75" i="68"/>
  <c r="AE164" i="68"/>
  <c r="X132" i="68"/>
  <c r="X221" i="68"/>
  <c r="R309" i="68"/>
  <c r="AB406" i="68"/>
  <c r="AB407" i="68"/>
  <c r="AB498" i="68" s="1"/>
  <c r="AB589" i="68" s="1"/>
  <c r="AG732" i="68"/>
  <c r="AG821" i="68"/>
  <c r="O93" i="68"/>
  <c r="O182" i="68"/>
  <c r="AF381" i="68"/>
  <c r="AF470" i="68"/>
  <c r="AC454" i="68"/>
  <c r="AC545" i="68" s="1"/>
  <c r="AC455" i="68"/>
  <c r="U442" i="68"/>
  <c r="U533" i="68" s="1"/>
  <c r="U443" i="68"/>
  <c r="U394" i="68"/>
  <c r="U395" i="68"/>
  <c r="U486" i="68" s="1"/>
  <c r="U577" i="68" s="1"/>
  <c r="U421" i="68"/>
  <c r="U422" i="68"/>
  <c r="U513" i="68" s="1"/>
  <c r="U604" i="68" s="1"/>
  <c r="AB744" i="68"/>
  <c r="AB833" i="68"/>
  <c r="AC285" i="68"/>
  <c r="AC287" i="68" s="1"/>
  <c r="AC196" i="68"/>
  <c r="N270" i="68"/>
  <c r="N272" i="68" s="1"/>
  <c r="N181" i="68"/>
  <c r="X261" i="68"/>
  <c r="X263" i="68" s="1"/>
  <c r="X172" i="68"/>
  <c r="X450" i="68"/>
  <c r="X540" i="68"/>
  <c r="X631" i="68" s="1"/>
  <c r="AG711" i="68"/>
  <c r="AG800" i="68"/>
  <c r="T454" i="68"/>
  <c r="T455" i="68"/>
  <c r="T546" i="68" s="1"/>
  <c r="T637" i="68" s="1"/>
  <c r="K398" i="68"/>
  <c r="K489" i="68" s="1"/>
  <c r="K580" i="68" s="1"/>
  <c r="K397" i="68"/>
  <c r="AF261" i="68"/>
  <c r="AF263" i="68" s="1"/>
  <c r="AF172" i="68"/>
  <c r="W402" i="68"/>
  <c r="W491" i="68"/>
  <c r="R378" i="68"/>
  <c r="R467" i="68"/>
  <c r="U630" i="68"/>
  <c r="U632" i="68" s="1"/>
  <c r="U541" i="68"/>
  <c r="V410" i="68"/>
  <c r="V501" i="68" s="1"/>
  <c r="V592" i="68" s="1"/>
  <c r="V409" i="68"/>
  <c r="M482" i="68"/>
  <c r="U690" i="68"/>
  <c r="U779" i="68"/>
  <c r="AE452" i="68"/>
  <c r="AE543" i="68" s="1"/>
  <c r="AE634" i="68" s="1"/>
  <c r="AE451" i="68"/>
  <c r="R387" i="68"/>
  <c r="R476" i="68"/>
  <c r="AH731" i="68"/>
  <c r="AH822" i="68" s="1"/>
  <c r="AH913" i="68" s="1"/>
  <c r="AH730" i="68"/>
  <c r="Z75" i="68"/>
  <c r="Z164" i="68"/>
  <c r="AE391" i="68"/>
  <c r="AE392" i="68"/>
  <c r="AE483" i="68" s="1"/>
  <c r="AE574" i="68" s="1"/>
  <c r="K702" i="68"/>
  <c r="K791" i="68"/>
  <c r="AB647" i="68"/>
  <c r="AA752" i="72"/>
  <c r="AA787" i="72"/>
  <c r="AA816" i="72" s="1"/>
  <c r="AB417" i="68"/>
  <c r="AB506" i="68"/>
  <c r="Y69" i="68"/>
  <c r="Y158" i="68"/>
  <c r="N709" i="68"/>
  <c r="N710" i="68"/>
  <c r="N801" i="68" s="1"/>
  <c r="N892" i="68" s="1"/>
  <c r="AC401" i="68"/>
  <c r="AC492" i="68" s="1"/>
  <c r="AC583" i="68" s="1"/>
  <c r="AC400" i="68"/>
  <c r="W647" i="68"/>
  <c r="V752" i="72"/>
  <c r="V787" i="72"/>
  <c r="V816" i="72" s="1"/>
  <c r="AG456" i="68"/>
  <c r="AG545" i="68"/>
  <c r="L144" i="68"/>
  <c r="L233" i="68"/>
  <c r="Y258" i="68"/>
  <c r="Y260" i="68" s="1"/>
  <c r="Y169" i="68"/>
  <c r="W258" i="68"/>
  <c r="W260" i="68" s="1"/>
  <c r="W169" i="68"/>
  <c r="W384" i="68"/>
  <c r="W473" i="68"/>
  <c r="Z647" i="68"/>
  <c r="Y752" i="72"/>
  <c r="Y787" i="72"/>
  <c r="Y816" i="72" s="1"/>
  <c r="M438" i="68"/>
  <c r="M527" i="68"/>
  <c r="L717" i="68"/>
  <c r="L806" i="68"/>
  <c r="M72" i="68"/>
  <c r="M161" i="68"/>
  <c r="R741" i="68"/>
  <c r="R830" i="68"/>
  <c r="AA114" i="68"/>
  <c r="AA203" i="68"/>
  <c r="R270" i="68"/>
  <c r="R272" i="68" s="1"/>
  <c r="R181" i="68"/>
  <c r="Z698" i="68"/>
  <c r="Z789" i="68" s="1"/>
  <c r="Z880" i="68" s="1"/>
  <c r="Z697" i="68"/>
  <c r="AE743" i="68"/>
  <c r="AE834" i="68" s="1"/>
  <c r="AE925" i="68" s="1"/>
  <c r="AE742" i="68"/>
  <c r="P390" i="68"/>
  <c r="P479" i="68"/>
  <c r="N382" i="68"/>
  <c r="N383" i="68"/>
  <c r="N474" i="68" s="1"/>
  <c r="N565" i="68" s="1"/>
  <c r="AA426" i="68"/>
  <c r="AA515" i="68"/>
  <c r="S75" i="68"/>
  <c r="S164" i="68"/>
  <c r="P78" i="68"/>
  <c r="P167" i="68"/>
  <c r="AH412" i="68"/>
  <c r="AH413" i="68"/>
  <c r="AH504" i="68" s="1"/>
  <c r="AH595" i="68" s="1"/>
  <c r="M421" i="68"/>
  <c r="M422" i="68"/>
  <c r="M513" i="68" s="1"/>
  <c r="M604" i="68" s="1"/>
  <c r="U755" i="68"/>
  <c r="U846" i="68" s="1"/>
  <c r="U937" i="68" s="1"/>
  <c r="U754" i="68"/>
  <c r="S398" i="68"/>
  <c r="S489" i="68" s="1"/>
  <c r="S580" i="68" s="1"/>
  <c r="S397" i="68"/>
  <c r="AH647" i="68"/>
  <c r="AG752" i="72"/>
  <c r="AG787" i="72"/>
  <c r="AG816" i="72" s="1"/>
  <c r="AE141" i="68"/>
  <c r="AE231" i="68"/>
  <c r="AE322" i="68" s="1"/>
  <c r="Q138" i="68"/>
  <c r="Q228" i="68"/>
  <c r="Q319" i="68" s="1"/>
  <c r="AF756" i="68"/>
  <c r="AF845" i="68"/>
  <c r="X279" i="68"/>
  <c r="X281" i="68" s="1"/>
  <c r="X190" i="68"/>
  <c r="T818" i="68"/>
  <c r="O736" i="68"/>
  <c r="O827" i="68" s="1"/>
  <c r="O737" i="68"/>
  <c r="AD942" i="68"/>
  <c r="P435" i="68"/>
  <c r="P524" i="68"/>
  <c r="K408" i="68"/>
  <c r="K497" i="68"/>
  <c r="AC435" i="68"/>
  <c r="AC524" i="68"/>
  <c r="X731" i="68"/>
  <c r="X822" i="68" s="1"/>
  <c r="X913" i="68" s="1"/>
  <c r="X730" i="68"/>
  <c r="S530" i="68"/>
  <c r="Q506" i="68"/>
  <c r="AF711" i="68"/>
  <c r="AF800" i="68"/>
  <c r="Q647" i="68"/>
  <c r="P752" i="72"/>
  <c r="P787" i="72"/>
  <c r="P816" i="72" s="1"/>
  <c r="AE93" i="68"/>
  <c r="AE182" i="68"/>
  <c r="Q338" i="68"/>
  <c r="P507" i="72"/>
  <c r="P756" i="72"/>
  <c r="P785" i="72" s="1"/>
  <c r="Z918" i="68"/>
  <c r="I693" i="68"/>
  <c r="I782" i="68"/>
  <c r="R451" i="68"/>
  <c r="R542" i="68" s="1"/>
  <c r="R452" i="68"/>
  <c r="AC447" i="68"/>
  <c r="AC536" i="68"/>
  <c r="AG252" i="68"/>
  <c r="AG254" i="68" s="1"/>
  <c r="AG163" i="68"/>
  <c r="U297" i="68"/>
  <c r="U299" i="68" s="1"/>
  <c r="U208" i="68"/>
  <c r="Y405" i="68"/>
  <c r="Y494" i="68"/>
  <c r="AC300" i="68"/>
  <c r="AC302" i="68" s="1"/>
  <c r="AC211" i="68"/>
  <c r="O381" i="68"/>
  <c r="O470" i="68"/>
  <c r="AF264" i="68"/>
  <c r="AF266" i="68" s="1"/>
  <c r="AF175" i="68"/>
  <c r="AH417" i="68"/>
  <c r="AH506" i="68"/>
  <c r="J696" i="68"/>
  <c r="J785" i="68"/>
  <c r="S745" i="68"/>
  <c r="S836" i="68" s="1"/>
  <c r="S746" i="68"/>
  <c r="AD703" i="68"/>
  <c r="AD704" i="68"/>
  <c r="AD795" i="68" s="1"/>
  <c r="AD886" i="68" s="1"/>
  <c r="W735" i="68"/>
  <c r="W824" i="68"/>
  <c r="X647" i="68"/>
  <c r="W752" i="72"/>
  <c r="W787" i="72"/>
  <c r="W816" i="72" s="1"/>
  <c r="AA138" i="68"/>
  <c r="AA228" i="68"/>
  <c r="AA319" i="68" s="1"/>
  <c r="Y432" i="68"/>
  <c r="Y521" i="68"/>
  <c r="Q141" i="68"/>
  <c r="Q230" i="68"/>
  <c r="AH693" i="68"/>
  <c r="AH782" i="68"/>
  <c r="V742" i="68"/>
  <c r="V743" i="68"/>
  <c r="V834" i="68" s="1"/>
  <c r="V925" i="68" s="1"/>
  <c r="U144" i="68"/>
  <c r="U233" i="68"/>
  <c r="S264" i="68"/>
  <c r="S266" i="68" s="1"/>
  <c r="S175" i="68"/>
  <c r="N291" i="68"/>
  <c r="N293" i="68" s="1"/>
  <c r="N202" i="68"/>
  <c r="L405" i="68"/>
  <c r="L494" i="68"/>
  <c r="R424" i="68"/>
  <c r="R425" i="68"/>
  <c r="R516" i="68" s="1"/>
  <c r="R607" i="68" s="1"/>
  <c r="P696" i="68"/>
  <c r="P785" i="68"/>
  <c r="O282" i="68"/>
  <c r="N373" i="68"/>
  <c r="N374" i="68"/>
  <c r="N465" i="68" s="1"/>
  <c r="N556" i="68" s="1"/>
  <c r="V933" i="68"/>
  <c r="AC405" i="68"/>
  <c r="AC494" i="68"/>
  <c r="K379" i="68"/>
  <c r="K380" i="68"/>
  <c r="K471" i="68" s="1"/>
  <c r="K562" i="68" s="1"/>
  <c r="N381" i="68"/>
  <c r="N470" i="68"/>
  <c r="AB723" i="68"/>
  <c r="AB812" i="68"/>
  <c r="V375" i="68"/>
  <c r="V464" i="68"/>
  <c r="Y409" i="68"/>
  <c r="Y410" i="68"/>
  <c r="Y501" i="68" s="1"/>
  <c r="Y592" i="68" s="1"/>
  <c r="R416" i="68"/>
  <c r="R507" i="68" s="1"/>
  <c r="R598" i="68" s="1"/>
  <c r="R415" i="68"/>
  <c r="J376" i="68"/>
  <c r="J377" i="68"/>
  <c r="J468" i="68" s="1"/>
  <c r="J559" i="68" s="1"/>
  <c r="L288" i="68"/>
  <c r="AE724" i="68"/>
  <c r="AE725" i="68"/>
  <c r="AE816" i="68" s="1"/>
  <c r="AE907" i="68" s="1"/>
  <c r="AG712" i="68"/>
  <c r="AG713" i="68"/>
  <c r="AG804" i="68" s="1"/>
  <c r="AG895" i="68" s="1"/>
  <c r="AA66" i="68"/>
  <c r="AA155" i="68"/>
  <c r="AH749" i="68"/>
  <c r="AH840" i="68" s="1"/>
  <c r="AH931" i="68" s="1"/>
  <c r="AH748" i="68"/>
  <c r="U704" i="68"/>
  <c r="U795" i="68" s="1"/>
  <c r="U886" i="68" s="1"/>
  <c r="U703" i="68"/>
  <c r="S29" i="68"/>
  <c r="R261" i="72"/>
  <c r="R435" i="68"/>
  <c r="R524" i="68"/>
  <c r="P636" i="68"/>
  <c r="V318" i="68"/>
  <c r="K449" i="68"/>
  <c r="K540" i="68" s="1"/>
  <c r="K631" i="68" s="1"/>
  <c r="K448" i="68"/>
  <c r="K705" i="68"/>
  <c r="K794" i="68"/>
  <c r="AE740" i="68"/>
  <c r="AE831" i="68" s="1"/>
  <c r="AE922" i="68" s="1"/>
  <c r="AE739" i="68"/>
  <c r="Q687" i="68"/>
  <c r="Q776" i="68"/>
  <c r="AA123" i="68"/>
  <c r="AA212" i="68"/>
  <c r="O387" i="68"/>
  <c r="O476" i="68"/>
  <c r="AA695" i="68"/>
  <c r="AA786" i="68" s="1"/>
  <c r="AA877" i="68" s="1"/>
  <c r="AA694" i="68"/>
  <c r="AF452" i="68"/>
  <c r="AF543" i="68" s="1"/>
  <c r="AF634" i="68" s="1"/>
  <c r="AF451" i="68"/>
  <c r="T315" i="68"/>
  <c r="T748" i="68"/>
  <c r="T749" i="68"/>
  <c r="T840" i="68" s="1"/>
  <c r="T931" i="68" s="1"/>
  <c r="AD114" i="68"/>
  <c r="AD203" i="68"/>
  <c r="T338" i="68"/>
  <c r="S507" i="72"/>
  <c r="S756" i="72"/>
  <c r="S785" i="72" s="1"/>
  <c r="I702" i="68"/>
  <c r="I791" i="68"/>
  <c r="AA81" i="68"/>
  <c r="AA170" i="68"/>
  <c r="T721" i="68"/>
  <c r="T722" i="68"/>
  <c r="T813" i="68" s="1"/>
  <c r="T904" i="68" s="1"/>
  <c r="AE423" i="68"/>
  <c r="AE512" i="68"/>
  <c r="X437" i="68"/>
  <c r="X528" i="68" s="1"/>
  <c r="X619" i="68" s="1"/>
  <c r="X436" i="68"/>
  <c r="O444" i="68"/>
  <c r="O533" i="68"/>
  <c r="M81" i="68"/>
  <c r="M170" i="68"/>
  <c r="X690" i="68"/>
  <c r="X779" i="68"/>
  <c r="R721" i="68"/>
  <c r="R722" i="68"/>
  <c r="R813" i="68" s="1"/>
  <c r="R904" i="68" s="1"/>
  <c r="AD684" i="68"/>
  <c r="AD773" i="68"/>
  <c r="J279" i="68"/>
  <c r="J281" i="68" s="1"/>
  <c r="J190" i="68"/>
  <c r="V338" i="68"/>
  <c r="U507" i="72"/>
  <c r="U756" i="72"/>
  <c r="U785" i="72" s="1"/>
  <c r="V428" i="68"/>
  <c r="V519" i="68" s="1"/>
  <c r="V610" i="68" s="1"/>
  <c r="V427" i="68"/>
  <c r="N69" i="68"/>
  <c r="N158" i="68"/>
  <c r="T745" i="68"/>
  <c r="T746" i="68"/>
  <c r="T837" i="68" s="1"/>
  <c r="T928" i="68" s="1"/>
  <c r="O433" i="68"/>
  <c r="O434" i="68"/>
  <c r="O525" i="68" s="1"/>
  <c r="O616" i="68" s="1"/>
  <c r="AG383" i="68"/>
  <c r="AG474" i="68" s="1"/>
  <c r="AG565" i="68" s="1"/>
  <c r="AG382" i="68"/>
  <c r="AC705" i="68"/>
  <c r="AC794" i="68"/>
  <c r="AH147" i="68"/>
  <c r="AH236" i="68"/>
  <c r="AD393" i="68"/>
  <c r="AD482" i="68"/>
  <c r="AG693" i="68"/>
  <c r="AG782" i="68"/>
  <c r="U732" i="68"/>
  <c r="U821" i="68"/>
  <c r="K447" i="68"/>
  <c r="K536" i="68"/>
  <c r="M235" i="68"/>
  <c r="Z500" i="68"/>
  <c r="I717" i="68"/>
  <c r="I806" i="68"/>
  <c r="R303" i="68"/>
  <c r="R305" i="68" s="1"/>
  <c r="R214" i="68"/>
  <c r="Q438" i="68"/>
  <c r="Q527" i="68"/>
  <c r="K732" i="68"/>
  <c r="K821" i="68"/>
  <c r="V273" i="68"/>
  <c r="V275" i="68" s="1"/>
  <c r="V184" i="68"/>
  <c r="AB750" i="68"/>
  <c r="AB839" i="68"/>
  <c r="I391" i="68"/>
  <c r="I392" i="68"/>
  <c r="I483" i="68" s="1"/>
  <c r="I574" i="68" s="1"/>
  <c r="AF540" i="68"/>
  <c r="AF631" i="68" s="1"/>
  <c r="AB689" i="68"/>
  <c r="AB780" i="68" s="1"/>
  <c r="AB871" i="68" s="1"/>
  <c r="AB688" i="68"/>
  <c r="N84" i="68"/>
  <c r="N173" i="68"/>
  <c r="K467" i="68"/>
  <c r="Z261" i="68"/>
  <c r="Z263" i="68" s="1"/>
  <c r="Z172" i="68"/>
  <c r="AB381" i="68"/>
  <c r="AB470" i="68"/>
  <c r="Z445" i="68"/>
  <c r="Z446" i="68"/>
  <c r="Z537" i="68" s="1"/>
  <c r="Z628" i="68" s="1"/>
  <c r="L93" i="68"/>
  <c r="L182" i="68"/>
  <c r="N99" i="68"/>
  <c r="N188" i="68"/>
  <c r="L381" i="68"/>
  <c r="L470" i="68"/>
  <c r="AE763" i="68"/>
  <c r="AE764" i="68"/>
  <c r="AE855" i="68" s="1"/>
  <c r="AE946" i="68" s="1"/>
  <c r="AE158" i="68"/>
  <c r="AG117" i="68"/>
  <c r="AG206" i="68"/>
  <c r="J453" i="68"/>
  <c r="J542" i="68"/>
  <c r="S416" i="68"/>
  <c r="S507" i="68" s="1"/>
  <c r="S598" i="68" s="1"/>
  <c r="S415" i="68"/>
  <c r="Q742" i="68"/>
  <c r="Q743" i="68"/>
  <c r="Q834" i="68" s="1"/>
  <c r="Q925" i="68" s="1"/>
  <c r="T413" i="68"/>
  <c r="T504" i="68" s="1"/>
  <c r="T595" i="68" s="1"/>
  <c r="T412" i="68"/>
  <c r="J687" i="68"/>
  <c r="J776" i="68"/>
  <c r="AC467" i="68"/>
  <c r="L454" i="68"/>
  <c r="L455" i="68"/>
  <c r="L546" i="68" s="1"/>
  <c r="L637" i="68" s="1"/>
  <c r="V738" i="68"/>
  <c r="V827" i="68"/>
  <c r="Z718" i="68"/>
  <c r="Z719" i="68"/>
  <c r="Z810" i="68" s="1"/>
  <c r="Z901" i="68" s="1"/>
  <c r="R809" i="68"/>
  <c r="AF748" i="68"/>
  <c r="AF749" i="68"/>
  <c r="AF840" i="68" s="1"/>
  <c r="AF931" i="68" s="1"/>
  <c r="Q288" i="68"/>
  <c r="Q290" i="68" s="1"/>
  <c r="Q199" i="68"/>
  <c r="K442" i="68"/>
  <c r="K443" i="68"/>
  <c r="K534" i="68" s="1"/>
  <c r="K625" i="68" s="1"/>
  <c r="AD732" i="68"/>
  <c r="AD821" i="68"/>
  <c r="W720" i="68"/>
  <c r="W809" i="68"/>
  <c r="Z377" i="68"/>
  <c r="Z468" i="68" s="1"/>
  <c r="Z559" i="68" s="1"/>
  <c r="Z376" i="68"/>
  <c r="X725" i="68"/>
  <c r="X816" i="68" s="1"/>
  <c r="X907" i="68" s="1"/>
  <c r="X724" i="68"/>
  <c r="U78" i="68"/>
  <c r="U167" i="68"/>
  <c r="I503" i="68"/>
  <c r="O321" i="68"/>
  <c r="O323" i="68" s="1"/>
  <c r="O232" i="68"/>
  <c r="AF393" i="68"/>
  <c r="AF482" i="68"/>
  <c r="R733" i="68"/>
  <c r="R734" i="68"/>
  <c r="R825" i="68" s="1"/>
  <c r="R916" i="68" s="1"/>
  <c r="AF432" i="68"/>
  <c r="AF521" i="68"/>
  <c r="P282" i="68"/>
  <c r="Q261" i="68"/>
  <c r="Q263" i="68" s="1"/>
  <c r="Q172" i="68"/>
  <c r="AA423" i="68"/>
  <c r="AA512" i="68"/>
  <c r="W420" i="68"/>
  <c r="W509" i="68"/>
  <c r="O420" i="68"/>
  <c r="O509" i="68"/>
  <c r="Z382" i="68"/>
  <c r="Z383" i="68"/>
  <c r="Z474" i="68" s="1"/>
  <c r="Z565" i="68" s="1"/>
  <c r="AH126" i="68"/>
  <c r="AH215" i="68"/>
  <c r="Q442" i="68"/>
  <c r="Q443" i="68"/>
  <c r="Q534" i="68" s="1"/>
  <c r="Q625" i="68" s="1"/>
  <c r="M708" i="68"/>
  <c r="M797" i="68"/>
  <c r="N306" i="68"/>
  <c r="N308" i="68" s="1"/>
  <c r="N217" i="68"/>
  <c r="Z270" i="68"/>
  <c r="Z272" i="68" s="1"/>
  <c r="Z181" i="68"/>
  <c r="AC737" i="68"/>
  <c r="AC828" i="68" s="1"/>
  <c r="AC919" i="68" s="1"/>
  <c r="AC736" i="68"/>
  <c r="R111" i="68"/>
  <c r="R200" i="68"/>
  <c r="P276" i="68"/>
  <c r="P278" i="68" s="1"/>
  <c r="P187" i="68"/>
  <c r="P702" i="68"/>
  <c r="P791" i="68"/>
  <c r="AB741" i="68"/>
  <c r="AB830" i="68"/>
  <c r="Y709" i="68"/>
  <c r="Y710" i="68"/>
  <c r="Y801" i="68" s="1"/>
  <c r="Y892" i="68" s="1"/>
  <c r="W765" i="68"/>
  <c r="W855" i="68"/>
  <c r="W946" i="68" s="1"/>
  <c r="AB758" i="68"/>
  <c r="AB849" i="68" s="1"/>
  <c r="AB940" i="68" s="1"/>
  <c r="AB757" i="68"/>
  <c r="N747" i="68"/>
  <c r="N836" i="68"/>
  <c r="V252" i="68"/>
  <c r="V254" i="68" s="1"/>
  <c r="V163" i="68"/>
  <c r="R732" i="68"/>
  <c r="R821" i="68"/>
  <c r="AF753" i="68"/>
  <c r="AF842" i="68"/>
  <c r="Y747" i="68"/>
  <c r="Y836" i="68"/>
  <c r="N402" i="68"/>
  <c r="N491" i="68"/>
  <c r="N687" i="68"/>
  <c r="N776" i="68"/>
  <c r="T276" i="68"/>
  <c r="T278" i="68" s="1"/>
  <c r="T187" i="68"/>
  <c r="Z315" i="68"/>
  <c r="Z317" i="68" s="1"/>
  <c r="Z226" i="68"/>
  <c r="M756" i="68"/>
  <c r="M845" i="68"/>
  <c r="S413" i="68"/>
  <c r="S504" i="68" s="1"/>
  <c r="S595" i="68" s="1"/>
  <c r="S412" i="68"/>
  <c r="T258" i="68"/>
  <c r="T260" i="68" s="1"/>
  <c r="T169" i="68"/>
  <c r="Z264" i="68"/>
  <c r="Z266" i="68" s="1"/>
  <c r="Z175" i="68"/>
  <c r="AB429" i="68"/>
  <c r="T687" i="68"/>
  <c r="T776" i="68"/>
  <c r="P138" i="68"/>
  <c r="P227" i="68"/>
  <c r="Q132" i="68"/>
  <c r="Q222" i="68"/>
  <c r="Q313" i="68" s="1"/>
  <c r="AB725" i="68"/>
  <c r="AB816" i="68" s="1"/>
  <c r="AB907" i="68" s="1"/>
  <c r="AB724" i="68"/>
  <c r="Y384" i="68"/>
  <c r="Y473" i="68"/>
  <c r="AG424" i="68"/>
  <c r="AG425" i="68"/>
  <c r="AG516" i="68" s="1"/>
  <c r="AG607" i="68" s="1"/>
  <c r="L147" i="68"/>
  <c r="L236" i="68"/>
  <c r="AE411" i="68"/>
  <c r="AE500" i="68"/>
  <c r="V405" i="68"/>
  <c r="V494" i="68"/>
  <c r="V432" i="68"/>
  <c r="V521" i="68"/>
  <c r="V759" i="68"/>
  <c r="V849" i="68"/>
  <c r="V940" i="68" s="1"/>
  <c r="AC141" i="68"/>
  <c r="AC230" i="68"/>
  <c r="I93" i="68"/>
  <c r="I182" i="68"/>
  <c r="I729" i="68"/>
  <c r="I818" i="68"/>
  <c r="I759" i="68"/>
  <c r="I848" i="68"/>
  <c r="AC249" i="68"/>
  <c r="AC251" i="68" s="1"/>
  <c r="AC160" i="68"/>
  <c r="T384" i="68"/>
  <c r="T473" i="68"/>
  <c r="R441" i="68"/>
  <c r="R530" i="68"/>
  <c r="W300" i="68"/>
  <c r="W302" i="68" s="1"/>
  <c r="W211" i="68"/>
  <c r="AB756" i="68"/>
  <c r="AB845" i="68"/>
  <c r="Q765" i="68"/>
  <c r="Q854" i="68"/>
  <c r="V394" i="68"/>
  <c r="V395" i="68"/>
  <c r="V486" i="68" s="1"/>
  <c r="V577" i="68" s="1"/>
  <c r="AG300" i="68"/>
  <c r="AG302" i="68" s="1"/>
  <c r="AG211" i="68"/>
  <c r="K297" i="68"/>
  <c r="K299" i="68" s="1"/>
  <c r="K208" i="68"/>
  <c r="AE710" i="68"/>
  <c r="AE801" i="68" s="1"/>
  <c r="AE892" i="68" s="1"/>
  <c r="AE709" i="68"/>
  <c r="Q126" i="68"/>
  <c r="Q215" i="68"/>
  <c r="L435" i="68"/>
  <c r="L524" i="68"/>
  <c r="AD440" i="68"/>
  <c r="AD531" i="68" s="1"/>
  <c r="AD622" i="68" s="1"/>
  <c r="AD439" i="68"/>
  <c r="T381" i="68"/>
  <c r="T470" i="68"/>
  <c r="AH432" i="68"/>
  <c r="AH521" i="68"/>
  <c r="AB405" i="68"/>
  <c r="AB494" i="68"/>
  <c r="W740" i="68"/>
  <c r="W831" i="68" s="1"/>
  <c r="W922" i="68" s="1"/>
  <c r="W739" i="68"/>
  <c r="L718" i="68"/>
  <c r="L719" i="68"/>
  <c r="L810" i="68" s="1"/>
  <c r="L901" i="68" s="1"/>
  <c r="T291" i="68"/>
  <c r="T293" i="68" s="1"/>
  <c r="T202" i="68"/>
  <c r="AH384" i="68"/>
  <c r="AH473" i="68"/>
  <c r="Z730" i="68"/>
  <c r="Z731" i="68"/>
  <c r="Z822" i="68" s="1"/>
  <c r="Z913" i="68" s="1"/>
  <c r="P503" i="68"/>
  <c r="Y435" i="68"/>
  <c r="Y524" i="68"/>
  <c r="AA750" i="68"/>
  <c r="AA839" i="68"/>
  <c r="S285" i="68"/>
  <c r="S287" i="68" s="1"/>
  <c r="S196" i="68"/>
  <c r="O414" i="68"/>
  <c r="O503" i="68"/>
  <c r="V393" i="68"/>
  <c r="V482" i="68"/>
  <c r="Y712" i="68"/>
  <c r="Y713" i="68"/>
  <c r="Y804" i="68" s="1"/>
  <c r="Y895" i="68" s="1"/>
  <c r="V450" i="68"/>
  <c r="V539" i="68"/>
  <c r="K394" i="68"/>
  <c r="K395" i="68"/>
  <c r="K486" i="68" s="1"/>
  <c r="K577" i="68" s="1"/>
  <c r="Y406" i="68"/>
  <c r="Y407" i="68"/>
  <c r="Y498" i="68" s="1"/>
  <c r="Y589" i="68" s="1"/>
  <c r="V380" i="68"/>
  <c r="V471" i="68" s="1"/>
  <c r="V562" i="68" s="1"/>
  <c r="V379" i="68"/>
  <c r="AH711" i="68"/>
  <c r="AH800" i="68"/>
  <c r="AH733" i="68"/>
  <c r="AH734" i="68"/>
  <c r="AH825" i="68" s="1"/>
  <c r="AH916" i="68" s="1"/>
  <c r="I725" i="68"/>
  <c r="I816" i="68" s="1"/>
  <c r="I907" i="68" s="1"/>
  <c r="I724" i="68"/>
  <c r="AG374" i="68"/>
  <c r="AG465" i="68" s="1"/>
  <c r="AG556" i="68" s="1"/>
  <c r="AG373" i="68"/>
  <c r="Z425" i="68"/>
  <c r="Z516" i="68" s="1"/>
  <c r="Z607" i="68" s="1"/>
  <c r="Z424" i="68"/>
  <c r="L78" i="68"/>
  <c r="L167" i="68"/>
  <c r="Q433" i="68"/>
  <c r="Q434" i="68"/>
  <c r="Q525" i="68" s="1"/>
  <c r="Q616" i="68" s="1"/>
  <c r="AD390" i="68"/>
  <c r="AD479" i="68"/>
  <c r="M684" i="68"/>
  <c r="M773" i="68"/>
  <c r="Q703" i="68"/>
  <c r="Q704" i="68"/>
  <c r="Q795" i="68" s="1"/>
  <c r="Q886" i="68" s="1"/>
  <c r="R338" i="68"/>
  <c r="Q507" i="72"/>
  <c r="Q756" i="72"/>
  <c r="Q785" i="72" s="1"/>
  <c r="T261" i="72"/>
  <c r="U29" i="68"/>
  <c r="J752" i="68"/>
  <c r="J843" i="68" s="1"/>
  <c r="J934" i="68" s="1"/>
  <c r="J751" i="68"/>
  <c r="U102" i="68"/>
  <c r="U191" i="68"/>
  <c r="P446" i="68"/>
  <c r="P537" i="68" s="1"/>
  <c r="P628" i="68" s="1"/>
  <c r="P445" i="68"/>
  <c r="X439" i="68"/>
  <c r="X440" i="68"/>
  <c r="X531" i="68" s="1"/>
  <c r="X622" i="68" s="1"/>
  <c r="Q394" i="68"/>
  <c r="Q395" i="68"/>
  <c r="Q486" i="68" s="1"/>
  <c r="Q577" i="68" s="1"/>
  <c r="Y87" i="68"/>
  <c r="Y176" i="68"/>
  <c r="AD424" i="68"/>
  <c r="AD425" i="68"/>
  <c r="AD516" i="68" s="1"/>
  <c r="AD607" i="68" s="1"/>
  <c r="O123" i="68"/>
  <c r="O212" i="68"/>
  <c r="AH439" i="68"/>
  <c r="AH440" i="68"/>
  <c r="AH531" i="68" s="1"/>
  <c r="AH622" i="68" s="1"/>
  <c r="AD285" i="68"/>
  <c r="AD287" i="68" s="1"/>
  <c r="AD196" i="68"/>
  <c r="V420" i="68"/>
  <c r="V509" i="68"/>
  <c r="N396" i="68"/>
  <c r="N485" i="68"/>
  <c r="AH324" i="68"/>
  <c r="AH326" i="68" s="1"/>
  <c r="AH235" i="68"/>
  <c r="AH129" i="68"/>
  <c r="AH218" i="68"/>
  <c r="S273" i="68"/>
  <c r="S275" i="68" s="1"/>
  <c r="S184" i="68"/>
  <c r="O711" i="68"/>
  <c r="O800" i="68"/>
  <c r="X423" i="68"/>
  <c r="X512" i="68"/>
  <c r="AH684" i="68"/>
  <c r="AH773" i="68"/>
  <c r="Z123" i="68"/>
  <c r="Z212" i="68"/>
  <c r="I384" i="68"/>
  <c r="I473" i="68"/>
  <c r="X630" i="68"/>
  <c r="T703" i="68"/>
  <c r="T704" i="68"/>
  <c r="T795" i="68" s="1"/>
  <c r="T886" i="68" s="1"/>
  <c r="AH447" i="68"/>
  <c r="AH536" i="68"/>
  <c r="S452" i="68"/>
  <c r="S543" i="68" s="1"/>
  <c r="S634" i="68" s="1"/>
  <c r="S451" i="68"/>
  <c r="AF126" i="68"/>
  <c r="AF215" i="68"/>
  <c r="V722" i="68"/>
  <c r="V813" i="68" s="1"/>
  <c r="V904" i="68" s="1"/>
  <c r="V721" i="68"/>
  <c r="I397" i="68"/>
  <c r="I398" i="68"/>
  <c r="I489" i="68" s="1"/>
  <c r="I580" i="68" s="1"/>
  <c r="N426" i="68"/>
  <c r="N515" i="68"/>
  <c r="AA751" i="68"/>
  <c r="AA752" i="68"/>
  <c r="AA843" i="68" s="1"/>
  <c r="AA934" i="68" s="1"/>
  <c r="AA194" i="68"/>
  <c r="AE297" i="68"/>
  <c r="AE299" i="68" s="1"/>
  <c r="AE208" i="68"/>
  <c r="M375" i="68"/>
  <c r="M465" i="68"/>
  <c r="M556" i="68" s="1"/>
  <c r="R446" i="68"/>
  <c r="R537" i="68" s="1"/>
  <c r="R628" i="68" s="1"/>
  <c r="R445" i="68"/>
  <c r="U707" i="68"/>
  <c r="U798" i="68" s="1"/>
  <c r="U889" i="68" s="1"/>
  <c r="U706" i="68"/>
  <c r="AG75" i="68"/>
  <c r="AG164" i="68"/>
  <c r="X491" i="68"/>
  <c r="V729" i="68"/>
  <c r="V818" i="68"/>
  <c r="L396" i="68"/>
  <c r="L485" i="68"/>
  <c r="K725" i="68"/>
  <c r="K816" i="68" s="1"/>
  <c r="K907" i="68" s="1"/>
  <c r="K724" i="68"/>
  <c r="W393" i="68"/>
  <c r="W482" i="68"/>
  <c r="J690" i="68"/>
  <c r="J779" i="68"/>
  <c r="M75" i="68"/>
  <c r="M164" i="68"/>
  <c r="AE438" i="68"/>
  <c r="AE528" i="68"/>
  <c r="AE619" i="68" s="1"/>
  <c r="AH373" i="68"/>
  <c r="AH374" i="68"/>
  <c r="AH465" i="68" s="1"/>
  <c r="AH556" i="68" s="1"/>
  <c r="Q408" i="68"/>
  <c r="Q497" i="68"/>
  <c r="AB424" i="68"/>
  <c r="AB425" i="68"/>
  <c r="AB516" i="68" s="1"/>
  <c r="AB607" i="68" s="1"/>
  <c r="M720" i="68"/>
  <c r="M809" i="68"/>
  <c r="J682" i="68"/>
  <c r="J773" i="68" s="1"/>
  <c r="J683" i="68"/>
  <c r="X407" i="68"/>
  <c r="X498" i="68" s="1"/>
  <c r="X589" i="68" s="1"/>
  <c r="X406" i="68"/>
  <c r="AA702" i="68"/>
  <c r="AA791" i="68"/>
  <c r="O690" i="68"/>
  <c r="O779" i="68"/>
  <c r="Q375" i="68"/>
  <c r="Q464" i="68"/>
  <c r="T452" i="68"/>
  <c r="T543" i="68" s="1"/>
  <c r="T634" i="68" s="1"/>
  <c r="T451" i="68"/>
  <c r="R438" i="68"/>
  <c r="R527" i="68"/>
  <c r="AE746" i="68"/>
  <c r="AE837" i="68" s="1"/>
  <c r="AE928" i="68" s="1"/>
  <c r="AE745" i="68"/>
  <c r="R418" i="68"/>
  <c r="R419" i="68"/>
  <c r="R510" i="68" s="1"/>
  <c r="R601" i="68" s="1"/>
  <c r="S373" i="68"/>
  <c r="S374" i="68"/>
  <c r="S465" i="68" s="1"/>
  <c r="S556" i="68" s="1"/>
  <c r="P803" i="68"/>
  <c r="R756" i="68"/>
  <c r="R845" i="68"/>
  <c r="T102" i="68"/>
  <c r="T191" i="68"/>
  <c r="P647" i="68"/>
  <c r="O752" i="72"/>
  <c r="O787" i="72"/>
  <c r="O816" i="72" s="1"/>
  <c r="P132" i="68"/>
  <c r="P221" i="68"/>
  <c r="AC327" i="68"/>
  <c r="AC329" i="68" s="1"/>
  <c r="AC238" i="68"/>
  <c r="L141" i="68"/>
  <c r="L231" i="68"/>
  <c r="L322" i="68" s="1"/>
  <c r="AE29" i="68"/>
  <c r="AD261" i="72"/>
  <c r="AA743" i="68"/>
  <c r="AA834" i="68" s="1"/>
  <c r="AA925" i="68" s="1"/>
  <c r="AA742" i="68"/>
  <c r="AE321" i="68"/>
  <c r="Q318" i="68"/>
  <c r="AG315" i="68"/>
  <c r="AG698" i="68"/>
  <c r="AG789" i="68" s="1"/>
  <c r="AG880" i="68" s="1"/>
  <c r="AG697" i="68"/>
  <c r="Y735" i="68"/>
  <c r="Y824" i="68"/>
  <c r="Z66" i="68"/>
  <c r="Z155" i="68"/>
  <c r="O763" i="68"/>
  <c r="O854" i="68" s="1"/>
  <c r="O764" i="68"/>
  <c r="U411" i="68"/>
  <c r="U500" i="68"/>
  <c r="L206" i="68"/>
  <c r="AE737" i="68"/>
  <c r="AE828" i="68" s="1"/>
  <c r="AE919" i="68" s="1"/>
  <c r="AE736" i="68"/>
  <c r="X764" i="68"/>
  <c r="X855" i="68" s="1"/>
  <c r="X946" i="68" s="1"/>
  <c r="X763" i="68"/>
  <c r="AA726" i="68"/>
  <c r="AA815" i="68"/>
  <c r="Q120" i="68"/>
  <c r="Q209" i="68"/>
  <c r="T717" i="68"/>
  <c r="T806" i="68"/>
  <c r="J385" i="68"/>
  <c r="J386" i="68"/>
  <c r="J477" i="68" s="1"/>
  <c r="J568" i="68" s="1"/>
  <c r="I765" i="68"/>
  <c r="I855" i="68"/>
  <c r="I946" i="68" s="1"/>
  <c r="M447" i="68"/>
  <c r="M536" i="68"/>
  <c r="S300" i="68"/>
  <c r="S302" i="68" s="1"/>
  <c r="S211" i="68"/>
  <c r="T739" i="68"/>
  <c r="T740" i="68"/>
  <c r="T831" i="68" s="1"/>
  <c r="T922" i="68" s="1"/>
  <c r="V453" i="68"/>
  <c r="V542" i="68"/>
  <c r="AH725" i="68"/>
  <c r="AH816" i="68" s="1"/>
  <c r="AH907" i="68" s="1"/>
  <c r="AH724" i="68"/>
  <c r="AB435" i="68"/>
  <c r="AB524" i="68"/>
  <c r="Q389" i="68"/>
  <c r="Q480" i="68" s="1"/>
  <c r="Q571" i="68" s="1"/>
  <c r="Q388" i="68"/>
  <c r="V684" i="68"/>
  <c r="V773" i="68"/>
  <c r="R29" i="68"/>
  <c r="Q261" i="72"/>
  <c r="AE102" i="68"/>
  <c r="AE191" i="68"/>
  <c r="AB267" i="68"/>
  <c r="AB269" i="68" s="1"/>
  <c r="AB178" i="68"/>
  <c r="M69" i="68"/>
  <c r="M158" i="68"/>
  <c r="V732" i="68"/>
  <c r="V821" i="68"/>
  <c r="AA693" i="68"/>
  <c r="AA782" i="68"/>
  <c r="U710" i="68"/>
  <c r="U801" i="68" s="1"/>
  <c r="U892" i="68" s="1"/>
  <c r="U709" i="68"/>
  <c r="AA230" i="68"/>
  <c r="L29" i="68"/>
  <c r="K261" i="72"/>
  <c r="Q710" i="68"/>
  <c r="Q801" i="68" s="1"/>
  <c r="Q892" i="68" s="1"/>
  <c r="Q709" i="68"/>
  <c r="AH452" i="68"/>
  <c r="AH543" i="68" s="1"/>
  <c r="AH634" i="68" s="1"/>
  <c r="AH451" i="68"/>
  <c r="S102" i="68"/>
  <c r="S191" i="68"/>
  <c r="P126" i="68"/>
  <c r="P215" i="68"/>
  <c r="Z851" i="68"/>
  <c r="AG423" i="68"/>
  <c r="AG512" i="68"/>
  <c r="AA318" i="68"/>
  <c r="AG762" i="68"/>
  <c r="AG851" i="68"/>
  <c r="U407" i="68"/>
  <c r="U498" i="68" s="1"/>
  <c r="U589" i="68" s="1"/>
  <c r="U406" i="68"/>
  <c r="Z114" i="68"/>
  <c r="Z203" i="68"/>
  <c r="AD690" i="68"/>
  <c r="AD779" i="68"/>
  <c r="AA455" i="68"/>
  <c r="AA546" i="68" s="1"/>
  <c r="AA637" i="68" s="1"/>
  <c r="AA454" i="68"/>
  <c r="V399" i="68"/>
  <c r="V488" i="68"/>
  <c r="P384" i="68"/>
  <c r="P473" i="68"/>
  <c r="AA261" i="72"/>
  <c r="AB29" i="68"/>
  <c r="AC747" i="68"/>
  <c r="AC836" i="68"/>
  <c r="Y381" i="68"/>
  <c r="Y470" i="68"/>
  <c r="M696" i="68"/>
  <c r="M785" i="68"/>
  <c r="L453" i="68"/>
  <c r="L543" i="68"/>
  <c r="L634" i="68" s="1"/>
  <c r="J129" i="68"/>
  <c r="J219" i="68"/>
  <c r="J310" i="68" s="1"/>
  <c r="AF759" i="68"/>
  <c r="AF849" i="68"/>
  <c r="AF940" i="68" s="1"/>
  <c r="T446" i="68"/>
  <c r="T537" i="68" s="1"/>
  <c r="T628" i="68" s="1"/>
  <c r="T445" i="68"/>
  <c r="AG264" i="68"/>
  <c r="AG266" i="68" s="1"/>
  <c r="AG175" i="68"/>
  <c r="T418" i="68"/>
  <c r="T419" i="68"/>
  <c r="T510" i="68" s="1"/>
  <c r="T601" i="68" s="1"/>
  <c r="S730" i="68"/>
  <c r="S731" i="68"/>
  <c r="S822" i="68" s="1"/>
  <c r="S913" i="68" s="1"/>
  <c r="X164" i="68"/>
  <c r="R402" i="68"/>
  <c r="R491" i="68"/>
  <c r="S734" i="68"/>
  <c r="S825" i="68" s="1"/>
  <c r="S916" i="68" s="1"/>
  <c r="S733" i="68"/>
  <c r="AF647" i="68"/>
  <c r="AF676" i="68" s="1"/>
  <c r="AE752" i="72"/>
  <c r="AE787" i="72"/>
  <c r="AE816" i="72" s="1"/>
  <c r="AB450" i="68"/>
  <c r="AB539" i="68"/>
  <c r="Y750" i="68"/>
  <c r="Y840" i="68"/>
  <c r="Y931" i="68" s="1"/>
  <c r="K267" i="68"/>
  <c r="K269" i="68" s="1"/>
  <c r="K178" i="68"/>
  <c r="X306" i="68"/>
  <c r="X308" i="68" s="1"/>
  <c r="X217" i="68"/>
  <c r="P255" i="68"/>
  <c r="P257" i="68" s="1"/>
  <c r="P166" i="68"/>
  <c r="S828" i="68"/>
  <c r="S919" i="68" s="1"/>
  <c r="U687" i="68"/>
  <c r="U776" i="68"/>
  <c r="I696" i="68"/>
  <c r="I785" i="68"/>
  <c r="AC417" i="68"/>
  <c r="AC506" i="68"/>
  <c r="AB423" i="68"/>
  <c r="AB512" i="68"/>
  <c r="AF408" i="68"/>
  <c r="AF497" i="68"/>
  <c r="R399" i="68"/>
  <c r="R488" i="68"/>
  <c r="AF744" i="68"/>
  <c r="AF833" i="68"/>
  <c r="Z406" i="68"/>
  <c r="Z407" i="68"/>
  <c r="Z498" i="68" s="1"/>
  <c r="Z589" i="68" s="1"/>
  <c r="AF294" i="68"/>
  <c r="AF296" i="68" s="1"/>
  <c r="AF205" i="68"/>
  <c r="J123" i="68"/>
  <c r="J212" i="68"/>
  <c r="AC444" i="68"/>
  <c r="AC533" i="68"/>
  <c r="I426" i="68"/>
  <c r="I515" i="68"/>
  <c r="AE285" i="68"/>
  <c r="AE287" i="68" s="1"/>
  <c r="AE196" i="68"/>
  <c r="AG755" i="68"/>
  <c r="AG846" i="68" s="1"/>
  <c r="AG937" i="68" s="1"/>
  <c r="AG754" i="68"/>
  <c r="AA740" i="68"/>
  <c r="AA831" i="68" s="1"/>
  <c r="AA922" i="68" s="1"/>
  <c r="AA739" i="68"/>
  <c r="AG438" i="68"/>
  <c r="AG528" i="68"/>
  <c r="AG619" i="68" s="1"/>
  <c r="AB760" i="68"/>
  <c r="AB851" i="68" s="1"/>
  <c r="AB761" i="68"/>
  <c r="AG394" i="68"/>
  <c r="AG395" i="68"/>
  <c r="AG486" i="68" s="1"/>
  <c r="AG577" i="68" s="1"/>
  <c r="AE729" i="68"/>
  <c r="AE818" i="68"/>
  <c r="P733" i="68"/>
  <c r="P734" i="68"/>
  <c r="P825" i="68" s="1"/>
  <c r="P916" i="68" s="1"/>
  <c r="T318" i="68"/>
  <c r="T320" i="68" s="1"/>
  <c r="T229" i="68"/>
  <c r="AB108" i="68"/>
  <c r="AB197" i="68"/>
  <c r="AD470" i="68"/>
  <c r="AB111" i="68"/>
  <c r="AB200" i="68"/>
  <c r="U429" i="68"/>
  <c r="U518" i="68"/>
  <c r="K687" i="68"/>
  <c r="K776" i="68"/>
  <c r="AC114" i="68"/>
  <c r="AC203" i="68"/>
  <c r="V441" i="68"/>
  <c r="V530" i="68"/>
  <c r="X756" i="68"/>
  <c r="X845" i="68"/>
  <c r="AC726" i="68"/>
  <c r="AC815" i="68"/>
  <c r="P297" i="68"/>
  <c r="P299" i="68" s="1"/>
  <c r="P208" i="68"/>
  <c r="R78" i="68"/>
  <c r="R167" i="68"/>
  <c r="AE390" i="68"/>
  <c r="AE479" i="68"/>
  <c r="M444" i="68"/>
  <c r="M534" i="68"/>
  <c r="M625" i="68" s="1"/>
  <c r="AF426" i="68"/>
  <c r="AF515" i="68"/>
  <c r="AH753" i="68"/>
  <c r="AH842" i="68"/>
  <c r="N282" i="68"/>
  <c r="N284" i="68" s="1"/>
  <c r="N193" i="68"/>
  <c r="P720" i="68"/>
  <c r="P809" i="68"/>
  <c r="AE252" i="68"/>
  <c r="AE254" i="68" s="1"/>
  <c r="AE163" i="68"/>
  <c r="M264" i="68"/>
  <c r="M266" i="68" s="1"/>
  <c r="M175" i="68"/>
  <c r="I827" i="68"/>
  <c r="O830" i="68"/>
  <c r="M326" i="68"/>
  <c r="AH449" i="68"/>
  <c r="AH540" i="68" s="1"/>
  <c r="AH631" i="68" s="1"/>
  <c r="AH448" i="68"/>
  <c r="Q381" i="68"/>
  <c r="Q470" i="68"/>
  <c r="L415" i="68"/>
  <c r="L416" i="68"/>
  <c r="L507" i="68" s="1"/>
  <c r="L598" i="68" s="1"/>
  <c r="L374" i="68"/>
  <c r="L465" i="68" s="1"/>
  <c r="L556" i="68" s="1"/>
  <c r="L373" i="68"/>
  <c r="AD386" i="68"/>
  <c r="AD477" i="68" s="1"/>
  <c r="AD568" i="68" s="1"/>
  <c r="AD385" i="68"/>
  <c r="J764" i="68"/>
  <c r="J855" i="68" s="1"/>
  <c r="J946" i="68" s="1"/>
  <c r="J763" i="68"/>
  <c r="V29" i="68"/>
  <c r="U261" i="72"/>
  <c r="AG261" i="72"/>
  <c r="AH29" i="68"/>
  <c r="P422" i="68"/>
  <c r="P513" i="68" s="1"/>
  <c r="P604" i="68" s="1"/>
  <c r="P421" i="68"/>
  <c r="K426" i="68"/>
  <c r="K515" i="68"/>
  <c r="X267" i="68"/>
  <c r="X269" i="68" s="1"/>
  <c r="X178" i="68"/>
  <c r="O716" i="68"/>
  <c r="O807" i="68" s="1"/>
  <c r="O898" i="68" s="1"/>
  <c r="O715" i="68"/>
  <c r="T695" i="68"/>
  <c r="T786" i="68" s="1"/>
  <c r="T877" i="68" s="1"/>
  <c r="T694" i="68"/>
  <c r="R714" i="68"/>
  <c r="R803" i="68"/>
  <c r="V378" i="68"/>
  <c r="V467" i="68"/>
  <c r="I390" i="68"/>
  <c r="I479" i="68"/>
  <c r="AA279" i="68"/>
  <c r="AA281" i="68" s="1"/>
  <c r="AA190" i="68"/>
  <c r="N749" i="68"/>
  <c r="N840" i="68" s="1"/>
  <c r="N931" i="68" s="1"/>
  <c r="N748" i="68"/>
  <c r="W390" i="68"/>
  <c r="W479" i="68"/>
  <c r="V135" i="68"/>
  <c r="V224" i="68"/>
  <c r="AD438" i="68"/>
  <c r="AD528" i="68"/>
  <c r="AD619" i="68" s="1"/>
  <c r="AE706" i="68"/>
  <c r="AE707" i="68"/>
  <c r="AE798" i="68" s="1"/>
  <c r="AE889" i="68" s="1"/>
  <c r="N444" i="68"/>
  <c r="N534" i="68"/>
  <c r="N625" i="68" s="1"/>
  <c r="N743" i="68"/>
  <c r="N834" i="68" s="1"/>
  <c r="N925" i="68" s="1"/>
  <c r="N742" i="68"/>
  <c r="L441" i="68"/>
  <c r="L530" i="68"/>
  <c r="O258" i="68"/>
  <c r="O260" i="68" s="1"/>
  <c r="O169" i="68"/>
  <c r="P854" i="68"/>
  <c r="AG449" i="68"/>
  <c r="AG540" i="68" s="1"/>
  <c r="AG631" i="68" s="1"/>
  <c r="AG448" i="68"/>
  <c r="AC126" i="68"/>
  <c r="AC215" i="68"/>
  <c r="W732" i="68"/>
  <c r="W821" i="68"/>
  <c r="AA276" i="68"/>
  <c r="AA278" i="68" s="1"/>
  <c r="AA187" i="68"/>
  <c r="P261" i="72"/>
  <c r="Q29" i="68"/>
  <c r="P378" i="68"/>
  <c r="P467" i="68"/>
  <c r="N738" i="68"/>
  <c r="N827" i="68"/>
  <c r="AF433" i="68"/>
  <c r="AF434" i="68"/>
  <c r="AF525" i="68" s="1"/>
  <c r="AF616" i="68" s="1"/>
  <c r="O743" i="68"/>
  <c r="O834" i="68" s="1"/>
  <c r="O925" i="68" s="1"/>
  <c r="O742" i="68"/>
  <c r="M384" i="68"/>
  <c r="M473" i="68"/>
  <c r="K264" i="68"/>
  <c r="K266" i="68" s="1"/>
  <c r="K175" i="68"/>
  <c r="K135" i="68"/>
  <c r="K224" i="68"/>
  <c r="Y456" i="68"/>
  <c r="Y545" i="68"/>
  <c r="P373" i="68"/>
  <c r="P374" i="68"/>
  <c r="P465" i="68" s="1"/>
  <c r="P556" i="68" s="1"/>
  <c r="K736" i="68"/>
  <c r="K827" i="68" s="1"/>
  <c r="K737" i="68"/>
  <c r="N285" i="68"/>
  <c r="N287" i="68" s="1"/>
  <c r="N196" i="68"/>
  <c r="AD699" i="68"/>
  <c r="AD788" i="68"/>
  <c r="Y682" i="68"/>
  <c r="Y683" i="68"/>
  <c r="Y774" i="68" s="1"/>
  <c r="Y865" i="68" s="1"/>
  <c r="AD421" i="68"/>
  <c r="AD422" i="68"/>
  <c r="AD513" i="68" s="1"/>
  <c r="AD604" i="68" s="1"/>
  <c r="AG930" i="68"/>
  <c r="P456" i="68"/>
  <c r="P546" i="68"/>
  <c r="P637" i="68" s="1"/>
  <c r="W87" i="68"/>
  <c r="W176" i="68"/>
  <c r="W453" i="68"/>
  <c r="W542" i="68"/>
  <c r="Y730" i="68"/>
  <c r="Y731" i="68"/>
  <c r="Y822" i="68" s="1"/>
  <c r="Y913" i="68" s="1"/>
  <c r="J729" i="68"/>
  <c r="J818" i="68"/>
  <c r="Y288" i="68"/>
  <c r="Y290" i="68" s="1"/>
  <c r="Y199" i="68"/>
  <c r="M435" i="68"/>
  <c r="M524" i="68"/>
  <c r="P705" i="68"/>
  <c r="P794" i="68"/>
  <c r="I315" i="68"/>
  <c r="I317" i="68" s="1"/>
  <c r="I226" i="68"/>
  <c r="Y451" i="68"/>
  <c r="Y452" i="68"/>
  <c r="Y543" i="68" s="1"/>
  <c r="Y634" i="68" s="1"/>
  <c r="AA300" i="68"/>
  <c r="AA302" i="68" s="1"/>
  <c r="AA211" i="68"/>
  <c r="AD249" i="68"/>
  <c r="AD251" i="68" s="1"/>
  <c r="AD160" i="68"/>
  <c r="Y228" i="68"/>
  <c r="Y319" i="68" s="1"/>
  <c r="AC754" i="68"/>
  <c r="AC755" i="68"/>
  <c r="AC846" i="68" s="1"/>
  <c r="AC937" i="68" s="1"/>
  <c r="AD455" i="68"/>
  <c r="AD546" i="68" s="1"/>
  <c r="AD637" i="68" s="1"/>
  <c r="AD454" i="68"/>
  <c r="AC309" i="68"/>
  <c r="AC311" i="68" s="1"/>
  <c r="AC220" i="68"/>
  <c r="AE750" i="68"/>
  <c r="AE840" i="68"/>
  <c r="AE931" i="68" s="1"/>
  <c r="M258" i="68"/>
  <c r="M260" i="68" s="1"/>
  <c r="M169" i="68"/>
  <c r="W434" i="68"/>
  <c r="W525" i="68" s="1"/>
  <c r="W616" i="68" s="1"/>
  <c r="W433" i="68"/>
  <c r="W945" i="68"/>
  <c r="W758" i="68"/>
  <c r="W849" i="68" s="1"/>
  <c r="W940" i="68" s="1"/>
  <c r="W757" i="68"/>
  <c r="X707" i="68"/>
  <c r="X798" i="68" s="1"/>
  <c r="X889" i="68" s="1"/>
  <c r="X706" i="68"/>
  <c r="M416" i="68"/>
  <c r="M507" i="68" s="1"/>
  <c r="M598" i="68" s="1"/>
  <c r="M415" i="68"/>
  <c r="P120" i="68"/>
  <c r="P209" i="68"/>
  <c r="U743" i="68"/>
  <c r="U834" i="68" s="1"/>
  <c r="U925" i="68" s="1"/>
  <c r="U742" i="68"/>
  <c r="W749" i="68"/>
  <c r="W840" i="68" s="1"/>
  <c r="W931" i="68" s="1"/>
  <c r="W748" i="68"/>
  <c r="Y485" i="68"/>
  <c r="M261" i="72"/>
  <c r="N29" i="68"/>
  <c r="O696" i="68"/>
  <c r="O785" i="68"/>
  <c r="AE687" i="68"/>
  <c r="AE776" i="68"/>
  <c r="L647" i="68"/>
  <c r="L676" i="68" s="1"/>
  <c r="K752" i="72"/>
  <c r="K787" i="72"/>
  <c r="K816" i="72" s="1"/>
  <c r="AH443" i="68"/>
  <c r="AH534" i="68" s="1"/>
  <c r="AH625" i="68" s="1"/>
  <c r="AH442" i="68"/>
  <c r="Q312" i="68"/>
  <c r="V276" i="68"/>
  <c r="V278" i="68" s="1"/>
  <c r="V187" i="68"/>
  <c r="AB695" i="68"/>
  <c r="AB786" i="68" s="1"/>
  <c r="AB877" i="68" s="1"/>
  <c r="AB694" i="68"/>
  <c r="Q727" i="68"/>
  <c r="Q728" i="68"/>
  <c r="Q819" i="68" s="1"/>
  <c r="Q910" i="68" s="1"/>
  <c r="AB440" i="68"/>
  <c r="AB531" i="68" s="1"/>
  <c r="AB622" i="68" s="1"/>
  <c r="AB439" i="68"/>
  <c r="Z413" i="68"/>
  <c r="Z504" i="68" s="1"/>
  <c r="Z595" i="68" s="1"/>
  <c r="Z412" i="68"/>
  <c r="J402" i="68"/>
  <c r="J491" i="68"/>
  <c r="S380" i="68"/>
  <c r="S471" i="68" s="1"/>
  <c r="S562" i="68" s="1"/>
  <c r="S379" i="68"/>
  <c r="X785" i="68"/>
  <c r="N803" i="68"/>
  <c r="V939" i="68"/>
  <c r="AC700" i="68"/>
  <c r="AC701" i="68"/>
  <c r="AC792" i="68" s="1"/>
  <c r="AC883" i="68" s="1"/>
  <c r="AC497" i="68"/>
  <c r="W712" i="68"/>
  <c r="W713" i="68"/>
  <c r="W804" i="68" s="1"/>
  <c r="W895" i="68" s="1"/>
  <c r="R747" i="68"/>
  <c r="R836" i="68"/>
  <c r="Z375" i="68"/>
  <c r="Z464" i="68"/>
  <c r="AF129" i="68"/>
  <c r="AF218" i="68"/>
  <c r="K688" i="68"/>
  <c r="K689" i="68"/>
  <c r="K780" i="68" s="1"/>
  <c r="K871" i="68" s="1"/>
  <c r="W443" i="68"/>
  <c r="W534" i="68" s="1"/>
  <c r="W625" i="68" s="1"/>
  <c r="W442" i="68"/>
  <c r="I329" i="68"/>
  <c r="AB708" i="68"/>
  <c r="AB797" i="68"/>
  <c r="AF708" i="68"/>
  <c r="AF797" i="68"/>
  <c r="R300" i="68"/>
  <c r="R302" i="68" s="1"/>
  <c r="R211" i="68"/>
  <c r="Q78" i="68"/>
  <c r="Q167" i="68"/>
  <c r="AC258" i="68"/>
  <c r="AC260" i="68" s="1"/>
  <c r="AC169" i="68"/>
  <c r="AD446" i="68"/>
  <c r="AD537" i="68" s="1"/>
  <c r="AD628" i="68" s="1"/>
  <c r="AD445" i="68"/>
  <c r="AA439" i="68"/>
  <c r="AA440" i="68"/>
  <c r="AA531" i="68" s="1"/>
  <c r="AA622" i="68" s="1"/>
  <c r="AC375" i="68"/>
  <c r="AC464" i="68"/>
  <c r="W707" i="68"/>
  <c r="W798" i="68" s="1"/>
  <c r="W889" i="68" s="1"/>
  <c r="W706" i="68"/>
  <c r="U69" i="68"/>
  <c r="U158" i="68"/>
  <c r="U393" i="68"/>
  <c r="U482" i="68"/>
  <c r="AH723" i="68"/>
  <c r="AH812" i="68"/>
  <c r="AG399" i="68"/>
  <c r="AG488" i="68"/>
  <c r="K708" i="68"/>
  <c r="K797" i="68"/>
  <c r="U377" i="68"/>
  <c r="U468" i="68" s="1"/>
  <c r="U559" i="68" s="1"/>
  <c r="U376" i="68"/>
  <c r="Q708" i="68"/>
  <c r="Q797" i="68"/>
  <c r="O426" i="68"/>
  <c r="O515" i="68"/>
  <c r="Q423" i="68"/>
  <c r="Q512" i="68"/>
  <c r="AA450" i="68"/>
  <c r="AA540" i="68"/>
  <c r="AA631" i="68" s="1"/>
  <c r="K147" i="68"/>
  <c r="K237" i="68"/>
  <c r="K328" i="68" s="1"/>
  <c r="AF717" i="68"/>
  <c r="AF806" i="68"/>
  <c r="AB69" i="68"/>
  <c r="AB158" i="68"/>
  <c r="AG273" i="68"/>
  <c r="AG275" i="68" s="1"/>
  <c r="AG184" i="68"/>
  <c r="AH426" i="68"/>
  <c r="AH515" i="68"/>
  <c r="AG684" i="68"/>
  <c r="AG773" i="68"/>
  <c r="S444" i="68"/>
  <c r="S533" i="68"/>
  <c r="AD318" i="68"/>
  <c r="AD320" i="68" s="1"/>
  <c r="AD229" i="68"/>
  <c r="S324" i="68"/>
  <c r="S326" i="68" s="1"/>
  <c r="S235" i="68"/>
  <c r="AE306" i="68"/>
  <c r="AE308" i="68" s="1"/>
  <c r="AE217" i="68"/>
  <c r="AC29" i="68"/>
  <c r="AB261" i="72"/>
  <c r="T718" i="68"/>
  <c r="T719" i="68"/>
  <c r="T810" i="68" s="1"/>
  <c r="T901" i="68" s="1"/>
  <c r="AH762" i="68"/>
  <c r="AH852" i="68"/>
  <c r="AH943" i="68" s="1"/>
  <c r="T690" i="68"/>
  <c r="T779" i="68"/>
  <c r="Y699" i="68"/>
  <c r="Y788" i="68"/>
  <c r="T647" i="68"/>
  <c r="S752" i="72"/>
  <c r="S787" i="72"/>
  <c r="S816" i="72" s="1"/>
  <c r="M726" i="68"/>
  <c r="M815" i="68"/>
  <c r="P261" i="68"/>
  <c r="P263" i="68" s="1"/>
  <c r="P172" i="68"/>
  <c r="AH141" i="68"/>
  <c r="AH230" i="68"/>
  <c r="AD721" i="68"/>
  <c r="AD722" i="68"/>
  <c r="AD813" i="68" s="1"/>
  <c r="AD904" i="68" s="1"/>
  <c r="N721" i="68"/>
  <c r="N722" i="68"/>
  <c r="N813" i="68" s="1"/>
  <c r="N904" i="68" s="1"/>
  <c r="AF252" i="68"/>
  <c r="AF254" i="68" s="1"/>
  <c r="AF163" i="68"/>
  <c r="AD647" i="68"/>
  <c r="AC752" i="72"/>
  <c r="AC787" i="72"/>
  <c r="AC816" i="72" s="1"/>
  <c r="O815" i="68"/>
  <c r="Y135" i="68"/>
  <c r="Y224" i="68"/>
  <c r="AB454" i="68"/>
  <c r="AB545" i="68" s="1"/>
  <c r="AB455" i="68"/>
  <c r="AB294" i="68"/>
  <c r="AB296" i="68" s="1"/>
  <c r="AB205" i="68"/>
  <c r="X380" i="68"/>
  <c r="X471" i="68" s="1"/>
  <c r="X562" i="68" s="1"/>
  <c r="X379" i="68"/>
  <c r="Y695" i="68"/>
  <c r="Y786" i="68" s="1"/>
  <c r="Y877" i="68" s="1"/>
  <c r="Y694" i="68"/>
  <c r="Y66" i="68"/>
  <c r="Y155" i="68"/>
  <c r="AE108" i="68"/>
  <c r="AE197" i="68"/>
  <c r="R736" i="68"/>
  <c r="R737" i="68"/>
  <c r="R828" i="68" s="1"/>
  <c r="R919" i="68" s="1"/>
  <c r="Q376" i="68"/>
  <c r="Q377" i="68"/>
  <c r="Q468" i="68" s="1"/>
  <c r="Q559" i="68" s="1"/>
  <c r="Y338" i="68"/>
  <c r="X507" i="72"/>
  <c r="X756" i="72"/>
  <c r="X785" i="72" s="1"/>
  <c r="AC717" i="68"/>
  <c r="AC806" i="68"/>
  <c r="J141" i="68"/>
  <c r="J230" i="68"/>
  <c r="P749" i="68"/>
  <c r="P840" i="68" s="1"/>
  <c r="P931" i="68" s="1"/>
  <c r="P748" i="68"/>
  <c r="X411" i="68"/>
  <c r="X500" i="68"/>
  <c r="T327" i="68"/>
  <c r="T329" i="68" s="1"/>
  <c r="T238" i="68"/>
  <c r="N66" i="68"/>
  <c r="N155" i="68"/>
  <c r="T682" i="68"/>
  <c r="T683" i="68"/>
  <c r="T774" i="68" s="1"/>
  <c r="T865" i="68" s="1"/>
  <c r="O261" i="68"/>
  <c r="O263" i="68" s="1"/>
  <c r="O172" i="68"/>
  <c r="Z392" i="68"/>
  <c r="Z483" i="68" s="1"/>
  <c r="Z574" i="68" s="1"/>
  <c r="Z391" i="68"/>
  <c r="R427" i="68"/>
  <c r="R428" i="68"/>
  <c r="R519" i="68" s="1"/>
  <c r="R610" i="68" s="1"/>
  <c r="L427" i="68"/>
  <c r="L428" i="68"/>
  <c r="L519" i="68" s="1"/>
  <c r="L610" i="68" s="1"/>
  <c r="U738" i="68"/>
  <c r="U827" i="68"/>
  <c r="R750" i="68"/>
  <c r="R839" i="68"/>
  <c r="J147" i="68"/>
  <c r="J237" i="68"/>
  <c r="J328" i="68" s="1"/>
  <c r="AD749" i="68"/>
  <c r="AD840" i="68" s="1"/>
  <c r="AD931" i="68" s="1"/>
  <c r="AD748" i="68"/>
  <c r="Q693" i="68"/>
  <c r="Q782" i="68"/>
  <c r="AE428" i="68"/>
  <c r="AE519" i="68" s="1"/>
  <c r="AE610" i="68" s="1"/>
  <c r="AE427" i="68"/>
  <c r="AF738" i="68"/>
  <c r="AF827" i="68"/>
  <c r="AA282" i="68"/>
  <c r="AA284" i="68" s="1"/>
  <c r="AA193" i="68"/>
  <c r="I261" i="68"/>
  <c r="M555" i="68"/>
  <c r="Y399" i="68"/>
  <c r="Y488" i="68"/>
  <c r="R75" i="68"/>
  <c r="R164" i="68"/>
  <c r="O405" i="68"/>
  <c r="O494" i="68"/>
  <c r="AF696" i="68"/>
  <c r="AF785" i="68"/>
  <c r="M723" i="68"/>
  <c r="M812" i="68"/>
  <c r="V390" i="68"/>
  <c r="V479" i="68"/>
  <c r="W422" i="68"/>
  <c r="W513" i="68" s="1"/>
  <c r="W604" i="68" s="1"/>
  <c r="W421" i="68"/>
  <c r="Q453" i="68"/>
  <c r="Q542" i="68"/>
  <c r="O129" i="68"/>
  <c r="O218" i="68"/>
  <c r="AE618" i="68"/>
  <c r="I297" i="68"/>
  <c r="I299" i="68" s="1"/>
  <c r="I208" i="68"/>
  <c r="V255" i="68"/>
  <c r="V257" i="68" s="1"/>
  <c r="V166" i="68"/>
  <c r="AF803" i="68"/>
  <c r="J709" i="68"/>
  <c r="J710" i="68"/>
  <c r="J801" i="68" s="1"/>
  <c r="J892" i="68" s="1"/>
  <c r="K203" i="68"/>
  <c r="Y429" i="68"/>
  <c r="Y518" i="68"/>
  <c r="O747" i="68"/>
  <c r="O836" i="68"/>
  <c r="L723" i="68"/>
  <c r="R414" i="68"/>
  <c r="R503" i="68"/>
  <c r="I300" i="68"/>
  <c r="I302" i="68" s="1"/>
  <c r="I211" i="68"/>
  <c r="V762" i="68"/>
  <c r="V851" i="68"/>
  <c r="M135" i="68"/>
  <c r="M225" i="68"/>
  <c r="M316" i="68" s="1"/>
  <c r="J735" i="68"/>
  <c r="J824" i="68"/>
  <c r="Q399" i="68"/>
  <c r="Q488" i="68"/>
  <c r="W270" i="68"/>
  <c r="W272" i="68" s="1"/>
  <c r="W181" i="68"/>
  <c r="I387" i="68"/>
  <c r="I476" i="68"/>
  <c r="U261" i="68"/>
  <c r="U263" i="68" s="1"/>
  <c r="U172" i="68"/>
  <c r="X447" i="68"/>
  <c r="X537" i="68"/>
  <c r="X628" i="68" s="1"/>
  <c r="V270" i="68"/>
  <c r="V272" i="68" s="1"/>
  <c r="V181" i="68"/>
  <c r="M388" i="68"/>
  <c r="M389" i="68"/>
  <c r="M480" i="68" s="1"/>
  <c r="M571" i="68" s="1"/>
  <c r="Z69" i="68"/>
  <c r="Z158" i="68"/>
  <c r="AC412" i="68"/>
  <c r="AC413" i="68"/>
  <c r="AC504" i="68" s="1"/>
  <c r="AC595" i="68" s="1"/>
  <c r="AG740" i="68"/>
  <c r="AG831" i="68" s="1"/>
  <c r="AG922" i="68" s="1"/>
  <c r="AG739" i="68"/>
  <c r="L449" i="68"/>
  <c r="L540" i="68" s="1"/>
  <c r="L631" i="68" s="1"/>
  <c r="L448" i="68"/>
  <c r="X712" i="68"/>
  <c r="X713" i="68"/>
  <c r="X804" i="68" s="1"/>
  <c r="X895" i="68" s="1"/>
  <c r="AF454" i="68"/>
  <c r="AF455" i="68"/>
  <c r="AF546" i="68" s="1"/>
  <c r="AF637" i="68" s="1"/>
  <c r="AD378" i="68"/>
  <c r="AD467" i="68"/>
  <c r="I711" i="68"/>
  <c r="I800" i="68"/>
  <c r="L321" i="68"/>
  <c r="Q400" i="68"/>
  <c r="Q401" i="68"/>
  <c r="Q492" i="68" s="1"/>
  <c r="Q583" i="68" s="1"/>
  <c r="X836" i="68"/>
  <c r="J725" i="68"/>
  <c r="J816" i="68" s="1"/>
  <c r="J907" i="68" s="1"/>
  <c r="J724" i="68"/>
  <c r="S396" i="68"/>
  <c r="S485" i="68"/>
  <c r="I446" i="68"/>
  <c r="I537" i="68" s="1"/>
  <c r="I628" i="68" s="1"/>
  <c r="I445" i="68"/>
  <c r="AH714" i="68"/>
  <c r="AH803" i="68"/>
  <c r="AB753" i="68"/>
  <c r="AB842" i="68"/>
  <c r="V246" i="68"/>
  <c r="V248" i="68" s="1"/>
  <c r="V157" i="68"/>
  <c r="AC324" i="68"/>
  <c r="AC326" i="68" s="1"/>
  <c r="AC235" i="68"/>
  <c r="AF29" i="68"/>
  <c r="AE261" i="72"/>
  <c r="I713" i="68"/>
  <c r="I804" i="68" s="1"/>
  <c r="I895" i="68" s="1"/>
  <c r="I712" i="68"/>
  <c r="Z687" i="68"/>
  <c r="Z776" i="68"/>
  <c r="N759" i="68"/>
  <c r="N848" i="68"/>
  <c r="AC389" i="68"/>
  <c r="AC480" i="68" s="1"/>
  <c r="AC571" i="68" s="1"/>
  <c r="AC388" i="68"/>
  <c r="S387" i="68"/>
  <c r="S476" i="68"/>
  <c r="J743" i="68"/>
  <c r="J834" i="68" s="1"/>
  <c r="J925" i="68" s="1"/>
  <c r="J742" i="68"/>
  <c r="AG138" i="68"/>
  <c r="AG227" i="68"/>
  <c r="U273" i="68"/>
  <c r="U275" i="68" s="1"/>
  <c r="U184" i="68"/>
  <c r="K387" i="68"/>
  <c r="K476" i="68"/>
  <c r="M381" i="68"/>
  <c r="M470" i="68"/>
  <c r="M732" i="68"/>
  <c r="M821" i="68"/>
  <c r="I945" i="68"/>
  <c r="W488" i="68"/>
  <c r="L726" i="68"/>
  <c r="L815" i="68"/>
  <c r="Q111" i="68"/>
  <c r="Q200" i="68"/>
  <c r="AA737" i="68"/>
  <c r="AA828" i="68" s="1"/>
  <c r="AA919" i="68" s="1"/>
  <c r="AA736" i="68"/>
  <c r="I376" i="68"/>
  <c r="I377" i="68"/>
  <c r="I468" i="68" s="1"/>
  <c r="I559" i="68" s="1"/>
  <c r="L279" i="68"/>
  <c r="L281" i="68" s="1"/>
  <c r="L190" i="68"/>
  <c r="AF413" i="68"/>
  <c r="AF504" i="68" s="1"/>
  <c r="AF595" i="68" s="1"/>
  <c r="AF412" i="68"/>
  <c r="AC420" i="68"/>
  <c r="AC509" i="68"/>
  <c r="U716" i="68"/>
  <c r="U807" i="68" s="1"/>
  <c r="U898" i="68" s="1"/>
  <c r="U715" i="68"/>
  <c r="W261" i="72"/>
  <c r="X29" i="68"/>
  <c r="L261" i="72"/>
  <c r="M29" i="68"/>
  <c r="Z748" i="68"/>
  <c r="Z749" i="68"/>
  <c r="Z840" i="68" s="1"/>
  <c r="Z931" i="68" s="1"/>
  <c r="U747" i="68"/>
  <c r="U836" i="68"/>
  <c r="AH84" i="68"/>
  <c r="AH173" i="68"/>
  <c r="K432" i="68"/>
  <c r="K521" i="68"/>
  <c r="T390" i="68"/>
  <c r="T479" i="68"/>
  <c r="N647" i="68"/>
  <c r="N676" i="68" s="1"/>
  <c r="M752" i="72"/>
  <c r="M787" i="72"/>
  <c r="M816" i="72" s="1"/>
  <c r="AE719" i="68"/>
  <c r="AE810" i="68" s="1"/>
  <c r="AE901" i="68" s="1"/>
  <c r="AE718" i="68"/>
  <c r="U139" i="68"/>
  <c r="U140" i="68"/>
  <c r="U231" i="68" s="1"/>
  <c r="U322" i="68" s="1"/>
  <c r="X733" i="68"/>
  <c r="X734" i="68"/>
  <c r="X825" i="68" s="1"/>
  <c r="X916" i="68" s="1"/>
  <c r="K711" i="68"/>
  <c r="K800" i="68"/>
  <c r="X261" i="72"/>
  <c r="Y29" i="68"/>
  <c r="U75" i="68"/>
  <c r="U164" i="68"/>
  <c r="K129" i="68"/>
  <c r="K219" i="68"/>
  <c r="K310" i="68" s="1"/>
  <c r="S327" i="68"/>
  <c r="S329" i="68" s="1"/>
  <c r="S238" i="68"/>
  <c r="M441" i="68"/>
  <c r="M530" i="68"/>
  <c r="AB686" i="68"/>
  <c r="AB777" i="68" s="1"/>
  <c r="AB868" i="68" s="1"/>
  <c r="AB685" i="68"/>
  <c r="AE455" i="68"/>
  <c r="AE546" i="68" s="1"/>
  <c r="AE637" i="68" s="1"/>
  <c r="AE454" i="68"/>
  <c r="AE754" i="68"/>
  <c r="AE755" i="68"/>
  <c r="AE846" i="68" s="1"/>
  <c r="AE937" i="68" s="1"/>
  <c r="AH300" i="68"/>
  <c r="AH302" i="68" s="1"/>
  <c r="AH211" i="68"/>
  <c r="AG114" i="68"/>
  <c r="AG203" i="68"/>
  <c r="AH258" i="68"/>
  <c r="AH260" i="68" s="1"/>
  <c r="AH169" i="68"/>
  <c r="P432" i="68"/>
  <c r="P521" i="68"/>
  <c r="U696" i="68"/>
  <c r="U785" i="68"/>
  <c r="L387" i="68"/>
  <c r="L476" i="68"/>
  <c r="AH747" i="68"/>
  <c r="AH837" i="68"/>
  <c r="AH928" i="68" s="1"/>
  <c r="J449" i="68"/>
  <c r="J540" i="68" s="1"/>
  <c r="J631" i="68" s="1"/>
  <c r="J448" i="68"/>
  <c r="J66" i="68"/>
  <c r="J155" i="68"/>
  <c r="J300" i="68"/>
  <c r="J302" i="68" s="1"/>
  <c r="J211" i="68"/>
  <c r="W690" i="68"/>
  <c r="W779" i="68"/>
  <c r="AG744" i="68"/>
  <c r="AG833" i="68"/>
  <c r="L633" i="68"/>
  <c r="W338" i="68"/>
  <c r="V507" i="72"/>
  <c r="V756" i="72"/>
  <c r="V785" i="72" s="1"/>
  <c r="J309" i="68"/>
  <c r="AB144" i="68"/>
  <c r="AB233" i="68"/>
  <c r="AF939" i="68"/>
  <c r="AF411" i="68"/>
  <c r="AF500" i="68"/>
  <c r="Y647" i="68"/>
  <c r="X752" i="72"/>
  <c r="X787" i="72"/>
  <c r="X816" i="72" s="1"/>
  <c r="AE696" i="68"/>
  <c r="AE785" i="68"/>
  <c r="Q393" i="68"/>
  <c r="Q482" i="68"/>
  <c r="X711" i="68"/>
  <c r="X800" i="68"/>
  <c r="N717" i="68"/>
  <c r="N806" i="68"/>
  <c r="Z327" i="68"/>
  <c r="Z329" i="68" s="1"/>
  <c r="Z238" i="68"/>
  <c r="Y930" i="68"/>
  <c r="AF417" i="68"/>
  <c r="AF506" i="68"/>
  <c r="AA444" i="68"/>
  <c r="AA533" i="68"/>
  <c r="N451" i="68"/>
  <c r="N452" i="68"/>
  <c r="N543" i="68" s="1"/>
  <c r="N634" i="68" s="1"/>
  <c r="AE758" i="68"/>
  <c r="AE849" i="68" s="1"/>
  <c r="AE940" i="68" s="1"/>
  <c r="AE757" i="68"/>
  <c r="T707" i="68"/>
  <c r="T798" i="68" s="1"/>
  <c r="T889" i="68" s="1"/>
  <c r="T706" i="68"/>
  <c r="J203" i="68"/>
  <c r="K78" i="68"/>
  <c r="K167" i="68"/>
  <c r="U390" i="68"/>
  <c r="U479" i="68"/>
  <c r="T700" i="68"/>
  <c r="T701" i="68"/>
  <c r="T792" i="68" s="1"/>
  <c r="T883" i="68" s="1"/>
  <c r="N423" i="68"/>
  <c r="N512" i="68"/>
  <c r="L759" i="68"/>
  <c r="L848" i="68"/>
  <c r="Z129" i="68"/>
  <c r="Z218" i="68"/>
  <c r="N707" i="68"/>
  <c r="N798" i="68" s="1"/>
  <c r="N889" i="68" s="1"/>
  <c r="N706" i="68"/>
  <c r="P732" i="68"/>
  <c r="P821" i="68"/>
  <c r="AE123" i="68"/>
  <c r="AE212" i="68"/>
  <c r="O773" i="68"/>
  <c r="R688" i="68"/>
  <c r="R689" i="68"/>
  <c r="R780" i="68" s="1"/>
  <c r="R871" i="68" s="1"/>
  <c r="AG757" i="68"/>
  <c r="AG758" i="68"/>
  <c r="AG849" i="68" s="1"/>
  <c r="AG940" i="68" s="1"/>
  <c r="AH87" i="68"/>
  <c r="AH176" i="68"/>
  <c r="Q701" i="68"/>
  <c r="Q792" i="68" s="1"/>
  <c r="Q883" i="68" s="1"/>
  <c r="Q700" i="68"/>
  <c r="AE408" i="68"/>
  <c r="AE497" i="68"/>
  <c r="U435" i="68"/>
  <c r="U524" i="68"/>
  <c r="AB446" i="68"/>
  <c r="AB537" i="68" s="1"/>
  <c r="AB628" i="68" s="1"/>
  <c r="AB445" i="68"/>
  <c r="AG618" i="68"/>
  <c r="M138" i="68"/>
  <c r="M227" i="68"/>
  <c r="AD102" i="68"/>
  <c r="AD191" i="68"/>
  <c r="O415" i="68"/>
  <c r="O416" i="68"/>
  <c r="O507" i="68" s="1"/>
  <c r="O598" i="68" s="1"/>
  <c r="AH291" i="68"/>
  <c r="AH293" i="68" s="1"/>
  <c r="AH202" i="68"/>
  <c r="Y276" i="68"/>
  <c r="Y278" i="68" s="1"/>
  <c r="Y187" i="68"/>
  <c r="AE446" i="68"/>
  <c r="AE537" i="68" s="1"/>
  <c r="AE628" i="68" s="1"/>
  <c r="AE445" i="68"/>
  <c r="U267" i="68"/>
  <c r="U269" i="68" s="1"/>
  <c r="U178" i="68"/>
  <c r="AB282" i="68"/>
  <c r="AB284" i="68" s="1"/>
  <c r="AB193" i="68"/>
  <c r="M624" i="68"/>
  <c r="K758" i="68"/>
  <c r="K849" i="68" s="1"/>
  <c r="K940" i="68" s="1"/>
  <c r="K757" i="68"/>
  <c r="S378" i="68"/>
  <c r="S467" i="68"/>
  <c r="X288" i="68"/>
  <c r="X290" i="68" s="1"/>
  <c r="X199" i="68"/>
  <c r="M713" i="68"/>
  <c r="M804" i="68" s="1"/>
  <c r="M895" i="68" s="1"/>
  <c r="M712" i="68"/>
  <c r="S129" i="68"/>
  <c r="S218" i="68"/>
  <c r="AA312" i="68"/>
  <c r="AA314" i="68" s="1"/>
  <c r="AA223" i="68"/>
  <c r="AE246" i="68"/>
  <c r="AE248" i="68" s="1"/>
  <c r="AE157" i="68"/>
  <c r="O732" i="68"/>
  <c r="O821" i="68"/>
  <c r="K321" i="68"/>
  <c r="K323" i="68" s="1"/>
  <c r="K232" i="68"/>
  <c r="T375" i="68"/>
  <c r="T464" i="68"/>
  <c r="AG419" i="68"/>
  <c r="AG510" i="68" s="1"/>
  <c r="AG601" i="68" s="1"/>
  <c r="AG418" i="68"/>
  <c r="W249" i="68"/>
  <c r="W251" i="68" s="1"/>
  <c r="W160" i="68"/>
  <c r="Y444" i="68"/>
  <c r="Y533" i="68"/>
  <c r="AD99" i="68"/>
  <c r="AD188" i="68"/>
  <c r="O396" i="68"/>
  <c r="O485" i="68"/>
  <c r="I267" i="68"/>
  <c r="I269" i="68" s="1"/>
  <c r="I178" i="68"/>
  <c r="S729" i="68"/>
  <c r="S818" i="68"/>
  <c r="AE647" i="68"/>
  <c r="AD752" i="72"/>
  <c r="AD787" i="72"/>
  <c r="AD816" i="72" s="1"/>
  <c r="L803" i="68"/>
  <c r="N407" i="68"/>
  <c r="N498" i="68" s="1"/>
  <c r="N589" i="68" s="1"/>
  <c r="N406" i="68"/>
  <c r="T450" i="68"/>
  <c r="T539" i="68"/>
  <c r="H756" i="72"/>
  <c r="H785" i="72" s="1"/>
  <c r="H507" i="72"/>
  <c r="I338" i="68"/>
  <c r="I682" i="68"/>
  <c r="I773" i="68" s="1"/>
  <c r="I683" i="68"/>
  <c r="Y509" i="68"/>
  <c r="R129" i="68"/>
  <c r="R219" i="68"/>
  <c r="R310" i="68" s="1"/>
  <c r="L711" i="68"/>
  <c r="L800" i="68"/>
  <c r="K719" i="68"/>
  <c r="K810" i="68" s="1"/>
  <c r="K901" i="68" s="1"/>
  <c r="K718" i="68"/>
  <c r="R408" i="68"/>
  <c r="R497" i="68"/>
  <c r="AF321" i="68"/>
  <c r="AF323" i="68" s="1"/>
  <c r="AF232" i="68"/>
  <c r="W724" i="68"/>
  <c r="W725" i="68"/>
  <c r="W816" i="68" s="1"/>
  <c r="W907" i="68" s="1"/>
  <c r="J441" i="68"/>
  <c r="J530" i="68"/>
  <c r="Q69" i="68"/>
  <c r="Q158" i="68"/>
  <c r="AF78" i="68"/>
  <c r="AF167" i="68"/>
  <c r="T918" i="68"/>
  <c r="R252" i="68"/>
  <c r="R254" i="68" s="1"/>
  <c r="R163" i="68"/>
  <c r="L627" i="68"/>
  <c r="L629" i="68" s="1"/>
  <c r="L538" i="68"/>
  <c r="AC864" i="68"/>
  <c r="N503" i="68"/>
  <c r="N699" i="68"/>
  <c r="N788" i="68"/>
  <c r="V414" i="68"/>
  <c r="V503" i="68"/>
  <c r="Z738" i="68"/>
  <c r="Z828" i="68"/>
  <c r="Z919" i="68" s="1"/>
  <c r="AB375" i="68"/>
  <c r="AB464" i="68"/>
  <c r="AF387" i="68"/>
  <c r="AF476" i="68"/>
  <c r="I748" i="68"/>
  <c r="I749" i="68"/>
  <c r="I840" i="68" s="1"/>
  <c r="I931" i="68" s="1"/>
  <c r="N327" i="68"/>
  <c r="I454" i="68"/>
  <c r="I455" i="68"/>
  <c r="I546" i="68" s="1"/>
  <c r="I637" i="68" s="1"/>
  <c r="AE291" i="68"/>
  <c r="AE293" i="68" s="1"/>
  <c r="AE202" i="68"/>
  <c r="M273" i="68"/>
  <c r="M275" i="68" s="1"/>
  <c r="M184" i="68"/>
  <c r="AG443" i="68"/>
  <c r="AG534" i="68" s="1"/>
  <c r="AG625" i="68" s="1"/>
  <c r="AG442" i="68"/>
  <c r="X273" i="68"/>
  <c r="X275" i="68" s="1"/>
  <c r="X184" i="68"/>
  <c r="N419" i="68"/>
  <c r="N510" i="68" s="1"/>
  <c r="N601" i="68" s="1"/>
  <c r="N418" i="68"/>
  <c r="AG432" i="68"/>
  <c r="AG521" i="68"/>
  <c r="S714" i="68"/>
  <c r="S803" i="68"/>
  <c r="J75" i="68"/>
  <c r="J164" i="68"/>
  <c r="AE930" i="68"/>
  <c r="X397" i="68"/>
  <c r="X398" i="68"/>
  <c r="X489" i="68" s="1"/>
  <c r="X580" i="68" s="1"/>
  <c r="AG401" i="68"/>
  <c r="AG492" i="68" s="1"/>
  <c r="AG583" i="68" s="1"/>
  <c r="AG400" i="68"/>
  <c r="AC338" i="68"/>
  <c r="AB507" i="72"/>
  <c r="AB756" i="72"/>
  <c r="AB785" i="72" s="1"/>
  <c r="AG279" i="68"/>
  <c r="AG281" i="68" s="1"/>
  <c r="AG190" i="68"/>
  <c r="AB306" i="68"/>
  <c r="AB308" i="68" s="1"/>
  <c r="AB217" i="68"/>
  <c r="AD96" i="68"/>
  <c r="AD185" i="68"/>
  <c r="AA403" i="68"/>
  <c r="AA404" i="68"/>
  <c r="AA495" i="68" s="1"/>
  <c r="AA586" i="68" s="1"/>
  <c r="M399" i="68"/>
  <c r="M488" i="68"/>
  <c r="AD764" i="68"/>
  <c r="AD855" i="68" s="1"/>
  <c r="AD946" i="68" s="1"/>
  <c r="AD763" i="68"/>
  <c r="U120" i="68"/>
  <c r="U209" i="68"/>
  <c r="V735" i="68"/>
  <c r="V824" i="68"/>
  <c r="V491" i="68"/>
  <c r="X138" i="68"/>
  <c r="X227" i="68"/>
  <c r="AF745" i="68"/>
  <c r="AF746" i="68"/>
  <c r="AF837" i="68" s="1"/>
  <c r="AF928" i="68" s="1"/>
  <c r="AD402" i="68"/>
  <c r="AD491" i="68"/>
  <c r="S723" i="68"/>
  <c r="S812" i="68"/>
  <c r="O375" i="68"/>
  <c r="O464" i="68"/>
  <c r="M288" i="68"/>
  <c r="M290" i="68" s="1"/>
  <c r="M199" i="68"/>
  <c r="S267" i="68"/>
  <c r="S269" i="68" s="1"/>
  <c r="S178" i="68"/>
  <c r="AC276" i="68"/>
  <c r="AC278" i="68" s="1"/>
  <c r="AC187" i="68"/>
  <c r="AD524" i="68"/>
  <c r="Y702" i="68"/>
  <c r="Y791" i="68"/>
  <c r="T120" i="68"/>
  <c r="T209" i="68"/>
  <c r="N696" i="68"/>
  <c r="N785" i="68"/>
  <c r="L309" i="68"/>
  <c r="L311" i="68" s="1"/>
  <c r="L220" i="68"/>
  <c r="AF761" i="68"/>
  <c r="AF852" i="68" s="1"/>
  <c r="AF943" i="68" s="1"/>
  <c r="AF760" i="68"/>
  <c r="Y724" i="68"/>
  <c r="Y725" i="68"/>
  <c r="Y816" i="68" s="1"/>
  <c r="Y907" i="68" s="1"/>
  <c r="U684" i="68"/>
  <c r="U774" i="68"/>
  <c r="U865" i="68" s="1"/>
  <c r="I732" i="68"/>
  <c r="I821" i="68"/>
  <c r="J72" i="68"/>
  <c r="J161" i="68"/>
  <c r="V444" i="68"/>
  <c r="V534" i="68"/>
  <c r="V625" i="68" s="1"/>
  <c r="N763" i="68"/>
  <c r="N764" i="68"/>
  <c r="N855" i="68" s="1"/>
  <c r="N946" i="68" s="1"/>
  <c r="N416" i="68"/>
  <c r="N507" i="68" s="1"/>
  <c r="N598" i="68" s="1"/>
  <c r="N415" i="68"/>
  <c r="Q384" i="68"/>
  <c r="Q473" i="68"/>
  <c r="R717" i="68"/>
  <c r="R806" i="68"/>
  <c r="Z696" i="68"/>
  <c r="Z785" i="68"/>
  <c r="AG435" i="68"/>
  <c r="AG524" i="68"/>
  <c r="X555" i="68"/>
  <c r="X557" i="68" s="1"/>
  <c r="X466" i="68"/>
  <c r="Y143" i="68"/>
  <c r="Y234" i="68" s="1"/>
  <c r="Y325" i="68" s="1"/>
  <c r="Y142" i="68"/>
  <c r="Q264" i="68"/>
  <c r="Q266" i="68" s="1"/>
  <c r="Q175" i="68"/>
  <c r="V279" i="68"/>
  <c r="V281" i="68" s="1"/>
  <c r="V190" i="68"/>
  <c r="AB297" i="68"/>
  <c r="AB299" i="68" s="1"/>
  <c r="AB208" i="68"/>
  <c r="AH427" i="68"/>
  <c r="AH428" i="68"/>
  <c r="AH519" i="68" s="1"/>
  <c r="AH610" i="68" s="1"/>
  <c r="I394" i="68"/>
  <c r="I395" i="68"/>
  <c r="I486" i="68" s="1"/>
  <c r="I577" i="68" s="1"/>
  <c r="I252" i="68"/>
  <c r="I254" i="68" s="1"/>
  <c r="I163" i="68"/>
  <c r="K765" i="68"/>
  <c r="K854" i="68"/>
  <c r="AC138" i="68"/>
  <c r="AC227" i="68"/>
  <c r="AD414" i="68"/>
  <c r="AD503" i="68"/>
  <c r="Y705" i="68"/>
  <c r="Y794" i="68"/>
  <c r="J84" i="68"/>
  <c r="J173" i="68"/>
  <c r="W429" i="68"/>
  <c r="W518" i="68"/>
  <c r="AF338" i="68"/>
  <c r="AE507" i="72"/>
  <c r="AE756" i="72"/>
  <c r="AE785" i="72" s="1"/>
  <c r="AA630" i="68"/>
  <c r="AB821" i="68"/>
  <c r="O452" i="68"/>
  <c r="O543" i="68" s="1"/>
  <c r="O634" i="68" s="1"/>
  <c r="O451" i="68"/>
  <c r="L745" i="68"/>
  <c r="L746" i="68"/>
  <c r="L837" i="68" s="1"/>
  <c r="L928" i="68" s="1"/>
  <c r="K327" i="68"/>
  <c r="Z703" i="68"/>
  <c r="Z704" i="68"/>
  <c r="Z795" i="68" s="1"/>
  <c r="Z886" i="68" s="1"/>
  <c r="V702" i="68"/>
  <c r="V791" i="68"/>
  <c r="T29" i="68"/>
  <c r="S261" i="72"/>
  <c r="Y706" i="68"/>
  <c r="Y707" i="68"/>
  <c r="Y798" i="68" s="1"/>
  <c r="Y889" i="68" s="1"/>
  <c r="M647" i="68"/>
  <c r="L752" i="72"/>
  <c r="L787" i="72"/>
  <c r="L816" i="72" s="1"/>
  <c r="AG476" i="68"/>
  <c r="Y685" i="68"/>
  <c r="Y686" i="68"/>
  <c r="Y777" i="68" s="1"/>
  <c r="Y868" i="68" s="1"/>
  <c r="V696" i="68"/>
  <c r="V785" i="68"/>
  <c r="AH942" i="68"/>
  <c r="P324" i="68"/>
  <c r="P326" i="68" s="1"/>
  <c r="AH312" i="68"/>
  <c r="AH314" i="68" s="1"/>
  <c r="AH223" i="68"/>
  <c r="I418" i="68"/>
  <c r="I419" i="68"/>
  <c r="I510" i="68" s="1"/>
  <c r="I601" i="68" s="1"/>
  <c r="AF388" i="68"/>
  <c r="AF389" i="68"/>
  <c r="AF480" i="68" s="1"/>
  <c r="AF571" i="68" s="1"/>
  <c r="P338" i="68"/>
  <c r="O507" i="72"/>
  <c r="O756" i="72"/>
  <c r="O785" i="72" s="1"/>
  <c r="V745" i="68"/>
  <c r="V836" i="68" s="1"/>
  <c r="V746" i="68"/>
  <c r="K429" i="68"/>
  <c r="K518" i="68"/>
  <c r="Q697" i="68"/>
  <c r="Q698" i="68"/>
  <c r="Q789" i="68" s="1"/>
  <c r="Q880" i="68" s="1"/>
  <c r="K684" i="68"/>
  <c r="K773" i="68"/>
  <c r="X258" i="68"/>
  <c r="X260" i="68" s="1"/>
  <c r="X169" i="68"/>
  <c r="AE403" i="68"/>
  <c r="AE404" i="68"/>
  <c r="AE495" i="68" s="1"/>
  <c r="AE586" i="68" s="1"/>
  <c r="AE735" i="68"/>
  <c r="AE824" i="68"/>
  <c r="P747" i="68"/>
  <c r="P836" i="68"/>
  <c r="AB714" i="68"/>
  <c r="AB803" i="68"/>
  <c r="AA699" i="68"/>
  <c r="AA788" i="68"/>
  <c r="V718" i="68"/>
  <c r="V719" i="68"/>
  <c r="V810" i="68" s="1"/>
  <c r="V901" i="68" s="1"/>
  <c r="J276" i="68"/>
  <c r="J278" i="68" s="1"/>
  <c r="J187" i="68"/>
  <c r="AF315" i="68"/>
  <c r="AF317" i="68" s="1"/>
  <c r="AF226" i="68"/>
  <c r="T285" i="68"/>
  <c r="T287" i="68" s="1"/>
  <c r="T196" i="68"/>
  <c r="J111" i="68"/>
  <c r="J200" i="68"/>
  <c r="AG747" i="68"/>
  <c r="AG836" i="68"/>
  <c r="W711" i="68"/>
  <c r="W800" i="68"/>
  <c r="O398" i="68"/>
  <c r="O489" i="68" s="1"/>
  <c r="O580" i="68" s="1"/>
  <c r="O397" i="68"/>
  <c r="Z380" i="68"/>
  <c r="Z471" i="68" s="1"/>
  <c r="Z562" i="68" s="1"/>
  <c r="Z379" i="68"/>
  <c r="T733" i="68"/>
  <c r="T734" i="68"/>
  <c r="T825" i="68" s="1"/>
  <c r="T916" i="68" s="1"/>
  <c r="W411" i="68"/>
  <c r="W500" i="68"/>
  <c r="J327" i="68"/>
  <c r="AF105" i="68"/>
  <c r="AF194" i="68"/>
  <c r="U252" i="68"/>
  <c r="U254" i="68" s="1"/>
  <c r="U163" i="68"/>
  <c r="J273" i="68"/>
  <c r="J275" i="68" s="1"/>
  <c r="J184" i="68"/>
  <c r="AC712" i="68"/>
  <c r="AC713" i="68"/>
  <c r="AC804" i="68" s="1"/>
  <c r="AC895" i="68" s="1"/>
  <c r="L739" i="68"/>
  <c r="L740" i="68"/>
  <c r="L831" i="68" s="1"/>
  <c r="L922" i="68" s="1"/>
  <c r="W407" i="68"/>
  <c r="W498" i="68" s="1"/>
  <c r="W589" i="68" s="1"/>
  <c r="W406" i="68"/>
  <c r="AD757" i="68"/>
  <c r="AD758" i="68"/>
  <c r="AD849" i="68" s="1"/>
  <c r="AD940" i="68" s="1"/>
  <c r="AE338" i="68"/>
  <c r="AD507" i="72"/>
  <c r="AD756" i="72"/>
  <c r="AD785" i="72" s="1"/>
  <c r="U402" i="68"/>
  <c r="U491" i="68"/>
  <c r="V716" i="68"/>
  <c r="V807" i="68" s="1"/>
  <c r="V898" i="68" s="1"/>
  <c r="V715" i="68"/>
  <c r="U714" i="68"/>
  <c r="U803" i="68"/>
  <c r="K750" i="68"/>
  <c r="K839" i="68"/>
  <c r="S406" i="68"/>
  <c r="S407" i="68"/>
  <c r="S498" i="68" s="1"/>
  <c r="S589" i="68" s="1"/>
  <c r="W385" i="68"/>
  <c r="W386" i="68"/>
  <c r="W477" i="68" s="1"/>
  <c r="W568" i="68" s="1"/>
  <c r="I309" i="68"/>
  <c r="I311" i="68" s="1"/>
  <c r="I220" i="68"/>
  <c r="I448" i="68"/>
  <c r="I449" i="68"/>
  <c r="I540" i="68" s="1"/>
  <c r="I631" i="68" s="1"/>
  <c r="V437" i="68"/>
  <c r="V528" i="68" s="1"/>
  <c r="V619" i="68" s="1"/>
  <c r="V436" i="68"/>
  <c r="X338" i="68"/>
  <c r="X367" i="68" s="1"/>
  <c r="W507" i="72"/>
  <c r="W756" i="72"/>
  <c r="W785" i="72" s="1"/>
  <c r="O432" i="68"/>
  <c r="O521" i="68"/>
  <c r="Z693" i="68"/>
  <c r="Z782" i="68"/>
  <c r="R711" i="68"/>
  <c r="R800" i="68"/>
  <c r="M315" i="68"/>
  <c r="T132" i="68"/>
  <c r="T221" i="68"/>
  <c r="AG812" i="68"/>
  <c r="T393" i="68"/>
  <c r="T482" i="68"/>
  <c r="Y401" i="68"/>
  <c r="Y492" i="68" s="1"/>
  <c r="Y583" i="68" s="1"/>
  <c r="Y400" i="68"/>
  <c r="N117" i="68"/>
  <c r="N206" i="68"/>
  <c r="X627" i="68"/>
  <c r="AD135" i="68"/>
  <c r="AD224" i="68"/>
  <c r="AA384" i="68"/>
  <c r="AA473" i="68"/>
  <c r="L684" i="68"/>
  <c r="L773" i="68"/>
  <c r="K252" i="68"/>
  <c r="K254" i="68" s="1"/>
  <c r="K163" i="68"/>
  <c r="N753" i="68"/>
  <c r="N843" i="68"/>
  <c r="N934" i="68" s="1"/>
  <c r="V108" i="68"/>
  <c r="V197" i="68"/>
  <c r="L303" i="68"/>
  <c r="L305" i="68" s="1"/>
  <c r="L214" i="68"/>
  <c r="AH255" i="68"/>
  <c r="AH257" i="68" s="1"/>
  <c r="AH166" i="68"/>
  <c r="Z456" i="68"/>
  <c r="Z546" i="68"/>
  <c r="Z637" i="68" s="1"/>
  <c r="V321" i="68"/>
  <c r="V323" i="68" s="1"/>
  <c r="V232" i="68"/>
  <c r="Q723" i="68"/>
  <c r="Q812" i="68"/>
  <c r="U446" i="68"/>
  <c r="U537" i="68" s="1"/>
  <c r="U628" i="68" s="1"/>
  <c r="U445" i="68"/>
  <c r="AF443" i="68"/>
  <c r="AF534" i="68" s="1"/>
  <c r="AF625" i="68" s="1"/>
  <c r="AF442" i="68"/>
  <c r="W99" i="68"/>
  <c r="W188" i="68"/>
  <c r="L422" i="68"/>
  <c r="L513" i="68" s="1"/>
  <c r="L604" i="68" s="1"/>
  <c r="L421" i="68"/>
  <c r="N690" i="68"/>
  <c r="N779" i="68"/>
  <c r="AA713" i="68"/>
  <c r="AA804" i="68" s="1"/>
  <c r="AA895" i="68" s="1"/>
  <c r="AA712" i="68"/>
  <c r="O138" i="68"/>
  <c r="O227" i="68"/>
  <c r="AE135" i="68"/>
  <c r="AE224" i="68"/>
  <c r="V102" i="68"/>
  <c r="V191" i="68"/>
  <c r="M111" i="68"/>
  <c r="M200" i="68"/>
  <c r="Q387" i="68"/>
  <c r="Q476" i="68"/>
  <c r="U758" i="68"/>
  <c r="U849" i="68" s="1"/>
  <c r="U940" i="68" s="1"/>
  <c r="U757" i="68"/>
  <c r="R761" i="68"/>
  <c r="R852" i="68" s="1"/>
  <c r="R943" i="68" s="1"/>
  <c r="R760" i="68"/>
  <c r="W108" i="68"/>
  <c r="W197" i="68"/>
  <c r="M126" i="68"/>
  <c r="M215" i="68"/>
  <c r="Z435" i="68"/>
  <c r="Z524" i="68"/>
  <c r="AC765" i="68"/>
  <c r="AC854" i="68"/>
  <c r="L687" i="68"/>
  <c r="L776" i="68"/>
  <c r="AD396" i="68"/>
  <c r="AD485" i="68"/>
  <c r="Z276" i="68"/>
  <c r="Z278" i="68" s="1"/>
  <c r="Z187" i="68"/>
  <c r="Q270" i="68"/>
  <c r="Q272" i="68" s="1"/>
  <c r="Q181" i="68"/>
  <c r="U384" i="68"/>
  <c r="U473" i="68"/>
  <c r="I742" i="68"/>
  <c r="I743" i="68"/>
  <c r="I834" i="68" s="1"/>
  <c r="I925" i="68" s="1"/>
  <c r="AD740" i="68"/>
  <c r="AD831" i="68" s="1"/>
  <c r="AD922" i="68" s="1"/>
  <c r="AD739" i="68"/>
  <c r="T129" i="68"/>
  <c r="T219" i="68"/>
  <c r="T310" i="68" s="1"/>
  <c r="X144" i="68"/>
  <c r="X233" i="68"/>
  <c r="S684" i="68"/>
  <c r="S773" i="68"/>
  <c r="U138" i="68"/>
  <c r="U227" i="68"/>
  <c r="W285" i="68"/>
  <c r="W287" i="68" s="1"/>
  <c r="W196" i="68"/>
  <c r="AG249" i="68"/>
  <c r="AG251" i="68" s="1"/>
  <c r="AG160" i="68"/>
  <c r="R390" i="68"/>
  <c r="R479" i="68"/>
  <c r="AC690" i="68"/>
  <c r="AC779" i="68"/>
  <c r="N761" i="68"/>
  <c r="N852" i="68" s="1"/>
  <c r="N943" i="68" s="1"/>
  <c r="N760" i="68"/>
  <c r="AA939" i="68"/>
  <c r="AA941" i="68" s="1"/>
  <c r="AA850" i="68"/>
  <c r="Y99" i="68"/>
  <c r="Y188" i="68"/>
  <c r="AA690" i="68"/>
  <c r="AA779" i="68"/>
  <c r="AA78" i="68"/>
  <c r="AA167" i="68"/>
  <c r="AH688" i="68"/>
  <c r="AH689" i="68"/>
  <c r="AH780" i="68" s="1"/>
  <c r="AH871" i="68" s="1"/>
  <c r="K741" i="68"/>
  <c r="K830" i="68"/>
  <c r="S99" i="68"/>
  <c r="S188" i="68"/>
  <c r="AE722" i="68"/>
  <c r="AE813" i="68" s="1"/>
  <c r="AE904" i="68" s="1"/>
  <c r="AE721" i="68"/>
  <c r="AC409" i="68"/>
  <c r="AC410" i="68"/>
  <c r="AC501" i="68" s="1"/>
  <c r="AC592" i="68" s="1"/>
  <c r="U441" i="68"/>
  <c r="U531" i="68"/>
  <c r="U622" i="68" s="1"/>
  <c r="AC693" i="68"/>
  <c r="AC782" i="68"/>
  <c r="K309" i="68"/>
  <c r="T378" i="68"/>
  <c r="T467" i="68"/>
  <c r="X405" i="68"/>
  <c r="X494" i="68"/>
  <c r="O84" i="68"/>
  <c r="O173" i="68"/>
  <c r="N518" i="68"/>
  <c r="Y270" i="68"/>
  <c r="Y272" i="68" s="1"/>
  <c r="Y181" i="68"/>
  <c r="K438" i="68"/>
  <c r="K528" i="68"/>
  <c r="K619" i="68" s="1"/>
  <c r="K132" i="68"/>
  <c r="K221" i="68"/>
  <c r="AD718" i="68"/>
  <c r="AD719" i="68"/>
  <c r="AD810" i="68" s="1"/>
  <c r="AD901" i="68" s="1"/>
  <c r="Z120" i="68"/>
  <c r="Z209" i="68"/>
  <c r="J697" i="68"/>
  <c r="J698" i="68"/>
  <c r="J789" i="68" s="1"/>
  <c r="J880" i="68" s="1"/>
  <c r="AH927" i="68"/>
  <c r="V147" i="68"/>
  <c r="V236" i="68"/>
  <c r="N756" i="68"/>
  <c r="N845" i="68"/>
  <c r="P396" i="68"/>
  <c r="P485" i="68"/>
  <c r="P72" i="68"/>
  <c r="P161" i="68"/>
  <c r="L753" i="68"/>
  <c r="L842" i="68"/>
  <c r="U338" i="68"/>
  <c r="T507" i="72"/>
  <c r="T756" i="72"/>
  <c r="T785" i="72" s="1"/>
  <c r="L763" i="68"/>
  <c r="L764" i="68"/>
  <c r="L855" i="68" s="1"/>
  <c r="L946" i="68" s="1"/>
  <c r="AD756" i="68"/>
  <c r="AD846" i="68"/>
  <c r="AD937" i="68" s="1"/>
  <c r="M285" i="68"/>
  <c r="M287" i="68" s="1"/>
  <c r="M196" i="68"/>
  <c r="AB718" i="68"/>
  <c r="AB719" i="68"/>
  <c r="AB810" i="68" s="1"/>
  <c r="AB901" i="68" s="1"/>
  <c r="AA430" i="68"/>
  <c r="AA431" i="68"/>
  <c r="AA522" i="68" s="1"/>
  <c r="AA613" i="68" s="1"/>
  <c r="AH72" i="68"/>
  <c r="AH161" i="68"/>
  <c r="R69" i="68"/>
  <c r="R158" i="68"/>
  <c r="AE402" i="68"/>
  <c r="AE491" i="68"/>
  <c r="AA824" i="68"/>
  <c r="V285" i="68"/>
  <c r="V287" i="68" s="1"/>
  <c r="V196" i="68"/>
  <c r="O390" i="68"/>
  <c r="O479" i="68"/>
  <c r="K693" i="68"/>
  <c r="K782" i="68"/>
  <c r="W318" i="68"/>
  <c r="W320" i="68" s="1"/>
  <c r="W229" i="68"/>
  <c r="U702" i="68"/>
  <c r="U791" i="68"/>
  <c r="Y297" i="68"/>
  <c r="Y299" i="68" s="1"/>
  <c r="Y208" i="68"/>
  <c r="K255" i="68"/>
  <c r="K257" i="68" s="1"/>
  <c r="K166" i="68"/>
  <c r="J745" i="68"/>
  <c r="J836" i="68" s="1"/>
  <c r="J746" i="68"/>
  <c r="O708" i="68"/>
  <c r="O797" i="68"/>
  <c r="S117" i="68"/>
  <c r="S206" i="68"/>
  <c r="Q418" i="68"/>
  <c r="Q419" i="68"/>
  <c r="Q510" i="68" s="1"/>
  <c r="Q601" i="68" s="1"/>
  <c r="AC711" i="68"/>
  <c r="AC800" i="68"/>
  <c r="J392" i="68"/>
  <c r="J483" i="68" s="1"/>
  <c r="J574" i="68" s="1"/>
  <c r="J391" i="68"/>
  <c r="I432" i="68"/>
  <c r="I521" i="68"/>
  <c r="Z708" i="68"/>
  <c r="U719" i="68"/>
  <c r="U810" i="68" s="1"/>
  <c r="U901" i="68" s="1"/>
  <c r="U718" i="68"/>
  <c r="Z105" i="68"/>
  <c r="Z194" i="68"/>
  <c r="AE375" i="68"/>
  <c r="AE464" i="68"/>
  <c r="I405" i="68"/>
  <c r="I494" i="68"/>
  <c r="AD717" i="68"/>
  <c r="AD806" i="68"/>
  <c r="Z753" i="68"/>
  <c r="Z842" i="68"/>
  <c r="W438" i="68"/>
  <c r="W527" i="68"/>
  <c r="T114" i="68"/>
  <c r="T203" i="68"/>
  <c r="T429" i="68"/>
  <c r="T518" i="68"/>
  <c r="AD338" i="68"/>
  <c r="AC507" i="72"/>
  <c r="AC756" i="72"/>
  <c r="AC785" i="72" s="1"/>
  <c r="Q144" i="68"/>
  <c r="Q233" i="68"/>
  <c r="AG690" i="68"/>
  <c r="AG779" i="68"/>
  <c r="T756" i="68"/>
  <c r="T846" i="68"/>
  <c r="T937" i="68" s="1"/>
  <c r="O456" i="68"/>
  <c r="O545" i="68"/>
  <c r="AE414" i="68"/>
  <c r="AE503" i="68"/>
  <c r="AD264" i="68"/>
  <c r="AD266" i="68" s="1"/>
  <c r="AD175" i="68"/>
  <c r="Q273" i="68"/>
  <c r="Q275" i="68" s="1"/>
  <c r="Q184" i="68"/>
  <c r="AF691" i="68"/>
  <c r="AF692" i="68"/>
  <c r="AF783" i="68" s="1"/>
  <c r="AF874" i="68" s="1"/>
  <c r="R374" i="68"/>
  <c r="R465" i="68" s="1"/>
  <c r="R556" i="68" s="1"/>
  <c r="R373" i="68"/>
  <c r="K762" i="68"/>
  <c r="K851" i="68"/>
  <c r="AA84" i="68"/>
  <c r="AA173" i="68"/>
  <c r="O261" i="72"/>
  <c r="P29" i="68"/>
  <c r="X388" i="68"/>
  <c r="X389" i="68"/>
  <c r="X480" i="68" s="1"/>
  <c r="X571" i="68" s="1"/>
  <c r="M448" i="68"/>
  <c r="M449" i="68"/>
  <c r="M540" i="68" s="1"/>
  <c r="M631" i="68" s="1"/>
  <c r="Q424" i="68"/>
  <c r="Q425" i="68"/>
  <c r="Q516" i="68" s="1"/>
  <c r="Q607" i="68" s="1"/>
  <c r="V111" i="68"/>
  <c r="V200" i="68"/>
  <c r="W117" i="68"/>
  <c r="W206" i="68"/>
  <c r="Z689" i="68"/>
  <c r="Z780" i="68" s="1"/>
  <c r="Z871" i="68" s="1"/>
  <c r="Z688" i="68"/>
  <c r="AH411" i="68"/>
  <c r="AH500" i="68"/>
  <c r="W129" i="68"/>
  <c r="W218" i="68"/>
  <c r="R939" i="68"/>
  <c r="L748" i="68"/>
  <c r="L749" i="68"/>
  <c r="L840" i="68" s="1"/>
  <c r="L931" i="68" s="1"/>
  <c r="AA390" i="68"/>
  <c r="AA479" i="68"/>
  <c r="R102" i="68"/>
  <c r="R191" i="68"/>
  <c r="N456" i="68"/>
  <c r="N546" i="68"/>
  <c r="N637" i="68" s="1"/>
  <c r="J447" i="68"/>
  <c r="J537" i="68"/>
  <c r="J628" i="68" s="1"/>
  <c r="U309" i="68"/>
  <c r="O132" i="68"/>
  <c r="O221" i="68"/>
  <c r="AE690" i="68"/>
  <c r="AE779" i="68"/>
  <c r="W432" i="68"/>
  <c r="W521" i="68"/>
  <c r="O276" i="68"/>
  <c r="O278" i="68" s="1"/>
  <c r="O187" i="68"/>
  <c r="AA375" i="68"/>
  <c r="AA464" i="68"/>
  <c r="K728" i="68"/>
  <c r="K819" i="68" s="1"/>
  <c r="K910" i="68" s="1"/>
  <c r="K727" i="68"/>
  <c r="AE267" i="68"/>
  <c r="AE269" i="68" s="1"/>
  <c r="AE178" i="68"/>
  <c r="J399" i="68"/>
  <c r="J488" i="68"/>
  <c r="O147" i="68"/>
  <c r="O236" i="68"/>
  <c r="AE270" i="68"/>
  <c r="AE272" i="68" s="1"/>
  <c r="AE181" i="68"/>
  <c r="O291" i="68"/>
  <c r="Z702" i="68"/>
  <c r="Z791" i="68"/>
  <c r="AF373" i="68"/>
  <c r="AF374" i="68"/>
  <c r="AF465" i="68" s="1"/>
  <c r="AF556" i="68" s="1"/>
  <c r="AC735" i="68"/>
  <c r="AC824" i="68"/>
  <c r="R444" i="68"/>
  <c r="R533" i="68"/>
  <c r="AD752" i="68"/>
  <c r="AD843" i="68" s="1"/>
  <c r="AD934" i="68" s="1"/>
  <c r="AD751" i="68"/>
  <c r="I402" i="68"/>
  <c r="I491" i="68"/>
  <c r="R726" i="68"/>
  <c r="R815" i="68"/>
  <c r="P420" i="68"/>
  <c r="P509" i="68"/>
  <c r="J384" i="68"/>
  <c r="J473" i="68"/>
  <c r="L383" i="68"/>
  <c r="L474" i="68" s="1"/>
  <c r="L565" i="68" s="1"/>
  <c r="L382" i="68"/>
  <c r="AD442" i="68"/>
  <c r="AD443" i="68"/>
  <c r="AD534" i="68" s="1"/>
  <c r="AD625" i="68" s="1"/>
  <c r="V748" i="68"/>
  <c r="V839" i="68" s="1"/>
  <c r="V749" i="68"/>
  <c r="O722" i="68"/>
  <c r="O813" i="68" s="1"/>
  <c r="O904" i="68" s="1"/>
  <c r="O721" i="68"/>
  <c r="AE264" i="68"/>
  <c r="AE266" i="68" s="1"/>
  <c r="AE175" i="68"/>
  <c r="AH419" i="68"/>
  <c r="AH510" i="68" s="1"/>
  <c r="AH601" i="68" s="1"/>
  <c r="AH418" i="68"/>
  <c r="W742" i="68"/>
  <c r="W743" i="68"/>
  <c r="W834" i="68" s="1"/>
  <c r="W925" i="68" s="1"/>
  <c r="M114" i="68"/>
  <c r="M203" i="68"/>
  <c r="U753" i="68"/>
  <c r="U842" i="68"/>
  <c r="AH455" i="68"/>
  <c r="AH546" i="68" s="1"/>
  <c r="AH637" i="68" s="1"/>
  <c r="AH454" i="68"/>
  <c r="P69" i="68"/>
  <c r="P158" i="68"/>
  <c r="AD714" i="68"/>
  <c r="AD803" i="68"/>
  <c r="Z291" i="68"/>
  <c r="Z293" i="68" s="1"/>
  <c r="Z202" i="68"/>
  <c r="M702" i="68"/>
  <c r="M791" i="68"/>
  <c r="U864" i="68"/>
  <c r="AG66" i="68"/>
  <c r="AG155" i="68"/>
  <c r="AH406" i="68"/>
  <c r="AH407" i="68"/>
  <c r="AH498" i="68" s="1"/>
  <c r="AH589" i="68" s="1"/>
  <c r="AF830" i="68"/>
  <c r="X114" i="68"/>
  <c r="X203" i="68"/>
  <c r="K647" i="68"/>
  <c r="J752" i="72"/>
  <c r="J787" i="72"/>
  <c r="J816" i="72" s="1"/>
  <c r="V624" i="68"/>
  <c r="AB338" i="68"/>
  <c r="AA756" i="72"/>
  <c r="AA785" i="72" s="1"/>
  <c r="AA507" i="72"/>
  <c r="I753" i="68"/>
  <c r="I842" i="68"/>
  <c r="W450" i="68"/>
  <c r="W539" i="68"/>
  <c r="M141" i="68"/>
  <c r="M230" i="68"/>
  <c r="Z432" i="68"/>
  <c r="Z521" i="68"/>
  <c r="AA765" i="68"/>
  <c r="AA854" i="68"/>
  <c r="L399" i="68"/>
  <c r="L488" i="68"/>
  <c r="Z306" i="68"/>
  <c r="Z308" i="68" s="1"/>
  <c r="Z217" i="68"/>
  <c r="AB419" i="68"/>
  <c r="AB510" i="68" s="1"/>
  <c r="AB601" i="68" s="1"/>
  <c r="AB418" i="68"/>
  <c r="J756" i="68"/>
  <c r="J846" i="68"/>
  <c r="J937" i="68" s="1"/>
  <c r="L755" i="68"/>
  <c r="L846" i="68" s="1"/>
  <c r="L937" i="68" s="1"/>
  <c r="L754" i="68"/>
  <c r="V446" i="68"/>
  <c r="V537" i="68" s="1"/>
  <c r="V628" i="68" s="1"/>
  <c r="V445" i="68"/>
  <c r="T751" i="68"/>
  <c r="T842" i="68" s="1"/>
  <c r="T752" i="68"/>
  <c r="T126" i="68"/>
  <c r="T215" i="68"/>
  <c r="T759" i="68"/>
  <c r="T848" i="68"/>
  <c r="AA387" i="68"/>
  <c r="AA476" i="68"/>
  <c r="Y390" i="68"/>
  <c r="Y479" i="68"/>
  <c r="Z735" i="68"/>
  <c r="Z824" i="68"/>
  <c r="AG417" i="68"/>
  <c r="AG506" i="68"/>
  <c r="R138" i="68"/>
  <c r="R227" i="68"/>
  <c r="N436" i="68"/>
  <c r="N437" i="68"/>
  <c r="N528" i="68" s="1"/>
  <c r="N619" i="68" s="1"/>
  <c r="P279" i="68"/>
  <c r="P281" i="68" s="1"/>
  <c r="P190" i="68"/>
  <c r="M738" i="68"/>
  <c r="M828" i="68"/>
  <c r="M919" i="68" s="1"/>
  <c r="AC297" i="68"/>
  <c r="AC299" i="68" s="1"/>
  <c r="AC208" i="68"/>
  <c r="AE425" i="68"/>
  <c r="AE516" i="68" s="1"/>
  <c r="AE607" i="68" s="1"/>
  <c r="AE424" i="68"/>
  <c r="AG729" i="68"/>
  <c r="AG818" i="68"/>
  <c r="L84" i="68"/>
  <c r="L173" i="68"/>
  <c r="AG282" i="68"/>
  <c r="AG284" i="68" s="1"/>
  <c r="AG193" i="68"/>
  <c r="N684" i="68"/>
  <c r="N773" i="68"/>
  <c r="AF684" i="68"/>
  <c r="AF773" i="68"/>
  <c r="L762" i="68"/>
  <c r="L851" i="68"/>
  <c r="AC252" i="68"/>
  <c r="AC254" i="68" s="1"/>
  <c r="AC163" i="68"/>
  <c r="AB129" i="68"/>
  <c r="AB218" i="68"/>
  <c r="O288" i="68"/>
  <c r="O290" i="68" s="1"/>
  <c r="O199" i="68"/>
  <c r="AA306" i="68"/>
  <c r="AA308" i="68" s="1"/>
  <c r="AA217" i="68"/>
  <c r="I830" i="68"/>
  <c r="AB444" i="68"/>
  <c r="AB533" i="68"/>
  <c r="J228" i="68"/>
  <c r="J319" i="68" s="1"/>
  <c r="AG390" i="68"/>
  <c r="AG479" i="68"/>
  <c r="N258" i="68"/>
  <c r="N260" i="68" s="1"/>
  <c r="N169" i="68"/>
  <c r="AD126" i="68"/>
  <c r="AD215" i="68"/>
  <c r="S647" i="68"/>
  <c r="S676" i="68" s="1"/>
  <c r="R752" i="72"/>
  <c r="R787" i="72"/>
  <c r="R816" i="72" s="1"/>
  <c r="L246" i="68"/>
  <c r="L248" i="68" s="1"/>
  <c r="L157" i="68"/>
  <c r="I762" i="68"/>
  <c r="I852" i="68"/>
  <c r="I943" i="68" s="1"/>
  <c r="X703" i="68"/>
  <c r="X704" i="68"/>
  <c r="X795" i="68" s="1"/>
  <c r="X886" i="68" s="1"/>
  <c r="J718" i="68"/>
  <c r="J719" i="68"/>
  <c r="J810" i="68" s="1"/>
  <c r="J901" i="68" s="1"/>
  <c r="T423" i="68"/>
  <c r="T512" i="68"/>
  <c r="AF701" i="68"/>
  <c r="AF792" i="68" s="1"/>
  <c r="AF883" i="68" s="1"/>
  <c r="AF700" i="68"/>
  <c r="AA381" i="68"/>
  <c r="AA470" i="68"/>
  <c r="Q759" i="68"/>
  <c r="Q848" i="68"/>
  <c r="T443" i="68"/>
  <c r="T534" i="68" s="1"/>
  <c r="T625" i="68" s="1"/>
  <c r="T442" i="68"/>
  <c r="R701" i="68"/>
  <c r="R792" i="68" s="1"/>
  <c r="R883" i="68" s="1"/>
  <c r="R700" i="68"/>
  <c r="U740" i="68"/>
  <c r="U831" i="68" s="1"/>
  <c r="U922" i="68" s="1"/>
  <c r="U739" i="68"/>
  <c r="W327" i="68"/>
  <c r="W329" i="68" s="1"/>
  <c r="W238" i="68"/>
  <c r="K456" i="68"/>
  <c r="K545" i="68"/>
  <c r="Y273" i="68"/>
  <c r="Y275" i="68" s="1"/>
  <c r="Y184" i="68"/>
  <c r="Y378" i="68"/>
  <c r="Y467" i="68"/>
  <c r="M428" i="68"/>
  <c r="M519" i="68" s="1"/>
  <c r="M610" i="68" s="1"/>
  <c r="M427" i="68"/>
  <c r="O762" i="68"/>
  <c r="O852" i="68"/>
  <c r="O943" i="68" s="1"/>
  <c r="AB155" i="68"/>
  <c r="P756" i="68"/>
  <c r="P845" i="68"/>
  <c r="S246" i="68"/>
  <c r="S248" i="68" s="1"/>
  <c r="S157" i="68"/>
  <c r="AD129" i="68"/>
  <c r="AD218" i="68"/>
  <c r="X378" i="68"/>
  <c r="X467" i="68"/>
  <c r="I428" i="68"/>
  <c r="I519" i="68" s="1"/>
  <c r="I610" i="68" s="1"/>
  <c r="I427" i="68"/>
  <c r="AG696" i="68"/>
  <c r="AG785" i="68"/>
  <c r="AF705" i="68"/>
  <c r="AF794" i="68"/>
  <c r="Q430" i="68"/>
  <c r="Q431" i="68"/>
  <c r="Q522" i="68" s="1"/>
  <c r="Q613" i="68" s="1"/>
  <c r="U111" i="68"/>
  <c r="U200" i="68"/>
  <c r="Y306" i="68"/>
  <c r="Y308" i="68" s="1"/>
  <c r="Y217" i="68"/>
  <c r="Y756" i="68"/>
  <c r="Y845" i="68"/>
  <c r="X321" i="68"/>
  <c r="X323" i="68" s="1"/>
  <c r="X232" i="68"/>
  <c r="P288" i="68"/>
  <c r="P290" i="68" s="1"/>
  <c r="P199" i="68"/>
  <c r="Q732" i="68"/>
  <c r="Q821" i="68"/>
  <c r="O422" i="68"/>
  <c r="O513" i="68" s="1"/>
  <c r="O604" i="68" s="1"/>
  <c r="O421" i="68"/>
  <c r="O754" i="68"/>
  <c r="O845" i="68" s="1"/>
  <c r="O755" i="68"/>
  <c r="R448" i="68"/>
  <c r="R449" i="68"/>
  <c r="R540" i="68" s="1"/>
  <c r="R631" i="68" s="1"/>
  <c r="P452" i="68"/>
  <c r="P543" i="68" s="1"/>
  <c r="P634" i="68" s="1"/>
  <c r="P451" i="68"/>
  <c r="R264" i="68"/>
  <c r="R266" i="68" s="1"/>
  <c r="R175" i="68"/>
  <c r="AD738" i="68"/>
  <c r="AD827" i="68"/>
  <c r="W252" i="68"/>
  <c r="W254" i="68" s="1"/>
  <c r="W163" i="68"/>
  <c r="N273" i="68"/>
  <c r="N275" i="68" s="1"/>
  <c r="N184" i="68"/>
  <c r="L261" i="68"/>
  <c r="L263" i="68" s="1"/>
  <c r="L172" i="68"/>
  <c r="R411" i="68"/>
  <c r="R500" i="68"/>
  <c r="AD453" i="68"/>
  <c r="AD542" i="68"/>
  <c r="AC132" i="68"/>
  <c r="AC222" i="68"/>
  <c r="AC313" i="68" s="1"/>
  <c r="M758" i="68"/>
  <c r="M849" i="68" s="1"/>
  <c r="M940" i="68" s="1"/>
  <c r="M757" i="68"/>
  <c r="AH249" i="68"/>
  <c r="AH251" i="68" s="1"/>
  <c r="AH160" i="68"/>
  <c r="U303" i="68"/>
  <c r="U305" i="68" s="1"/>
  <c r="U214" i="68"/>
  <c r="Z741" i="68"/>
  <c r="Z830" i="68"/>
  <c r="AD384" i="68"/>
  <c r="AD473" i="68"/>
  <c r="N405" i="68"/>
  <c r="N494" i="68"/>
  <c r="Q843" i="68"/>
  <c r="Q934" i="68" s="1"/>
  <c r="AC75" i="68"/>
  <c r="AC164" i="68"/>
  <c r="Z417" i="68"/>
  <c r="Z506" i="68"/>
  <c r="N933" i="68"/>
  <c r="S700" i="68"/>
  <c r="S701" i="68"/>
  <c r="S792" i="68" s="1"/>
  <c r="S883" i="68" s="1"/>
  <c r="T415" i="68"/>
  <c r="T416" i="68"/>
  <c r="T507" i="68" s="1"/>
  <c r="T598" i="68" s="1"/>
  <c r="T731" i="68"/>
  <c r="T822" i="68" s="1"/>
  <c r="T913" i="68" s="1"/>
  <c r="T730" i="68"/>
  <c r="U723" i="68"/>
  <c r="U812" i="68"/>
  <c r="Z423" i="68"/>
  <c r="Z512" i="68"/>
  <c r="Z636" i="68"/>
  <c r="AB691" i="68"/>
  <c r="AB692" i="68"/>
  <c r="AB783" i="68" s="1"/>
  <c r="AB874" i="68" s="1"/>
  <c r="AF405" i="68"/>
  <c r="AF494" i="68"/>
  <c r="J338" i="68"/>
  <c r="I507" i="72"/>
  <c r="I756" i="72"/>
  <c r="I785" i="72" s="1"/>
  <c r="V690" i="68"/>
  <c r="V779" i="68"/>
  <c r="AB436" i="68"/>
  <c r="AB437" i="68"/>
  <c r="AB528" i="68" s="1"/>
  <c r="AB619" i="68" s="1"/>
  <c r="O144" i="68"/>
  <c r="O233" i="68"/>
  <c r="O438" i="68"/>
  <c r="O528" i="68"/>
  <c r="O619" i="68" s="1"/>
  <c r="AD708" i="68"/>
  <c r="AD797" i="68"/>
  <c r="AH114" i="68"/>
  <c r="AH203" i="68"/>
  <c r="X120" i="68"/>
  <c r="X209" i="68"/>
  <c r="S72" i="68"/>
  <c r="S161" i="68"/>
  <c r="X918" i="68"/>
  <c r="K338" i="68"/>
  <c r="J507" i="72"/>
  <c r="J756" i="72"/>
  <c r="J785" i="72" s="1"/>
  <c r="I747" i="68"/>
  <c r="I836" i="68"/>
  <c r="X718" i="68"/>
  <c r="X719" i="68"/>
  <c r="X810" i="68" s="1"/>
  <c r="X901" i="68" s="1"/>
  <c r="R261" i="68"/>
  <c r="R263" i="68" s="1"/>
  <c r="R172" i="68"/>
  <c r="M741" i="68"/>
  <c r="M830" i="68"/>
  <c r="W753" i="68"/>
  <c r="W842" i="68"/>
  <c r="W701" i="68"/>
  <c r="W792" i="68" s="1"/>
  <c r="W883" i="68" s="1"/>
  <c r="W700" i="68"/>
  <c r="T309" i="68"/>
  <c r="AD141" i="68"/>
  <c r="AD230" i="68"/>
  <c r="V686" i="68"/>
  <c r="V777" i="68" s="1"/>
  <c r="V868" i="68" s="1"/>
  <c r="V685" i="68"/>
  <c r="Y170" i="68"/>
  <c r="AC750" i="68"/>
  <c r="AC839" i="68"/>
  <c r="AA338" i="68"/>
  <c r="Z507" i="72"/>
  <c r="Z756" i="72"/>
  <c r="Z785" i="72" s="1"/>
  <c r="Y448" i="68"/>
  <c r="Y449" i="68"/>
  <c r="Y540" i="68" s="1"/>
  <c r="Y631" i="68" s="1"/>
  <c r="AD693" i="68"/>
  <c r="AD782" i="68"/>
  <c r="O441" i="68"/>
  <c r="O530" i="68"/>
  <c r="K29" i="68"/>
  <c r="J261" i="72"/>
  <c r="Y285" i="68"/>
  <c r="Y287" i="68" s="1"/>
  <c r="Y196" i="68"/>
  <c r="I78" i="68"/>
  <c r="I167" i="68"/>
  <c r="K303" i="68"/>
  <c r="K305" i="68" s="1"/>
  <c r="K214" i="68"/>
  <c r="J741" i="68"/>
  <c r="J830" i="68"/>
  <c r="AA723" i="68"/>
  <c r="AA812" i="68"/>
  <c r="X249" i="68"/>
  <c r="X251" i="68" s="1"/>
  <c r="X160" i="68"/>
  <c r="J759" i="68"/>
  <c r="J848" i="68"/>
  <c r="O120" i="68"/>
  <c r="O209" i="68"/>
  <c r="U621" i="68"/>
  <c r="X270" i="68"/>
  <c r="X272" i="68" s="1"/>
  <c r="X181" i="68"/>
  <c r="S393" i="68"/>
  <c r="S482" i="68"/>
  <c r="AB410" i="68"/>
  <c r="AB501" i="68" s="1"/>
  <c r="AB592" i="68" s="1"/>
  <c r="AB409" i="68"/>
  <c r="Y742" i="68"/>
  <c r="Y743" i="68"/>
  <c r="Y834" i="68" s="1"/>
  <c r="Y925" i="68" s="1"/>
  <c r="N732" i="68"/>
  <c r="N821" i="68"/>
  <c r="I285" i="68"/>
  <c r="I287" i="68" s="1"/>
  <c r="I196" i="68"/>
  <c r="U415" i="68"/>
  <c r="U416" i="68"/>
  <c r="U507" i="68" s="1"/>
  <c r="U598" i="68" s="1"/>
  <c r="M276" i="68"/>
  <c r="M278" i="68" s="1"/>
  <c r="M187" i="68"/>
  <c r="Y414" i="68"/>
  <c r="Y503" i="68"/>
  <c r="M246" i="68"/>
  <c r="M248" i="68" s="1"/>
  <c r="M157" i="68"/>
  <c r="K618" i="68"/>
  <c r="N161" i="68"/>
  <c r="AH117" i="68"/>
  <c r="AH206" i="68"/>
  <c r="I435" i="68"/>
  <c r="I524" i="68"/>
  <c r="N435" i="68"/>
  <c r="N524" i="68"/>
  <c r="N385" i="68"/>
  <c r="N386" i="68"/>
  <c r="N477" i="68" s="1"/>
  <c r="N568" i="68" s="1"/>
  <c r="V258" i="68"/>
  <c r="V260" i="68" s="1"/>
  <c r="V169" i="68"/>
  <c r="AA393" i="68"/>
  <c r="AA482" i="68"/>
  <c r="K392" i="68"/>
  <c r="K483" i="68" s="1"/>
  <c r="K574" i="68" s="1"/>
  <c r="K391" i="68"/>
  <c r="AD936" i="68"/>
  <c r="O758" i="68"/>
  <c r="O849" i="68" s="1"/>
  <c r="O940" i="68" s="1"/>
  <c r="O757" i="68"/>
  <c r="L707" i="68"/>
  <c r="L798" i="68" s="1"/>
  <c r="L889" i="68" s="1"/>
  <c r="L706" i="68"/>
  <c r="S699" i="68"/>
  <c r="S788" i="68"/>
  <c r="O450" i="68"/>
  <c r="O539" i="68"/>
  <c r="AH708" i="68"/>
  <c r="AH797" i="68"/>
  <c r="M430" i="68"/>
  <c r="M431" i="68"/>
  <c r="M522" i="68" s="1"/>
  <c r="M613" i="68" s="1"/>
  <c r="X451" i="68"/>
  <c r="X452" i="68"/>
  <c r="X543" i="68" s="1"/>
  <c r="X634" i="68" s="1"/>
  <c r="P683" i="68"/>
  <c r="P774" i="68" s="1"/>
  <c r="P865" i="68" s="1"/>
  <c r="P682" i="68"/>
  <c r="I29" i="68"/>
  <c r="H261" i="72"/>
  <c r="T426" i="68"/>
  <c r="T515" i="68"/>
  <c r="AD206" i="68"/>
  <c r="AH764" i="68"/>
  <c r="AH855" i="68" s="1"/>
  <c r="AH946" i="68" s="1"/>
  <c r="AH763" i="68"/>
  <c r="X105" i="68"/>
  <c r="X194" i="68"/>
  <c r="R117" i="68"/>
  <c r="R206" i="68"/>
  <c r="AC123" i="68"/>
  <c r="AC212" i="68"/>
  <c r="AD374" i="68"/>
  <c r="AD465" i="68" s="1"/>
  <c r="AD556" i="68" s="1"/>
  <c r="AD373" i="68"/>
  <c r="J442" i="68"/>
  <c r="J443" i="68"/>
  <c r="J534" i="68" s="1"/>
  <c r="J625" i="68" s="1"/>
  <c r="Z87" i="68"/>
  <c r="Z176" i="68"/>
  <c r="K418" i="68"/>
  <c r="K419" i="68"/>
  <c r="K510" i="68" s="1"/>
  <c r="K601" i="68" s="1"/>
  <c r="AH704" i="68"/>
  <c r="AH795" i="68" s="1"/>
  <c r="AH886" i="68" s="1"/>
  <c r="AH703" i="68"/>
  <c r="V703" i="68"/>
  <c r="V704" i="68"/>
  <c r="V795" i="68" s="1"/>
  <c r="V886" i="68" s="1"/>
  <c r="AD419" i="68"/>
  <c r="AD510" i="68" s="1"/>
  <c r="AD601" i="68" s="1"/>
  <c r="AD418" i="68"/>
  <c r="Y72" i="68"/>
  <c r="Y161" i="68"/>
  <c r="AB747" i="68"/>
  <c r="AB836" i="68"/>
  <c r="P439" i="68"/>
  <c r="P530" i="68" s="1"/>
  <c r="P440" i="68"/>
  <c r="V261" i="72"/>
  <c r="W29" i="68"/>
  <c r="S717" i="68"/>
  <c r="S806" i="68"/>
  <c r="Z726" i="68"/>
  <c r="Z815" i="68"/>
  <c r="AB147" i="68"/>
  <c r="AB236" i="68"/>
  <c r="AB214" i="68"/>
  <c r="V303" i="68"/>
  <c r="V305" i="68" s="1"/>
  <c r="V214" i="68"/>
  <c r="AD729" i="68"/>
  <c r="AD818" i="68"/>
  <c r="Z722" i="68"/>
  <c r="Z813" i="68" s="1"/>
  <c r="Z904" i="68" s="1"/>
  <c r="Z721" i="68"/>
  <c r="T402" i="68"/>
  <c r="T491" i="68"/>
  <c r="X698" i="68"/>
  <c r="X789" i="68" s="1"/>
  <c r="X880" i="68" s="1"/>
  <c r="X697" i="68"/>
  <c r="Z452" i="68"/>
  <c r="Z543" i="68" s="1"/>
  <c r="Z634" i="68" s="1"/>
  <c r="Z451" i="68"/>
  <c r="X395" i="68"/>
  <c r="X486" i="68" s="1"/>
  <c r="X577" i="68" s="1"/>
  <c r="X394" i="68"/>
  <c r="V69" i="68"/>
  <c r="V158" i="68"/>
  <c r="W378" i="68"/>
  <c r="W467" i="68"/>
  <c r="T936" i="68"/>
  <c r="L705" i="68"/>
  <c r="L794" i="68"/>
  <c r="N411" i="68"/>
  <c r="N500" i="68"/>
  <c r="AF729" i="68"/>
  <c r="AF818" i="68"/>
  <c r="L276" i="68"/>
  <c r="L278" i="68" s="1"/>
  <c r="L187" i="68"/>
  <c r="R765" i="68"/>
  <c r="R854" i="68"/>
  <c r="AC759" i="68"/>
  <c r="AC849" i="68"/>
  <c r="AC940" i="68" s="1"/>
  <c r="V144" i="68"/>
  <c r="V233" i="68"/>
  <c r="AD405" i="68"/>
  <c r="AD494" i="68"/>
  <c r="Y141" i="68"/>
  <c r="Y231" i="68"/>
  <c r="Y322" i="68" s="1"/>
  <c r="V114" i="68"/>
  <c r="V203" i="68"/>
  <c r="X753" i="68"/>
  <c r="X842" i="68"/>
  <c r="N141" i="68"/>
  <c r="N230" i="68"/>
  <c r="K144" i="68"/>
  <c r="K233" i="68"/>
  <c r="L729" i="68"/>
  <c r="L818" i="68"/>
  <c r="S759" i="68"/>
  <c r="S848" i="68"/>
  <c r="AE693" i="68"/>
  <c r="AE782" i="68"/>
  <c r="M765" i="68"/>
  <c r="M855" i="68"/>
  <c r="M946" i="68" s="1"/>
  <c r="AC647" i="68"/>
  <c r="AB752" i="72"/>
  <c r="AB787" i="72"/>
  <c r="AB816" i="72" s="1"/>
  <c r="X414" i="68"/>
  <c r="X503" i="68"/>
  <c r="V220" i="68"/>
  <c r="U699" i="68"/>
  <c r="U788" i="68"/>
  <c r="Z132" i="68"/>
  <c r="Z221" i="68"/>
  <c r="J108" i="68"/>
  <c r="J197" i="68"/>
  <c r="AG700" i="68"/>
  <c r="AG701" i="68"/>
  <c r="AG792" i="68" s="1"/>
  <c r="AG883" i="68" s="1"/>
  <c r="AH738" i="68"/>
  <c r="AH827" i="68"/>
  <c r="M704" i="68"/>
  <c r="M795" i="68" s="1"/>
  <c r="M886" i="68" s="1"/>
  <c r="M703" i="68"/>
  <c r="AF420" i="68"/>
  <c r="AF509" i="68"/>
  <c r="AB729" i="68"/>
  <c r="AB818" i="68"/>
  <c r="AF735" i="68"/>
  <c r="AF824" i="68"/>
  <c r="AA746" i="68"/>
  <c r="AA837" i="68" s="1"/>
  <c r="AA928" i="68" s="1"/>
  <c r="AA745" i="68"/>
  <c r="K155" i="68"/>
  <c r="M99" i="68"/>
  <c r="M188" i="68"/>
  <c r="I733" i="68"/>
  <c r="I734" i="68"/>
  <c r="I825" i="68" s="1"/>
  <c r="I916" i="68" s="1"/>
  <c r="W426" i="68"/>
  <c r="W515" i="68"/>
  <c r="S437" i="68"/>
  <c r="S528" i="68" s="1"/>
  <c r="S619" i="68" s="1"/>
  <c r="S436" i="68"/>
  <c r="I647" i="68"/>
  <c r="H787" i="72"/>
  <c r="H816" i="72" s="1"/>
  <c r="H752" i="72"/>
  <c r="T527" i="68"/>
  <c r="Z419" i="68"/>
  <c r="Z510" i="68" s="1"/>
  <c r="Z601" i="68" s="1"/>
  <c r="Z418" i="68"/>
  <c r="Z729" i="68"/>
  <c r="Z818" i="68"/>
  <c r="X424" i="68"/>
  <c r="X425" i="68"/>
  <c r="X516" i="68" s="1"/>
  <c r="X607" i="68" s="1"/>
  <c r="AA309" i="68"/>
  <c r="J396" i="68"/>
  <c r="J485" i="68"/>
  <c r="J105" i="68"/>
  <c r="J194" i="68"/>
  <c r="I438" i="68"/>
  <c r="I527" i="68"/>
  <c r="P686" i="68"/>
  <c r="P777" i="68" s="1"/>
  <c r="P868" i="68" s="1"/>
  <c r="P685" i="68"/>
  <c r="U96" i="68"/>
  <c r="U185" i="68"/>
  <c r="O338" i="68"/>
  <c r="N507" i="72"/>
  <c r="N756" i="72"/>
  <c r="N785" i="72" s="1"/>
  <c r="M729" i="68"/>
  <c r="M818" i="68"/>
  <c r="V707" i="68"/>
  <c r="V798" i="68" s="1"/>
  <c r="V889" i="68" s="1"/>
  <c r="V706" i="68"/>
  <c r="W703" i="68"/>
  <c r="W704" i="68"/>
  <c r="W795" i="68" s="1"/>
  <c r="W886" i="68" s="1"/>
  <c r="AC707" i="68"/>
  <c r="AC798" i="68" s="1"/>
  <c r="AC889" i="68" s="1"/>
  <c r="AC706" i="68"/>
  <c r="L702" i="68"/>
  <c r="L791" i="68"/>
  <c r="M411" i="68"/>
  <c r="M500" i="68"/>
  <c r="AB451" i="68"/>
  <c r="AB542" i="68" s="1"/>
  <c r="AB452" i="68"/>
  <c r="Q750" i="68"/>
  <c r="Q839" i="68"/>
  <c r="L821" i="68"/>
  <c r="Z683" i="68"/>
  <c r="Z774" i="68" s="1"/>
  <c r="Z865" i="68" s="1"/>
  <c r="Z682" i="68"/>
  <c r="W306" i="68"/>
  <c r="W308" i="68" s="1"/>
  <c r="W217" i="68"/>
  <c r="M633" i="68"/>
  <c r="V753" i="68"/>
  <c r="V843" i="68"/>
  <c r="V934" i="68" s="1"/>
  <c r="R647" i="68"/>
  <c r="Q752" i="72"/>
  <c r="Q787" i="72"/>
  <c r="Q816" i="72" s="1"/>
  <c r="Q735" i="68"/>
  <c r="Q824" i="68"/>
  <c r="J78" i="68"/>
  <c r="J167" i="68"/>
  <c r="AD833" i="68"/>
  <c r="AA818" i="68"/>
  <c r="T387" i="68"/>
  <c r="T476" i="68"/>
  <c r="I444" i="68"/>
  <c r="I533" i="68"/>
  <c r="T135" i="68"/>
  <c r="T225" i="68"/>
  <c r="T316" i="68" s="1"/>
  <c r="N740" i="68"/>
  <c r="N831" i="68" s="1"/>
  <c r="N922" i="68" s="1"/>
  <c r="N739" i="68"/>
  <c r="R147" i="68"/>
  <c r="R236" i="68"/>
  <c r="AF144" i="68"/>
  <c r="AF233" i="68"/>
  <c r="W415" i="68"/>
  <c r="W416" i="68"/>
  <c r="W507" i="68" s="1"/>
  <c r="W598" i="68" s="1"/>
  <c r="V425" i="68"/>
  <c r="V516" i="68" s="1"/>
  <c r="V607" i="68" s="1"/>
  <c r="V424" i="68"/>
  <c r="W693" i="68"/>
  <c r="W782" i="68"/>
  <c r="X420" i="68"/>
  <c r="X509" i="68"/>
  <c r="AE309" i="68"/>
  <c r="AE311" i="68" s="1"/>
  <c r="AE220" i="68"/>
  <c r="AC448" i="68"/>
  <c r="AC449" i="68"/>
  <c r="AC540" i="68" s="1"/>
  <c r="AC631" i="68" s="1"/>
  <c r="Z717" i="68"/>
  <c r="Z806" i="68"/>
  <c r="AH390" i="68"/>
  <c r="AH479" i="68"/>
  <c r="L401" i="68"/>
  <c r="L492" i="68" s="1"/>
  <c r="L583" i="68" s="1"/>
  <c r="L400" i="68"/>
  <c r="Y739" i="68"/>
  <c r="Y740" i="68"/>
  <c r="Y831" i="68" s="1"/>
  <c r="Y922" i="68" s="1"/>
  <c r="W699" i="68"/>
  <c r="W788" i="68"/>
  <c r="V647" i="68"/>
  <c r="U752" i="72"/>
  <c r="U787" i="72"/>
  <c r="U816" i="72" s="1"/>
  <c r="Q309" i="68"/>
  <c r="Q311" i="68" s="1"/>
  <c r="Q220" i="68"/>
  <c r="Y132" i="68"/>
  <c r="Y221" i="68"/>
  <c r="V740" i="68"/>
  <c r="V831" i="68" s="1"/>
  <c r="V922" i="68" s="1"/>
  <c r="V739" i="68"/>
  <c r="P246" i="68"/>
  <c r="P248" i="68" s="1"/>
  <c r="P157" i="68"/>
  <c r="P387" i="68"/>
  <c r="P476" i="68"/>
  <c r="AF438" i="68"/>
  <c r="AF527" i="68"/>
  <c r="O306" i="68"/>
  <c r="O308" i="68" s="1"/>
  <c r="O217" i="68"/>
  <c r="M376" i="68"/>
  <c r="M377" i="68"/>
  <c r="M468" i="68" s="1"/>
  <c r="M559" i="68" s="1"/>
  <c r="T261" i="68"/>
  <c r="T263" i="68" s="1"/>
  <c r="T172" i="68"/>
  <c r="AF138" i="68"/>
  <c r="AF227" i="68"/>
  <c r="Q450" i="68"/>
  <c r="Q539" i="68"/>
  <c r="M395" i="68"/>
  <c r="M486" i="68" s="1"/>
  <c r="M577" i="68" s="1"/>
  <c r="M394" i="68"/>
  <c r="J69" i="68"/>
  <c r="J158" i="68"/>
  <c r="M698" i="68"/>
  <c r="M789" i="68" s="1"/>
  <c r="M880" i="68" s="1"/>
  <c r="M697" i="68"/>
  <c r="AG687" i="68"/>
  <c r="AG776" i="68"/>
  <c r="W111" i="68"/>
  <c r="W200" i="68"/>
  <c r="W144" i="68"/>
  <c r="W233" i="68"/>
  <c r="S261" i="68"/>
  <c r="S263" i="68" s="1"/>
  <c r="S172" i="68"/>
  <c r="Y264" i="68"/>
  <c r="Y266" i="68" s="1"/>
  <c r="Y175" i="68"/>
  <c r="AA315" i="68"/>
  <c r="AA317" i="68" s="1"/>
  <c r="AA226" i="68"/>
  <c r="Q760" i="68"/>
  <c r="Q851" i="68" s="1"/>
  <c r="Q761" i="68"/>
  <c r="U66" i="68"/>
  <c r="U155" i="68"/>
  <c r="Q410" i="68"/>
  <c r="Q501" i="68" s="1"/>
  <c r="Q592" i="68" s="1"/>
  <c r="Q409" i="68"/>
  <c r="S400" i="68"/>
  <c r="S401" i="68"/>
  <c r="S492" i="68" s="1"/>
  <c r="S583" i="68" s="1"/>
  <c r="I294" i="68"/>
  <c r="I296" i="68" s="1"/>
  <c r="I205" i="68"/>
  <c r="AB765" i="68"/>
  <c r="AB854" i="68"/>
  <c r="AB261" i="68"/>
  <c r="AB263" i="68" s="1"/>
  <c r="AB172" i="68"/>
  <c r="J423" i="68"/>
  <c r="J512" i="68"/>
  <c r="L744" i="68"/>
  <c r="L833" i="68"/>
  <c r="L135" i="68"/>
  <c r="L224" i="68"/>
  <c r="AH393" i="68"/>
  <c r="AH482" i="68"/>
  <c r="Q738" i="68"/>
  <c r="Q827" i="68"/>
  <c r="AA267" i="68"/>
  <c r="AA269" i="68" s="1"/>
  <c r="AA178" i="68"/>
  <c r="I707" i="68"/>
  <c r="I798" i="68" s="1"/>
  <c r="I889" i="68" s="1"/>
  <c r="I706" i="68"/>
  <c r="L426" i="68"/>
  <c r="L515" i="68"/>
  <c r="AF446" i="68"/>
  <c r="AF537" i="68" s="1"/>
  <c r="AF628" i="68" s="1"/>
  <c r="AF445" i="68"/>
  <c r="Z714" i="68"/>
  <c r="Z803" i="68"/>
  <c r="N276" i="68"/>
  <c r="N278" i="68" s="1"/>
  <c r="N187" i="68"/>
  <c r="AH741" i="68"/>
  <c r="AH830" i="68"/>
  <c r="M693" i="68"/>
  <c r="M782" i="68"/>
  <c r="I138" i="68"/>
  <c r="I227" i="68"/>
  <c r="J750" i="68"/>
  <c r="J839" i="68"/>
  <c r="AG707" i="68"/>
  <c r="AG798" i="68" s="1"/>
  <c r="AG889" i="68" s="1"/>
  <c r="AG706" i="68"/>
  <c r="N393" i="68"/>
  <c r="N482" i="68"/>
  <c r="J936" i="68"/>
  <c r="AC752" i="68"/>
  <c r="AC843" i="68" s="1"/>
  <c r="AC934" i="68" s="1"/>
  <c r="AC751" i="68"/>
  <c r="W747" i="68"/>
  <c r="W836" i="68"/>
  <c r="AF282" i="68"/>
  <c r="AF270" i="68"/>
  <c r="AF272" i="68" s="1"/>
  <c r="AF181" i="68"/>
  <c r="AG427" i="68"/>
  <c r="AG428" i="68"/>
  <c r="AG519" i="68" s="1"/>
  <c r="AG610" i="68" s="1"/>
  <c r="L695" i="68"/>
  <c r="L786" i="68" s="1"/>
  <c r="L877" i="68" s="1"/>
  <c r="L694" i="68"/>
  <c r="L392" i="68"/>
  <c r="L483" i="68" s="1"/>
  <c r="L574" i="68" s="1"/>
  <c r="L391" i="68"/>
  <c r="AG633" i="68"/>
  <c r="W414" i="68"/>
  <c r="W503" i="68"/>
  <c r="AG291" i="68"/>
  <c r="AG293" i="68" s="1"/>
  <c r="AG202" i="68"/>
  <c r="W381" i="68"/>
  <c r="W470" i="68"/>
  <c r="J702" i="68"/>
  <c r="J791" i="68"/>
  <c r="K747" i="68"/>
  <c r="K836" i="68"/>
  <c r="Z282" i="68"/>
  <c r="Z284" i="68" s="1"/>
  <c r="Z193" i="68"/>
  <c r="X744" i="68"/>
  <c r="X833" i="68"/>
  <c r="P830" i="68"/>
  <c r="T431" i="68"/>
  <c r="T522" i="68" s="1"/>
  <c r="T613" i="68" s="1"/>
  <c r="T430" i="68"/>
  <c r="I703" i="68"/>
  <c r="I704" i="68"/>
  <c r="I795" i="68" s="1"/>
  <c r="I886" i="68" s="1"/>
  <c r="M456" i="68"/>
  <c r="M545" i="68"/>
  <c r="J888" i="68"/>
  <c r="M918" i="68"/>
  <c r="N261" i="72"/>
  <c r="O29" i="68"/>
  <c r="AE704" i="68"/>
  <c r="AE795" i="68" s="1"/>
  <c r="AE886" i="68" s="1"/>
  <c r="AE703" i="68"/>
  <c r="T711" i="68"/>
  <c r="T800" i="68"/>
  <c r="W754" i="68"/>
  <c r="W755" i="68"/>
  <c r="W846" i="68" s="1"/>
  <c r="W937" i="68" s="1"/>
  <c r="J132" i="68"/>
  <c r="J221" i="68"/>
  <c r="R423" i="68"/>
  <c r="R512" i="68"/>
  <c r="I90" i="68"/>
  <c r="I179" i="68"/>
  <c r="V756" i="68"/>
  <c r="V845" i="68"/>
  <c r="K375" i="68"/>
  <c r="K465" i="68"/>
  <c r="K556" i="68" s="1"/>
  <c r="R396" i="68"/>
  <c r="R485" i="68"/>
  <c r="AC440" i="68"/>
  <c r="AC531" i="68" s="1"/>
  <c r="AC622" i="68" s="1"/>
  <c r="AC439" i="68"/>
  <c r="I942" i="68"/>
  <c r="T267" i="68"/>
  <c r="T269" i="68" s="1"/>
  <c r="T178" i="68"/>
  <c r="AF402" i="68"/>
  <c r="AF491" i="68"/>
  <c r="AG447" i="68"/>
  <c r="AG536" i="68"/>
  <c r="M282" i="68"/>
  <c r="M284" i="68" s="1"/>
  <c r="M193" i="68"/>
  <c r="P270" i="68"/>
  <c r="P272" i="68" s="1"/>
  <c r="P181" i="68"/>
  <c r="O734" i="68"/>
  <c r="O825" i="68" s="1"/>
  <c r="O916" i="68" s="1"/>
  <c r="O733" i="68"/>
  <c r="N267" i="68"/>
  <c r="N269" i="68" s="1"/>
  <c r="N178" i="68"/>
  <c r="S411" i="68"/>
  <c r="S500" i="68"/>
  <c r="O687" i="68"/>
  <c r="O776" i="68"/>
  <c r="O942" i="68"/>
  <c r="AB384" i="68"/>
  <c r="AB473" i="68"/>
  <c r="Q747" i="68"/>
  <c r="Q836" i="68"/>
  <c r="Q682" i="68"/>
  <c r="Q773" i="68" s="1"/>
  <c r="Q683" i="68"/>
  <c r="M309" i="68"/>
  <c r="M311" i="68" s="1"/>
  <c r="M220" i="68"/>
  <c r="M746" i="68"/>
  <c r="M837" i="68" s="1"/>
  <c r="M928" i="68" s="1"/>
  <c r="M745" i="68"/>
  <c r="T411" i="68"/>
  <c r="T500" i="68"/>
  <c r="N300" i="68"/>
  <c r="N302" i="68" s="1"/>
  <c r="N211" i="68"/>
  <c r="AF276" i="68"/>
  <c r="AF278" i="68" s="1"/>
  <c r="AF187" i="68"/>
  <c r="AH387" i="68"/>
  <c r="AH476" i="68"/>
  <c r="X391" i="68"/>
  <c r="X392" i="68"/>
  <c r="X483" i="68" s="1"/>
  <c r="X574" i="68" s="1"/>
  <c r="AD702" i="68"/>
  <c r="AD791" i="68"/>
  <c r="S448" i="68"/>
  <c r="S539" i="68" s="1"/>
  <c r="S449" i="68"/>
  <c r="AA72" i="68"/>
  <c r="AA161" i="68"/>
  <c r="AG129" i="68"/>
  <c r="AG218" i="68"/>
  <c r="Z398" i="68"/>
  <c r="Z489" i="68" s="1"/>
  <c r="Z580" i="68" s="1"/>
  <c r="Z397" i="68"/>
  <c r="U413" i="68"/>
  <c r="U504" i="68" s="1"/>
  <c r="U595" i="68" s="1"/>
  <c r="U412" i="68"/>
  <c r="S433" i="68"/>
  <c r="S434" i="68"/>
  <c r="S525" i="68" s="1"/>
  <c r="S616" i="68" s="1"/>
  <c r="V385" i="68"/>
  <c r="V386" i="68"/>
  <c r="V477" i="68" s="1"/>
  <c r="V568" i="68" s="1"/>
  <c r="J730" i="68"/>
  <c r="J731" i="68"/>
  <c r="J822" i="68" s="1"/>
  <c r="J913" i="68" s="1"/>
  <c r="AG726" i="68"/>
  <c r="AG815" i="68"/>
  <c r="AB703" i="68"/>
  <c r="AB704" i="68"/>
  <c r="AB795" i="68" s="1"/>
  <c r="AB886" i="68" s="1"/>
  <c r="Y738" i="68"/>
  <c r="Y828" i="68"/>
  <c r="Y919" i="68" s="1"/>
  <c r="Y722" i="68"/>
  <c r="Y813" i="68" s="1"/>
  <c r="Y904" i="68" s="1"/>
  <c r="Y721" i="68"/>
  <c r="I279" i="68"/>
  <c r="I281" i="68" s="1"/>
  <c r="I190" i="68"/>
  <c r="T762" i="68"/>
  <c r="T851" i="68"/>
  <c r="AB135" i="68"/>
  <c r="AB224" i="68"/>
  <c r="I66" i="68"/>
  <c r="I155" i="68"/>
  <c r="AB396" i="68"/>
  <c r="AB485" i="68"/>
  <c r="I423" i="68"/>
  <c r="I512" i="68"/>
  <c r="I687" i="68"/>
  <c r="I776" i="68"/>
  <c r="AH696" i="68"/>
  <c r="AH785" i="68"/>
  <c r="AE132" i="68"/>
  <c r="AE221" i="68"/>
  <c r="M716" i="68"/>
  <c r="M807" i="68" s="1"/>
  <c r="M898" i="68" s="1"/>
  <c r="M715" i="68"/>
  <c r="V711" i="68"/>
  <c r="V800" i="68"/>
  <c r="Z743" i="68"/>
  <c r="Z834" i="68" s="1"/>
  <c r="Z925" i="68" s="1"/>
  <c r="Z742" i="68"/>
  <c r="P381" i="68"/>
  <c r="P470" i="68"/>
  <c r="AC312" i="68"/>
  <c r="M413" i="68"/>
  <c r="M504" i="68" s="1"/>
  <c r="M595" i="68" s="1"/>
  <c r="M412" i="68"/>
  <c r="S749" i="68"/>
  <c r="S840" i="68" s="1"/>
  <c r="S931" i="68" s="1"/>
  <c r="S748" i="68"/>
  <c r="S479" i="68"/>
  <c r="AA800" i="68"/>
  <c r="Z29" i="68"/>
  <c r="Y261" i="72"/>
  <c r="S384" i="68"/>
  <c r="S473" i="68"/>
  <c r="AF288" i="68"/>
  <c r="AF290" i="68" s="1"/>
  <c r="AF199" i="68"/>
  <c r="I69" i="68"/>
  <c r="I158" i="68"/>
  <c r="P220" i="68"/>
  <c r="I264" i="68"/>
  <c r="I266" i="68" s="1"/>
  <c r="I175" i="68"/>
  <c r="AH66" i="68"/>
  <c r="AH156" i="68"/>
  <c r="AH247" i="68" s="1"/>
  <c r="L420" i="68"/>
  <c r="L509" i="68"/>
  <c r="L444" i="68"/>
  <c r="L533" i="68"/>
  <c r="Q756" i="68"/>
  <c r="Q845" i="68"/>
  <c r="O618" i="68"/>
  <c r="R705" i="68"/>
  <c r="R794" i="68"/>
  <c r="AE81" i="68"/>
  <c r="AE170" i="68"/>
  <c r="AC426" i="68"/>
  <c r="AC515" i="68"/>
  <c r="Y423" i="68"/>
  <c r="Y512" i="68"/>
  <c r="Y758" i="68"/>
  <c r="Y849" i="68" s="1"/>
  <c r="Y940" i="68" s="1"/>
  <c r="Y757" i="68"/>
  <c r="O408" i="68"/>
  <c r="O497" i="68"/>
  <c r="L389" i="68"/>
  <c r="L480" i="68" s="1"/>
  <c r="L571" i="68" s="1"/>
  <c r="L388" i="68"/>
  <c r="R135" i="68"/>
  <c r="R224" i="68"/>
  <c r="Q725" i="68"/>
  <c r="Q816" i="68" s="1"/>
  <c r="Q907" i="68" s="1"/>
  <c r="Q724" i="68"/>
  <c r="AD75" i="68"/>
  <c r="AD164" i="68"/>
  <c r="U425" i="68"/>
  <c r="U516" i="68" s="1"/>
  <c r="U607" i="68" s="1"/>
  <c r="U424" i="68"/>
  <c r="AH318" i="68"/>
  <c r="AH320" i="68" s="1"/>
  <c r="AH229" i="68"/>
  <c r="AE753" i="68"/>
  <c r="AE842" i="68"/>
  <c r="I306" i="68"/>
  <c r="I308" i="68" s="1"/>
  <c r="I217" i="68"/>
  <c r="V473" i="68"/>
  <c r="AE730" i="68"/>
  <c r="AE731" i="68"/>
  <c r="AE822" i="68" s="1"/>
  <c r="AE913" i="68" s="1"/>
  <c r="Z261" i="72"/>
  <c r="AA29" i="68"/>
  <c r="AA428" i="68"/>
  <c r="AA519" i="68" s="1"/>
  <c r="AA610" i="68" s="1"/>
  <c r="AA427" i="68"/>
  <c r="AB387" i="68"/>
  <c r="AB476" i="68"/>
  <c r="N693" i="68"/>
  <c r="N782" i="68"/>
  <c r="AA407" i="68"/>
  <c r="AA498" i="68" s="1"/>
  <c r="AA589" i="68" s="1"/>
  <c r="AA406" i="68"/>
  <c r="J717" i="68"/>
  <c r="J806" i="68"/>
  <c r="X430" i="68"/>
  <c r="X431" i="68"/>
  <c r="X522" i="68" s="1"/>
  <c r="X613" i="68" s="1"/>
  <c r="V456" i="68"/>
  <c r="V546" i="68"/>
  <c r="V637" i="68" s="1"/>
  <c r="P321" i="68"/>
  <c r="P323" i="68" s="1"/>
  <c r="P232" i="68"/>
  <c r="AE440" i="68"/>
  <c r="AE531" i="68" s="1"/>
  <c r="AE622" i="68" s="1"/>
  <c r="AE439" i="68"/>
  <c r="AE383" i="68"/>
  <c r="AE474" i="68" s="1"/>
  <c r="AE565" i="68" s="1"/>
  <c r="AE382" i="68"/>
  <c r="N735" i="68"/>
  <c r="N824" i="68"/>
  <c r="M386" i="68"/>
  <c r="M477" i="68" s="1"/>
  <c r="M568" i="68" s="1"/>
  <c r="M385" i="68"/>
  <c r="X415" i="68"/>
  <c r="X416" i="68"/>
  <c r="X507" i="68" s="1"/>
  <c r="X598" i="68" s="1"/>
  <c r="N123" i="68"/>
  <c r="N212" i="68"/>
  <c r="AC423" i="68"/>
  <c r="AC512" i="68"/>
  <c r="Y120" i="68"/>
  <c r="Y209" i="68"/>
  <c r="Y752" i="68"/>
  <c r="Y843" i="68" s="1"/>
  <c r="Y934" i="68" s="1"/>
  <c r="Y751" i="68"/>
  <c r="K412" i="68"/>
  <c r="K413" i="68"/>
  <c r="K504" i="68" s="1"/>
  <c r="K595" i="68" s="1"/>
  <c r="U436" i="68"/>
  <c r="U437" i="68"/>
  <c r="U528" i="68" s="1"/>
  <c r="U619" i="68" s="1"/>
  <c r="P753" i="68"/>
  <c r="P842" i="68"/>
  <c r="AB711" i="68"/>
  <c r="AB800" i="68"/>
  <c r="AC380" i="68"/>
  <c r="AC471" i="68" s="1"/>
  <c r="AC562" i="68" s="1"/>
  <c r="AC379" i="68"/>
  <c r="W440" i="68"/>
  <c r="W531" i="68" s="1"/>
  <c r="W622" i="68" s="1"/>
  <c r="W439" i="68"/>
  <c r="N445" i="68"/>
  <c r="N536" i="68" s="1"/>
  <c r="N446" i="68"/>
  <c r="AA420" i="68"/>
  <c r="AA509" i="68"/>
  <c r="N399" i="68"/>
  <c r="N488" i="68"/>
  <c r="N440" i="68"/>
  <c r="N531" i="68" s="1"/>
  <c r="N622" i="68" s="1"/>
  <c r="N439" i="68"/>
  <c r="AA394" i="68"/>
  <c r="AA395" i="68"/>
  <c r="AA486" i="68" s="1"/>
  <c r="AA577" i="68" s="1"/>
  <c r="R382" i="68"/>
  <c r="R383" i="68"/>
  <c r="R474" i="68" s="1"/>
  <c r="R565" i="68" s="1"/>
  <c r="S760" i="68"/>
  <c r="S761" i="68"/>
  <c r="S852" i="68" s="1"/>
  <c r="S943" i="68" s="1"/>
  <c r="V765" i="68"/>
  <c r="V854" i="68"/>
  <c r="S708" i="68"/>
  <c r="S797" i="68"/>
  <c r="AA108" i="68"/>
  <c r="AA197" i="68"/>
  <c r="U418" i="68"/>
  <c r="U419" i="68"/>
  <c r="U510" i="68" s="1"/>
  <c r="U601" i="68" s="1"/>
  <c r="K111" i="68"/>
  <c r="K200" i="68"/>
  <c r="AH701" i="68"/>
  <c r="AH792" i="68" s="1"/>
  <c r="AH883" i="68" s="1"/>
  <c r="AH700" i="68"/>
  <c r="S126" i="68"/>
  <c r="S215" i="68"/>
  <c r="AC732" i="68"/>
  <c r="AC821" i="68"/>
  <c r="J456" i="68"/>
  <c r="J546" i="68"/>
  <c r="J637" i="68" s="1"/>
  <c r="AD327" i="68"/>
  <c r="AD329" i="68" s="1"/>
  <c r="AD238" i="68"/>
  <c r="U454" i="68"/>
  <c r="U455" i="68"/>
  <c r="U546" i="68" s="1"/>
  <c r="U637" i="68" s="1"/>
  <c r="AB273" i="68"/>
  <c r="AB275" i="68" s="1"/>
  <c r="AB184" i="68"/>
  <c r="N132" i="68"/>
  <c r="N222" i="68"/>
  <c r="N313" i="68" s="1"/>
  <c r="AE683" i="68"/>
  <c r="AE774" i="68" s="1"/>
  <c r="AE865" i="68" s="1"/>
  <c r="AE682" i="68"/>
  <c r="J408" i="68"/>
  <c r="J497" i="68"/>
  <c r="I255" i="68"/>
  <c r="I257" i="68" s="1"/>
  <c r="I166" i="68"/>
  <c r="S421" i="68"/>
  <c r="S422" i="68"/>
  <c r="S513" i="68" s="1"/>
  <c r="S604" i="68" s="1"/>
  <c r="T249" i="68"/>
  <c r="T251" i="68" s="1"/>
  <c r="T160" i="68"/>
  <c r="AG327" i="68"/>
  <c r="AG329" i="68" s="1"/>
  <c r="AG238" i="68"/>
  <c r="K402" i="68"/>
  <c r="K491" i="68"/>
  <c r="N144" i="68"/>
  <c r="N233" i="68"/>
  <c r="I441" i="68"/>
  <c r="I530" i="68"/>
  <c r="O720" i="68"/>
  <c r="O809" i="68"/>
  <c r="AB738" i="68"/>
  <c r="AB827" i="68"/>
  <c r="W456" i="68"/>
  <c r="W546" i="68"/>
  <c r="W637" i="68" s="1"/>
  <c r="AD450" i="68"/>
  <c r="AD539" i="68"/>
  <c r="AC264" i="68"/>
  <c r="AC266" i="68" s="1"/>
  <c r="AC175" i="68"/>
  <c r="R456" i="68"/>
  <c r="R545" i="68"/>
  <c r="N726" i="68"/>
  <c r="N815" i="68"/>
  <c r="Y447" i="68"/>
  <c r="Y536" i="68"/>
  <c r="AF378" i="68"/>
  <c r="AF467" i="68"/>
  <c r="Z438" i="68"/>
  <c r="Z527" i="68"/>
  <c r="O751" i="68"/>
  <c r="O752" i="68"/>
  <c r="O843" i="68" s="1"/>
  <c r="O934" i="68" s="1"/>
  <c r="AH718" i="68"/>
  <c r="AH719" i="68"/>
  <c r="AH810" i="68" s="1"/>
  <c r="AH901" i="68" s="1"/>
  <c r="R693" i="68"/>
  <c r="R782" i="68"/>
  <c r="AG647" i="68"/>
  <c r="AF752" i="72"/>
  <c r="AF787" i="72"/>
  <c r="AF816" i="72" s="1"/>
  <c r="AH102" i="68"/>
  <c r="AH191" i="68"/>
  <c r="K416" i="68"/>
  <c r="K507" i="68" s="1"/>
  <c r="K598" i="68" s="1"/>
  <c r="K415" i="68"/>
  <c r="T117" i="68"/>
  <c r="T206" i="68"/>
  <c r="U453" i="68"/>
  <c r="U542" i="68"/>
  <c r="X64" i="68"/>
  <c r="X155" i="68" s="1"/>
  <c r="X65" i="68"/>
  <c r="Y393" i="68"/>
  <c r="Y482" i="68"/>
  <c r="U270" i="68"/>
  <c r="U272" i="68" s="1"/>
  <c r="U181" i="68"/>
  <c r="X684" i="68"/>
  <c r="X773" i="68"/>
  <c r="AC762" i="68"/>
  <c r="AC851" i="68"/>
  <c r="AA720" i="68"/>
  <c r="AA809" i="68"/>
  <c r="AE715" i="68"/>
  <c r="AE716" i="68"/>
  <c r="AE807" i="68" s="1"/>
  <c r="AE898" i="68" s="1"/>
  <c r="AA647" i="68"/>
  <c r="Z752" i="72"/>
  <c r="Z787" i="72"/>
  <c r="Z816" i="72" s="1"/>
  <c r="AC939" i="68"/>
  <c r="AD687" i="68"/>
  <c r="AD776" i="68"/>
  <c r="AG764" i="68"/>
  <c r="AG855" i="68" s="1"/>
  <c r="AG946" i="68" s="1"/>
  <c r="AG763" i="68"/>
  <c r="S426" i="68"/>
  <c r="S515" i="68"/>
  <c r="Y321" i="68"/>
  <c r="M753" i="68"/>
  <c r="M842" i="68"/>
  <c r="M945" i="68"/>
  <c r="V311" i="68"/>
  <c r="O729" i="68"/>
  <c r="O818" i="68"/>
  <c r="AD411" i="68"/>
  <c r="AD500" i="68"/>
  <c r="V724" i="68"/>
  <c r="V725" i="68"/>
  <c r="V816" i="68" s="1"/>
  <c r="V907" i="68" s="1"/>
  <c r="W394" i="68"/>
  <c r="W395" i="68"/>
  <c r="W486" i="68" s="1"/>
  <c r="W577" i="68" s="1"/>
  <c r="F102" i="40" a="1"/>
  <c r="F102" i="40" s="1"/>
  <c r="D8" i="40" a="1"/>
  <c r="D8" i="40" s="1"/>
  <c r="AF123" i="68" l="1"/>
  <c r="J714" i="68"/>
  <c r="AB521" i="68"/>
  <c r="T488" i="68"/>
  <c r="T273" i="68"/>
  <c r="T275" i="68" s="1"/>
  <c r="AC723" i="68"/>
  <c r="Z229" i="68"/>
  <c r="AD696" i="68"/>
  <c r="P515" i="68"/>
  <c r="P606" i="68" s="1"/>
  <c r="P608" i="68" s="1"/>
  <c r="J375" i="68"/>
  <c r="AH402" i="68"/>
  <c r="Y191" i="68"/>
  <c r="Y193" i="68" s="1"/>
  <c r="T279" i="68"/>
  <c r="T281" i="68" s="1"/>
  <c r="AD184" i="68"/>
  <c r="K441" i="68"/>
  <c r="R797" i="68"/>
  <c r="R888" i="68" s="1"/>
  <c r="R890" i="68" s="1"/>
  <c r="AF714" i="68"/>
  <c r="J235" i="68"/>
  <c r="AE279" i="68"/>
  <c r="AE281" i="68" s="1"/>
  <c r="Q405" i="68"/>
  <c r="S738" i="68"/>
  <c r="P284" i="68"/>
  <c r="S229" i="68"/>
  <c r="T435" i="68"/>
  <c r="AB732" i="68"/>
  <c r="AF485" i="68"/>
  <c r="AF576" i="68" s="1"/>
  <c r="AF578" i="68" s="1"/>
  <c r="K833" i="68"/>
  <c r="K924" i="68" s="1"/>
  <c r="K926" i="68" s="1"/>
  <c r="W187" i="68"/>
  <c r="AA202" i="68"/>
  <c r="K824" i="68"/>
  <c r="K915" i="68" s="1"/>
  <c r="K917" i="68" s="1"/>
  <c r="S226" i="68"/>
  <c r="O378" i="68"/>
  <c r="T199" i="68"/>
  <c r="AA845" i="68"/>
  <c r="U264" i="68"/>
  <c r="U266" i="68" s="1"/>
  <c r="O284" i="68"/>
  <c r="V208" i="68"/>
  <c r="K66" i="68"/>
  <c r="Y255" i="68"/>
  <c r="Y257" i="68" s="1"/>
  <c r="L117" i="68"/>
  <c r="P741" i="68"/>
  <c r="R205" i="68"/>
  <c r="O157" i="68"/>
  <c r="J812" i="68"/>
  <c r="J814" i="68" s="1"/>
  <c r="X696" i="68"/>
  <c r="O741" i="68"/>
  <c r="AD202" i="68"/>
  <c r="Q193" i="68"/>
  <c r="N714" i="68"/>
  <c r="Y717" i="68"/>
  <c r="J138" i="68"/>
  <c r="J114" i="68"/>
  <c r="AC408" i="68"/>
  <c r="AG187" i="68"/>
  <c r="J226" i="68"/>
  <c r="P506" i="68"/>
  <c r="P508" i="68" s="1"/>
  <c r="AE69" i="68"/>
  <c r="O193" i="68"/>
  <c r="AA166" i="68"/>
  <c r="I291" i="68"/>
  <c r="I293" i="68" s="1"/>
  <c r="L196" i="68"/>
  <c r="N229" i="68"/>
  <c r="W806" i="68"/>
  <c r="AE205" i="68"/>
  <c r="K306" i="68"/>
  <c r="K308" i="68" s="1"/>
  <c r="P738" i="68"/>
  <c r="R788" i="68"/>
  <c r="R790" i="68" s="1"/>
  <c r="U824" i="68"/>
  <c r="U826" i="68" s="1"/>
  <c r="L255" i="68"/>
  <c r="L257" i="68" s="1"/>
  <c r="AB393" i="68"/>
  <c r="AD181" i="68"/>
  <c r="P815" i="68"/>
  <c r="P906" i="68" s="1"/>
  <c r="P908" i="68" s="1"/>
  <c r="R196" i="68"/>
  <c r="J524" i="68"/>
  <c r="J615" i="68" s="1"/>
  <c r="J617" i="68" s="1"/>
  <c r="O181" i="68"/>
  <c r="T161" i="68"/>
  <c r="T252" i="68" s="1"/>
  <c r="T254" i="68" s="1"/>
  <c r="AD324" i="68"/>
  <c r="AD326" i="68" s="1"/>
  <c r="Y782" i="68"/>
  <c r="Y873" i="68" s="1"/>
  <c r="Y875" i="68" s="1"/>
  <c r="L138" i="68"/>
  <c r="Q294" i="68"/>
  <c r="Q296" i="68" s="1"/>
  <c r="Z163" i="68"/>
  <c r="S785" i="68"/>
  <c r="S876" i="68" s="1"/>
  <c r="S878" i="68" s="1"/>
  <c r="AB175" i="68"/>
  <c r="AG723" i="68"/>
  <c r="K500" i="68"/>
  <c r="K591" i="68" s="1"/>
  <c r="K593" i="68" s="1"/>
  <c r="AC172" i="68"/>
  <c r="S521" i="68"/>
  <c r="S612" i="68" s="1"/>
  <c r="S614" i="68" s="1"/>
  <c r="AB166" i="68"/>
  <c r="T729" i="68"/>
  <c r="Q417" i="68"/>
  <c r="U238" i="68"/>
  <c r="AG411" i="68"/>
  <c r="AG169" i="68"/>
  <c r="N226" i="68"/>
  <c r="AD744" i="68"/>
  <c r="P196" i="68"/>
  <c r="O269" i="68"/>
  <c r="X806" i="68"/>
  <c r="X897" i="68" s="1"/>
  <c r="X899" i="68" s="1"/>
  <c r="I723" i="68"/>
  <c r="L408" i="68"/>
  <c r="R521" i="68"/>
  <c r="R612" i="68" s="1"/>
  <c r="R614" i="68" s="1"/>
  <c r="AA717" i="68"/>
  <c r="AA270" i="68"/>
  <c r="AA272" i="68" s="1"/>
  <c r="X387" i="68"/>
  <c r="AG543" i="68"/>
  <c r="AG634" i="68" s="1"/>
  <c r="AG635" i="68" s="1"/>
  <c r="X518" i="68"/>
  <c r="X609" i="68" s="1"/>
  <c r="X611" i="68" s="1"/>
  <c r="M393" i="68"/>
  <c r="S223" i="68"/>
  <c r="Z845" i="68"/>
  <c r="Z847" i="68" s="1"/>
  <c r="Y420" i="68"/>
  <c r="W812" i="68"/>
  <c r="W903" i="68" s="1"/>
  <c r="W905" i="68" s="1"/>
  <c r="AC378" i="68"/>
  <c r="K717" i="68"/>
  <c r="K473" i="68"/>
  <c r="K475" i="68" s="1"/>
  <c r="L178" i="68"/>
  <c r="Z208" i="68"/>
  <c r="Z402" i="68"/>
  <c r="S214" i="68"/>
  <c r="O684" i="68"/>
  <c r="X747" i="68"/>
  <c r="AA236" i="68"/>
  <c r="AA327" i="68" s="1"/>
  <c r="AA329" i="68" s="1"/>
  <c r="P202" i="68"/>
  <c r="R720" i="68"/>
  <c r="Z539" i="68"/>
  <c r="Z630" i="68" s="1"/>
  <c r="Z632" i="68" s="1"/>
  <c r="X264" i="68"/>
  <c r="X266" i="68" s="1"/>
  <c r="N429" i="68"/>
  <c r="AH494" i="68"/>
  <c r="AH496" i="68" s="1"/>
  <c r="AF726" i="68"/>
  <c r="U399" i="68"/>
  <c r="T854" i="68"/>
  <c r="T856" i="68" s="1"/>
  <c r="AA729" i="68"/>
  <c r="L714" i="68"/>
  <c r="P408" i="68"/>
  <c r="AG497" i="68"/>
  <c r="AG588" i="68" s="1"/>
  <c r="AG590" i="68" s="1"/>
  <c r="L438" i="68"/>
  <c r="R232" i="68"/>
  <c r="P765" i="68"/>
  <c r="X741" i="68"/>
  <c r="AH788" i="68"/>
  <c r="AH790" i="68" s="1"/>
  <c r="W312" i="68"/>
  <c r="W314" i="68" s="1"/>
  <c r="Z199" i="68"/>
  <c r="AD800" i="68"/>
  <c r="AD802" i="68" s="1"/>
  <c r="AH196" i="68"/>
  <c r="AE238" i="68"/>
  <c r="Q206" i="68"/>
  <c r="Q297" i="68" s="1"/>
  <c r="Q299" i="68" s="1"/>
  <c r="AE485" i="68"/>
  <c r="AE487" i="68" s="1"/>
  <c r="AC176" i="68"/>
  <c r="AC267" i="68" s="1"/>
  <c r="AC269" i="68" s="1"/>
  <c r="N414" i="68"/>
  <c r="R849" i="68"/>
  <c r="R940" i="68" s="1"/>
  <c r="R941" i="68" s="1"/>
  <c r="AE169" i="68"/>
  <c r="O178" i="68"/>
  <c r="N705" i="68"/>
  <c r="AA735" i="68"/>
  <c r="I738" i="68"/>
  <c r="U623" i="68"/>
  <c r="AD211" i="68"/>
  <c r="AD302" i="68"/>
  <c r="AC188" i="68"/>
  <c r="AC279" i="68" s="1"/>
  <c r="AC281" i="68" s="1"/>
  <c r="P193" i="68"/>
  <c r="P184" i="68"/>
  <c r="J117" i="68"/>
  <c r="N261" i="68"/>
  <c r="N263" i="68" s="1"/>
  <c r="R190" i="68"/>
  <c r="X402" i="68"/>
  <c r="AB467" i="68"/>
  <c r="AB558" i="68" s="1"/>
  <c r="AB560" i="68" s="1"/>
  <c r="AF188" i="68"/>
  <c r="AF190" i="68" s="1"/>
  <c r="AC184" i="68"/>
  <c r="AG932" i="68"/>
  <c r="Y236" i="68"/>
  <c r="Y327" i="68" s="1"/>
  <c r="Y329" i="68" s="1"/>
  <c r="L87" i="68"/>
  <c r="AG841" i="68"/>
  <c r="T396" i="68"/>
  <c r="AD157" i="68"/>
  <c r="K276" i="68"/>
  <c r="K278" i="68" s="1"/>
  <c r="U729" i="68"/>
  <c r="O202" i="68"/>
  <c r="K114" i="68"/>
  <c r="Q178" i="68"/>
  <c r="O293" i="68"/>
  <c r="P714" i="68"/>
  <c r="L827" i="68"/>
  <c r="L918" i="68" s="1"/>
  <c r="L920" i="68" s="1"/>
  <c r="S181" i="68"/>
  <c r="O853" i="68"/>
  <c r="AH848" i="68"/>
  <c r="AH939" i="68" s="1"/>
  <c r="AH941" i="68" s="1"/>
  <c r="Q753" i="68"/>
  <c r="AH833" i="68"/>
  <c r="AH835" i="68" s="1"/>
  <c r="Q779" i="68"/>
  <c r="Q870" i="68" s="1"/>
  <c r="Q872" i="68" s="1"/>
  <c r="S776" i="68"/>
  <c r="S867" i="68" s="1"/>
  <c r="S869" i="68" s="1"/>
  <c r="AB773" i="68"/>
  <c r="AB864" i="68" s="1"/>
  <c r="AB866" i="68" s="1"/>
  <c r="S779" i="68"/>
  <c r="S870" i="68" s="1"/>
  <c r="S872" i="68" s="1"/>
  <c r="Z762" i="68"/>
  <c r="J414" i="68"/>
  <c r="J405" i="68"/>
  <c r="P414" i="68"/>
  <c r="R223" i="68"/>
  <c r="L211" i="68"/>
  <c r="X202" i="68"/>
  <c r="Y202" i="68"/>
  <c r="T726" i="68"/>
  <c r="AC833" i="68"/>
  <c r="AC835" i="68" s="1"/>
  <c r="X738" i="68"/>
  <c r="Y396" i="68"/>
  <c r="P491" i="68"/>
  <c r="P582" i="68" s="1"/>
  <c r="P584" i="68" s="1"/>
  <c r="W399" i="68"/>
  <c r="AD381" i="68"/>
  <c r="AF530" i="68"/>
  <c r="AF621" i="68" s="1"/>
  <c r="AF623" i="68" s="1"/>
  <c r="AC542" i="68"/>
  <c r="AC633" i="68" s="1"/>
  <c r="AC635" i="68" s="1"/>
  <c r="AA378" i="68"/>
  <c r="U494" i="68"/>
  <c r="U585" i="68" s="1"/>
  <c r="U587" i="68" s="1"/>
  <c r="M557" i="68"/>
  <c r="I414" i="68"/>
  <c r="M466" i="68"/>
  <c r="P450" i="68"/>
  <c r="AE488" i="68"/>
  <c r="AE490" i="68" s="1"/>
  <c r="AG225" i="68"/>
  <c r="AG316" i="68" s="1"/>
  <c r="AG317" i="68" s="1"/>
  <c r="R99" i="68"/>
  <c r="L199" i="68"/>
  <c r="AD117" i="68"/>
  <c r="L290" i="68"/>
  <c r="P102" i="68"/>
  <c r="O87" i="68"/>
  <c r="AH423" i="68"/>
  <c r="M497" i="68"/>
  <c r="M588" i="68" s="1"/>
  <c r="M590" i="68" s="1"/>
  <c r="K529" i="68"/>
  <c r="AE529" i="68"/>
  <c r="K620" i="68"/>
  <c r="AE620" i="68"/>
  <c r="V402" i="68"/>
  <c r="L232" i="68"/>
  <c r="L323" i="68"/>
  <c r="Y138" i="68"/>
  <c r="O111" i="68"/>
  <c r="P205" i="68"/>
  <c r="AH187" i="68"/>
  <c r="AD120" i="68"/>
  <c r="Y81" i="68"/>
  <c r="K81" i="68"/>
  <c r="N72" i="68"/>
  <c r="AB66" i="68"/>
  <c r="L217" i="68"/>
  <c r="V229" i="68"/>
  <c r="V320" i="68"/>
  <c r="T714" i="68"/>
  <c r="K318" i="68"/>
  <c r="K320" i="68" s="1"/>
  <c r="AA411" i="68"/>
  <c r="AA220" i="68"/>
  <c r="T833" i="68"/>
  <c r="T835" i="68" s="1"/>
  <c r="AF450" i="68"/>
  <c r="R785" i="68"/>
  <c r="R787" i="68" s="1"/>
  <c r="P176" i="68"/>
  <c r="P87" i="68"/>
  <c r="AA311" i="68"/>
  <c r="AG503" i="68"/>
  <c r="AG505" i="68" s="1"/>
  <c r="S441" i="68"/>
  <c r="AG126" i="68"/>
  <c r="AG215" i="68"/>
  <c r="AG387" i="68"/>
  <c r="Q447" i="68"/>
  <c r="I230" i="68"/>
  <c r="I141" i="68"/>
  <c r="AG90" i="68"/>
  <c r="AG179" i="68"/>
  <c r="I741" i="68"/>
  <c r="X75" i="68"/>
  <c r="I699" i="68"/>
  <c r="AB229" i="68"/>
  <c r="O160" i="68"/>
  <c r="AH226" i="68"/>
  <c r="W536" i="68"/>
  <c r="W627" i="68" s="1"/>
  <c r="W629" i="68" s="1"/>
  <c r="Q223" i="68"/>
  <c r="Z99" i="68"/>
  <c r="K756" i="68"/>
  <c r="L699" i="68"/>
  <c r="AB120" i="68"/>
  <c r="AB209" i="68"/>
  <c r="AF164" i="68"/>
  <c r="AF75" i="68"/>
  <c r="Z235" i="68"/>
  <c r="AE381" i="68"/>
  <c r="AH467" i="68"/>
  <c r="AH558" i="68" s="1"/>
  <c r="AH560" i="68" s="1"/>
  <c r="L782" i="68"/>
  <c r="L873" i="68" s="1"/>
  <c r="L875" i="68" s="1"/>
  <c r="Q314" i="68"/>
  <c r="S815" i="68"/>
  <c r="S906" i="68" s="1"/>
  <c r="S908" i="68" s="1"/>
  <c r="AB72" i="68"/>
  <c r="AB161" i="68"/>
  <c r="AA69" i="68"/>
  <c r="AA158" i="68"/>
  <c r="L635" i="68"/>
  <c r="P488" i="68"/>
  <c r="P579" i="68" s="1"/>
  <c r="P581" i="68" s="1"/>
  <c r="AA105" i="68"/>
  <c r="AH181" i="68"/>
  <c r="M735" i="68"/>
  <c r="N164" i="68"/>
  <c r="N75" i="68"/>
  <c r="T438" i="68"/>
  <c r="AF102" i="68"/>
  <c r="AG235" i="68"/>
  <c r="L544" i="68"/>
  <c r="AF193" i="68"/>
  <c r="W93" i="68"/>
  <c r="W182" i="68"/>
  <c r="AG132" i="68"/>
  <c r="AG221" i="68"/>
  <c r="AF284" i="68"/>
  <c r="V535" i="68"/>
  <c r="AD214" i="68"/>
  <c r="Y214" i="68"/>
  <c r="K378" i="68"/>
  <c r="Z411" i="68"/>
  <c r="AB491" i="68"/>
  <c r="AB582" i="68" s="1"/>
  <c r="AB584" i="68" s="1"/>
  <c r="Y841" i="68"/>
  <c r="O72" i="68"/>
  <c r="O161" i="68"/>
  <c r="J798" i="68"/>
  <c r="J889" i="68" s="1"/>
  <c r="J890" i="68" s="1"/>
  <c r="V626" i="68"/>
  <c r="AG806" i="68"/>
  <c r="AG897" i="68" s="1"/>
  <c r="AG899" i="68" s="1"/>
  <c r="X208" i="68"/>
  <c r="L202" i="68"/>
  <c r="K120" i="68"/>
  <c r="K209" i="68"/>
  <c r="X852" i="68"/>
  <c r="X943" i="68" s="1"/>
  <c r="X944" i="68" s="1"/>
  <c r="L732" i="68"/>
  <c r="O726" i="68"/>
  <c r="W155" i="68"/>
  <c r="W246" i="68" s="1"/>
  <c r="W248" i="68" s="1"/>
  <c r="I123" i="68"/>
  <c r="I212" i="68"/>
  <c r="K196" i="68"/>
  <c r="U532" i="68"/>
  <c r="S96" i="68"/>
  <c r="S185" i="68"/>
  <c r="Q75" i="68"/>
  <c r="Q164" i="68"/>
  <c r="T141" i="68"/>
  <c r="T230" i="68"/>
  <c r="L72" i="68"/>
  <c r="L161" i="68"/>
  <c r="AH199" i="68"/>
  <c r="AH99" i="68"/>
  <c r="AH188" i="68"/>
  <c r="I171" i="68"/>
  <c r="I81" i="68"/>
  <c r="AA541" i="68"/>
  <c r="W224" i="68"/>
  <c r="W315" i="68" s="1"/>
  <c r="W317" i="68" s="1"/>
  <c r="AA632" i="68"/>
  <c r="N218" i="68"/>
  <c r="N129" i="68"/>
  <c r="Z78" i="68"/>
  <c r="Z167" i="68"/>
  <c r="I853" i="68"/>
  <c r="N479" i="68"/>
  <c r="N570" i="68" s="1"/>
  <c r="N572" i="68" s="1"/>
  <c r="AF69" i="68"/>
  <c r="AF158" i="68"/>
  <c r="X135" i="68"/>
  <c r="X224" i="68"/>
  <c r="AG108" i="68"/>
  <c r="AG197" i="68"/>
  <c r="V384" i="68"/>
  <c r="O944" i="68"/>
  <c r="AG178" i="68"/>
  <c r="T84" i="68"/>
  <c r="T173" i="68"/>
  <c r="M270" i="68"/>
  <c r="M272" i="68" s="1"/>
  <c r="Q247" i="68"/>
  <c r="Q248" i="68" s="1"/>
  <c r="Q157" i="68"/>
  <c r="W75" i="68"/>
  <c r="W164" i="68"/>
  <c r="AB96" i="68"/>
  <c r="AB185" i="68"/>
  <c r="R273" i="68"/>
  <c r="R275" i="68" s="1"/>
  <c r="AD852" i="68"/>
  <c r="AD943" i="68" s="1"/>
  <c r="AD944" i="68" s="1"/>
  <c r="X163" i="68"/>
  <c r="AF941" i="68"/>
  <c r="V524" i="68"/>
  <c r="V615" i="68" s="1"/>
  <c r="V617" i="68" s="1"/>
  <c r="AE235" i="68"/>
  <c r="L132" i="68"/>
  <c r="L221" i="68"/>
  <c r="AC941" i="68"/>
  <c r="AF850" i="68"/>
  <c r="R833" i="68"/>
  <c r="R924" i="68" s="1"/>
  <c r="R926" i="68" s="1"/>
  <c r="Q72" i="68"/>
  <c r="Q161" i="68"/>
  <c r="P405" i="68"/>
  <c r="AF741" i="68"/>
  <c r="AH488" i="68"/>
  <c r="AH579" i="68" s="1"/>
  <c r="AH581" i="68" s="1"/>
  <c r="AG809" i="68"/>
  <c r="AG900" i="68" s="1"/>
  <c r="AG902" i="68" s="1"/>
  <c r="AC155" i="68"/>
  <c r="AC66" i="68"/>
  <c r="AB99" i="68"/>
  <c r="AB188" i="68"/>
  <c r="T144" i="68"/>
  <c r="T233" i="68"/>
  <c r="AA711" i="68"/>
  <c r="O205" i="68"/>
  <c r="AB78" i="68"/>
  <c r="AB167" i="68"/>
  <c r="AD108" i="68"/>
  <c r="AD197" i="68"/>
  <c r="J220" i="68"/>
  <c r="V84" i="68"/>
  <c r="V173" i="68"/>
  <c r="AF93" i="68"/>
  <c r="AF182" i="68"/>
  <c r="AC850" i="68"/>
  <c r="S390" i="68"/>
  <c r="J311" i="68"/>
  <c r="L108" i="68"/>
  <c r="K99" i="68"/>
  <c r="K188" i="68"/>
  <c r="AG529" i="68"/>
  <c r="P500" i="68"/>
  <c r="P591" i="68" s="1"/>
  <c r="P593" i="68" s="1"/>
  <c r="AF117" i="68"/>
  <c r="AF206" i="68"/>
  <c r="K238" i="68"/>
  <c r="AG620" i="68"/>
  <c r="Y943" i="68"/>
  <c r="Y944" i="68" s="1"/>
  <c r="Y853" i="68"/>
  <c r="AH944" i="68"/>
  <c r="N238" i="68"/>
  <c r="AA141" i="68"/>
  <c r="X629" i="68"/>
  <c r="X187" i="68"/>
  <c r="AE841" i="68"/>
  <c r="N329" i="68"/>
  <c r="R217" i="68"/>
  <c r="R235" i="68"/>
  <c r="O529" i="68"/>
  <c r="AE932" i="68"/>
  <c r="X238" i="68"/>
  <c r="AA229" i="68"/>
  <c r="U311" i="68"/>
  <c r="I944" i="68"/>
  <c r="AA320" i="68"/>
  <c r="S829" i="68"/>
  <c r="K311" i="68"/>
  <c r="O620" i="68"/>
  <c r="K220" i="68"/>
  <c r="U220" i="68"/>
  <c r="X538" i="68"/>
  <c r="AC223" i="68"/>
  <c r="N935" i="68"/>
  <c r="N844" i="68"/>
  <c r="Y320" i="68"/>
  <c r="S920" i="68"/>
  <c r="AC775" i="68"/>
  <c r="AH853" i="68"/>
  <c r="AC866" i="68"/>
  <c r="M544" i="68"/>
  <c r="X829" i="68"/>
  <c r="M626" i="68"/>
  <c r="Q320" i="68"/>
  <c r="M635" i="68"/>
  <c r="Q229" i="68"/>
  <c r="AE232" i="68"/>
  <c r="I856" i="68"/>
  <c r="AE323" i="68"/>
  <c r="Y229" i="68"/>
  <c r="I947" i="68"/>
  <c r="X632" i="68"/>
  <c r="X541" i="68"/>
  <c r="M535" i="68"/>
  <c r="T829" i="68"/>
  <c r="U775" i="68"/>
  <c r="M226" i="68"/>
  <c r="J238" i="68"/>
  <c r="T920" i="68"/>
  <c r="U866" i="68"/>
  <c r="M317" i="68"/>
  <c r="J329" i="68"/>
  <c r="AC314" i="68"/>
  <c r="K329" i="68"/>
  <c r="Y932" i="68"/>
  <c r="W856" i="68"/>
  <c r="AF541" i="68"/>
  <c r="P547" i="68"/>
  <c r="V844" i="68"/>
  <c r="J547" i="68"/>
  <c r="Y232" i="68"/>
  <c r="AH929" i="68"/>
  <c r="W947" i="68"/>
  <c r="AF632" i="68"/>
  <c r="AH838" i="68"/>
  <c r="N547" i="68"/>
  <c r="Q844" i="68"/>
  <c r="Q935" i="68"/>
  <c r="K466" i="68"/>
  <c r="Y323" i="68"/>
  <c r="M856" i="68"/>
  <c r="AD847" i="68"/>
  <c r="Z547" i="68"/>
  <c r="M947" i="68"/>
  <c r="AD938" i="68"/>
  <c r="Z638" i="68"/>
  <c r="AH157" i="68"/>
  <c r="X66" i="68"/>
  <c r="X156" i="68"/>
  <c r="X247" i="68" s="1"/>
  <c r="P933" i="68"/>
  <c r="P935" i="68" s="1"/>
  <c r="P844" i="68"/>
  <c r="R315" i="68"/>
  <c r="R317" i="68" s="1"/>
  <c r="R226" i="68"/>
  <c r="Z58" i="68"/>
  <c r="Z61" i="68"/>
  <c r="Z62" i="68"/>
  <c r="Z153" i="68" s="1"/>
  <c r="Z244" i="68" s="1"/>
  <c r="X393" i="68"/>
  <c r="X482" i="68"/>
  <c r="AH570" i="68"/>
  <c r="AH572" i="68" s="1"/>
  <c r="AH481" i="68"/>
  <c r="AD297" i="68"/>
  <c r="AD299" i="68" s="1"/>
  <c r="AD208" i="68"/>
  <c r="AH297" i="68"/>
  <c r="AH299" i="68" s="1"/>
  <c r="AH208" i="68"/>
  <c r="Q432" i="68"/>
  <c r="Q521" i="68"/>
  <c r="AB624" i="68"/>
  <c r="AB626" i="68" s="1"/>
  <c r="AB535" i="68"/>
  <c r="T306" i="68"/>
  <c r="T308" i="68" s="1"/>
  <c r="T217" i="68"/>
  <c r="AD805" i="68"/>
  <c r="AD894" i="68"/>
  <c r="AD896" i="68" s="1"/>
  <c r="O327" i="68"/>
  <c r="O329" i="68" s="1"/>
  <c r="O238" i="68"/>
  <c r="K853" i="68"/>
  <c r="K942" i="68"/>
  <c r="K944" i="68" s="1"/>
  <c r="AC870" i="68"/>
  <c r="AC872" i="68" s="1"/>
  <c r="AC781" i="68"/>
  <c r="O318" i="68"/>
  <c r="O320" i="68" s="1"/>
  <c r="O229" i="68"/>
  <c r="AG927" i="68"/>
  <c r="AG929" i="68" s="1"/>
  <c r="AG838" i="68"/>
  <c r="P370" i="68"/>
  <c r="P371" i="68"/>
  <c r="P462" i="68" s="1"/>
  <c r="P553" i="68" s="1"/>
  <c r="I912" i="68"/>
  <c r="I914" i="68" s="1"/>
  <c r="I823" i="68"/>
  <c r="N594" i="68"/>
  <c r="N596" i="68" s="1"/>
  <c r="N505" i="68"/>
  <c r="AG924" i="68"/>
  <c r="AG926" i="68" s="1"/>
  <c r="AG835" i="68"/>
  <c r="I378" i="68"/>
  <c r="I467" i="68"/>
  <c r="Y315" i="68"/>
  <c r="Y317" i="68" s="1"/>
  <c r="Y226" i="68"/>
  <c r="S535" i="68"/>
  <c r="S624" i="68"/>
  <c r="S626" i="68" s="1"/>
  <c r="AD456" i="68"/>
  <c r="AD545" i="68"/>
  <c r="P367" i="68"/>
  <c r="AB291" i="68"/>
  <c r="AB293" i="68" s="1"/>
  <c r="AB202" i="68"/>
  <c r="AA882" i="68"/>
  <c r="AA884" i="68" s="1"/>
  <c r="AA793" i="68"/>
  <c r="I399" i="68"/>
  <c r="I488" i="68"/>
  <c r="T561" i="68"/>
  <c r="T563" i="68" s="1"/>
  <c r="T472" i="68"/>
  <c r="AD912" i="68"/>
  <c r="AD914" i="68" s="1"/>
  <c r="AD823" i="68"/>
  <c r="S417" i="68"/>
  <c r="S506" i="68"/>
  <c r="Q618" i="68"/>
  <c r="Q620" i="68" s="1"/>
  <c r="Q529" i="68"/>
  <c r="R799" i="68"/>
  <c r="M252" i="68"/>
  <c r="M254" i="68" s="1"/>
  <c r="M163" i="68"/>
  <c r="AF429" i="68"/>
  <c r="AF518" i="68"/>
  <c r="R484" i="68"/>
  <c r="R573" i="68"/>
  <c r="R575" i="68" s="1"/>
  <c r="AG735" i="68"/>
  <c r="AG824" i="68"/>
  <c r="P744" i="68"/>
  <c r="P833" i="68"/>
  <c r="S538" i="68"/>
  <c r="S627" i="68"/>
  <c r="S629" i="68" s="1"/>
  <c r="I288" i="68"/>
  <c r="I290" i="68" s="1"/>
  <c r="I199" i="68"/>
  <c r="L529" i="68"/>
  <c r="L618" i="68"/>
  <c r="L620" i="68" s="1"/>
  <c r="AC564" i="68"/>
  <c r="AC566" i="68" s="1"/>
  <c r="AC475" i="68"/>
  <c r="R729" i="68"/>
  <c r="R818" i="68"/>
  <c r="K723" i="68"/>
  <c r="K812" i="68"/>
  <c r="O702" i="68"/>
  <c r="O791" i="68"/>
  <c r="V306" i="68"/>
  <c r="V308" i="68" s="1"/>
  <c r="V217" i="68"/>
  <c r="P759" i="68"/>
  <c r="P848" i="68"/>
  <c r="S765" i="68"/>
  <c r="S854" i="68"/>
  <c r="X246" i="68"/>
  <c r="AB829" i="68"/>
  <c r="AB918" i="68"/>
  <c r="AB920" i="68" s="1"/>
  <c r="K582" i="68"/>
  <c r="K584" i="68" s="1"/>
  <c r="K493" i="68"/>
  <c r="AH702" i="68"/>
  <c r="AH791" i="68"/>
  <c r="N441" i="68"/>
  <c r="N530" i="68"/>
  <c r="N627" i="68"/>
  <c r="X417" i="68"/>
  <c r="X506" i="68"/>
  <c r="AE732" i="68"/>
  <c r="AE821" i="68"/>
  <c r="I249" i="68"/>
  <c r="I251" i="68" s="1"/>
  <c r="I160" i="68"/>
  <c r="Z744" i="68"/>
  <c r="Z833" i="68"/>
  <c r="AH876" i="68"/>
  <c r="AH878" i="68" s="1"/>
  <c r="AH787" i="68"/>
  <c r="I246" i="68"/>
  <c r="I248" i="68" s="1"/>
  <c r="I157" i="68"/>
  <c r="Y723" i="68"/>
  <c r="Y812" i="68"/>
  <c r="Z399" i="68"/>
  <c r="Z488" i="68"/>
  <c r="AH567" i="68"/>
  <c r="AH569" i="68" s="1"/>
  <c r="AH478" i="68"/>
  <c r="T591" i="68"/>
  <c r="T593" i="68" s="1"/>
  <c r="T502" i="68"/>
  <c r="Q684" i="68"/>
  <c r="Q774" i="68"/>
  <c r="Q865" i="68" s="1"/>
  <c r="O867" i="68"/>
  <c r="O869" i="68" s="1"/>
  <c r="O778" i="68"/>
  <c r="AF493" i="68"/>
  <c r="AF582" i="68"/>
  <c r="AF584" i="68" s="1"/>
  <c r="R576" i="68"/>
  <c r="R578" i="68" s="1"/>
  <c r="R487" i="68"/>
  <c r="M829" i="68"/>
  <c r="T432" i="68"/>
  <c r="T521" i="68"/>
  <c r="L696" i="68"/>
  <c r="L785" i="68"/>
  <c r="W927" i="68"/>
  <c r="W929" i="68" s="1"/>
  <c r="W838" i="68"/>
  <c r="I318" i="68"/>
  <c r="I320" i="68" s="1"/>
  <c r="I229" i="68"/>
  <c r="Z894" i="68"/>
  <c r="Z896" i="68" s="1"/>
  <c r="Z805" i="68"/>
  <c r="L315" i="68"/>
  <c r="L317" i="68" s="1"/>
  <c r="L226" i="68"/>
  <c r="AB469" i="68"/>
  <c r="Q762" i="68"/>
  <c r="Q852" i="68"/>
  <c r="Q943" i="68" s="1"/>
  <c r="M699" i="68"/>
  <c r="M788" i="68"/>
  <c r="AF318" i="68"/>
  <c r="AF320" i="68" s="1"/>
  <c r="AF229" i="68"/>
  <c r="AF618" i="68"/>
  <c r="AF620" i="68" s="1"/>
  <c r="AF529" i="68"/>
  <c r="Y282" i="68"/>
  <c r="Y284" i="68" s="1"/>
  <c r="V680" i="68"/>
  <c r="V771" i="68" s="1"/>
  <c r="V862" i="68" s="1"/>
  <c r="V679" i="68"/>
  <c r="V676" i="68"/>
  <c r="Z684" i="68"/>
  <c r="Z773" i="68"/>
  <c r="M591" i="68"/>
  <c r="M593" i="68" s="1"/>
  <c r="M502" i="68"/>
  <c r="O371" i="68"/>
  <c r="O462" i="68" s="1"/>
  <c r="O553" i="68" s="1"/>
  <c r="O367" i="68"/>
  <c r="O370" i="68"/>
  <c r="S438" i="68"/>
  <c r="S527" i="68"/>
  <c r="M279" i="68"/>
  <c r="M281" i="68" s="1"/>
  <c r="M190" i="68"/>
  <c r="AB909" i="68"/>
  <c r="AB911" i="68" s="1"/>
  <c r="AB820" i="68"/>
  <c r="U879" i="68"/>
  <c r="U881" i="68" s="1"/>
  <c r="U790" i="68"/>
  <c r="K324" i="68"/>
  <c r="K326" i="68" s="1"/>
  <c r="K235" i="68"/>
  <c r="R945" i="68"/>
  <c r="R947" i="68" s="1"/>
  <c r="R856" i="68"/>
  <c r="L885" i="68"/>
  <c r="L887" i="68" s="1"/>
  <c r="L796" i="68"/>
  <c r="X396" i="68"/>
  <c r="X485" i="68"/>
  <c r="Z723" i="68"/>
  <c r="Z812" i="68"/>
  <c r="W62" i="68"/>
  <c r="W153" i="68" s="1"/>
  <c r="W244" i="68" s="1"/>
  <c r="W58" i="68"/>
  <c r="W61" i="68"/>
  <c r="K420" i="68"/>
  <c r="K509" i="68"/>
  <c r="X453" i="68"/>
  <c r="X542" i="68"/>
  <c r="AC841" i="68"/>
  <c r="AC930" i="68"/>
  <c r="AC932" i="68" s="1"/>
  <c r="W933" i="68"/>
  <c r="W935" i="68" s="1"/>
  <c r="W844" i="68"/>
  <c r="X920" i="68"/>
  <c r="AC255" i="68"/>
  <c r="AC257" i="68" s="1"/>
  <c r="AC166" i="68"/>
  <c r="M759" i="68"/>
  <c r="M848" i="68"/>
  <c r="R502" i="68"/>
  <c r="R591" i="68"/>
  <c r="R593" i="68" s="1"/>
  <c r="P453" i="68"/>
  <c r="P542" i="68"/>
  <c r="Q823" i="68"/>
  <c r="Q912" i="68"/>
  <c r="Q914" i="68" s="1"/>
  <c r="Y936" i="68"/>
  <c r="Y938" i="68" s="1"/>
  <c r="Y847" i="68"/>
  <c r="AF885" i="68"/>
  <c r="AF887" i="68" s="1"/>
  <c r="AF796" i="68"/>
  <c r="X469" i="68"/>
  <c r="X558" i="68"/>
  <c r="X560" i="68" s="1"/>
  <c r="M429" i="68"/>
  <c r="M518" i="68"/>
  <c r="K636" i="68"/>
  <c r="K638" i="68" s="1"/>
  <c r="K547" i="68"/>
  <c r="T444" i="68"/>
  <c r="T533" i="68"/>
  <c r="T603" i="68"/>
  <c r="T605" i="68" s="1"/>
  <c r="T514" i="68"/>
  <c r="K680" i="68"/>
  <c r="K771" i="68" s="1"/>
  <c r="K862" i="68" s="1"/>
  <c r="K679" i="68"/>
  <c r="AF375" i="68"/>
  <c r="AF464" i="68"/>
  <c r="L750" i="68"/>
  <c r="L839" i="68"/>
  <c r="M450" i="68"/>
  <c r="M539" i="68"/>
  <c r="T609" i="68"/>
  <c r="T611" i="68" s="1"/>
  <c r="T520" i="68"/>
  <c r="AD897" i="68"/>
  <c r="AD899" i="68" s="1"/>
  <c r="AD808" i="68"/>
  <c r="U720" i="68"/>
  <c r="U809" i="68"/>
  <c r="AB720" i="68"/>
  <c r="AB809" i="68"/>
  <c r="U582" i="68"/>
  <c r="U584" i="68" s="1"/>
  <c r="U493" i="68"/>
  <c r="T735" i="68"/>
  <c r="T824" i="68"/>
  <c r="W609" i="68"/>
  <c r="W611" i="68" s="1"/>
  <c r="W520" i="68"/>
  <c r="AC318" i="68"/>
  <c r="AC320" i="68" s="1"/>
  <c r="AC229" i="68"/>
  <c r="Q564" i="68"/>
  <c r="Q566" i="68" s="1"/>
  <c r="Q475" i="68"/>
  <c r="AD526" i="68"/>
  <c r="AD615" i="68"/>
  <c r="AD617" i="68" s="1"/>
  <c r="O555" i="68"/>
  <c r="O557" i="68" s="1"/>
  <c r="O466" i="68"/>
  <c r="V915" i="68"/>
  <c r="V917" i="68" s="1"/>
  <c r="V826" i="68"/>
  <c r="AH582" i="68"/>
  <c r="AH584" i="68" s="1"/>
  <c r="AH493" i="68"/>
  <c r="X399" i="68"/>
  <c r="X488" i="68"/>
  <c r="I456" i="68"/>
  <c r="I545" i="68"/>
  <c r="I864" i="68"/>
  <c r="N408" i="68"/>
  <c r="N497" i="68"/>
  <c r="R690" i="68"/>
  <c r="R779" i="68"/>
  <c r="T702" i="68"/>
  <c r="T791" i="68"/>
  <c r="AH264" i="68"/>
  <c r="AH266" i="68" s="1"/>
  <c r="AH175" i="68"/>
  <c r="X61" i="68"/>
  <c r="X62" i="68"/>
  <c r="X153" i="68" s="1"/>
  <c r="X244" i="68" s="1"/>
  <c r="X58" i="68"/>
  <c r="AC511" i="68"/>
  <c r="AC600" i="68"/>
  <c r="AC602" i="68" s="1"/>
  <c r="AA738" i="68"/>
  <c r="AA827" i="68"/>
  <c r="S567" i="68"/>
  <c r="S569" i="68" s="1"/>
  <c r="S478" i="68"/>
  <c r="I714" i="68"/>
  <c r="I803" i="68"/>
  <c r="AB933" i="68"/>
  <c r="AB935" i="68" s="1"/>
  <c r="AB844" i="68"/>
  <c r="J726" i="68"/>
  <c r="J815" i="68"/>
  <c r="I891" i="68"/>
  <c r="I893" i="68" s="1"/>
  <c r="I802" i="68"/>
  <c r="L450" i="68"/>
  <c r="L539" i="68"/>
  <c r="AA936" i="68"/>
  <c r="AA938" i="68" s="1"/>
  <c r="AA847" i="68"/>
  <c r="J915" i="68"/>
  <c r="J917" i="68" s="1"/>
  <c r="J826" i="68"/>
  <c r="V942" i="68"/>
  <c r="V944" i="68" s="1"/>
  <c r="V853" i="68"/>
  <c r="L903" i="68"/>
  <c r="L905" i="68" s="1"/>
  <c r="L814" i="68"/>
  <c r="V481" i="68"/>
  <c r="V570" i="68"/>
  <c r="V572" i="68" s="1"/>
  <c r="AF876" i="68"/>
  <c r="AF878" i="68" s="1"/>
  <c r="AF787" i="68"/>
  <c r="Y490" i="68"/>
  <c r="Y579" i="68"/>
  <c r="Y581" i="68" s="1"/>
  <c r="AF829" i="68"/>
  <c r="AF918" i="68"/>
  <c r="AF920" i="68" s="1"/>
  <c r="N246" i="68"/>
  <c r="N248" i="68" s="1"/>
  <c r="N157" i="68"/>
  <c r="J321" i="68"/>
  <c r="J323" i="68" s="1"/>
  <c r="J232" i="68"/>
  <c r="R738" i="68"/>
  <c r="R827" i="68"/>
  <c r="AC62" i="68"/>
  <c r="AC153" i="68" s="1"/>
  <c r="AC244" i="68" s="1"/>
  <c r="AC58" i="68"/>
  <c r="AC61" i="68"/>
  <c r="AA441" i="68"/>
  <c r="AA530" i="68"/>
  <c r="Z466" i="68"/>
  <c r="Z555" i="68"/>
  <c r="Z557" i="68" s="1"/>
  <c r="S381" i="68"/>
  <c r="S470" i="68"/>
  <c r="Y636" i="68"/>
  <c r="Y638" i="68" s="1"/>
  <c r="Y547" i="68"/>
  <c r="P558" i="68"/>
  <c r="P560" i="68" s="1"/>
  <c r="P469" i="68"/>
  <c r="AC306" i="68"/>
  <c r="AC308" i="68" s="1"/>
  <c r="AC217" i="68"/>
  <c r="L621" i="68"/>
  <c r="L623" i="68" s="1"/>
  <c r="L532" i="68"/>
  <c r="V558" i="68"/>
  <c r="V560" i="68" s="1"/>
  <c r="V469" i="68"/>
  <c r="AH61" i="68"/>
  <c r="AH62" i="68"/>
  <c r="AH153" i="68" s="1"/>
  <c r="AH244" i="68" s="1"/>
  <c r="AH58" i="68"/>
  <c r="L375" i="68"/>
  <c r="L464" i="68"/>
  <c r="AB942" i="68"/>
  <c r="X255" i="68"/>
  <c r="X257" i="68" s="1"/>
  <c r="X166" i="68"/>
  <c r="V579" i="68"/>
  <c r="V581" i="68" s="1"/>
  <c r="V490" i="68"/>
  <c r="U408" i="68"/>
  <c r="U497" i="68"/>
  <c r="AG603" i="68"/>
  <c r="AG605" i="68" s="1"/>
  <c r="AG514" i="68"/>
  <c r="AA321" i="68"/>
  <c r="AA323" i="68" s="1"/>
  <c r="AA232" i="68"/>
  <c r="V912" i="68"/>
  <c r="V914" i="68" s="1"/>
  <c r="V823" i="68"/>
  <c r="AH726" i="68"/>
  <c r="AH815" i="68"/>
  <c r="M627" i="68"/>
  <c r="M629" i="68" s="1"/>
  <c r="M538" i="68"/>
  <c r="Q300" i="68"/>
  <c r="Q302" i="68" s="1"/>
  <c r="Q211" i="68"/>
  <c r="AE738" i="68"/>
  <c r="AE827" i="68"/>
  <c r="Z246" i="68"/>
  <c r="Z248" i="68" s="1"/>
  <c r="Z157" i="68"/>
  <c r="AB426" i="68"/>
  <c r="AB515" i="68"/>
  <c r="M255" i="68"/>
  <c r="M257" i="68" s="1"/>
  <c r="M166" i="68"/>
  <c r="L576" i="68"/>
  <c r="L578" i="68" s="1"/>
  <c r="L487" i="68"/>
  <c r="U708" i="68"/>
  <c r="U797" i="68"/>
  <c r="AA285" i="68"/>
  <c r="AA287" i="68" s="1"/>
  <c r="AA196" i="68"/>
  <c r="V723" i="68"/>
  <c r="V812" i="68"/>
  <c r="P585" i="68"/>
  <c r="P587" i="68" s="1"/>
  <c r="P496" i="68"/>
  <c r="I564" i="68"/>
  <c r="I566" i="68" s="1"/>
  <c r="I475" i="68"/>
  <c r="X603" i="68"/>
  <c r="X605" i="68" s="1"/>
  <c r="X514" i="68"/>
  <c r="U282" i="68"/>
  <c r="U284" i="68" s="1"/>
  <c r="U193" i="68"/>
  <c r="R371" i="68"/>
  <c r="R462" i="68" s="1"/>
  <c r="R553" i="68" s="1"/>
  <c r="R370" i="68"/>
  <c r="R367" i="68"/>
  <c r="Q435" i="68"/>
  <c r="Q524" i="68"/>
  <c r="Y408" i="68"/>
  <c r="Y497" i="68"/>
  <c r="Z384" i="68"/>
  <c r="Z473" i="68"/>
  <c r="AE765" i="68"/>
  <c r="AE854" i="68"/>
  <c r="Z447" i="68"/>
  <c r="Z536" i="68"/>
  <c r="I393" i="68"/>
  <c r="I482" i="68"/>
  <c r="AD573" i="68"/>
  <c r="AD575" i="68" s="1"/>
  <c r="AD484" i="68"/>
  <c r="R723" i="68"/>
  <c r="R812" i="68"/>
  <c r="O567" i="68"/>
  <c r="O569" i="68" s="1"/>
  <c r="O478" i="68"/>
  <c r="K885" i="68"/>
  <c r="K887" i="68" s="1"/>
  <c r="K796" i="68"/>
  <c r="R615" i="68"/>
  <c r="R617" i="68" s="1"/>
  <c r="R526" i="68"/>
  <c r="AA246" i="68"/>
  <c r="AA248" i="68" s="1"/>
  <c r="AA157" i="68"/>
  <c r="T579" i="68"/>
  <c r="T581" i="68" s="1"/>
  <c r="T490" i="68"/>
  <c r="L496" i="68"/>
  <c r="L585" i="68"/>
  <c r="L587" i="68" s="1"/>
  <c r="O472" i="68"/>
  <c r="O561" i="68"/>
  <c r="O563" i="68" s="1"/>
  <c r="I784" i="68"/>
  <c r="I873" i="68"/>
  <c r="I875" i="68" s="1"/>
  <c r="AF802" i="68"/>
  <c r="AF891" i="68"/>
  <c r="AF893" i="68" s="1"/>
  <c r="X732" i="68"/>
  <c r="X821" i="68"/>
  <c r="O738" i="68"/>
  <c r="O828" i="68"/>
  <c r="O919" i="68" s="1"/>
  <c r="AH680" i="68"/>
  <c r="AH771" i="68" s="1"/>
  <c r="AH862" i="68" s="1"/>
  <c r="AH679" i="68"/>
  <c r="AH676" i="68"/>
  <c r="AH414" i="68"/>
  <c r="AH503" i="68"/>
  <c r="N384" i="68"/>
  <c r="N473" i="68"/>
  <c r="W564" i="68"/>
  <c r="W566" i="68" s="1"/>
  <c r="W475" i="68"/>
  <c r="AG636" i="68"/>
  <c r="AG638" i="68" s="1"/>
  <c r="AG547" i="68"/>
  <c r="N711" i="68"/>
  <c r="N800" i="68"/>
  <c r="AH732" i="68"/>
  <c r="AH821" i="68"/>
  <c r="R558" i="68"/>
  <c r="R560" i="68" s="1"/>
  <c r="R469" i="68"/>
  <c r="AB924" i="68"/>
  <c r="AB926" i="68" s="1"/>
  <c r="AB835" i="68"/>
  <c r="AC456" i="68"/>
  <c r="AC546" i="68"/>
  <c r="AC637" i="68" s="1"/>
  <c r="AE255" i="68"/>
  <c r="AE257" i="68" s="1"/>
  <c r="AE166" i="68"/>
  <c r="AG469" i="68"/>
  <c r="AG558" i="68"/>
  <c r="AG560" i="68" s="1"/>
  <c r="O894" i="68"/>
  <c r="O896" i="68" s="1"/>
  <c r="O805" i="68"/>
  <c r="Z765" i="68"/>
  <c r="Z855" i="68"/>
  <c r="Z946" i="68" s="1"/>
  <c r="AE523" i="68"/>
  <c r="AE612" i="68"/>
  <c r="AE614" i="68" s="1"/>
  <c r="U945" i="68"/>
  <c r="U947" i="68" s="1"/>
  <c r="U856" i="68"/>
  <c r="AD529" i="68"/>
  <c r="Y765" i="68"/>
  <c r="Y854" i="68"/>
  <c r="X564" i="68"/>
  <c r="X566" i="68" s="1"/>
  <c r="X475" i="68"/>
  <c r="U680" i="68"/>
  <c r="U771" i="68" s="1"/>
  <c r="U862" i="68" s="1"/>
  <c r="U679" i="68"/>
  <c r="U676" i="68"/>
  <c r="N638" i="68"/>
  <c r="AH396" i="68"/>
  <c r="AH485" i="68"/>
  <c r="P588" i="68"/>
  <c r="P590" i="68" s="1"/>
  <c r="P499" i="68"/>
  <c r="I690" i="68"/>
  <c r="I779" i="68"/>
  <c r="M327" i="68"/>
  <c r="M329" i="68" s="1"/>
  <c r="M238" i="68"/>
  <c r="S609" i="68"/>
  <c r="S611" i="68" s="1"/>
  <c r="S520" i="68"/>
  <c r="AD906" i="68"/>
  <c r="AD908" i="68" s="1"/>
  <c r="AD817" i="68"/>
  <c r="P723" i="68"/>
  <c r="P812" i="68"/>
  <c r="AD399" i="68"/>
  <c r="AD488" i="68"/>
  <c r="J638" i="68"/>
  <c r="AF765" i="68"/>
  <c r="AF854" i="68"/>
  <c r="K714" i="68"/>
  <c r="K803" i="68"/>
  <c r="AG441" i="68"/>
  <c r="AG530" i="68"/>
  <c r="X687" i="68"/>
  <c r="X776" i="68"/>
  <c r="AH248" i="68"/>
  <c r="AA705" i="68"/>
  <c r="AA794" i="68"/>
  <c r="O279" i="68"/>
  <c r="O281" i="68" s="1"/>
  <c r="O190" i="68"/>
  <c r="N720" i="68"/>
  <c r="N809" i="68"/>
  <c r="K273" i="68"/>
  <c r="K275" i="68" s="1"/>
  <c r="K184" i="68"/>
  <c r="S891" i="68"/>
  <c r="S893" i="68" s="1"/>
  <c r="S802" i="68"/>
  <c r="AA453" i="68"/>
  <c r="AA542" i="68"/>
  <c r="M300" i="68"/>
  <c r="M302" i="68" s="1"/>
  <c r="M211" i="68"/>
  <c r="M312" i="68"/>
  <c r="M314" i="68" s="1"/>
  <c r="M223" i="68"/>
  <c r="O564" i="68"/>
  <c r="O566" i="68" s="1"/>
  <c r="O475" i="68"/>
  <c r="AB735" i="68"/>
  <c r="AB824" i="68"/>
  <c r="V879" i="68"/>
  <c r="V881" i="68" s="1"/>
  <c r="V790" i="68"/>
  <c r="N729" i="68"/>
  <c r="N818" i="68"/>
  <c r="N432" i="68"/>
  <c r="N521" i="68"/>
  <c r="AE762" i="68"/>
  <c r="AE851" i="68"/>
  <c r="Y808" i="68"/>
  <c r="Y897" i="68"/>
  <c r="Y899" i="68" s="1"/>
  <c r="Y441" i="68"/>
  <c r="Y530" i="68"/>
  <c r="AF603" i="68"/>
  <c r="AF605" i="68" s="1"/>
  <c r="AF514" i="68"/>
  <c r="S423" i="68"/>
  <c r="S512" i="68"/>
  <c r="Y753" i="68"/>
  <c r="Y842" i="68"/>
  <c r="AF324" i="68"/>
  <c r="AF326" i="68" s="1"/>
  <c r="AF235" i="68"/>
  <c r="AB633" i="68"/>
  <c r="Z909" i="68"/>
  <c r="Z911" i="68" s="1"/>
  <c r="Z820" i="68"/>
  <c r="O630" i="68"/>
  <c r="O632" i="68" s="1"/>
  <c r="O541" i="68"/>
  <c r="S573" i="68"/>
  <c r="S575" i="68" s="1"/>
  <c r="S484" i="68"/>
  <c r="AA371" i="68"/>
  <c r="AA462" i="68" s="1"/>
  <c r="AA553" i="68" s="1"/>
  <c r="AA370" i="68"/>
  <c r="AA367" i="68"/>
  <c r="AD888" i="68"/>
  <c r="AD890" i="68" s="1"/>
  <c r="AD799" i="68"/>
  <c r="L264" i="68"/>
  <c r="L266" i="68" s="1"/>
  <c r="L175" i="68"/>
  <c r="M294" i="68"/>
  <c r="M296" i="68" s="1"/>
  <c r="M205" i="68"/>
  <c r="I903" i="68"/>
  <c r="I905" i="68" s="1"/>
  <c r="I814" i="68"/>
  <c r="AG870" i="68"/>
  <c r="AG872" i="68" s="1"/>
  <c r="AG781" i="68"/>
  <c r="Q903" i="68"/>
  <c r="Q905" i="68" s="1"/>
  <c r="Q814" i="68"/>
  <c r="P927" i="68"/>
  <c r="P929" i="68" s="1"/>
  <c r="P838" i="68"/>
  <c r="V882" i="68"/>
  <c r="V884" i="68" s="1"/>
  <c r="V793" i="68"/>
  <c r="AH429" i="68"/>
  <c r="AH518" i="68"/>
  <c r="T708" i="68"/>
  <c r="T797" i="68"/>
  <c r="J246" i="68"/>
  <c r="J248" i="68" s="1"/>
  <c r="J157" i="68"/>
  <c r="K891" i="68"/>
  <c r="K893" i="68" s="1"/>
  <c r="K802" i="68"/>
  <c r="X714" i="68"/>
  <c r="X803" i="68"/>
  <c r="Y790" i="68"/>
  <c r="Y879" i="68"/>
  <c r="Y881" i="68" s="1"/>
  <c r="Q514" i="68"/>
  <c r="Q603" i="68"/>
  <c r="Q605" i="68" s="1"/>
  <c r="M417" i="68"/>
  <c r="M506" i="68"/>
  <c r="W633" i="68"/>
  <c r="W635" i="68" s="1"/>
  <c r="W544" i="68"/>
  <c r="AE708" i="68"/>
  <c r="AE797" i="68"/>
  <c r="L58" i="68"/>
  <c r="L61" i="68"/>
  <c r="L62" i="68"/>
  <c r="L153" i="68" s="1"/>
  <c r="L244" i="68" s="1"/>
  <c r="P894" i="68"/>
  <c r="P896" i="68" s="1"/>
  <c r="P805" i="68"/>
  <c r="V573" i="68"/>
  <c r="V575" i="68" s="1"/>
  <c r="V484" i="68"/>
  <c r="AE711" i="68"/>
  <c r="AE800" i="68"/>
  <c r="L327" i="68"/>
  <c r="L329" i="68" s="1"/>
  <c r="L238" i="68"/>
  <c r="AF612" i="68"/>
  <c r="AF614" i="68" s="1"/>
  <c r="AF523" i="68"/>
  <c r="O624" i="68"/>
  <c r="O626" i="68" s="1"/>
  <c r="O535" i="68"/>
  <c r="Y411" i="68"/>
  <c r="Y500" i="68"/>
  <c r="Z679" i="68"/>
  <c r="Z680" i="68"/>
  <c r="Z771" i="68" s="1"/>
  <c r="Z862" i="68" s="1"/>
  <c r="Z676" i="68"/>
  <c r="AA615" i="68"/>
  <c r="AA617" i="68" s="1"/>
  <c r="AA526" i="68"/>
  <c r="T906" i="68"/>
  <c r="T908" i="68" s="1"/>
  <c r="T817" i="68"/>
  <c r="Y294" i="68"/>
  <c r="Y296" i="68" s="1"/>
  <c r="Y205" i="68"/>
  <c r="AA708" i="68"/>
  <c r="AA797" i="68"/>
  <c r="AF879" i="68"/>
  <c r="AF881" i="68" s="1"/>
  <c r="AF790" i="68"/>
  <c r="T805" i="68"/>
  <c r="T894" i="68"/>
  <c r="T896" i="68" s="1"/>
  <c r="W762" i="68"/>
  <c r="W851" i="68"/>
  <c r="AH820" i="68"/>
  <c r="AH909" i="68"/>
  <c r="AH911" i="68" s="1"/>
  <c r="O680" i="68"/>
  <c r="O771" i="68" s="1"/>
  <c r="O862" i="68" s="1"/>
  <c r="O679" i="68"/>
  <c r="O676" i="68"/>
  <c r="V784" i="68"/>
  <c r="V873" i="68"/>
  <c r="V875" i="68" s="1"/>
  <c r="W441" i="68"/>
  <c r="W530" i="68"/>
  <c r="Y300" i="68"/>
  <c r="Y302" i="68" s="1"/>
  <c r="Y211" i="68"/>
  <c r="M387" i="68"/>
  <c r="M476" i="68"/>
  <c r="J897" i="68"/>
  <c r="J899" i="68" s="1"/>
  <c r="J808" i="68"/>
  <c r="AB567" i="68"/>
  <c r="AB569" i="68" s="1"/>
  <c r="AB478" i="68"/>
  <c r="V475" i="68"/>
  <c r="V564" i="68"/>
  <c r="V566" i="68" s="1"/>
  <c r="U426" i="68"/>
  <c r="U515" i="68"/>
  <c r="L390" i="68"/>
  <c r="L479" i="68"/>
  <c r="Y514" i="68"/>
  <c r="Y603" i="68"/>
  <c r="Y605" i="68" s="1"/>
  <c r="L600" i="68"/>
  <c r="L602" i="68" s="1"/>
  <c r="L511" i="68"/>
  <c r="J732" i="68"/>
  <c r="J821" i="68"/>
  <c r="Q864" i="68"/>
  <c r="W756" i="68"/>
  <c r="W845" i="68"/>
  <c r="M920" i="68"/>
  <c r="Q942" i="68"/>
  <c r="W879" i="68"/>
  <c r="W881" i="68" s="1"/>
  <c r="W790" i="68"/>
  <c r="Z897" i="68"/>
  <c r="Z899" i="68" s="1"/>
  <c r="Z808" i="68"/>
  <c r="W784" i="68"/>
  <c r="W873" i="68"/>
  <c r="W875" i="68" s="1"/>
  <c r="R327" i="68"/>
  <c r="R329" i="68" s="1"/>
  <c r="R238" i="68"/>
  <c r="I535" i="68"/>
  <c r="I624" i="68"/>
  <c r="I626" i="68" s="1"/>
  <c r="AD924" i="68"/>
  <c r="AD926" i="68" s="1"/>
  <c r="AD835" i="68"/>
  <c r="R679" i="68"/>
  <c r="R680" i="68"/>
  <c r="R771" i="68" s="1"/>
  <c r="R862" i="68" s="1"/>
  <c r="R676" i="68"/>
  <c r="U276" i="68"/>
  <c r="U278" i="68" s="1"/>
  <c r="U187" i="68"/>
  <c r="J576" i="68"/>
  <c r="J578" i="68" s="1"/>
  <c r="J487" i="68"/>
  <c r="Z420" i="68"/>
  <c r="Z509" i="68"/>
  <c r="AD420" i="68"/>
  <c r="AD509" i="68"/>
  <c r="Z267" i="68"/>
  <c r="Z269" i="68" s="1"/>
  <c r="Z178" i="68"/>
  <c r="R297" i="68"/>
  <c r="R299" i="68" s="1"/>
  <c r="R208" i="68"/>
  <c r="T606" i="68"/>
  <c r="T608" i="68" s="1"/>
  <c r="T517" i="68"/>
  <c r="S879" i="68"/>
  <c r="S881" i="68" s="1"/>
  <c r="S790" i="68"/>
  <c r="K393" i="68"/>
  <c r="K482" i="68"/>
  <c r="N252" i="68"/>
  <c r="N254" i="68" s="1"/>
  <c r="N163" i="68"/>
  <c r="I258" i="68"/>
  <c r="I260" i="68" s="1"/>
  <c r="I169" i="68"/>
  <c r="AD873" i="68"/>
  <c r="AD875" i="68" s="1"/>
  <c r="AD784" i="68"/>
  <c r="X720" i="68"/>
  <c r="X809" i="68"/>
  <c r="S252" i="68"/>
  <c r="S254" i="68" s="1"/>
  <c r="S163" i="68"/>
  <c r="T417" i="68"/>
  <c r="T506" i="68"/>
  <c r="I832" i="68"/>
  <c r="I921" i="68"/>
  <c r="I923" i="68" s="1"/>
  <c r="AF864" i="68"/>
  <c r="AF866" i="68" s="1"/>
  <c r="AF775" i="68"/>
  <c r="AG909" i="68"/>
  <c r="AG911" i="68" s="1"/>
  <c r="AG820" i="68"/>
  <c r="AG597" i="68"/>
  <c r="AG599" i="68" s="1"/>
  <c r="AG508" i="68"/>
  <c r="T753" i="68"/>
  <c r="T843" i="68"/>
  <c r="T934" i="68" s="1"/>
  <c r="AB420" i="68"/>
  <c r="AB509" i="68"/>
  <c r="Z612" i="68"/>
  <c r="Z614" i="68" s="1"/>
  <c r="Z523" i="68"/>
  <c r="X294" i="68"/>
  <c r="X296" i="68" s="1"/>
  <c r="X205" i="68"/>
  <c r="P249" i="68"/>
  <c r="P251" i="68" s="1"/>
  <c r="P160" i="68"/>
  <c r="V750" i="68"/>
  <c r="V840" i="68"/>
  <c r="V931" i="68" s="1"/>
  <c r="P511" i="68"/>
  <c r="P600" i="68"/>
  <c r="P602" i="68" s="1"/>
  <c r="AD753" i="68"/>
  <c r="AD842" i="68"/>
  <c r="Z793" i="68"/>
  <c r="Z882" i="68"/>
  <c r="Z884" i="68" s="1"/>
  <c r="J490" i="68"/>
  <c r="J579" i="68"/>
  <c r="J581" i="68" s="1"/>
  <c r="R850" i="68"/>
  <c r="W297" i="68"/>
  <c r="W299" i="68" s="1"/>
  <c r="W208" i="68"/>
  <c r="R375" i="68"/>
  <c r="R464" i="68"/>
  <c r="AE594" i="68"/>
  <c r="AE596" i="68" s="1"/>
  <c r="AE505" i="68"/>
  <c r="AC891" i="68"/>
  <c r="AC893" i="68" s="1"/>
  <c r="AC802" i="68"/>
  <c r="U793" i="68"/>
  <c r="U882" i="68"/>
  <c r="U884" i="68" s="1"/>
  <c r="K873" i="68"/>
  <c r="K875" i="68" s="1"/>
  <c r="K784" i="68"/>
  <c r="AH252" i="68"/>
  <c r="AH254" i="68" s="1"/>
  <c r="AH163" i="68"/>
  <c r="N936" i="68"/>
  <c r="N938" i="68" s="1"/>
  <c r="N847" i="68"/>
  <c r="X585" i="68"/>
  <c r="X587" i="68" s="1"/>
  <c r="X496" i="68"/>
  <c r="K921" i="68"/>
  <c r="K923" i="68" s="1"/>
  <c r="K832" i="68"/>
  <c r="Y279" i="68"/>
  <c r="Y281" i="68" s="1"/>
  <c r="Y190" i="68"/>
  <c r="R570" i="68"/>
  <c r="R572" i="68" s="1"/>
  <c r="R481" i="68"/>
  <c r="U318" i="68"/>
  <c r="U320" i="68" s="1"/>
  <c r="U229" i="68"/>
  <c r="AD741" i="68"/>
  <c r="AD830" i="68"/>
  <c r="AC856" i="68"/>
  <c r="AC945" i="68"/>
  <c r="AC947" i="68" s="1"/>
  <c r="R762" i="68"/>
  <c r="R851" i="68"/>
  <c r="M291" i="68"/>
  <c r="M293" i="68" s="1"/>
  <c r="M202" i="68"/>
  <c r="W279" i="68"/>
  <c r="W281" i="68" s="1"/>
  <c r="W190" i="68"/>
  <c r="L864" i="68"/>
  <c r="L866" i="68" s="1"/>
  <c r="L775" i="68"/>
  <c r="N297" i="68"/>
  <c r="N299" i="68" s="1"/>
  <c r="N208" i="68"/>
  <c r="T312" i="68"/>
  <c r="T314" i="68" s="1"/>
  <c r="T223" i="68"/>
  <c r="O612" i="68"/>
  <c r="O614" i="68" s="1"/>
  <c r="O523" i="68"/>
  <c r="I450" i="68"/>
  <c r="I539" i="68"/>
  <c r="S408" i="68"/>
  <c r="S497" i="68"/>
  <c r="AF285" i="68"/>
  <c r="AF287" i="68" s="1"/>
  <c r="AF196" i="68"/>
  <c r="Z381" i="68"/>
  <c r="Z470" i="68"/>
  <c r="J291" i="68"/>
  <c r="J293" i="68" s="1"/>
  <c r="J202" i="68"/>
  <c r="AE915" i="68"/>
  <c r="AE917" i="68" s="1"/>
  <c r="AE826" i="68"/>
  <c r="V747" i="68"/>
  <c r="V837" i="68"/>
  <c r="V928" i="68" s="1"/>
  <c r="AF390" i="68"/>
  <c r="AF479" i="68"/>
  <c r="AB912" i="68"/>
  <c r="AB914" i="68" s="1"/>
  <c r="AB823" i="68"/>
  <c r="AF747" i="68"/>
  <c r="AF836" i="68"/>
  <c r="AA405" i="68"/>
  <c r="AA494" i="68"/>
  <c r="N420" i="68"/>
  <c r="N509" i="68"/>
  <c r="J621" i="68"/>
  <c r="J623" i="68" s="1"/>
  <c r="J532" i="68"/>
  <c r="L891" i="68"/>
  <c r="L893" i="68" s="1"/>
  <c r="L802" i="68"/>
  <c r="AD279" i="68"/>
  <c r="AD281" i="68" s="1"/>
  <c r="AD190" i="68"/>
  <c r="AG420" i="68"/>
  <c r="AG509" i="68"/>
  <c r="O912" i="68"/>
  <c r="O914" i="68" s="1"/>
  <c r="O823" i="68"/>
  <c r="M714" i="68"/>
  <c r="M803" i="68"/>
  <c r="S558" i="68"/>
  <c r="S560" i="68" s="1"/>
  <c r="S469" i="68"/>
  <c r="Q702" i="68"/>
  <c r="Q791" i="68"/>
  <c r="O864" i="68"/>
  <c r="O866" i="68" s="1"/>
  <c r="O775" i="68"/>
  <c r="Z309" i="68"/>
  <c r="Z311" i="68" s="1"/>
  <c r="Z220" i="68"/>
  <c r="U570" i="68"/>
  <c r="U572" i="68" s="1"/>
  <c r="U481" i="68"/>
  <c r="AE759" i="68"/>
  <c r="AE848" i="68"/>
  <c r="AF508" i="68"/>
  <c r="AF597" i="68"/>
  <c r="AF599" i="68" s="1"/>
  <c r="X802" i="68"/>
  <c r="X891" i="68"/>
  <c r="X893" i="68" s="1"/>
  <c r="Y676" i="68"/>
  <c r="Y679" i="68"/>
  <c r="Y680" i="68"/>
  <c r="Y771" i="68" s="1"/>
  <c r="Y862" i="68" s="1"/>
  <c r="W870" i="68"/>
  <c r="W872" i="68" s="1"/>
  <c r="W781" i="68"/>
  <c r="J450" i="68"/>
  <c r="J539" i="68"/>
  <c r="P523" i="68"/>
  <c r="P612" i="68"/>
  <c r="P614" i="68" s="1"/>
  <c r="J711" i="68"/>
  <c r="J800" i="68"/>
  <c r="R429" i="68"/>
  <c r="R518" i="68"/>
  <c r="L499" i="68"/>
  <c r="L588" i="68"/>
  <c r="L590" i="68" s="1"/>
  <c r="X381" i="68"/>
  <c r="X470" i="68"/>
  <c r="O817" i="68"/>
  <c r="O906" i="68"/>
  <c r="O908" i="68" s="1"/>
  <c r="T870" i="68"/>
  <c r="T872" i="68" s="1"/>
  <c r="T781" i="68"/>
  <c r="AG775" i="68"/>
  <c r="AG864" i="68"/>
  <c r="AG866" i="68" s="1"/>
  <c r="AF897" i="68"/>
  <c r="AF899" i="68" s="1"/>
  <c r="AF808" i="68"/>
  <c r="O606" i="68"/>
  <c r="O608" i="68" s="1"/>
  <c r="O517" i="68"/>
  <c r="K888" i="68"/>
  <c r="K890" i="68" s="1"/>
  <c r="K799" i="68"/>
  <c r="U249" i="68"/>
  <c r="U251" i="68" s="1"/>
  <c r="U160" i="68"/>
  <c r="AD447" i="68"/>
  <c r="AD536" i="68"/>
  <c r="AC702" i="68"/>
  <c r="AC791" i="68"/>
  <c r="Q729" i="68"/>
  <c r="Q818" i="68"/>
  <c r="O876" i="68"/>
  <c r="O878" i="68" s="1"/>
  <c r="O787" i="68"/>
  <c r="U744" i="68"/>
  <c r="U833" i="68"/>
  <c r="X708" i="68"/>
  <c r="X797" i="68"/>
  <c r="O832" i="68"/>
  <c r="O921" i="68"/>
  <c r="O923" i="68" s="1"/>
  <c r="P811" i="68"/>
  <c r="P900" i="68"/>
  <c r="P902" i="68" s="1"/>
  <c r="AC294" i="68"/>
  <c r="AC296" i="68" s="1"/>
  <c r="AC205" i="68"/>
  <c r="AD472" i="68"/>
  <c r="AD561" i="68"/>
  <c r="AD563" i="68" s="1"/>
  <c r="I517" i="68"/>
  <c r="I606" i="68"/>
  <c r="I608" i="68" s="1"/>
  <c r="AF588" i="68"/>
  <c r="AF590" i="68" s="1"/>
  <c r="AF499" i="68"/>
  <c r="U867" i="68"/>
  <c r="U869" i="68" s="1"/>
  <c r="U778" i="68"/>
  <c r="R62" i="68"/>
  <c r="R153" i="68" s="1"/>
  <c r="R244" i="68" s="1"/>
  <c r="R61" i="68"/>
  <c r="R58" i="68"/>
  <c r="AE62" i="68"/>
  <c r="AE153" i="68" s="1"/>
  <c r="AE244" i="68" s="1"/>
  <c r="AE61" i="68"/>
  <c r="AE58" i="68"/>
  <c r="T453" i="68"/>
  <c r="T542" i="68"/>
  <c r="X408" i="68"/>
  <c r="X497" i="68"/>
  <c r="Q499" i="68"/>
  <c r="Q588" i="68"/>
  <c r="Q590" i="68" s="1"/>
  <c r="AH441" i="68"/>
  <c r="AH530" i="68"/>
  <c r="Q396" i="68"/>
  <c r="Q485" i="68"/>
  <c r="L258" i="68"/>
  <c r="L260" i="68" s="1"/>
  <c r="L169" i="68"/>
  <c r="O594" i="68"/>
  <c r="O596" i="68" s="1"/>
  <c r="O505" i="68"/>
  <c r="AB585" i="68"/>
  <c r="AB587" i="68" s="1"/>
  <c r="AB496" i="68"/>
  <c r="AD441" i="68"/>
  <c r="AD530" i="68"/>
  <c r="AB936" i="68"/>
  <c r="AB938" i="68" s="1"/>
  <c r="AB847" i="68"/>
  <c r="T475" i="68"/>
  <c r="T564" i="68"/>
  <c r="T566" i="68" s="1"/>
  <c r="I820" i="68"/>
  <c r="I909" i="68"/>
  <c r="I911" i="68" s="1"/>
  <c r="V612" i="68"/>
  <c r="V614" i="68" s="1"/>
  <c r="V523" i="68"/>
  <c r="AB726" i="68"/>
  <c r="AB815" i="68"/>
  <c r="T778" i="68"/>
  <c r="T867" i="68"/>
  <c r="T869" i="68" s="1"/>
  <c r="Y927" i="68"/>
  <c r="Y929" i="68" s="1"/>
  <c r="Y838" i="68"/>
  <c r="N927" i="68"/>
  <c r="N929" i="68" s="1"/>
  <c r="N838" i="68"/>
  <c r="R291" i="68"/>
  <c r="R293" i="68" s="1"/>
  <c r="R202" i="68"/>
  <c r="M799" i="68"/>
  <c r="M888" i="68"/>
  <c r="M890" i="68" s="1"/>
  <c r="O511" i="68"/>
  <c r="O600" i="68"/>
  <c r="O602" i="68" s="1"/>
  <c r="I594" i="68"/>
  <c r="I596" i="68" s="1"/>
  <c r="I505" i="68"/>
  <c r="K936" i="68"/>
  <c r="K938" i="68" s="1"/>
  <c r="K847" i="68"/>
  <c r="J778" i="68"/>
  <c r="J867" i="68"/>
  <c r="J869" i="68" s="1"/>
  <c r="J633" i="68"/>
  <c r="J635" i="68" s="1"/>
  <c r="J544" i="68"/>
  <c r="L561" i="68"/>
  <c r="L563" i="68" s="1"/>
  <c r="L472" i="68"/>
  <c r="AB561" i="68"/>
  <c r="AB563" i="68" s="1"/>
  <c r="AB472" i="68"/>
  <c r="N264" i="68"/>
  <c r="N266" i="68" s="1"/>
  <c r="N175" i="68"/>
  <c r="AB930" i="68"/>
  <c r="AB932" i="68" s="1"/>
  <c r="AB841" i="68"/>
  <c r="O435" i="68"/>
  <c r="O524" i="68"/>
  <c r="X781" i="68"/>
  <c r="X870" i="68"/>
  <c r="X872" i="68" s="1"/>
  <c r="X438" i="68"/>
  <c r="X527" i="68"/>
  <c r="I793" i="68"/>
  <c r="I882" i="68"/>
  <c r="I884" i="68" s="1"/>
  <c r="T750" i="68"/>
  <c r="T839" i="68"/>
  <c r="K381" i="68"/>
  <c r="K470" i="68"/>
  <c r="N375" i="68"/>
  <c r="N464" i="68"/>
  <c r="V744" i="68"/>
  <c r="V833" i="68"/>
  <c r="O918" i="68"/>
  <c r="S399" i="68"/>
  <c r="S488" i="68"/>
  <c r="P258" i="68"/>
  <c r="P260" i="68" s="1"/>
  <c r="P169" i="68"/>
  <c r="P481" i="68"/>
  <c r="P570" i="68"/>
  <c r="P572" i="68" s="1"/>
  <c r="AA294" i="68"/>
  <c r="AA296" i="68" s="1"/>
  <c r="AA205" i="68"/>
  <c r="L897" i="68"/>
  <c r="L899" i="68" s="1"/>
  <c r="L808" i="68"/>
  <c r="Y249" i="68"/>
  <c r="Y251" i="68" s="1"/>
  <c r="Y160" i="68"/>
  <c r="AB679" i="68"/>
  <c r="AB680" i="68"/>
  <c r="AB771" i="68" s="1"/>
  <c r="AB862" i="68" s="1"/>
  <c r="AB676" i="68"/>
  <c r="T456" i="68"/>
  <c r="T545" i="68"/>
  <c r="AC636" i="68"/>
  <c r="Z945" i="68"/>
  <c r="AD620" i="68"/>
  <c r="Y781" i="68"/>
  <c r="Y870" i="68"/>
  <c r="Y872" i="68" s="1"/>
  <c r="AE318" i="68"/>
  <c r="AE320" i="68" s="1"/>
  <c r="AE229" i="68"/>
  <c r="M711" i="68"/>
  <c r="M800" i="68"/>
  <c r="I561" i="68"/>
  <c r="I563" i="68" s="1"/>
  <c r="I472" i="68"/>
  <c r="J538" i="68"/>
  <c r="J606" i="68"/>
  <c r="J608" i="68" s="1"/>
  <c r="J517" i="68"/>
  <c r="M297" i="68"/>
  <c r="M299" i="68" s="1"/>
  <c r="M208" i="68"/>
  <c r="AC609" i="68"/>
  <c r="AC611" i="68" s="1"/>
  <c r="AC520" i="68"/>
  <c r="S924" i="68"/>
  <c r="S926" i="68" s="1"/>
  <c r="S835" i="68"/>
  <c r="J270" i="68"/>
  <c r="J272" i="68" s="1"/>
  <c r="J181" i="68"/>
  <c r="Q714" i="68"/>
  <c r="Q803" i="68"/>
  <c r="AC484" i="68"/>
  <c r="AC573" i="68"/>
  <c r="AC575" i="68" s="1"/>
  <c r="J417" i="68"/>
  <c r="J506" i="68"/>
  <c r="Z441" i="68"/>
  <c r="Z530" i="68"/>
  <c r="AE894" i="68"/>
  <c r="AE896" i="68" s="1"/>
  <c r="AE805" i="68"/>
  <c r="AA402" i="68"/>
  <c r="AA491" i="68"/>
  <c r="AH687" i="68"/>
  <c r="AH776" i="68"/>
  <c r="Y606" i="68"/>
  <c r="Y608" i="68" s="1"/>
  <c r="Y517" i="68"/>
  <c r="S321" i="68"/>
  <c r="S323" i="68" s="1"/>
  <c r="S232" i="68"/>
  <c r="P879" i="68"/>
  <c r="P881" i="68" s="1"/>
  <c r="P790" i="68"/>
  <c r="X723" i="68"/>
  <c r="X812" i="68"/>
  <c r="AD62" i="68"/>
  <c r="AD153" i="68" s="1"/>
  <c r="AD244" i="68" s="1"/>
  <c r="AD61" i="68"/>
  <c r="AD58" i="68"/>
  <c r="Y466" i="68"/>
  <c r="Y555" i="68"/>
  <c r="Y557" i="68" s="1"/>
  <c r="O255" i="68"/>
  <c r="O257" i="68" s="1"/>
  <c r="O166" i="68"/>
  <c r="W638" i="68"/>
  <c r="N630" i="68"/>
  <c r="N632" i="68" s="1"/>
  <c r="N541" i="68"/>
  <c r="N223" i="68"/>
  <c r="L915" i="68"/>
  <c r="L917" i="68" s="1"/>
  <c r="L826" i="68"/>
  <c r="V300" i="68"/>
  <c r="V302" i="68" s="1"/>
  <c r="V211" i="68"/>
  <c r="AC315" i="68"/>
  <c r="AC317" i="68" s="1"/>
  <c r="AC226" i="68"/>
  <c r="R585" i="68"/>
  <c r="R587" i="68" s="1"/>
  <c r="R496" i="68"/>
  <c r="R561" i="68"/>
  <c r="R563" i="68" s="1"/>
  <c r="R472" i="68"/>
  <c r="J609" i="68"/>
  <c r="J611" i="68" s="1"/>
  <c r="J520" i="68"/>
  <c r="V547" i="68"/>
  <c r="L318" i="68"/>
  <c r="L320" i="68" s="1"/>
  <c r="L229" i="68"/>
  <c r="M585" i="68"/>
  <c r="M587" i="68" s="1"/>
  <c r="M496" i="68"/>
  <c r="AF906" i="68"/>
  <c r="AF908" i="68" s="1"/>
  <c r="AF817" i="68"/>
  <c r="K603" i="68"/>
  <c r="K605" i="68" s="1"/>
  <c r="K514" i="68"/>
  <c r="AG844" i="68"/>
  <c r="AG933" i="68"/>
  <c r="AG935" i="68" s="1"/>
  <c r="I499" i="68"/>
  <c r="I588" i="68"/>
  <c r="I590" i="68" s="1"/>
  <c r="J738" i="68"/>
  <c r="J827" i="68"/>
  <c r="P909" i="68"/>
  <c r="P911" i="68" s="1"/>
  <c r="P820" i="68"/>
  <c r="AH618" i="68"/>
  <c r="AH620" i="68" s="1"/>
  <c r="AH529" i="68"/>
  <c r="N370" i="68"/>
  <c r="N371" i="68"/>
  <c r="N462" i="68" s="1"/>
  <c r="N553" i="68" s="1"/>
  <c r="O784" i="68"/>
  <c r="O873" i="68"/>
  <c r="O875" i="68" s="1"/>
  <c r="K496" i="68"/>
  <c r="K585" i="68"/>
  <c r="K587" i="68" s="1"/>
  <c r="AF690" i="68"/>
  <c r="AF779" i="68"/>
  <c r="J679" i="68"/>
  <c r="J680" i="68"/>
  <c r="J771" i="68" s="1"/>
  <c r="J862" i="68" s="1"/>
  <c r="J676" i="68"/>
  <c r="AA399" i="68"/>
  <c r="AA488" i="68"/>
  <c r="AA867" i="68"/>
  <c r="AA869" i="68" s="1"/>
  <c r="AA778" i="68"/>
  <c r="P535" i="68"/>
  <c r="P624" i="68"/>
  <c r="P626" i="68" s="1"/>
  <c r="L591" i="68"/>
  <c r="L593" i="68" s="1"/>
  <c r="L502" i="68"/>
  <c r="Q285" i="68"/>
  <c r="Q287" i="68" s="1"/>
  <c r="Q196" i="68"/>
  <c r="P502" i="68"/>
  <c r="U315" i="68"/>
  <c r="U317" i="68" s="1"/>
  <c r="U226" i="68"/>
  <c r="Q609" i="68"/>
  <c r="Q611" i="68" s="1"/>
  <c r="Q520" i="68"/>
  <c r="AF732" i="68"/>
  <c r="AF821" i="68"/>
  <c r="AH282" i="68"/>
  <c r="AH284" i="68" s="1"/>
  <c r="AH193" i="68"/>
  <c r="AA396" i="68"/>
  <c r="AA485" i="68"/>
  <c r="AE441" i="68"/>
  <c r="AE530" i="68"/>
  <c r="N823" i="68"/>
  <c r="N912" i="68"/>
  <c r="N914" i="68" s="1"/>
  <c r="O532" i="68"/>
  <c r="O621" i="68"/>
  <c r="O623" i="68" s="1"/>
  <c r="V870" i="68"/>
  <c r="V872" i="68" s="1"/>
  <c r="V781" i="68"/>
  <c r="AA945" i="68"/>
  <c r="AA947" i="68" s="1"/>
  <c r="AA856" i="68"/>
  <c r="Z690" i="68"/>
  <c r="Z779" i="68"/>
  <c r="P576" i="68"/>
  <c r="P578" i="68" s="1"/>
  <c r="P487" i="68"/>
  <c r="S279" i="68"/>
  <c r="S281" i="68" s="1"/>
  <c r="S190" i="68"/>
  <c r="L867" i="68"/>
  <c r="L869" i="68" s="1"/>
  <c r="L778" i="68"/>
  <c r="AB555" i="68"/>
  <c r="AB557" i="68" s="1"/>
  <c r="AB466" i="68"/>
  <c r="I684" i="68"/>
  <c r="I774" i="68"/>
  <c r="I865" i="68" s="1"/>
  <c r="S309" i="68"/>
  <c r="S311" i="68" s="1"/>
  <c r="S220" i="68"/>
  <c r="AE588" i="68"/>
  <c r="AE590" i="68" s="1"/>
  <c r="AE499" i="68"/>
  <c r="N808" i="68"/>
  <c r="N897" i="68"/>
  <c r="N899" i="68" s="1"/>
  <c r="L429" i="68"/>
  <c r="L518" i="68"/>
  <c r="Y696" i="68"/>
  <c r="Y785" i="68"/>
  <c r="Q496" i="68"/>
  <c r="Q585" i="68"/>
  <c r="Q587" i="68" s="1"/>
  <c r="W750" i="68"/>
  <c r="W839" i="68"/>
  <c r="AF606" i="68"/>
  <c r="AF608" i="68" s="1"/>
  <c r="AF517" i="68"/>
  <c r="AB762" i="68"/>
  <c r="AB852" i="68"/>
  <c r="AB943" i="68" s="1"/>
  <c r="O945" i="68"/>
  <c r="AH564" i="68"/>
  <c r="AH566" i="68" s="1"/>
  <c r="AH475" i="68"/>
  <c r="Q945" i="68"/>
  <c r="Q947" i="68" s="1"/>
  <c r="Q856" i="68"/>
  <c r="N582" i="68"/>
  <c r="N584" i="68" s="1"/>
  <c r="N493" i="68"/>
  <c r="AC558" i="68"/>
  <c r="AC560" i="68" s="1"/>
  <c r="AC469" i="68"/>
  <c r="AD876" i="68"/>
  <c r="AD878" i="68" s="1"/>
  <c r="AD787" i="68"/>
  <c r="AA261" i="68"/>
  <c r="AA263" i="68" s="1"/>
  <c r="AA172" i="68"/>
  <c r="W915" i="68"/>
  <c r="W917" i="68" s="1"/>
  <c r="W826" i="68"/>
  <c r="R633" i="68"/>
  <c r="U624" i="68"/>
  <c r="J618" i="68"/>
  <c r="O285" i="68"/>
  <c r="O287" i="68" s="1"/>
  <c r="O196" i="68"/>
  <c r="P784" i="68"/>
  <c r="P873" i="68"/>
  <c r="P875" i="68" s="1"/>
  <c r="S288" i="68"/>
  <c r="S290" i="68" s="1"/>
  <c r="S199" i="68"/>
  <c r="S720" i="68"/>
  <c r="S809" i="68"/>
  <c r="T526" i="68"/>
  <c r="T615" i="68"/>
  <c r="T617" i="68" s="1"/>
  <c r="J873" i="68"/>
  <c r="J875" i="68" s="1"/>
  <c r="J784" i="68"/>
  <c r="AG502" i="68"/>
  <c r="AG591" i="68"/>
  <c r="AG593" i="68" s="1"/>
  <c r="M303" i="68"/>
  <c r="M305" i="68" s="1"/>
  <c r="M214" i="68"/>
  <c r="AG561" i="68"/>
  <c r="AG563" i="68" s="1"/>
  <c r="AG472" i="68"/>
  <c r="K876" i="68"/>
  <c r="K878" i="68" s="1"/>
  <c r="K787" i="68"/>
  <c r="AD432" i="68"/>
  <c r="AD521" i="68"/>
  <c r="AB390" i="68"/>
  <c r="AB479" i="68"/>
  <c r="X784" i="68"/>
  <c r="X873" i="68"/>
  <c r="X875" i="68" s="1"/>
  <c r="U579" i="68"/>
  <c r="U581" i="68" s="1"/>
  <c r="U490" i="68"/>
  <c r="J591" i="68"/>
  <c r="J593" i="68" s="1"/>
  <c r="J502" i="68"/>
  <c r="AE879" i="68"/>
  <c r="AE881" i="68" s="1"/>
  <c r="AE790" i="68"/>
  <c r="X864" i="68"/>
  <c r="X866" i="68" s="1"/>
  <c r="X775" i="68"/>
  <c r="W396" i="68"/>
  <c r="W485" i="68"/>
  <c r="AG765" i="68"/>
  <c r="AG854" i="68"/>
  <c r="AA680" i="68"/>
  <c r="AA771" i="68" s="1"/>
  <c r="AA862" i="68" s="1"/>
  <c r="AA679" i="68"/>
  <c r="AA676" i="68"/>
  <c r="Y627" i="68"/>
  <c r="Y629" i="68" s="1"/>
  <c r="Y538" i="68"/>
  <c r="O900" i="68"/>
  <c r="O902" i="68" s="1"/>
  <c r="O811" i="68"/>
  <c r="AA288" i="68"/>
  <c r="AA290" i="68" s="1"/>
  <c r="AA199" i="68"/>
  <c r="AA891" i="68"/>
  <c r="AA893" i="68" s="1"/>
  <c r="AA802" i="68"/>
  <c r="M414" i="68"/>
  <c r="M503" i="68"/>
  <c r="V802" i="68"/>
  <c r="V891" i="68"/>
  <c r="V893" i="68" s="1"/>
  <c r="I867" i="68"/>
  <c r="I869" i="68" s="1"/>
  <c r="I778" i="68"/>
  <c r="AB315" i="68"/>
  <c r="AB317" i="68" s="1"/>
  <c r="AB226" i="68"/>
  <c r="AG309" i="68"/>
  <c r="AG311" i="68" s="1"/>
  <c r="AG220" i="68"/>
  <c r="S450" i="68"/>
  <c r="S540" i="68"/>
  <c r="S631" i="68" s="1"/>
  <c r="M747" i="68"/>
  <c r="M836" i="68"/>
  <c r="Q838" i="68"/>
  <c r="Q927" i="68"/>
  <c r="Q929" i="68" s="1"/>
  <c r="S502" i="68"/>
  <c r="S591" i="68"/>
  <c r="S593" i="68" s="1"/>
  <c r="J229" i="68"/>
  <c r="I270" i="68"/>
  <c r="I272" i="68" s="1"/>
  <c r="I181" i="68"/>
  <c r="T891" i="68"/>
  <c r="T893" i="68" s="1"/>
  <c r="T802" i="68"/>
  <c r="P921" i="68"/>
  <c r="P923" i="68" s="1"/>
  <c r="P832" i="68"/>
  <c r="K838" i="68"/>
  <c r="K927" i="68"/>
  <c r="K929" i="68" s="1"/>
  <c r="W594" i="68"/>
  <c r="W596" i="68" s="1"/>
  <c r="W505" i="68"/>
  <c r="AC753" i="68"/>
  <c r="AC842" i="68"/>
  <c r="M873" i="68"/>
  <c r="M875" i="68" s="1"/>
  <c r="M784" i="68"/>
  <c r="AF447" i="68"/>
  <c r="AF536" i="68"/>
  <c r="Q918" i="68"/>
  <c r="Q920" i="68" s="1"/>
  <c r="Q829" i="68"/>
  <c r="L924" i="68"/>
  <c r="L926" i="68" s="1"/>
  <c r="L835" i="68"/>
  <c r="W324" i="68"/>
  <c r="W326" i="68" s="1"/>
  <c r="W235" i="68"/>
  <c r="J249" i="68"/>
  <c r="J251" i="68" s="1"/>
  <c r="J160" i="68"/>
  <c r="P567" i="68"/>
  <c r="P569" i="68" s="1"/>
  <c r="P478" i="68"/>
  <c r="Y312" i="68"/>
  <c r="Y314" i="68" s="1"/>
  <c r="Y223" i="68"/>
  <c r="L823" i="68"/>
  <c r="L912" i="68"/>
  <c r="L914" i="68" s="1"/>
  <c r="L882" i="68"/>
  <c r="L884" i="68" s="1"/>
  <c r="L793" i="68"/>
  <c r="V708" i="68"/>
  <c r="V797" i="68"/>
  <c r="W606" i="68"/>
  <c r="W608" i="68" s="1"/>
  <c r="W517" i="68"/>
  <c r="K246" i="68"/>
  <c r="K248" i="68" s="1"/>
  <c r="K157" i="68"/>
  <c r="AF511" i="68"/>
  <c r="AF600" i="68"/>
  <c r="AF602" i="68" s="1"/>
  <c r="AE784" i="68"/>
  <c r="AE873" i="68"/>
  <c r="AE875" i="68" s="1"/>
  <c r="N321" i="68"/>
  <c r="N323" i="68" s="1"/>
  <c r="N232" i="68"/>
  <c r="AD496" i="68"/>
  <c r="AD585" i="68"/>
  <c r="AD587" i="68" s="1"/>
  <c r="T847" i="68"/>
  <c r="Z453" i="68"/>
  <c r="Z542" i="68"/>
  <c r="AD909" i="68"/>
  <c r="AD911" i="68" s="1"/>
  <c r="AD820" i="68"/>
  <c r="AB327" i="68"/>
  <c r="AB329" i="68" s="1"/>
  <c r="AB238" i="68"/>
  <c r="P441" i="68"/>
  <c r="P531" i="68"/>
  <c r="P622" i="68" s="1"/>
  <c r="N387" i="68"/>
  <c r="N476" i="68"/>
  <c r="Y261" i="68"/>
  <c r="Y263" i="68" s="1"/>
  <c r="Y172" i="68"/>
  <c r="AD321" i="68"/>
  <c r="AD323" i="68" s="1"/>
  <c r="AD232" i="68"/>
  <c r="M832" i="68"/>
  <c r="M921" i="68"/>
  <c r="M923" i="68" s="1"/>
  <c r="I927" i="68"/>
  <c r="I929" i="68" s="1"/>
  <c r="I838" i="68"/>
  <c r="Z514" i="68"/>
  <c r="Z603" i="68"/>
  <c r="Z605" i="68" s="1"/>
  <c r="Z921" i="68"/>
  <c r="Z923" i="68" s="1"/>
  <c r="Z832" i="68"/>
  <c r="AD918" i="68"/>
  <c r="AD920" i="68" s="1"/>
  <c r="AD829" i="68"/>
  <c r="AD309" i="68"/>
  <c r="AD311" i="68" s="1"/>
  <c r="AD220" i="68"/>
  <c r="P936" i="68"/>
  <c r="P938" i="68" s="1"/>
  <c r="P847" i="68"/>
  <c r="Y558" i="68"/>
  <c r="Y560" i="68" s="1"/>
  <c r="Y469" i="68"/>
  <c r="Q939" i="68"/>
  <c r="Q941" i="68" s="1"/>
  <c r="Q850" i="68"/>
  <c r="T933" i="68"/>
  <c r="W744" i="68"/>
  <c r="W833" i="68"/>
  <c r="V930" i="68"/>
  <c r="X390" i="68"/>
  <c r="X479" i="68"/>
  <c r="T294" i="68"/>
  <c r="T296" i="68" s="1"/>
  <c r="T205" i="68"/>
  <c r="I585" i="68"/>
  <c r="I587" i="68" s="1"/>
  <c r="I496" i="68"/>
  <c r="Z888" i="68"/>
  <c r="Z890" i="68" s="1"/>
  <c r="Z799" i="68"/>
  <c r="U371" i="68"/>
  <c r="U462" i="68" s="1"/>
  <c r="U553" i="68" s="1"/>
  <c r="U370" i="68"/>
  <c r="U367" i="68"/>
  <c r="J699" i="68"/>
  <c r="J788" i="68"/>
  <c r="K930" i="68"/>
  <c r="K932" i="68" s="1"/>
  <c r="K841" i="68"/>
  <c r="L741" i="68"/>
  <c r="L830" i="68"/>
  <c r="V720" i="68"/>
  <c r="V809" i="68"/>
  <c r="V927" i="68"/>
  <c r="V876" i="68"/>
  <c r="V878" i="68" s="1"/>
  <c r="V787" i="68"/>
  <c r="M679" i="68"/>
  <c r="M680" i="68"/>
  <c r="M771" i="68" s="1"/>
  <c r="M862" i="68" s="1"/>
  <c r="M676" i="68"/>
  <c r="Z705" i="68"/>
  <c r="Z794" i="68"/>
  <c r="J264" i="68"/>
  <c r="J266" i="68" s="1"/>
  <c r="J175" i="68"/>
  <c r="K945" i="68"/>
  <c r="K947" i="68" s="1"/>
  <c r="K856" i="68"/>
  <c r="AG526" i="68"/>
  <c r="AG615" i="68"/>
  <c r="AG617" i="68" s="1"/>
  <c r="N417" i="68"/>
  <c r="N506" i="68"/>
  <c r="N876" i="68"/>
  <c r="N878" i="68" s="1"/>
  <c r="N787" i="68"/>
  <c r="S903" i="68"/>
  <c r="S905" i="68" s="1"/>
  <c r="S814" i="68"/>
  <c r="U300" i="68"/>
  <c r="U302" i="68" s="1"/>
  <c r="U211" i="68"/>
  <c r="AD276" i="68"/>
  <c r="AD278" i="68" s="1"/>
  <c r="AD187" i="68"/>
  <c r="AE680" i="68"/>
  <c r="AE771" i="68" s="1"/>
  <c r="AE862" i="68" s="1"/>
  <c r="AE679" i="68"/>
  <c r="AE676" i="68"/>
  <c r="AF591" i="68"/>
  <c r="AF593" i="68" s="1"/>
  <c r="AF502" i="68"/>
  <c r="AE756" i="68"/>
  <c r="AE845" i="68"/>
  <c r="X735" i="68"/>
  <c r="X824" i="68"/>
  <c r="U838" i="68"/>
  <c r="U927" i="68"/>
  <c r="U929" i="68" s="1"/>
  <c r="AF414" i="68"/>
  <c r="AF503" i="68"/>
  <c r="Q291" i="68"/>
  <c r="Q293" i="68" s="1"/>
  <c r="Q202" i="68"/>
  <c r="M823" i="68"/>
  <c r="M912" i="68"/>
  <c r="M914" i="68" s="1"/>
  <c r="AG318" i="68"/>
  <c r="AG320" i="68" s="1"/>
  <c r="AG229" i="68"/>
  <c r="AC390" i="68"/>
  <c r="AC479" i="68"/>
  <c r="AH805" i="68"/>
  <c r="AH894" i="68"/>
  <c r="AH896" i="68" s="1"/>
  <c r="X838" i="68"/>
  <c r="X927" i="68"/>
  <c r="X929" i="68" s="1"/>
  <c r="AD558" i="68"/>
  <c r="AD560" i="68" s="1"/>
  <c r="AD469" i="68"/>
  <c r="AG741" i="68"/>
  <c r="AG830" i="68"/>
  <c r="I567" i="68"/>
  <c r="I569" i="68" s="1"/>
  <c r="I478" i="68"/>
  <c r="O927" i="68"/>
  <c r="O929" i="68" s="1"/>
  <c r="O838" i="68"/>
  <c r="AF894" i="68"/>
  <c r="AF896" i="68" s="1"/>
  <c r="AF805" i="68"/>
  <c r="O309" i="68"/>
  <c r="O311" i="68" s="1"/>
  <c r="O220" i="68"/>
  <c r="M814" i="68"/>
  <c r="M903" i="68"/>
  <c r="M905" i="68" s="1"/>
  <c r="AE429" i="68"/>
  <c r="AE518" i="68"/>
  <c r="R930" i="68"/>
  <c r="R932" i="68" s="1"/>
  <c r="R841" i="68"/>
  <c r="Z393" i="68"/>
  <c r="Z482" i="68"/>
  <c r="AC897" i="68"/>
  <c r="AC899" i="68" s="1"/>
  <c r="AC808" i="68"/>
  <c r="M906" i="68"/>
  <c r="M908" i="68" s="1"/>
  <c r="M817" i="68"/>
  <c r="W444" i="68"/>
  <c r="W533" i="68"/>
  <c r="R927" i="68"/>
  <c r="R929" i="68" s="1"/>
  <c r="R838" i="68"/>
  <c r="V941" i="68"/>
  <c r="J582" i="68"/>
  <c r="J584" i="68" s="1"/>
  <c r="J493" i="68"/>
  <c r="AB696" i="68"/>
  <c r="AB785" i="68"/>
  <c r="AH444" i="68"/>
  <c r="AH533" i="68"/>
  <c r="AC756" i="68"/>
  <c r="AC845" i="68"/>
  <c r="Y453" i="68"/>
  <c r="Y542" i="68"/>
  <c r="K315" i="68"/>
  <c r="K317" i="68" s="1"/>
  <c r="K226" i="68"/>
  <c r="O744" i="68"/>
  <c r="O833" i="68"/>
  <c r="Q58" i="68"/>
  <c r="Q62" i="68"/>
  <c r="Q153" i="68" s="1"/>
  <c r="Q244" i="68" s="1"/>
  <c r="Q61" i="68"/>
  <c r="AG450" i="68"/>
  <c r="AG539" i="68"/>
  <c r="N744" i="68"/>
  <c r="N833" i="68"/>
  <c r="V315" i="68"/>
  <c r="V317" i="68" s="1"/>
  <c r="V226" i="68"/>
  <c r="R894" i="68"/>
  <c r="R896" i="68" s="1"/>
  <c r="R805" i="68"/>
  <c r="K606" i="68"/>
  <c r="K608" i="68" s="1"/>
  <c r="K517" i="68"/>
  <c r="P735" i="68"/>
  <c r="P824" i="68"/>
  <c r="Z408" i="68"/>
  <c r="Z497" i="68"/>
  <c r="P597" i="68"/>
  <c r="P599" i="68" s="1"/>
  <c r="AC927" i="68"/>
  <c r="AC929" i="68" s="1"/>
  <c r="AC838" i="68"/>
  <c r="AA456" i="68"/>
  <c r="AA545" i="68"/>
  <c r="AG942" i="68"/>
  <c r="AG944" i="68" s="1"/>
  <c r="AG853" i="68"/>
  <c r="Z942" i="68"/>
  <c r="Z944" i="68" s="1"/>
  <c r="Z853" i="68"/>
  <c r="AH453" i="68"/>
  <c r="AH542" i="68"/>
  <c r="U711" i="68"/>
  <c r="U800" i="68"/>
  <c r="M249" i="68"/>
  <c r="M251" i="68" s="1"/>
  <c r="M160" i="68"/>
  <c r="V864" i="68"/>
  <c r="V866" i="68" s="1"/>
  <c r="V775" i="68"/>
  <c r="V633" i="68"/>
  <c r="V635" i="68" s="1"/>
  <c r="V544" i="68"/>
  <c r="Z279" i="68"/>
  <c r="Z281" i="68" s="1"/>
  <c r="Z190" i="68"/>
  <c r="L297" i="68"/>
  <c r="L299" i="68" s="1"/>
  <c r="L208" i="68"/>
  <c r="P680" i="68"/>
  <c r="P771" i="68" s="1"/>
  <c r="P862" i="68" s="1"/>
  <c r="P679" i="68"/>
  <c r="P676" i="68"/>
  <c r="S375" i="68"/>
  <c r="S464" i="68"/>
  <c r="J870" i="68"/>
  <c r="J872" i="68" s="1"/>
  <c r="J781" i="68"/>
  <c r="V909" i="68"/>
  <c r="V911" i="68" s="1"/>
  <c r="V820" i="68"/>
  <c r="R447" i="68"/>
  <c r="R536" i="68"/>
  <c r="AF306" i="68"/>
  <c r="AF308" i="68" s="1"/>
  <c r="AF217" i="68"/>
  <c r="Z303" i="68"/>
  <c r="Z305" i="68" s="1"/>
  <c r="Z214" i="68"/>
  <c r="O891" i="68"/>
  <c r="O893" i="68" s="1"/>
  <c r="O802" i="68"/>
  <c r="N576" i="68"/>
  <c r="N578" i="68" s="1"/>
  <c r="N487" i="68"/>
  <c r="O303" i="68"/>
  <c r="O305" i="68" s="1"/>
  <c r="O214" i="68"/>
  <c r="J753" i="68"/>
  <c r="J842" i="68"/>
  <c r="Q705" i="68"/>
  <c r="Q794" i="68"/>
  <c r="AH735" i="68"/>
  <c r="AH824" i="68"/>
  <c r="K396" i="68"/>
  <c r="K485" i="68"/>
  <c r="Y711" i="68"/>
  <c r="Y800" i="68"/>
  <c r="R735" i="68"/>
  <c r="R824" i="68"/>
  <c r="K444" i="68"/>
  <c r="K533" i="68"/>
  <c r="Z720" i="68"/>
  <c r="Z809" i="68"/>
  <c r="K627" i="68"/>
  <c r="K629" i="68" s="1"/>
  <c r="K538" i="68"/>
  <c r="AH327" i="68"/>
  <c r="AH329" i="68" s="1"/>
  <c r="AH238" i="68"/>
  <c r="V367" i="68"/>
  <c r="V371" i="68"/>
  <c r="V462" i="68" s="1"/>
  <c r="V553" i="68" s="1"/>
  <c r="V370" i="68"/>
  <c r="T226" i="68"/>
  <c r="AA303" i="68"/>
  <c r="AA305" i="68" s="1"/>
  <c r="AA214" i="68"/>
  <c r="K450" i="68"/>
  <c r="K539" i="68"/>
  <c r="V555" i="68"/>
  <c r="V557" i="68" s="1"/>
  <c r="V466" i="68"/>
  <c r="AH873" i="68"/>
  <c r="AH875" i="68" s="1"/>
  <c r="AH784" i="68"/>
  <c r="AD705" i="68"/>
  <c r="AD794" i="68"/>
  <c r="J876" i="68"/>
  <c r="J878" i="68" s="1"/>
  <c r="J787" i="68"/>
  <c r="Z829" i="68"/>
  <c r="T820" i="68"/>
  <c r="T909" i="68"/>
  <c r="T911" i="68" s="1"/>
  <c r="K882" i="68"/>
  <c r="K884" i="68" s="1"/>
  <c r="K793" i="68"/>
  <c r="R567" i="68"/>
  <c r="R569" i="68" s="1"/>
  <c r="R478" i="68"/>
  <c r="M573" i="68"/>
  <c r="M575" i="68" s="1"/>
  <c r="M484" i="68"/>
  <c r="W582" i="68"/>
  <c r="W584" i="68" s="1"/>
  <c r="W493" i="68"/>
  <c r="AG891" i="68"/>
  <c r="AG893" i="68" s="1"/>
  <c r="AG802" i="68"/>
  <c r="AF472" i="68"/>
  <c r="AF561" i="68"/>
  <c r="AF563" i="68" s="1"/>
  <c r="AH936" i="68"/>
  <c r="AH938" i="68" s="1"/>
  <c r="AH847" i="68"/>
  <c r="AA912" i="68"/>
  <c r="AA914" i="68" s="1"/>
  <c r="AA823" i="68"/>
  <c r="Y309" i="68"/>
  <c r="Y311" i="68" s="1"/>
  <c r="Y220" i="68"/>
  <c r="AA897" i="68"/>
  <c r="AA899" i="68" s="1"/>
  <c r="AA808" i="68"/>
  <c r="Q636" i="68"/>
  <c r="Q638" i="68" s="1"/>
  <c r="Q547" i="68"/>
  <c r="S705" i="68"/>
  <c r="S794" i="68"/>
  <c r="Z429" i="68"/>
  <c r="Z518" i="68"/>
  <c r="J629" i="68"/>
  <c r="I811" i="68"/>
  <c r="I900" i="68"/>
  <c r="I902" i="68" s="1"/>
  <c r="L282" i="68"/>
  <c r="L284" i="68" s="1"/>
  <c r="L193" i="68"/>
  <c r="Q327" i="68"/>
  <c r="Q329" i="68" s="1"/>
  <c r="Q238" i="68"/>
  <c r="S258" i="68"/>
  <c r="S260" i="68" s="1"/>
  <c r="S169" i="68"/>
  <c r="K879" i="68"/>
  <c r="K881" i="68" s="1"/>
  <c r="K790" i="68"/>
  <c r="W547" i="68"/>
  <c r="N314" i="68"/>
  <c r="K435" i="68"/>
  <c r="K524" i="68"/>
  <c r="AG738" i="68"/>
  <c r="AG827" i="68"/>
  <c r="V638" i="68"/>
  <c r="K270" i="68"/>
  <c r="K272" i="68" s="1"/>
  <c r="K181" i="68"/>
  <c r="K753" i="68"/>
  <c r="K842" i="68"/>
  <c r="M853" i="68"/>
  <c r="M942" i="68"/>
  <c r="M944" i="68" s="1"/>
  <c r="Q621" i="68"/>
  <c r="Q623" i="68" s="1"/>
  <c r="Q532" i="68"/>
  <c r="O582" i="68"/>
  <c r="O584" i="68" s="1"/>
  <c r="O493" i="68"/>
  <c r="AD429" i="68"/>
  <c r="AD518" i="68"/>
  <c r="AC396" i="68"/>
  <c r="AC485" i="68"/>
  <c r="AD588" i="68"/>
  <c r="AD590" i="68" s="1"/>
  <c r="AD499" i="68"/>
  <c r="X615" i="68"/>
  <c r="X617" i="68" s="1"/>
  <c r="X526" i="68"/>
  <c r="Z444" i="68"/>
  <c r="Z533" i="68"/>
  <c r="P762" i="68"/>
  <c r="P851" i="68"/>
  <c r="Q279" i="68"/>
  <c r="Q281" i="68" s="1"/>
  <c r="Q190" i="68"/>
  <c r="L370" i="68"/>
  <c r="L371" i="68"/>
  <c r="L462" i="68" s="1"/>
  <c r="L553" i="68" s="1"/>
  <c r="L367" i="68"/>
  <c r="Y387" i="68"/>
  <c r="Y476" i="68"/>
  <c r="AH435" i="68"/>
  <c r="AH524" i="68"/>
  <c r="U726" i="68"/>
  <c r="U815" i="68"/>
  <c r="Q414" i="68"/>
  <c r="Q503" i="68"/>
  <c r="P529" i="68"/>
  <c r="P618" i="68"/>
  <c r="P620" i="68" s="1"/>
  <c r="P264" i="68"/>
  <c r="P266" i="68" s="1"/>
  <c r="P175" i="68"/>
  <c r="U420" i="68"/>
  <c r="U509" i="68"/>
  <c r="W705" i="68"/>
  <c r="W794" i="68"/>
  <c r="J939" i="68"/>
  <c r="J941" i="68" s="1"/>
  <c r="J850" i="68"/>
  <c r="AD306" i="68"/>
  <c r="AD308" i="68" s="1"/>
  <c r="AD217" i="68"/>
  <c r="J564" i="68"/>
  <c r="J566" i="68" s="1"/>
  <c r="J475" i="68"/>
  <c r="AC784" i="68"/>
  <c r="AC873" i="68"/>
  <c r="AC875" i="68" s="1"/>
  <c r="L423" i="68"/>
  <c r="L512" i="68"/>
  <c r="AG903" i="68"/>
  <c r="AG905" i="68" s="1"/>
  <c r="AG814" i="68"/>
  <c r="W408" i="68"/>
  <c r="W497" i="68"/>
  <c r="K609" i="68"/>
  <c r="K611" i="68" s="1"/>
  <c r="K520" i="68"/>
  <c r="AF371" i="68"/>
  <c r="AF462" i="68" s="1"/>
  <c r="AF553" i="68" s="1"/>
  <c r="AF370" i="68"/>
  <c r="AF367" i="68"/>
  <c r="N765" i="68"/>
  <c r="N854" i="68"/>
  <c r="O487" i="68"/>
  <c r="O576" i="68"/>
  <c r="O578" i="68" s="1"/>
  <c r="U573" i="68"/>
  <c r="U575" i="68" s="1"/>
  <c r="U484" i="68"/>
  <c r="W435" i="68"/>
  <c r="W524" i="68"/>
  <c r="AD879" i="68"/>
  <c r="AD881" i="68" s="1"/>
  <c r="AD790" i="68"/>
  <c r="R258" i="68"/>
  <c r="R260" i="68" s="1"/>
  <c r="R169" i="68"/>
  <c r="AB630" i="68"/>
  <c r="AB632" i="68" s="1"/>
  <c r="AB541" i="68"/>
  <c r="I726" i="68"/>
  <c r="I815" i="68"/>
  <c r="W741" i="68"/>
  <c r="W830" i="68"/>
  <c r="R532" i="68"/>
  <c r="R621" i="68"/>
  <c r="R623" i="68" s="1"/>
  <c r="R900" i="68"/>
  <c r="R902" i="68" s="1"/>
  <c r="R811" i="68"/>
  <c r="AE726" i="68"/>
  <c r="AE815" i="68"/>
  <c r="R426" i="68"/>
  <c r="R515" i="68"/>
  <c r="Q679" i="68"/>
  <c r="Q680" i="68"/>
  <c r="Q771" i="68" s="1"/>
  <c r="Q862" i="68" s="1"/>
  <c r="Q676" i="68"/>
  <c r="AG62" i="68"/>
  <c r="AG153" i="68" s="1"/>
  <c r="AG244" i="68" s="1"/>
  <c r="AG61" i="68"/>
  <c r="AG58" i="68"/>
  <c r="K897" i="68"/>
  <c r="K899" i="68" s="1"/>
  <c r="K808" i="68"/>
  <c r="K261" i="68"/>
  <c r="K263" i="68" s="1"/>
  <c r="K172" i="68"/>
  <c r="AA618" i="68"/>
  <c r="AA620" i="68" s="1"/>
  <c r="AA529" i="68"/>
  <c r="S456" i="68"/>
  <c r="S545" i="68"/>
  <c r="L378" i="68"/>
  <c r="L467" i="68"/>
  <c r="V312" i="68"/>
  <c r="V314" i="68" s="1"/>
  <c r="V223" i="68"/>
  <c r="O447" i="68"/>
  <c r="O536" i="68"/>
  <c r="S753" i="68"/>
  <c r="S842" i="68"/>
  <c r="O315" i="68"/>
  <c r="O317" i="68" s="1"/>
  <c r="O226" i="68"/>
  <c r="N885" i="68"/>
  <c r="N887" i="68" s="1"/>
  <c r="N796" i="68"/>
  <c r="K621" i="68"/>
  <c r="K623" i="68" s="1"/>
  <c r="K532" i="68"/>
  <c r="S517" i="68"/>
  <c r="S606" i="68"/>
  <c r="S608" i="68" s="1"/>
  <c r="U544" i="68"/>
  <c r="U633" i="68"/>
  <c r="U635" i="68" s="1"/>
  <c r="AH720" i="68"/>
  <c r="AH809" i="68"/>
  <c r="T297" i="68"/>
  <c r="T299" i="68" s="1"/>
  <c r="T208" i="68"/>
  <c r="O753" i="68"/>
  <c r="O842" i="68"/>
  <c r="S762" i="68"/>
  <c r="S851" i="68"/>
  <c r="N579" i="68"/>
  <c r="N581" i="68" s="1"/>
  <c r="N490" i="68"/>
  <c r="AC381" i="68"/>
  <c r="AC470" i="68"/>
  <c r="AC603" i="68"/>
  <c r="AC605" i="68" s="1"/>
  <c r="AC514" i="68"/>
  <c r="N915" i="68"/>
  <c r="N917" i="68" s="1"/>
  <c r="N826" i="68"/>
  <c r="AA408" i="68"/>
  <c r="AA497" i="68"/>
  <c r="AA429" i="68"/>
  <c r="AA518" i="68"/>
  <c r="AD255" i="68"/>
  <c r="AD257" i="68" s="1"/>
  <c r="AD166" i="68"/>
  <c r="O588" i="68"/>
  <c r="O590" i="68" s="1"/>
  <c r="O499" i="68"/>
  <c r="AC606" i="68"/>
  <c r="AC608" i="68" s="1"/>
  <c r="AC517" i="68"/>
  <c r="Q847" i="68"/>
  <c r="Q936" i="68"/>
  <c r="Q938" i="68" s="1"/>
  <c r="V387" i="68"/>
  <c r="V476" i="68"/>
  <c r="S630" i="68"/>
  <c r="J320" i="68"/>
  <c r="AG429" i="68"/>
  <c r="AG518" i="68"/>
  <c r="S402" i="68"/>
  <c r="S491" i="68"/>
  <c r="V426" i="68"/>
  <c r="V515" i="68"/>
  <c r="N741" i="68"/>
  <c r="N830" i="68"/>
  <c r="T567" i="68"/>
  <c r="T569" i="68" s="1"/>
  <c r="T478" i="68"/>
  <c r="J258" i="68"/>
  <c r="J260" i="68" s="1"/>
  <c r="J169" i="68"/>
  <c r="P687" i="68"/>
  <c r="P776" i="68"/>
  <c r="T618" i="68"/>
  <c r="T620" i="68" s="1"/>
  <c r="T529" i="68"/>
  <c r="AG702" i="68"/>
  <c r="AG791" i="68"/>
  <c r="X594" i="68"/>
  <c r="X596" i="68" s="1"/>
  <c r="X505" i="68"/>
  <c r="T938" i="68"/>
  <c r="P621" i="68"/>
  <c r="X285" i="68"/>
  <c r="X287" i="68" s="1"/>
  <c r="X196" i="68"/>
  <c r="L708" i="68"/>
  <c r="L797" i="68"/>
  <c r="AA573" i="68"/>
  <c r="AA575" i="68" s="1"/>
  <c r="AA484" i="68"/>
  <c r="N615" i="68"/>
  <c r="N617" i="68" s="1"/>
  <c r="N526" i="68"/>
  <c r="AA903" i="68"/>
  <c r="AA905" i="68" s="1"/>
  <c r="AA814" i="68"/>
  <c r="X300" i="68"/>
  <c r="X302" i="68" s="1"/>
  <c r="X211" i="68"/>
  <c r="O324" i="68"/>
  <c r="O326" i="68" s="1"/>
  <c r="O235" i="68"/>
  <c r="J371" i="68"/>
  <c r="J462" i="68" s="1"/>
  <c r="J553" i="68" s="1"/>
  <c r="J370" i="68"/>
  <c r="J367" i="68"/>
  <c r="S702" i="68"/>
  <c r="S791" i="68"/>
  <c r="R450" i="68"/>
  <c r="R539" i="68"/>
  <c r="AG481" i="68"/>
  <c r="AG570" i="68"/>
  <c r="AG572" i="68" s="1"/>
  <c r="N864" i="68"/>
  <c r="N866" i="68" s="1"/>
  <c r="N775" i="68"/>
  <c r="AE426" i="68"/>
  <c r="AE515" i="68"/>
  <c r="Z915" i="68"/>
  <c r="Z917" i="68" s="1"/>
  <c r="Z826" i="68"/>
  <c r="V447" i="68"/>
  <c r="V536" i="68"/>
  <c r="M321" i="68"/>
  <c r="M323" i="68" s="1"/>
  <c r="M232" i="68"/>
  <c r="AB370" i="68"/>
  <c r="AB371" i="68"/>
  <c r="AB462" i="68" s="1"/>
  <c r="AB553" i="68" s="1"/>
  <c r="AB367" i="68"/>
  <c r="AF921" i="68"/>
  <c r="AF923" i="68" s="1"/>
  <c r="AF832" i="68"/>
  <c r="M882" i="68"/>
  <c r="M884" i="68" s="1"/>
  <c r="M793" i="68"/>
  <c r="AH456" i="68"/>
  <c r="AH545" i="68"/>
  <c r="AH420" i="68"/>
  <c r="AH509" i="68"/>
  <c r="R906" i="68"/>
  <c r="R908" i="68" s="1"/>
  <c r="R817" i="68"/>
  <c r="R624" i="68"/>
  <c r="R626" i="68" s="1"/>
  <c r="R535" i="68"/>
  <c r="W523" i="68"/>
  <c r="W612" i="68"/>
  <c r="W614" i="68" s="1"/>
  <c r="O312" i="68"/>
  <c r="O314" i="68" s="1"/>
  <c r="O223" i="68"/>
  <c r="R282" i="68"/>
  <c r="R284" i="68" s="1"/>
  <c r="R193" i="68"/>
  <c r="W309" i="68"/>
  <c r="W311" i="68" s="1"/>
  <c r="W220" i="68"/>
  <c r="V291" i="68"/>
  <c r="V293" i="68" s="1"/>
  <c r="V202" i="68"/>
  <c r="P62" i="68"/>
  <c r="P153" i="68" s="1"/>
  <c r="P244" i="68" s="1"/>
  <c r="P61" i="68"/>
  <c r="P58" i="68"/>
  <c r="O636" i="68"/>
  <c r="O638" i="68" s="1"/>
  <c r="O547" i="68"/>
  <c r="Q324" i="68"/>
  <c r="Q326" i="68" s="1"/>
  <c r="Q235" i="68"/>
  <c r="J747" i="68"/>
  <c r="J837" i="68"/>
  <c r="J928" i="68" s="1"/>
  <c r="O570" i="68"/>
  <c r="O572" i="68" s="1"/>
  <c r="O481" i="68"/>
  <c r="AA915" i="68"/>
  <c r="AA917" i="68" s="1"/>
  <c r="AA826" i="68"/>
  <c r="L844" i="68"/>
  <c r="L933" i="68"/>
  <c r="L935" i="68" s="1"/>
  <c r="V327" i="68"/>
  <c r="V329" i="68" s="1"/>
  <c r="V238" i="68"/>
  <c r="Z300" i="68"/>
  <c r="Z302" i="68" s="1"/>
  <c r="Z211" i="68"/>
  <c r="T558" i="68"/>
  <c r="T560" i="68" s="1"/>
  <c r="T469" i="68"/>
  <c r="S864" i="68"/>
  <c r="S866" i="68" s="1"/>
  <c r="S775" i="68"/>
  <c r="AD487" i="68"/>
  <c r="AD576" i="68"/>
  <c r="AD578" i="68" s="1"/>
  <c r="Z615" i="68"/>
  <c r="Z617" i="68" s="1"/>
  <c r="Z526" i="68"/>
  <c r="U759" i="68"/>
  <c r="U848" i="68"/>
  <c r="V282" i="68"/>
  <c r="V284" i="68" s="1"/>
  <c r="V193" i="68"/>
  <c r="AA714" i="68"/>
  <c r="AA803" i="68"/>
  <c r="AF444" i="68"/>
  <c r="AF533" i="68"/>
  <c r="V288" i="68"/>
  <c r="V290" i="68" s="1"/>
  <c r="V199" i="68"/>
  <c r="AA564" i="68"/>
  <c r="AA566" i="68" s="1"/>
  <c r="AA475" i="68"/>
  <c r="Y402" i="68"/>
  <c r="Y491" i="68"/>
  <c r="O399" i="68"/>
  <c r="O488" i="68"/>
  <c r="AA790" i="68"/>
  <c r="AA879" i="68"/>
  <c r="AA881" i="68" s="1"/>
  <c r="K864" i="68"/>
  <c r="K866" i="68" s="1"/>
  <c r="K775" i="68"/>
  <c r="I420" i="68"/>
  <c r="I509" i="68"/>
  <c r="I396" i="68"/>
  <c r="I485" i="68"/>
  <c r="J252" i="68"/>
  <c r="J254" i="68" s="1"/>
  <c r="J163" i="68"/>
  <c r="J255" i="68"/>
  <c r="J257" i="68" s="1"/>
  <c r="J166" i="68"/>
  <c r="V594" i="68"/>
  <c r="V596" i="68" s="1"/>
  <c r="V505" i="68"/>
  <c r="W808" i="68"/>
  <c r="W897" i="68"/>
  <c r="W899" i="68" s="1"/>
  <c r="R588" i="68"/>
  <c r="R590" i="68" s="1"/>
  <c r="R499" i="68"/>
  <c r="I370" i="68"/>
  <c r="I367" i="68"/>
  <c r="I371" i="68"/>
  <c r="I462" i="68" s="1"/>
  <c r="I553" i="68" s="1"/>
  <c r="S909" i="68"/>
  <c r="S911" i="68" s="1"/>
  <c r="S820" i="68"/>
  <c r="Y624" i="68"/>
  <c r="Y626" i="68" s="1"/>
  <c r="Y535" i="68"/>
  <c r="K759" i="68"/>
  <c r="K848" i="68"/>
  <c r="AB447" i="68"/>
  <c r="AB536" i="68"/>
  <c r="AH267" i="68"/>
  <c r="AH269" i="68" s="1"/>
  <c r="AH178" i="68"/>
  <c r="AE303" i="68"/>
  <c r="AE305" i="68" s="1"/>
  <c r="AE214" i="68"/>
  <c r="L850" i="68"/>
  <c r="L939" i="68"/>
  <c r="L941" i="68" s="1"/>
  <c r="K258" i="68"/>
  <c r="K260" i="68" s="1"/>
  <c r="K169" i="68"/>
  <c r="Q573" i="68"/>
  <c r="Q575" i="68" s="1"/>
  <c r="Q484" i="68"/>
  <c r="AE456" i="68"/>
  <c r="AE545" i="68"/>
  <c r="U255" i="68"/>
  <c r="U257" i="68" s="1"/>
  <c r="U166" i="68"/>
  <c r="N679" i="68"/>
  <c r="N680" i="68"/>
  <c r="N771" i="68" s="1"/>
  <c r="N862" i="68" s="1"/>
  <c r="AF62" i="68"/>
  <c r="AF153" i="68" s="1"/>
  <c r="AF244" i="68" s="1"/>
  <c r="AF58" i="68"/>
  <c r="AF61" i="68"/>
  <c r="M390" i="68"/>
  <c r="M479" i="68"/>
  <c r="AE288" i="68"/>
  <c r="AE290" i="68" s="1"/>
  <c r="AE199" i="68"/>
  <c r="N723" i="68"/>
  <c r="N812" i="68"/>
  <c r="AH606" i="68"/>
  <c r="AH608" i="68" s="1"/>
  <c r="AH517" i="68"/>
  <c r="Q888" i="68"/>
  <c r="Q890" i="68" s="1"/>
  <c r="Q799" i="68"/>
  <c r="AG490" i="68"/>
  <c r="AG579" i="68"/>
  <c r="AG581" i="68" s="1"/>
  <c r="W708" i="68"/>
  <c r="W797" i="68"/>
  <c r="V850" i="68"/>
  <c r="N61" i="68"/>
  <c r="N62" i="68"/>
  <c r="N153" i="68" s="1"/>
  <c r="N244" i="68" s="1"/>
  <c r="N58" i="68"/>
  <c r="P918" i="68"/>
  <c r="P920" i="68" s="1"/>
  <c r="P829" i="68"/>
  <c r="W759" i="68"/>
  <c r="W848" i="68"/>
  <c r="J909" i="68"/>
  <c r="J911" i="68" s="1"/>
  <c r="J820" i="68"/>
  <c r="W267" i="68"/>
  <c r="W269" i="68" s="1"/>
  <c r="W178" i="68"/>
  <c r="K738" i="68"/>
  <c r="K828" i="68"/>
  <c r="K919" i="68" s="1"/>
  <c r="V61" i="68"/>
  <c r="V62" i="68"/>
  <c r="V153" i="68" s="1"/>
  <c r="V244" i="68" s="1"/>
  <c r="V58" i="68"/>
  <c r="L417" i="68"/>
  <c r="L506" i="68"/>
  <c r="I829" i="68"/>
  <c r="I918" i="68"/>
  <c r="I920" i="68" s="1"/>
  <c r="AC817" i="68"/>
  <c r="AC906" i="68"/>
  <c r="AC908" i="68" s="1"/>
  <c r="K867" i="68"/>
  <c r="K869" i="68" s="1"/>
  <c r="K778" i="68"/>
  <c r="AB288" i="68"/>
  <c r="AB290" i="68" s="1"/>
  <c r="AB199" i="68"/>
  <c r="AE909" i="68"/>
  <c r="AE911" i="68" s="1"/>
  <c r="AE820" i="68"/>
  <c r="AA741" i="68"/>
  <c r="AA830" i="68"/>
  <c r="AC535" i="68"/>
  <c r="AC624" i="68"/>
  <c r="AC626" i="68" s="1"/>
  <c r="AF924" i="68"/>
  <c r="AF926" i="68" s="1"/>
  <c r="AF835" i="68"/>
  <c r="AB514" i="68"/>
  <c r="AB603" i="68"/>
  <c r="AB605" i="68" s="1"/>
  <c r="AF679" i="68"/>
  <c r="AF680" i="68"/>
  <c r="AF771" i="68" s="1"/>
  <c r="AF862" i="68" s="1"/>
  <c r="T282" i="68"/>
  <c r="T284" i="68" s="1"/>
  <c r="T193" i="68"/>
  <c r="Q555" i="68"/>
  <c r="Q557" i="68" s="1"/>
  <c r="Q466" i="68"/>
  <c r="J684" i="68"/>
  <c r="J774" i="68"/>
  <c r="J865" i="68" s="1"/>
  <c r="AA753" i="68"/>
  <c r="AA842" i="68"/>
  <c r="X441" i="68"/>
  <c r="X530" i="68"/>
  <c r="M864" i="68"/>
  <c r="M866" i="68" s="1"/>
  <c r="M775" i="68"/>
  <c r="Z426" i="68"/>
  <c r="Z515" i="68"/>
  <c r="AH802" i="68"/>
  <c r="AH891" i="68"/>
  <c r="AH893" i="68" s="1"/>
  <c r="V541" i="68"/>
  <c r="V630" i="68"/>
  <c r="V632" i="68" s="1"/>
  <c r="P594" i="68"/>
  <c r="P596" i="68" s="1"/>
  <c r="P505" i="68"/>
  <c r="L526" i="68"/>
  <c r="L615" i="68"/>
  <c r="L617" i="68" s="1"/>
  <c r="I273" i="68"/>
  <c r="I275" i="68" s="1"/>
  <c r="I184" i="68"/>
  <c r="V585" i="68"/>
  <c r="V587" i="68" s="1"/>
  <c r="V496" i="68"/>
  <c r="AB609" i="68"/>
  <c r="AB611" i="68" s="1"/>
  <c r="AB520" i="68"/>
  <c r="S414" i="68"/>
  <c r="S503" i="68"/>
  <c r="AF933" i="68"/>
  <c r="AF935" i="68" s="1"/>
  <c r="AF844" i="68"/>
  <c r="AB759" i="68"/>
  <c r="AB848" i="68"/>
  <c r="AB921" i="68"/>
  <c r="AB923" i="68" s="1"/>
  <c r="AB832" i="68"/>
  <c r="AC738" i="68"/>
  <c r="AC827" i="68"/>
  <c r="W600" i="68"/>
  <c r="W602" i="68" s="1"/>
  <c r="W511" i="68"/>
  <c r="U258" i="68"/>
  <c r="U260" i="68" s="1"/>
  <c r="U169" i="68"/>
  <c r="V918" i="68"/>
  <c r="V920" i="68" s="1"/>
  <c r="V829" i="68"/>
  <c r="T414" i="68"/>
  <c r="T503" i="68"/>
  <c r="AG297" i="68"/>
  <c r="AG299" i="68" s="1"/>
  <c r="AG208" i="68"/>
  <c r="N279" i="68"/>
  <c r="N281" i="68" s="1"/>
  <c r="N190" i="68"/>
  <c r="AB690" i="68"/>
  <c r="AB779" i="68"/>
  <c r="I897" i="68"/>
  <c r="I899" i="68" s="1"/>
  <c r="I808" i="68"/>
  <c r="T747" i="68"/>
  <c r="T836" i="68"/>
  <c r="M261" i="68"/>
  <c r="M263" i="68" s="1"/>
  <c r="M172" i="68"/>
  <c r="AE514" i="68"/>
  <c r="AE603" i="68"/>
  <c r="AE605" i="68" s="1"/>
  <c r="T317" i="68"/>
  <c r="S58" i="68"/>
  <c r="S61" i="68"/>
  <c r="S62" i="68"/>
  <c r="S153" i="68" s="1"/>
  <c r="S244" i="68" s="1"/>
  <c r="AG714" i="68"/>
  <c r="AG803" i="68"/>
  <c r="J378" i="68"/>
  <c r="J467" i="68"/>
  <c r="S747" i="68"/>
  <c r="S837" i="68"/>
  <c r="S928" i="68" s="1"/>
  <c r="Z920" i="68"/>
  <c r="AE273" i="68"/>
  <c r="AE275" i="68" s="1"/>
  <c r="AE184" i="68"/>
  <c r="U756" i="68"/>
  <c r="U845" i="68"/>
  <c r="S255" i="68"/>
  <c r="S257" i="68" s="1"/>
  <c r="S166" i="68"/>
  <c r="AE744" i="68"/>
  <c r="AE833" i="68"/>
  <c r="M529" i="68"/>
  <c r="M618" i="68"/>
  <c r="M620" i="68" s="1"/>
  <c r="AB597" i="68"/>
  <c r="AB599" i="68" s="1"/>
  <c r="AB508" i="68"/>
  <c r="U423" i="68"/>
  <c r="U512" i="68"/>
  <c r="AB408" i="68"/>
  <c r="AB497" i="68"/>
  <c r="AF778" i="68"/>
  <c r="AF867" i="68"/>
  <c r="AF869" i="68" s="1"/>
  <c r="Q897" i="68"/>
  <c r="Q899" i="68" s="1"/>
  <c r="Q808" i="68"/>
  <c r="L594" i="68"/>
  <c r="L596" i="68" s="1"/>
  <c r="L505" i="68"/>
  <c r="AD915" i="68"/>
  <c r="AD917" i="68" s="1"/>
  <c r="AD826" i="68"/>
  <c r="X282" i="68"/>
  <c r="X284" i="68" s="1"/>
  <c r="X193" i="68"/>
  <c r="J261" i="68"/>
  <c r="J263" i="68" s="1"/>
  <c r="J172" i="68"/>
  <c r="T873" i="68"/>
  <c r="T875" i="68" s="1"/>
  <c r="T784" i="68"/>
  <c r="U612" i="68"/>
  <c r="U614" i="68" s="1"/>
  <c r="U523" i="68"/>
  <c r="AG261" i="68"/>
  <c r="AG263" i="68" s="1"/>
  <c r="AG172" i="68"/>
  <c r="AG573" i="68"/>
  <c r="AG575" i="68" s="1"/>
  <c r="AG484" i="68"/>
  <c r="U750" i="68"/>
  <c r="U839" i="68"/>
  <c r="Q720" i="68"/>
  <c r="Q809" i="68"/>
  <c r="AG370" i="68"/>
  <c r="AG371" i="68"/>
  <c r="AG462" i="68" s="1"/>
  <c r="AG553" i="68" s="1"/>
  <c r="AG367" i="68"/>
  <c r="P708" i="68"/>
  <c r="P797" i="68"/>
  <c r="Z567" i="68"/>
  <c r="Z569" i="68" s="1"/>
  <c r="Z478" i="68"/>
  <c r="T879" i="68"/>
  <c r="T881" i="68" s="1"/>
  <c r="T790" i="68"/>
  <c r="J61" i="68"/>
  <c r="J62" i="68"/>
  <c r="J153" i="68" s="1"/>
  <c r="J244" i="68" s="1"/>
  <c r="J58" i="68"/>
  <c r="I591" i="68"/>
  <c r="I593" i="68" s="1"/>
  <c r="I502" i="68"/>
  <c r="I633" i="68"/>
  <c r="I635" i="68" s="1"/>
  <c r="I544" i="68"/>
  <c r="AG585" i="68"/>
  <c r="AG587" i="68" s="1"/>
  <c r="AG496" i="68"/>
  <c r="S585" i="68"/>
  <c r="S587" i="68" s="1"/>
  <c r="S496" i="68"/>
  <c r="W303" i="68"/>
  <c r="W305" i="68" s="1"/>
  <c r="W214" i="68"/>
  <c r="W876" i="68"/>
  <c r="W878" i="68" s="1"/>
  <c r="W787" i="68"/>
  <c r="X750" i="68"/>
  <c r="X839" i="68"/>
  <c r="K390" i="68"/>
  <c r="K479" i="68"/>
  <c r="AG705" i="68"/>
  <c r="AG794" i="68"/>
  <c r="Z582" i="68"/>
  <c r="Z584" i="68" s="1"/>
  <c r="Z493" i="68"/>
  <c r="AF564" i="68"/>
  <c r="AF566" i="68" s="1"/>
  <c r="AF475" i="68"/>
  <c r="U909" i="68"/>
  <c r="U911" i="68" s="1"/>
  <c r="U820" i="68"/>
  <c r="AA417" i="68"/>
  <c r="AA506" i="68"/>
  <c r="W918" i="68"/>
  <c r="W920" i="68" s="1"/>
  <c r="W829" i="68"/>
  <c r="AF814" i="68"/>
  <c r="AF903" i="68"/>
  <c r="AF905" i="68" s="1"/>
  <c r="T303" i="68"/>
  <c r="T305" i="68" s="1"/>
  <c r="T214" i="68"/>
  <c r="Y729" i="68"/>
  <c r="Y818" i="68"/>
  <c r="Z405" i="68"/>
  <c r="Z494" i="68"/>
  <c r="W684" i="68"/>
  <c r="W773" i="68"/>
  <c r="I555" i="68"/>
  <c r="I557" i="68" s="1"/>
  <c r="I466" i="68"/>
  <c r="X820" i="68"/>
  <c r="X909" i="68"/>
  <c r="X911" i="68" s="1"/>
  <c r="M924" i="68"/>
  <c r="M926" i="68" s="1"/>
  <c r="M835" i="68"/>
  <c r="J523" i="68"/>
  <c r="J612" i="68"/>
  <c r="J614" i="68" s="1"/>
  <c r="P808" i="68"/>
  <c r="P897" i="68"/>
  <c r="P899" i="68" s="1"/>
  <c r="R864" i="68"/>
  <c r="R866" i="68" s="1"/>
  <c r="R775" i="68"/>
  <c r="Y829" i="68"/>
  <c r="S367" i="68"/>
  <c r="S371" i="68"/>
  <c r="S462" i="68" s="1"/>
  <c r="S553" i="68" s="1"/>
  <c r="S370" i="68"/>
  <c r="Z891" i="68"/>
  <c r="Z893" i="68" s="1"/>
  <c r="Z802" i="68"/>
  <c r="Z390" i="68"/>
  <c r="Z479" i="68"/>
  <c r="S756" i="68"/>
  <c r="S846" i="68"/>
  <c r="S937" i="68" s="1"/>
  <c r="M915" i="68"/>
  <c r="M917" i="68" s="1"/>
  <c r="M826" i="68"/>
  <c r="U294" i="68"/>
  <c r="U296" i="68" s="1"/>
  <c r="U205" i="68"/>
  <c r="AE882" i="68"/>
  <c r="AE884" i="68" s="1"/>
  <c r="AE793" i="68"/>
  <c r="X535" i="68"/>
  <c r="X624" i="68"/>
  <c r="X626" i="68" s="1"/>
  <c r="Y811" i="68"/>
  <c r="Y900" i="68"/>
  <c r="Y902" i="68" s="1"/>
  <c r="AB790" i="68"/>
  <c r="AB879" i="68"/>
  <c r="AB881" i="68" s="1"/>
  <c r="P609" i="68"/>
  <c r="P611" i="68" s="1"/>
  <c r="P520" i="68"/>
  <c r="Q627" i="68"/>
  <c r="Q629" i="68" s="1"/>
  <c r="Q538" i="68"/>
  <c r="J600" i="68"/>
  <c r="J602" i="68" s="1"/>
  <c r="J511" i="68"/>
  <c r="O909" i="68"/>
  <c r="O911" i="68" s="1"/>
  <c r="O820" i="68"/>
  <c r="U456" i="68"/>
  <c r="U545" i="68"/>
  <c r="R885" i="68"/>
  <c r="R887" i="68" s="1"/>
  <c r="R796" i="68"/>
  <c r="X511" i="68"/>
  <c r="X600" i="68"/>
  <c r="X602" i="68" s="1"/>
  <c r="J285" i="68"/>
  <c r="J287" i="68" s="1"/>
  <c r="J196" i="68"/>
  <c r="AC680" i="68"/>
  <c r="AC771" i="68" s="1"/>
  <c r="AC862" i="68" s="1"/>
  <c r="AC679" i="68"/>
  <c r="AC676" i="68"/>
  <c r="AC303" i="68"/>
  <c r="AC305" i="68" s="1"/>
  <c r="AC214" i="68"/>
  <c r="Y594" i="68"/>
  <c r="Y596" i="68" s="1"/>
  <c r="Y505" i="68"/>
  <c r="AB693" i="68"/>
  <c r="AB782" i="68"/>
  <c r="X705" i="68"/>
  <c r="X794" i="68"/>
  <c r="L942" i="68"/>
  <c r="L944" i="68" s="1"/>
  <c r="L853" i="68"/>
  <c r="AA567" i="68"/>
  <c r="AA569" i="68" s="1"/>
  <c r="AA478" i="68"/>
  <c r="AG246" i="68"/>
  <c r="AG248" i="68" s="1"/>
  <c r="AG157" i="68"/>
  <c r="T576" i="68"/>
  <c r="T578" i="68" s="1"/>
  <c r="T487" i="68"/>
  <c r="J393" i="68"/>
  <c r="J482" i="68"/>
  <c r="K312" i="68"/>
  <c r="K314" i="68" s="1"/>
  <c r="K223" i="68"/>
  <c r="AA870" i="68"/>
  <c r="AA872" i="68" s="1"/>
  <c r="AA781" i="68"/>
  <c r="AG523" i="68"/>
  <c r="AG612" i="68"/>
  <c r="AG614" i="68" s="1"/>
  <c r="Q249" i="68"/>
  <c r="Q251" i="68" s="1"/>
  <c r="Q160" i="68"/>
  <c r="M318" i="68"/>
  <c r="M320" i="68" s="1"/>
  <c r="M229" i="68"/>
  <c r="U876" i="68"/>
  <c r="U878" i="68" s="1"/>
  <c r="U787" i="68"/>
  <c r="AE720" i="68"/>
  <c r="AE809" i="68"/>
  <c r="T684" i="68"/>
  <c r="T773" i="68"/>
  <c r="AB249" i="68"/>
  <c r="AB251" i="68" s="1"/>
  <c r="AB160" i="68"/>
  <c r="AB888" i="68"/>
  <c r="AB890" i="68" s="1"/>
  <c r="AB799" i="68"/>
  <c r="AE867" i="68"/>
  <c r="AE869" i="68" s="1"/>
  <c r="AE778" i="68"/>
  <c r="M526" i="68"/>
  <c r="M615" i="68"/>
  <c r="M617" i="68" s="1"/>
  <c r="V621" i="68"/>
  <c r="V623" i="68" s="1"/>
  <c r="V532" i="68"/>
  <c r="I876" i="68"/>
  <c r="I878" i="68" s="1"/>
  <c r="I787" i="68"/>
  <c r="R618" i="68"/>
  <c r="R620" i="68" s="1"/>
  <c r="R529" i="68"/>
  <c r="Y615" i="68"/>
  <c r="Y617" i="68" s="1"/>
  <c r="Y526" i="68"/>
  <c r="I850" i="68"/>
  <c r="I939" i="68"/>
  <c r="I941" i="68" s="1"/>
  <c r="Z378" i="68"/>
  <c r="Z467" i="68"/>
  <c r="AD417" i="68"/>
  <c r="AD506" i="68"/>
  <c r="V726" i="68"/>
  <c r="V815" i="68"/>
  <c r="M933" i="68"/>
  <c r="M935" i="68" s="1"/>
  <c r="M844" i="68"/>
  <c r="AD867" i="68"/>
  <c r="AD869" i="68" s="1"/>
  <c r="AD778" i="68"/>
  <c r="AE717" i="68"/>
  <c r="AE806" i="68"/>
  <c r="Z618" i="68"/>
  <c r="Z620" i="68" s="1"/>
  <c r="Z529" i="68"/>
  <c r="N906" i="68"/>
  <c r="N908" i="68" s="1"/>
  <c r="N817" i="68"/>
  <c r="AD541" i="68"/>
  <c r="AD630" i="68"/>
  <c r="AD632" i="68" s="1"/>
  <c r="I621" i="68"/>
  <c r="I623" i="68" s="1"/>
  <c r="I532" i="68"/>
  <c r="J588" i="68"/>
  <c r="J590" i="68" s="1"/>
  <c r="J499" i="68"/>
  <c r="AC912" i="68"/>
  <c r="AC914" i="68" s="1"/>
  <c r="AC823" i="68"/>
  <c r="K291" i="68"/>
  <c r="K293" i="68" s="1"/>
  <c r="K202" i="68"/>
  <c r="S888" i="68"/>
  <c r="S890" i="68" s="1"/>
  <c r="S799" i="68"/>
  <c r="U438" i="68"/>
  <c r="U527" i="68"/>
  <c r="S564" i="68"/>
  <c r="S566" i="68" s="1"/>
  <c r="S475" i="68"/>
  <c r="S481" i="68"/>
  <c r="S570" i="68"/>
  <c r="S572" i="68" s="1"/>
  <c r="M717" i="68"/>
  <c r="M806" i="68"/>
  <c r="I603" i="68"/>
  <c r="I605" i="68" s="1"/>
  <c r="I514" i="68"/>
  <c r="T942" i="68"/>
  <c r="T944" i="68" s="1"/>
  <c r="T853" i="68"/>
  <c r="AH603" i="68"/>
  <c r="AH605" i="68" s="1"/>
  <c r="AH514" i="68"/>
  <c r="AD882" i="68"/>
  <c r="AD884" i="68" s="1"/>
  <c r="AD793" i="68"/>
  <c r="X567" i="68"/>
  <c r="X569" i="68" s="1"/>
  <c r="X478" i="68"/>
  <c r="AB564" i="68"/>
  <c r="AB566" i="68" s="1"/>
  <c r="AB475" i="68"/>
  <c r="AG627" i="68"/>
  <c r="AG629" i="68" s="1"/>
  <c r="AG538" i="68"/>
  <c r="R603" i="68"/>
  <c r="R605" i="68" s="1"/>
  <c r="R514" i="68"/>
  <c r="AE705" i="68"/>
  <c r="AE794" i="68"/>
  <c r="M547" i="68"/>
  <c r="M636" i="68"/>
  <c r="M638" i="68" s="1"/>
  <c r="X924" i="68"/>
  <c r="X926" i="68" s="1"/>
  <c r="X835" i="68"/>
  <c r="J882" i="68"/>
  <c r="J884" i="68" s="1"/>
  <c r="J793" i="68"/>
  <c r="J847" i="68"/>
  <c r="AG708" i="68"/>
  <c r="AG797" i="68"/>
  <c r="AH921" i="68"/>
  <c r="AH923" i="68" s="1"/>
  <c r="AH832" i="68"/>
  <c r="L606" i="68"/>
  <c r="L608" i="68" s="1"/>
  <c r="L517" i="68"/>
  <c r="AH573" i="68"/>
  <c r="AH575" i="68" s="1"/>
  <c r="AH484" i="68"/>
  <c r="J603" i="68"/>
  <c r="J605" i="68" s="1"/>
  <c r="J514" i="68"/>
  <c r="AB945" i="68"/>
  <c r="AB947" i="68" s="1"/>
  <c r="AB856" i="68"/>
  <c r="Q411" i="68"/>
  <c r="Q500" i="68"/>
  <c r="W291" i="68"/>
  <c r="W293" i="68" s="1"/>
  <c r="W202" i="68"/>
  <c r="M396" i="68"/>
  <c r="M485" i="68"/>
  <c r="Y741" i="68"/>
  <c r="Y830" i="68"/>
  <c r="AC450" i="68"/>
  <c r="AC539" i="68"/>
  <c r="Q930" i="68"/>
  <c r="Q932" i="68" s="1"/>
  <c r="Q841" i="68"/>
  <c r="AC708" i="68"/>
  <c r="AC797" i="68"/>
  <c r="M909" i="68"/>
  <c r="M911" i="68" s="1"/>
  <c r="M820" i="68"/>
  <c r="AA747" i="68"/>
  <c r="AA836" i="68"/>
  <c r="M705" i="68"/>
  <c r="M794" i="68"/>
  <c r="J288" i="68"/>
  <c r="J290" i="68" s="1"/>
  <c r="J199" i="68"/>
  <c r="S939" i="68"/>
  <c r="S941" i="68" s="1"/>
  <c r="S850" i="68"/>
  <c r="X844" i="68"/>
  <c r="X933" i="68"/>
  <c r="X935" i="68" s="1"/>
  <c r="V324" i="68"/>
  <c r="V326" i="68" s="1"/>
  <c r="V235" i="68"/>
  <c r="AF909" i="68"/>
  <c r="AF911" i="68" s="1"/>
  <c r="AF820" i="68"/>
  <c r="W469" i="68"/>
  <c r="W558" i="68"/>
  <c r="W560" i="68" s="1"/>
  <c r="X699" i="68"/>
  <c r="X788" i="68"/>
  <c r="Z906" i="68"/>
  <c r="Z908" i="68" s="1"/>
  <c r="Z817" i="68"/>
  <c r="AB927" i="68"/>
  <c r="AB929" i="68" s="1"/>
  <c r="AB838" i="68"/>
  <c r="V705" i="68"/>
  <c r="V794" i="68"/>
  <c r="J444" i="68"/>
  <c r="J533" i="68"/>
  <c r="I58" i="68"/>
  <c r="I61" i="68"/>
  <c r="I62" i="68"/>
  <c r="I153" i="68" s="1"/>
  <c r="I244" i="68" s="1"/>
  <c r="M432" i="68"/>
  <c r="M521" i="68"/>
  <c r="U417" i="68"/>
  <c r="U506" i="68"/>
  <c r="Y744" i="68"/>
  <c r="Y833" i="68"/>
  <c r="Y450" i="68"/>
  <c r="Y539" i="68"/>
  <c r="V687" i="68"/>
  <c r="V776" i="68"/>
  <c r="T220" i="68"/>
  <c r="AF585" i="68"/>
  <c r="AF587" i="68" s="1"/>
  <c r="AF496" i="68"/>
  <c r="U814" i="68"/>
  <c r="U903" i="68"/>
  <c r="U905" i="68" s="1"/>
  <c r="N496" i="68"/>
  <c r="N585" i="68"/>
  <c r="N587" i="68" s="1"/>
  <c r="O756" i="68"/>
  <c r="O846" i="68"/>
  <c r="O937" i="68" s="1"/>
  <c r="U291" i="68"/>
  <c r="U293" i="68" s="1"/>
  <c r="U202" i="68"/>
  <c r="AG876" i="68"/>
  <c r="AG878" i="68" s="1"/>
  <c r="AG787" i="68"/>
  <c r="AB246" i="68"/>
  <c r="AB248" i="68" s="1"/>
  <c r="AB157" i="68"/>
  <c r="AA469" i="68"/>
  <c r="AA558" i="68"/>
  <c r="AA560" i="68" s="1"/>
  <c r="U741" i="68"/>
  <c r="U830" i="68"/>
  <c r="AA561" i="68"/>
  <c r="AA563" i="68" s="1"/>
  <c r="AA472" i="68"/>
  <c r="N438" i="68"/>
  <c r="N527" i="68"/>
  <c r="AD444" i="68"/>
  <c r="AD533" i="68"/>
  <c r="AF693" i="68"/>
  <c r="AF782" i="68"/>
  <c r="W618" i="68"/>
  <c r="W620" i="68" s="1"/>
  <c r="W529" i="68"/>
  <c r="AE466" i="68"/>
  <c r="AE555" i="68"/>
  <c r="AE557" i="68" s="1"/>
  <c r="I612" i="68"/>
  <c r="I614" i="68" s="1"/>
  <c r="I523" i="68"/>
  <c r="Q420" i="68"/>
  <c r="Q509" i="68"/>
  <c r="J927" i="68"/>
  <c r="AC411" i="68"/>
  <c r="AC500" i="68"/>
  <c r="AH690" i="68"/>
  <c r="AH779" i="68"/>
  <c r="I744" i="68"/>
  <c r="I833" i="68"/>
  <c r="U894" i="68"/>
  <c r="U896" i="68" s="1"/>
  <c r="U805" i="68"/>
  <c r="AE370" i="68"/>
  <c r="AE371" i="68"/>
  <c r="AE462" i="68" s="1"/>
  <c r="AE553" i="68" s="1"/>
  <c r="AE367" i="68"/>
  <c r="AC714" i="68"/>
  <c r="AC803" i="68"/>
  <c r="AE405" i="68"/>
  <c r="AE494" i="68"/>
  <c r="Y708" i="68"/>
  <c r="Y797" i="68"/>
  <c r="Y885" i="68"/>
  <c r="Y887" i="68" s="1"/>
  <c r="Y796" i="68"/>
  <c r="AB573" i="68"/>
  <c r="AB575" i="68" s="1"/>
  <c r="AB484" i="68"/>
  <c r="Z876" i="68"/>
  <c r="Z878" i="68" s="1"/>
  <c r="Z787" i="68"/>
  <c r="Y726" i="68"/>
  <c r="Y815" i="68"/>
  <c r="T300" i="68"/>
  <c r="T302" i="68" s="1"/>
  <c r="T211" i="68"/>
  <c r="AD582" i="68"/>
  <c r="AD584" i="68" s="1"/>
  <c r="AD493" i="68"/>
  <c r="X318" i="68"/>
  <c r="X320" i="68" s="1"/>
  <c r="X229" i="68"/>
  <c r="AD765" i="68"/>
  <c r="AD854" i="68"/>
  <c r="AC370" i="68"/>
  <c r="AC371" i="68"/>
  <c r="AC462" i="68" s="1"/>
  <c r="AC553" i="68" s="1"/>
  <c r="AC367" i="68"/>
  <c r="I750" i="68"/>
  <c r="I839" i="68"/>
  <c r="L894" i="68"/>
  <c r="L896" i="68" s="1"/>
  <c r="L805" i="68"/>
  <c r="O417" i="68"/>
  <c r="O506" i="68"/>
  <c r="N453" i="68"/>
  <c r="N542" i="68"/>
  <c r="W367" i="68"/>
  <c r="W370" i="68"/>
  <c r="W371" i="68"/>
  <c r="W462" i="68" s="1"/>
  <c r="W553" i="68" s="1"/>
  <c r="T481" i="68"/>
  <c r="T570" i="68"/>
  <c r="T572" i="68" s="1"/>
  <c r="U717" i="68"/>
  <c r="U806" i="68"/>
  <c r="L906" i="68"/>
  <c r="L908" i="68" s="1"/>
  <c r="L817" i="68"/>
  <c r="M561" i="68"/>
  <c r="M563" i="68" s="1"/>
  <c r="M472" i="68"/>
  <c r="N939" i="68"/>
  <c r="N941" i="68" s="1"/>
  <c r="N850" i="68"/>
  <c r="I447" i="68"/>
  <c r="I536" i="68"/>
  <c r="Y520" i="68"/>
  <c r="Y609" i="68"/>
  <c r="Y611" i="68" s="1"/>
  <c r="Q633" i="68"/>
  <c r="Q635" i="68" s="1"/>
  <c r="Q544" i="68"/>
  <c r="O496" i="68"/>
  <c r="O585" i="68"/>
  <c r="O587" i="68" s="1"/>
  <c r="Q873" i="68"/>
  <c r="Q875" i="68" s="1"/>
  <c r="Q784" i="68"/>
  <c r="U918" i="68"/>
  <c r="U920" i="68" s="1"/>
  <c r="U829" i="68"/>
  <c r="X591" i="68"/>
  <c r="X593" i="68" s="1"/>
  <c r="X502" i="68"/>
  <c r="N894" i="68"/>
  <c r="N896" i="68" s="1"/>
  <c r="N805" i="68"/>
  <c r="Z414" i="68"/>
  <c r="Z503" i="68"/>
  <c r="AB612" i="68"/>
  <c r="AB614" i="68" s="1"/>
  <c r="AB523" i="68"/>
  <c r="AD423" i="68"/>
  <c r="AD512" i="68"/>
  <c r="K918" i="68"/>
  <c r="P945" i="68"/>
  <c r="P947" i="68" s="1"/>
  <c r="P856" i="68"/>
  <c r="W570" i="68"/>
  <c r="W572" i="68" s="1"/>
  <c r="W481" i="68"/>
  <c r="I570" i="68"/>
  <c r="I572" i="68" s="1"/>
  <c r="I481" i="68"/>
  <c r="T696" i="68"/>
  <c r="T785" i="68"/>
  <c r="P423" i="68"/>
  <c r="P512" i="68"/>
  <c r="J765" i="68"/>
  <c r="J854" i="68"/>
  <c r="Q561" i="68"/>
  <c r="Q563" i="68" s="1"/>
  <c r="Q472" i="68"/>
  <c r="S735" i="68"/>
  <c r="S824" i="68"/>
  <c r="T447" i="68"/>
  <c r="T536" i="68"/>
  <c r="M876" i="68"/>
  <c r="M878" i="68" s="1"/>
  <c r="M787" i="68"/>
  <c r="AB62" i="68"/>
  <c r="AB153" i="68" s="1"/>
  <c r="AB244" i="68" s="1"/>
  <c r="AB61" i="68"/>
  <c r="AB58" i="68"/>
  <c r="AD870" i="68"/>
  <c r="AD872" i="68" s="1"/>
  <c r="AD781" i="68"/>
  <c r="P306" i="68"/>
  <c r="P308" i="68" s="1"/>
  <c r="P217" i="68"/>
  <c r="Q711" i="68"/>
  <c r="Q800" i="68"/>
  <c r="AA784" i="68"/>
  <c r="AA873" i="68"/>
  <c r="AA875" i="68" s="1"/>
  <c r="Q390" i="68"/>
  <c r="Q479" i="68"/>
  <c r="AA906" i="68"/>
  <c r="AA908" i="68" s="1"/>
  <c r="AA817" i="68"/>
  <c r="U591" i="68"/>
  <c r="U593" i="68" s="1"/>
  <c r="U502" i="68"/>
  <c r="Y826" i="68"/>
  <c r="Y915" i="68"/>
  <c r="Y917" i="68" s="1"/>
  <c r="R420" i="68"/>
  <c r="R509" i="68"/>
  <c r="J864" i="68"/>
  <c r="AH375" i="68"/>
  <c r="AH464" i="68"/>
  <c r="W573" i="68"/>
  <c r="W575" i="68" s="1"/>
  <c r="W484" i="68"/>
  <c r="X582" i="68"/>
  <c r="X584" i="68" s="1"/>
  <c r="X493" i="68"/>
  <c r="N606" i="68"/>
  <c r="N608" i="68" s="1"/>
  <c r="N517" i="68"/>
  <c r="S453" i="68"/>
  <c r="S542" i="68"/>
  <c r="V600" i="68"/>
  <c r="V602" i="68" s="1"/>
  <c r="V511" i="68"/>
  <c r="P447" i="68"/>
  <c r="P536" i="68"/>
  <c r="U58" i="68"/>
  <c r="U61" i="68"/>
  <c r="U62" i="68"/>
  <c r="U153" i="68" s="1"/>
  <c r="U244" i="68" s="1"/>
  <c r="AG426" i="68"/>
  <c r="AG515" i="68"/>
  <c r="Q444" i="68"/>
  <c r="Q533" i="68"/>
  <c r="U912" i="68"/>
  <c r="U914" i="68" s="1"/>
  <c r="U823" i="68"/>
  <c r="AC885" i="68"/>
  <c r="AC887" i="68" s="1"/>
  <c r="AC796" i="68"/>
  <c r="N249" i="68"/>
  <c r="N251" i="68" s="1"/>
  <c r="N160" i="68"/>
  <c r="AF453" i="68"/>
  <c r="AF542" i="68"/>
  <c r="Q778" i="68"/>
  <c r="Q867" i="68"/>
  <c r="Q869" i="68" s="1"/>
  <c r="U705" i="68"/>
  <c r="U794" i="68"/>
  <c r="R417" i="68"/>
  <c r="R506" i="68"/>
  <c r="AB903" i="68"/>
  <c r="AB905" i="68" s="1"/>
  <c r="AB814" i="68"/>
  <c r="AC585" i="68"/>
  <c r="AC587" i="68" s="1"/>
  <c r="AC496" i="68"/>
  <c r="P787" i="68"/>
  <c r="P876" i="68"/>
  <c r="P878" i="68" s="1"/>
  <c r="Q321" i="68"/>
  <c r="Q323" i="68" s="1"/>
  <c r="Q232" i="68"/>
  <c r="S927" i="68"/>
  <c r="AH597" i="68"/>
  <c r="AH599" i="68" s="1"/>
  <c r="AH508" i="68"/>
  <c r="Y496" i="68"/>
  <c r="Y585" i="68"/>
  <c r="Y587" i="68" s="1"/>
  <c r="AC538" i="68"/>
  <c r="AC627" i="68"/>
  <c r="AC629" i="68" s="1"/>
  <c r="Q597" i="68"/>
  <c r="Q599" i="68" s="1"/>
  <c r="Q508" i="68"/>
  <c r="AC615" i="68"/>
  <c r="AC617" i="68" s="1"/>
  <c r="AC526" i="68"/>
  <c r="P615" i="68"/>
  <c r="P617" i="68" s="1"/>
  <c r="P526" i="68"/>
  <c r="W680" i="68"/>
  <c r="W771" i="68" s="1"/>
  <c r="W862" i="68" s="1"/>
  <c r="W679" i="68"/>
  <c r="W676" i="68"/>
  <c r="AE453" i="68"/>
  <c r="AE542" i="68"/>
  <c r="V411" i="68"/>
  <c r="V500" i="68"/>
  <c r="O273" i="68"/>
  <c r="O275" i="68" s="1"/>
  <c r="O184" i="68"/>
  <c r="R220" i="68"/>
  <c r="N535" i="68"/>
  <c r="S741" i="68"/>
  <c r="S830" i="68"/>
  <c r="Q921" i="68"/>
  <c r="Q923" i="68" s="1"/>
  <c r="Q832" i="68"/>
  <c r="O591" i="68"/>
  <c r="O593" i="68" s="1"/>
  <c r="O502" i="68"/>
  <c r="AF579" i="68"/>
  <c r="AF581" i="68" s="1"/>
  <c r="AF490" i="68"/>
  <c r="AB414" i="68"/>
  <c r="AB503" i="68"/>
  <c r="V261" i="68"/>
  <c r="V263" i="68" s="1"/>
  <c r="V172" i="68"/>
  <c r="AE450" i="68"/>
  <c r="AE539" i="68"/>
  <c r="AE417" i="68"/>
  <c r="AE506" i="68"/>
  <c r="T441" i="68"/>
  <c r="T530" i="68"/>
  <c r="V423" i="68"/>
  <c r="V512" i="68"/>
  <c r="U762" i="68"/>
  <c r="U851" i="68"/>
  <c r="AC282" i="68"/>
  <c r="AC284" i="68" s="1"/>
  <c r="AC193" i="68"/>
  <c r="T405" i="68"/>
  <c r="T494" i="68"/>
  <c r="P484" i="68"/>
  <c r="P573" i="68"/>
  <c r="P575" i="68" s="1"/>
  <c r="O705" i="68"/>
  <c r="O794" i="68"/>
  <c r="V267" i="68"/>
  <c r="V269" i="68" s="1"/>
  <c r="V178" i="68"/>
  <c r="AB702" i="68"/>
  <c r="AB791" i="68"/>
  <c r="J390" i="68"/>
  <c r="J479" i="68"/>
  <c r="M600" i="68"/>
  <c r="M602" i="68" s="1"/>
  <c r="M511" i="68"/>
  <c r="K676" i="68"/>
  <c r="Y920" i="68"/>
  <c r="N558" i="68"/>
  <c r="N560" i="68" s="1"/>
  <c r="N469" i="68"/>
  <c r="Q315" i="68"/>
  <c r="Q317" i="68" s="1"/>
  <c r="Q226" i="68"/>
  <c r="AH303" i="68"/>
  <c r="AH305" i="68" s="1"/>
  <c r="AH214" i="68"/>
  <c r="I508" i="68"/>
  <c r="I597" i="68"/>
  <c r="I599" i="68" s="1"/>
  <c r="V714" i="68"/>
  <c r="V803" i="68"/>
  <c r="Z939" i="68"/>
  <c r="Z941" i="68" s="1"/>
  <c r="Z850" i="68"/>
  <c r="AC612" i="68"/>
  <c r="AC614" i="68" s="1"/>
  <c r="AC523" i="68"/>
  <c r="AE561" i="68"/>
  <c r="AE563" i="68" s="1"/>
  <c r="AE472" i="68"/>
  <c r="AA594" i="68"/>
  <c r="AA596" i="68" s="1"/>
  <c r="AA505" i="68"/>
  <c r="S936" i="68"/>
  <c r="W405" i="68"/>
  <c r="W494" i="68"/>
  <c r="P630" i="68"/>
  <c r="P632" i="68" s="1"/>
  <c r="P541" i="68"/>
  <c r="O841" i="68"/>
  <c r="O930" i="68"/>
  <c r="O932" i="68" s="1"/>
  <c r="AA555" i="68"/>
  <c r="AA557" i="68" s="1"/>
  <c r="AA466" i="68"/>
  <c r="I790" i="68"/>
  <c r="I879" i="68"/>
  <c r="I881" i="68" s="1"/>
  <c r="AD502" i="68"/>
  <c r="AD591" i="68"/>
  <c r="AD593" i="68" s="1"/>
  <c r="AA900" i="68"/>
  <c r="AA902" i="68" s="1"/>
  <c r="AA811" i="68"/>
  <c r="Y573" i="68"/>
  <c r="Y575" i="68" s="1"/>
  <c r="Y484" i="68"/>
  <c r="K417" i="68"/>
  <c r="K506" i="68"/>
  <c r="AG679" i="68"/>
  <c r="AG680" i="68"/>
  <c r="AG771" i="68" s="1"/>
  <c r="AG862" i="68" s="1"/>
  <c r="AG676" i="68"/>
  <c r="R384" i="68"/>
  <c r="R473" i="68"/>
  <c r="AB802" i="68"/>
  <c r="AB891" i="68"/>
  <c r="AB893" i="68" s="1"/>
  <c r="AE933" i="68"/>
  <c r="AE935" i="68" s="1"/>
  <c r="AE844" i="68"/>
  <c r="AE261" i="68"/>
  <c r="AE263" i="68" s="1"/>
  <c r="AE172" i="68"/>
  <c r="S435" i="68"/>
  <c r="S524" i="68"/>
  <c r="J938" i="68"/>
  <c r="M378" i="68"/>
  <c r="M467" i="68"/>
  <c r="L402" i="68"/>
  <c r="L491" i="68"/>
  <c r="AA909" i="68"/>
  <c r="AA911" i="68" s="1"/>
  <c r="AA820" i="68"/>
  <c r="Q915" i="68"/>
  <c r="Q917" i="68" s="1"/>
  <c r="Q826" i="68"/>
  <c r="I529" i="68"/>
  <c r="I618" i="68"/>
  <c r="I620" i="68" s="1"/>
  <c r="I735" i="68"/>
  <c r="I824" i="68"/>
  <c r="AH705" i="68"/>
  <c r="AH794" i="68"/>
  <c r="AD375" i="68"/>
  <c r="AD464" i="68"/>
  <c r="AH765" i="68"/>
  <c r="AH854" i="68"/>
  <c r="P684" i="68"/>
  <c r="P773" i="68"/>
  <c r="AH888" i="68"/>
  <c r="AH890" i="68" s="1"/>
  <c r="AH799" i="68"/>
  <c r="O759" i="68"/>
  <c r="O848" i="68"/>
  <c r="I615" i="68"/>
  <c r="I617" i="68" s="1"/>
  <c r="I526" i="68"/>
  <c r="AB411" i="68"/>
  <c r="AB500" i="68"/>
  <c r="O300" i="68"/>
  <c r="O302" i="68" s="1"/>
  <c r="O211" i="68"/>
  <c r="J921" i="68"/>
  <c r="J923" i="68" s="1"/>
  <c r="J832" i="68"/>
  <c r="T311" i="68"/>
  <c r="AH294" i="68"/>
  <c r="AH296" i="68" s="1"/>
  <c r="AH205" i="68"/>
  <c r="O936" i="68"/>
  <c r="J720" i="68"/>
  <c r="J809" i="68"/>
  <c r="Y570" i="68"/>
  <c r="Y572" i="68" s="1"/>
  <c r="Y481" i="68"/>
  <c r="T850" i="68"/>
  <c r="T939" i="68"/>
  <c r="T941" i="68" s="1"/>
  <c r="L756" i="68"/>
  <c r="L845" i="68"/>
  <c r="L579" i="68"/>
  <c r="L581" i="68" s="1"/>
  <c r="L490" i="68"/>
  <c r="W630" i="68"/>
  <c r="W632" i="68" s="1"/>
  <c r="W541" i="68"/>
  <c r="U933" i="68"/>
  <c r="U935" i="68" s="1"/>
  <c r="U844" i="68"/>
  <c r="L384" i="68"/>
  <c r="L473" i="68"/>
  <c r="I493" i="68"/>
  <c r="I582" i="68"/>
  <c r="I584" i="68" s="1"/>
  <c r="AC826" i="68"/>
  <c r="AC915" i="68"/>
  <c r="AC917" i="68" s="1"/>
  <c r="K729" i="68"/>
  <c r="K818" i="68"/>
  <c r="AE870" i="68"/>
  <c r="AE872" i="68" s="1"/>
  <c r="AE781" i="68"/>
  <c r="AA570" i="68"/>
  <c r="AA572" i="68" s="1"/>
  <c r="AA481" i="68"/>
  <c r="AH591" i="68"/>
  <c r="AH593" i="68" s="1"/>
  <c r="AH502" i="68"/>
  <c r="AA264" i="68"/>
  <c r="AA266" i="68" s="1"/>
  <c r="AA175" i="68"/>
  <c r="S297" i="68"/>
  <c r="S299" i="68" s="1"/>
  <c r="S208" i="68"/>
  <c r="AE493" i="68"/>
  <c r="AE582" i="68"/>
  <c r="AE584" i="68" s="1"/>
  <c r="P252" i="68"/>
  <c r="P254" i="68" s="1"/>
  <c r="P163" i="68"/>
  <c r="N609" i="68"/>
  <c r="N611" i="68" s="1"/>
  <c r="N520" i="68"/>
  <c r="AE723" i="68"/>
  <c r="AE812" i="68"/>
  <c r="AA258" i="68"/>
  <c r="AA260" i="68" s="1"/>
  <c r="AA169" i="68"/>
  <c r="N762" i="68"/>
  <c r="N851" i="68"/>
  <c r="X324" i="68"/>
  <c r="X326" i="68" s="1"/>
  <c r="X235" i="68"/>
  <c r="U564" i="68"/>
  <c r="U566" i="68" s="1"/>
  <c r="U475" i="68"/>
  <c r="M306" i="68"/>
  <c r="M308" i="68" s="1"/>
  <c r="M217" i="68"/>
  <c r="Q478" i="68"/>
  <c r="Q567" i="68"/>
  <c r="Q569" i="68" s="1"/>
  <c r="AE315" i="68"/>
  <c r="AE317" i="68" s="1"/>
  <c r="AE226" i="68"/>
  <c r="N870" i="68"/>
  <c r="N872" i="68" s="1"/>
  <c r="N781" i="68"/>
  <c r="U447" i="68"/>
  <c r="U536" i="68"/>
  <c r="AD315" i="68"/>
  <c r="AD317" i="68" s="1"/>
  <c r="AD226" i="68"/>
  <c r="T573" i="68"/>
  <c r="T575" i="68" s="1"/>
  <c r="T484" i="68"/>
  <c r="R891" i="68"/>
  <c r="R893" i="68" s="1"/>
  <c r="R802" i="68"/>
  <c r="X370" i="68"/>
  <c r="X371" i="68"/>
  <c r="X462" i="68" s="1"/>
  <c r="X553" i="68" s="1"/>
  <c r="W387" i="68"/>
  <c r="W476" i="68"/>
  <c r="W591" i="68"/>
  <c r="W593" i="68" s="1"/>
  <c r="W502" i="68"/>
  <c r="W891" i="68"/>
  <c r="W893" i="68" s="1"/>
  <c r="W802" i="68"/>
  <c r="AB894" i="68"/>
  <c r="AB896" i="68" s="1"/>
  <c r="AB805" i="68"/>
  <c r="Y687" i="68"/>
  <c r="Y776" i="68"/>
  <c r="AF762" i="68"/>
  <c r="AF851" i="68"/>
  <c r="AG402" i="68"/>
  <c r="AG491" i="68"/>
  <c r="S805" i="68"/>
  <c r="S894" i="68"/>
  <c r="S896" i="68" s="1"/>
  <c r="AG444" i="68"/>
  <c r="AG533" i="68"/>
  <c r="AF567" i="68"/>
  <c r="AF569" i="68" s="1"/>
  <c r="AF478" i="68"/>
  <c r="N879" i="68"/>
  <c r="N881" i="68" s="1"/>
  <c r="N790" i="68"/>
  <c r="AF258" i="68"/>
  <c r="AF260" i="68" s="1"/>
  <c r="AF169" i="68"/>
  <c r="Y600" i="68"/>
  <c r="Y602" i="68" s="1"/>
  <c r="Y511" i="68"/>
  <c r="T555" i="68"/>
  <c r="T557" i="68" s="1"/>
  <c r="T466" i="68"/>
  <c r="AE447" i="68"/>
  <c r="AE536" i="68"/>
  <c r="AD282" i="68"/>
  <c r="AD284" i="68" s="1"/>
  <c r="AD193" i="68"/>
  <c r="U615" i="68"/>
  <c r="U617" i="68" s="1"/>
  <c r="U526" i="68"/>
  <c r="P912" i="68"/>
  <c r="P914" i="68" s="1"/>
  <c r="P823" i="68"/>
  <c r="N603" i="68"/>
  <c r="N605" i="68" s="1"/>
  <c r="N514" i="68"/>
  <c r="J294" i="68"/>
  <c r="J296" i="68" s="1"/>
  <c r="J205" i="68"/>
  <c r="AA535" i="68"/>
  <c r="AA624" i="68"/>
  <c r="AA626" i="68" s="1"/>
  <c r="AE787" i="68"/>
  <c r="AE876" i="68"/>
  <c r="AE878" i="68" s="1"/>
  <c r="L567" i="68"/>
  <c r="L569" i="68" s="1"/>
  <c r="L478" i="68"/>
  <c r="AG294" i="68"/>
  <c r="AG296" i="68" s="1"/>
  <c r="AG205" i="68"/>
  <c r="AC903" i="68"/>
  <c r="AC905" i="68" s="1"/>
  <c r="AC814" i="68"/>
  <c r="M621" i="68"/>
  <c r="M623" i="68" s="1"/>
  <c r="M532" i="68"/>
  <c r="Y62" i="68"/>
  <c r="Y153" i="68" s="1"/>
  <c r="Y244" i="68" s="1"/>
  <c r="Y61" i="68"/>
  <c r="Y58" i="68"/>
  <c r="Z750" i="68"/>
  <c r="Z839" i="68"/>
  <c r="Q402" i="68"/>
  <c r="Q491" i="68"/>
  <c r="AF456" i="68"/>
  <c r="AF545" i="68"/>
  <c r="AC414" i="68"/>
  <c r="AC503" i="68"/>
  <c r="Y246" i="68"/>
  <c r="Y248" i="68" s="1"/>
  <c r="Y157" i="68"/>
  <c r="AB456" i="68"/>
  <c r="AB546" i="68"/>
  <c r="AB637" i="68" s="1"/>
  <c r="AD679" i="68"/>
  <c r="AD680" i="68"/>
  <c r="AD771" i="68" s="1"/>
  <c r="AD862" i="68" s="1"/>
  <c r="AD676" i="68"/>
  <c r="AD723" i="68"/>
  <c r="AD812" i="68"/>
  <c r="U378" i="68"/>
  <c r="U467" i="68"/>
  <c r="AH903" i="68"/>
  <c r="AH905" i="68" s="1"/>
  <c r="AH814" i="68"/>
  <c r="AC466" i="68"/>
  <c r="AC555" i="68"/>
  <c r="AC557" i="68" s="1"/>
  <c r="Q258" i="68"/>
  <c r="Q260" i="68" s="1"/>
  <c r="Q169" i="68"/>
  <c r="AF888" i="68"/>
  <c r="AF890" i="68" s="1"/>
  <c r="AF799" i="68"/>
  <c r="K690" i="68"/>
  <c r="K779" i="68"/>
  <c r="W714" i="68"/>
  <c r="W803" i="68"/>
  <c r="Y487" i="68"/>
  <c r="Y576" i="68"/>
  <c r="Y578" i="68" s="1"/>
  <c r="P300" i="68"/>
  <c r="P302" i="68" s="1"/>
  <c r="P211" i="68"/>
  <c r="P796" i="68"/>
  <c r="P885" i="68"/>
  <c r="P887" i="68" s="1"/>
  <c r="AF435" i="68"/>
  <c r="AF524" i="68"/>
  <c r="AH844" i="68"/>
  <c r="AH933" i="68"/>
  <c r="AH935" i="68" s="1"/>
  <c r="AE570" i="68"/>
  <c r="AE572" i="68" s="1"/>
  <c r="AE481" i="68"/>
  <c r="X936" i="68"/>
  <c r="X938" i="68" s="1"/>
  <c r="X847" i="68"/>
  <c r="U609" i="68"/>
  <c r="U611" i="68" s="1"/>
  <c r="U520" i="68"/>
  <c r="AG756" i="68"/>
  <c r="AG845" i="68"/>
  <c r="J303" i="68"/>
  <c r="J305" i="68" s="1"/>
  <c r="J214" i="68"/>
  <c r="R579" i="68"/>
  <c r="R581" i="68" s="1"/>
  <c r="R490" i="68"/>
  <c r="AC597" i="68"/>
  <c r="AC599" i="68" s="1"/>
  <c r="AC508" i="68"/>
  <c r="S732" i="68"/>
  <c r="S821" i="68"/>
  <c r="T741" i="68"/>
  <c r="T830" i="68"/>
  <c r="J387" i="68"/>
  <c r="J476" i="68"/>
  <c r="R936" i="68"/>
  <c r="R938" i="68" s="1"/>
  <c r="R847" i="68"/>
  <c r="AE747" i="68"/>
  <c r="AE836" i="68"/>
  <c r="O870" i="68"/>
  <c r="O872" i="68" s="1"/>
  <c r="O781" i="68"/>
  <c r="M900" i="68"/>
  <c r="M902" i="68" s="1"/>
  <c r="M811" i="68"/>
  <c r="T705" i="68"/>
  <c r="T794" i="68"/>
  <c r="AD426" i="68"/>
  <c r="AD515" i="68"/>
  <c r="AD481" i="68"/>
  <c r="AD570" i="68"/>
  <c r="AD572" i="68" s="1"/>
  <c r="AG375" i="68"/>
  <c r="AG464" i="68"/>
  <c r="V381" i="68"/>
  <c r="V470" i="68"/>
  <c r="AA841" i="68"/>
  <c r="AA930" i="68"/>
  <c r="AA932" i="68" s="1"/>
  <c r="AH612" i="68"/>
  <c r="AH614" i="68" s="1"/>
  <c r="AH523" i="68"/>
  <c r="Q306" i="68"/>
  <c r="Q308" i="68" s="1"/>
  <c r="Q217" i="68"/>
  <c r="AC321" i="68"/>
  <c r="AC323" i="68" s="1"/>
  <c r="AC232" i="68"/>
  <c r="AE591" i="68"/>
  <c r="AE593" i="68" s="1"/>
  <c r="AE502" i="68"/>
  <c r="Y564" i="68"/>
  <c r="Y566" i="68" s="1"/>
  <c r="Y475" i="68"/>
  <c r="P318" i="68"/>
  <c r="P320" i="68" s="1"/>
  <c r="P229" i="68"/>
  <c r="M936" i="68"/>
  <c r="M938" i="68" s="1"/>
  <c r="M847" i="68"/>
  <c r="N778" i="68"/>
  <c r="N867" i="68"/>
  <c r="N869" i="68" s="1"/>
  <c r="R912" i="68"/>
  <c r="R914" i="68" s="1"/>
  <c r="R823" i="68"/>
  <c r="P793" i="68"/>
  <c r="P882" i="68"/>
  <c r="P884" i="68" s="1"/>
  <c r="AH306" i="68"/>
  <c r="AH308" i="68" s="1"/>
  <c r="AH217" i="68"/>
  <c r="AA603" i="68"/>
  <c r="AA605" i="68" s="1"/>
  <c r="AA514" i="68"/>
  <c r="AF573" i="68"/>
  <c r="AF575" i="68" s="1"/>
  <c r="AF484" i="68"/>
  <c r="X726" i="68"/>
  <c r="X815" i="68"/>
  <c r="W900" i="68"/>
  <c r="W902" i="68" s="1"/>
  <c r="W811" i="68"/>
  <c r="AE249" i="68"/>
  <c r="AE251" i="68" s="1"/>
  <c r="AE160" i="68"/>
  <c r="L273" i="68"/>
  <c r="L275" i="68" s="1"/>
  <c r="L184" i="68"/>
  <c r="K558" i="68"/>
  <c r="K560" i="68" s="1"/>
  <c r="K469" i="68"/>
  <c r="K912" i="68"/>
  <c r="K914" i="68" s="1"/>
  <c r="K823" i="68"/>
  <c r="Z591" i="68"/>
  <c r="Z593" i="68" s="1"/>
  <c r="Z502" i="68"/>
  <c r="AD864" i="68"/>
  <c r="AD866" i="68" s="1"/>
  <c r="AD775" i="68"/>
  <c r="T370" i="68"/>
  <c r="T371" i="68"/>
  <c r="T462" i="68" s="1"/>
  <c r="T553" i="68" s="1"/>
  <c r="T367" i="68"/>
  <c r="AA606" i="68"/>
  <c r="AA608" i="68" s="1"/>
  <c r="AA517" i="68"/>
  <c r="Z699" i="68"/>
  <c r="Z788" i="68"/>
  <c r="R921" i="68"/>
  <c r="R923" i="68" s="1"/>
  <c r="R832" i="68"/>
  <c r="AC402" i="68"/>
  <c r="AC491" i="68"/>
  <c r="AE393" i="68"/>
  <c r="AE482" i="68"/>
  <c r="U396" i="68"/>
  <c r="U485" i="68"/>
  <c r="R311" i="68"/>
  <c r="N626" i="68"/>
  <c r="L432" i="68"/>
  <c r="L521" i="68"/>
  <c r="S693" i="68"/>
  <c r="S782" i="68"/>
  <c r="J496" i="68"/>
  <c r="J585" i="68"/>
  <c r="J587" i="68" s="1"/>
  <c r="X793" i="68"/>
  <c r="X882" i="68"/>
  <c r="X884" i="68" s="1"/>
  <c r="J894" i="68"/>
  <c r="J896" i="68" s="1"/>
  <c r="J805" i="68"/>
  <c r="AE444" i="68"/>
  <c r="AE533" i="68"/>
  <c r="T588" i="68"/>
  <c r="T590" i="68" s="1"/>
  <c r="T499" i="68"/>
  <c r="P711" i="68"/>
  <c r="P800" i="68"/>
  <c r="X921" i="68"/>
  <c r="X923" i="68" s="1"/>
  <c r="X832" i="68"/>
  <c r="I324" i="68"/>
  <c r="I326" i="68" s="1"/>
  <c r="I235" i="68"/>
  <c r="Z747" i="68"/>
  <c r="Z836" i="68"/>
  <c r="AC787" i="68"/>
  <c r="AC876" i="68"/>
  <c r="AC878" i="68" s="1"/>
  <c r="AC900" i="68"/>
  <c r="AC902" i="68" s="1"/>
  <c r="AC811" i="68"/>
  <c r="R753" i="68"/>
  <c r="R842" i="68"/>
  <c r="L870" i="68"/>
  <c r="L872" i="68" s="1"/>
  <c r="L781" i="68"/>
  <c r="AB897" i="68"/>
  <c r="AB899" i="68" s="1"/>
  <c r="AB808" i="68"/>
  <c r="K249" i="68"/>
  <c r="K251" i="68" s="1"/>
  <c r="K160" i="68"/>
  <c r="R879" i="68"/>
  <c r="R881" i="68" s="1"/>
  <c r="AD747" i="68"/>
  <c r="AD836" i="68"/>
  <c r="AC291" i="68"/>
  <c r="AC293" i="68" s="1"/>
  <c r="AC202" i="68"/>
  <c r="AE387" i="68"/>
  <c r="AE476" i="68"/>
  <c r="AE558" i="68"/>
  <c r="AE560" i="68" s="1"/>
  <c r="AE469" i="68"/>
  <c r="S291" i="68"/>
  <c r="S293" i="68" s="1"/>
  <c r="S202" i="68"/>
  <c r="AH808" i="68"/>
  <c r="AH897" i="68"/>
  <c r="AH899" i="68" s="1"/>
  <c r="AB312" i="68"/>
  <c r="AB314" i="68" s="1"/>
  <c r="AB223" i="68"/>
  <c r="O558" i="68"/>
  <c r="O560" i="68" s="1"/>
  <c r="O469" i="68"/>
  <c r="Y529" i="68"/>
  <c r="Y618" i="68"/>
  <c r="Y620" i="68" s="1"/>
  <c r="AF267" i="68"/>
  <c r="AF269" i="68" s="1"/>
  <c r="AF178" i="68"/>
  <c r="O520" i="68"/>
  <c r="O609" i="68"/>
  <c r="O611" i="68" s="1"/>
  <c r="J267" i="68"/>
  <c r="J269" i="68" s="1"/>
  <c r="J178" i="68"/>
  <c r="AA627" i="68"/>
  <c r="AA629" i="68" s="1"/>
  <c r="AA538" i="68"/>
  <c r="M870" i="68"/>
  <c r="M872" i="68" s="1"/>
  <c r="M781" i="68"/>
  <c r="J942" i="68"/>
  <c r="J944" i="68" s="1"/>
  <c r="J853" i="68"/>
  <c r="M493" i="68"/>
  <c r="M582" i="68"/>
  <c r="M584" i="68" s="1"/>
  <c r="U306" i="68"/>
  <c r="U308" i="68" s="1"/>
  <c r="U217" i="68"/>
  <c r="T246" i="68"/>
  <c r="T248" i="68" s="1"/>
  <c r="T157" i="68"/>
  <c r="N702" i="68"/>
  <c r="N791" i="68"/>
  <c r="V499" i="68"/>
  <c r="V588" i="68"/>
  <c r="V590" i="68" s="1"/>
  <c r="W555" i="68"/>
  <c r="W557" i="68" s="1"/>
  <c r="W466" i="68"/>
  <c r="J381" i="68"/>
  <c r="J470" i="68"/>
  <c r="W778" i="68"/>
  <c r="W867" i="68"/>
  <c r="W869" i="68" s="1"/>
  <c r="U561" i="68"/>
  <c r="U563" i="68" s="1"/>
  <c r="U472" i="68"/>
  <c r="AE600" i="68"/>
  <c r="AE602" i="68" s="1"/>
  <c r="AE511" i="68"/>
  <c r="M267" i="68"/>
  <c r="M269" i="68" s="1"/>
  <c r="M178" i="68"/>
  <c r="U288" i="68"/>
  <c r="U290" i="68" s="1"/>
  <c r="U199" i="68"/>
  <c r="Q696" i="68"/>
  <c r="Q785" i="68"/>
  <c r="R687" i="68"/>
  <c r="R776" i="68"/>
  <c r="AA762" i="68"/>
  <c r="AA851" i="68"/>
  <c r="M371" i="68"/>
  <c r="M462" i="68" s="1"/>
  <c r="M553" i="68" s="1"/>
  <c r="M370" i="68"/>
  <c r="M367" i="68"/>
  <c r="AC853" i="68"/>
  <c r="AC942" i="68"/>
  <c r="AC944" i="68" s="1"/>
  <c r="N447" i="68"/>
  <c r="N537" i="68"/>
  <c r="N628" i="68" s="1"/>
  <c r="J297" i="68"/>
  <c r="J299" i="68" s="1"/>
  <c r="J208" i="68"/>
  <c r="L624" i="68"/>
  <c r="L626" i="68" s="1"/>
  <c r="L535" i="68"/>
  <c r="I705" i="68"/>
  <c r="I794" i="68"/>
  <c r="I680" i="68"/>
  <c r="I771" i="68" s="1"/>
  <c r="I862" i="68" s="1"/>
  <c r="I679" i="68"/>
  <c r="I676" i="68"/>
  <c r="AF303" i="68"/>
  <c r="AF305" i="68" s="1"/>
  <c r="AF214" i="68"/>
  <c r="AB309" i="68"/>
  <c r="AB311" i="68" s="1"/>
  <c r="AB220" i="68"/>
  <c r="R318" i="68"/>
  <c r="R320" i="68" s="1"/>
  <c r="R229" i="68"/>
  <c r="I933" i="68"/>
  <c r="I935" i="68" s="1"/>
  <c r="I844" i="68"/>
  <c r="O723" i="68"/>
  <c r="O812" i="68"/>
  <c r="AD367" i="68"/>
  <c r="AD370" i="68"/>
  <c r="AD371" i="68"/>
  <c r="AD462" i="68" s="1"/>
  <c r="AD553" i="68" s="1"/>
  <c r="O888" i="68"/>
  <c r="O890" i="68" s="1"/>
  <c r="O799" i="68"/>
  <c r="R249" i="68"/>
  <c r="R251" i="68" s="1"/>
  <c r="R160" i="68"/>
  <c r="O264" i="68"/>
  <c r="O266" i="68" s="1"/>
  <c r="O175" i="68"/>
  <c r="W288" i="68"/>
  <c r="W290" i="68" s="1"/>
  <c r="W199" i="68"/>
  <c r="Z873" i="68"/>
  <c r="Z875" i="68" s="1"/>
  <c r="Z784" i="68"/>
  <c r="O453" i="68"/>
  <c r="O542" i="68"/>
  <c r="K720" i="68"/>
  <c r="K809" i="68"/>
  <c r="N708" i="68"/>
  <c r="N797" i="68"/>
  <c r="AB687" i="68"/>
  <c r="AB776" i="68"/>
  <c r="T420" i="68"/>
  <c r="T509" i="68"/>
  <c r="AA600" i="68"/>
  <c r="AA602" i="68" s="1"/>
  <c r="AA511" i="68"/>
  <c r="N303" i="68"/>
  <c r="N305" i="68" s="1"/>
  <c r="N214" i="68"/>
  <c r="AE384" i="68"/>
  <c r="AE473" i="68"/>
  <c r="N873" i="68"/>
  <c r="N875" i="68" s="1"/>
  <c r="N784" i="68"/>
  <c r="AA58" i="68"/>
  <c r="AA61" i="68"/>
  <c r="AA62" i="68"/>
  <c r="AA153" i="68" s="1"/>
  <c r="AA244" i="68" s="1"/>
  <c r="Q726" i="68"/>
  <c r="Q815" i="68"/>
  <c r="Y759" i="68"/>
  <c r="Y848" i="68"/>
  <c r="AB705" i="68"/>
  <c r="AB794" i="68"/>
  <c r="R873" i="68"/>
  <c r="R875" i="68" s="1"/>
  <c r="R784" i="68"/>
  <c r="AF469" i="68"/>
  <c r="AF558" i="68"/>
  <c r="AF560" i="68" s="1"/>
  <c r="R547" i="68"/>
  <c r="R636" i="68"/>
  <c r="R638" i="68" s="1"/>
  <c r="N324" i="68"/>
  <c r="N326" i="68" s="1"/>
  <c r="N235" i="68"/>
  <c r="AE684" i="68"/>
  <c r="AE773" i="68"/>
  <c r="S306" i="68"/>
  <c r="S308" i="68" s="1"/>
  <c r="S217" i="68"/>
  <c r="V945" i="68"/>
  <c r="V947" i="68" s="1"/>
  <c r="V856" i="68"/>
  <c r="K414" i="68"/>
  <c r="K503" i="68"/>
  <c r="X432" i="68"/>
  <c r="X521" i="68"/>
  <c r="S750" i="68"/>
  <c r="S839" i="68"/>
  <c r="P561" i="68"/>
  <c r="P563" i="68" s="1"/>
  <c r="P472" i="68"/>
  <c r="AE312" i="68"/>
  <c r="AE314" i="68" s="1"/>
  <c r="AE223" i="68"/>
  <c r="AB576" i="68"/>
  <c r="AB578" i="68" s="1"/>
  <c r="AB487" i="68"/>
  <c r="AG906" i="68"/>
  <c r="AG908" i="68" s="1"/>
  <c r="AG817" i="68"/>
  <c r="U414" i="68"/>
  <c r="U503" i="68"/>
  <c r="AA252" i="68"/>
  <c r="AA254" i="68" s="1"/>
  <c r="AA163" i="68"/>
  <c r="O735" i="68"/>
  <c r="O824" i="68"/>
  <c r="AC441" i="68"/>
  <c r="AC530" i="68"/>
  <c r="V936" i="68"/>
  <c r="V938" i="68" s="1"/>
  <c r="V847" i="68"/>
  <c r="J312" i="68"/>
  <c r="J314" i="68" s="1"/>
  <c r="J223" i="68"/>
  <c r="O61" i="68"/>
  <c r="O62" i="68"/>
  <c r="O153" i="68" s="1"/>
  <c r="O244" i="68" s="1"/>
  <c r="O58" i="68"/>
  <c r="W561" i="68"/>
  <c r="W563" i="68" s="1"/>
  <c r="W472" i="68"/>
  <c r="L393" i="68"/>
  <c r="L482" i="68"/>
  <c r="N484" i="68"/>
  <c r="N573" i="68"/>
  <c r="N575" i="68" s="1"/>
  <c r="J841" i="68"/>
  <c r="J930" i="68"/>
  <c r="J932" i="68" s="1"/>
  <c r="I708" i="68"/>
  <c r="I797" i="68"/>
  <c r="U246" i="68"/>
  <c r="U248" i="68" s="1"/>
  <c r="U157" i="68"/>
  <c r="AG778" i="68"/>
  <c r="AG867" i="68"/>
  <c r="AG869" i="68" s="1"/>
  <c r="Q630" i="68"/>
  <c r="Q632" i="68" s="1"/>
  <c r="Q541" i="68"/>
  <c r="V741" i="68"/>
  <c r="V830" i="68"/>
  <c r="W417" i="68"/>
  <c r="W506" i="68"/>
  <c r="AB453" i="68"/>
  <c r="AB543" i="68"/>
  <c r="AB634" i="68" s="1"/>
  <c r="X426" i="68"/>
  <c r="X515" i="68"/>
  <c r="AF915" i="68"/>
  <c r="AF917" i="68" s="1"/>
  <c r="AF826" i="68"/>
  <c r="AH829" i="68"/>
  <c r="AH918" i="68"/>
  <c r="AH920" i="68" s="1"/>
  <c r="Z312" i="68"/>
  <c r="Z314" i="68" s="1"/>
  <c r="Z223" i="68"/>
  <c r="L909" i="68"/>
  <c r="L911" i="68" s="1"/>
  <c r="L820" i="68"/>
  <c r="V294" i="68"/>
  <c r="V296" i="68" s="1"/>
  <c r="V205" i="68"/>
  <c r="N591" i="68"/>
  <c r="N593" i="68" s="1"/>
  <c r="N502" i="68"/>
  <c r="V249" i="68"/>
  <c r="V251" i="68" s="1"/>
  <c r="V160" i="68"/>
  <c r="T582" i="68"/>
  <c r="T584" i="68" s="1"/>
  <c r="T493" i="68"/>
  <c r="S808" i="68"/>
  <c r="S897" i="68"/>
  <c r="S899" i="68" s="1"/>
  <c r="Y252" i="68"/>
  <c r="Y254" i="68" s="1"/>
  <c r="Y163" i="68"/>
  <c r="K61" i="68"/>
  <c r="K62" i="68"/>
  <c r="K153" i="68" s="1"/>
  <c r="K244" i="68" s="1"/>
  <c r="K58" i="68"/>
  <c r="W702" i="68"/>
  <c r="W791" i="68"/>
  <c r="K371" i="68"/>
  <c r="K462" i="68" s="1"/>
  <c r="K553" i="68" s="1"/>
  <c r="K370" i="68"/>
  <c r="K367" i="68"/>
  <c r="AB438" i="68"/>
  <c r="AB527" i="68"/>
  <c r="T732" i="68"/>
  <c r="T821" i="68"/>
  <c r="Z597" i="68"/>
  <c r="Z599" i="68" s="1"/>
  <c r="Z508" i="68"/>
  <c r="AD564" i="68"/>
  <c r="AD566" i="68" s="1"/>
  <c r="AD475" i="68"/>
  <c r="AD633" i="68"/>
  <c r="AD635" i="68" s="1"/>
  <c r="AD544" i="68"/>
  <c r="J594" i="68"/>
  <c r="J596" i="68" s="1"/>
  <c r="J505" i="68"/>
  <c r="O423" i="68"/>
  <c r="O512" i="68"/>
  <c r="I429" i="68"/>
  <c r="I518" i="68"/>
  <c r="R702" i="68"/>
  <c r="R791" i="68"/>
  <c r="AF702" i="68"/>
  <c r="AF791" i="68"/>
  <c r="S680" i="68"/>
  <c r="S771" i="68" s="1"/>
  <c r="S862" i="68" s="1"/>
  <c r="S679" i="68"/>
  <c r="AH408" i="68"/>
  <c r="AH497" i="68"/>
  <c r="Q426" i="68"/>
  <c r="Q515" i="68"/>
  <c r="Z933" i="68"/>
  <c r="Z935" i="68" s="1"/>
  <c r="Z844" i="68"/>
  <c r="Z285" i="68"/>
  <c r="Z287" i="68" s="1"/>
  <c r="Z196" i="68"/>
  <c r="AA432" i="68"/>
  <c r="AA521" i="68"/>
  <c r="L765" i="68"/>
  <c r="L854" i="68"/>
  <c r="AD720" i="68"/>
  <c r="AD809" i="68"/>
  <c r="V438" i="68"/>
  <c r="V527" i="68"/>
  <c r="V717" i="68"/>
  <c r="V806" i="68"/>
  <c r="AD759" i="68"/>
  <c r="AD848" i="68"/>
  <c r="Q699" i="68"/>
  <c r="Q788" i="68"/>
  <c r="AG478" i="68"/>
  <c r="AG567" i="68"/>
  <c r="AG569" i="68" s="1"/>
  <c r="T61" i="68"/>
  <c r="T62" i="68"/>
  <c r="T153" i="68" s="1"/>
  <c r="T244" i="68" s="1"/>
  <c r="T58" i="68"/>
  <c r="L747" i="68"/>
  <c r="L836" i="68"/>
  <c r="AD594" i="68"/>
  <c r="AD596" i="68" s="1"/>
  <c r="AD505" i="68"/>
  <c r="Y144" i="68"/>
  <c r="Y233" i="68"/>
  <c r="R808" i="68"/>
  <c r="R897" i="68"/>
  <c r="R899" i="68" s="1"/>
  <c r="Y882" i="68"/>
  <c r="Y884" i="68" s="1"/>
  <c r="Y793" i="68"/>
  <c r="V582" i="68"/>
  <c r="V584" i="68" s="1"/>
  <c r="V493" i="68"/>
  <c r="M490" i="68"/>
  <c r="M579" i="68"/>
  <c r="M581" i="68" s="1"/>
  <c r="W726" i="68"/>
  <c r="W815" i="68"/>
  <c r="T541" i="68"/>
  <c r="T630" i="68"/>
  <c r="T632" i="68" s="1"/>
  <c r="AG759" i="68"/>
  <c r="AG848" i="68"/>
  <c r="AB324" i="68"/>
  <c r="AB326" i="68" s="1"/>
  <c r="AB235" i="68"/>
  <c r="U141" i="68"/>
  <c r="U230" i="68"/>
  <c r="K612" i="68"/>
  <c r="K614" i="68" s="1"/>
  <c r="K523" i="68"/>
  <c r="M61" i="68"/>
  <c r="M62" i="68"/>
  <c r="M153" i="68" s="1"/>
  <c r="M244" i="68" s="1"/>
  <c r="M58" i="68"/>
  <c r="W579" i="68"/>
  <c r="W581" i="68" s="1"/>
  <c r="W490" i="68"/>
  <c r="K478" i="68"/>
  <c r="K567" i="68"/>
  <c r="K569" i="68" s="1"/>
  <c r="J744" i="68"/>
  <c r="J833" i="68"/>
  <c r="Z778" i="68"/>
  <c r="Z867" i="68"/>
  <c r="Z869" i="68" s="1"/>
  <c r="S576" i="68"/>
  <c r="S578" i="68" s="1"/>
  <c r="S487" i="68"/>
  <c r="Z249" i="68"/>
  <c r="Z251" i="68" s="1"/>
  <c r="Z160" i="68"/>
  <c r="Q579" i="68"/>
  <c r="Q581" i="68" s="1"/>
  <c r="Q490" i="68"/>
  <c r="R505" i="68"/>
  <c r="R594" i="68"/>
  <c r="R596" i="68" s="1"/>
  <c r="K294" i="68"/>
  <c r="K296" i="68" s="1"/>
  <c r="K205" i="68"/>
  <c r="W423" i="68"/>
  <c r="W512" i="68"/>
  <c r="R255" i="68"/>
  <c r="R257" i="68" s="1"/>
  <c r="R166" i="68"/>
  <c r="AD750" i="68"/>
  <c r="AD839" i="68"/>
  <c r="P750" i="68"/>
  <c r="P839" i="68"/>
  <c r="Y370" i="68"/>
  <c r="Y371" i="68"/>
  <c r="Y462" i="68" s="1"/>
  <c r="Y553" i="68" s="1"/>
  <c r="Y367" i="68"/>
  <c r="Q378" i="68"/>
  <c r="Q467" i="68"/>
  <c r="AB636" i="68"/>
  <c r="AH321" i="68"/>
  <c r="AH323" i="68" s="1"/>
  <c r="AH232" i="68"/>
  <c r="T680" i="68"/>
  <c r="T771" i="68" s="1"/>
  <c r="T862" i="68" s="1"/>
  <c r="T679" i="68"/>
  <c r="T676" i="68"/>
  <c r="T720" i="68"/>
  <c r="T809" i="68"/>
  <c r="AF309" i="68"/>
  <c r="AF311" i="68" s="1"/>
  <c r="AF220" i="68"/>
  <c r="AC588" i="68"/>
  <c r="AC590" i="68" s="1"/>
  <c r="AC499" i="68"/>
  <c r="X876" i="68"/>
  <c r="X878" i="68" s="1"/>
  <c r="X787" i="68"/>
  <c r="AB441" i="68"/>
  <c r="AB530" i="68"/>
  <c r="L679" i="68"/>
  <c r="L680" i="68"/>
  <c r="L771" i="68" s="1"/>
  <c r="L862" i="68" s="1"/>
  <c r="Y732" i="68"/>
  <c r="Y821" i="68"/>
  <c r="Y684" i="68"/>
  <c r="Y773" i="68"/>
  <c r="P375" i="68"/>
  <c r="P464" i="68"/>
  <c r="M564" i="68"/>
  <c r="M566" i="68" s="1"/>
  <c r="M475" i="68"/>
  <c r="N829" i="68"/>
  <c r="N918" i="68"/>
  <c r="N920" i="68" s="1"/>
  <c r="W823" i="68"/>
  <c r="W912" i="68"/>
  <c r="W914" i="68" s="1"/>
  <c r="N750" i="68"/>
  <c r="N839" i="68"/>
  <c r="J555" i="68"/>
  <c r="J557" i="68" s="1"/>
  <c r="J466" i="68"/>
  <c r="O717" i="68"/>
  <c r="O806" i="68"/>
  <c r="AD387" i="68"/>
  <c r="AD476" i="68"/>
  <c r="AH450" i="68"/>
  <c r="AH539" i="68"/>
  <c r="AG396" i="68"/>
  <c r="AG485" i="68"/>
  <c r="R493" i="68"/>
  <c r="R582" i="68"/>
  <c r="R584" i="68" s="1"/>
  <c r="Y561" i="68"/>
  <c r="Y563" i="68" s="1"/>
  <c r="Y472" i="68"/>
  <c r="P475" i="68"/>
  <c r="P564" i="68"/>
  <c r="P566" i="68" s="1"/>
  <c r="Z294" i="68"/>
  <c r="Z296" i="68" s="1"/>
  <c r="Z205" i="68"/>
  <c r="S282" i="68"/>
  <c r="S284" i="68" s="1"/>
  <c r="S193" i="68"/>
  <c r="AE282" i="68"/>
  <c r="AE284" i="68" s="1"/>
  <c r="AE193" i="68"/>
  <c r="AB526" i="68"/>
  <c r="AB615" i="68"/>
  <c r="AB617" i="68" s="1"/>
  <c r="T897" i="68"/>
  <c r="T899" i="68" s="1"/>
  <c r="T808" i="68"/>
  <c r="X765" i="68"/>
  <c r="X854" i="68"/>
  <c r="O765" i="68"/>
  <c r="O855" i="68"/>
  <c r="O946" i="68" s="1"/>
  <c r="AG699" i="68"/>
  <c r="AG788" i="68"/>
  <c r="AA744" i="68"/>
  <c r="AA833" i="68"/>
  <c r="P312" i="68"/>
  <c r="P314" i="68" s="1"/>
  <c r="P223" i="68"/>
  <c r="K726" i="68"/>
  <c r="K815" i="68"/>
  <c r="AG255" i="68"/>
  <c r="AG257" i="68" s="1"/>
  <c r="AG166" i="68"/>
  <c r="AH627" i="68"/>
  <c r="AH629" i="68" s="1"/>
  <c r="AH538" i="68"/>
  <c r="AH775" i="68"/>
  <c r="AH864" i="68"/>
  <c r="AH866" i="68" s="1"/>
  <c r="AH309" i="68"/>
  <c r="AH311" i="68" s="1"/>
  <c r="AH220" i="68"/>
  <c r="Y267" i="68"/>
  <c r="Y269" i="68" s="1"/>
  <c r="Y178" i="68"/>
  <c r="Y714" i="68"/>
  <c r="Y803" i="68"/>
  <c r="Z732" i="68"/>
  <c r="Z821" i="68"/>
  <c r="L720" i="68"/>
  <c r="L809" i="68"/>
  <c r="V396" i="68"/>
  <c r="V485" i="68"/>
  <c r="AF750" i="68"/>
  <c r="AF839" i="68"/>
  <c r="L456" i="68"/>
  <c r="L545" i="68"/>
  <c r="Q744" i="68"/>
  <c r="Q833" i="68"/>
  <c r="AG873" i="68"/>
  <c r="AG875" i="68" s="1"/>
  <c r="AG784" i="68"/>
  <c r="AG384" i="68"/>
  <c r="AG473" i="68"/>
  <c r="V429" i="68"/>
  <c r="V518" i="68"/>
  <c r="T723" i="68"/>
  <c r="T812" i="68"/>
  <c r="AD294" i="68"/>
  <c r="AD296" i="68" s="1"/>
  <c r="AD205" i="68"/>
  <c r="AA696" i="68"/>
  <c r="AA785" i="68"/>
  <c r="AE741" i="68"/>
  <c r="AE830" i="68"/>
  <c r="P638" i="68"/>
  <c r="AH750" i="68"/>
  <c r="AH839" i="68"/>
  <c r="N561" i="68"/>
  <c r="N563" i="68" s="1"/>
  <c r="N472" i="68"/>
  <c r="V935" i="68"/>
  <c r="U324" i="68"/>
  <c r="U326" i="68" s="1"/>
  <c r="U235" i="68"/>
  <c r="Y612" i="68"/>
  <c r="Y614" i="68" s="1"/>
  <c r="Y523" i="68"/>
  <c r="X679" i="68"/>
  <c r="X680" i="68"/>
  <c r="X771" i="68" s="1"/>
  <c r="X862" i="68" s="1"/>
  <c r="X676" i="68"/>
  <c r="R453" i="68"/>
  <c r="R543" i="68"/>
  <c r="R634" i="68" s="1"/>
  <c r="Q371" i="68"/>
  <c r="Q462" i="68" s="1"/>
  <c r="Q553" i="68" s="1"/>
  <c r="Q370" i="68"/>
  <c r="Q367" i="68"/>
  <c r="S532" i="68"/>
  <c r="S621" i="68"/>
  <c r="S623" i="68" s="1"/>
  <c r="K499" i="68"/>
  <c r="K588" i="68"/>
  <c r="K590" i="68" s="1"/>
  <c r="AF936" i="68"/>
  <c r="AF938" i="68" s="1"/>
  <c r="AF847" i="68"/>
  <c r="M423" i="68"/>
  <c r="M512" i="68"/>
  <c r="L324" i="68"/>
  <c r="L326" i="68" s="1"/>
  <c r="L235" i="68"/>
  <c r="Z255" i="68"/>
  <c r="Z257" i="68" s="1"/>
  <c r="Z166" i="68"/>
  <c r="U870" i="68"/>
  <c r="U872" i="68" s="1"/>
  <c r="U781" i="68"/>
  <c r="K399" i="68"/>
  <c r="K488" i="68"/>
  <c r="U444" i="68"/>
  <c r="U534" i="68"/>
  <c r="U625" i="68" s="1"/>
  <c r="AG823" i="68"/>
  <c r="AG912" i="68"/>
  <c r="AG914" i="68" s="1"/>
  <c r="X312" i="68"/>
  <c r="X314" i="68" s="1"/>
  <c r="X223" i="68"/>
  <c r="AF291" i="68"/>
  <c r="AF293" i="68" s="1"/>
  <c r="AF202" i="68"/>
  <c r="X939" i="68"/>
  <c r="X941" i="68" s="1"/>
  <c r="X850" i="68"/>
  <c r="P870" i="68"/>
  <c r="P872" i="68" s="1"/>
  <c r="P781" i="68"/>
  <c r="Y597" i="68"/>
  <c r="Y599" i="68" s="1"/>
  <c r="Y508" i="68"/>
  <c r="J438" i="68"/>
  <c r="J528" i="68"/>
  <c r="J619" i="68" s="1"/>
  <c r="AC741" i="68"/>
  <c r="AC830" i="68"/>
  <c r="U375" i="68"/>
  <c r="U464" i="68"/>
  <c r="O879" i="68"/>
  <c r="O881" i="68" s="1"/>
  <c r="O790" i="68"/>
  <c r="J885" i="68"/>
  <c r="J887" i="68" s="1"/>
  <c r="J796" i="68"/>
  <c r="AF327" i="68"/>
  <c r="AF329" i="68" s="1"/>
  <c r="AF238" i="68"/>
  <c r="M778" i="68"/>
  <c r="M867" i="68"/>
  <c r="M869" i="68" s="1"/>
  <c r="W321" i="68"/>
  <c r="W323" i="68" s="1"/>
  <c r="W232" i="68"/>
  <c r="AC867" i="68"/>
  <c r="AC869" i="68" s="1"/>
  <c r="AC778" i="68"/>
  <c r="Z371" i="68"/>
  <c r="Z462" i="68" s="1"/>
  <c r="Z553" i="68" s="1"/>
  <c r="Z370" i="68"/>
  <c r="Z367" i="68"/>
  <c r="S420" i="68"/>
  <c r="S509" i="68"/>
  <c r="M426" i="68"/>
  <c r="M515" i="68"/>
  <c r="AB399" i="68"/>
  <c r="AB488" i="68"/>
  <c r="O393" i="68"/>
  <c r="O482" i="68"/>
  <c r="W729" i="68"/>
  <c r="W818" i="68"/>
  <c r="M750" i="68"/>
  <c r="M839" i="68"/>
  <c r="I756" i="68"/>
  <c r="I845" i="68"/>
  <c r="T255" i="68"/>
  <c r="T257" i="68" s="1"/>
  <c r="T166" i="68"/>
  <c r="O297" i="68"/>
  <c r="O299" i="68" s="1"/>
  <c r="O208" i="68"/>
  <c r="U693" i="68"/>
  <c r="U782" i="68"/>
  <c r="AC879" i="68"/>
  <c r="AC881" i="68" s="1"/>
  <c r="AC790" i="68"/>
  <c r="AC529" i="68"/>
  <c r="AC618" i="68"/>
  <c r="AC620" i="68" s="1"/>
  <c r="K557" i="68"/>
  <c r="AE526" i="68"/>
  <c r="AE615" i="68"/>
  <c r="AE617" i="68" s="1"/>
  <c r="L879" i="68"/>
  <c r="L881" i="68" s="1"/>
  <c r="L790" i="68"/>
  <c r="K544" i="68"/>
  <c r="K633" i="68"/>
  <c r="K635" i="68" s="1"/>
  <c r="X456" i="68"/>
  <c r="X545" i="68"/>
  <c r="U567" i="68"/>
  <c r="U569" i="68" s="1"/>
  <c r="U478" i="68"/>
  <c r="AF900" i="68"/>
  <c r="AF902" i="68" s="1"/>
  <c r="AF811" i="68"/>
  <c r="Z396" i="68"/>
  <c r="Z485" i="68"/>
  <c r="V417" i="68"/>
  <c r="V506" i="68"/>
  <c r="AC399" i="68"/>
  <c r="AC488" i="68"/>
  <c r="AA591" i="68"/>
  <c r="AA593" i="68" s="1"/>
  <c r="AA502" i="68"/>
  <c r="AA775" i="68"/>
  <c r="AA864" i="68"/>
  <c r="AA866" i="68" s="1"/>
  <c r="AH472" i="68"/>
  <c r="AH561" i="68"/>
  <c r="AH563" i="68" s="1"/>
  <c r="AC729" i="68"/>
  <c r="AC818" i="68"/>
  <c r="AH371" i="68"/>
  <c r="AH462" i="68" s="1"/>
  <c r="AH553" i="68" s="1"/>
  <c r="AH370" i="68"/>
  <c r="AC387" i="68"/>
  <c r="AC476" i="68"/>
  <c r="C19" i="48"/>
  <c r="P517" i="68" l="1"/>
  <c r="K826" i="68"/>
  <c r="AH879" i="68"/>
  <c r="AH881" i="68" s="1"/>
  <c r="K835" i="68"/>
  <c r="P493" i="68"/>
  <c r="J903" i="68"/>
  <c r="J905" i="68" s="1"/>
  <c r="AC178" i="68"/>
  <c r="U915" i="68"/>
  <c r="U917" i="68" s="1"/>
  <c r="T163" i="68"/>
  <c r="P817" i="68"/>
  <c r="K564" i="68"/>
  <c r="K566" i="68" s="1"/>
  <c r="AF487" i="68"/>
  <c r="Y784" i="68"/>
  <c r="AG499" i="68"/>
  <c r="S523" i="68"/>
  <c r="AE576" i="68"/>
  <c r="AE578" i="68" s="1"/>
  <c r="T945" i="68"/>
  <c r="T947" i="68" s="1"/>
  <c r="AG544" i="68"/>
  <c r="X520" i="68"/>
  <c r="AA238" i="68"/>
  <c r="J526" i="68"/>
  <c r="X808" i="68"/>
  <c r="S787" i="68"/>
  <c r="AH924" i="68"/>
  <c r="AH926" i="68" s="1"/>
  <c r="K502" i="68"/>
  <c r="AB775" i="68"/>
  <c r="R523" i="68"/>
  <c r="Z936" i="68"/>
  <c r="Z938" i="68" s="1"/>
  <c r="Z541" i="68"/>
  <c r="AH585" i="68"/>
  <c r="AH587" i="68" s="1"/>
  <c r="W814" i="68"/>
  <c r="AC544" i="68"/>
  <c r="AC924" i="68"/>
  <c r="AC926" i="68" s="1"/>
  <c r="R876" i="68"/>
  <c r="R878" i="68" s="1"/>
  <c r="Q208" i="68"/>
  <c r="AF279" i="68"/>
  <c r="AF281" i="68" s="1"/>
  <c r="AD891" i="68"/>
  <c r="AD893" i="68" s="1"/>
  <c r="S781" i="68"/>
  <c r="AC190" i="68"/>
  <c r="AF532" i="68"/>
  <c r="AG808" i="68"/>
  <c r="S778" i="68"/>
  <c r="L829" i="68"/>
  <c r="AH850" i="68"/>
  <c r="Y238" i="68"/>
  <c r="AG226" i="68"/>
  <c r="V932" i="68"/>
  <c r="AG811" i="68"/>
  <c r="X853" i="68"/>
  <c r="P490" i="68"/>
  <c r="T924" i="68"/>
  <c r="T926" i="68" s="1"/>
  <c r="K829" i="68"/>
  <c r="J799" i="68"/>
  <c r="Q781" i="68"/>
  <c r="M499" i="68"/>
  <c r="U496" i="68"/>
  <c r="AH490" i="68"/>
  <c r="AE579" i="68"/>
  <c r="AE581" i="68" s="1"/>
  <c r="W538" i="68"/>
  <c r="AA249" i="68"/>
  <c r="AA251" i="68" s="1"/>
  <c r="AA160" i="68"/>
  <c r="AG181" i="68"/>
  <c r="AG270" i="68"/>
  <c r="AG272" i="68" s="1"/>
  <c r="AB163" i="68"/>
  <c r="AB252" i="68"/>
  <c r="AB254" i="68" s="1"/>
  <c r="I321" i="68"/>
  <c r="I323" i="68" s="1"/>
  <c r="I232" i="68"/>
  <c r="AB493" i="68"/>
  <c r="L784" i="68"/>
  <c r="AH469" i="68"/>
  <c r="AG312" i="68"/>
  <c r="AG314" i="68" s="1"/>
  <c r="AG223" i="68"/>
  <c r="I303" i="68"/>
  <c r="I305" i="68" s="1"/>
  <c r="I214" i="68"/>
  <c r="W273" i="68"/>
  <c r="W275" i="68" s="1"/>
  <c r="W184" i="68"/>
  <c r="S938" i="68"/>
  <c r="AF255" i="68"/>
  <c r="AF257" i="68" s="1"/>
  <c r="AF166" i="68"/>
  <c r="S847" i="68"/>
  <c r="Q944" i="68"/>
  <c r="AB300" i="68"/>
  <c r="AB302" i="68" s="1"/>
  <c r="AB211" i="68"/>
  <c r="W157" i="68"/>
  <c r="P532" i="68"/>
  <c r="P267" i="68"/>
  <c r="P269" i="68" s="1"/>
  <c r="P178" i="68"/>
  <c r="S817" i="68"/>
  <c r="N255" i="68"/>
  <c r="N257" i="68" s="1"/>
  <c r="N166" i="68"/>
  <c r="AG306" i="68"/>
  <c r="AG308" i="68" s="1"/>
  <c r="AG217" i="68"/>
  <c r="N481" i="68"/>
  <c r="AG594" i="68"/>
  <c r="AG596" i="68" s="1"/>
  <c r="K300" i="68"/>
  <c r="K302" i="68" s="1"/>
  <c r="K211" i="68"/>
  <c r="R835" i="68"/>
  <c r="O252" i="68"/>
  <c r="O254" i="68" s="1"/>
  <c r="O163" i="68"/>
  <c r="AF297" i="68"/>
  <c r="AF299" i="68" s="1"/>
  <c r="AF208" i="68"/>
  <c r="AB279" i="68"/>
  <c r="AB281" i="68" s="1"/>
  <c r="AB190" i="68"/>
  <c r="I262" i="68"/>
  <c r="I263" i="68" s="1"/>
  <c r="I172" i="68"/>
  <c r="T264" i="68"/>
  <c r="T266" i="68" s="1"/>
  <c r="T175" i="68"/>
  <c r="AF249" i="68"/>
  <c r="AF251" i="68" s="1"/>
  <c r="AF160" i="68"/>
  <c r="K279" i="68"/>
  <c r="K281" i="68" s="1"/>
  <c r="K190" i="68"/>
  <c r="L252" i="68"/>
  <c r="L254" i="68" s="1"/>
  <c r="L163" i="68"/>
  <c r="AC246" i="68"/>
  <c r="AC248" i="68" s="1"/>
  <c r="AC157" i="68"/>
  <c r="W226" i="68"/>
  <c r="L312" i="68"/>
  <c r="L314" i="68" s="1"/>
  <c r="L223" i="68"/>
  <c r="T321" i="68"/>
  <c r="T323" i="68" s="1"/>
  <c r="T232" i="68"/>
  <c r="Q252" i="68"/>
  <c r="Q254" i="68" s="1"/>
  <c r="Q163" i="68"/>
  <c r="AG288" i="68"/>
  <c r="AG290" i="68" s="1"/>
  <c r="AG199" i="68"/>
  <c r="Q255" i="68"/>
  <c r="Q257" i="68" s="1"/>
  <c r="Q166" i="68"/>
  <c r="AD288" i="68"/>
  <c r="AD290" i="68" s="1"/>
  <c r="AD199" i="68"/>
  <c r="Z169" i="68"/>
  <c r="Z258" i="68"/>
  <c r="Z260" i="68" s="1"/>
  <c r="Q775" i="68"/>
  <c r="AB258" i="68"/>
  <c r="AB260" i="68" s="1"/>
  <c r="AB169" i="68"/>
  <c r="N309" i="68"/>
  <c r="N311" i="68" s="1"/>
  <c r="N220" i="68"/>
  <c r="AB276" i="68"/>
  <c r="AB278" i="68" s="1"/>
  <c r="AB187" i="68"/>
  <c r="T324" i="68"/>
  <c r="T326" i="68" s="1"/>
  <c r="T235" i="68"/>
  <c r="J838" i="68"/>
  <c r="W255" i="68"/>
  <c r="W257" i="68" s="1"/>
  <c r="W166" i="68"/>
  <c r="AH279" i="68"/>
  <c r="AH281" i="68" s="1"/>
  <c r="AH190" i="68"/>
  <c r="AD853" i="68"/>
  <c r="AB638" i="68"/>
  <c r="V526" i="68"/>
  <c r="AF273" i="68"/>
  <c r="AF275" i="68" s="1"/>
  <c r="AF184" i="68"/>
  <c r="X315" i="68"/>
  <c r="X317" i="68" s="1"/>
  <c r="X226" i="68"/>
  <c r="S276" i="68"/>
  <c r="S278" i="68" s="1"/>
  <c r="S187" i="68"/>
  <c r="V264" i="68"/>
  <c r="V266" i="68" s="1"/>
  <c r="V175" i="68"/>
  <c r="V841" i="68"/>
  <c r="Q853" i="68"/>
  <c r="K920" i="68"/>
  <c r="P623" i="68"/>
  <c r="S541" i="68"/>
  <c r="O829" i="68"/>
  <c r="AC638" i="68"/>
  <c r="V929" i="68"/>
  <c r="O920" i="68"/>
  <c r="O938" i="68"/>
  <c r="S838" i="68"/>
  <c r="S929" i="68"/>
  <c r="J866" i="68"/>
  <c r="T935" i="68"/>
  <c r="T844" i="68"/>
  <c r="O847" i="68"/>
  <c r="V897" i="68"/>
  <c r="V899" i="68" s="1"/>
  <c r="V808" i="68"/>
  <c r="R867" i="68"/>
  <c r="R869" i="68" s="1"/>
  <c r="R778" i="68"/>
  <c r="K579" i="68"/>
  <c r="K581" i="68" s="1"/>
  <c r="K490" i="68"/>
  <c r="V487" i="68"/>
  <c r="V576" i="68"/>
  <c r="V578" i="68" s="1"/>
  <c r="Y912" i="68"/>
  <c r="Y914" i="68" s="1"/>
  <c r="Y823" i="68"/>
  <c r="T63" i="68"/>
  <c r="T148" i="68" s="1"/>
  <c r="T152" i="68"/>
  <c r="AB885" i="68"/>
  <c r="AB887" i="68" s="1"/>
  <c r="AB796" i="68"/>
  <c r="U873" i="68"/>
  <c r="U875" i="68" s="1"/>
  <c r="U784" i="68"/>
  <c r="M930" i="68"/>
  <c r="M932" i="68" s="1"/>
  <c r="M841" i="68"/>
  <c r="T903" i="68"/>
  <c r="T905" i="68" s="1"/>
  <c r="T814" i="68"/>
  <c r="V529" i="68"/>
  <c r="V618" i="68"/>
  <c r="V620" i="68" s="1"/>
  <c r="S681" i="68"/>
  <c r="S766" i="68" s="1"/>
  <c r="S770" i="68"/>
  <c r="O603" i="68"/>
  <c r="O605" i="68" s="1"/>
  <c r="O514" i="68"/>
  <c r="V832" i="68"/>
  <c r="V921" i="68"/>
  <c r="V923" i="68" s="1"/>
  <c r="I888" i="68"/>
  <c r="I890" i="68" s="1"/>
  <c r="I799" i="68"/>
  <c r="O903" i="68"/>
  <c r="O905" i="68" s="1"/>
  <c r="O814" i="68"/>
  <c r="M372" i="68"/>
  <c r="M457" i="68" s="1"/>
  <c r="M461" i="68"/>
  <c r="Q787" i="68"/>
  <c r="Q876" i="68"/>
  <c r="Q878" i="68" s="1"/>
  <c r="P891" i="68"/>
  <c r="P893" i="68" s="1"/>
  <c r="P802" i="68"/>
  <c r="L612" i="68"/>
  <c r="L614" i="68" s="1"/>
  <c r="L523" i="68"/>
  <c r="AC505" i="68"/>
  <c r="AC594" i="68"/>
  <c r="AC596" i="68" s="1"/>
  <c r="AH856" i="68"/>
  <c r="AH945" i="68"/>
  <c r="AH947" i="68" s="1"/>
  <c r="M558" i="68"/>
  <c r="M560" i="68" s="1"/>
  <c r="M469" i="68"/>
  <c r="K597" i="68"/>
  <c r="K599" i="68" s="1"/>
  <c r="K508" i="68"/>
  <c r="W496" i="68"/>
  <c r="W585" i="68"/>
  <c r="W587" i="68" s="1"/>
  <c r="V894" i="68"/>
  <c r="V896" i="68" s="1"/>
  <c r="V805" i="68"/>
  <c r="AB793" i="68"/>
  <c r="AB882" i="68"/>
  <c r="AB884" i="68" s="1"/>
  <c r="T585" i="68"/>
  <c r="T587" i="68" s="1"/>
  <c r="T496" i="68"/>
  <c r="T532" i="68"/>
  <c r="T621" i="68"/>
  <c r="T623" i="68" s="1"/>
  <c r="AB594" i="68"/>
  <c r="AB596" i="68" s="1"/>
  <c r="AB505" i="68"/>
  <c r="S921" i="68"/>
  <c r="S923" i="68" s="1"/>
  <c r="S832" i="68"/>
  <c r="AE544" i="68"/>
  <c r="AE633" i="68"/>
  <c r="AE635" i="68" s="1"/>
  <c r="U63" i="68"/>
  <c r="U148" i="68" s="1"/>
  <c r="U152" i="68"/>
  <c r="S633" i="68"/>
  <c r="S635" i="68" s="1"/>
  <c r="S544" i="68"/>
  <c r="AH555" i="68"/>
  <c r="AH557" i="68" s="1"/>
  <c r="AH466" i="68"/>
  <c r="AB63" i="68"/>
  <c r="AB148" i="68" s="1"/>
  <c r="AB152" i="68"/>
  <c r="AD603" i="68"/>
  <c r="AD605" i="68" s="1"/>
  <c r="AD514" i="68"/>
  <c r="AE585" i="68"/>
  <c r="AE587" i="68" s="1"/>
  <c r="AE496" i="68"/>
  <c r="J929" i="68"/>
  <c r="Y924" i="68"/>
  <c r="Y926" i="68" s="1"/>
  <c r="Y835" i="68"/>
  <c r="AE885" i="68"/>
  <c r="AE887" i="68" s="1"/>
  <c r="AE796" i="68"/>
  <c r="U529" i="68"/>
  <c r="U618" i="68"/>
  <c r="U620" i="68" s="1"/>
  <c r="V817" i="68"/>
  <c r="V906" i="68"/>
  <c r="V908" i="68" s="1"/>
  <c r="T864" i="68"/>
  <c r="T866" i="68" s="1"/>
  <c r="T775" i="68"/>
  <c r="J484" i="68"/>
  <c r="J573" i="68"/>
  <c r="J575" i="68" s="1"/>
  <c r="P799" i="68"/>
  <c r="P888" i="68"/>
  <c r="P890" i="68" s="1"/>
  <c r="T927" i="68"/>
  <c r="T929" i="68" s="1"/>
  <c r="T838" i="68"/>
  <c r="AB850" i="68"/>
  <c r="AB939" i="68"/>
  <c r="AB941" i="68" s="1"/>
  <c r="V63" i="68"/>
  <c r="V148" i="68" s="1"/>
  <c r="V152" i="68"/>
  <c r="I576" i="68"/>
  <c r="I578" i="68" s="1"/>
  <c r="I487" i="68"/>
  <c r="O490" i="68"/>
  <c r="O579" i="68"/>
  <c r="O581" i="68" s="1"/>
  <c r="AF535" i="68"/>
  <c r="AF624" i="68"/>
  <c r="AF626" i="68" s="1"/>
  <c r="V627" i="68"/>
  <c r="V629" i="68" s="1"/>
  <c r="V538" i="68"/>
  <c r="P867" i="68"/>
  <c r="P869" i="68" s="1"/>
  <c r="P778" i="68"/>
  <c r="V606" i="68"/>
  <c r="V608" i="68" s="1"/>
  <c r="V517" i="68"/>
  <c r="S942" i="68"/>
  <c r="S944" i="68" s="1"/>
  <c r="S853" i="68"/>
  <c r="O627" i="68"/>
  <c r="O629" i="68" s="1"/>
  <c r="O538" i="68"/>
  <c r="P942" i="68"/>
  <c r="P944" i="68" s="1"/>
  <c r="P853" i="68"/>
  <c r="AD796" i="68"/>
  <c r="AD885" i="68"/>
  <c r="AD887" i="68" s="1"/>
  <c r="Z499" i="68"/>
  <c r="Z588" i="68"/>
  <c r="Z590" i="68" s="1"/>
  <c r="Z484" i="68"/>
  <c r="Z573" i="68"/>
  <c r="Z575" i="68" s="1"/>
  <c r="X915" i="68"/>
  <c r="X917" i="68" s="1"/>
  <c r="X826" i="68"/>
  <c r="AE681" i="68"/>
  <c r="AE766" i="68" s="1"/>
  <c r="AE770" i="68"/>
  <c r="M681" i="68"/>
  <c r="M766" i="68" s="1"/>
  <c r="M770" i="68"/>
  <c r="M927" i="68"/>
  <c r="M929" i="68" s="1"/>
  <c r="M838" i="68"/>
  <c r="AA576" i="68"/>
  <c r="AA578" i="68" s="1"/>
  <c r="AA487" i="68"/>
  <c r="J681" i="68"/>
  <c r="J766" i="68" s="1"/>
  <c r="J770" i="68"/>
  <c r="N372" i="68"/>
  <c r="N457" i="68" s="1"/>
  <c r="N461" i="68"/>
  <c r="Z856" i="68"/>
  <c r="AB681" i="68"/>
  <c r="AB766" i="68" s="1"/>
  <c r="AB770" i="68"/>
  <c r="AE63" i="68"/>
  <c r="AE148" i="68" s="1"/>
  <c r="AE152" i="68"/>
  <c r="AE939" i="68"/>
  <c r="AE941" i="68" s="1"/>
  <c r="AE850" i="68"/>
  <c r="Q793" i="68"/>
  <c r="Q882" i="68"/>
  <c r="Q884" i="68" s="1"/>
  <c r="AG511" i="68"/>
  <c r="AG600" i="68"/>
  <c r="AG602" i="68" s="1"/>
  <c r="I630" i="68"/>
  <c r="I632" i="68" s="1"/>
  <c r="I541" i="68"/>
  <c r="AA888" i="68"/>
  <c r="AA890" i="68" s="1"/>
  <c r="AA799" i="68"/>
  <c r="M597" i="68"/>
  <c r="M599" i="68" s="1"/>
  <c r="M508" i="68"/>
  <c r="AG621" i="68"/>
  <c r="AG623" i="68" s="1"/>
  <c r="AG532" i="68"/>
  <c r="N891" i="68"/>
  <c r="N893" i="68" s="1"/>
  <c r="N802" i="68"/>
  <c r="AH594" i="68"/>
  <c r="AH596" i="68" s="1"/>
  <c r="AH505" i="68"/>
  <c r="V903" i="68"/>
  <c r="V905" i="68" s="1"/>
  <c r="V814" i="68"/>
  <c r="AH63" i="68"/>
  <c r="AH148" i="68" s="1"/>
  <c r="AH152" i="68"/>
  <c r="J906" i="68"/>
  <c r="J908" i="68" s="1"/>
  <c r="J817" i="68"/>
  <c r="AA918" i="68"/>
  <c r="AA920" i="68" s="1"/>
  <c r="AA829" i="68"/>
  <c r="I866" i="68"/>
  <c r="K511" i="68"/>
  <c r="K600" i="68"/>
  <c r="K602" i="68" s="1"/>
  <c r="N621" i="68"/>
  <c r="N623" i="68" s="1"/>
  <c r="N532" i="68"/>
  <c r="P924" i="68"/>
  <c r="P926" i="68" s="1"/>
  <c r="P835" i="68"/>
  <c r="Z63" i="68"/>
  <c r="Z148" i="68" s="1"/>
  <c r="Z152" i="68"/>
  <c r="O484" i="68"/>
  <c r="O573" i="68"/>
  <c r="O575" i="68" s="1"/>
  <c r="I609" i="68"/>
  <c r="I611" i="68" s="1"/>
  <c r="I520" i="68"/>
  <c r="AH372" i="68"/>
  <c r="AH457" i="68" s="1"/>
  <c r="AH461" i="68"/>
  <c r="M603" i="68"/>
  <c r="M605" i="68" s="1"/>
  <c r="M514" i="68"/>
  <c r="AH930" i="68"/>
  <c r="AH932" i="68" s="1"/>
  <c r="AH841" i="68"/>
  <c r="Q558" i="68"/>
  <c r="Q560" i="68" s="1"/>
  <c r="Q469" i="68"/>
  <c r="Y324" i="68"/>
  <c r="Y326" i="68" s="1"/>
  <c r="Y235" i="68"/>
  <c r="K372" i="68"/>
  <c r="K457" i="68" s="1"/>
  <c r="K461" i="68"/>
  <c r="M606" i="68"/>
  <c r="M608" i="68" s="1"/>
  <c r="M517" i="68"/>
  <c r="AC820" i="68"/>
  <c r="AC909" i="68"/>
  <c r="AC911" i="68" s="1"/>
  <c r="AC490" i="68"/>
  <c r="AC579" i="68"/>
  <c r="AC581" i="68" s="1"/>
  <c r="Q372" i="68"/>
  <c r="Q457" i="68" s="1"/>
  <c r="Q461" i="68"/>
  <c r="Q924" i="68"/>
  <c r="Q926" i="68" s="1"/>
  <c r="Q835" i="68"/>
  <c r="L811" i="68"/>
  <c r="L900" i="68"/>
  <c r="L902" i="68" s="1"/>
  <c r="AG879" i="68"/>
  <c r="AG881" i="68" s="1"/>
  <c r="AG790" i="68"/>
  <c r="AG576" i="68"/>
  <c r="AG578" i="68" s="1"/>
  <c r="AG487" i="68"/>
  <c r="AG939" i="68"/>
  <c r="AG941" i="68" s="1"/>
  <c r="AG850" i="68"/>
  <c r="W882" i="68"/>
  <c r="W884" i="68" s="1"/>
  <c r="W793" i="68"/>
  <c r="AC532" i="68"/>
  <c r="AC621" i="68"/>
  <c r="AC623" i="68" s="1"/>
  <c r="U594" i="68"/>
  <c r="U596" i="68" s="1"/>
  <c r="U505" i="68"/>
  <c r="Y850" i="68"/>
  <c r="Y939" i="68"/>
  <c r="Y941" i="68" s="1"/>
  <c r="T511" i="68"/>
  <c r="T600" i="68"/>
  <c r="T602" i="68" s="1"/>
  <c r="O633" i="68"/>
  <c r="O635" i="68" s="1"/>
  <c r="O544" i="68"/>
  <c r="V561" i="68"/>
  <c r="V563" i="68" s="1"/>
  <c r="V472" i="68"/>
  <c r="T885" i="68"/>
  <c r="T887" i="68" s="1"/>
  <c r="T796" i="68"/>
  <c r="AF615" i="68"/>
  <c r="AF617" i="68" s="1"/>
  <c r="AF526" i="68"/>
  <c r="W894" i="68"/>
  <c r="W896" i="68" s="1"/>
  <c r="W805" i="68"/>
  <c r="Y63" i="68"/>
  <c r="Y148" i="68" s="1"/>
  <c r="Y152" i="68"/>
  <c r="AE627" i="68"/>
  <c r="AE629" i="68" s="1"/>
  <c r="AE538" i="68"/>
  <c r="U627" i="68"/>
  <c r="U629" i="68" s="1"/>
  <c r="U538" i="68"/>
  <c r="Q891" i="68"/>
  <c r="Q893" i="68" s="1"/>
  <c r="Q802" i="68"/>
  <c r="W372" i="68"/>
  <c r="W457" i="68" s="1"/>
  <c r="W461" i="68"/>
  <c r="I930" i="68"/>
  <c r="I932" i="68" s="1"/>
  <c r="I841" i="68"/>
  <c r="I924" i="68"/>
  <c r="I926" i="68" s="1"/>
  <c r="I835" i="68"/>
  <c r="Q511" i="68"/>
  <c r="Q600" i="68"/>
  <c r="Q602" i="68" s="1"/>
  <c r="AF873" i="68"/>
  <c r="AF875" i="68" s="1"/>
  <c r="AF784" i="68"/>
  <c r="U921" i="68"/>
  <c r="U923" i="68" s="1"/>
  <c r="U832" i="68"/>
  <c r="J624" i="68"/>
  <c r="J626" i="68" s="1"/>
  <c r="J535" i="68"/>
  <c r="M885" i="68"/>
  <c r="M887" i="68" s="1"/>
  <c r="M796" i="68"/>
  <c r="S372" i="68"/>
  <c r="S457" i="68" s="1"/>
  <c r="S461" i="68"/>
  <c r="W864" i="68"/>
  <c r="W866" i="68" s="1"/>
  <c r="W775" i="68"/>
  <c r="K481" i="68"/>
  <c r="K570" i="68"/>
  <c r="K572" i="68" s="1"/>
  <c r="U603" i="68"/>
  <c r="U605" i="68" s="1"/>
  <c r="U514" i="68"/>
  <c r="AE924" i="68"/>
  <c r="AE926" i="68" s="1"/>
  <c r="AE835" i="68"/>
  <c r="S63" i="68"/>
  <c r="S148" i="68" s="1"/>
  <c r="S152" i="68"/>
  <c r="N903" i="68"/>
  <c r="N905" i="68" s="1"/>
  <c r="N814" i="68"/>
  <c r="AF63" i="68"/>
  <c r="AF148" i="68" s="1"/>
  <c r="AF152" i="68"/>
  <c r="S632" i="68"/>
  <c r="W796" i="68"/>
  <c r="W885" i="68"/>
  <c r="W887" i="68" s="1"/>
  <c r="Y567" i="68"/>
  <c r="Y569" i="68" s="1"/>
  <c r="Y478" i="68"/>
  <c r="Y891" i="68"/>
  <c r="Y893" i="68" s="1"/>
  <c r="Y802" i="68"/>
  <c r="J933" i="68"/>
  <c r="J935" i="68" s="1"/>
  <c r="J844" i="68"/>
  <c r="O924" i="68"/>
  <c r="O926" i="68" s="1"/>
  <c r="O835" i="68"/>
  <c r="AH624" i="68"/>
  <c r="AH626" i="68" s="1"/>
  <c r="AH535" i="68"/>
  <c r="AG945" i="68"/>
  <c r="AG947" i="68" s="1"/>
  <c r="AG856" i="68"/>
  <c r="AB570" i="68"/>
  <c r="AB572" i="68" s="1"/>
  <c r="AB481" i="68"/>
  <c r="S811" i="68"/>
  <c r="S900" i="68"/>
  <c r="S902" i="68" s="1"/>
  <c r="J529" i="68"/>
  <c r="L609" i="68"/>
  <c r="L611" i="68" s="1"/>
  <c r="L520" i="68"/>
  <c r="AF870" i="68"/>
  <c r="AF872" i="68" s="1"/>
  <c r="AF781" i="68"/>
  <c r="M891" i="68"/>
  <c r="M893" i="68" s="1"/>
  <c r="M802" i="68"/>
  <c r="Z947" i="68"/>
  <c r="N555" i="68"/>
  <c r="N557" i="68" s="1"/>
  <c r="N466" i="68"/>
  <c r="X618" i="68"/>
  <c r="X620" i="68" s="1"/>
  <c r="X529" i="68"/>
  <c r="Q866" i="68"/>
  <c r="L481" i="68"/>
  <c r="L570" i="68"/>
  <c r="L572" i="68" s="1"/>
  <c r="W621" i="68"/>
  <c r="W623" i="68" s="1"/>
  <c r="W532" i="68"/>
  <c r="AA372" i="68"/>
  <c r="AA457" i="68" s="1"/>
  <c r="AA461" i="68"/>
  <c r="AB544" i="68"/>
  <c r="N612" i="68"/>
  <c r="N614" i="68" s="1"/>
  <c r="N523" i="68"/>
  <c r="P814" i="68"/>
  <c r="P903" i="68"/>
  <c r="P905" i="68" s="1"/>
  <c r="X912" i="68"/>
  <c r="X914" i="68" s="1"/>
  <c r="X823" i="68"/>
  <c r="I573" i="68"/>
  <c r="I575" i="68" s="1"/>
  <c r="I484" i="68"/>
  <c r="Y499" i="68"/>
  <c r="Y588" i="68"/>
  <c r="Y590" i="68" s="1"/>
  <c r="AA621" i="68"/>
  <c r="AA623" i="68" s="1"/>
  <c r="AA532" i="68"/>
  <c r="T793" i="68"/>
  <c r="T882" i="68"/>
  <c r="T884" i="68" s="1"/>
  <c r="I547" i="68"/>
  <c r="I636" i="68"/>
  <c r="I638" i="68" s="1"/>
  <c r="U900" i="68"/>
  <c r="U902" i="68" s="1"/>
  <c r="U811" i="68"/>
  <c r="L930" i="68"/>
  <c r="L932" i="68" s="1"/>
  <c r="L841" i="68"/>
  <c r="P633" i="68"/>
  <c r="P635" i="68" s="1"/>
  <c r="P544" i="68"/>
  <c r="O372" i="68"/>
  <c r="O457" i="68" s="1"/>
  <c r="O461" i="68"/>
  <c r="V681" i="68"/>
  <c r="V766" i="68" s="1"/>
  <c r="V770" i="68"/>
  <c r="M790" i="68"/>
  <c r="M879" i="68"/>
  <c r="M881" i="68" s="1"/>
  <c r="L876" i="68"/>
  <c r="L878" i="68" s="1"/>
  <c r="L787" i="68"/>
  <c r="S600" i="68"/>
  <c r="S602" i="68" s="1"/>
  <c r="S511" i="68"/>
  <c r="L681" i="68"/>
  <c r="L766" i="68" s="1"/>
  <c r="L770" i="68"/>
  <c r="J835" i="68"/>
  <c r="J924" i="68"/>
  <c r="J926" i="68" s="1"/>
  <c r="AD900" i="68"/>
  <c r="AD902" i="68" s="1"/>
  <c r="AD811" i="68"/>
  <c r="AF882" i="68"/>
  <c r="AF884" i="68" s="1"/>
  <c r="AF793" i="68"/>
  <c r="T912" i="68"/>
  <c r="T914" i="68" s="1"/>
  <c r="T823" i="68"/>
  <c r="AE564" i="68"/>
  <c r="AE566" i="68" s="1"/>
  <c r="AE475" i="68"/>
  <c r="AA942" i="68"/>
  <c r="AA944" i="68" s="1"/>
  <c r="AA853" i="68"/>
  <c r="AD927" i="68"/>
  <c r="AD929" i="68" s="1"/>
  <c r="AD838" i="68"/>
  <c r="Z927" i="68"/>
  <c r="Z929" i="68" s="1"/>
  <c r="Z838" i="68"/>
  <c r="AC582" i="68"/>
  <c r="AC584" i="68" s="1"/>
  <c r="AC493" i="68"/>
  <c r="AF547" i="68"/>
  <c r="AF636" i="68"/>
  <c r="AF638" i="68" s="1"/>
  <c r="X372" i="68"/>
  <c r="X457" i="68" s="1"/>
  <c r="X461" i="68"/>
  <c r="O939" i="68"/>
  <c r="O941" i="68" s="1"/>
  <c r="O850" i="68"/>
  <c r="AD555" i="68"/>
  <c r="AD557" i="68" s="1"/>
  <c r="AD466" i="68"/>
  <c r="AE597" i="68"/>
  <c r="AE599" i="68" s="1"/>
  <c r="AE508" i="68"/>
  <c r="P627" i="68"/>
  <c r="P629" i="68" s="1"/>
  <c r="P538" i="68"/>
  <c r="J945" i="68"/>
  <c r="J947" i="68" s="1"/>
  <c r="J856" i="68"/>
  <c r="AC894" i="68"/>
  <c r="AC896" i="68" s="1"/>
  <c r="AC805" i="68"/>
  <c r="U597" i="68"/>
  <c r="U599" i="68" s="1"/>
  <c r="U508" i="68"/>
  <c r="M897" i="68"/>
  <c r="M899" i="68" s="1"/>
  <c r="M808" i="68"/>
  <c r="AE897" i="68"/>
  <c r="AE899" i="68" s="1"/>
  <c r="AE808" i="68"/>
  <c r="AD597" i="68"/>
  <c r="AD599" i="68" s="1"/>
  <c r="AD508" i="68"/>
  <c r="AE811" i="68"/>
  <c r="AE900" i="68"/>
  <c r="AE902" i="68" s="1"/>
  <c r="X796" i="68"/>
  <c r="X885" i="68"/>
  <c r="X887" i="68" s="1"/>
  <c r="T594" i="68"/>
  <c r="T596" i="68" s="1"/>
  <c r="T505" i="68"/>
  <c r="X532" i="68"/>
  <c r="X621" i="68"/>
  <c r="X623" i="68" s="1"/>
  <c r="I600" i="68"/>
  <c r="I602" i="68" s="1"/>
  <c r="I511" i="68"/>
  <c r="Y582" i="68"/>
  <c r="Y584" i="68" s="1"/>
  <c r="Y493" i="68"/>
  <c r="AA894" i="68"/>
  <c r="AA896" i="68" s="1"/>
  <c r="AA805" i="68"/>
  <c r="R541" i="68"/>
  <c r="R630" i="68"/>
  <c r="R632" i="68" s="1"/>
  <c r="S493" i="68"/>
  <c r="S582" i="68"/>
  <c r="S584" i="68" s="1"/>
  <c r="V567" i="68"/>
  <c r="V569" i="68" s="1"/>
  <c r="V478" i="68"/>
  <c r="O844" i="68"/>
  <c r="O933" i="68"/>
  <c r="O935" i="68" s="1"/>
  <c r="Z624" i="68"/>
  <c r="Z626" i="68" s="1"/>
  <c r="Z535" i="68"/>
  <c r="AC576" i="68"/>
  <c r="AC578" i="68" s="1"/>
  <c r="AC487" i="68"/>
  <c r="AG918" i="68"/>
  <c r="AG920" i="68" s="1"/>
  <c r="AG829" i="68"/>
  <c r="U891" i="68"/>
  <c r="U893" i="68" s="1"/>
  <c r="U802" i="68"/>
  <c r="AA636" i="68"/>
  <c r="AA638" i="68" s="1"/>
  <c r="AA547" i="68"/>
  <c r="P915" i="68"/>
  <c r="P917" i="68" s="1"/>
  <c r="P826" i="68"/>
  <c r="N835" i="68"/>
  <c r="N924" i="68"/>
  <c r="N926" i="68" s="1"/>
  <c r="W535" i="68"/>
  <c r="W624" i="68"/>
  <c r="W626" i="68" s="1"/>
  <c r="AG921" i="68"/>
  <c r="AG923" i="68" s="1"/>
  <c r="AG832" i="68"/>
  <c r="AC481" i="68"/>
  <c r="AC570" i="68"/>
  <c r="AC572" i="68" s="1"/>
  <c r="AF594" i="68"/>
  <c r="AF596" i="68" s="1"/>
  <c r="AF505" i="68"/>
  <c r="AE847" i="68"/>
  <c r="AE936" i="68"/>
  <c r="AE938" i="68" s="1"/>
  <c r="AF627" i="68"/>
  <c r="AF629" i="68" s="1"/>
  <c r="AF538" i="68"/>
  <c r="J620" i="68"/>
  <c r="AD63" i="68"/>
  <c r="AD148" i="68" s="1"/>
  <c r="AD152" i="68"/>
  <c r="Q894" i="68"/>
  <c r="Q896" i="68" s="1"/>
  <c r="Q805" i="68"/>
  <c r="Q820" i="68"/>
  <c r="Q909" i="68"/>
  <c r="Q911" i="68" s="1"/>
  <c r="Y681" i="68"/>
  <c r="Y766" i="68" s="1"/>
  <c r="Y770" i="68"/>
  <c r="N600" i="68"/>
  <c r="N602" i="68" s="1"/>
  <c r="N511" i="68"/>
  <c r="AF570" i="68"/>
  <c r="AF572" i="68" s="1"/>
  <c r="AF481" i="68"/>
  <c r="Z561" i="68"/>
  <c r="Z563" i="68" s="1"/>
  <c r="Z472" i="68"/>
  <c r="AD832" i="68"/>
  <c r="AD921" i="68"/>
  <c r="AD923" i="68" s="1"/>
  <c r="W942" i="68"/>
  <c r="W944" i="68" s="1"/>
  <c r="W853" i="68"/>
  <c r="Z681" i="68"/>
  <c r="Z766" i="68" s="1"/>
  <c r="Z770" i="68"/>
  <c r="L63" i="68"/>
  <c r="L148" i="68" s="1"/>
  <c r="L152" i="68"/>
  <c r="AB635" i="68"/>
  <c r="K894" i="68"/>
  <c r="K896" i="68" s="1"/>
  <c r="K805" i="68"/>
  <c r="AB517" i="68"/>
  <c r="AB606" i="68"/>
  <c r="AB608" i="68" s="1"/>
  <c r="AB853" i="68"/>
  <c r="W63" i="68"/>
  <c r="W148" i="68" s="1"/>
  <c r="W152" i="68"/>
  <c r="AE912" i="68"/>
  <c r="AE914" i="68" s="1"/>
  <c r="AE823" i="68"/>
  <c r="X157" i="68"/>
  <c r="O793" i="68"/>
  <c r="O882" i="68"/>
  <c r="O884" i="68" s="1"/>
  <c r="AG915" i="68"/>
  <c r="AG917" i="68" s="1"/>
  <c r="AG826" i="68"/>
  <c r="I936" i="68"/>
  <c r="I938" i="68" s="1"/>
  <c r="I847" i="68"/>
  <c r="AD930" i="68"/>
  <c r="AD932" i="68" s="1"/>
  <c r="AD841" i="68"/>
  <c r="AA612" i="68"/>
  <c r="AA614" i="68" s="1"/>
  <c r="AA523" i="68"/>
  <c r="W909" i="68"/>
  <c r="W911" i="68" s="1"/>
  <c r="W820" i="68"/>
  <c r="AE921" i="68"/>
  <c r="AE923" i="68" s="1"/>
  <c r="AE832" i="68"/>
  <c r="W603" i="68"/>
  <c r="W605" i="68" s="1"/>
  <c r="W514" i="68"/>
  <c r="M63" i="68"/>
  <c r="M148" i="68" s="1"/>
  <c r="M152" i="68"/>
  <c r="Q790" i="68"/>
  <c r="Q879" i="68"/>
  <c r="Q881" i="68" s="1"/>
  <c r="X517" i="68"/>
  <c r="X606" i="68"/>
  <c r="X608" i="68" s="1"/>
  <c r="V508" i="68"/>
  <c r="V597" i="68"/>
  <c r="V599" i="68" s="1"/>
  <c r="X636" i="68"/>
  <c r="X638" i="68" s="1"/>
  <c r="X547" i="68"/>
  <c r="U555" i="68"/>
  <c r="U557" i="68" s="1"/>
  <c r="U466" i="68"/>
  <c r="V520" i="68"/>
  <c r="V609" i="68"/>
  <c r="V611" i="68" s="1"/>
  <c r="L636" i="68"/>
  <c r="L638" i="68" s="1"/>
  <c r="L547" i="68"/>
  <c r="Z912" i="68"/>
  <c r="Z914" i="68" s="1"/>
  <c r="Z823" i="68"/>
  <c r="K906" i="68"/>
  <c r="K908" i="68" s="1"/>
  <c r="K817" i="68"/>
  <c r="AH630" i="68"/>
  <c r="AH632" i="68" s="1"/>
  <c r="AH541" i="68"/>
  <c r="N930" i="68"/>
  <c r="N932" i="68" s="1"/>
  <c r="N841" i="68"/>
  <c r="P466" i="68"/>
  <c r="P555" i="68"/>
  <c r="P557" i="68" s="1"/>
  <c r="AB621" i="68"/>
  <c r="AB623" i="68" s="1"/>
  <c r="AB532" i="68"/>
  <c r="Y372" i="68"/>
  <c r="Y457" i="68" s="1"/>
  <c r="Y461" i="68"/>
  <c r="L927" i="68"/>
  <c r="L929" i="68" s="1"/>
  <c r="L838" i="68"/>
  <c r="S930" i="68"/>
  <c r="S932" i="68" s="1"/>
  <c r="S841" i="68"/>
  <c r="Q906" i="68"/>
  <c r="Q908" i="68" s="1"/>
  <c r="Q817" i="68"/>
  <c r="AB867" i="68"/>
  <c r="AB869" i="68" s="1"/>
  <c r="AB778" i="68"/>
  <c r="I681" i="68"/>
  <c r="I766" i="68" s="1"/>
  <c r="I770" i="68"/>
  <c r="X906" i="68"/>
  <c r="X908" i="68" s="1"/>
  <c r="X817" i="68"/>
  <c r="AG466" i="68"/>
  <c r="AG555" i="68"/>
  <c r="AG557" i="68" s="1"/>
  <c r="J567" i="68"/>
  <c r="J569" i="68" s="1"/>
  <c r="J478" i="68"/>
  <c r="K870" i="68"/>
  <c r="K872" i="68" s="1"/>
  <c r="K781" i="68"/>
  <c r="AD681" i="68"/>
  <c r="AD766" i="68" s="1"/>
  <c r="AD770" i="68"/>
  <c r="AG582" i="68"/>
  <c r="AG584" i="68" s="1"/>
  <c r="AG493" i="68"/>
  <c r="AE903" i="68"/>
  <c r="AE905" i="68" s="1"/>
  <c r="AE814" i="68"/>
  <c r="J900" i="68"/>
  <c r="J902" i="68" s="1"/>
  <c r="J811" i="68"/>
  <c r="S615" i="68"/>
  <c r="S617" i="68" s="1"/>
  <c r="S526" i="68"/>
  <c r="R564" i="68"/>
  <c r="R566" i="68" s="1"/>
  <c r="R475" i="68"/>
  <c r="W681" i="68"/>
  <c r="W766" i="68" s="1"/>
  <c r="W770" i="68"/>
  <c r="R597" i="68"/>
  <c r="R599" i="68" s="1"/>
  <c r="R508" i="68"/>
  <c r="AF544" i="68"/>
  <c r="AF633" i="68"/>
  <c r="AF635" i="68" s="1"/>
  <c r="Q624" i="68"/>
  <c r="Q626" i="68" s="1"/>
  <c r="Q535" i="68"/>
  <c r="J775" i="68"/>
  <c r="N633" i="68"/>
  <c r="N635" i="68" s="1"/>
  <c r="N544" i="68"/>
  <c r="AH870" i="68"/>
  <c r="AH872" i="68" s="1"/>
  <c r="AH781" i="68"/>
  <c r="AD624" i="68"/>
  <c r="AD626" i="68" s="1"/>
  <c r="AD535" i="68"/>
  <c r="V885" i="68"/>
  <c r="V887" i="68" s="1"/>
  <c r="V796" i="68"/>
  <c r="X790" i="68"/>
  <c r="X879" i="68"/>
  <c r="X881" i="68" s="1"/>
  <c r="AA927" i="68"/>
  <c r="AA929" i="68" s="1"/>
  <c r="AA838" i="68"/>
  <c r="AC630" i="68"/>
  <c r="AC632" i="68" s="1"/>
  <c r="AC541" i="68"/>
  <c r="Q591" i="68"/>
  <c r="Q593" i="68" s="1"/>
  <c r="Q502" i="68"/>
  <c r="AC681" i="68"/>
  <c r="AC766" i="68" s="1"/>
  <c r="AC770" i="68"/>
  <c r="U636" i="68"/>
  <c r="U638" i="68" s="1"/>
  <c r="U547" i="68"/>
  <c r="X930" i="68"/>
  <c r="X932" i="68" s="1"/>
  <c r="X841" i="68"/>
  <c r="J63" i="68"/>
  <c r="J148" i="68" s="1"/>
  <c r="J152" i="68"/>
  <c r="AE636" i="68"/>
  <c r="AE638" i="68" s="1"/>
  <c r="AE547" i="68"/>
  <c r="K939" i="68"/>
  <c r="K941" i="68" s="1"/>
  <c r="K850" i="68"/>
  <c r="I372" i="68"/>
  <c r="I457" i="68" s="1"/>
  <c r="I461" i="68"/>
  <c r="P63" i="68"/>
  <c r="P148" i="68" s="1"/>
  <c r="P152" i="68"/>
  <c r="AH600" i="68"/>
  <c r="AH602" i="68" s="1"/>
  <c r="AH511" i="68"/>
  <c r="L799" i="68"/>
  <c r="L888" i="68"/>
  <c r="L890" i="68" s="1"/>
  <c r="Q681" i="68"/>
  <c r="Q766" i="68" s="1"/>
  <c r="Q770" i="68"/>
  <c r="W499" i="68"/>
  <c r="W588" i="68"/>
  <c r="W590" i="68" s="1"/>
  <c r="U600" i="68"/>
  <c r="U602" i="68" s="1"/>
  <c r="U511" i="68"/>
  <c r="Q594" i="68"/>
  <c r="Q596" i="68" s="1"/>
  <c r="Q505" i="68"/>
  <c r="V372" i="68"/>
  <c r="V457" i="68" s="1"/>
  <c r="V461" i="68"/>
  <c r="Z900" i="68"/>
  <c r="Z902" i="68" s="1"/>
  <c r="Z811" i="68"/>
  <c r="K487" i="68"/>
  <c r="K576" i="68"/>
  <c r="K578" i="68" s="1"/>
  <c r="S555" i="68"/>
  <c r="S557" i="68" s="1"/>
  <c r="S466" i="68"/>
  <c r="AB876" i="68"/>
  <c r="AB878" i="68" s="1"/>
  <c r="AB787" i="68"/>
  <c r="V838" i="68"/>
  <c r="J879" i="68"/>
  <c r="J881" i="68" s="1"/>
  <c r="J790" i="68"/>
  <c r="W835" i="68"/>
  <c r="W924" i="68"/>
  <c r="W926" i="68" s="1"/>
  <c r="W487" i="68"/>
  <c r="W576" i="68"/>
  <c r="W578" i="68" s="1"/>
  <c r="AD612" i="68"/>
  <c r="AD614" i="68" s="1"/>
  <c r="AD523" i="68"/>
  <c r="U626" i="68"/>
  <c r="W841" i="68"/>
  <c r="W930" i="68"/>
  <c r="W932" i="68" s="1"/>
  <c r="Z870" i="68"/>
  <c r="Z872" i="68" s="1"/>
  <c r="Z781" i="68"/>
  <c r="AC547" i="68"/>
  <c r="S490" i="68"/>
  <c r="S579" i="68"/>
  <c r="S581" i="68" s="1"/>
  <c r="K561" i="68"/>
  <c r="K563" i="68" s="1"/>
  <c r="K472" i="68"/>
  <c r="AB906" i="68"/>
  <c r="AB908" i="68" s="1"/>
  <c r="AB817" i="68"/>
  <c r="X588" i="68"/>
  <c r="X590" i="68" s="1"/>
  <c r="X499" i="68"/>
  <c r="R63" i="68"/>
  <c r="R148" i="68" s="1"/>
  <c r="R152" i="68"/>
  <c r="AB600" i="68"/>
  <c r="AB602" i="68" s="1"/>
  <c r="AB511" i="68"/>
  <c r="X811" i="68"/>
  <c r="X900" i="68"/>
  <c r="X902" i="68" s="1"/>
  <c r="K573" i="68"/>
  <c r="K575" i="68" s="1"/>
  <c r="K484" i="68"/>
  <c r="J912" i="68"/>
  <c r="J914" i="68" s="1"/>
  <c r="J823" i="68"/>
  <c r="U606" i="68"/>
  <c r="U608" i="68" s="1"/>
  <c r="U517" i="68"/>
  <c r="M567" i="68"/>
  <c r="M569" i="68" s="1"/>
  <c r="M478" i="68"/>
  <c r="Y502" i="68"/>
  <c r="Y591" i="68"/>
  <c r="Y593" i="68" s="1"/>
  <c r="AE891" i="68"/>
  <c r="AE893" i="68" s="1"/>
  <c r="AE802" i="68"/>
  <c r="Y621" i="68"/>
  <c r="Y623" i="68" s="1"/>
  <c r="Y532" i="68"/>
  <c r="N909" i="68"/>
  <c r="N911" i="68" s="1"/>
  <c r="N820" i="68"/>
  <c r="AA885" i="68"/>
  <c r="AA887" i="68" s="1"/>
  <c r="AA796" i="68"/>
  <c r="I870" i="68"/>
  <c r="I872" i="68" s="1"/>
  <c r="I781" i="68"/>
  <c r="U681" i="68"/>
  <c r="U766" i="68" s="1"/>
  <c r="U770" i="68"/>
  <c r="AH681" i="68"/>
  <c r="AH766" i="68" s="1"/>
  <c r="AH770" i="68"/>
  <c r="Z627" i="68"/>
  <c r="Z629" i="68" s="1"/>
  <c r="Z538" i="68"/>
  <c r="Q615" i="68"/>
  <c r="Q617" i="68" s="1"/>
  <c r="Q526" i="68"/>
  <c r="AB944" i="68"/>
  <c r="AC63" i="68"/>
  <c r="AC148" i="68" s="1"/>
  <c r="AC152" i="68"/>
  <c r="R781" i="68"/>
  <c r="R870" i="68"/>
  <c r="R872" i="68" s="1"/>
  <c r="X579" i="68"/>
  <c r="X581" i="68" s="1"/>
  <c r="X490" i="68"/>
  <c r="T915" i="68"/>
  <c r="T917" i="68" s="1"/>
  <c r="T826" i="68"/>
  <c r="T624" i="68"/>
  <c r="T626" i="68" s="1"/>
  <c r="T535" i="68"/>
  <c r="T523" i="68"/>
  <c r="T612" i="68"/>
  <c r="T614" i="68" s="1"/>
  <c r="X248" i="68"/>
  <c r="AD547" i="68"/>
  <c r="AD636" i="68"/>
  <c r="AD638" i="68" s="1"/>
  <c r="I558" i="68"/>
  <c r="I560" i="68" s="1"/>
  <c r="I469" i="68"/>
  <c r="AA876" i="68"/>
  <c r="AA878" i="68" s="1"/>
  <c r="AA787" i="68"/>
  <c r="P841" i="68"/>
  <c r="P930" i="68"/>
  <c r="P932" i="68" s="1"/>
  <c r="Q606" i="68"/>
  <c r="Q608" i="68" s="1"/>
  <c r="Q517" i="68"/>
  <c r="O63" i="68"/>
  <c r="O148" i="68" s="1"/>
  <c r="O152" i="68"/>
  <c r="J561" i="68"/>
  <c r="J563" i="68" s="1"/>
  <c r="J472" i="68"/>
  <c r="N882" i="68"/>
  <c r="N884" i="68" s="1"/>
  <c r="N793" i="68"/>
  <c r="R844" i="68"/>
  <c r="R933" i="68"/>
  <c r="R935" i="68" s="1"/>
  <c r="U576" i="68"/>
  <c r="U578" i="68" s="1"/>
  <c r="U487" i="68"/>
  <c r="T372" i="68"/>
  <c r="T457" i="68" s="1"/>
  <c r="T461" i="68"/>
  <c r="Q582" i="68"/>
  <c r="Q584" i="68" s="1"/>
  <c r="Q493" i="68"/>
  <c r="AH796" i="68"/>
  <c r="AH885" i="68"/>
  <c r="AH887" i="68" s="1"/>
  <c r="O885" i="68"/>
  <c r="O887" i="68" s="1"/>
  <c r="O796" i="68"/>
  <c r="U942" i="68"/>
  <c r="U944" i="68" s="1"/>
  <c r="U853" i="68"/>
  <c r="AE630" i="68"/>
  <c r="AE632" i="68" s="1"/>
  <c r="AE541" i="68"/>
  <c r="T538" i="68"/>
  <c r="T627" i="68"/>
  <c r="T629" i="68" s="1"/>
  <c r="P514" i="68"/>
  <c r="P603" i="68"/>
  <c r="P605" i="68" s="1"/>
  <c r="Z594" i="68"/>
  <c r="Z596" i="68" s="1"/>
  <c r="Z505" i="68"/>
  <c r="I627" i="68"/>
  <c r="I629" i="68" s="1"/>
  <c r="I538" i="68"/>
  <c r="U808" i="68"/>
  <c r="U897" i="68"/>
  <c r="U899" i="68" s="1"/>
  <c r="V867" i="68"/>
  <c r="V869" i="68" s="1"/>
  <c r="V778" i="68"/>
  <c r="M612" i="68"/>
  <c r="M614" i="68" s="1"/>
  <c r="M523" i="68"/>
  <c r="Z558" i="68"/>
  <c r="Z560" i="68" s="1"/>
  <c r="Z469" i="68"/>
  <c r="AB873" i="68"/>
  <c r="AB875" i="68" s="1"/>
  <c r="AB784" i="68"/>
  <c r="AG372" i="68"/>
  <c r="AG457" i="68" s="1"/>
  <c r="AG461" i="68"/>
  <c r="J558" i="68"/>
  <c r="J560" i="68" s="1"/>
  <c r="J469" i="68"/>
  <c r="AB781" i="68"/>
  <c r="AB870" i="68"/>
  <c r="AB872" i="68" s="1"/>
  <c r="AC918" i="68"/>
  <c r="AC920" i="68" s="1"/>
  <c r="AC829" i="68"/>
  <c r="S594" i="68"/>
  <c r="S596" i="68" s="1"/>
  <c r="S505" i="68"/>
  <c r="AA844" i="68"/>
  <c r="AA933" i="68"/>
  <c r="AA935" i="68" s="1"/>
  <c r="L597" i="68"/>
  <c r="L599" i="68" s="1"/>
  <c r="L508" i="68"/>
  <c r="AE606" i="68"/>
  <c r="AE608" i="68" s="1"/>
  <c r="AE517" i="68"/>
  <c r="S882" i="68"/>
  <c r="S884" i="68" s="1"/>
  <c r="S793" i="68"/>
  <c r="AG793" i="68"/>
  <c r="AG882" i="68"/>
  <c r="AG884" i="68" s="1"/>
  <c r="AG609" i="68"/>
  <c r="AG611" i="68" s="1"/>
  <c r="AG520" i="68"/>
  <c r="AA609" i="68"/>
  <c r="AA611" i="68" s="1"/>
  <c r="AA520" i="68"/>
  <c r="AC561" i="68"/>
  <c r="AC563" i="68" s="1"/>
  <c r="AC472" i="68"/>
  <c r="L558" i="68"/>
  <c r="L560" i="68" s="1"/>
  <c r="L469" i="68"/>
  <c r="R606" i="68"/>
  <c r="R608" i="68" s="1"/>
  <c r="R517" i="68"/>
  <c r="W921" i="68"/>
  <c r="W923" i="68" s="1"/>
  <c r="W832" i="68"/>
  <c r="N945" i="68"/>
  <c r="N947" i="68" s="1"/>
  <c r="N856" i="68"/>
  <c r="AD609" i="68"/>
  <c r="AD611" i="68" s="1"/>
  <c r="AD520" i="68"/>
  <c r="K933" i="68"/>
  <c r="K935" i="68" s="1"/>
  <c r="K844" i="68"/>
  <c r="K526" i="68"/>
  <c r="K615" i="68"/>
  <c r="K617" i="68" s="1"/>
  <c r="AH544" i="68"/>
  <c r="AH633" i="68"/>
  <c r="AH635" i="68" s="1"/>
  <c r="AG630" i="68"/>
  <c r="AG632" i="68" s="1"/>
  <c r="AG541" i="68"/>
  <c r="AE609" i="68"/>
  <c r="AE611" i="68" s="1"/>
  <c r="AE520" i="68"/>
  <c r="N597" i="68"/>
  <c r="N599" i="68" s="1"/>
  <c r="N508" i="68"/>
  <c r="Z885" i="68"/>
  <c r="Z887" i="68" s="1"/>
  <c r="Z796" i="68"/>
  <c r="M594" i="68"/>
  <c r="M596" i="68" s="1"/>
  <c r="M505" i="68"/>
  <c r="U535" i="68"/>
  <c r="AF823" i="68"/>
  <c r="AF912" i="68"/>
  <c r="AF914" i="68" s="1"/>
  <c r="AA490" i="68"/>
  <c r="AA579" i="68"/>
  <c r="AA581" i="68" s="1"/>
  <c r="X814" i="68"/>
  <c r="X903" i="68"/>
  <c r="X905" i="68" s="1"/>
  <c r="AH867" i="68"/>
  <c r="AH869" i="68" s="1"/>
  <c r="AH778" i="68"/>
  <c r="Z532" i="68"/>
  <c r="Z621" i="68"/>
  <c r="Z623" i="68" s="1"/>
  <c r="T636" i="68"/>
  <c r="T638" i="68" s="1"/>
  <c r="T547" i="68"/>
  <c r="X888" i="68"/>
  <c r="X890" i="68" s="1"/>
  <c r="X799" i="68"/>
  <c r="AC793" i="68"/>
  <c r="AC882" i="68"/>
  <c r="AC884" i="68" s="1"/>
  <c r="R609" i="68"/>
  <c r="R611" i="68" s="1"/>
  <c r="R520" i="68"/>
  <c r="M894" i="68"/>
  <c r="M896" i="68" s="1"/>
  <c r="M805" i="68"/>
  <c r="AA585" i="68"/>
  <c r="AA587" i="68" s="1"/>
  <c r="AA496" i="68"/>
  <c r="AE888" i="68"/>
  <c r="AE890" i="68" s="1"/>
  <c r="AE799" i="68"/>
  <c r="T888" i="68"/>
  <c r="T890" i="68" s="1"/>
  <c r="T799" i="68"/>
  <c r="AF945" i="68"/>
  <c r="AF947" i="68" s="1"/>
  <c r="AF856" i="68"/>
  <c r="U888" i="68"/>
  <c r="U890" i="68" s="1"/>
  <c r="U799" i="68"/>
  <c r="AH817" i="68"/>
  <c r="AH906" i="68"/>
  <c r="AH908" i="68" s="1"/>
  <c r="U499" i="68"/>
  <c r="U588" i="68"/>
  <c r="U590" i="68" s="1"/>
  <c r="L466" i="68"/>
  <c r="L555" i="68"/>
  <c r="L557" i="68" s="1"/>
  <c r="L541" i="68"/>
  <c r="L630" i="68"/>
  <c r="L632" i="68" s="1"/>
  <c r="I894" i="68"/>
  <c r="I896" i="68" s="1"/>
  <c r="I805" i="68"/>
  <c r="AF555" i="68"/>
  <c r="AF557" i="68" s="1"/>
  <c r="AF466" i="68"/>
  <c r="Z490" i="68"/>
  <c r="Z579" i="68"/>
  <c r="Z581" i="68" s="1"/>
  <c r="Z924" i="68"/>
  <c r="Z926" i="68" s="1"/>
  <c r="Z835" i="68"/>
  <c r="X508" i="68"/>
  <c r="X597" i="68"/>
  <c r="X599" i="68" s="1"/>
  <c r="AH793" i="68"/>
  <c r="AH882" i="68"/>
  <c r="AH884" i="68" s="1"/>
  <c r="S945" i="68"/>
  <c r="S947" i="68" s="1"/>
  <c r="S856" i="68"/>
  <c r="K903" i="68"/>
  <c r="K905" i="68" s="1"/>
  <c r="K814" i="68"/>
  <c r="I579" i="68"/>
  <c r="I581" i="68" s="1"/>
  <c r="I490" i="68"/>
  <c r="P372" i="68"/>
  <c r="P457" i="68" s="1"/>
  <c r="P461" i="68"/>
  <c r="T811" i="68"/>
  <c r="T900" i="68"/>
  <c r="T902" i="68" s="1"/>
  <c r="AD939" i="68"/>
  <c r="AD941" i="68" s="1"/>
  <c r="AD850" i="68"/>
  <c r="L945" i="68"/>
  <c r="L947" i="68" s="1"/>
  <c r="L856" i="68"/>
  <c r="R882" i="68"/>
  <c r="R884" i="68" s="1"/>
  <c r="R793" i="68"/>
  <c r="AB529" i="68"/>
  <c r="AB618" i="68"/>
  <c r="AB620" i="68" s="1"/>
  <c r="AC567" i="68"/>
  <c r="AC569" i="68" s="1"/>
  <c r="AC478" i="68"/>
  <c r="Z576" i="68"/>
  <c r="Z578" i="68" s="1"/>
  <c r="Z487" i="68"/>
  <c r="Z372" i="68"/>
  <c r="Z457" i="68" s="1"/>
  <c r="Z461" i="68"/>
  <c r="AC921" i="68"/>
  <c r="AC923" i="68" s="1"/>
  <c r="AC832" i="68"/>
  <c r="AG564" i="68"/>
  <c r="AG566" i="68" s="1"/>
  <c r="AG475" i="68"/>
  <c r="AF930" i="68"/>
  <c r="AF932" i="68" s="1"/>
  <c r="AF841" i="68"/>
  <c r="Y805" i="68"/>
  <c r="Y894" i="68"/>
  <c r="Y896" i="68" s="1"/>
  <c r="X856" i="68"/>
  <c r="X945" i="68"/>
  <c r="X947" i="68" s="1"/>
  <c r="AD567" i="68"/>
  <c r="AD569" i="68" s="1"/>
  <c r="AD478" i="68"/>
  <c r="Y864" i="68"/>
  <c r="Y866" i="68" s="1"/>
  <c r="Y775" i="68"/>
  <c r="AB547" i="68"/>
  <c r="U321" i="68"/>
  <c r="U323" i="68" s="1"/>
  <c r="U232" i="68"/>
  <c r="W906" i="68"/>
  <c r="W908" i="68" s="1"/>
  <c r="W817" i="68"/>
  <c r="K63" i="68"/>
  <c r="K148" i="68" s="1"/>
  <c r="K152" i="68"/>
  <c r="O915" i="68"/>
  <c r="O917" i="68" s="1"/>
  <c r="O826" i="68"/>
  <c r="X612" i="68"/>
  <c r="X614" i="68" s="1"/>
  <c r="X523" i="68"/>
  <c r="AE864" i="68"/>
  <c r="AE866" i="68" s="1"/>
  <c r="AE775" i="68"/>
  <c r="N888" i="68"/>
  <c r="N890" i="68" s="1"/>
  <c r="N799" i="68"/>
  <c r="I796" i="68"/>
  <c r="I885" i="68"/>
  <c r="I887" i="68" s="1"/>
  <c r="T921" i="68"/>
  <c r="T923" i="68" s="1"/>
  <c r="T832" i="68"/>
  <c r="U558" i="68"/>
  <c r="U560" i="68" s="1"/>
  <c r="U469" i="68"/>
  <c r="AF942" i="68"/>
  <c r="AF944" i="68" s="1"/>
  <c r="AF853" i="68"/>
  <c r="L564" i="68"/>
  <c r="L566" i="68" s="1"/>
  <c r="L475" i="68"/>
  <c r="L936" i="68"/>
  <c r="L938" i="68" s="1"/>
  <c r="L847" i="68"/>
  <c r="AG517" i="68"/>
  <c r="AG606" i="68"/>
  <c r="AG608" i="68" s="1"/>
  <c r="R511" i="68"/>
  <c r="R600" i="68"/>
  <c r="R602" i="68" s="1"/>
  <c r="Q570" i="68"/>
  <c r="Q572" i="68" s="1"/>
  <c r="Q481" i="68"/>
  <c r="O597" i="68"/>
  <c r="O599" i="68" s="1"/>
  <c r="O508" i="68"/>
  <c r="AC372" i="68"/>
  <c r="AC457" i="68" s="1"/>
  <c r="AC461" i="68"/>
  <c r="AC502" i="68"/>
  <c r="AC591" i="68"/>
  <c r="AC593" i="68" s="1"/>
  <c r="N618" i="68"/>
  <c r="N620" i="68" s="1"/>
  <c r="N529" i="68"/>
  <c r="Y921" i="68"/>
  <c r="Y923" i="68" s="1"/>
  <c r="Y832" i="68"/>
  <c r="Z570" i="68"/>
  <c r="Z572" i="68" s="1"/>
  <c r="Z481" i="68"/>
  <c r="Z585" i="68"/>
  <c r="Z587" i="68" s="1"/>
  <c r="Z496" i="68"/>
  <c r="Q900" i="68"/>
  <c r="Q902" i="68" s="1"/>
  <c r="Q811" i="68"/>
  <c r="U847" i="68"/>
  <c r="U936" i="68"/>
  <c r="U938" i="68" s="1"/>
  <c r="AF681" i="68"/>
  <c r="AF766" i="68" s="1"/>
  <c r="AF770" i="68"/>
  <c r="N63" i="68"/>
  <c r="N148" i="68" s="1"/>
  <c r="N152" i="68"/>
  <c r="AH636" i="68"/>
  <c r="AH638" i="68" s="1"/>
  <c r="AH547" i="68"/>
  <c r="AB372" i="68"/>
  <c r="AB457" i="68" s="1"/>
  <c r="AB461" i="68"/>
  <c r="U906" i="68"/>
  <c r="U908" i="68" s="1"/>
  <c r="U817" i="68"/>
  <c r="L372" i="68"/>
  <c r="L457" i="68" s="1"/>
  <c r="L461" i="68"/>
  <c r="Z609" i="68"/>
  <c r="Z611" i="68" s="1"/>
  <c r="Z520" i="68"/>
  <c r="K624" i="68"/>
  <c r="K626" i="68" s="1"/>
  <c r="K535" i="68"/>
  <c r="AH915" i="68"/>
  <c r="AH917" i="68" s="1"/>
  <c r="AH826" i="68"/>
  <c r="R627" i="68"/>
  <c r="R629" i="68" s="1"/>
  <c r="R538" i="68"/>
  <c r="Y633" i="68"/>
  <c r="Y635" i="68" s="1"/>
  <c r="Y544" i="68"/>
  <c r="V900" i="68"/>
  <c r="V902" i="68" s="1"/>
  <c r="V811" i="68"/>
  <c r="R635" i="68"/>
  <c r="O856" i="68"/>
  <c r="T930" i="68"/>
  <c r="T932" i="68" s="1"/>
  <c r="T841" i="68"/>
  <c r="O526" i="68"/>
  <c r="O615" i="68"/>
  <c r="O617" i="68" s="1"/>
  <c r="AD621" i="68"/>
  <c r="AD623" i="68" s="1"/>
  <c r="AD532" i="68"/>
  <c r="Q576" i="68"/>
  <c r="Q578" i="68" s="1"/>
  <c r="Q487" i="68"/>
  <c r="T633" i="68"/>
  <c r="T635" i="68" s="1"/>
  <c r="T544" i="68"/>
  <c r="J541" i="68"/>
  <c r="J630" i="68"/>
  <c r="J632" i="68" s="1"/>
  <c r="AD600" i="68"/>
  <c r="AD602" i="68" s="1"/>
  <c r="AD511" i="68"/>
  <c r="Y844" i="68"/>
  <c r="Y933" i="68"/>
  <c r="Y935" i="68" s="1"/>
  <c r="N811" i="68"/>
  <c r="N900" i="68"/>
  <c r="N902" i="68" s="1"/>
  <c r="R903" i="68"/>
  <c r="R905" i="68" s="1"/>
  <c r="R814" i="68"/>
  <c r="AE945" i="68"/>
  <c r="AE947" i="68" s="1"/>
  <c r="AE856" i="68"/>
  <c r="S561" i="68"/>
  <c r="S563" i="68" s="1"/>
  <c r="S472" i="68"/>
  <c r="N588" i="68"/>
  <c r="N590" i="68" s="1"/>
  <c r="N499" i="68"/>
  <c r="M939" i="68"/>
  <c r="M941" i="68" s="1"/>
  <c r="M850" i="68"/>
  <c r="Z903" i="68"/>
  <c r="Z905" i="68" s="1"/>
  <c r="Z814" i="68"/>
  <c r="Q612" i="68"/>
  <c r="Q614" i="68" s="1"/>
  <c r="Q523" i="68"/>
  <c r="X484" i="68"/>
  <c r="X573" i="68"/>
  <c r="X575" i="68" s="1"/>
  <c r="AH588" i="68"/>
  <c r="AH590" i="68" s="1"/>
  <c r="AH499" i="68"/>
  <c r="W597" i="68"/>
  <c r="W599" i="68" s="1"/>
  <c r="W508" i="68"/>
  <c r="L573" i="68"/>
  <c r="L575" i="68" s="1"/>
  <c r="L484" i="68"/>
  <c r="AA63" i="68"/>
  <c r="AA148" i="68" s="1"/>
  <c r="AA152" i="68"/>
  <c r="AD372" i="68"/>
  <c r="AD457" i="68" s="1"/>
  <c r="AD461" i="68"/>
  <c r="AE567" i="68"/>
  <c r="AE569" i="68" s="1"/>
  <c r="AE478" i="68"/>
  <c r="AE624" i="68"/>
  <c r="AE626" i="68" s="1"/>
  <c r="AE535" i="68"/>
  <c r="S873" i="68"/>
  <c r="S875" i="68" s="1"/>
  <c r="S784" i="68"/>
  <c r="AE573" i="68"/>
  <c r="AE575" i="68" s="1"/>
  <c r="AE484" i="68"/>
  <c r="Z790" i="68"/>
  <c r="Z879" i="68"/>
  <c r="Z881" i="68" s="1"/>
  <c r="Z841" i="68"/>
  <c r="Z930" i="68"/>
  <c r="Z932" i="68" s="1"/>
  <c r="AB502" i="68"/>
  <c r="AB591" i="68"/>
  <c r="AB593" i="68" s="1"/>
  <c r="P775" i="68"/>
  <c r="P864" i="68"/>
  <c r="P866" i="68" s="1"/>
  <c r="I826" i="68"/>
  <c r="I915" i="68"/>
  <c r="I917" i="68" s="1"/>
  <c r="L582" i="68"/>
  <c r="L584" i="68" s="1"/>
  <c r="L493" i="68"/>
  <c r="J481" i="68"/>
  <c r="J570" i="68"/>
  <c r="J572" i="68" s="1"/>
  <c r="V603" i="68"/>
  <c r="V605" i="68" s="1"/>
  <c r="V514" i="68"/>
  <c r="V591" i="68"/>
  <c r="V593" i="68" s="1"/>
  <c r="V502" i="68"/>
  <c r="S826" i="68"/>
  <c r="S915" i="68"/>
  <c r="S917" i="68" s="1"/>
  <c r="T876" i="68"/>
  <c r="T878" i="68" s="1"/>
  <c r="T787" i="68"/>
  <c r="AD945" i="68"/>
  <c r="AD947" i="68" s="1"/>
  <c r="AD856" i="68"/>
  <c r="Y906" i="68"/>
  <c r="Y908" i="68" s="1"/>
  <c r="Y817" i="68"/>
  <c r="Y888" i="68"/>
  <c r="Y890" i="68" s="1"/>
  <c r="Y799" i="68"/>
  <c r="AE372" i="68"/>
  <c r="AE457" i="68" s="1"/>
  <c r="AE461" i="68"/>
  <c r="Y630" i="68"/>
  <c r="Y632" i="68" s="1"/>
  <c r="Y541" i="68"/>
  <c r="AG805" i="68"/>
  <c r="AG894" i="68"/>
  <c r="AG896" i="68" s="1"/>
  <c r="Z517" i="68"/>
  <c r="Z606" i="68"/>
  <c r="Z608" i="68" s="1"/>
  <c r="AA921" i="68"/>
  <c r="AA923" i="68" s="1"/>
  <c r="AA832" i="68"/>
  <c r="N681" i="68"/>
  <c r="N766" i="68" s="1"/>
  <c r="N770" i="68"/>
  <c r="U939" i="68"/>
  <c r="U941" i="68" s="1"/>
  <c r="U850" i="68"/>
  <c r="N832" i="68"/>
  <c r="N921" i="68"/>
  <c r="N923" i="68" s="1"/>
  <c r="AA588" i="68"/>
  <c r="AA590" i="68" s="1"/>
  <c r="AA499" i="68"/>
  <c r="AH900" i="68"/>
  <c r="AH902" i="68" s="1"/>
  <c r="AH811" i="68"/>
  <c r="S844" i="68"/>
  <c r="S933" i="68"/>
  <c r="S935" i="68" s="1"/>
  <c r="S636" i="68"/>
  <c r="S638" i="68" s="1"/>
  <c r="S547" i="68"/>
  <c r="AE906" i="68"/>
  <c r="AE908" i="68" s="1"/>
  <c r="AE817" i="68"/>
  <c r="I906" i="68"/>
  <c r="I908" i="68" s="1"/>
  <c r="I817" i="68"/>
  <c r="W526" i="68"/>
  <c r="W615" i="68"/>
  <c r="W617" i="68" s="1"/>
  <c r="K541" i="68"/>
  <c r="K630" i="68"/>
  <c r="K632" i="68" s="1"/>
  <c r="P681" i="68"/>
  <c r="P766" i="68" s="1"/>
  <c r="P770" i="68"/>
  <c r="Q63" i="68"/>
  <c r="Q148" i="68" s="1"/>
  <c r="Q152" i="68"/>
  <c r="U372" i="68"/>
  <c r="U457" i="68" s="1"/>
  <c r="U461" i="68"/>
  <c r="X481" i="68"/>
  <c r="X570" i="68"/>
  <c r="X572" i="68" s="1"/>
  <c r="V888" i="68"/>
  <c r="V890" i="68" s="1"/>
  <c r="V799" i="68"/>
  <c r="AC933" i="68"/>
  <c r="AC935" i="68" s="1"/>
  <c r="AC844" i="68"/>
  <c r="R544" i="68"/>
  <c r="O947" i="68"/>
  <c r="AE532" i="68"/>
  <c r="AE621" i="68"/>
  <c r="AE623" i="68" s="1"/>
  <c r="J918" i="68"/>
  <c r="J920" i="68" s="1"/>
  <c r="J829" i="68"/>
  <c r="AA582" i="68"/>
  <c r="AA584" i="68" s="1"/>
  <c r="AA493" i="68"/>
  <c r="J597" i="68"/>
  <c r="J599" i="68" s="1"/>
  <c r="J508" i="68"/>
  <c r="U835" i="68"/>
  <c r="U924" i="68"/>
  <c r="U926" i="68" s="1"/>
  <c r="AD627" i="68"/>
  <c r="AD629" i="68" s="1"/>
  <c r="AD538" i="68"/>
  <c r="X561" i="68"/>
  <c r="X563" i="68" s="1"/>
  <c r="X472" i="68"/>
  <c r="J891" i="68"/>
  <c r="J893" i="68" s="1"/>
  <c r="J802" i="68"/>
  <c r="AF927" i="68"/>
  <c r="AF929" i="68" s="1"/>
  <c r="AF838" i="68"/>
  <c r="S588" i="68"/>
  <c r="S590" i="68" s="1"/>
  <c r="S499" i="68"/>
  <c r="R942" i="68"/>
  <c r="R944" i="68" s="1"/>
  <c r="R853" i="68"/>
  <c r="R555" i="68"/>
  <c r="R557" i="68" s="1"/>
  <c r="R466" i="68"/>
  <c r="O681" i="68"/>
  <c r="O766" i="68" s="1"/>
  <c r="O770" i="68"/>
  <c r="X894" i="68"/>
  <c r="X896" i="68" s="1"/>
  <c r="X805" i="68"/>
  <c r="AH609" i="68"/>
  <c r="AH611" i="68" s="1"/>
  <c r="AH520" i="68"/>
  <c r="X867" i="68"/>
  <c r="X869" i="68" s="1"/>
  <c r="X778" i="68"/>
  <c r="AH912" i="68"/>
  <c r="AH914" i="68" s="1"/>
  <c r="AH823" i="68"/>
  <c r="N475" i="68"/>
  <c r="N564" i="68"/>
  <c r="N566" i="68" s="1"/>
  <c r="R372" i="68"/>
  <c r="R457" i="68" s="1"/>
  <c r="R461" i="68"/>
  <c r="AE918" i="68"/>
  <c r="AE920" i="68" s="1"/>
  <c r="AE829" i="68"/>
  <c r="R918" i="68"/>
  <c r="R920" i="68" s="1"/>
  <c r="R829" i="68"/>
  <c r="X63" i="68"/>
  <c r="X148" i="68" s="1"/>
  <c r="X152" i="68"/>
  <c r="K681" i="68"/>
  <c r="K766" i="68" s="1"/>
  <c r="K770" i="68"/>
  <c r="X633" i="68"/>
  <c r="X635" i="68" s="1"/>
  <c r="X544" i="68"/>
  <c r="Z864" i="68"/>
  <c r="Z866" i="68" s="1"/>
  <c r="Z775" i="68"/>
  <c r="Y903" i="68"/>
  <c r="Y905" i="68" s="1"/>
  <c r="Y814" i="68"/>
  <c r="N538" i="68"/>
  <c r="P850" i="68"/>
  <c r="P939" i="68"/>
  <c r="P941" i="68" s="1"/>
  <c r="R909" i="68"/>
  <c r="R911" i="68" s="1"/>
  <c r="R820" i="68"/>
  <c r="AF609" i="68"/>
  <c r="AF611" i="68" s="1"/>
  <c r="AF520" i="68"/>
  <c r="S508" i="68"/>
  <c r="S597" i="68"/>
  <c r="S599" i="68" s="1"/>
  <c r="AB490" i="68"/>
  <c r="AB579" i="68"/>
  <c r="AB581" i="68" s="1"/>
  <c r="X681" i="68"/>
  <c r="X766" i="68" s="1"/>
  <c r="X770" i="68"/>
  <c r="AA924" i="68"/>
  <c r="AA926" i="68" s="1"/>
  <c r="AA835" i="68"/>
  <c r="O808" i="68"/>
  <c r="O897" i="68"/>
  <c r="O899" i="68" s="1"/>
  <c r="T681" i="68"/>
  <c r="T766" i="68" s="1"/>
  <c r="T770" i="68"/>
  <c r="K594" i="68"/>
  <c r="K596" i="68" s="1"/>
  <c r="K505" i="68"/>
  <c r="K900" i="68"/>
  <c r="K902" i="68" s="1"/>
  <c r="K811" i="68"/>
  <c r="AD517" i="68"/>
  <c r="AD606" i="68"/>
  <c r="AD608" i="68" s="1"/>
  <c r="AE927" i="68"/>
  <c r="AE929" i="68" s="1"/>
  <c r="AE838" i="68"/>
  <c r="S912" i="68"/>
  <c r="S914" i="68" s="1"/>
  <c r="S823" i="68"/>
  <c r="AG936" i="68"/>
  <c r="AG938" i="68" s="1"/>
  <c r="AG847" i="68"/>
  <c r="AD903" i="68"/>
  <c r="AD905" i="68" s="1"/>
  <c r="AD814" i="68"/>
  <c r="AG624" i="68"/>
  <c r="AG626" i="68" s="1"/>
  <c r="AG535" i="68"/>
  <c r="Y867" i="68"/>
  <c r="Y869" i="68" s="1"/>
  <c r="Y778" i="68"/>
  <c r="W478" i="68"/>
  <c r="W567" i="68"/>
  <c r="W569" i="68" s="1"/>
  <c r="N942" i="68"/>
  <c r="N944" i="68" s="1"/>
  <c r="N853" i="68"/>
  <c r="K820" i="68"/>
  <c r="K909" i="68"/>
  <c r="K911" i="68" s="1"/>
  <c r="AG681" i="68"/>
  <c r="AG766" i="68" s="1"/>
  <c r="AG770" i="68"/>
  <c r="U796" i="68"/>
  <c r="U885" i="68"/>
  <c r="U887" i="68" s="1"/>
  <c r="I63" i="68"/>
  <c r="I148" i="68" s="1"/>
  <c r="I152" i="68"/>
  <c r="AC888" i="68"/>
  <c r="AC890" i="68" s="1"/>
  <c r="AC799" i="68"/>
  <c r="M576" i="68"/>
  <c r="M578" i="68" s="1"/>
  <c r="M487" i="68"/>
  <c r="AG888" i="68"/>
  <c r="AG890" i="68" s="1"/>
  <c r="AG799" i="68"/>
  <c r="Y909" i="68"/>
  <c r="Y911" i="68" s="1"/>
  <c r="Y820" i="68"/>
  <c r="AA508" i="68"/>
  <c r="AA597" i="68"/>
  <c r="AA599" i="68" s="1"/>
  <c r="AG796" i="68"/>
  <c r="AG885" i="68"/>
  <c r="AG887" i="68" s="1"/>
  <c r="U930" i="68"/>
  <c r="U932" i="68" s="1"/>
  <c r="U841" i="68"/>
  <c r="AB499" i="68"/>
  <c r="AB588" i="68"/>
  <c r="AB590" i="68" s="1"/>
  <c r="W939" i="68"/>
  <c r="W941" i="68" s="1"/>
  <c r="W850" i="68"/>
  <c r="W888" i="68"/>
  <c r="W890" i="68" s="1"/>
  <c r="W799" i="68"/>
  <c r="M481" i="68"/>
  <c r="M570" i="68"/>
  <c r="M572" i="68" s="1"/>
  <c r="AB627" i="68"/>
  <c r="AB629" i="68" s="1"/>
  <c r="AB538" i="68"/>
  <c r="J372" i="68"/>
  <c r="J457" i="68" s="1"/>
  <c r="J461" i="68"/>
  <c r="AG63" i="68"/>
  <c r="AG148" i="68" s="1"/>
  <c r="AG152" i="68"/>
  <c r="AF372" i="68"/>
  <c r="AF457" i="68" s="1"/>
  <c r="AF461" i="68"/>
  <c r="L514" i="68"/>
  <c r="L603" i="68"/>
  <c r="L605" i="68" s="1"/>
  <c r="AH615" i="68"/>
  <c r="AH617" i="68" s="1"/>
  <c r="AH526" i="68"/>
  <c r="S885" i="68"/>
  <c r="S887" i="68" s="1"/>
  <c r="S796" i="68"/>
  <c r="R915" i="68"/>
  <c r="R917" i="68" s="1"/>
  <c r="R826" i="68"/>
  <c r="Q885" i="68"/>
  <c r="Q887" i="68" s="1"/>
  <c r="Q796" i="68"/>
  <c r="AC847" i="68"/>
  <c r="AC936" i="68"/>
  <c r="AC938" i="68" s="1"/>
  <c r="L921" i="68"/>
  <c r="L923" i="68" s="1"/>
  <c r="L832" i="68"/>
  <c r="N478" i="68"/>
  <c r="N567" i="68"/>
  <c r="N569" i="68" s="1"/>
  <c r="Z633" i="68"/>
  <c r="Z635" i="68" s="1"/>
  <c r="Z544" i="68"/>
  <c r="AA681" i="68"/>
  <c r="AA766" i="68" s="1"/>
  <c r="AA770" i="68"/>
  <c r="Y876" i="68"/>
  <c r="Y878" i="68" s="1"/>
  <c r="Y787" i="68"/>
  <c r="V924" i="68"/>
  <c r="V926" i="68" s="1"/>
  <c r="V835" i="68"/>
  <c r="AH621" i="68"/>
  <c r="AH623" i="68" s="1"/>
  <c r="AH532" i="68"/>
  <c r="AD933" i="68"/>
  <c r="AD935" i="68" s="1"/>
  <c r="AD844" i="68"/>
  <c r="T508" i="68"/>
  <c r="T597" i="68"/>
  <c r="T599" i="68" s="1"/>
  <c r="Z600" i="68"/>
  <c r="Z602" i="68" s="1"/>
  <c r="Z511" i="68"/>
  <c r="R681" i="68"/>
  <c r="R766" i="68" s="1"/>
  <c r="R770" i="68"/>
  <c r="W936" i="68"/>
  <c r="W938" i="68" s="1"/>
  <c r="W847" i="68"/>
  <c r="S514" i="68"/>
  <c r="S603" i="68"/>
  <c r="S605" i="68" s="1"/>
  <c r="AE942" i="68"/>
  <c r="AE944" i="68" s="1"/>
  <c r="AE853" i="68"/>
  <c r="AB915" i="68"/>
  <c r="AB917" i="68" s="1"/>
  <c r="AB826" i="68"/>
  <c r="AA544" i="68"/>
  <c r="AA633" i="68"/>
  <c r="AA635" i="68" s="1"/>
  <c r="AD490" i="68"/>
  <c r="AD579" i="68"/>
  <c r="AD581" i="68" s="1"/>
  <c r="AH576" i="68"/>
  <c r="AH578" i="68" s="1"/>
  <c r="AH487" i="68"/>
  <c r="Y945" i="68"/>
  <c r="Y947" i="68" s="1"/>
  <c r="Y856" i="68"/>
  <c r="Z475" i="68"/>
  <c r="Z564" i="68"/>
  <c r="Z566" i="68" s="1"/>
  <c r="I775" i="68"/>
  <c r="AB811" i="68"/>
  <c r="AB900" i="68"/>
  <c r="AB902" i="68" s="1"/>
  <c r="M630" i="68"/>
  <c r="M632" i="68" s="1"/>
  <c r="M541" i="68"/>
  <c r="M609" i="68"/>
  <c r="M611" i="68" s="1"/>
  <c r="M520" i="68"/>
  <c r="X576" i="68"/>
  <c r="X578" i="68" s="1"/>
  <c r="X487" i="68"/>
  <c r="S618" i="68"/>
  <c r="S620" i="68" s="1"/>
  <c r="S529" i="68"/>
  <c r="N629" i="68"/>
  <c r="C20" i="48"/>
  <c r="X243" i="68" l="1"/>
  <c r="X245" i="68" s="1"/>
  <c r="X330" i="68" s="1"/>
  <c r="X154" i="68"/>
  <c r="X239" i="68" s="1"/>
  <c r="P861" i="68"/>
  <c r="P863" i="68" s="1"/>
  <c r="P948" i="68" s="1"/>
  <c r="P772" i="68"/>
  <c r="P857" i="68" s="1"/>
  <c r="AE463" i="68"/>
  <c r="AE548" i="68" s="1"/>
  <c r="AE552" i="68"/>
  <c r="AE554" i="68" s="1"/>
  <c r="AE639" i="68" s="1"/>
  <c r="Z552" i="68"/>
  <c r="Z554" i="68" s="1"/>
  <c r="Z639" i="68" s="1"/>
  <c r="Z463" i="68"/>
  <c r="Z548" i="68" s="1"/>
  <c r="R243" i="68"/>
  <c r="R245" i="68" s="1"/>
  <c r="R330" i="68" s="1"/>
  <c r="R154" i="68"/>
  <c r="R239" i="68" s="1"/>
  <c r="L861" i="68"/>
  <c r="L863" i="68" s="1"/>
  <c r="L948" i="68" s="1"/>
  <c r="L772" i="68"/>
  <c r="L857" i="68" s="1"/>
  <c r="S552" i="68"/>
  <c r="S554" i="68" s="1"/>
  <c r="S639" i="68" s="1"/>
  <c r="S463" i="68"/>
  <c r="S548" i="68" s="1"/>
  <c r="W552" i="68"/>
  <c r="W554" i="68" s="1"/>
  <c r="W639" i="68" s="1"/>
  <c r="W463" i="68"/>
  <c r="W548" i="68" s="1"/>
  <c r="Y243" i="68"/>
  <c r="Y245" i="68" s="1"/>
  <c r="Y330" i="68" s="1"/>
  <c r="Y154" i="68"/>
  <c r="Y239" i="68" s="1"/>
  <c r="Q463" i="68"/>
  <c r="Q548" i="68" s="1"/>
  <c r="Q552" i="68"/>
  <c r="Q554" i="68" s="1"/>
  <c r="Q639" i="68" s="1"/>
  <c r="K552" i="68"/>
  <c r="K554" i="68" s="1"/>
  <c r="K639" i="68" s="1"/>
  <c r="K463" i="68"/>
  <c r="K548" i="68" s="1"/>
  <c r="Z243" i="68"/>
  <c r="Z245" i="68" s="1"/>
  <c r="Z330" i="68" s="1"/>
  <c r="Z154" i="68"/>
  <c r="Z239" i="68" s="1"/>
  <c r="AB243" i="68"/>
  <c r="AB245" i="68" s="1"/>
  <c r="AB330" i="68" s="1"/>
  <c r="AB154" i="68"/>
  <c r="AB239" i="68" s="1"/>
  <c r="S861" i="68"/>
  <c r="S863" i="68" s="1"/>
  <c r="S948" i="68" s="1"/>
  <c r="S772" i="68"/>
  <c r="S857" i="68" s="1"/>
  <c r="AA243" i="68"/>
  <c r="AA245" i="68" s="1"/>
  <c r="AA330" i="68" s="1"/>
  <c r="AA154" i="68"/>
  <c r="AA239" i="68" s="1"/>
  <c r="P552" i="68"/>
  <c r="P554" i="68" s="1"/>
  <c r="P639" i="68" s="1"/>
  <c r="P463" i="68"/>
  <c r="P548" i="68" s="1"/>
  <c r="V552" i="68"/>
  <c r="V554" i="68" s="1"/>
  <c r="V639" i="68" s="1"/>
  <c r="V463" i="68"/>
  <c r="V548" i="68" s="1"/>
  <c r="Q861" i="68"/>
  <c r="Q863" i="68" s="1"/>
  <c r="Q948" i="68" s="1"/>
  <c r="Q772" i="68"/>
  <c r="Q857" i="68" s="1"/>
  <c r="I552" i="68"/>
  <c r="I554" i="68" s="1"/>
  <c r="I639" i="68" s="1"/>
  <c r="I463" i="68"/>
  <c r="I548" i="68" s="1"/>
  <c r="Z772" i="68"/>
  <c r="Z857" i="68" s="1"/>
  <c r="Z861" i="68"/>
  <c r="Z863" i="68" s="1"/>
  <c r="Z948" i="68" s="1"/>
  <c r="V861" i="68"/>
  <c r="V863" i="68" s="1"/>
  <c r="V948" i="68" s="1"/>
  <c r="V772" i="68"/>
  <c r="V857" i="68" s="1"/>
  <c r="N552" i="68"/>
  <c r="N554" i="68" s="1"/>
  <c r="N639" i="68" s="1"/>
  <c r="N463" i="68"/>
  <c r="N548" i="68" s="1"/>
  <c r="M861" i="68"/>
  <c r="M863" i="68" s="1"/>
  <c r="M948" i="68" s="1"/>
  <c r="M772" i="68"/>
  <c r="M857" i="68" s="1"/>
  <c r="N861" i="68"/>
  <c r="N863" i="68" s="1"/>
  <c r="N948" i="68" s="1"/>
  <c r="N772" i="68"/>
  <c r="N857" i="68" s="1"/>
  <c r="O861" i="68"/>
  <c r="O863" i="68" s="1"/>
  <c r="O948" i="68" s="1"/>
  <c r="O772" i="68"/>
  <c r="O857" i="68" s="1"/>
  <c r="L463" i="68"/>
  <c r="L548" i="68" s="1"/>
  <c r="L552" i="68"/>
  <c r="L554" i="68" s="1"/>
  <c r="L639" i="68" s="1"/>
  <c r="AD861" i="68"/>
  <c r="AD863" i="68" s="1"/>
  <c r="AD948" i="68" s="1"/>
  <c r="AD772" i="68"/>
  <c r="AD857" i="68" s="1"/>
  <c r="M243" i="68"/>
  <c r="M245" i="68" s="1"/>
  <c r="M330" i="68" s="1"/>
  <c r="M154" i="68"/>
  <c r="M239" i="68" s="1"/>
  <c r="X463" i="68"/>
  <c r="X548" i="68" s="1"/>
  <c r="X552" i="68"/>
  <c r="X554" i="68" s="1"/>
  <c r="X639" i="68" s="1"/>
  <c r="AF243" i="68"/>
  <c r="AF245" i="68" s="1"/>
  <c r="AF330" i="68" s="1"/>
  <c r="AF154" i="68"/>
  <c r="AF239" i="68" s="1"/>
  <c r="AH552" i="68"/>
  <c r="AH554" i="68" s="1"/>
  <c r="AH639" i="68" s="1"/>
  <c r="AH463" i="68"/>
  <c r="AH548" i="68" s="1"/>
  <c r="K861" i="68"/>
  <c r="K863" i="68" s="1"/>
  <c r="K948" i="68" s="1"/>
  <c r="K772" i="68"/>
  <c r="K857" i="68" s="1"/>
  <c r="AF463" i="68"/>
  <c r="AF548" i="68" s="1"/>
  <c r="AF552" i="68"/>
  <c r="AF554" i="68" s="1"/>
  <c r="AF639" i="68" s="1"/>
  <c r="AG243" i="68"/>
  <c r="AG245" i="68" s="1"/>
  <c r="AG330" i="68" s="1"/>
  <c r="AG154" i="68"/>
  <c r="AG239" i="68" s="1"/>
  <c r="AG772" i="68"/>
  <c r="AG857" i="68" s="1"/>
  <c r="AG861" i="68"/>
  <c r="AG863" i="68" s="1"/>
  <c r="AG948" i="68" s="1"/>
  <c r="X772" i="68"/>
  <c r="X857" i="68" s="1"/>
  <c r="X861" i="68"/>
  <c r="X863" i="68" s="1"/>
  <c r="X948" i="68" s="1"/>
  <c r="N243" i="68"/>
  <c r="N245" i="68" s="1"/>
  <c r="N330" i="68" s="1"/>
  <c r="N154" i="68"/>
  <c r="N239" i="68" s="1"/>
  <c r="K243" i="68"/>
  <c r="K245" i="68" s="1"/>
  <c r="K330" i="68" s="1"/>
  <c r="K154" i="68"/>
  <c r="K239" i="68" s="1"/>
  <c r="AD243" i="68"/>
  <c r="AD245" i="68" s="1"/>
  <c r="AD330" i="68" s="1"/>
  <c r="AD154" i="68"/>
  <c r="AD239" i="68" s="1"/>
  <c r="O552" i="68"/>
  <c r="O554" i="68" s="1"/>
  <c r="O639" i="68" s="1"/>
  <c r="O463" i="68"/>
  <c r="O548" i="68" s="1"/>
  <c r="J861" i="68"/>
  <c r="J863" i="68" s="1"/>
  <c r="J948" i="68" s="1"/>
  <c r="J772" i="68"/>
  <c r="J857" i="68" s="1"/>
  <c r="AE772" i="68"/>
  <c r="AE857" i="68" s="1"/>
  <c r="AE861" i="68"/>
  <c r="AE863" i="68" s="1"/>
  <c r="AE948" i="68" s="1"/>
  <c r="T552" i="68"/>
  <c r="T554" i="68" s="1"/>
  <c r="T639" i="68" s="1"/>
  <c r="T463" i="68"/>
  <c r="T548" i="68" s="1"/>
  <c r="AH772" i="68"/>
  <c r="AH857" i="68" s="1"/>
  <c r="AH861" i="68"/>
  <c r="AH863" i="68" s="1"/>
  <c r="AH948" i="68" s="1"/>
  <c r="I861" i="68"/>
  <c r="I863" i="68" s="1"/>
  <c r="I948" i="68" s="1"/>
  <c r="I772" i="68"/>
  <c r="I857" i="68" s="1"/>
  <c r="AA463" i="68"/>
  <c r="AA548" i="68" s="1"/>
  <c r="AA552" i="68"/>
  <c r="AA554" i="68" s="1"/>
  <c r="AA639" i="68" s="1"/>
  <c r="AE243" i="68"/>
  <c r="AE245" i="68" s="1"/>
  <c r="AE330" i="68" s="1"/>
  <c r="AE154" i="68"/>
  <c r="AE239" i="68" s="1"/>
  <c r="T243" i="68"/>
  <c r="T245" i="68" s="1"/>
  <c r="T330" i="68" s="1"/>
  <c r="T154" i="68"/>
  <c r="T239" i="68" s="1"/>
  <c r="AA861" i="68"/>
  <c r="AA863" i="68" s="1"/>
  <c r="AA948" i="68" s="1"/>
  <c r="AA772" i="68"/>
  <c r="AA857" i="68" s="1"/>
  <c r="J463" i="68"/>
  <c r="J548" i="68" s="1"/>
  <c r="J552" i="68"/>
  <c r="J554" i="68" s="1"/>
  <c r="J639" i="68" s="1"/>
  <c r="T861" i="68"/>
  <c r="T863" i="68" s="1"/>
  <c r="T948" i="68" s="1"/>
  <c r="T772" i="68"/>
  <c r="T857" i="68" s="1"/>
  <c r="AF861" i="68"/>
  <c r="AF863" i="68" s="1"/>
  <c r="AF948" i="68" s="1"/>
  <c r="AF772" i="68"/>
  <c r="AF857" i="68" s="1"/>
  <c r="AC463" i="68"/>
  <c r="AC548" i="68" s="1"/>
  <c r="AC552" i="68"/>
  <c r="AC554" i="68" s="1"/>
  <c r="AC639" i="68" s="1"/>
  <c r="AC243" i="68"/>
  <c r="AC245" i="68" s="1"/>
  <c r="AC330" i="68" s="1"/>
  <c r="AC154" i="68"/>
  <c r="AC239" i="68" s="1"/>
  <c r="AC861" i="68"/>
  <c r="AC863" i="68" s="1"/>
  <c r="AC948" i="68" s="1"/>
  <c r="AC772" i="68"/>
  <c r="AC857" i="68" s="1"/>
  <c r="Y861" i="68"/>
  <c r="Y863" i="68" s="1"/>
  <c r="Y948" i="68" s="1"/>
  <c r="Y772" i="68"/>
  <c r="Y857" i="68" s="1"/>
  <c r="R552" i="68"/>
  <c r="R554" i="68" s="1"/>
  <c r="R639" i="68" s="1"/>
  <c r="R463" i="68"/>
  <c r="R548" i="68" s="1"/>
  <c r="AG463" i="68"/>
  <c r="AG548" i="68" s="1"/>
  <c r="AG552" i="68"/>
  <c r="AG554" i="68" s="1"/>
  <c r="AG639" i="68" s="1"/>
  <c r="O243" i="68"/>
  <c r="O245" i="68" s="1"/>
  <c r="O330" i="68" s="1"/>
  <c r="O154" i="68"/>
  <c r="O239" i="68" s="1"/>
  <c r="U772" i="68"/>
  <c r="U857" i="68" s="1"/>
  <c r="U861" i="68"/>
  <c r="U863" i="68" s="1"/>
  <c r="U948" i="68" s="1"/>
  <c r="W861" i="68"/>
  <c r="W863" i="68" s="1"/>
  <c r="W948" i="68" s="1"/>
  <c r="W772" i="68"/>
  <c r="W857" i="68" s="1"/>
  <c r="Y463" i="68"/>
  <c r="Y548" i="68" s="1"/>
  <c r="Y552" i="68"/>
  <c r="Y554" i="68" s="1"/>
  <c r="Y639" i="68" s="1"/>
  <c r="S243" i="68"/>
  <c r="S245" i="68" s="1"/>
  <c r="S330" i="68" s="1"/>
  <c r="S154" i="68"/>
  <c r="S239" i="68" s="1"/>
  <c r="AH243" i="68"/>
  <c r="AH245" i="68" s="1"/>
  <c r="AH330" i="68" s="1"/>
  <c r="AH154" i="68"/>
  <c r="AH239" i="68" s="1"/>
  <c r="AB861" i="68"/>
  <c r="AB863" i="68" s="1"/>
  <c r="AB948" i="68" s="1"/>
  <c r="AB772" i="68"/>
  <c r="AB857" i="68" s="1"/>
  <c r="U243" i="68"/>
  <c r="U245" i="68" s="1"/>
  <c r="U330" i="68" s="1"/>
  <c r="U154" i="68"/>
  <c r="U239" i="68" s="1"/>
  <c r="M552" i="68"/>
  <c r="M554" i="68" s="1"/>
  <c r="M639" i="68" s="1"/>
  <c r="M463" i="68"/>
  <c r="M548" i="68" s="1"/>
  <c r="U552" i="68"/>
  <c r="U554" i="68" s="1"/>
  <c r="U639" i="68" s="1"/>
  <c r="U463" i="68"/>
  <c r="U548" i="68" s="1"/>
  <c r="Q243" i="68"/>
  <c r="Q245" i="68" s="1"/>
  <c r="Q330" i="68" s="1"/>
  <c r="Q154" i="68"/>
  <c r="Q239" i="68" s="1"/>
  <c r="R861" i="68"/>
  <c r="R863" i="68" s="1"/>
  <c r="R948" i="68" s="1"/>
  <c r="R772" i="68"/>
  <c r="R857" i="68" s="1"/>
  <c r="I243" i="68"/>
  <c r="I245" i="68" s="1"/>
  <c r="I330" i="68" s="1"/>
  <c r="I154" i="68"/>
  <c r="I239" i="68" s="1"/>
  <c r="AD552" i="68"/>
  <c r="AD554" i="68" s="1"/>
  <c r="AD639" i="68" s="1"/>
  <c r="AD463" i="68"/>
  <c r="AD548" i="68" s="1"/>
  <c r="AB552" i="68"/>
  <c r="AB554" i="68" s="1"/>
  <c r="AB639" i="68" s="1"/>
  <c r="AB463" i="68"/>
  <c r="AB548" i="68" s="1"/>
  <c r="P243" i="68"/>
  <c r="P245" i="68" s="1"/>
  <c r="P330" i="68" s="1"/>
  <c r="P154" i="68"/>
  <c r="P239" i="68" s="1"/>
  <c r="J243" i="68"/>
  <c r="J245" i="68" s="1"/>
  <c r="J330" i="68" s="1"/>
  <c r="J154" i="68"/>
  <c r="J239" i="68" s="1"/>
  <c r="W243" i="68"/>
  <c r="W245" i="68" s="1"/>
  <c r="W330" i="68" s="1"/>
  <c r="W154" i="68"/>
  <c r="W239" i="68" s="1"/>
  <c r="L243" i="68"/>
  <c r="L245" i="68" s="1"/>
  <c r="L330" i="68" s="1"/>
  <c r="L154" i="68"/>
  <c r="L239" i="68" s="1"/>
  <c r="V243" i="68"/>
  <c r="V245" i="68" s="1"/>
  <c r="V330" i="68" s="1"/>
  <c r="V154" i="68"/>
  <c r="V239" i="68" s="1"/>
  <c r="C21" i="48"/>
  <c r="AB954" i="68" l="1"/>
  <c r="AB953" i="68"/>
  <c r="AF953" i="68"/>
  <c r="X953" i="68"/>
  <c r="I953" i="68"/>
  <c r="X954" i="68"/>
  <c r="AB955" i="68"/>
  <c r="AA76" i="40" s="1" a="1"/>
  <c r="AA76" i="40" s="1"/>
  <c r="U953" i="68"/>
  <c r="AG954" i="68"/>
  <c r="N954" i="68"/>
  <c r="AB956" i="68"/>
  <c r="AA89" i="40" s="1" a="1"/>
  <c r="AA89" i="40" s="1"/>
  <c r="AD955" i="68"/>
  <c r="AC76" i="40" s="1" a="1"/>
  <c r="AC76" i="40" s="1"/>
  <c r="R954" i="68"/>
  <c r="AA955" i="68"/>
  <c r="Z76" i="40" s="1" a="1"/>
  <c r="Z76" i="40" s="1"/>
  <c r="AA953" i="68"/>
  <c r="R953" i="68"/>
  <c r="R955" i="68"/>
  <c r="Q76" i="40" s="1" a="1"/>
  <c r="Q76" i="40" s="1"/>
  <c r="K954" i="68"/>
  <c r="AD953" i="68"/>
  <c r="R956" i="68"/>
  <c r="Q89" i="40" s="1" a="1"/>
  <c r="Q89" i="40" s="1"/>
  <c r="M955" i="68"/>
  <c r="L76" i="40" s="1" a="1"/>
  <c r="L76" i="40" s="1"/>
  <c r="AA954" i="68"/>
  <c r="AA956" i="68"/>
  <c r="Z89" i="40" s="1" a="1"/>
  <c r="Z89" i="40" s="1"/>
  <c r="Z956" i="68"/>
  <c r="Y89" i="40" s="1" a="1"/>
  <c r="Y89" i="40" s="1"/>
  <c r="AF954" i="68"/>
  <c r="AG953" i="68"/>
  <c r="Y955" i="68"/>
  <c r="X76" i="40" s="1" a="1"/>
  <c r="X76" i="40" s="1"/>
  <c r="Y953" i="68"/>
  <c r="Y954" i="68"/>
  <c r="Z954" i="68"/>
  <c r="M953" i="68"/>
  <c r="J953" i="68"/>
  <c r="AE954" i="68"/>
  <c r="L953" i="68"/>
  <c r="S956" i="68"/>
  <c r="R89" i="40" s="1" a="1"/>
  <c r="R89" i="40" s="1"/>
  <c r="W956" i="68"/>
  <c r="V89" i="40" s="1" a="1"/>
  <c r="V89" i="40" s="1"/>
  <c r="AC953" i="68"/>
  <c r="I956" i="68"/>
  <c r="J956" i="68"/>
  <c r="I89" i="40" s="1" a="1"/>
  <c r="I89" i="40" s="1"/>
  <c r="O956" i="68"/>
  <c r="N89" i="40" s="1" a="1"/>
  <c r="N89" i="40" s="1"/>
  <c r="U956" i="68"/>
  <c r="T89" i="40" s="1" a="1"/>
  <c r="T89" i="40" s="1"/>
  <c r="AH956" i="68"/>
  <c r="AG89" i="40" s="1" a="1"/>
  <c r="AG89" i="40" s="1"/>
  <c r="O953" i="68"/>
  <c r="X956" i="68"/>
  <c r="W89" i="40" s="1" a="1"/>
  <c r="W89" i="40" s="1"/>
  <c r="P953" i="68"/>
  <c r="W953" i="68"/>
  <c r="Z953" i="68"/>
  <c r="U955" i="68"/>
  <c r="T76" i="40" s="1" a="1"/>
  <c r="T76" i="40" s="1"/>
  <c r="U954" i="68"/>
  <c r="Y956" i="68"/>
  <c r="X89" i="40" s="1" a="1"/>
  <c r="X89" i="40" s="1"/>
  <c r="AF956" i="68"/>
  <c r="AE89" i="40" s="1" a="1"/>
  <c r="AE89" i="40" s="1"/>
  <c r="AH954" i="68"/>
  <c r="O955" i="68"/>
  <c r="N76" i="40" s="1" a="1"/>
  <c r="N76" i="40" s="1"/>
  <c r="K956" i="68"/>
  <c r="J89" i="40" s="1" a="1"/>
  <c r="J89" i="40" s="1"/>
  <c r="N956" i="68"/>
  <c r="M89" i="40" s="1" a="1"/>
  <c r="M89" i="40" s="1"/>
  <c r="P955" i="68"/>
  <c r="O76" i="40" s="1" a="1"/>
  <c r="O76" i="40" s="1"/>
  <c r="W955" i="68"/>
  <c r="V76" i="40" s="1" a="1"/>
  <c r="V76" i="40" s="1"/>
  <c r="Z955" i="68"/>
  <c r="Y76" i="40" s="1" a="1"/>
  <c r="Y76" i="40" s="1"/>
  <c r="AC954" i="68"/>
  <c r="T954" i="68"/>
  <c r="T953" i="68"/>
  <c r="AG956" i="68"/>
  <c r="AF89" i="40" s="1" a="1"/>
  <c r="AF89" i="40" s="1"/>
  <c r="AH953" i="68"/>
  <c r="AD954" i="68"/>
  <c r="M954" i="68"/>
  <c r="K953" i="68"/>
  <c r="S953" i="68"/>
  <c r="AE955" i="68"/>
  <c r="AD76" i="40" s="1" a="1"/>
  <c r="AD76" i="40" s="1"/>
  <c r="AC956" i="68"/>
  <c r="AB89" i="40" s="1" a="1"/>
  <c r="AB89" i="40" s="1"/>
  <c r="T956" i="68"/>
  <c r="S89" i="40" s="1" a="1"/>
  <c r="S89" i="40" s="1"/>
  <c r="T955" i="68"/>
  <c r="S76" i="40" s="1" a="1"/>
  <c r="S76" i="40" s="1"/>
  <c r="AH955" i="68"/>
  <c r="AG76" i="40" s="1" a="1"/>
  <c r="AG76" i="40" s="1"/>
  <c r="AD956" i="68"/>
  <c r="AC89" i="40" s="1" a="1"/>
  <c r="AC89" i="40" s="1"/>
  <c r="M956" i="68"/>
  <c r="L89" i="40" s="1" a="1"/>
  <c r="L89" i="40" s="1"/>
  <c r="I955" i="68"/>
  <c r="K955" i="68"/>
  <c r="J76" i="40" s="1" a="1"/>
  <c r="J76" i="40" s="1"/>
  <c r="S955" i="68"/>
  <c r="R76" i="40" s="1" a="1"/>
  <c r="R76" i="40" s="1"/>
  <c r="AE953" i="68"/>
  <c r="AG955" i="68"/>
  <c r="AF76" i="40" s="1" a="1"/>
  <c r="AF76" i="40" s="1"/>
  <c r="J955" i="68"/>
  <c r="I76" i="40" s="1" a="1"/>
  <c r="I76" i="40" s="1"/>
  <c r="AE956" i="68"/>
  <c r="AD89" i="40" s="1" a="1"/>
  <c r="AD89" i="40" s="1"/>
  <c r="L955" i="68"/>
  <c r="K76" i="40" s="1" a="1"/>
  <c r="K76" i="40" s="1"/>
  <c r="N953" i="68"/>
  <c r="Q954" i="68"/>
  <c r="S954" i="68"/>
  <c r="Q955" i="68"/>
  <c r="P76" i="40" s="1" a="1"/>
  <c r="P76" i="40" s="1"/>
  <c r="L954" i="68"/>
  <c r="P954" i="68"/>
  <c r="N955" i="68"/>
  <c r="M76" i="40" s="1" a="1"/>
  <c r="M76" i="40" s="1"/>
  <c r="Q953" i="68"/>
  <c r="L956" i="68"/>
  <c r="K89" i="40" s="1" a="1"/>
  <c r="K89" i="40" s="1"/>
  <c r="P956" i="68"/>
  <c r="O89" i="40" s="1" a="1"/>
  <c r="O89" i="40" s="1"/>
  <c r="Q956" i="68"/>
  <c r="P89" i="40" s="1" a="1"/>
  <c r="P89" i="40" s="1"/>
  <c r="W954" i="68"/>
  <c r="AC955" i="68"/>
  <c r="AB76" i="40" s="1" a="1"/>
  <c r="AB76" i="40" s="1"/>
  <c r="I954" i="68"/>
  <c r="J954" i="68"/>
  <c r="AF955" i="68"/>
  <c r="AE76" i="40" s="1" a="1"/>
  <c r="AE76" i="40" s="1"/>
  <c r="X955" i="68"/>
  <c r="W76" i="40" s="1" a="1"/>
  <c r="W76" i="40" s="1"/>
  <c r="O954" i="68"/>
  <c r="V954" i="68"/>
  <c r="V953" i="68"/>
  <c r="V956" i="68"/>
  <c r="U89" i="40" s="1" a="1"/>
  <c r="U89" i="40" s="1"/>
  <c r="V955" i="68"/>
  <c r="U76" i="40" s="1" a="1"/>
  <c r="U76" i="40" s="1"/>
  <c r="C22" i="48"/>
  <c r="C23" i="48" s="1"/>
  <c r="C24" i="48" s="1"/>
  <c r="E953" i="68" l="1"/>
  <c r="D162" i="48" s="1"/>
  <c r="H89" i="40" a="1"/>
  <c r="H89" i="40" s="1"/>
  <c r="E89" i="40" s="1"/>
  <c r="K57" i="40" s="1"/>
  <c r="E956" i="68"/>
  <c r="F163" i="48" s="1"/>
  <c r="H76" i="40" a="1"/>
  <c r="H76" i="40" s="1"/>
  <c r="E76" i="40" s="1"/>
  <c r="J57" i="40" s="1"/>
  <c r="E955" i="68"/>
  <c r="D163" i="48" s="1"/>
  <c r="E954" i="68"/>
  <c r="F162" i="48" s="1"/>
  <c r="C332" i="48"/>
  <c r="D339" i="48" l="1"/>
  <c r="D17" i="40" l="1"/>
  <c r="D16" i="40"/>
  <c r="F73" i="40" l="1" a="1"/>
  <c r="F73" i="40" s="1"/>
  <c r="F155" i="40" l="1" a="1"/>
  <c r="F155" i="40" s="1"/>
  <c r="F138" i="40" a="1"/>
  <c r="F138" i="40" s="1"/>
  <c r="E33" i="29" a="1"/>
  <c r="E33" i="29" s="1"/>
  <c r="F133" i="40" a="1"/>
  <c r="F133" i="40" s="1"/>
  <c r="F134" i="40" a="1"/>
  <c r="F134" i="40" s="1"/>
  <c r="G726" i="18" a="1"/>
  <c r="G726" i="18" s="1"/>
  <c r="G30" i="18" a="1"/>
  <c r="G30" i="18" s="1"/>
  <c r="G695" i="18" a="1"/>
  <c r="G695" i="18" s="1"/>
  <c r="G664" i="18" a="1"/>
  <c r="G664" i="18" s="1"/>
  <c r="G633" i="18" a="1"/>
  <c r="G633" i="18" s="1"/>
  <c r="G788" i="18" a="1"/>
  <c r="G788" i="18" s="1"/>
  <c r="G602" i="18" a="1"/>
  <c r="G602" i="18" s="1"/>
  <c r="G471" i="18" a="1"/>
  <c r="G471" i="18" s="1"/>
  <c r="G185" i="18" a="1"/>
  <c r="G185" i="18" s="1"/>
  <c r="G757" i="18" a="1"/>
  <c r="G757" i="18" s="1"/>
  <c r="G583" i="18" a="1"/>
  <c r="G583" i="18" s="1"/>
  <c r="G533" i="18" a="1"/>
  <c r="G533" i="18" s="1"/>
  <c r="G154" i="18" a="1"/>
  <c r="G154" i="18" s="1"/>
  <c r="G567" i="18" a="1"/>
  <c r="G567" i="18" s="1"/>
  <c r="G502" i="18" a="1"/>
  <c r="G502" i="18" s="1"/>
  <c r="G440" i="18" a="1"/>
  <c r="G440" i="18" s="1"/>
  <c r="G123" i="18" a="1"/>
  <c r="G123" i="18" s="1"/>
  <c r="G409" i="18" a="1"/>
  <c r="G409" i="18" s="1"/>
  <c r="G347" i="18" a="1"/>
  <c r="G347" i="18" s="1"/>
  <c r="G316" i="18" a="1"/>
  <c r="G316" i="18" s="1"/>
  <c r="G297" i="18" a="1"/>
  <c r="G297" i="18" s="1"/>
  <c r="G916" i="18" a="1"/>
  <c r="G916" i="18" s="1"/>
  <c r="G281" i="18" a="1"/>
  <c r="G281" i="18" s="1"/>
  <c r="G247" i="18" a="1"/>
  <c r="G247" i="18" s="1"/>
  <c r="G888" i="18" a="1"/>
  <c r="G888" i="18" s="1"/>
  <c r="G378" i="18" a="1"/>
  <c r="G378" i="18" s="1"/>
  <c r="G932" i="18" a="1"/>
  <c r="G932" i="18" s="1"/>
  <c r="G904" i="18" a="1"/>
  <c r="G904" i="18" s="1"/>
  <c r="G216" i="18" a="1"/>
  <c r="G216" i="18" s="1"/>
  <c r="G869" i="18" a="1"/>
  <c r="G869" i="18" s="1"/>
  <c r="G853" i="18" a="1"/>
  <c r="G853" i="18" s="1"/>
  <c r="G819" i="18" a="1"/>
  <c r="G819" i="18" s="1"/>
  <c r="G92" i="18" a="1"/>
  <c r="G92" i="18" s="1"/>
  <c r="G61" i="18" a="1"/>
  <c r="G61" i="18" s="1"/>
  <c r="E215" i="16" a="1"/>
  <c r="E215" i="16" s="1"/>
  <c r="E222" i="16" a="1"/>
  <c r="E222" i="16" s="1"/>
  <c r="E234" i="16" a="1"/>
  <c r="E234" i="16" s="1"/>
  <c r="E68" i="16" a="1"/>
  <c r="E68" i="16" s="1"/>
  <c r="E76" i="16" a="1"/>
  <c r="E76" i="16" s="1"/>
  <c r="E47" i="16" a="1"/>
  <c r="E47" i="16" s="1"/>
  <c r="E118" i="16" s="1" a="1"/>
  <c r="E118" i="16" s="1"/>
  <c r="E63" i="16" a="1"/>
  <c r="E63" i="16" s="1"/>
  <c r="D8" i="65" a="1"/>
  <c r="D8" i="65" s="1"/>
  <c r="E72" i="16" a="1"/>
  <c r="E72" i="16" s="1"/>
  <c r="G13" i="18" a="1"/>
  <c r="E59" i="16" a="1"/>
  <c r="E52" i="16" a="1"/>
  <c r="E52" i="16" s="1"/>
  <c r="E85" i="16" s="1" a="1"/>
  <c r="E85" i="16" s="1"/>
  <c r="E55" i="16" a="1"/>
  <c r="E55" i="16" s="1"/>
  <c r="E71" i="16" a="1"/>
  <c r="E71" i="16" s="1"/>
  <c r="E51" i="16" a="1"/>
  <c r="E51" i="16" s="1"/>
  <c r="E122" i="16" s="1" a="1"/>
  <c r="E122" i="16" s="1"/>
  <c r="E67" i="16" a="1"/>
  <c r="E67" i="16" s="1"/>
  <c r="E61" i="16" a="1"/>
  <c r="E61" i="16" s="1"/>
  <c r="E94" i="16" s="1" a="1"/>
  <c r="E94" i="16" s="1"/>
  <c r="E57" i="16" a="1"/>
  <c r="E57" i="16" s="1"/>
  <c r="E128" i="16" s="1" a="1"/>
  <c r="E128" i="16" s="1"/>
  <c r="E60" i="16" a="1"/>
  <c r="E60" i="16" s="1"/>
  <c r="E93" i="16" s="1" a="1"/>
  <c r="E93" i="16" s="1"/>
  <c r="E75" i="16" a="1"/>
  <c r="E69" i="16" a="1"/>
  <c r="E69" i="16" s="1"/>
  <c r="E64" i="16" a="1"/>
  <c r="E73" i="16" a="1"/>
  <c r="E73" i="16" s="1"/>
  <c r="E65" i="16" a="1"/>
  <c r="E65" i="16" s="1"/>
  <c r="E53" i="16" a="1"/>
  <c r="E53" i="16" s="1"/>
  <c r="E86" i="16" s="1" a="1"/>
  <c r="E86" i="16" s="1"/>
  <c r="E56" i="16" a="1"/>
  <c r="E56" i="16" s="1"/>
  <c r="E77" i="16" a="1"/>
  <c r="E77" i="16" s="1"/>
  <c r="E48" i="16" a="1"/>
  <c r="E48" i="16" s="1"/>
  <c r="E49" i="16" a="1"/>
  <c r="E48" i="29" a="1"/>
  <c r="E48" i="29" s="1"/>
  <c r="E49" i="29" a="1"/>
  <c r="E49" i="29" s="1"/>
  <c r="E38" i="29" a="1"/>
  <c r="E38" i="29" s="1"/>
  <c r="E40" i="29" a="1"/>
  <c r="E40" i="29" s="1"/>
  <c r="E50" i="29" a="1"/>
  <c r="E50" i="29" s="1"/>
  <c r="E51" i="29" a="1"/>
  <c r="E51" i="29" s="1"/>
  <c r="E41" i="29" a="1"/>
  <c r="E41" i="29" s="1"/>
  <c r="E35" i="29" a="1"/>
  <c r="E35" i="29" s="1"/>
  <c r="E37" i="29" a="1"/>
  <c r="E37" i="29" s="1"/>
  <c r="E39" i="29" a="1"/>
  <c r="E39" i="29" s="1"/>
  <c r="E47" i="29" a="1"/>
  <c r="E47" i="29" s="1"/>
  <c r="E46" i="29" a="1"/>
  <c r="E46" i="29" s="1"/>
  <c r="E36" i="29" a="1"/>
  <c r="E36" i="29" s="1"/>
  <c r="D21" i="65" a="1"/>
  <c r="D21" i="65" s="1"/>
  <c r="E34" i="29" a="1"/>
  <c r="E34" i="29" s="1"/>
  <c r="D11" i="65" a="1"/>
  <c r="E205" i="16" a="1"/>
  <c r="E205" i="16" s="1"/>
  <c r="D14" i="65" a="1"/>
  <c r="D7" i="65" a="1"/>
  <c r="D7" i="65" s="1"/>
  <c r="E32" i="29" a="1"/>
  <c r="E32" i="29" s="1"/>
  <c r="G16" i="18" a="1"/>
  <c r="G15" i="18" a="1"/>
  <c r="G14" i="18" a="1"/>
  <c r="G12" i="18" a="1"/>
  <c r="G12" i="18" s="1"/>
  <c r="E88" i="16" l="1" a="1"/>
  <c r="E88" i="16" s="1"/>
  <c r="E126" i="16" a="1"/>
  <c r="E126" i="16" s="1"/>
  <c r="E89" i="16" a="1"/>
  <c r="E89" i="16" s="1"/>
  <c r="E127" i="16" a="1"/>
  <c r="E127" i="16" s="1"/>
  <c r="E98" i="16" a="1"/>
  <c r="E98" i="16" s="1"/>
  <c r="E136" i="16" a="1"/>
  <c r="E136" i="16" s="1"/>
  <c r="E96" i="16" a="1"/>
  <c r="E96" i="16" s="1"/>
  <c r="E134" i="16" a="1"/>
  <c r="E134" i="16" s="1"/>
  <c r="H870" i="18"/>
  <c r="H871" i="18"/>
  <c r="H585" i="18"/>
  <c r="H584" i="18"/>
  <c r="H299" i="18"/>
  <c r="H925" i="18"/>
  <c r="H298" i="18"/>
  <c r="H917" i="18"/>
  <c r="H921" i="18"/>
  <c r="H874" i="18"/>
  <c r="H302" i="18"/>
  <c r="H587" i="18"/>
  <c r="H589" i="18" s="1"/>
  <c r="H301" i="18"/>
  <c r="H873" i="18"/>
  <c r="H926" i="18"/>
  <c r="H922" i="18"/>
  <c r="H918" i="18"/>
  <c r="H877" i="18"/>
  <c r="H919" i="18"/>
  <c r="H305" i="18"/>
  <c r="H590" i="18"/>
  <c r="H591" i="18"/>
  <c r="H304" i="18"/>
  <c r="H876" i="18"/>
  <c r="H927" i="18"/>
  <c r="H923" i="18"/>
  <c r="H307" i="18"/>
  <c r="H593" i="18"/>
  <c r="H308" i="18"/>
  <c r="H594" i="18"/>
  <c r="H880" i="18"/>
  <c r="H879" i="18"/>
  <c r="H920" i="18"/>
  <c r="H928" i="18"/>
  <c r="H924" i="18"/>
  <c r="E64" i="16"/>
  <c r="G16" i="18"/>
  <c r="AD307" i="18"/>
  <c r="J593" i="18"/>
  <c r="AB593" i="18"/>
  <c r="AD879" i="18"/>
  <c r="X307" i="18"/>
  <c r="AB307" i="18"/>
  <c r="Y594" i="18"/>
  <c r="Y879" i="18"/>
  <c r="AB594" i="18"/>
  <c r="T308" i="18"/>
  <c r="AF880" i="18"/>
  <c r="AA879" i="18"/>
  <c r="AC593" i="18"/>
  <c r="P307" i="18"/>
  <c r="AD880" i="18"/>
  <c r="V308" i="18"/>
  <c r="AA880" i="18"/>
  <c r="AF308" i="18"/>
  <c r="X920" i="18"/>
  <c r="P308" i="18"/>
  <c r="I593" i="18"/>
  <c r="U593" i="18"/>
  <c r="J594" i="18"/>
  <c r="AE307" i="18"/>
  <c r="AE594" i="18"/>
  <c r="Q879" i="18"/>
  <c r="S594" i="18"/>
  <c r="O308" i="18"/>
  <c r="S307" i="18"/>
  <c r="N879" i="18"/>
  <c r="Q593" i="18"/>
  <c r="L307" i="18"/>
  <c r="T593" i="18"/>
  <c r="N307" i="18"/>
  <c r="AA308" i="18"/>
  <c r="U307" i="18"/>
  <c r="Q594" i="18"/>
  <c r="AH308" i="18"/>
  <c r="O880" i="18"/>
  <c r="AG880" i="18"/>
  <c r="AE880" i="18"/>
  <c r="W879" i="18"/>
  <c r="N308" i="18"/>
  <c r="AC308" i="18"/>
  <c r="AG594" i="18"/>
  <c r="S308" i="18"/>
  <c r="J880" i="18"/>
  <c r="L594" i="18"/>
  <c r="M880" i="18"/>
  <c r="J879" i="18"/>
  <c r="AG307" i="18"/>
  <c r="S593" i="18"/>
  <c r="P593" i="18"/>
  <c r="P880" i="18"/>
  <c r="X593" i="18"/>
  <c r="X594" i="18"/>
  <c r="AE593" i="18"/>
  <c r="M308" i="18"/>
  <c r="AG593" i="18"/>
  <c r="Z307" i="18"/>
  <c r="M593" i="18"/>
  <c r="O594" i="18"/>
  <c r="AF307" i="18"/>
  <c r="R880" i="18"/>
  <c r="AH880" i="18"/>
  <c r="X308" i="18"/>
  <c r="AF593" i="18"/>
  <c r="W880" i="18"/>
  <c r="Z594" i="18"/>
  <c r="K594" i="18"/>
  <c r="O593" i="18"/>
  <c r="N880" i="18"/>
  <c r="V594" i="18"/>
  <c r="T880" i="18"/>
  <c r="L593" i="18"/>
  <c r="I594" i="18"/>
  <c r="AH307" i="18"/>
  <c r="W308" i="18"/>
  <c r="X879" i="18"/>
  <c r="R593" i="18"/>
  <c r="Z593" i="18"/>
  <c r="U594" i="18"/>
  <c r="AC879" i="18"/>
  <c r="AA307" i="18"/>
  <c r="K307" i="18"/>
  <c r="Y307" i="18"/>
  <c r="AH594" i="18"/>
  <c r="W594" i="18"/>
  <c r="AB308" i="18"/>
  <c r="V593" i="18"/>
  <c r="AD594" i="18"/>
  <c r="AA593" i="18"/>
  <c r="AE879" i="18"/>
  <c r="I879" i="18"/>
  <c r="Q308" i="18"/>
  <c r="AA594" i="18"/>
  <c r="K880" i="18"/>
  <c r="T594" i="18"/>
  <c r="N594" i="18"/>
  <c r="V307" i="18"/>
  <c r="M879" i="18"/>
  <c r="AD593" i="18"/>
  <c r="I308" i="18"/>
  <c r="Z308" i="18"/>
  <c r="AD308" i="18"/>
  <c r="M594" i="18"/>
  <c r="U879" i="18"/>
  <c r="U880" i="18"/>
  <c r="P594" i="18"/>
  <c r="T307" i="18"/>
  <c r="AG879" i="18"/>
  <c r="M307" i="18"/>
  <c r="Z880" i="18"/>
  <c r="Q880" i="18"/>
  <c r="R308" i="18"/>
  <c r="R879" i="18"/>
  <c r="AB879" i="18"/>
  <c r="J308" i="18"/>
  <c r="Y308" i="18"/>
  <c r="O307" i="18"/>
  <c r="AG308" i="18"/>
  <c r="T879" i="18"/>
  <c r="T881" i="18" s="1"/>
  <c r="AF594" i="18"/>
  <c r="L879" i="18"/>
  <c r="K879" i="18"/>
  <c r="AF879" i="18"/>
  <c r="S879" i="18"/>
  <c r="L880" i="18"/>
  <c r="V879" i="18"/>
  <c r="N593" i="18"/>
  <c r="K593" i="18"/>
  <c r="V880" i="18"/>
  <c r="R307" i="18"/>
  <c r="AH879" i="18"/>
  <c r="U308" i="18"/>
  <c r="Z879" i="18"/>
  <c r="O879" i="18"/>
  <c r="AC307" i="18"/>
  <c r="I307" i="18"/>
  <c r="W593" i="18"/>
  <c r="L308" i="18"/>
  <c r="P879" i="18"/>
  <c r="I880" i="18"/>
  <c r="AH593" i="18"/>
  <c r="X880" i="18"/>
  <c r="J307" i="18"/>
  <c r="Y880" i="18"/>
  <c r="R594" i="18"/>
  <c r="Q307" i="18"/>
  <c r="AC594" i="18"/>
  <c r="AE308" i="18"/>
  <c r="S880" i="18"/>
  <c r="W307" i="18"/>
  <c r="AC880" i="18"/>
  <c r="AB880" i="18"/>
  <c r="K308" i="18"/>
  <c r="Y593" i="18"/>
  <c r="AB924" i="18"/>
  <c r="Y928" i="18"/>
  <c r="V924" i="18"/>
  <c r="AA920" i="18"/>
  <c r="W920" i="18"/>
  <c r="AH928" i="18"/>
  <c r="W924" i="18"/>
  <c r="AF928" i="18"/>
  <c r="L928" i="18"/>
  <c r="V920" i="18"/>
  <c r="S924" i="18"/>
  <c r="T924" i="18"/>
  <c r="R920" i="18"/>
  <c r="I928" i="18"/>
  <c r="AE924" i="18"/>
  <c r="U924" i="18"/>
  <c r="N928" i="18"/>
  <c r="K924" i="18"/>
  <c r="AH924" i="18"/>
  <c r="Y920" i="18"/>
  <c r="P924" i="18"/>
  <c r="M924" i="18"/>
  <c r="Q920" i="18"/>
  <c r="M920" i="18"/>
  <c r="N924" i="18"/>
  <c r="I920" i="18"/>
  <c r="M928" i="18"/>
  <c r="AF924" i="18"/>
  <c r="AG920" i="18"/>
  <c r="AD928" i="18"/>
  <c r="Q924" i="18"/>
  <c r="I924" i="18"/>
  <c r="W928" i="18"/>
  <c r="AE928" i="18"/>
  <c r="R924" i="18"/>
  <c r="J924" i="18"/>
  <c r="V928" i="18"/>
  <c r="AB920" i="18"/>
  <c r="N920" i="18"/>
  <c r="AF920" i="18"/>
  <c r="AG928" i="18"/>
  <c r="T928" i="18"/>
  <c r="AH920" i="18"/>
  <c r="K920" i="18"/>
  <c r="J928" i="18"/>
  <c r="Z920" i="18"/>
  <c r="Y924" i="18"/>
  <c r="AC928" i="18"/>
  <c r="K928" i="18"/>
  <c r="AD924" i="18"/>
  <c r="AB928" i="18"/>
  <c r="X924" i="18"/>
  <c r="P928" i="18"/>
  <c r="O920" i="18"/>
  <c r="T920" i="18"/>
  <c r="U920" i="18"/>
  <c r="J920" i="18"/>
  <c r="R928" i="18"/>
  <c r="AG924" i="18"/>
  <c r="AE920" i="18"/>
  <c r="Z928" i="18"/>
  <c r="AA924" i="18"/>
  <c r="Q928" i="18"/>
  <c r="AC920" i="18"/>
  <c r="U928" i="18"/>
  <c r="AD920" i="18"/>
  <c r="X928" i="18"/>
  <c r="AC924" i="18"/>
  <c r="O924" i="18"/>
  <c r="S920" i="18"/>
  <c r="P920" i="18"/>
  <c r="O928" i="18"/>
  <c r="S928" i="18"/>
  <c r="AA928" i="18"/>
  <c r="Z924" i="18"/>
  <c r="L924" i="18"/>
  <c r="L920" i="18"/>
  <c r="E84" i="16" a="1"/>
  <c r="E84" i="16" s="1"/>
  <c r="E49" i="16"/>
  <c r="E50" i="16" s="1" a="1"/>
  <c r="E81" i="16" a="1"/>
  <c r="E81" i="16" s="1"/>
  <c r="G14" i="18"/>
  <c r="AB873" i="18"/>
  <c r="N302" i="18"/>
  <c r="AD587" i="18"/>
  <c r="AD589" i="18" s="1"/>
  <c r="K302" i="18"/>
  <c r="S874" i="18"/>
  <c r="R874" i="18"/>
  <c r="AA873" i="18"/>
  <c r="T302" i="18"/>
  <c r="AB926" i="18"/>
  <c r="M874" i="18"/>
  <c r="N301" i="18"/>
  <c r="X587" i="18"/>
  <c r="X589" i="18" s="1"/>
  <c r="L301" i="18"/>
  <c r="AA587" i="18"/>
  <c r="AA589" i="18" s="1"/>
  <c r="J874" i="18"/>
  <c r="P302" i="18"/>
  <c r="N587" i="18"/>
  <c r="N589" i="18" s="1"/>
  <c r="AD302" i="18"/>
  <c r="K301" i="18"/>
  <c r="X301" i="18"/>
  <c r="AA302" i="18"/>
  <c r="AH873" i="18"/>
  <c r="T301" i="18"/>
  <c r="AC301" i="18"/>
  <c r="K587" i="18"/>
  <c r="K589" i="18" s="1"/>
  <c r="X302" i="18"/>
  <c r="Z874" i="18"/>
  <c r="W873" i="18"/>
  <c r="N873" i="18"/>
  <c r="AE587" i="18"/>
  <c r="AE589" i="18" s="1"/>
  <c r="AH302" i="18"/>
  <c r="AC587" i="18"/>
  <c r="AC589" i="18" s="1"/>
  <c r="AF587" i="18"/>
  <c r="AF589" i="18" s="1"/>
  <c r="Z873" i="18"/>
  <c r="V301" i="18"/>
  <c r="O587" i="18"/>
  <c r="O589" i="18" s="1"/>
  <c r="L873" i="18"/>
  <c r="AG301" i="18"/>
  <c r="I873" i="18"/>
  <c r="I874" i="18"/>
  <c r="J301" i="18"/>
  <c r="AG874" i="18"/>
  <c r="W587" i="18"/>
  <c r="W589" i="18" s="1"/>
  <c r="Q874" i="18"/>
  <c r="L874" i="18"/>
  <c r="AG873" i="18"/>
  <c r="AB302" i="18"/>
  <c r="AC874" i="18"/>
  <c r="Q873" i="18"/>
  <c r="AF302" i="18"/>
  <c r="U587" i="18"/>
  <c r="U589" i="18" s="1"/>
  <c r="AD301" i="18"/>
  <c r="Q301" i="18"/>
  <c r="W301" i="18"/>
  <c r="AD873" i="18"/>
  <c r="Y874" i="18"/>
  <c r="U301" i="18"/>
  <c r="M587" i="18"/>
  <c r="M589" i="18" s="1"/>
  <c r="AH874" i="18"/>
  <c r="AE873" i="18"/>
  <c r="S587" i="18"/>
  <c r="S589" i="18" s="1"/>
  <c r="V874" i="18"/>
  <c r="U874" i="18"/>
  <c r="R302" i="18"/>
  <c r="J873" i="18"/>
  <c r="R873" i="18"/>
  <c r="P301" i="18"/>
  <c r="T874" i="18"/>
  <c r="O301" i="18"/>
  <c r="AF301" i="18"/>
  <c r="R587" i="18"/>
  <c r="R589" i="18" s="1"/>
  <c r="O873" i="18"/>
  <c r="AE302" i="18"/>
  <c r="N874" i="18"/>
  <c r="V587" i="18"/>
  <c r="V589" i="18" s="1"/>
  <c r="T587" i="18"/>
  <c r="T589" i="18" s="1"/>
  <c r="Y587" i="18"/>
  <c r="Y589" i="18" s="1"/>
  <c r="U302" i="18"/>
  <c r="S301" i="18"/>
  <c r="AE874" i="18"/>
  <c r="J302" i="18"/>
  <c r="AB874" i="18"/>
  <c r="M873" i="18"/>
  <c r="M301" i="18"/>
  <c r="V302" i="18"/>
  <c r="L587" i="18"/>
  <c r="L589" i="18" s="1"/>
  <c r="W874" i="18"/>
  <c r="O874" i="18"/>
  <c r="U873" i="18"/>
  <c r="Y873" i="18"/>
  <c r="T873" i="18"/>
  <c r="P873" i="18"/>
  <c r="AC302" i="18"/>
  <c r="AA301" i="18"/>
  <c r="P874" i="18"/>
  <c r="AE301" i="18"/>
  <c r="X874" i="18"/>
  <c r="Y302" i="18"/>
  <c r="AD874" i="18"/>
  <c r="M302" i="18"/>
  <c r="AB587" i="18"/>
  <c r="AB589" i="18" s="1"/>
  <c r="AG302" i="18"/>
  <c r="AC873" i="18"/>
  <c r="Z301" i="18"/>
  <c r="AA874" i="18"/>
  <c r="Q302" i="18"/>
  <c r="K874" i="18"/>
  <c r="I301" i="18"/>
  <c r="I302" i="18"/>
  <c r="S873" i="18"/>
  <c r="I587" i="18"/>
  <c r="I589" i="18" s="1"/>
  <c r="K873" i="18"/>
  <c r="AG587" i="18"/>
  <c r="AG589" i="18" s="1"/>
  <c r="V873" i="18"/>
  <c r="O302" i="18"/>
  <c r="P587" i="18"/>
  <c r="P589" i="18" s="1"/>
  <c r="AB301" i="18"/>
  <c r="R301" i="18"/>
  <c r="AF874" i="18"/>
  <c r="Z302" i="18"/>
  <c r="W302" i="18"/>
  <c r="Z587" i="18"/>
  <c r="Z589" i="18" s="1"/>
  <c r="S302" i="18"/>
  <c r="L302" i="18"/>
  <c r="AH301" i="18"/>
  <c r="X873" i="18"/>
  <c r="AF873" i="18"/>
  <c r="AH587" i="18"/>
  <c r="AH589" i="18" s="1"/>
  <c r="Q587" i="18"/>
  <c r="Q589" i="18" s="1"/>
  <c r="J587" i="18"/>
  <c r="J589" i="18" s="1"/>
  <c r="Y301" i="18"/>
  <c r="X926" i="18"/>
  <c r="S926" i="18"/>
  <c r="R922" i="18"/>
  <c r="L926" i="18"/>
  <c r="Q918" i="18"/>
  <c r="AA922" i="18"/>
  <c r="AG922" i="18"/>
  <c r="Z918" i="18"/>
  <c r="N918" i="18"/>
  <c r="M918" i="18"/>
  <c r="AD926" i="18"/>
  <c r="K922" i="18"/>
  <c r="AA926" i="18"/>
  <c r="K926" i="18"/>
  <c r="J922" i="18"/>
  <c r="I922" i="18"/>
  <c r="AH922" i="18"/>
  <c r="AE918" i="18"/>
  <c r="L918" i="18"/>
  <c r="V918" i="18"/>
  <c r="AD918" i="18"/>
  <c r="O922" i="18"/>
  <c r="X922" i="18"/>
  <c r="AH926" i="18"/>
  <c r="AH918" i="18"/>
  <c r="AC926" i="18"/>
  <c r="Y922" i="18"/>
  <c r="T926" i="18"/>
  <c r="M922" i="18"/>
  <c r="AC922" i="18"/>
  <c r="R918" i="18"/>
  <c r="AB922" i="18"/>
  <c r="O918" i="18"/>
  <c r="Y918" i="18"/>
  <c r="W922" i="18"/>
  <c r="T918" i="18"/>
  <c r="AE922" i="18"/>
  <c r="K918" i="18"/>
  <c r="AB918" i="18"/>
  <c r="AA918" i="18"/>
  <c r="M926" i="18"/>
  <c r="Z926" i="18"/>
  <c r="AD922" i="18"/>
  <c r="T922" i="18"/>
  <c r="S922" i="18"/>
  <c r="L922" i="18"/>
  <c r="V922" i="18"/>
  <c r="Y926" i="18"/>
  <c r="O926" i="18"/>
  <c r="Z922" i="18"/>
  <c r="Q922" i="18"/>
  <c r="P926" i="18"/>
  <c r="U926" i="18"/>
  <c r="U918" i="18"/>
  <c r="AG918" i="18"/>
  <c r="J918" i="18"/>
  <c r="N926" i="18"/>
  <c r="N922" i="18"/>
  <c r="P922" i="18"/>
  <c r="P918" i="18"/>
  <c r="AF922" i="18"/>
  <c r="S918" i="18"/>
  <c r="AG926" i="18"/>
  <c r="AF926" i="18"/>
  <c r="R926" i="18"/>
  <c r="AE926" i="18"/>
  <c r="I918" i="18"/>
  <c r="J926" i="18"/>
  <c r="W918" i="18"/>
  <c r="X918" i="18"/>
  <c r="V926" i="18"/>
  <c r="U922" i="18"/>
  <c r="Q926" i="18"/>
  <c r="W926" i="18"/>
  <c r="AC918" i="18"/>
  <c r="AF918" i="18"/>
  <c r="I926" i="18"/>
  <c r="G15" i="18"/>
  <c r="AH591" i="18"/>
  <c r="I877" i="18"/>
  <c r="O304" i="18"/>
  <c r="N876" i="18"/>
  <c r="AF304" i="18"/>
  <c r="W591" i="18"/>
  <c r="V305" i="18"/>
  <c r="O877" i="18"/>
  <c r="AA590" i="18"/>
  <c r="X877" i="18"/>
  <c r="Y876" i="18"/>
  <c r="Q591" i="18"/>
  <c r="K305" i="18"/>
  <c r="L877" i="18"/>
  <c r="P591" i="18"/>
  <c r="J590" i="18"/>
  <c r="K590" i="18"/>
  <c r="N877" i="18"/>
  <c r="U590" i="18"/>
  <c r="AE304" i="18"/>
  <c r="AD590" i="18"/>
  <c r="L305" i="18"/>
  <c r="M877" i="18"/>
  <c r="L591" i="18"/>
  <c r="J876" i="18"/>
  <c r="L876" i="18"/>
  <c r="AA876" i="18"/>
  <c r="AE591" i="18"/>
  <c r="Y877" i="18"/>
  <c r="Y591" i="18"/>
  <c r="AC591" i="18"/>
  <c r="AD304" i="18"/>
  <c r="AG590" i="18"/>
  <c r="AB876" i="18"/>
  <c r="AB305" i="18"/>
  <c r="Q590" i="18"/>
  <c r="X590" i="18"/>
  <c r="Y590" i="18"/>
  <c r="M876" i="18"/>
  <c r="U876" i="18"/>
  <c r="Z590" i="18"/>
  <c r="R877" i="18"/>
  <c r="P304" i="18"/>
  <c r="AG877" i="18"/>
  <c r="AB877" i="18"/>
  <c r="AC304" i="18"/>
  <c r="I590" i="18"/>
  <c r="T876" i="18"/>
  <c r="T877" i="18"/>
  <c r="N927" i="18"/>
  <c r="AG304" i="18"/>
  <c r="P305" i="18"/>
  <c r="P590" i="18"/>
  <c r="V591" i="18"/>
  <c r="Q305" i="18"/>
  <c r="T590" i="18"/>
  <c r="AG876" i="18"/>
  <c r="J591" i="18"/>
  <c r="V877" i="18"/>
  <c r="AA591" i="18"/>
  <c r="X876" i="18"/>
  <c r="AE590" i="18"/>
  <c r="N591" i="18"/>
  <c r="O305" i="18"/>
  <c r="Z304" i="18"/>
  <c r="I305" i="18"/>
  <c r="T305" i="18"/>
  <c r="S876" i="18"/>
  <c r="R305" i="18"/>
  <c r="AC305" i="18"/>
  <c r="AD876" i="18"/>
  <c r="L304" i="18"/>
  <c r="S877" i="18"/>
  <c r="N590" i="18"/>
  <c r="AE877" i="18"/>
  <c r="K877" i="18"/>
  <c r="J877" i="18"/>
  <c r="P876" i="18"/>
  <c r="X305" i="18"/>
  <c r="R304" i="18"/>
  <c r="W876" i="18"/>
  <c r="M590" i="18"/>
  <c r="AG305" i="18"/>
  <c r="U304" i="18"/>
  <c r="AC877" i="18"/>
  <c r="V876" i="18"/>
  <c r="Z876" i="18"/>
  <c r="AF876" i="18"/>
  <c r="O876" i="18"/>
  <c r="AH304" i="18"/>
  <c r="S591" i="18"/>
  <c r="X591" i="18"/>
  <c r="AH305" i="18"/>
  <c r="AF305" i="18"/>
  <c r="AB304" i="18"/>
  <c r="V304" i="18"/>
  <c r="AD305" i="18"/>
  <c r="R876" i="18"/>
  <c r="W304" i="18"/>
  <c r="R590" i="18"/>
  <c r="O591" i="18"/>
  <c r="AB590" i="18"/>
  <c r="U877" i="18"/>
  <c r="K876" i="18"/>
  <c r="AE305" i="18"/>
  <c r="M304" i="18"/>
  <c r="M591" i="18"/>
  <c r="R591" i="18"/>
  <c r="S305" i="18"/>
  <c r="I876" i="18"/>
  <c r="I304" i="18"/>
  <c r="N304" i="18"/>
  <c r="W305" i="18"/>
  <c r="AD591" i="18"/>
  <c r="AG591" i="18"/>
  <c r="AD877" i="18"/>
  <c r="Z305" i="18"/>
  <c r="S590" i="18"/>
  <c r="J304" i="18"/>
  <c r="AH877" i="18"/>
  <c r="AF591" i="18"/>
  <c r="P877" i="18"/>
  <c r="AE876" i="18"/>
  <c r="AE878" i="18" s="1"/>
  <c r="J305" i="18"/>
  <c r="AC590" i="18"/>
  <c r="K304" i="18"/>
  <c r="S304" i="18"/>
  <c r="K591" i="18"/>
  <c r="Z877" i="18"/>
  <c r="Y305" i="18"/>
  <c r="AF877" i="18"/>
  <c r="AH876" i="18"/>
  <c r="Y304" i="18"/>
  <c r="AH590" i="18"/>
  <c r="V590" i="18"/>
  <c r="N305" i="18"/>
  <c r="Q876" i="18"/>
  <c r="L590" i="18"/>
  <c r="AF590" i="18"/>
  <c r="W877" i="18"/>
  <c r="AB591" i="18"/>
  <c r="O590" i="18"/>
  <c r="M305" i="18"/>
  <c r="Q877" i="18"/>
  <c r="T591" i="18"/>
  <c r="AA304" i="18"/>
  <c r="Z591" i="18"/>
  <c r="U305" i="18"/>
  <c r="AC876" i="18"/>
  <c r="W590" i="18"/>
  <c r="W592" i="18" s="1"/>
  <c r="AA877" i="18"/>
  <c r="U591" i="18"/>
  <c r="T304" i="18"/>
  <c r="AA305" i="18"/>
  <c r="Q304" i="18"/>
  <c r="I591" i="18"/>
  <c r="X304" i="18"/>
  <c r="AC927" i="18"/>
  <c r="M923" i="18"/>
  <c r="L919" i="18"/>
  <c r="X927" i="18"/>
  <c r="Q919" i="18"/>
  <c r="AC919" i="18"/>
  <c r="S919" i="18"/>
  <c r="AF927" i="18"/>
  <c r="U923" i="18"/>
  <c r="AF923" i="18"/>
  <c r="S923" i="18"/>
  <c r="AD923" i="18"/>
  <c r="AB923" i="18"/>
  <c r="AD927" i="18"/>
  <c r="Y923" i="18"/>
  <c r="Q927" i="18"/>
  <c r="AH919" i="18"/>
  <c r="X923" i="18"/>
  <c r="AA927" i="18"/>
  <c r="U927" i="18"/>
  <c r="O923" i="18"/>
  <c r="AA919" i="18"/>
  <c r="W919" i="18"/>
  <c r="AE923" i="18"/>
  <c r="P927" i="18"/>
  <c r="R923" i="18"/>
  <c r="W927" i="18"/>
  <c r="Q923" i="18"/>
  <c r="AB927" i="18"/>
  <c r="AA923" i="18"/>
  <c r="R927" i="18"/>
  <c r="Z927" i="18"/>
  <c r="K923" i="18"/>
  <c r="T919" i="18"/>
  <c r="L923" i="18"/>
  <c r="J919" i="18"/>
  <c r="I919" i="18"/>
  <c r="V927" i="18"/>
  <c r="AG919" i="18"/>
  <c r="AG927" i="18"/>
  <c r="V923" i="18"/>
  <c r="I923" i="18"/>
  <c r="Z919" i="18"/>
  <c r="L927" i="18"/>
  <c r="W923" i="18"/>
  <c r="AH923" i="18"/>
  <c r="R919" i="18"/>
  <c r="N923" i="18"/>
  <c r="AD919" i="18"/>
  <c r="J927" i="18"/>
  <c r="AF919" i="18"/>
  <c r="M919" i="18"/>
  <c r="S927" i="18"/>
  <c r="T927" i="18"/>
  <c r="O919" i="18"/>
  <c r="J923" i="18"/>
  <c r="Y919" i="18"/>
  <c r="K919" i="18"/>
  <c r="AE927" i="18"/>
  <c r="I927" i="18"/>
  <c r="O927" i="18"/>
  <c r="T923" i="18"/>
  <c r="P919" i="18"/>
  <c r="M927" i="18"/>
  <c r="AH927" i="18"/>
  <c r="V919" i="18"/>
  <c r="AE919" i="18"/>
  <c r="X919" i="18"/>
  <c r="N919" i="18"/>
  <c r="U919" i="18"/>
  <c r="Y927" i="18"/>
  <c r="Z923" i="18"/>
  <c r="AC923" i="18"/>
  <c r="K927" i="18"/>
  <c r="AG923" i="18"/>
  <c r="AB919" i="18"/>
  <c r="P923" i="18"/>
  <c r="E59" i="16"/>
  <c r="E92" i="16" s="1" a="1"/>
  <c r="E92" i="16" s="1"/>
  <c r="G13" i="18"/>
  <c r="L585" i="18"/>
  <c r="AF298" i="18"/>
  <c r="O298" i="18"/>
  <c r="AG871" i="18"/>
  <c r="R584" i="18"/>
  <c r="Z585" i="18"/>
  <c r="X584" i="18"/>
  <c r="V298" i="18"/>
  <c r="Q871" i="18"/>
  <c r="O585" i="18"/>
  <c r="Q298" i="18"/>
  <c r="R870" i="18"/>
  <c r="AC584" i="18"/>
  <c r="V584" i="18"/>
  <c r="Z299" i="18"/>
  <c r="L871" i="18"/>
  <c r="T584" i="18"/>
  <c r="N299" i="18"/>
  <c r="N585" i="18"/>
  <c r="I299" i="18"/>
  <c r="M299" i="18"/>
  <c r="J299" i="18"/>
  <c r="O917" i="18"/>
  <c r="AE584" i="18"/>
  <c r="AH870" i="18"/>
  <c r="L584" i="18"/>
  <c r="U870" i="18"/>
  <c r="K585" i="18"/>
  <c r="Q870" i="18"/>
  <c r="N584" i="18"/>
  <c r="X585" i="18"/>
  <c r="I298" i="18"/>
  <c r="AC298" i="18"/>
  <c r="U584" i="18"/>
  <c r="T870" i="18"/>
  <c r="P584" i="18"/>
  <c r="Y585" i="18"/>
  <c r="T299" i="18"/>
  <c r="Z298" i="18"/>
  <c r="AF870" i="18"/>
  <c r="AF299" i="18"/>
  <c r="W870" i="18"/>
  <c r="AD298" i="18"/>
  <c r="K298" i="18"/>
  <c r="I585" i="18"/>
  <c r="AB299" i="18"/>
  <c r="AB585" i="18"/>
  <c r="W299" i="18"/>
  <c r="Y299" i="18"/>
  <c r="AC299" i="18"/>
  <c r="J298" i="18"/>
  <c r="AC585" i="18"/>
  <c r="T298" i="18"/>
  <c r="AA870" i="18"/>
  <c r="AB870" i="18"/>
  <c r="U871" i="18"/>
  <c r="O871" i="18"/>
  <c r="T585" i="18"/>
  <c r="V871" i="18"/>
  <c r="AH585" i="18"/>
  <c r="Y298" i="18"/>
  <c r="O584" i="18"/>
  <c r="U299" i="18"/>
  <c r="N298" i="18"/>
  <c r="U585" i="18"/>
  <c r="Z871" i="18"/>
  <c r="S585" i="18"/>
  <c r="P871" i="18"/>
  <c r="R299" i="18"/>
  <c r="J585" i="18"/>
  <c r="AH299" i="18"/>
  <c r="M870" i="18"/>
  <c r="K584" i="18"/>
  <c r="U298" i="18"/>
  <c r="AA298" i="18"/>
  <c r="AB298" i="18"/>
  <c r="AD585" i="18"/>
  <c r="AE870" i="18"/>
  <c r="R585" i="18"/>
  <c r="AG584" i="18"/>
  <c r="I870" i="18"/>
  <c r="AH871" i="18"/>
  <c r="P299" i="18"/>
  <c r="AB871" i="18"/>
  <c r="AF917" i="18"/>
  <c r="X299" i="18"/>
  <c r="P298" i="18"/>
  <c r="O870" i="18"/>
  <c r="J584" i="18"/>
  <c r="Y870" i="18"/>
  <c r="T871" i="18"/>
  <c r="AC870" i="18"/>
  <c r="S298" i="18"/>
  <c r="AD584" i="18"/>
  <c r="N870" i="18"/>
  <c r="Q585" i="18"/>
  <c r="Y584" i="18"/>
  <c r="Y871" i="18"/>
  <c r="AB584" i="18"/>
  <c r="M871" i="18"/>
  <c r="O299" i="18"/>
  <c r="R871" i="18"/>
  <c r="I871" i="18"/>
  <c r="N871" i="18"/>
  <c r="I584" i="18"/>
  <c r="W298" i="18"/>
  <c r="AG585" i="18"/>
  <c r="X870" i="18"/>
  <c r="AA299" i="18"/>
  <c r="AF584" i="18"/>
  <c r="AA585" i="18"/>
  <c r="X298" i="18"/>
  <c r="AD871" i="18"/>
  <c r="AH584" i="18"/>
  <c r="X871" i="18"/>
  <c r="AG298" i="18"/>
  <c r="L298" i="18"/>
  <c r="AF585" i="18"/>
  <c r="K299" i="18"/>
  <c r="L299" i="18"/>
  <c r="Z870" i="18"/>
  <c r="J870" i="18"/>
  <c r="V585" i="18"/>
  <c r="Q584" i="18"/>
  <c r="V870" i="18"/>
  <c r="AF871" i="18"/>
  <c r="P585" i="18"/>
  <c r="M584" i="18"/>
  <c r="AH298" i="18"/>
  <c r="L870" i="18"/>
  <c r="AD299" i="18"/>
  <c r="Q299" i="18"/>
  <c r="AA584" i="18"/>
  <c r="AC871" i="18"/>
  <c r="AE871" i="18"/>
  <c r="J871" i="18"/>
  <c r="S871" i="18"/>
  <c r="S299" i="18"/>
  <c r="V299" i="18"/>
  <c r="AD870" i="18"/>
  <c r="W584" i="18"/>
  <c r="S870" i="18"/>
  <c r="R298" i="18"/>
  <c r="AG299" i="18"/>
  <c r="M585" i="18"/>
  <c r="K871" i="18"/>
  <c r="Z584" i="18"/>
  <c r="W871" i="18"/>
  <c r="AA871" i="18"/>
  <c r="AE299" i="18"/>
  <c r="AE585" i="18"/>
  <c r="S584" i="18"/>
  <c r="AG870" i="18"/>
  <c r="K870" i="18"/>
  <c r="W585" i="18"/>
  <c r="M298" i="18"/>
  <c r="AE298" i="18"/>
  <c r="P870" i="18"/>
  <c r="AE925" i="18"/>
  <c r="AH917" i="18"/>
  <c r="AH921" i="18"/>
  <c r="J921" i="18"/>
  <c r="P917" i="18"/>
  <c r="P921" i="18"/>
  <c r="AB917" i="18"/>
  <c r="L921" i="18"/>
  <c r="T925" i="18"/>
  <c r="AC917" i="18"/>
  <c r="V917" i="18"/>
  <c r="T917" i="18"/>
  <c r="I921" i="18"/>
  <c r="AF921" i="18"/>
  <c r="W925" i="18"/>
  <c r="V925" i="18"/>
  <c r="L917" i="18"/>
  <c r="U917" i="18"/>
  <c r="Q925" i="18"/>
  <c r="AH925" i="18"/>
  <c r="W921" i="18"/>
  <c r="K921" i="18"/>
  <c r="U921" i="18"/>
  <c r="T921" i="18"/>
  <c r="P925" i="18"/>
  <c r="M921" i="18"/>
  <c r="AD921" i="18"/>
  <c r="Y925" i="18"/>
  <c r="N921" i="18"/>
  <c r="AF925" i="18"/>
  <c r="X921" i="18"/>
  <c r="M917" i="18"/>
  <c r="R917" i="18"/>
  <c r="AG917" i="18"/>
  <c r="I925" i="18"/>
  <c r="AA917" i="18"/>
  <c r="Z921" i="18"/>
  <c r="AE921" i="18"/>
  <c r="S925" i="18"/>
  <c r="R925" i="18"/>
  <c r="O921" i="18"/>
  <c r="AA921" i="18"/>
  <c r="S917" i="18"/>
  <c r="M925" i="18"/>
  <c r="Z917" i="18"/>
  <c r="K925" i="18"/>
  <c r="Q921" i="18"/>
  <c r="L925" i="18"/>
  <c r="AC925" i="18"/>
  <c r="Q917" i="18"/>
  <c r="K917" i="18"/>
  <c r="Z925" i="18"/>
  <c r="R921" i="18"/>
  <c r="I917" i="18"/>
  <c r="AB921" i="18"/>
  <c r="X925" i="18"/>
  <c r="AB925" i="18"/>
  <c r="AC921" i="18"/>
  <c r="AD925" i="18"/>
  <c r="W917" i="18"/>
  <c r="J925" i="18"/>
  <c r="Y921" i="18"/>
  <c r="X917" i="18"/>
  <c r="AG921" i="18"/>
  <c r="Y917" i="18"/>
  <c r="AD917" i="18"/>
  <c r="S921" i="18"/>
  <c r="AG925" i="18"/>
  <c r="N925" i="18"/>
  <c r="O925" i="18"/>
  <c r="N917" i="18"/>
  <c r="AE917" i="18"/>
  <c r="J917" i="18"/>
  <c r="AA925" i="18"/>
  <c r="V921" i="18"/>
  <c r="U925" i="18"/>
  <c r="E105" i="16" a="1"/>
  <c r="E105" i="16" s="1"/>
  <c r="E143" i="16" a="1"/>
  <c r="E143" i="16" s="1"/>
  <c r="E176" i="16" s="1" a="1"/>
  <c r="E176" i="16" s="1"/>
  <c r="E100" i="16" a="1"/>
  <c r="E100" i="16" s="1"/>
  <c r="E138" i="16" a="1"/>
  <c r="E138" i="16" s="1"/>
  <c r="E80" i="16" a="1"/>
  <c r="E80" i="16" s="1"/>
  <c r="E151" i="16" a="1"/>
  <c r="E151" i="16" s="1"/>
  <c r="E110" i="16" a="1"/>
  <c r="E110" i="16" s="1"/>
  <c r="E148" i="16" a="1"/>
  <c r="E148" i="16" s="1"/>
  <c r="E181" i="16" s="1" a="1"/>
  <c r="E181" i="16" s="1"/>
  <c r="E104" i="16" a="1"/>
  <c r="E104" i="16" s="1"/>
  <c r="E142" i="16" a="1"/>
  <c r="E142" i="16" s="1"/>
  <c r="E109" i="16" a="1"/>
  <c r="E109" i="16" s="1"/>
  <c r="E147" i="16" a="1"/>
  <c r="E147" i="16" s="1"/>
  <c r="E180" i="16" s="1" a="1"/>
  <c r="E180" i="16" s="1"/>
  <c r="E106" i="16" a="1"/>
  <c r="E106" i="16" s="1"/>
  <c r="E144" i="16" a="1"/>
  <c r="E144" i="16" s="1"/>
  <c r="E177" i="16" s="1" a="1"/>
  <c r="E177" i="16" s="1"/>
  <c r="E101" i="16" a="1"/>
  <c r="E101" i="16" s="1"/>
  <c r="E139" i="16" a="1"/>
  <c r="E139" i="16" s="1"/>
  <c r="E172" i="16" s="1" a="1"/>
  <c r="E172" i="16" s="1"/>
  <c r="E102" i="16" a="1"/>
  <c r="E102" i="16" s="1"/>
  <c r="E140" i="16" a="1"/>
  <c r="E140" i="16" s="1"/>
  <c r="E173" i="16" s="1" a="1"/>
  <c r="E173" i="16" s="1"/>
  <c r="E75" i="16"/>
  <c r="R78" i="16"/>
  <c r="R149" i="16" s="1" a="1"/>
  <c r="R149" i="16" s="1"/>
  <c r="X78" i="16"/>
  <c r="X149" i="16" s="1" a="1"/>
  <c r="X149" i="16" s="1"/>
  <c r="O78" i="16"/>
  <c r="O149" i="16" s="1" a="1"/>
  <c r="O149" i="16" s="1"/>
  <c r="L78" i="16"/>
  <c r="L149" i="16" s="1" a="1"/>
  <c r="L149" i="16" s="1"/>
  <c r="H78" i="16"/>
  <c r="H149" i="16" s="1" a="1"/>
  <c r="H149" i="16" s="1"/>
  <c r="P78" i="16"/>
  <c r="P149" i="16" s="1" a="1"/>
  <c r="P149" i="16" s="1"/>
  <c r="AD78" i="16"/>
  <c r="AD149" i="16" s="1" a="1"/>
  <c r="AD149" i="16" s="1"/>
  <c r="J78" i="16"/>
  <c r="J149" i="16" s="1" a="1"/>
  <c r="J149" i="16" s="1"/>
  <c r="AA78" i="16"/>
  <c r="AA149" i="16" s="1" a="1"/>
  <c r="AA149" i="16" s="1"/>
  <c r="AC78" i="16"/>
  <c r="AC149" i="16" s="1" a="1"/>
  <c r="AC149" i="16" s="1"/>
  <c r="Z78" i="16"/>
  <c r="Z149" i="16" s="1" a="1"/>
  <c r="Z149" i="16" s="1"/>
  <c r="I78" i="16"/>
  <c r="I149" i="16" s="1" a="1"/>
  <c r="I149" i="16" s="1"/>
  <c r="V78" i="16"/>
  <c r="V149" i="16" s="1" a="1"/>
  <c r="V149" i="16" s="1"/>
  <c r="U78" i="16"/>
  <c r="U149" i="16" s="1" a="1"/>
  <c r="U149" i="16" s="1"/>
  <c r="K78" i="16"/>
  <c r="K149" i="16" s="1" a="1"/>
  <c r="K149" i="16" s="1"/>
  <c r="W78" i="16"/>
  <c r="W149" i="16" s="1" a="1"/>
  <c r="W149" i="16" s="1"/>
  <c r="Q78" i="16"/>
  <c r="Q149" i="16" s="1" a="1"/>
  <c r="Q149" i="16" s="1"/>
  <c r="T78" i="16"/>
  <c r="T149" i="16" s="1" a="1"/>
  <c r="T149" i="16" s="1"/>
  <c r="F78" i="16"/>
  <c r="F149" i="16" s="1" a="1"/>
  <c r="F149" i="16" s="1"/>
  <c r="G78" i="16"/>
  <c r="G149" i="16" s="1" a="1"/>
  <c r="G149" i="16" s="1"/>
  <c r="S78" i="16"/>
  <c r="S149" i="16" s="1" a="1"/>
  <c r="S149" i="16" s="1"/>
  <c r="N78" i="16"/>
  <c r="N149" i="16" s="1" a="1"/>
  <c r="N149" i="16" s="1"/>
  <c r="AB78" i="16"/>
  <c r="AB149" i="16" s="1" a="1"/>
  <c r="AB149" i="16" s="1"/>
  <c r="Y78" i="16"/>
  <c r="Y149" i="16" s="1" a="1"/>
  <c r="Y149" i="16" s="1"/>
  <c r="AF78" i="16"/>
  <c r="AF149" i="16" s="1" a="1"/>
  <c r="AF149" i="16" s="1"/>
  <c r="M78" i="16"/>
  <c r="M149" i="16" s="1" a="1"/>
  <c r="M149" i="16" s="1"/>
  <c r="AE78" i="16"/>
  <c r="AE149" i="16" s="1" a="1"/>
  <c r="AE149" i="16" s="1"/>
  <c r="E124" i="16" a="1"/>
  <c r="E124" i="16" s="1"/>
  <c r="E90" i="16" a="1"/>
  <c r="E90" i="16" s="1"/>
  <c r="E161" i="16" a="1"/>
  <c r="E161" i="16" s="1"/>
  <c r="E123" i="16" a="1"/>
  <c r="E123" i="16" s="1"/>
  <c r="D11" i="65"/>
  <c r="D13" i="65" s="1"/>
  <c r="AD13" i="65"/>
  <c r="AE13" i="65"/>
  <c r="AD16" i="65"/>
  <c r="AE16" i="65"/>
  <c r="AD10" i="65"/>
  <c r="AE10" i="65"/>
  <c r="AE74" i="16"/>
  <c r="AE145" i="16" s="1" a="1"/>
  <c r="AE145" i="16" s="1"/>
  <c r="AF74" i="16"/>
  <c r="AF145" i="16" s="1" a="1"/>
  <c r="AF145" i="16" s="1"/>
  <c r="AF62" i="16"/>
  <c r="AF133" i="16" s="1" a="1"/>
  <c r="AF133" i="16" s="1"/>
  <c r="AE62" i="16"/>
  <c r="AE133" i="16" s="1" a="1"/>
  <c r="AE133" i="16" s="1"/>
  <c r="AE70" i="16"/>
  <c r="AE141" i="16" s="1" a="1"/>
  <c r="AE141" i="16" s="1"/>
  <c r="AF70" i="16"/>
  <c r="AF141" i="16" s="1" a="1"/>
  <c r="AF141" i="16" s="1"/>
  <c r="AE54" i="16"/>
  <c r="AE125" i="16" s="1" a="1"/>
  <c r="AE125" i="16" s="1"/>
  <c r="AF54" i="16"/>
  <c r="AF125" i="16" s="1" a="1"/>
  <c r="AF125" i="16" s="1"/>
  <c r="AF58" i="16"/>
  <c r="AF129" i="16" s="1" a="1"/>
  <c r="AF129" i="16" s="1"/>
  <c r="AE58" i="16"/>
  <c r="AE129" i="16" s="1" a="1"/>
  <c r="AE129" i="16" s="1"/>
  <c r="AE66" i="16"/>
  <c r="AE137" i="16" s="1" a="1"/>
  <c r="AE137" i="16" s="1"/>
  <c r="AF66" i="16"/>
  <c r="AF137" i="16" s="1" a="1"/>
  <c r="AF137" i="16" s="1"/>
  <c r="AD74" i="16"/>
  <c r="AD145" i="16" s="1" a="1"/>
  <c r="AD145" i="16" s="1"/>
  <c r="S74" i="16"/>
  <c r="S145" i="16" s="1" a="1"/>
  <c r="S145" i="16" s="1"/>
  <c r="AA74" i="16"/>
  <c r="AA145" i="16" s="1" a="1"/>
  <c r="AA145" i="16" s="1"/>
  <c r="AB74" i="16"/>
  <c r="AB145" i="16" s="1" a="1"/>
  <c r="AB145" i="16" s="1"/>
  <c r="L74" i="16"/>
  <c r="L145" i="16" s="1" a="1"/>
  <c r="L145" i="16" s="1"/>
  <c r="W74" i="16"/>
  <c r="W145" i="16" s="1" a="1"/>
  <c r="W145" i="16" s="1"/>
  <c r="O74" i="16"/>
  <c r="O145" i="16" s="1" a="1"/>
  <c r="O145" i="16" s="1"/>
  <c r="Q74" i="16"/>
  <c r="Q145" i="16" s="1" a="1"/>
  <c r="Q145" i="16" s="1"/>
  <c r="V74" i="16"/>
  <c r="V145" i="16" s="1" a="1"/>
  <c r="V145" i="16" s="1"/>
  <c r="Y74" i="16"/>
  <c r="Y145" i="16" s="1" a="1"/>
  <c r="Y145" i="16" s="1"/>
  <c r="G74" i="16"/>
  <c r="G145" i="16" s="1" a="1"/>
  <c r="G145" i="16" s="1"/>
  <c r="F74" i="16"/>
  <c r="F145" i="16" s="1" a="1"/>
  <c r="F145" i="16" s="1"/>
  <c r="R74" i="16"/>
  <c r="R145" i="16" s="1" a="1"/>
  <c r="R145" i="16" s="1"/>
  <c r="X74" i="16"/>
  <c r="X145" i="16" s="1" a="1"/>
  <c r="X145" i="16" s="1"/>
  <c r="H74" i="16"/>
  <c r="H145" i="16" s="1" a="1"/>
  <c r="H145" i="16" s="1"/>
  <c r="K74" i="16"/>
  <c r="K145" i="16" s="1" a="1"/>
  <c r="K145" i="16" s="1"/>
  <c r="M74" i="16"/>
  <c r="M145" i="16" s="1" a="1"/>
  <c r="M145" i="16" s="1"/>
  <c r="Z74" i="16"/>
  <c r="Z145" i="16" s="1" a="1"/>
  <c r="Z145" i="16" s="1"/>
  <c r="J74" i="16"/>
  <c r="J145" i="16" s="1" a="1"/>
  <c r="J145" i="16" s="1"/>
  <c r="T74" i="16"/>
  <c r="T145" i="16" s="1" a="1"/>
  <c r="T145" i="16" s="1"/>
  <c r="U74" i="16"/>
  <c r="U145" i="16" s="1" a="1"/>
  <c r="U145" i="16" s="1"/>
  <c r="AC74" i="16"/>
  <c r="AC145" i="16" s="1" a="1"/>
  <c r="AC145" i="16" s="1"/>
  <c r="I74" i="16"/>
  <c r="I145" i="16" s="1" a="1"/>
  <c r="I145" i="16" s="1"/>
  <c r="N74" i="16"/>
  <c r="N145" i="16" s="1" a="1"/>
  <c r="N145" i="16" s="1"/>
  <c r="P74" i="16"/>
  <c r="P145" i="16" s="1" a="1"/>
  <c r="P145" i="16" s="1"/>
  <c r="E119" i="16" a="1"/>
  <c r="E119" i="16" s="1"/>
  <c r="E152" i="16" s="1" a="1"/>
  <c r="E152" i="16" s="1"/>
  <c r="D36" i="29" a="1"/>
  <c r="D36" i="29" s="1"/>
  <c r="E52" i="29" a="1"/>
  <c r="E52" i="29" s="1"/>
  <c r="F82" i="40" s="1" a="1"/>
  <c r="D47" i="29" a="1"/>
  <c r="D47" i="29" s="1"/>
  <c r="D41" i="29" a="1"/>
  <c r="D41" i="29" s="1"/>
  <c r="D51" i="29" a="1"/>
  <c r="D51" i="29" s="1"/>
  <c r="D50" i="29" a="1"/>
  <c r="D50" i="29" s="1"/>
  <c r="E42" i="29" a="1"/>
  <c r="E42" i="29" s="1"/>
  <c r="F95" i="40" s="1" a="1"/>
  <c r="D49" i="29" a="1"/>
  <c r="D49" i="29" s="1"/>
  <c r="D48" i="29" a="1"/>
  <c r="D48" i="29" s="1"/>
  <c r="V10" i="65"/>
  <c r="W10" i="65"/>
  <c r="X10" i="65"/>
  <c r="Y10" i="65"/>
  <c r="Z10" i="65"/>
  <c r="AA10" i="65"/>
  <c r="AB10" i="65"/>
  <c r="AC10" i="65"/>
  <c r="F10" i="65"/>
  <c r="G10" i="65"/>
  <c r="H10" i="65"/>
  <c r="I10" i="65"/>
  <c r="Q10" i="65"/>
  <c r="L10" i="65"/>
  <c r="P10" i="65"/>
  <c r="R10" i="65"/>
  <c r="T10" i="65"/>
  <c r="U10" i="65"/>
  <c r="E10" i="65"/>
  <c r="K10" i="65"/>
  <c r="M10" i="65"/>
  <c r="O10" i="65"/>
  <c r="J10" i="65"/>
  <c r="N10" i="65"/>
  <c r="S10" i="65"/>
  <c r="E131" i="16" a="1"/>
  <c r="E131" i="16" s="1"/>
  <c r="E132" i="16" a="1"/>
  <c r="E132" i="16" s="1"/>
  <c r="E169" i="16" a="1"/>
  <c r="E169" i="16" s="1"/>
  <c r="O66" i="16"/>
  <c r="O137" i="16" s="1" a="1"/>
  <c r="O137" i="16" s="1"/>
  <c r="Z66" i="16"/>
  <c r="Z137" i="16" s="1" a="1"/>
  <c r="Z137" i="16" s="1"/>
  <c r="H66" i="16"/>
  <c r="H137" i="16" s="1" a="1"/>
  <c r="H137" i="16" s="1"/>
  <c r="L66" i="16"/>
  <c r="L137" i="16" s="1" a="1"/>
  <c r="L137" i="16" s="1"/>
  <c r="I66" i="16"/>
  <c r="I137" i="16" s="1" a="1"/>
  <c r="I137" i="16" s="1"/>
  <c r="M66" i="16"/>
  <c r="M137" i="16" s="1" a="1"/>
  <c r="M137" i="16" s="1"/>
  <c r="P66" i="16"/>
  <c r="P137" i="16" s="1" a="1"/>
  <c r="P137" i="16" s="1"/>
  <c r="Q66" i="16"/>
  <c r="Q137" i="16" s="1" a="1"/>
  <c r="Q137" i="16" s="1"/>
  <c r="AA66" i="16"/>
  <c r="AA137" i="16" s="1" a="1"/>
  <c r="AA137" i="16" s="1"/>
  <c r="AB66" i="16"/>
  <c r="AB137" i="16" s="1" a="1"/>
  <c r="AB137" i="16" s="1"/>
  <c r="S66" i="16"/>
  <c r="S137" i="16" s="1" a="1"/>
  <c r="S137" i="16" s="1"/>
  <c r="U66" i="16"/>
  <c r="U137" i="16" s="1" a="1"/>
  <c r="U137" i="16" s="1"/>
  <c r="T66" i="16"/>
  <c r="T137" i="16" s="1" a="1"/>
  <c r="T137" i="16" s="1"/>
  <c r="W66" i="16"/>
  <c r="W137" i="16" s="1" a="1"/>
  <c r="W137" i="16" s="1"/>
  <c r="F66" i="16"/>
  <c r="F137" i="16" s="1" a="1"/>
  <c r="F137" i="16" s="1"/>
  <c r="K66" i="16"/>
  <c r="K137" i="16" s="1" a="1"/>
  <c r="K137" i="16" s="1"/>
  <c r="N66" i="16"/>
  <c r="N137" i="16" s="1" a="1"/>
  <c r="N137" i="16" s="1"/>
  <c r="V66" i="16"/>
  <c r="V137" i="16" s="1" a="1"/>
  <c r="V137" i="16" s="1"/>
  <c r="X66" i="16"/>
  <c r="X137" i="16" s="1" a="1"/>
  <c r="X137" i="16" s="1"/>
  <c r="Y66" i="16"/>
  <c r="Y137" i="16" s="1" a="1"/>
  <c r="Y137" i="16" s="1"/>
  <c r="AC66" i="16"/>
  <c r="AC137" i="16" s="1" a="1"/>
  <c r="AC137" i="16" s="1"/>
  <c r="AD66" i="16"/>
  <c r="AD137" i="16" s="1" a="1"/>
  <c r="AD137" i="16" s="1"/>
  <c r="G66" i="16"/>
  <c r="G137" i="16" s="1" a="1"/>
  <c r="G137" i="16" s="1"/>
  <c r="J66" i="16"/>
  <c r="J137" i="16" s="1" a="1"/>
  <c r="J137" i="16" s="1"/>
  <c r="R66" i="16"/>
  <c r="R137" i="16" s="1" a="1"/>
  <c r="R137" i="16" s="1"/>
  <c r="D40" i="29" a="1"/>
  <c r="D40" i="29" s="1"/>
  <c r="W70" i="16"/>
  <c r="W141" i="16" s="1" a="1"/>
  <c r="W141" i="16" s="1"/>
  <c r="Q70" i="16"/>
  <c r="Q141" i="16" s="1" a="1"/>
  <c r="Q141" i="16" s="1"/>
  <c r="AB70" i="16"/>
  <c r="AB141" i="16" s="1" a="1"/>
  <c r="AB141" i="16" s="1"/>
  <c r="P70" i="16"/>
  <c r="P141" i="16" s="1" a="1"/>
  <c r="P141" i="16" s="1"/>
  <c r="F70" i="16"/>
  <c r="F141" i="16" s="1" a="1"/>
  <c r="F141" i="16" s="1"/>
  <c r="O70" i="16"/>
  <c r="O141" i="16" s="1" a="1"/>
  <c r="O141" i="16" s="1"/>
  <c r="M70" i="16"/>
  <c r="M141" i="16" s="1" a="1"/>
  <c r="M141" i="16" s="1"/>
  <c r="G70" i="16"/>
  <c r="G141" i="16" s="1" a="1"/>
  <c r="G141" i="16" s="1"/>
  <c r="N70" i="16"/>
  <c r="N141" i="16" s="1" a="1"/>
  <c r="N141" i="16" s="1"/>
  <c r="V70" i="16"/>
  <c r="V141" i="16" s="1" a="1"/>
  <c r="V141" i="16" s="1"/>
  <c r="L70" i="16"/>
  <c r="L141" i="16" s="1" a="1"/>
  <c r="L141" i="16" s="1"/>
  <c r="Y70" i="16"/>
  <c r="Y141" i="16" s="1" a="1"/>
  <c r="Y141" i="16" s="1"/>
  <c r="J70" i="16"/>
  <c r="J141" i="16" s="1" a="1"/>
  <c r="J141" i="16" s="1"/>
  <c r="X70" i="16"/>
  <c r="X141" i="16" s="1" a="1"/>
  <c r="X141" i="16" s="1"/>
  <c r="Z70" i="16"/>
  <c r="Z141" i="16" s="1" a="1"/>
  <c r="Z141" i="16" s="1"/>
  <c r="K70" i="16"/>
  <c r="K141" i="16" s="1" a="1"/>
  <c r="K141" i="16" s="1"/>
  <c r="U70" i="16"/>
  <c r="U141" i="16" s="1" a="1"/>
  <c r="U141" i="16" s="1"/>
  <c r="H70" i="16"/>
  <c r="H141" i="16" s="1" a="1"/>
  <c r="H141" i="16" s="1"/>
  <c r="T70" i="16"/>
  <c r="T141" i="16" s="1" a="1"/>
  <c r="T141" i="16" s="1"/>
  <c r="AC70" i="16"/>
  <c r="AC141" i="16" s="1" a="1"/>
  <c r="AC141" i="16" s="1"/>
  <c r="S70" i="16"/>
  <c r="S141" i="16" s="1" a="1"/>
  <c r="S141" i="16" s="1"/>
  <c r="I70" i="16"/>
  <c r="I141" i="16" s="1" a="1"/>
  <c r="I141" i="16" s="1"/>
  <c r="R70" i="16"/>
  <c r="R141" i="16" s="1" a="1"/>
  <c r="R141" i="16" s="1"/>
  <c r="AA70" i="16"/>
  <c r="AA141" i="16" s="1" a="1"/>
  <c r="AA141" i="16" s="1"/>
  <c r="AD70" i="16"/>
  <c r="AD141" i="16" s="1" a="1"/>
  <c r="AD141" i="16" s="1"/>
  <c r="D34" i="29" a="1"/>
  <c r="D34" i="29" s="1"/>
  <c r="D35" i="29" a="1"/>
  <c r="D35" i="29" s="1"/>
  <c r="E160" i="16" a="1"/>
  <c r="E160" i="16" s="1"/>
  <c r="D37" i="29" a="1"/>
  <c r="D37" i="29" s="1"/>
  <c r="J13" i="65"/>
  <c r="V13" i="65"/>
  <c r="R13" i="65"/>
  <c r="P13" i="65"/>
  <c r="AC13" i="65"/>
  <c r="L13" i="65"/>
  <c r="F13" i="65"/>
  <c r="E13" i="65"/>
  <c r="O13" i="65"/>
  <c r="AA13" i="65"/>
  <c r="N13" i="65"/>
  <c r="H13" i="65"/>
  <c r="Z13" i="65"/>
  <c r="S13" i="65"/>
  <c r="T13" i="65"/>
  <c r="Q13" i="65"/>
  <c r="G13" i="65"/>
  <c r="K13" i="65"/>
  <c r="AB13" i="65"/>
  <c r="X13" i="65"/>
  <c r="Y13" i="65"/>
  <c r="M13" i="65"/>
  <c r="W13" i="65"/>
  <c r="U13" i="65"/>
  <c r="I13" i="65"/>
  <c r="D39" i="29" a="1"/>
  <c r="D39" i="29" s="1"/>
  <c r="P58" i="16"/>
  <c r="P129" i="16" s="1" a="1"/>
  <c r="P129" i="16" s="1"/>
  <c r="S58" i="16"/>
  <c r="S129" i="16" s="1" a="1"/>
  <c r="S129" i="16" s="1"/>
  <c r="X58" i="16"/>
  <c r="X129" i="16" s="1" a="1"/>
  <c r="X129" i="16" s="1"/>
  <c r="Y58" i="16"/>
  <c r="Y129" i="16" s="1" a="1"/>
  <c r="Y129" i="16" s="1"/>
  <c r="M58" i="16"/>
  <c r="M129" i="16" s="1" a="1"/>
  <c r="M129" i="16" s="1"/>
  <c r="V58" i="16"/>
  <c r="V129" i="16" s="1" a="1"/>
  <c r="V129" i="16" s="1"/>
  <c r="Q58" i="16"/>
  <c r="Q129" i="16" s="1" a="1"/>
  <c r="Q129" i="16" s="1"/>
  <c r="K58" i="16"/>
  <c r="K129" i="16" s="1" a="1"/>
  <c r="K129" i="16" s="1"/>
  <c r="F58" i="16"/>
  <c r="F129" i="16" s="1" a="1"/>
  <c r="F129" i="16" s="1"/>
  <c r="AA58" i="16"/>
  <c r="AA129" i="16" s="1" a="1"/>
  <c r="AA129" i="16" s="1"/>
  <c r="Z58" i="16"/>
  <c r="Z129" i="16" s="1" a="1"/>
  <c r="Z129" i="16" s="1"/>
  <c r="W58" i="16"/>
  <c r="W129" i="16" s="1" a="1"/>
  <c r="W129" i="16" s="1"/>
  <c r="I58" i="16"/>
  <c r="I129" i="16" s="1" a="1"/>
  <c r="I129" i="16" s="1"/>
  <c r="AC58" i="16"/>
  <c r="AC129" i="16" s="1" a="1"/>
  <c r="AC129" i="16" s="1"/>
  <c r="AD58" i="16"/>
  <c r="AD129" i="16" s="1" a="1"/>
  <c r="AD129" i="16" s="1"/>
  <c r="L58" i="16"/>
  <c r="L129" i="16" s="1" a="1"/>
  <c r="L129" i="16" s="1"/>
  <c r="O58" i="16"/>
  <c r="O129" i="16" s="1" a="1"/>
  <c r="O129" i="16" s="1"/>
  <c r="U58" i="16"/>
  <c r="U129" i="16" s="1" a="1"/>
  <c r="U129" i="16" s="1"/>
  <c r="N58" i="16"/>
  <c r="N129" i="16" s="1" a="1"/>
  <c r="N129" i="16" s="1"/>
  <c r="G58" i="16"/>
  <c r="G129" i="16" s="1" a="1"/>
  <c r="G129" i="16" s="1"/>
  <c r="R58" i="16"/>
  <c r="R129" i="16" s="1" a="1"/>
  <c r="R129" i="16" s="1"/>
  <c r="T58" i="16"/>
  <c r="T129" i="16" s="1" a="1"/>
  <c r="T129" i="16" s="1"/>
  <c r="J58" i="16"/>
  <c r="J129" i="16" s="1" a="1"/>
  <c r="J129" i="16" s="1"/>
  <c r="H58" i="16"/>
  <c r="H129" i="16" s="1" a="1"/>
  <c r="H129" i="16" s="1"/>
  <c r="AB58" i="16"/>
  <c r="AB129" i="16" s="1" a="1"/>
  <c r="AB129" i="16" s="1"/>
  <c r="Y62" i="16"/>
  <c r="Y133" i="16" s="1" a="1"/>
  <c r="Y133" i="16" s="1"/>
  <c r="X62" i="16"/>
  <c r="X133" i="16" s="1" a="1"/>
  <c r="X133" i="16" s="1"/>
  <c r="M62" i="16"/>
  <c r="M133" i="16" s="1" a="1"/>
  <c r="M133" i="16" s="1"/>
  <c r="H62" i="16"/>
  <c r="H133" i="16" s="1" a="1"/>
  <c r="H133" i="16" s="1"/>
  <c r="W62" i="16"/>
  <c r="W133" i="16" s="1" a="1"/>
  <c r="W133" i="16" s="1"/>
  <c r="AD62" i="16"/>
  <c r="AD133" i="16" s="1" a="1"/>
  <c r="AD133" i="16" s="1"/>
  <c r="F62" i="16"/>
  <c r="F133" i="16" s="1" a="1"/>
  <c r="F133" i="16" s="1"/>
  <c r="R62" i="16"/>
  <c r="R133" i="16" s="1" a="1"/>
  <c r="R133" i="16" s="1"/>
  <c r="L62" i="16"/>
  <c r="L133" i="16" s="1" a="1"/>
  <c r="L133" i="16" s="1"/>
  <c r="J62" i="16"/>
  <c r="J133" i="16" s="1" a="1"/>
  <c r="J133" i="16" s="1"/>
  <c r="T62" i="16"/>
  <c r="T133" i="16" s="1" a="1"/>
  <c r="T133" i="16" s="1"/>
  <c r="AC62" i="16"/>
  <c r="AC133" i="16" s="1" a="1"/>
  <c r="AC133" i="16" s="1"/>
  <c r="U62" i="16"/>
  <c r="U133" i="16" s="1" a="1"/>
  <c r="U133" i="16" s="1"/>
  <c r="P62" i="16"/>
  <c r="P133" i="16" s="1" a="1"/>
  <c r="P133" i="16" s="1"/>
  <c r="G62" i="16"/>
  <c r="G133" i="16" s="1" a="1"/>
  <c r="G133" i="16" s="1"/>
  <c r="AB62" i="16"/>
  <c r="AB133" i="16" s="1" a="1"/>
  <c r="AB133" i="16" s="1"/>
  <c r="S62" i="16"/>
  <c r="S133" i="16" s="1" a="1"/>
  <c r="S133" i="16" s="1"/>
  <c r="I62" i="16"/>
  <c r="I133" i="16" s="1" a="1"/>
  <c r="I133" i="16" s="1"/>
  <c r="V62" i="16"/>
  <c r="V133" i="16" s="1" a="1"/>
  <c r="V133" i="16" s="1"/>
  <c r="Q62" i="16"/>
  <c r="Q133" i="16" s="1" a="1"/>
  <c r="Q133" i="16" s="1"/>
  <c r="O62" i="16"/>
  <c r="O133" i="16" s="1" a="1"/>
  <c r="O133" i="16" s="1"/>
  <c r="K62" i="16"/>
  <c r="K133" i="16" s="1" a="1"/>
  <c r="K133" i="16" s="1"/>
  <c r="Z62" i="16"/>
  <c r="Z133" i="16" s="1" a="1"/>
  <c r="Z133" i="16" s="1"/>
  <c r="AA62" i="16"/>
  <c r="AA133" i="16" s="1" a="1"/>
  <c r="AA133" i="16" s="1"/>
  <c r="N62" i="16"/>
  <c r="N133" i="16" s="1" a="1"/>
  <c r="N133" i="16" s="1"/>
  <c r="D38" i="29" a="1"/>
  <c r="D38" i="29" s="1"/>
  <c r="G54" i="16"/>
  <c r="G125" i="16" s="1" a="1"/>
  <c r="G125" i="16" s="1"/>
  <c r="F54" i="16"/>
  <c r="H54" i="16"/>
  <c r="H125" i="16" s="1" a="1"/>
  <c r="H125" i="16" s="1"/>
  <c r="N54" i="16"/>
  <c r="N125" i="16" s="1" a="1"/>
  <c r="N125" i="16" s="1"/>
  <c r="Z54" i="16"/>
  <c r="Z125" i="16" s="1" a="1"/>
  <c r="Z125" i="16" s="1"/>
  <c r="AB54" i="16"/>
  <c r="AB125" i="16" s="1" a="1"/>
  <c r="AB125" i="16" s="1"/>
  <c r="I54" i="16"/>
  <c r="I125" i="16" s="1" a="1"/>
  <c r="I125" i="16" s="1"/>
  <c r="J54" i="16"/>
  <c r="J125" i="16" s="1" a="1"/>
  <c r="J125" i="16" s="1"/>
  <c r="K54" i="16"/>
  <c r="K125" i="16" s="1" a="1"/>
  <c r="K125" i="16" s="1"/>
  <c r="P54" i="16"/>
  <c r="P125" i="16" s="1" a="1"/>
  <c r="P125" i="16" s="1"/>
  <c r="S54" i="16"/>
  <c r="S125" i="16" s="1" a="1"/>
  <c r="S125" i="16" s="1"/>
  <c r="W54" i="16"/>
  <c r="W125" i="16" s="1" a="1"/>
  <c r="W125" i="16" s="1"/>
  <c r="AD54" i="16"/>
  <c r="AD125" i="16" s="1" a="1"/>
  <c r="AD125" i="16" s="1"/>
  <c r="O54" i="16"/>
  <c r="O125" i="16" s="1" a="1"/>
  <c r="O125" i="16" s="1"/>
  <c r="R54" i="16"/>
  <c r="R125" i="16" s="1" a="1"/>
  <c r="R125" i="16" s="1"/>
  <c r="V54" i="16"/>
  <c r="V125" i="16" s="1" a="1"/>
  <c r="V125" i="16" s="1"/>
  <c r="AA54" i="16"/>
  <c r="AA125" i="16" s="1" a="1"/>
  <c r="AA125" i="16" s="1"/>
  <c r="T54" i="16"/>
  <c r="T125" i="16" s="1" a="1"/>
  <c r="T125" i="16" s="1"/>
  <c r="L54" i="16"/>
  <c r="L125" i="16" s="1" a="1"/>
  <c r="L125" i="16" s="1"/>
  <c r="M54" i="16"/>
  <c r="M125" i="16" s="1" a="1"/>
  <c r="M125" i="16" s="1"/>
  <c r="Q54" i="16"/>
  <c r="Q125" i="16" s="1" a="1"/>
  <c r="Q125" i="16" s="1"/>
  <c r="U54" i="16"/>
  <c r="U125" i="16" s="1" a="1"/>
  <c r="U125" i="16" s="1"/>
  <c r="X54" i="16"/>
  <c r="X125" i="16" s="1" a="1"/>
  <c r="X125" i="16" s="1"/>
  <c r="AC54" i="16"/>
  <c r="AC125" i="16" s="1" a="1"/>
  <c r="AC125" i="16" s="1"/>
  <c r="Y54" i="16"/>
  <c r="Y125" i="16" s="1" a="1"/>
  <c r="Y125" i="16" s="1"/>
  <c r="D14" i="65"/>
  <c r="D16" i="65" s="1"/>
  <c r="H16" i="65"/>
  <c r="I16" i="65"/>
  <c r="N16" i="65"/>
  <c r="P16" i="65"/>
  <c r="R16" i="65"/>
  <c r="S16" i="65"/>
  <c r="X16" i="65"/>
  <c r="AC16" i="65"/>
  <c r="F16" i="65"/>
  <c r="J16" i="65"/>
  <c r="K16" i="65"/>
  <c r="L16" i="65"/>
  <c r="M16" i="65"/>
  <c r="O16" i="65"/>
  <c r="T16" i="65"/>
  <c r="U16" i="65"/>
  <c r="W16" i="65"/>
  <c r="AB16" i="65"/>
  <c r="G16" i="65"/>
  <c r="Q16" i="65"/>
  <c r="V16" i="65"/>
  <c r="Y16" i="65"/>
  <c r="Z16" i="65"/>
  <c r="AA16" i="65"/>
  <c r="E16" i="65"/>
  <c r="D10" i="65"/>
  <c r="D33" i="29" l="1" a="1"/>
  <c r="D33" i="29" s="1"/>
  <c r="F956" i="68" a="1"/>
  <c r="F956" i="68" s="1"/>
  <c r="G163" i="48" s="1"/>
  <c r="F955" i="68" a="1"/>
  <c r="F955" i="68" s="1"/>
  <c r="E163" i="48" s="1"/>
  <c r="E97" i="16" a="1"/>
  <c r="E97" i="16" s="1"/>
  <c r="E135" i="16" a="1"/>
  <c r="E135" i="16" s="1"/>
  <c r="T23" i="65"/>
  <c r="V94" i="40" s="1" a="1"/>
  <c r="V94" i="40" s="1"/>
  <c r="T22" i="65"/>
  <c r="V81" i="40" s="1" a="1"/>
  <c r="V81" i="40" s="1"/>
  <c r="Q23" i="65"/>
  <c r="S94" i="40" s="1" a="1"/>
  <c r="S94" i="40" s="1"/>
  <c r="Q22" i="65"/>
  <c r="S81" i="40" s="1" a="1"/>
  <c r="S81" i="40" s="1"/>
  <c r="V22" i="65"/>
  <c r="X81" i="40" s="1" a="1"/>
  <c r="X81" i="40" s="1"/>
  <c r="V23" i="65"/>
  <c r="X94" i="40" s="1" a="1"/>
  <c r="X94" i="40" s="1"/>
  <c r="L23" i="65"/>
  <c r="N94" i="40" s="1" a="1"/>
  <c r="N94" i="40" s="1"/>
  <c r="L22" i="65"/>
  <c r="N81" i="40" s="1" a="1"/>
  <c r="N81" i="40" s="1"/>
  <c r="I23" i="65"/>
  <c r="I22" i="65"/>
  <c r="K81" i="40" s="1" a="1"/>
  <c r="K81" i="40" s="1"/>
  <c r="H22" i="65"/>
  <c r="J81" i="40" s="1" a="1"/>
  <c r="J81" i="40" s="1"/>
  <c r="H23" i="65"/>
  <c r="J94" i="40" s="1" a="1"/>
  <c r="J94" i="40" s="1"/>
  <c r="U22" i="65"/>
  <c r="W81" i="40" s="1" a="1"/>
  <c r="W81" i="40" s="1"/>
  <c r="U23" i="65"/>
  <c r="W94" i="40" s="1" a="1"/>
  <c r="W94" i="40" s="1"/>
  <c r="G22" i="65"/>
  <c r="I81" i="40" s="1" a="1"/>
  <c r="I81" i="40" s="1"/>
  <c r="G23" i="65"/>
  <c r="I94" i="40" s="1" a="1"/>
  <c r="I94" i="40" s="1"/>
  <c r="W22" i="65"/>
  <c r="Y81" i="40" s="1" a="1"/>
  <c r="Y81" i="40" s="1"/>
  <c r="W23" i="65"/>
  <c r="Y94" i="40" s="1" a="1"/>
  <c r="Y94" i="40" s="1"/>
  <c r="S23" i="65"/>
  <c r="U94" i="40" s="1" a="1"/>
  <c r="U94" i="40" s="1"/>
  <c r="S22" i="65"/>
  <c r="F22" i="65"/>
  <c r="H81" i="40" s="1" a="1"/>
  <c r="H81" i="40" s="1"/>
  <c r="F23" i="65"/>
  <c r="N23" i="65"/>
  <c r="P94" i="40" s="1" a="1"/>
  <c r="P94" i="40" s="1"/>
  <c r="N22" i="65"/>
  <c r="P81" i="40" s="1" a="1"/>
  <c r="P81" i="40" s="1"/>
  <c r="AC23" i="65"/>
  <c r="AE94" i="40" s="1" a="1"/>
  <c r="AE94" i="40" s="1"/>
  <c r="AC22" i="65"/>
  <c r="AE81" i="40" s="1" a="1"/>
  <c r="AE81" i="40" s="1"/>
  <c r="AE23" i="65"/>
  <c r="AG94" i="40" s="1" a="1"/>
  <c r="AG94" i="40" s="1"/>
  <c r="AE22" i="65"/>
  <c r="AG81" i="40" s="1" a="1"/>
  <c r="AG81" i="40" s="1"/>
  <c r="P23" i="65"/>
  <c r="R94" i="40" s="1" a="1"/>
  <c r="R94" i="40" s="1"/>
  <c r="P22" i="65"/>
  <c r="R81" i="40" s="1" a="1"/>
  <c r="R81" i="40" s="1"/>
  <c r="J23" i="65"/>
  <c r="L94" i="40" s="1" a="1"/>
  <c r="L94" i="40" s="1"/>
  <c r="J22" i="65"/>
  <c r="L81" i="40" s="1" a="1"/>
  <c r="L81" i="40" s="1"/>
  <c r="AB23" i="65"/>
  <c r="AD94" i="40" s="1" a="1"/>
  <c r="AD94" i="40" s="1"/>
  <c r="AB22" i="65"/>
  <c r="AD81" i="40" s="1" a="1"/>
  <c r="AD81" i="40" s="1"/>
  <c r="AD22" i="65"/>
  <c r="AF81" i="40" s="1" a="1"/>
  <c r="AF81" i="40" s="1"/>
  <c r="AD23" i="65"/>
  <c r="AF94" i="40" s="1" a="1"/>
  <c r="AF94" i="40" s="1"/>
  <c r="O23" i="65"/>
  <c r="Q94" i="40" s="1" a="1"/>
  <c r="Q94" i="40" s="1"/>
  <c r="O22" i="65"/>
  <c r="Q81" i="40" s="1" a="1"/>
  <c r="Q81" i="40" s="1"/>
  <c r="AA23" i="65"/>
  <c r="AC94" i="40" s="1" a="1"/>
  <c r="AC94" i="40" s="1"/>
  <c r="AA22" i="65"/>
  <c r="AC81" i="40" s="1" a="1"/>
  <c r="AC81" i="40" s="1"/>
  <c r="M23" i="65"/>
  <c r="O94" i="40" s="1" a="1"/>
  <c r="O94" i="40" s="1"/>
  <c r="M22" i="65"/>
  <c r="O81" i="40" s="1" a="1"/>
  <c r="O81" i="40" s="1"/>
  <c r="Z23" i="65"/>
  <c r="AB94" i="40" s="1" a="1"/>
  <c r="AB94" i="40" s="1"/>
  <c r="Z22" i="65"/>
  <c r="AB81" i="40" s="1" a="1"/>
  <c r="AB81" i="40" s="1"/>
  <c r="R22" i="65"/>
  <c r="T81" i="40" s="1" a="1"/>
  <c r="T81" i="40" s="1"/>
  <c r="R23" i="65"/>
  <c r="T94" i="40" s="1" a="1"/>
  <c r="T94" i="40" s="1"/>
  <c r="D23" i="65"/>
  <c r="F94" i="40" s="1" a="1"/>
  <c r="F94" i="40" s="1"/>
  <c r="D22" i="65"/>
  <c r="K23" i="65"/>
  <c r="M94" i="40" s="1" a="1"/>
  <c r="M94" i="40" s="1"/>
  <c r="K22" i="65"/>
  <c r="M81" i="40" s="1" a="1"/>
  <c r="M81" i="40" s="1"/>
  <c r="Y22" i="65"/>
  <c r="AA81" i="40" s="1" a="1"/>
  <c r="AA81" i="40" s="1"/>
  <c r="Y23" i="65"/>
  <c r="AA94" i="40" s="1" a="1"/>
  <c r="AA94" i="40" s="1"/>
  <c r="E22" i="65"/>
  <c r="G81" i="40" s="1" a="1"/>
  <c r="G81" i="40" s="1"/>
  <c r="E23" i="65"/>
  <c r="G94" i="40" s="1" a="1"/>
  <c r="G94" i="40" s="1"/>
  <c r="X22" i="65"/>
  <c r="Z81" i="40" s="1" a="1"/>
  <c r="Z81" i="40" s="1"/>
  <c r="X23" i="65"/>
  <c r="Z94" i="40" s="1" a="1"/>
  <c r="Z94" i="40" s="1"/>
  <c r="K94" i="40" a="1"/>
  <c r="K94" i="40" s="1"/>
  <c r="U81" i="40" a="1"/>
  <c r="U81" i="40" s="1"/>
  <c r="F113" i="40" a="1"/>
  <c r="F113" i="40" s="1"/>
  <c r="F140" i="40" s="1" a="1"/>
  <c r="F140" i="40" s="1"/>
  <c r="F126" i="40" a="1"/>
  <c r="F82" i="40"/>
  <c r="E82" i="40" s="1"/>
  <c r="J60" i="40" s="1"/>
  <c r="F95" i="40"/>
  <c r="F118" i="40" a="1"/>
  <c r="F118" i="40" s="1"/>
  <c r="F105" i="40" a="1"/>
  <c r="F105" i="40" s="1"/>
  <c r="E105" i="40" s="1"/>
  <c r="C147" i="40" s="1"/>
  <c r="O881" i="18"/>
  <c r="H300" i="18"/>
  <c r="P303" i="18"/>
  <c r="U875" i="18"/>
  <c r="J875" i="18"/>
  <c r="E120" i="16" a="1"/>
  <c r="E120" i="16" s="1"/>
  <c r="E153" i="16" s="1" a="1"/>
  <c r="E153" i="16" s="1"/>
  <c r="E154" i="16" s="1" a="1"/>
  <c r="E154" i="16" s="1"/>
  <c r="S595" i="18"/>
  <c r="H875" i="18"/>
  <c r="H586" i="18"/>
  <c r="H878" i="18"/>
  <c r="N595" i="18"/>
  <c r="H306" i="18"/>
  <c r="M875" i="18"/>
  <c r="AE595" i="18"/>
  <c r="O878" i="18"/>
  <c r="K592" i="18"/>
  <c r="H881" i="18"/>
  <c r="G308" i="18"/>
  <c r="G593" i="18"/>
  <c r="G594" i="18"/>
  <c r="G307" i="18"/>
  <c r="G880" i="18"/>
  <c r="G879" i="18"/>
  <c r="G928" i="18"/>
  <c r="F928" i="18" s="1"/>
  <c r="G920" i="18"/>
  <c r="G924" i="18"/>
  <c r="F924" i="18" s="1"/>
  <c r="H303" i="18"/>
  <c r="Z300" i="18"/>
  <c r="H940" i="18"/>
  <c r="G93" i="40" s="1" a="1"/>
  <c r="G93" i="40" s="1"/>
  <c r="H936" i="18"/>
  <c r="G80" i="40" s="1" a="1"/>
  <c r="G80" i="40" s="1"/>
  <c r="H933" i="18"/>
  <c r="G77" i="40" s="1" a="1"/>
  <c r="G77" i="40" s="1"/>
  <c r="H937" i="18"/>
  <c r="G90" i="40" s="1" a="1"/>
  <c r="G90" i="40" s="1"/>
  <c r="G877" i="18"/>
  <c r="G305" i="18"/>
  <c r="G304" i="18"/>
  <c r="G876" i="18"/>
  <c r="G590" i="18"/>
  <c r="G919" i="18"/>
  <c r="G591" i="18"/>
  <c r="G927" i="18"/>
  <c r="F927" i="18" s="1"/>
  <c r="G923" i="18"/>
  <c r="F923" i="18" s="1"/>
  <c r="H595" i="18"/>
  <c r="H309" i="18"/>
  <c r="H935" i="18"/>
  <c r="G79" i="40" s="1" a="1"/>
  <c r="G79" i="40" s="1"/>
  <c r="H939" i="18"/>
  <c r="G92" i="40" s="1" a="1"/>
  <c r="G92" i="40" s="1"/>
  <c r="G870" i="18"/>
  <c r="G585" i="18"/>
  <c r="G925" i="18"/>
  <c r="F925" i="18" s="1"/>
  <c r="G871" i="18"/>
  <c r="G298" i="18"/>
  <c r="G299" i="18"/>
  <c r="G584" i="18"/>
  <c r="G921" i="18"/>
  <c r="F921" i="18" s="1"/>
  <c r="G917" i="18"/>
  <c r="H592" i="18"/>
  <c r="H934" i="18"/>
  <c r="G78" i="40" s="1" a="1"/>
  <c r="G78" i="40" s="1"/>
  <c r="H938" i="18"/>
  <c r="G91" i="40" s="1" a="1"/>
  <c r="G91" i="40" s="1"/>
  <c r="G874" i="18"/>
  <c r="G587" i="18"/>
  <c r="G589" i="18" s="1"/>
  <c r="G873" i="18"/>
  <c r="G301" i="18"/>
  <c r="G302" i="18"/>
  <c r="G926" i="18"/>
  <c r="F926" i="18" s="1"/>
  <c r="G918" i="18"/>
  <c r="G922" i="18"/>
  <c r="F922" i="18" s="1"/>
  <c r="H872" i="18"/>
  <c r="K872" i="18"/>
  <c r="W595" i="18"/>
  <c r="R881" i="18"/>
  <c r="AC878" i="18"/>
  <c r="Y875" i="18"/>
  <c r="AB306" i="18"/>
  <c r="Z309" i="18"/>
  <c r="AC592" i="18"/>
  <c r="K595" i="18"/>
  <c r="AD300" i="18"/>
  <c r="V592" i="18"/>
  <c r="AC875" i="18"/>
  <c r="V309" i="18"/>
  <c r="AD881" i="18"/>
  <c r="AG881" i="18"/>
  <c r="AC309" i="18"/>
  <c r="D42" i="29" a="1"/>
  <c r="D42" i="29" s="1"/>
  <c r="G332" i="48" s="1"/>
  <c r="F332" i="48"/>
  <c r="Y595" i="18"/>
  <c r="D52" i="29" a="1"/>
  <c r="D52" i="29" s="1"/>
  <c r="E332" i="48" s="1"/>
  <c r="D332" i="48"/>
  <c r="P586" i="18"/>
  <c r="Z306" i="18"/>
  <c r="V875" i="18"/>
  <c r="L872" i="18"/>
  <c r="I306" i="18"/>
  <c r="T306" i="18"/>
  <c r="Z586" i="18"/>
  <c r="AH303" i="18"/>
  <c r="S881" i="18"/>
  <c r="T303" i="18"/>
  <c r="P300" i="18"/>
  <c r="R303" i="18"/>
  <c r="AB303" i="18"/>
  <c r="AG309" i="18"/>
  <c r="AB595" i="18"/>
  <c r="J586" i="18"/>
  <c r="O592" i="18"/>
  <c r="AF881" i="18"/>
  <c r="P875" i="18"/>
  <c r="J309" i="18"/>
  <c r="J881" i="18"/>
  <c r="J595" i="18"/>
  <c r="W300" i="18"/>
  <c r="P881" i="18"/>
  <c r="Q300" i="18"/>
  <c r="E168" i="16" a="1"/>
  <c r="E168" i="16" s="1"/>
  <c r="M878" i="18"/>
  <c r="I309" i="18"/>
  <c r="I303" i="18"/>
  <c r="AE875" i="18"/>
  <c r="V595" i="18"/>
  <c r="Q586" i="18"/>
  <c r="AB300" i="18"/>
  <c r="AG878" i="18"/>
  <c r="AA592" i="18"/>
  <c r="Y303" i="18"/>
  <c r="V303" i="18"/>
  <c r="N303" i="18"/>
  <c r="U872" i="18"/>
  <c r="R306" i="18"/>
  <c r="U300" i="18"/>
  <c r="L586" i="18"/>
  <c r="U303" i="18"/>
  <c r="AG300" i="18"/>
  <c r="Z872" i="18"/>
  <c r="AH872" i="18"/>
  <c r="E157" i="16" a="1"/>
  <c r="E157" i="16" s="1"/>
  <c r="E156" i="16" a="1"/>
  <c r="E156" i="16" s="1"/>
  <c r="U881" i="18"/>
  <c r="AC881" i="18"/>
  <c r="N881" i="18"/>
  <c r="AE881" i="18"/>
  <c r="AA878" i="18"/>
  <c r="Q878" i="18"/>
  <c r="W878" i="18"/>
  <c r="AF878" i="18"/>
  <c r="U878" i="18"/>
  <c r="AD878" i="18"/>
  <c r="P878" i="18"/>
  <c r="X878" i="18"/>
  <c r="I878" i="18"/>
  <c r="L875" i="18"/>
  <c r="T875" i="18"/>
  <c r="Q875" i="18"/>
  <c r="AD875" i="18"/>
  <c r="AA875" i="18"/>
  <c r="I875" i="18"/>
  <c r="Y872" i="18"/>
  <c r="W872" i="18"/>
  <c r="AG872" i="18"/>
  <c r="M872" i="18"/>
  <c r="AF872" i="18"/>
  <c r="AB872" i="18"/>
  <c r="AF595" i="18"/>
  <c r="Z595" i="18"/>
  <c r="AH595" i="18"/>
  <c r="Q595" i="18"/>
  <c r="M595" i="18"/>
  <c r="AC595" i="18"/>
  <c r="Z592" i="18"/>
  <c r="AG592" i="18"/>
  <c r="J592" i="18"/>
  <c r="AA586" i="18"/>
  <c r="R586" i="18"/>
  <c r="AB586" i="18"/>
  <c r="AH586" i="18"/>
  <c r="U586" i="18"/>
  <c r="K586" i="18"/>
  <c r="X586" i="18"/>
  <c r="I586" i="18"/>
  <c r="AA309" i="18"/>
  <c r="U309" i="18"/>
  <c r="AD309" i="18"/>
  <c r="M309" i="18"/>
  <c r="L309" i="18"/>
  <c r="N309" i="18"/>
  <c r="T309" i="18"/>
  <c r="AH309" i="18"/>
  <c r="Q306" i="18"/>
  <c r="P306" i="18"/>
  <c r="K303" i="18"/>
  <c r="N306" i="18"/>
  <c r="V306" i="18"/>
  <c r="L306" i="18"/>
  <c r="J303" i="18"/>
  <c r="AC306" i="18"/>
  <c r="AC303" i="18"/>
  <c r="X306" i="18"/>
  <c r="AF303" i="18"/>
  <c r="AA300" i="18"/>
  <c r="L300" i="18"/>
  <c r="J300" i="18"/>
  <c r="O300" i="18"/>
  <c r="X935" i="18"/>
  <c r="W79" i="40" s="1" a="1"/>
  <c r="W79" i="40" s="1"/>
  <c r="X939" i="18"/>
  <c r="W92" i="40" s="1" a="1"/>
  <c r="W92" i="40" s="1"/>
  <c r="M935" i="18"/>
  <c r="L79" i="40" s="1" a="1"/>
  <c r="L79" i="40" s="1"/>
  <c r="M939" i="18"/>
  <c r="L92" i="40" s="1" a="1"/>
  <c r="L92" i="40" s="1"/>
  <c r="J935" i="18"/>
  <c r="I79" i="40" s="1" a="1"/>
  <c r="I79" i="40" s="1"/>
  <c r="J939" i="18"/>
  <c r="I92" i="40" s="1" a="1"/>
  <c r="I92" i="40" s="1"/>
  <c r="J934" i="18"/>
  <c r="I78" i="40" s="1" a="1"/>
  <c r="I78" i="40" s="1"/>
  <c r="J938" i="18"/>
  <c r="I91" i="40" s="1" a="1"/>
  <c r="I91" i="40" s="1"/>
  <c r="AA934" i="18"/>
  <c r="Z78" i="40" s="1" a="1"/>
  <c r="Z78" i="40" s="1"/>
  <c r="AA938" i="18"/>
  <c r="Z91" i="40" s="1" a="1"/>
  <c r="Z91" i="40" s="1"/>
  <c r="Z934" i="18"/>
  <c r="Y78" i="40" s="1" a="1"/>
  <c r="Y78" i="40" s="1"/>
  <c r="Z938" i="18"/>
  <c r="Y91" i="40" s="1" a="1"/>
  <c r="Y91" i="40" s="1"/>
  <c r="P940" i="18"/>
  <c r="O93" i="40" s="1" a="1"/>
  <c r="O93" i="40" s="1"/>
  <c r="P936" i="18"/>
  <c r="O80" i="40" s="1" a="1"/>
  <c r="O80" i="40" s="1"/>
  <c r="T936" i="18"/>
  <c r="S80" i="40" s="1" a="1"/>
  <c r="S80" i="40" s="1"/>
  <c r="T940" i="18"/>
  <c r="S93" i="40" s="1" a="1"/>
  <c r="S93" i="40" s="1"/>
  <c r="N936" i="18"/>
  <c r="M80" i="40" s="1" a="1"/>
  <c r="M80" i="40" s="1"/>
  <c r="N940" i="18"/>
  <c r="M93" i="40" s="1" a="1"/>
  <c r="M93" i="40" s="1"/>
  <c r="Q940" i="18"/>
  <c r="P93" i="40" s="1" a="1"/>
  <c r="P93" i="40" s="1"/>
  <c r="Q936" i="18"/>
  <c r="P80" i="40" s="1" a="1"/>
  <c r="P80" i="40" s="1"/>
  <c r="W933" i="18"/>
  <c r="V77" i="40" s="1" a="1"/>
  <c r="V77" i="40" s="1"/>
  <c r="W937" i="18"/>
  <c r="V90" i="40" s="1" a="1"/>
  <c r="V90" i="40" s="1"/>
  <c r="T937" i="18"/>
  <c r="S90" i="40" s="1" a="1"/>
  <c r="S90" i="40" s="1"/>
  <c r="T933" i="18"/>
  <c r="S77" i="40" s="1" a="1"/>
  <c r="S77" i="40" s="1"/>
  <c r="J872" i="18"/>
  <c r="AE935" i="18"/>
  <c r="AD79" i="40" s="1" a="1"/>
  <c r="AD79" i="40" s="1"/>
  <c r="AE939" i="18"/>
  <c r="AD92" i="40" s="1" a="1"/>
  <c r="AD92" i="40" s="1"/>
  <c r="AF935" i="18"/>
  <c r="AE79" i="40" s="1" a="1"/>
  <c r="AE79" i="40" s="1"/>
  <c r="AF939" i="18"/>
  <c r="AE92" i="40" s="1" a="1"/>
  <c r="AE92" i="40" s="1"/>
  <c r="L935" i="18"/>
  <c r="K79" i="40" s="1" a="1"/>
  <c r="K79" i="40" s="1"/>
  <c r="L939" i="18"/>
  <c r="K92" i="40" s="1" a="1"/>
  <c r="K92" i="40" s="1"/>
  <c r="T878" i="18"/>
  <c r="AD306" i="18"/>
  <c r="AG938" i="18"/>
  <c r="AF91" i="40" s="1" a="1"/>
  <c r="AF91" i="40" s="1"/>
  <c r="AG934" i="18"/>
  <c r="AF78" i="40" s="1" a="1"/>
  <c r="AF78" i="40" s="1"/>
  <c r="AB934" i="18"/>
  <c r="AA78" i="40" s="1" a="1"/>
  <c r="AA78" i="40" s="1"/>
  <c r="AB938" i="18"/>
  <c r="AA91" i="40" s="1" a="1"/>
  <c r="AA91" i="40" s="1"/>
  <c r="S940" i="18"/>
  <c r="R93" i="40" s="1" a="1"/>
  <c r="R93" i="40" s="1"/>
  <c r="S936" i="18"/>
  <c r="R80" i="40" s="1" a="1"/>
  <c r="R80" i="40" s="1"/>
  <c r="O936" i="18"/>
  <c r="N80" i="40" s="1" a="1"/>
  <c r="N80" i="40" s="1"/>
  <c r="O940" i="18"/>
  <c r="N93" i="40" s="1" a="1"/>
  <c r="N93" i="40" s="1"/>
  <c r="AB936" i="18"/>
  <c r="AA80" i="40" s="1" a="1"/>
  <c r="AA80" i="40" s="1"/>
  <c r="AB940" i="18"/>
  <c r="AA93" i="40" s="1" a="1"/>
  <c r="AA93" i="40" s="1"/>
  <c r="X936" i="18"/>
  <c r="W80" i="40" s="1" a="1"/>
  <c r="W80" i="40" s="1"/>
  <c r="X940" i="18"/>
  <c r="W93" i="40" s="1" a="1"/>
  <c r="W93" i="40" s="1"/>
  <c r="S933" i="18"/>
  <c r="R77" i="40" s="1" a="1"/>
  <c r="R77" i="40" s="1"/>
  <c r="S937" i="18"/>
  <c r="R90" i="40" s="1" a="1"/>
  <c r="R90" i="40" s="1"/>
  <c r="V933" i="18"/>
  <c r="U77" i="40" s="1" a="1"/>
  <c r="U77" i="40" s="1"/>
  <c r="V937" i="18"/>
  <c r="U90" i="40" s="1" a="1"/>
  <c r="U90" i="40" s="1"/>
  <c r="V935" i="18"/>
  <c r="U79" i="40" s="1" a="1"/>
  <c r="U79" i="40" s="1"/>
  <c r="V939" i="18"/>
  <c r="U92" i="40" s="1" a="1"/>
  <c r="U92" i="40" s="1"/>
  <c r="T939" i="18"/>
  <c r="S92" i="40" s="1" a="1"/>
  <c r="S92" i="40" s="1"/>
  <c r="T935" i="18"/>
  <c r="S79" i="40" s="1" a="1"/>
  <c r="S79" i="40" s="1"/>
  <c r="S306" i="18"/>
  <c r="I592" i="18"/>
  <c r="X938" i="18"/>
  <c r="W91" i="40" s="1" a="1"/>
  <c r="W91" i="40" s="1"/>
  <c r="X934" i="18"/>
  <c r="W78" i="40" s="1" a="1"/>
  <c r="W78" i="40" s="1"/>
  <c r="U934" i="18"/>
  <c r="T78" i="40" s="1" a="1"/>
  <c r="T78" i="40" s="1"/>
  <c r="U938" i="18"/>
  <c r="T91" i="40" s="1" a="1"/>
  <c r="T91" i="40" s="1"/>
  <c r="K934" i="18"/>
  <c r="J78" i="40" s="1" a="1"/>
  <c r="J78" i="40" s="1"/>
  <c r="K938" i="18"/>
  <c r="J91" i="40" s="1" a="1"/>
  <c r="J91" i="40" s="1"/>
  <c r="W936" i="18"/>
  <c r="V80" i="40" s="1" a="1"/>
  <c r="V80" i="40" s="1"/>
  <c r="W940" i="18"/>
  <c r="V93" i="40" s="1" a="1"/>
  <c r="V93" i="40" s="1"/>
  <c r="AC937" i="18"/>
  <c r="AB90" i="40" s="1" a="1"/>
  <c r="AB90" i="40" s="1"/>
  <c r="AC933" i="18"/>
  <c r="AB77" i="40" s="1" a="1"/>
  <c r="AB77" i="40" s="1"/>
  <c r="S586" i="18"/>
  <c r="O872" i="18"/>
  <c r="AE586" i="18"/>
  <c r="V300" i="18"/>
  <c r="AD939" i="18"/>
  <c r="AC92" i="40" s="1" a="1"/>
  <c r="AC92" i="40" s="1"/>
  <c r="AD935" i="18"/>
  <c r="AC79" i="40" s="1" a="1"/>
  <c r="AC79" i="40" s="1"/>
  <c r="AH935" i="18"/>
  <c r="AG79" i="40" s="1" a="1"/>
  <c r="AG79" i="40" s="1"/>
  <c r="AH939" i="18"/>
  <c r="AG92" i="40" s="1" a="1"/>
  <c r="AG92" i="40" s="1"/>
  <c r="K306" i="18"/>
  <c r="AE592" i="18"/>
  <c r="W934" i="18"/>
  <c r="V78" i="40" s="1" a="1"/>
  <c r="V78" i="40" s="1"/>
  <c r="W938" i="18"/>
  <c r="V91" i="40" s="1" a="1"/>
  <c r="V91" i="40" s="1"/>
  <c r="AD934" i="18"/>
  <c r="AC78" i="40" s="1" a="1"/>
  <c r="AC78" i="40" s="1"/>
  <c r="AD938" i="18"/>
  <c r="AC91" i="40" s="1" a="1"/>
  <c r="AC91" i="40" s="1"/>
  <c r="Q938" i="18"/>
  <c r="P91" i="40" s="1" a="1"/>
  <c r="P91" i="40" s="1"/>
  <c r="Q934" i="18"/>
  <c r="P78" i="40" s="1" a="1"/>
  <c r="P78" i="40" s="1"/>
  <c r="Z303" i="18"/>
  <c r="O875" i="18"/>
  <c r="Y940" i="18"/>
  <c r="X93" i="40" s="1" a="1"/>
  <c r="X93" i="40" s="1"/>
  <c r="Y936" i="18"/>
  <c r="X80" i="40" s="1" a="1"/>
  <c r="X80" i="40" s="1"/>
  <c r="AA936" i="18"/>
  <c r="Z80" i="40" s="1" a="1"/>
  <c r="Z80" i="40" s="1"/>
  <c r="AA940" i="18"/>
  <c r="Z93" i="40" s="1" a="1"/>
  <c r="Z93" i="40" s="1"/>
  <c r="V881" i="18"/>
  <c r="T595" i="18"/>
  <c r="J937" i="18"/>
  <c r="I90" i="40" s="1" a="1"/>
  <c r="I90" i="40" s="1"/>
  <c r="J933" i="18"/>
  <c r="I77" i="40" s="1" a="1"/>
  <c r="I77" i="40" s="1"/>
  <c r="O933" i="18"/>
  <c r="N77" i="40" s="1" a="1"/>
  <c r="N77" i="40" s="1"/>
  <c r="O937" i="18"/>
  <c r="N90" i="40" s="1" a="1"/>
  <c r="N90" i="40" s="1"/>
  <c r="T938" i="18"/>
  <c r="S91" i="40" s="1" a="1"/>
  <c r="S91" i="40" s="1"/>
  <c r="T934" i="18"/>
  <c r="S78" i="40" s="1" a="1"/>
  <c r="S78" i="40" s="1"/>
  <c r="V934" i="18"/>
  <c r="U78" i="40" s="1" a="1"/>
  <c r="U78" i="40" s="1"/>
  <c r="V938" i="18"/>
  <c r="U91" i="40" s="1" a="1"/>
  <c r="U91" i="40" s="1"/>
  <c r="R595" i="18"/>
  <c r="AE933" i="18"/>
  <c r="AD77" i="40" s="1" a="1"/>
  <c r="AD77" i="40" s="1"/>
  <c r="AE937" i="18"/>
  <c r="AD90" i="40" s="1" a="1"/>
  <c r="AD90" i="40" s="1"/>
  <c r="AA872" i="18"/>
  <c r="P935" i="18"/>
  <c r="O79" i="40" s="1" a="1"/>
  <c r="O79" i="40" s="1"/>
  <c r="P939" i="18"/>
  <c r="O92" i="40" s="1" a="1"/>
  <c r="O92" i="40" s="1"/>
  <c r="R935" i="18"/>
  <c r="Q79" i="40" s="1" a="1"/>
  <c r="Q79" i="40" s="1"/>
  <c r="R939" i="18"/>
  <c r="Q92" i="40" s="1" a="1"/>
  <c r="Q92" i="40" s="1"/>
  <c r="I938" i="18"/>
  <c r="H91" i="40" s="1" a="1"/>
  <c r="H91" i="40" s="1"/>
  <c r="I934" i="18"/>
  <c r="H78" i="40" s="1" a="1"/>
  <c r="H78" i="40" s="1"/>
  <c r="L934" i="18"/>
  <c r="K78" i="40" s="1" a="1"/>
  <c r="K78" i="40" s="1"/>
  <c r="L938" i="18"/>
  <c r="K91" i="40" s="1" a="1"/>
  <c r="K91" i="40" s="1"/>
  <c r="W303" i="18"/>
  <c r="AG303" i="18"/>
  <c r="AH875" i="18"/>
  <c r="AD936" i="18"/>
  <c r="AC80" i="40" s="1" a="1"/>
  <c r="AC80" i="40" s="1"/>
  <c r="AD940" i="18"/>
  <c r="AC93" i="40" s="1" a="1"/>
  <c r="AC93" i="40" s="1"/>
  <c r="X881" i="18"/>
  <c r="AF309" i="18"/>
  <c r="N933" i="18"/>
  <c r="M77" i="40" s="1" a="1"/>
  <c r="M77" i="40" s="1"/>
  <c r="N937" i="18"/>
  <c r="M90" i="40" s="1" a="1"/>
  <c r="M90" i="40" s="1"/>
  <c r="AB933" i="18"/>
  <c r="AA77" i="40" s="1" a="1"/>
  <c r="AA77" i="40" s="1"/>
  <c r="AB937" i="18"/>
  <c r="AA90" i="40" s="1" a="1"/>
  <c r="AA90" i="40" s="1"/>
  <c r="AF933" i="18"/>
  <c r="AE77" i="40" s="1" a="1"/>
  <c r="AE77" i="40" s="1"/>
  <c r="AF937" i="18"/>
  <c r="AE90" i="40" s="1" a="1"/>
  <c r="AE90" i="40" s="1"/>
  <c r="T300" i="18"/>
  <c r="AF592" i="18"/>
  <c r="Y878" i="18"/>
  <c r="Y938" i="18"/>
  <c r="X91" i="40" s="1" a="1"/>
  <c r="X91" i="40" s="1"/>
  <c r="Y934" i="18"/>
  <c r="X78" i="40" s="1" a="1"/>
  <c r="X78" i="40" s="1"/>
  <c r="AE938" i="18"/>
  <c r="AD91" i="40" s="1" a="1"/>
  <c r="AD91" i="40" s="1"/>
  <c r="AE934" i="18"/>
  <c r="AD78" i="40" s="1" a="1"/>
  <c r="AD78" i="40" s="1"/>
  <c r="O303" i="18"/>
  <c r="Q303" i="18"/>
  <c r="I881" i="18"/>
  <c r="P309" i="18"/>
  <c r="Z937" i="18"/>
  <c r="Y90" i="40" s="1" a="1"/>
  <c r="Y90" i="40" s="1"/>
  <c r="Z933" i="18"/>
  <c r="Y77" i="40" s="1" a="1"/>
  <c r="Y77" i="40" s="1"/>
  <c r="I933" i="18"/>
  <c r="I937" i="18"/>
  <c r="H90" i="40" s="1" a="1"/>
  <c r="H90" i="40" s="1"/>
  <c r="L592" i="18"/>
  <c r="M306" i="18"/>
  <c r="AH306" i="18"/>
  <c r="N592" i="18"/>
  <c r="L878" i="18"/>
  <c r="O938" i="18"/>
  <c r="N91" i="40" s="1" a="1"/>
  <c r="N91" i="40" s="1"/>
  <c r="O934" i="18"/>
  <c r="N78" i="40" s="1" a="1"/>
  <c r="N78" i="40" s="1"/>
  <c r="M303" i="18"/>
  <c r="AD303" i="18"/>
  <c r="X303" i="18"/>
  <c r="E82" i="16" a="1"/>
  <c r="E82" i="16" s="1"/>
  <c r="E83" i="16" s="1" a="1"/>
  <c r="E83" i="16" s="1"/>
  <c r="AC936" i="18"/>
  <c r="AB80" i="40" s="1" a="1"/>
  <c r="AB80" i="40" s="1"/>
  <c r="AC940" i="18"/>
  <c r="AB93" i="40" s="1" a="1"/>
  <c r="AB93" i="40" s="1"/>
  <c r="K881" i="18"/>
  <c r="S309" i="18"/>
  <c r="P933" i="18"/>
  <c r="O77" i="40" s="1" a="1"/>
  <c r="O77" i="40" s="1"/>
  <c r="P937" i="18"/>
  <c r="O90" i="40" s="1" a="1"/>
  <c r="O90" i="40" s="1"/>
  <c r="T872" i="18"/>
  <c r="AB935" i="18"/>
  <c r="AA79" i="40" s="1" a="1"/>
  <c r="AA79" i="40" s="1"/>
  <c r="AB939" i="18"/>
  <c r="AA92" i="40" s="1" a="1"/>
  <c r="AA92" i="40" s="1"/>
  <c r="J878" i="18"/>
  <c r="L881" i="18"/>
  <c r="AA595" i="18"/>
  <c r="AA881" i="18"/>
  <c r="AA937" i="18"/>
  <c r="Z90" i="40" s="1" a="1"/>
  <c r="Z90" i="40" s="1"/>
  <c r="AA933" i="18"/>
  <c r="Z77" i="40" s="1" a="1"/>
  <c r="Z77" i="40" s="1"/>
  <c r="AF300" i="18"/>
  <c r="Z935" i="18"/>
  <c r="Y79" i="40" s="1" a="1"/>
  <c r="Y79" i="40" s="1"/>
  <c r="Z939" i="18"/>
  <c r="Y92" i="40" s="1" a="1"/>
  <c r="Y92" i="40" s="1"/>
  <c r="K878" i="18"/>
  <c r="T592" i="18"/>
  <c r="R938" i="18"/>
  <c r="Q91" i="40" s="1" a="1"/>
  <c r="Q91" i="40" s="1"/>
  <c r="R934" i="18"/>
  <c r="Q78" i="40" s="1" a="1"/>
  <c r="Q78" i="40" s="1"/>
  <c r="R875" i="18"/>
  <c r="Z875" i="18"/>
  <c r="Z940" i="18"/>
  <c r="Y93" i="40" s="1" a="1"/>
  <c r="Y93" i="40" s="1"/>
  <c r="Z936" i="18"/>
  <c r="Y80" i="40" s="1" a="1"/>
  <c r="Y80" i="40" s="1"/>
  <c r="L595" i="18"/>
  <c r="AG595" i="18"/>
  <c r="K937" i="18"/>
  <c r="J90" i="40" s="1" a="1"/>
  <c r="J90" i="40" s="1"/>
  <c r="K933" i="18"/>
  <c r="J77" i="40" s="1" a="1"/>
  <c r="J77" i="40" s="1"/>
  <c r="AH300" i="18"/>
  <c r="Y586" i="18"/>
  <c r="I872" i="18"/>
  <c r="AC300" i="18"/>
  <c r="T586" i="18"/>
  <c r="K939" i="18"/>
  <c r="J92" i="40" s="1" a="1"/>
  <c r="J92" i="40" s="1"/>
  <c r="K935" i="18"/>
  <c r="J79" i="40" s="1" a="1"/>
  <c r="J79" i="40" s="1"/>
  <c r="J306" i="18"/>
  <c r="Z878" i="18"/>
  <c r="S938" i="18"/>
  <c r="R91" i="40" s="1" a="1"/>
  <c r="R91" i="40" s="1"/>
  <c r="S934" i="18"/>
  <c r="R78" i="40" s="1" a="1"/>
  <c r="R78" i="40" s="1"/>
  <c r="AB875" i="18"/>
  <c r="L936" i="18"/>
  <c r="K80" i="40" s="1" a="1"/>
  <c r="K80" i="40" s="1"/>
  <c r="L940" i="18"/>
  <c r="K93" i="40" s="1" a="1"/>
  <c r="K93" i="40" s="1"/>
  <c r="AG936" i="18"/>
  <c r="AF80" i="40" s="1" a="1"/>
  <c r="AF80" i="40" s="1"/>
  <c r="AG940" i="18"/>
  <c r="AF93" i="40" s="1" a="1"/>
  <c r="AF93" i="40" s="1"/>
  <c r="R936" i="18"/>
  <c r="Q80" i="40" s="1" a="1"/>
  <c r="Q80" i="40" s="1"/>
  <c r="R940" i="18"/>
  <c r="Q93" i="40" s="1" a="1"/>
  <c r="Q93" i="40" s="1"/>
  <c r="W881" i="18"/>
  <c r="Q881" i="18"/>
  <c r="AD933" i="18"/>
  <c r="AC77" i="40" s="1" a="1"/>
  <c r="AC77" i="40" s="1"/>
  <c r="AD937" i="18"/>
  <c r="AC90" i="40" s="1" a="1"/>
  <c r="AC90" i="40" s="1"/>
  <c r="Q933" i="18"/>
  <c r="P77" i="40" s="1" a="1"/>
  <c r="P77" i="40" s="1"/>
  <c r="Q937" i="18"/>
  <c r="P90" i="40" s="1" a="1"/>
  <c r="P90" i="40" s="1"/>
  <c r="AG933" i="18"/>
  <c r="AF77" i="40" s="1" a="1"/>
  <c r="AF77" i="40" s="1"/>
  <c r="AG937" i="18"/>
  <c r="AF90" i="40" s="1" a="1"/>
  <c r="AF90" i="40" s="1"/>
  <c r="U933" i="18"/>
  <c r="T77" i="40" s="1" a="1"/>
  <c r="T77" i="40" s="1"/>
  <c r="U937" i="18"/>
  <c r="T90" i="40" s="1" a="1"/>
  <c r="T90" i="40" s="1"/>
  <c r="AH933" i="18"/>
  <c r="AG77" i="40" s="1" a="1"/>
  <c r="AG77" i="40" s="1"/>
  <c r="AH937" i="18"/>
  <c r="AG90" i="40" s="1" a="1"/>
  <c r="AG90" i="40" s="1"/>
  <c r="M586" i="18"/>
  <c r="X300" i="18"/>
  <c r="AG586" i="18"/>
  <c r="N300" i="18"/>
  <c r="I300" i="18"/>
  <c r="Y935" i="18"/>
  <c r="X79" i="40" s="1" a="1"/>
  <c r="X79" i="40" s="1"/>
  <c r="Y939" i="18"/>
  <c r="X92" i="40" s="1" a="1"/>
  <c r="X92" i="40" s="1"/>
  <c r="AH592" i="18"/>
  <c r="S592" i="18"/>
  <c r="AB592" i="18"/>
  <c r="V878" i="18"/>
  <c r="Y592" i="18"/>
  <c r="K875" i="18"/>
  <c r="AE303" i="18"/>
  <c r="AE936" i="18"/>
  <c r="AD80" i="40" s="1" a="1"/>
  <c r="AD80" i="40" s="1"/>
  <c r="AE940" i="18"/>
  <c r="AD93" i="40" s="1" a="1"/>
  <c r="AD93" i="40" s="1"/>
  <c r="K936" i="18"/>
  <c r="J80" i="40" s="1" a="1"/>
  <c r="J80" i="40" s="1"/>
  <c r="K940" i="18"/>
  <c r="J93" i="40" s="1" a="1"/>
  <c r="J93" i="40" s="1"/>
  <c r="W309" i="18"/>
  <c r="Y933" i="18"/>
  <c r="X77" i="40" s="1" a="1"/>
  <c r="X77" i="40" s="1"/>
  <c r="Y937" i="18"/>
  <c r="X90" i="40" s="1" a="1"/>
  <c r="X90" i="40" s="1"/>
  <c r="R933" i="18"/>
  <c r="Q77" i="40" s="1" a="1"/>
  <c r="Q77" i="40" s="1"/>
  <c r="R937" i="18"/>
  <c r="Q90" i="40" s="1" a="1"/>
  <c r="Q90" i="40" s="1"/>
  <c r="L933" i="18"/>
  <c r="K77" i="40" s="1" a="1"/>
  <c r="K77" i="40" s="1"/>
  <c r="L937" i="18"/>
  <c r="K90" i="40" s="1" a="1"/>
  <c r="K90" i="40" s="1"/>
  <c r="R300" i="18"/>
  <c r="N872" i="18"/>
  <c r="Y306" i="18"/>
  <c r="P592" i="18"/>
  <c r="X592" i="18"/>
  <c r="AD592" i="18"/>
  <c r="AF306" i="18"/>
  <c r="AF938" i="18"/>
  <c r="AE91" i="40" s="1" a="1"/>
  <c r="AE91" i="40" s="1"/>
  <c r="AF934" i="18"/>
  <c r="AE78" i="40" s="1" a="1"/>
  <c r="AE78" i="40" s="1"/>
  <c r="P938" i="18"/>
  <c r="O91" i="40" s="1" a="1"/>
  <c r="O91" i="40" s="1"/>
  <c r="P934" i="18"/>
  <c r="O78" i="40" s="1" a="1"/>
  <c r="O78" i="40" s="1"/>
  <c r="AF875" i="18"/>
  <c r="S303" i="18"/>
  <c r="AH940" i="18"/>
  <c r="AG93" i="40" s="1" a="1"/>
  <c r="AG93" i="40" s="1"/>
  <c r="AH936" i="18"/>
  <c r="AG80" i="40" s="1" a="1"/>
  <c r="AG80" i="40" s="1"/>
  <c r="Z881" i="18"/>
  <c r="O309" i="18"/>
  <c r="AE309" i="18"/>
  <c r="Y881" i="18"/>
  <c r="M937" i="18"/>
  <c r="L90" i="40" s="1" a="1"/>
  <c r="L90" i="40" s="1"/>
  <c r="M933" i="18"/>
  <c r="L77" i="40" s="1" a="1"/>
  <c r="L77" i="40" s="1"/>
  <c r="P872" i="18"/>
  <c r="S872" i="18"/>
  <c r="AF586" i="18"/>
  <c r="AD586" i="18"/>
  <c r="AE872" i="18"/>
  <c r="O586" i="18"/>
  <c r="N586" i="18"/>
  <c r="V586" i="18"/>
  <c r="O939" i="18"/>
  <c r="N92" i="40" s="1" a="1"/>
  <c r="N92" i="40" s="1"/>
  <c r="O935" i="18"/>
  <c r="N79" i="40" s="1" a="1"/>
  <c r="N79" i="40" s="1"/>
  <c r="AG935" i="18"/>
  <c r="AF79" i="40" s="1" a="1"/>
  <c r="AF79" i="40" s="1"/>
  <c r="AG939" i="18"/>
  <c r="AF92" i="40" s="1" a="1"/>
  <c r="AF92" i="40" s="1"/>
  <c r="W935" i="18"/>
  <c r="V79" i="40" s="1" a="1"/>
  <c r="V79" i="40" s="1"/>
  <c r="W939" i="18"/>
  <c r="V92" i="40" s="1" a="1"/>
  <c r="V92" i="40" s="1"/>
  <c r="S935" i="18"/>
  <c r="R79" i="40" s="1" a="1"/>
  <c r="R79" i="40" s="1"/>
  <c r="S939" i="18"/>
  <c r="R92" i="40" s="1" a="1"/>
  <c r="R92" i="40" s="1"/>
  <c r="AH878" i="18"/>
  <c r="R592" i="18"/>
  <c r="U306" i="18"/>
  <c r="S878" i="18"/>
  <c r="Q592" i="18"/>
  <c r="AE306" i="18"/>
  <c r="N878" i="18"/>
  <c r="AC934" i="18"/>
  <c r="AB78" i="40" s="1" a="1"/>
  <c r="AB78" i="40" s="1"/>
  <c r="AC938" i="18"/>
  <c r="AB91" i="40" s="1" a="1"/>
  <c r="AB91" i="40" s="1"/>
  <c r="X875" i="18"/>
  <c r="S875" i="18"/>
  <c r="AA303" i="18"/>
  <c r="AG875" i="18"/>
  <c r="I940" i="18"/>
  <c r="H93" i="40" s="1" a="1"/>
  <c r="H93" i="40" s="1"/>
  <c r="I936" i="18"/>
  <c r="H80" i="40" s="1" a="1"/>
  <c r="H80" i="40" s="1"/>
  <c r="V936" i="18"/>
  <c r="U80" i="40" s="1" a="1"/>
  <c r="U80" i="40" s="1"/>
  <c r="V940" i="18"/>
  <c r="U93" i="40" s="1" a="1"/>
  <c r="U93" i="40" s="1"/>
  <c r="O595" i="18"/>
  <c r="X595" i="18"/>
  <c r="F125" i="16" a="1"/>
  <c r="F125" i="16" s="1"/>
  <c r="X933" i="18"/>
  <c r="W77" i="40" s="1" a="1"/>
  <c r="W77" i="40" s="1"/>
  <c r="X937" i="18"/>
  <c r="W90" i="40" s="1" a="1"/>
  <c r="W90" i="40" s="1"/>
  <c r="AE300" i="18"/>
  <c r="W586" i="18"/>
  <c r="V872" i="18"/>
  <c r="S300" i="18"/>
  <c r="Y300" i="18"/>
  <c r="Q872" i="18"/>
  <c r="AC586" i="18"/>
  <c r="U939" i="18"/>
  <c r="T92" i="40" s="1" a="1"/>
  <c r="T92" i="40" s="1"/>
  <c r="U935" i="18"/>
  <c r="T79" i="40" s="1" a="1"/>
  <c r="T79" i="40" s="1"/>
  <c r="AA935" i="18"/>
  <c r="Z79" i="40" s="1" a="1"/>
  <c r="Z79" i="40" s="1"/>
  <c r="AA939" i="18"/>
  <c r="Z92" i="40" s="1" a="1"/>
  <c r="Z92" i="40" s="1"/>
  <c r="AC935" i="18"/>
  <c r="AB79" i="40" s="1" a="1"/>
  <c r="AB79" i="40" s="1"/>
  <c r="AC939" i="18"/>
  <c r="AB92" i="40" s="1" a="1"/>
  <c r="AB92" i="40" s="1"/>
  <c r="W306" i="18"/>
  <c r="AG306" i="18"/>
  <c r="U592" i="18"/>
  <c r="O306" i="18"/>
  <c r="M938" i="18"/>
  <c r="L91" i="40" s="1" a="1"/>
  <c r="L91" i="40" s="1"/>
  <c r="M934" i="18"/>
  <c r="L78" i="40" s="1" a="1"/>
  <c r="L78" i="40" s="1"/>
  <c r="N875" i="18"/>
  <c r="L303" i="18"/>
  <c r="J940" i="18"/>
  <c r="I93" i="40" s="1" a="1"/>
  <c r="I93" i="40" s="1"/>
  <c r="J936" i="18"/>
  <c r="I80" i="40" s="1" a="1"/>
  <c r="I80" i="40" s="1"/>
  <c r="AH881" i="18"/>
  <c r="AD595" i="18"/>
  <c r="Y309" i="18"/>
  <c r="U595" i="18"/>
  <c r="AB309" i="18"/>
  <c r="M300" i="18"/>
  <c r="AD872" i="18"/>
  <c r="X872" i="18"/>
  <c r="AC872" i="18"/>
  <c r="K300" i="18"/>
  <c r="R872" i="18"/>
  <c r="N939" i="18"/>
  <c r="M92" i="40" s="1" a="1"/>
  <c r="M92" i="40" s="1"/>
  <c r="N935" i="18"/>
  <c r="M79" i="40" s="1" a="1"/>
  <c r="M79" i="40" s="1"/>
  <c r="I939" i="18"/>
  <c r="H92" i="40" s="1" a="1"/>
  <c r="H92" i="40" s="1"/>
  <c r="I935" i="18"/>
  <c r="H79" i="40" s="1" a="1"/>
  <c r="H79" i="40" s="1"/>
  <c r="Q935" i="18"/>
  <c r="P79" i="40" s="1" a="1"/>
  <c r="P79" i="40" s="1"/>
  <c r="Q939" i="18"/>
  <c r="P92" i="40" s="1" a="1"/>
  <c r="P92" i="40" s="1"/>
  <c r="AA306" i="18"/>
  <c r="R878" i="18"/>
  <c r="M592" i="18"/>
  <c r="AB878" i="18"/>
  <c r="AH938" i="18"/>
  <c r="AG91" i="40" s="1" a="1"/>
  <c r="AG91" i="40" s="1"/>
  <c r="AH934" i="18"/>
  <c r="AG78" i="40" s="1" a="1"/>
  <c r="AG78" i="40" s="1"/>
  <c r="N934" i="18"/>
  <c r="M78" i="40" s="1" a="1"/>
  <c r="M78" i="40" s="1"/>
  <c r="N938" i="18"/>
  <c r="M91" i="40" s="1" a="1"/>
  <c r="M91" i="40" s="1"/>
  <c r="W875" i="18"/>
  <c r="U936" i="18"/>
  <c r="T80" i="40" s="1" a="1"/>
  <c r="T80" i="40" s="1"/>
  <c r="U940" i="18"/>
  <c r="T93" i="40" s="1" a="1"/>
  <c r="T93" i="40" s="1"/>
  <c r="AF936" i="18"/>
  <c r="AE80" i="40" s="1" a="1"/>
  <c r="AE80" i="40" s="1"/>
  <c r="AF940" i="18"/>
  <c r="AE93" i="40" s="1" a="1"/>
  <c r="AE93" i="40" s="1"/>
  <c r="M936" i="18"/>
  <c r="L80" i="40" s="1" a="1"/>
  <c r="L80" i="40" s="1"/>
  <c r="M940" i="18"/>
  <c r="L93" i="40" s="1" a="1"/>
  <c r="L93" i="40" s="1"/>
  <c r="Q309" i="18"/>
  <c r="R309" i="18"/>
  <c r="AB881" i="18"/>
  <c r="M881" i="18"/>
  <c r="K309" i="18"/>
  <c r="P595" i="18"/>
  <c r="I595" i="18"/>
  <c r="X309" i="18"/>
  <c r="E146" i="16" a="1"/>
  <c r="E146" i="16" s="1"/>
  <c r="E179" i="16" s="1" a="1"/>
  <c r="E179" i="16" s="1"/>
  <c r="E182" i="16" s="1" a="1"/>
  <c r="E182" i="16" s="1"/>
  <c r="E108" i="16" a="1"/>
  <c r="E108" i="16" s="1"/>
  <c r="E111" i="16" s="1" a="1"/>
  <c r="E111" i="16" s="1"/>
  <c r="E78" i="16"/>
  <c r="E149" i="16" s="1" a="1"/>
  <c r="E149" i="16" s="1"/>
  <c r="AF79" i="16"/>
  <c r="M79" i="16"/>
  <c r="U79" i="16"/>
  <c r="AC79" i="16"/>
  <c r="H79" i="16"/>
  <c r="Y79" i="16"/>
  <c r="F79" i="16"/>
  <c r="N79" i="16"/>
  <c r="V79" i="16"/>
  <c r="AD79" i="16"/>
  <c r="P79" i="16"/>
  <c r="Q79" i="16"/>
  <c r="G79" i="16"/>
  <c r="O79" i="16"/>
  <c r="W79" i="16"/>
  <c r="AE79" i="16"/>
  <c r="X79" i="16"/>
  <c r="I79" i="16"/>
  <c r="J79" i="16"/>
  <c r="R79" i="16"/>
  <c r="Z79" i="16"/>
  <c r="K79" i="16"/>
  <c r="S79" i="16"/>
  <c r="AA79" i="16"/>
  <c r="L79" i="16"/>
  <c r="T79" i="16"/>
  <c r="AB79" i="16"/>
  <c r="E130" i="16" a="1"/>
  <c r="E130" i="16" s="1"/>
  <c r="E163" i="16" s="1" a="1"/>
  <c r="E163" i="16" s="1"/>
  <c r="E159" i="16" a="1"/>
  <c r="E159" i="16" s="1"/>
  <c r="E162" i="16" s="1" a="1"/>
  <c r="E162" i="16" s="1"/>
  <c r="E175" i="16" a="1"/>
  <c r="E175" i="16" s="1"/>
  <c r="E178" i="16" s="1" a="1"/>
  <c r="E178" i="16" s="1"/>
  <c r="E107" i="16" a="1"/>
  <c r="E107" i="16" s="1"/>
  <c r="E74" i="16"/>
  <c r="E145" i="16" s="1" a="1"/>
  <c r="E145" i="16" s="1"/>
  <c r="E164" i="16" a="1"/>
  <c r="E164" i="16" s="1"/>
  <c r="E165" i="16" a="1"/>
  <c r="E165" i="16" s="1"/>
  <c r="E95" i="16" a="1"/>
  <c r="E95" i="16" s="1"/>
  <c r="E70" i="16"/>
  <c r="E141" i="16" s="1" a="1"/>
  <c r="E141" i="16" s="1"/>
  <c r="E103" i="16" a="1"/>
  <c r="E103" i="16" s="1"/>
  <c r="E66" i="16"/>
  <c r="E137" i="16" s="1" a="1"/>
  <c r="E137" i="16" s="1"/>
  <c r="E99" i="16" a="1"/>
  <c r="E99" i="16" s="1"/>
  <c r="E87" i="16" a="1"/>
  <c r="E87" i="16" s="1"/>
  <c r="E91" i="16" a="1"/>
  <c r="E91" i="16" s="1"/>
  <c r="E58" i="16"/>
  <c r="E129" i="16" s="1" a="1"/>
  <c r="E129" i="16" s="1"/>
  <c r="E62" i="16"/>
  <c r="E133" i="16" s="1" a="1"/>
  <c r="E133" i="16" s="1"/>
  <c r="E50" i="16"/>
  <c r="E54" i="16"/>
  <c r="E125" i="16" s="1" a="1"/>
  <c r="E125" i="16" s="1"/>
  <c r="E196" i="16" a="1"/>
  <c r="E196" i="16" s="1"/>
  <c r="F126" i="40" l="1"/>
  <c r="AF157" i="40"/>
  <c r="X157" i="40"/>
  <c r="P157" i="40"/>
  <c r="H157" i="40"/>
  <c r="AE157" i="40"/>
  <c r="W157" i="40"/>
  <c r="O157" i="40"/>
  <c r="G157" i="40"/>
  <c r="AD157" i="40"/>
  <c r="V157" i="40"/>
  <c r="N157" i="40"/>
  <c r="J157" i="40"/>
  <c r="AC157" i="40"/>
  <c r="U157" i="40"/>
  <c r="M157" i="40"/>
  <c r="Z157" i="40"/>
  <c r="AB157" i="40"/>
  <c r="T157" i="40"/>
  <c r="L157" i="40"/>
  <c r="AA157" i="40"/>
  <c r="S157" i="40"/>
  <c r="K157" i="40"/>
  <c r="R157" i="40"/>
  <c r="AG157" i="40"/>
  <c r="Y157" i="40"/>
  <c r="Q157" i="40"/>
  <c r="I157" i="40"/>
  <c r="E338" i="48" a="1"/>
  <c r="E338" i="48" s="1"/>
  <c r="F81" i="40" a="1"/>
  <c r="F81" i="40" s="1"/>
  <c r="E81" i="40" s="1"/>
  <c r="J59" i="40" s="1"/>
  <c r="D331" i="48"/>
  <c r="F331" i="48"/>
  <c r="H77" i="40" a="1"/>
  <c r="H77" i="40" s="1"/>
  <c r="F111" i="40" a="1"/>
  <c r="F111" i="40" s="1"/>
  <c r="C22" i="65" a="1"/>
  <c r="C22" i="65" s="1"/>
  <c r="E331" i="48" s="1"/>
  <c r="H94" i="40" a="1"/>
  <c r="H94" i="40" s="1"/>
  <c r="F123" i="40" s="1" a="1"/>
  <c r="F123" i="40" s="1"/>
  <c r="C23" i="65" a="1"/>
  <c r="C23" i="65" s="1"/>
  <c r="G331" i="48" s="1"/>
  <c r="E342" i="48" a="1"/>
  <c r="E342" i="48" s="1"/>
  <c r="G875" i="18"/>
  <c r="E218" i="16" a="1"/>
  <c r="E218" i="16" s="1"/>
  <c r="E237" i="16" s="1" a="1"/>
  <c r="E237" i="16" s="1"/>
  <c r="F229" i="48" s="1"/>
  <c r="E95" i="40"/>
  <c r="K60" i="40" s="1"/>
  <c r="G878" i="18"/>
  <c r="G309" i="18"/>
  <c r="E191" i="16" a="1"/>
  <c r="E191" i="16" s="1"/>
  <c r="E207" i="16" s="1" a="1"/>
  <c r="E207" i="16" s="1"/>
  <c r="D228" i="48" s="1"/>
  <c r="E229" i="16" a="1"/>
  <c r="E229" i="16" s="1"/>
  <c r="D229" i="16" s="1" a="1"/>
  <c r="D229" i="16" s="1"/>
  <c r="G306" i="18"/>
  <c r="E217" i="16" a="1"/>
  <c r="E217" i="16" s="1"/>
  <c r="D217" i="16" s="1"/>
  <c r="E192" i="16" a="1"/>
  <c r="E192" i="16" s="1"/>
  <c r="E208" i="16" s="1" a="1"/>
  <c r="E208" i="16" s="1"/>
  <c r="D229" i="48" s="1"/>
  <c r="G881" i="18"/>
  <c r="G586" i="18"/>
  <c r="G300" i="18"/>
  <c r="E190" i="16" a="1"/>
  <c r="E190" i="16" s="1"/>
  <c r="E206" i="16" s="1" a="1"/>
  <c r="E206" i="16" s="1"/>
  <c r="D227" i="48" s="1"/>
  <c r="F918" i="18"/>
  <c r="G934" i="18"/>
  <c r="F78" i="40" s="1" a="1"/>
  <c r="F78" i="40" s="1"/>
  <c r="G938" i="18"/>
  <c r="F91" i="40" s="1" a="1"/>
  <c r="F91" i="40" s="1"/>
  <c r="G933" i="18"/>
  <c r="F77" i="40" s="1" a="1"/>
  <c r="F77" i="40" s="1"/>
  <c r="G937" i="18"/>
  <c r="F90" i="40" s="1" a="1"/>
  <c r="F90" i="40" s="1"/>
  <c r="F917" i="18"/>
  <c r="F919" i="18"/>
  <c r="G935" i="18"/>
  <c r="F79" i="40" s="1" a="1"/>
  <c r="F79" i="40" s="1"/>
  <c r="G939" i="18"/>
  <c r="F92" i="40" s="1" a="1"/>
  <c r="F92" i="40" s="1"/>
  <c r="F920" i="18"/>
  <c r="G940" i="18"/>
  <c r="G936" i="18"/>
  <c r="F80" i="40" s="1" a="1"/>
  <c r="F80" i="40" s="1"/>
  <c r="G872" i="18"/>
  <c r="G592" i="18"/>
  <c r="G595" i="18"/>
  <c r="G303" i="18"/>
  <c r="E225" i="16" a="1"/>
  <c r="E225" i="16" s="1"/>
  <c r="D225" i="16" s="1" a="1"/>
  <c r="D225" i="16" s="1"/>
  <c r="E230" i="16" a="1"/>
  <c r="E230" i="16" s="1"/>
  <c r="D230" i="16" s="1" a="1"/>
  <c r="D230" i="16" s="1"/>
  <c r="F333" i="48"/>
  <c r="E197" i="16" a="1"/>
  <c r="E197" i="16" s="1"/>
  <c r="E223" i="16" a="1"/>
  <c r="E223" i="16" s="1"/>
  <c r="E216" i="16" a="1"/>
  <c r="E216" i="16" s="1"/>
  <c r="E155" i="16" a="1"/>
  <c r="E155" i="16" s="1"/>
  <c r="E158" i="16" s="1" a="1"/>
  <c r="E158" i="16" s="1"/>
  <c r="E224" i="16" s="1" a="1"/>
  <c r="E224" i="16" s="1"/>
  <c r="D224" i="16" s="1" a="1"/>
  <c r="D224" i="16" s="1"/>
  <c r="E79" i="16"/>
  <c r="E199" i="16" a="1"/>
  <c r="E199" i="16" s="1"/>
  <c r="D199" i="16" s="1" a="1"/>
  <c r="D199" i="16" s="1"/>
  <c r="E112" i="16" a="1"/>
  <c r="E112" i="16" s="1"/>
  <c r="E121" i="16" a="1"/>
  <c r="E166" i="16" a="1"/>
  <c r="E166" i="16" s="1"/>
  <c r="E226" i="16" s="1" a="1"/>
  <c r="E226" i="16" s="1"/>
  <c r="D226" i="16" s="1" a="1"/>
  <c r="D226" i="16" s="1"/>
  <c r="E167" i="16" a="1"/>
  <c r="E167" i="16" s="1"/>
  <c r="E170" i="16" s="1" a="1"/>
  <c r="E170" i="16" s="1"/>
  <c r="E227" i="16" s="1" a="1"/>
  <c r="E227" i="16" s="1"/>
  <c r="D227" i="16" s="1" a="1"/>
  <c r="D227" i="16" s="1"/>
  <c r="E171" i="16" a="1"/>
  <c r="E171" i="16" s="1"/>
  <c r="E174" i="16" s="1" a="1"/>
  <c r="E174" i="16" s="1"/>
  <c r="E228" i="16" s="1" a="1"/>
  <c r="E228" i="16" s="1"/>
  <c r="D228" i="16" s="1" a="1"/>
  <c r="D228" i="16" s="1"/>
  <c r="F110" i="40" l="1" a="1"/>
  <c r="F110" i="40" s="1"/>
  <c r="E110" i="40" s="1"/>
  <c r="E126" i="40"/>
  <c r="E62" i="40" s="1"/>
  <c r="G349" i="48" s="1"/>
  <c r="F157" i="40"/>
  <c r="D273" i="48"/>
  <c r="D230" i="48"/>
  <c r="E94" i="40"/>
  <c r="K59" i="40" s="1"/>
  <c r="E341" i="48" a="1"/>
  <c r="E341" i="48" s="1"/>
  <c r="F120" i="40" a="1"/>
  <c r="F120" i="40" s="1"/>
  <c r="E120" i="40" s="1"/>
  <c r="E91" i="40"/>
  <c r="D218" i="16"/>
  <c r="F121" i="40" a="1"/>
  <c r="F121" i="40" s="1"/>
  <c r="E92" i="40"/>
  <c r="F107" i="40" a="1"/>
  <c r="F107" i="40" s="1"/>
  <c r="E107" i="40" s="1"/>
  <c r="E78" i="40"/>
  <c r="F940" i="18" a="1"/>
  <c r="F940" i="18" s="1"/>
  <c r="G276" i="48" s="1"/>
  <c r="F93" i="40" a="1"/>
  <c r="F93" i="40" s="1"/>
  <c r="F119" i="40" a="1"/>
  <c r="F119" i="40" s="1"/>
  <c r="E119" i="40" s="1"/>
  <c r="E90" i="40"/>
  <c r="E79" i="40"/>
  <c r="F108" i="40" a="1"/>
  <c r="F108" i="40" s="1"/>
  <c r="F109" i="40" a="1"/>
  <c r="F109" i="40" s="1"/>
  <c r="E80" i="40"/>
  <c r="F106" i="40" a="1"/>
  <c r="F106" i="40" s="1"/>
  <c r="E106" i="40" s="1"/>
  <c r="E77" i="40"/>
  <c r="E236" i="16" a="1"/>
  <c r="E236" i="16" s="1"/>
  <c r="D191" i="16"/>
  <c r="D192" i="16"/>
  <c r="F933" i="18" a="1"/>
  <c r="F933" i="18" s="1"/>
  <c r="E273" i="48" s="1"/>
  <c r="E209" i="16" a="1"/>
  <c r="E209" i="16" s="1"/>
  <c r="F276" i="48"/>
  <c r="F939" i="18" a="1"/>
  <c r="F939" i="18" s="1"/>
  <c r="G275" i="48" s="1"/>
  <c r="F275" i="48"/>
  <c r="F935" i="18" a="1"/>
  <c r="F935" i="18" s="1"/>
  <c r="E275" i="48" s="1"/>
  <c r="D275" i="48"/>
  <c r="D274" i="48"/>
  <c r="F934" i="18" a="1"/>
  <c r="F934" i="18" s="1"/>
  <c r="E274" i="48" s="1"/>
  <c r="D276" i="48"/>
  <c r="F936" i="18" a="1"/>
  <c r="F936" i="18" s="1"/>
  <c r="E276" i="48" s="1"/>
  <c r="F273" i="48"/>
  <c r="F937" i="18" a="1"/>
  <c r="F937" i="18" s="1"/>
  <c r="G273" i="48" s="1"/>
  <c r="F938" i="18" a="1"/>
  <c r="F938" i="18" s="1"/>
  <c r="G274" i="48" s="1"/>
  <c r="F274" i="48"/>
  <c r="D237" i="16" a="1"/>
  <c r="D237" i="16" s="1"/>
  <c r="E235" i="16" a="1"/>
  <c r="E235" i="16" s="1"/>
  <c r="F227" i="48" s="1"/>
  <c r="E219" i="16" a="1"/>
  <c r="E219" i="16" s="1"/>
  <c r="D219" i="16" s="1"/>
  <c r="D216" i="16"/>
  <c r="D223" i="16" a="1"/>
  <c r="D223" i="16" s="1"/>
  <c r="E231" i="16" a="1"/>
  <c r="E231" i="16" s="1"/>
  <c r="D231" i="16" s="1" a="1"/>
  <c r="D231" i="16" s="1"/>
  <c r="E201" i="16" a="1"/>
  <c r="E201" i="16" s="1"/>
  <c r="D201" i="16" s="1" a="1"/>
  <c r="D201" i="16" s="1"/>
  <c r="E198" i="16" a="1"/>
  <c r="E198" i="16" s="1"/>
  <c r="D198" i="16" s="1" a="1"/>
  <c r="D198" i="16" s="1"/>
  <c r="E200" i="16" a="1"/>
  <c r="E200" i="16" s="1"/>
  <c r="D200" i="16" s="1" a="1"/>
  <c r="D200" i="16" s="1"/>
  <c r="D206" i="16" a="1"/>
  <c r="D206" i="16" s="1"/>
  <c r="E183" i="16" a="1"/>
  <c r="E183" i="16" s="1"/>
  <c r="E121" i="16"/>
  <c r="E150" i="16" s="1"/>
  <c r="Q150" i="16"/>
  <c r="AC150" i="16"/>
  <c r="W150" i="16"/>
  <c r="I150" i="16"/>
  <c r="T150" i="16"/>
  <c r="H150" i="16"/>
  <c r="X150" i="16"/>
  <c r="Z150" i="16"/>
  <c r="O150" i="16"/>
  <c r="F150" i="16"/>
  <c r="V150" i="16"/>
  <c r="K150" i="16"/>
  <c r="S150" i="16"/>
  <c r="AD150" i="16"/>
  <c r="Y150" i="16"/>
  <c r="M150" i="16"/>
  <c r="AB150" i="16"/>
  <c r="N150" i="16"/>
  <c r="AF150" i="16"/>
  <c r="L150" i="16"/>
  <c r="G150" i="16"/>
  <c r="AE150" i="16"/>
  <c r="J150" i="16"/>
  <c r="U150" i="16"/>
  <c r="AA150" i="16"/>
  <c r="P150" i="16"/>
  <c r="R150" i="16"/>
  <c r="D207" i="16" a="1"/>
  <c r="D207" i="16" s="1"/>
  <c r="D190" i="16"/>
  <c r="E193" i="16" a="1"/>
  <c r="E193" i="16" s="1"/>
  <c r="D59" i="40" l="1"/>
  <c r="C149" i="40"/>
  <c r="D236" i="16" a="1"/>
  <c r="D236" i="16" s="1"/>
  <c r="F228" i="48"/>
  <c r="F230" i="48" s="1"/>
  <c r="E235" i="48" a="1"/>
  <c r="E235" i="48" s="1"/>
  <c r="E238" i="48" s="1"/>
  <c r="D235" i="48" a="1"/>
  <c r="D235" i="48" s="1"/>
  <c r="D238" i="48" s="1"/>
  <c r="J58" i="40"/>
  <c r="F122" i="40" a="1"/>
  <c r="F122" i="40" s="1"/>
  <c r="E93" i="40"/>
  <c r="K58" i="40" s="1"/>
  <c r="E238" i="16" a="1"/>
  <c r="E238" i="16" s="1"/>
  <c r="F88" i="40" s="1" a="1"/>
  <c r="F277" i="48"/>
  <c r="G277" i="48"/>
  <c r="D277" i="48"/>
  <c r="E277" i="48"/>
  <c r="E202" i="16" a="1"/>
  <c r="E202" i="16" s="1"/>
  <c r="D235" i="16" a="1"/>
  <c r="D235" i="16" s="1"/>
  <c r="G227" i="48" l="1" a="1"/>
  <c r="G227" i="48" s="1"/>
  <c r="G230" i="48" s="1"/>
  <c r="E340" i="48" a="1"/>
  <c r="E340" i="48" s="1"/>
  <c r="F88" i="40"/>
  <c r="F96" i="40" s="1"/>
  <c r="AE96" i="40"/>
  <c r="AE98" i="40" s="1" a="1"/>
  <c r="AE98" i="40" s="1"/>
  <c r="AG96" i="40"/>
  <c r="AG98" i="40" s="1" a="1"/>
  <c r="AG98" i="40" s="1"/>
  <c r="S96" i="40"/>
  <c r="S98" i="40" s="1" a="1"/>
  <c r="S98" i="40" s="1"/>
  <c r="V96" i="40"/>
  <c r="V98" i="40" s="1" a="1"/>
  <c r="V98" i="40" s="1"/>
  <c r="P96" i="40"/>
  <c r="P98" i="40" s="1" a="1"/>
  <c r="P98" i="40" s="1"/>
  <c r="J96" i="40"/>
  <c r="J98" i="40" s="1" a="1"/>
  <c r="J98" i="40" s="1"/>
  <c r="L96" i="40"/>
  <c r="L98" i="40" s="1" a="1"/>
  <c r="L98" i="40" s="1"/>
  <c r="AC96" i="40"/>
  <c r="AC98" i="40" s="1" a="1"/>
  <c r="AC98" i="40" s="1"/>
  <c r="N96" i="40"/>
  <c r="N98" i="40" s="1" a="1"/>
  <c r="N98" i="40" s="1"/>
  <c r="H96" i="40"/>
  <c r="H98" i="40" s="1" a="1"/>
  <c r="H98" i="40" s="1"/>
  <c r="AB96" i="40"/>
  <c r="AB98" i="40" s="1" a="1"/>
  <c r="AB98" i="40" s="1"/>
  <c r="AA96" i="40"/>
  <c r="AA98" i="40" s="1" a="1"/>
  <c r="AA98" i="40" s="1"/>
  <c r="Q96" i="40"/>
  <c r="Q98" i="40" s="1" a="1"/>
  <c r="Q98" i="40" s="1"/>
  <c r="AD96" i="40"/>
  <c r="AD98" i="40" s="1" a="1"/>
  <c r="AD98" i="40" s="1"/>
  <c r="X96" i="40"/>
  <c r="X98" i="40" s="1" a="1"/>
  <c r="X98" i="40" s="1"/>
  <c r="R96" i="40"/>
  <c r="R98" i="40" s="1" a="1"/>
  <c r="R98" i="40" s="1"/>
  <c r="U96" i="40"/>
  <c r="U98" i="40" s="1" a="1"/>
  <c r="U98" i="40" s="1"/>
  <c r="G96" i="40"/>
  <c r="G98" i="40" s="1" a="1"/>
  <c r="G98" i="40" s="1"/>
  <c r="I96" i="40"/>
  <c r="I98" i="40" s="1" a="1"/>
  <c r="I98" i="40" s="1"/>
  <c r="T96" i="40"/>
  <c r="T98" i="40" s="1" a="1"/>
  <c r="T98" i="40" s="1"/>
  <c r="O96" i="40"/>
  <c r="O98" i="40" s="1" a="1"/>
  <c r="O98" i="40" s="1"/>
  <c r="M96" i="40"/>
  <c r="M98" i="40" s="1" a="1"/>
  <c r="M98" i="40" s="1"/>
  <c r="AF96" i="40"/>
  <c r="AF98" i="40" s="1" a="1"/>
  <c r="AF98" i="40" s="1"/>
  <c r="Z96" i="40"/>
  <c r="Z98" i="40" s="1" a="1"/>
  <c r="Z98" i="40" s="1"/>
  <c r="W96" i="40"/>
  <c r="W98" i="40" s="1" a="1"/>
  <c r="W98" i="40" s="1"/>
  <c r="Y96" i="40"/>
  <c r="Y98" i="40" s="1" a="1"/>
  <c r="Y98" i="40" s="1"/>
  <c r="K96" i="40"/>
  <c r="K98" i="40" s="1" a="1"/>
  <c r="K98" i="40" s="1"/>
  <c r="D202" i="16" a="1"/>
  <c r="D202" i="16" s="1"/>
  <c r="F75" i="40" a="1"/>
  <c r="D238" i="16" a="1"/>
  <c r="D238" i="16" s="1"/>
  <c r="F75" i="40" l="1"/>
  <c r="F83" i="40" s="1"/>
  <c r="AD83" i="40"/>
  <c r="AD85" i="40" s="1" a="1"/>
  <c r="AD85" i="40" s="1"/>
  <c r="G83" i="40"/>
  <c r="G85" i="40" s="1" a="1"/>
  <c r="G85" i="40" s="1"/>
  <c r="V83" i="40"/>
  <c r="V85" i="40" s="1" a="1"/>
  <c r="V85" i="40" s="1"/>
  <c r="J83" i="40"/>
  <c r="J85" i="40" s="1" a="1"/>
  <c r="J85" i="40" s="1"/>
  <c r="AB83" i="40"/>
  <c r="AB85" i="40" s="1" a="1"/>
  <c r="AB85" i="40" s="1"/>
  <c r="N83" i="40"/>
  <c r="N85" i="40" s="1" a="1"/>
  <c r="N85" i="40" s="1"/>
  <c r="P83" i="40"/>
  <c r="P85" i="40" s="1" a="1"/>
  <c r="P85" i="40" s="1"/>
  <c r="R83" i="40"/>
  <c r="R85" i="40" s="1" a="1"/>
  <c r="R85" i="40" s="1"/>
  <c r="X83" i="40"/>
  <c r="X85" i="40" s="1" a="1"/>
  <c r="X85" i="40" s="1"/>
  <c r="O83" i="40"/>
  <c r="O85" i="40" s="1" a="1"/>
  <c r="O85" i="40" s="1"/>
  <c r="T83" i="40"/>
  <c r="T85" i="40" s="1" a="1"/>
  <c r="T85" i="40" s="1"/>
  <c r="AF83" i="40"/>
  <c r="AF85" i="40" s="1" a="1"/>
  <c r="AF85" i="40" s="1"/>
  <c r="M83" i="40"/>
  <c r="M85" i="40" s="1" a="1"/>
  <c r="M85" i="40" s="1"/>
  <c r="S83" i="40"/>
  <c r="S85" i="40" s="1" a="1"/>
  <c r="S85" i="40" s="1"/>
  <c r="I83" i="40"/>
  <c r="I85" i="40" s="1" a="1"/>
  <c r="I85" i="40" s="1"/>
  <c r="W83" i="40"/>
  <c r="W85" i="40" s="1" a="1"/>
  <c r="W85" i="40" s="1"/>
  <c r="AG83" i="40"/>
  <c r="AG85" i="40" s="1" a="1"/>
  <c r="AG85" i="40" s="1"/>
  <c r="H83" i="40"/>
  <c r="H85" i="40" s="1" a="1"/>
  <c r="H85" i="40" s="1"/>
  <c r="U83" i="40"/>
  <c r="U85" i="40" s="1" a="1"/>
  <c r="U85" i="40" s="1"/>
  <c r="Y83" i="40"/>
  <c r="Y85" i="40" s="1" a="1"/>
  <c r="Y85" i="40" s="1"/>
  <c r="AA83" i="40"/>
  <c r="AA85" i="40" s="1" a="1"/>
  <c r="AA85" i="40" s="1"/>
  <c r="Q83" i="40"/>
  <c r="Q85" i="40" s="1" a="1"/>
  <c r="Q85" i="40" s="1"/>
  <c r="L83" i="40"/>
  <c r="L85" i="40" s="1" a="1"/>
  <c r="L85" i="40" s="1"/>
  <c r="Z83" i="40"/>
  <c r="Z85" i="40" s="1" a="1"/>
  <c r="Z85" i="40" s="1"/>
  <c r="AC83" i="40"/>
  <c r="AC85" i="40" s="1" a="1"/>
  <c r="AC85" i="40" s="1"/>
  <c r="K83" i="40"/>
  <c r="K85" i="40" s="1" a="1"/>
  <c r="K85" i="40" s="1"/>
  <c r="AE83" i="40"/>
  <c r="AE85" i="40" s="1" a="1"/>
  <c r="AE85" i="40" s="1"/>
  <c r="E96" i="40"/>
  <c r="K61" i="40" s="1"/>
  <c r="F348" i="48" s="1"/>
  <c r="F104" i="40" l="1" a="1"/>
  <c r="F104" i="40" s="1"/>
  <c r="F112" i="40" s="1"/>
  <c r="F139" i="40" s="1" a="1"/>
  <c r="F139" i="40" s="1"/>
  <c r="E75" i="40"/>
  <c r="J56" i="40" s="1"/>
  <c r="E83" i="40"/>
  <c r="J61" i="40" s="1"/>
  <c r="D348" i="48" s="1"/>
  <c r="F85" i="40" a="1"/>
  <c r="F85" i="40" s="1"/>
  <c r="B11" i="18"/>
  <c r="V112" i="40" l="1"/>
  <c r="P112" i="40"/>
  <c r="R112" i="40"/>
  <c r="AD112" i="40"/>
  <c r="M112" i="40"/>
  <c r="N112" i="40"/>
  <c r="AB112" i="40"/>
  <c r="J112" i="40"/>
  <c r="T112" i="40"/>
  <c r="AE112" i="40"/>
  <c r="X112" i="40"/>
  <c r="L112" i="40"/>
  <c r="Y112" i="40"/>
  <c r="Z112" i="40"/>
  <c r="AF112" i="40"/>
  <c r="AG112" i="40"/>
  <c r="W112" i="40"/>
  <c r="H112" i="40"/>
  <c r="AA112" i="40"/>
  <c r="Q112" i="40"/>
  <c r="O112" i="40"/>
  <c r="AC112" i="40"/>
  <c r="S112" i="40"/>
  <c r="I112" i="40"/>
  <c r="G112" i="40"/>
  <c r="U112" i="40"/>
  <c r="K112" i="40"/>
  <c r="E85" i="40"/>
  <c r="J63" i="40" s="1"/>
  <c r="D350" i="48" s="1"/>
  <c r="J67" i="40"/>
  <c r="D354" i="48" s="1"/>
  <c r="F114" i="40"/>
  <c r="F86" i="40"/>
  <c r="T114" i="40" l="1"/>
  <c r="T139" i="40" a="1"/>
  <c r="T139" i="40" s="1"/>
  <c r="V114" i="40"/>
  <c r="V139" i="40" a="1"/>
  <c r="V139" i="40" s="1"/>
  <c r="I114" i="40"/>
  <c r="I139" i="40" a="1"/>
  <c r="I139" i="40" s="1"/>
  <c r="AG114" i="40"/>
  <c r="AG139" i="40" a="1"/>
  <c r="AG139" i="40" s="1"/>
  <c r="J114" i="40"/>
  <c r="J139" i="40" a="1"/>
  <c r="J139" i="40" s="1"/>
  <c r="O114" i="40"/>
  <c r="O139" i="40" a="1"/>
  <c r="O139" i="40" s="1"/>
  <c r="Y114" i="40"/>
  <c r="Y139" i="40" a="1"/>
  <c r="Y139" i="40" s="1"/>
  <c r="M114" i="40"/>
  <c r="M139" i="40" a="1"/>
  <c r="M139" i="40" s="1"/>
  <c r="G114" i="40"/>
  <c r="E114" i="40" s="1"/>
  <c r="D63" i="40" s="1"/>
  <c r="E350" i="48" s="1"/>
  <c r="E358" i="48" s="1"/>
  <c r="G139" i="40" a="1"/>
  <c r="G139" i="40" s="1"/>
  <c r="AF114" i="40"/>
  <c r="AF139" i="40" a="1"/>
  <c r="AF139" i="40" s="1"/>
  <c r="L114" i="40"/>
  <c r="L139" i="40" a="1"/>
  <c r="L139" i="40" s="1"/>
  <c r="AD114" i="40"/>
  <c r="AD139" i="40" a="1"/>
  <c r="AD139" i="40" s="1"/>
  <c r="W114" i="40"/>
  <c r="W139" i="40" a="1"/>
  <c r="W139" i="40" s="1"/>
  <c r="S114" i="40"/>
  <c r="S139" i="40" a="1"/>
  <c r="S139" i="40" s="1"/>
  <c r="AB114" i="40"/>
  <c r="AB139" i="40" a="1"/>
  <c r="AB139" i="40" s="1"/>
  <c r="AC114" i="40"/>
  <c r="AC139" i="40" a="1"/>
  <c r="AC139" i="40" s="1"/>
  <c r="Z114" i="40"/>
  <c r="Z139" i="40" a="1"/>
  <c r="Z139" i="40" s="1"/>
  <c r="N114" i="40"/>
  <c r="N139" i="40" a="1"/>
  <c r="N139" i="40" s="1"/>
  <c r="Q114" i="40"/>
  <c r="Q139" i="40" a="1"/>
  <c r="Q139" i="40" s="1"/>
  <c r="K114" i="40"/>
  <c r="K139" i="40" a="1"/>
  <c r="K139" i="40" s="1"/>
  <c r="AA114" i="40"/>
  <c r="AA139" i="40" a="1"/>
  <c r="AA139" i="40" s="1"/>
  <c r="X114" i="40"/>
  <c r="X139" i="40" a="1"/>
  <c r="X139" i="40" s="1"/>
  <c r="R114" i="40"/>
  <c r="R139" i="40" a="1"/>
  <c r="R139" i="40" s="1"/>
  <c r="U114" i="40"/>
  <c r="U139" i="40" a="1"/>
  <c r="U139" i="40" s="1"/>
  <c r="H114" i="40"/>
  <c r="H139" i="40" a="1"/>
  <c r="H139" i="40" s="1"/>
  <c r="AE114" i="40"/>
  <c r="AE139" i="40" a="1"/>
  <c r="AE139" i="40" s="1"/>
  <c r="P114" i="40"/>
  <c r="P139" i="40" a="1"/>
  <c r="P139" i="40" s="1"/>
  <c r="E112" i="40"/>
  <c r="D61" i="40" s="1"/>
  <c r="E348" i="48" s="1"/>
  <c r="P67" i="40"/>
  <c r="G86" i="40"/>
  <c r="H86" i="40" s="1"/>
  <c r="E108" i="40"/>
  <c r="E121" i="40"/>
  <c r="E123" i="40"/>
  <c r="E118" i="40"/>
  <c r="F124" i="40" a="1"/>
  <c r="F124" i="40" s="1"/>
  <c r="E124" i="40" s="1"/>
  <c r="E122" i="40"/>
  <c r="Q62" i="40"/>
  <c r="E57" i="40" l="1"/>
  <c r="C164" i="40"/>
  <c r="E59" i="40"/>
  <c r="Q59" i="40" s="1"/>
  <c r="C166" i="40"/>
  <c r="C165" i="40"/>
  <c r="E60" i="40"/>
  <c r="Q60" i="40" s="1"/>
  <c r="C167" i="40"/>
  <c r="F360" i="48"/>
  <c r="F359" i="48"/>
  <c r="F361" i="48"/>
  <c r="F367" i="48"/>
  <c r="F362" i="48"/>
  <c r="F363" i="48"/>
  <c r="F364" i="48"/>
  <c r="F365" i="48"/>
  <c r="F366" i="48"/>
  <c r="E58" i="40"/>
  <c r="Q58" i="40" s="1"/>
  <c r="I86" i="40"/>
  <c r="J86" i="40" s="1"/>
  <c r="K86" i="40" s="1"/>
  <c r="L86" i="40" s="1"/>
  <c r="M86" i="40" s="1"/>
  <c r="N86" i="40" s="1"/>
  <c r="O86" i="40" s="1"/>
  <c r="P86" i="40" s="1"/>
  <c r="Q86" i="40" s="1"/>
  <c r="R86" i="40" s="1"/>
  <c r="S86" i="40" s="1"/>
  <c r="T86" i="40" s="1"/>
  <c r="U86" i="40" s="1"/>
  <c r="V86" i="40" s="1"/>
  <c r="W86" i="40" s="1"/>
  <c r="X86" i="40" s="1"/>
  <c r="Y86" i="40" s="1"/>
  <c r="Z86" i="40" s="1"/>
  <c r="AA86" i="40" s="1"/>
  <c r="AB86" i="40" s="1"/>
  <c r="AC86" i="40" s="1"/>
  <c r="AD86" i="40" s="1"/>
  <c r="AE86" i="40" s="1"/>
  <c r="AF86" i="40" s="1"/>
  <c r="AG86" i="40" s="1"/>
  <c r="K65" i="40" s="1" a="1"/>
  <c r="K65" i="40" s="1"/>
  <c r="F352" i="48" s="1"/>
  <c r="E111" i="40"/>
  <c r="C150" i="40" s="1"/>
  <c r="G333" i="48"/>
  <c r="J65" i="40" l="1" a="1"/>
  <c r="J65" i="40" s="1"/>
  <c r="D352" i="48" s="1"/>
  <c r="P59" i="40"/>
  <c r="D60" i="40"/>
  <c r="P60" i="40" s="1"/>
  <c r="E109" i="40"/>
  <c r="C148" i="40" s="1"/>
  <c r="E113" i="40"/>
  <c r="D58" i="40" l="1"/>
  <c r="P58" i="40" s="1"/>
  <c r="D62" i="40"/>
  <c r="E349" i="48" s="1"/>
  <c r="P62" i="40" l="1"/>
  <c r="D64" i="40"/>
  <c r="E351" i="48" s="1"/>
  <c r="G358" i="48" s="1"/>
  <c r="D197" i="16" a="1"/>
  <c r="D197" i="16" s="1"/>
  <c r="E88" i="40" l="1"/>
  <c r="K56" i="40" s="1"/>
  <c r="F117" i="40" a="1"/>
  <c r="E117" i="16" a="1"/>
  <c r="E117" i="16" s="1"/>
  <c r="E46" i="16" a="1"/>
  <c r="E46" i="16" s="1"/>
  <c r="E189" i="16" a="1"/>
  <c r="E189" i="16" s="1"/>
  <c r="F117" i="40" l="1"/>
  <c r="F125" i="40" s="1"/>
  <c r="F156" i="40" s="1"/>
  <c r="M125" i="40"/>
  <c r="U125" i="40"/>
  <c r="AC125" i="40"/>
  <c r="N125" i="40"/>
  <c r="V125" i="40"/>
  <c r="AD125" i="40"/>
  <c r="G125" i="40"/>
  <c r="O125" i="40"/>
  <c r="W125" i="40"/>
  <c r="AE125" i="40"/>
  <c r="H125" i="40"/>
  <c r="P125" i="40"/>
  <c r="X125" i="40"/>
  <c r="AF125" i="40"/>
  <c r="L125" i="40"/>
  <c r="AB125" i="40"/>
  <c r="I125" i="40"/>
  <c r="Q125" i="40"/>
  <c r="Y125" i="40"/>
  <c r="AG125" i="40"/>
  <c r="T125" i="40"/>
  <c r="J125" i="40"/>
  <c r="R125" i="40"/>
  <c r="Z125" i="40"/>
  <c r="K125" i="40"/>
  <c r="S125" i="40"/>
  <c r="AA125" i="40"/>
  <c r="D208" i="16" a="1"/>
  <c r="D208" i="16" s="1"/>
  <c r="E227" i="48" s="1" a="1"/>
  <c r="E227" i="48" s="1"/>
  <c r="E230" i="48" s="1"/>
  <c r="F98" i="40" a="1"/>
  <c r="F98" i="40" s="1"/>
  <c r="E104" i="40"/>
  <c r="D193" i="16"/>
  <c r="Z127" i="40" l="1"/>
  <c r="Z156" i="40"/>
  <c r="O127" i="40"/>
  <c r="O156" i="40"/>
  <c r="D56" i="40"/>
  <c r="C146" i="40"/>
  <c r="E146" i="40" s="1" a="1"/>
  <c r="E146" i="40" s="1"/>
  <c r="AF127" i="40"/>
  <c r="AF156" i="40"/>
  <c r="AD127" i="40"/>
  <c r="AD156" i="40"/>
  <c r="L127" i="40"/>
  <c r="L156" i="40"/>
  <c r="G127" i="40"/>
  <c r="G156" i="40"/>
  <c r="J127" i="40"/>
  <c r="J156" i="40"/>
  <c r="V127" i="40"/>
  <c r="V156" i="40"/>
  <c r="P127" i="40"/>
  <c r="P156" i="40"/>
  <c r="Y127" i="40"/>
  <c r="Y156" i="40"/>
  <c r="H127" i="40"/>
  <c r="Q67" i="40" s="1"/>
  <c r="H156" i="40"/>
  <c r="AC127" i="40"/>
  <c r="AC156" i="40"/>
  <c r="R127" i="40"/>
  <c r="R156" i="40"/>
  <c r="AB127" i="40"/>
  <c r="AB156" i="40"/>
  <c r="T127" i="40"/>
  <c r="T156" i="40"/>
  <c r="X127" i="40"/>
  <c r="X156" i="40"/>
  <c r="AG127" i="40"/>
  <c r="AG156" i="40"/>
  <c r="N127" i="40"/>
  <c r="N156" i="40"/>
  <c r="AA127" i="40"/>
  <c r="AA156" i="40"/>
  <c r="S127" i="40"/>
  <c r="S156" i="40"/>
  <c r="Q127" i="40"/>
  <c r="Q156" i="40"/>
  <c r="AE127" i="40"/>
  <c r="AE156" i="40"/>
  <c r="U127" i="40"/>
  <c r="U156" i="40"/>
  <c r="K127" i="40"/>
  <c r="K156" i="40"/>
  <c r="I127" i="40"/>
  <c r="I156" i="40"/>
  <c r="W127" i="40"/>
  <c r="W156" i="40"/>
  <c r="M127" i="40"/>
  <c r="M156" i="40"/>
  <c r="E117" i="40"/>
  <c r="E98" i="40"/>
  <c r="K63" i="40" s="1"/>
  <c r="K67" i="40"/>
  <c r="F354" i="48" s="1"/>
  <c r="F127" i="40"/>
  <c r="E125" i="40"/>
  <c r="D209" i="16" a="1"/>
  <c r="D209" i="16" s="1"/>
  <c r="P56" i="40"/>
  <c r="F99" i="40"/>
  <c r="G99" i="40" s="1"/>
  <c r="H99" i="40" s="1"/>
  <c r="I99" i="40" s="1"/>
  <c r="J99" i="40" s="1"/>
  <c r="K99" i="40" s="1"/>
  <c r="L99" i="40" s="1"/>
  <c r="M99" i="40" s="1"/>
  <c r="N99" i="40" s="1"/>
  <c r="O99" i="40" s="1"/>
  <c r="P99" i="40" s="1"/>
  <c r="Q99" i="40" s="1"/>
  <c r="R99" i="40" s="1"/>
  <c r="S99" i="40" s="1"/>
  <c r="T99" i="40" s="1"/>
  <c r="U99" i="40" s="1"/>
  <c r="V99" i="40" s="1"/>
  <c r="W99" i="40" s="1"/>
  <c r="X99" i="40" s="1"/>
  <c r="Y99" i="40" s="1"/>
  <c r="Z99" i="40" s="1"/>
  <c r="AA99" i="40" s="1"/>
  <c r="AB99" i="40" s="1"/>
  <c r="AC99" i="40" s="1"/>
  <c r="AD99" i="40" s="1"/>
  <c r="AE99" i="40" s="1"/>
  <c r="AF99" i="40" s="1"/>
  <c r="AG99" i="40" s="1"/>
  <c r="J66" i="40"/>
  <c r="D353" i="48" s="1"/>
  <c r="E56" i="40" l="1"/>
  <c r="Q56" i="40" s="1"/>
  <c r="C163" i="40"/>
  <c r="E163" i="40" s="1" a="1"/>
  <c r="E163" i="40" s="1"/>
  <c r="K66" i="40"/>
  <c r="F353" i="48" s="1"/>
  <c r="F350" i="48"/>
  <c r="P61" i="40"/>
  <c r="P64" i="40" s="1"/>
  <c r="E61" i="40"/>
  <c r="E127" i="40"/>
  <c r="E63" i="40" s="1"/>
  <c r="L7" i="40"/>
  <c r="E339" i="48" a="1"/>
  <c r="Q57" i="40"/>
  <c r="F128" i="40"/>
  <c r="G128" i="40" s="1"/>
  <c r="H128" i="40" s="1"/>
  <c r="I128" i="40" s="1"/>
  <c r="J128" i="40" s="1"/>
  <c r="K128" i="40" s="1"/>
  <c r="L128" i="40" s="1"/>
  <c r="M128" i="40" s="1"/>
  <c r="N128" i="40" s="1"/>
  <c r="O128" i="40" s="1"/>
  <c r="P128" i="40" s="1"/>
  <c r="Q128" i="40" s="1"/>
  <c r="R128" i="40" s="1"/>
  <c r="S128" i="40" s="1"/>
  <c r="T128" i="40" s="1"/>
  <c r="U128" i="40" s="1"/>
  <c r="V128" i="40" s="1"/>
  <c r="W128" i="40" s="1"/>
  <c r="X128" i="40" s="1"/>
  <c r="Y128" i="40" s="1"/>
  <c r="Z128" i="40" s="1"/>
  <c r="AA128" i="40" s="1"/>
  <c r="AB128" i="40" s="1"/>
  <c r="AC128" i="40" s="1"/>
  <c r="AD128" i="40" s="1"/>
  <c r="AE128" i="40" s="1"/>
  <c r="AF128" i="40" s="1"/>
  <c r="AG128" i="40" s="1"/>
  <c r="J64" i="40"/>
  <c r="D351" i="48" s="1"/>
  <c r="E66" i="40" l="1"/>
  <c r="G353" i="48" s="1"/>
  <c r="G350" i="48"/>
  <c r="E371" i="48" s="1"/>
  <c r="E64" i="40"/>
  <c r="G351" i="48" s="1"/>
  <c r="G371" i="48" s="1"/>
  <c r="G348" i="48"/>
  <c r="E339" i="48"/>
  <c r="G344" i="48"/>
  <c r="H344" i="48"/>
  <c r="J9" i="40"/>
  <c r="P63" i="40"/>
  <c r="D66" i="40"/>
  <c r="Q61" i="40"/>
  <c r="Q64" i="40" s="1"/>
  <c r="M9" i="40"/>
  <c r="G9" i="40"/>
  <c r="K64" i="40"/>
  <c r="F351" i="48" s="1"/>
  <c r="D57" i="40"/>
  <c r="P57" i="40" s="1"/>
  <c r="Q66" i="40" l="1"/>
  <c r="F380" i="48"/>
  <c r="F373" i="48"/>
  <c r="F374" i="48"/>
  <c r="F372" i="48"/>
  <c r="F375" i="48"/>
  <c r="F376" i="48"/>
  <c r="F377" i="48"/>
  <c r="F379" i="48"/>
  <c r="F378" i="48"/>
  <c r="P66" i="40"/>
  <c r="E353" i="48"/>
  <c r="M10" i="40"/>
  <c r="G10" i="40"/>
  <c r="J10" i="40" l="1"/>
  <c r="Q63" i="40"/>
  <c r="F115" i="40"/>
  <c r="G115" i="40" l="1"/>
  <c r="H115" i="40" s="1"/>
  <c r="I115" i="40" s="1"/>
  <c r="J115" i="40" s="1"/>
  <c r="K115" i="40" s="1"/>
  <c r="L115" i="40" s="1"/>
  <c r="M115" i="40" s="1"/>
  <c r="N115" i="40" s="1"/>
  <c r="O115" i="40" s="1"/>
  <c r="P115" i="40" s="1"/>
  <c r="Q115" i="40" s="1"/>
  <c r="R115" i="40" s="1"/>
  <c r="S115" i="40" s="1"/>
  <c r="T115" i="40" s="1"/>
  <c r="U115" i="40" s="1"/>
  <c r="V115" i="40" s="1"/>
  <c r="W115" i="40" s="1"/>
  <c r="X115" i="40" s="1"/>
  <c r="Y115" i="40" s="1"/>
  <c r="Z115" i="40" s="1"/>
  <c r="AA115" i="40" s="1"/>
  <c r="AB115" i="40" s="1"/>
  <c r="AC115" i="40" s="1"/>
  <c r="AD115" i="40" s="1"/>
  <c r="AE115" i="40" s="1"/>
  <c r="AF115" i="40" s="1"/>
  <c r="AG115" i="40" s="1"/>
  <c r="D65" i="40" l="1" a="1"/>
  <c r="D65" i="40" s="1"/>
  <c r="E352" i="48" s="1"/>
  <c r="E65" i="40" a="1"/>
  <c r="E65" i="40" s="1"/>
  <c r="G352" i="48" s="1"/>
  <c r="O7" i="40"/>
  <c r="E333" i="48" l="1"/>
  <c r="F344" i="48"/>
  <c r="E344" i="48"/>
  <c r="D333" i="4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tc={6A041048-87F6-4343-BC36-15F40F3A9963}</author>
  </authors>
  <commentList>
    <comment ref="E8" authorId="0" shapeId="0" xr:uid="{6A041048-87F6-4343-BC36-15F40F3A9963}">
      <text>
        <t>[Threaded comment]
Your version of Excel allows you to read this threaded comment; however, any edits to it will get removed if the file is opened in a newer version of Excel. Learn more: https://go.microsoft.com/fwlink/?linkid=870924
Comment:
    @Cody Hawkins @Karla Diaz-Corro - need to confirm these years (and all data here) accurate- greatly impacts calculation sheets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tc={BDE2E946-7340-4912-8BA7-9B1F5045837D}</author>
  </authors>
  <commentList>
    <comment ref="B26" authorId="0" shapeId="0" xr:uid="{BDE2E946-7340-4912-8BA7-9B1F5045837D}">
      <text>
        <t>[Threaded comment]
Your version of Excel allows you to read this threaded comment; however, any edits to it will get removed if the file is opened in a newer version of Excel. Learn more: https://go.microsoft.com/fwlink/?linkid=870924
Comment:
    Need to make this ours.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<sst xmlns="http://schemas.openxmlformats.org/spreadsheetml/2006/main" count="9290" uniqueCount="741">
  <si>
    <t>Inputs</t>
  </si>
  <si>
    <t>Variable</t>
  </si>
  <si>
    <t>Units</t>
  </si>
  <si>
    <t>Value</t>
  </si>
  <si>
    <t>Source/Comment</t>
  </si>
  <si>
    <t>Base Year</t>
  </si>
  <si>
    <t>year</t>
  </si>
  <si>
    <t>Schedule</t>
  </si>
  <si>
    <t>Vehicle Volume</t>
  </si>
  <si>
    <t>No-Build</t>
  </si>
  <si>
    <t>Year</t>
  </si>
  <si>
    <t>persons/vehicle</t>
  </si>
  <si>
    <t>percentage</t>
  </si>
  <si>
    <t>Travel Time</t>
  </si>
  <si>
    <t>Category</t>
  </si>
  <si>
    <t>Improved Safety</t>
  </si>
  <si>
    <t>Travel Time Savings</t>
  </si>
  <si>
    <t>Residual Value of Assets</t>
  </si>
  <si>
    <t>Segment</t>
  </si>
  <si>
    <t>Trucks</t>
  </si>
  <si>
    <t>Automobiles</t>
  </si>
  <si>
    <t>Conversions</t>
  </si>
  <si>
    <t>days/year</t>
  </si>
  <si>
    <t>All</t>
  </si>
  <si>
    <t>Vehicle Type</t>
  </si>
  <si>
    <t>Total</t>
  </si>
  <si>
    <t>Person-Hours Saved</t>
  </si>
  <si>
    <t>Scenario</t>
  </si>
  <si>
    <t>Discount Factor</t>
  </si>
  <si>
    <t>Discount Factors by Year</t>
  </si>
  <si>
    <t>PDO</t>
  </si>
  <si>
    <t>Other Inputs</t>
  </si>
  <si>
    <t>Fatality</t>
  </si>
  <si>
    <t>Injury</t>
  </si>
  <si>
    <t>Value of a Statistical Life</t>
  </si>
  <si>
    <t>Cost of Injury</t>
  </si>
  <si>
    <t>Cost of PDO</t>
  </si>
  <si>
    <t>Type</t>
  </si>
  <si>
    <t>Comparison</t>
  </si>
  <si>
    <t>Emissions</t>
  </si>
  <si>
    <t>CO2</t>
  </si>
  <si>
    <t>PM2.5</t>
  </si>
  <si>
    <t>Emission Type</t>
  </si>
  <si>
    <t>NOx</t>
  </si>
  <si>
    <t>Metric Tons to Grams</t>
  </si>
  <si>
    <t>metric tons/gram</t>
  </si>
  <si>
    <t>Emission Costs</t>
  </si>
  <si>
    <t>Vehicle</t>
  </si>
  <si>
    <t>Summary</t>
  </si>
  <si>
    <t>Benefits</t>
  </si>
  <si>
    <t>Discount Factor, CO2</t>
  </si>
  <si>
    <t>CO2 Discount Factors by Year</t>
  </si>
  <si>
    <t>Total Benefits</t>
  </si>
  <si>
    <t>Capital Costs</t>
  </si>
  <si>
    <t>Net Impacts</t>
  </si>
  <si>
    <t>Cumulative Net Impacts</t>
  </si>
  <si>
    <t>Results by Year</t>
  </si>
  <si>
    <t>Overall Results</t>
  </si>
  <si>
    <t>Return on Investment</t>
  </si>
  <si>
    <t>Internal Rate of Return</t>
  </si>
  <si>
    <t>Payback Period (years)</t>
  </si>
  <si>
    <t>Location</t>
  </si>
  <si>
    <t>Constant</t>
  </si>
  <si>
    <t>Assumed</t>
  </si>
  <si>
    <t>Volume</t>
  </si>
  <si>
    <t>vehicles/day</t>
  </si>
  <si>
    <t>Annualization Factor</t>
  </si>
  <si>
    <t>Source: Emission Costs</t>
  </si>
  <si>
    <t>Back to Emissions Tab</t>
  </si>
  <si>
    <t>Estimated using AADT growth rate</t>
  </si>
  <si>
    <t>Back to Safety Tab</t>
  </si>
  <si>
    <t>Key Inputs</t>
  </si>
  <si>
    <t>Discount Rate</t>
  </si>
  <si>
    <t>CO2 Discount Rate</t>
  </si>
  <si>
    <t>Safety</t>
  </si>
  <si>
    <t>Discounting</t>
  </si>
  <si>
    <t>Discount Factors</t>
  </si>
  <si>
    <t>Feet to Miles</t>
  </si>
  <si>
    <t>feet/mile</t>
  </si>
  <si>
    <t>years</t>
  </si>
  <si>
    <t>Construction Duration</t>
  </si>
  <si>
    <t>Residual Value</t>
  </si>
  <si>
    <t>Study Duration</t>
  </si>
  <si>
    <t>Years of Full Benefits</t>
  </si>
  <si>
    <t>Construction End</t>
  </si>
  <si>
    <t>Average</t>
  </si>
  <si>
    <t>factor</t>
  </si>
  <si>
    <t xml:space="preserve"> </t>
  </si>
  <si>
    <t>Cost Type</t>
  </si>
  <si>
    <t>Total Costs</t>
  </si>
  <si>
    <t>Benefit-Cost Ratio</t>
  </si>
  <si>
    <t>Discounted Benefit-Cost Ratio</t>
  </si>
  <si>
    <t>Discounted Total Benefits</t>
  </si>
  <si>
    <t>Discounted Total Costs</t>
  </si>
  <si>
    <t>Net Impact</t>
  </si>
  <si>
    <t>Discounted Net Impact</t>
  </si>
  <si>
    <t>Results at a Glance</t>
  </si>
  <si>
    <t>Benefit</t>
  </si>
  <si>
    <t>Project Schedule</t>
  </si>
  <si>
    <t>Amount</t>
  </si>
  <si>
    <t>Unsorted</t>
  </si>
  <si>
    <t>Sorted</t>
  </si>
  <si>
    <t>Project Costs</t>
  </si>
  <si>
    <t>Outputs</t>
  </si>
  <si>
    <t>Source</t>
  </si>
  <si>
    <t>vehicles/year</t>
  </si>
  <si>
    <t>Roadway Maintenance Cost Assumptions</t>
  </si>
  <si>
    <t>Benefit Category</t>
  </si>
  <si>
    <t>Assumption</t>
  </si>
  <si>
    <t>Merit Criteria</t>
  </si>
  <si>
    <t>Description</t>
  </si>
  <si>
    <t>Monetized</t>
  </si>
  <si>
    <t>Qualitative</t>
  </si>
  <si>
    <t>Economic Competitiveness</t>
  </si>
  <si>
    <t>-</t>
  </si>
  <si>
    <t>Yes</t>
  </si>
  <si>
    <t>Environmental Sustainability</t>
  </si>
  <si>
    <t>State of Good Repair</t>
  </si>
  <si>
    <t>Residual value of capital assets.</t>
  </si>
  <si>
    <t>Gross domestic product</t>
  </si>
  <si>
    <t>Over the Study Period</t>
  </si>
  <si>
    <t>Evaluation Metrics</t>
  </si>
  <si>
    <t>Return on Investment (ROI)</t>
  </si>
  <si>
    <t>Benefit-Cost Ratio (BCR)</t>
  </si>
  <si>
    <t>Internal Rate of Return (IRR)</t>
  </si>
  <si>
    <t>Construction Start</t>
  </si>
  <si>
    <t>No Build</t>
  </si>
  <si>
    <t>mph</t>
  </si>
  <si>
    <t>%</t>
  </si>
  <si>
    <t>hours</t>
  </si>
  <si>
    <t>person-hours</t>
  </si>
  <si>
    <t>Travel Time Costs</t>
  </si>
  <si>
    <t>Avoided Time Costs</t>
  </si>
  <si>
    <t>NPV</t>
  </si>
  <si>
    <t>Person-Hours of Travel Time × Value of Time</t>
  </si>
  <si>
    <t>DEMAND FOR TRAVEL IN PEAK PERIOD</t>
  </si>
  <si>
    <t>(percent of total daily travel)</t>
  </si>
  <si>
    <t>Number of</t>
  </si>
  <si>
    <t>Urban</t>
  </si>
  <si>
    <t>Hours in</t>
  </si>
  <si>
    <t>So. California</t>
  </si>
  <si>
    <t>No. California</t>
  </si>
  <si>
    <t>Rural</t>
  </si>
  <si>
    <t>Peak Period</t>
  </si>
  <si>
    <t>Fwy/Exp</t>
  </si>
  <si>
    <t>Other</t>
  </si>
  <si>
    <t>Source: California Department of Transportation, 2010-2012 California Household Travel</t>
  </si>
  <si>
    <t>Survey, Final Report Appendix, June 2013</t>
  </si>
  <si>
    <t>Percent of Daily Travel during Peak Hours</t>
  </si>
  <si>
    <t>Estimating Speed</t>
  </si>
  <si>
    <t>Formula Used</t>
  </si>
  <si>
    <t xml:space="preserve">Source: Dowling et al. (1997). </t>
  </si>
  <si>
    <t>Page 77, equation 8-1 of https://onlinepubs.trb.org/Onlinepubs/nchrp/nchrp_rpt_387.pdf</t>
  </si>
  <si>
    <t>Peak Period Hours – AM</t>
  </si>
  <si>
    <t>Peak Period Hours – PM</t>
  </si>
  <si>
    <t>Volume determined by percent of total daily travel during peak period, retrieved from Cal-B/C table:</t>
  </si>
  <si>
    <t>vehicle-hours</t>
  </si>
  <si>
    <t>Note that values are retrieved from the first column since all columns are equal.</t>
  </si>
  <si>
    <t>Vehicle-Hours of Travel Time × Vehicle Occupancy</t>
  </si>
  <si>
    <t>Mileage</t>
  </si>
  <si>
    <t>Construction</t>
  </si>
  <si>
    <t>E&amp;C</t>
  </si>
  <si>
    <t>Design</t>
  </si>
  <si>
    <t>Right of Way</t>
  </si>
  <si>
    <t>Utilities</t>
  </si>
  <si>
    <t>Previously Incurred</t>
  </si>
  <si>
    <t>Project Cost Data</t>
  </si>
  <si>
    <t>Cost Distribution by Year</t>
  </si>
  <si>
    <t>Anticipated Costs</t>
  </si>
  <si>
    <t>Total Anticipated Costs</t>
  </si>
  <si>
    <t>Total Previously Incurred Costs</t>
  </si>
  <si>
    <t>General</t>
  </si>
  <si>
    <t>Value of Travel Time Savings – Automobiles</t>
  </si>
  <si>
    <t>Value of Travel Time Savings – Trucks</t>
  </si>
  <si>
    <t>Vehicle Occupancy – Trucks</t>
  </si>
  <si>
    <t>Vehicle Occupancy – Automobiles</t>
  </si>
  <si>
    <t>Length* (miles)</t>
  </si>
  <si>
    <t>California DOT, Cal-B/C v8.1 Table: Demand for Travel during Peak Period. (2021)</t>
  </si>
  <si>
    <t>Vehicle Type Distribution</t>
  </si>
  <si>
    <t>VTTS – Automobiles</t>
  </si>
  <si>
    <t>VTTS – Trucks</t>
  </si>
  <si>
    <t>Grand Total</t>
  </si>
  <si>
    <t>Discount Rates</t>
  </si>
  <si>
    <t>Technical Support Document: Estimating the Benefit per Ton of Reducing PM2.5 Precursors from 17 Sectors (February 2018)”
https://www.epa.gov/sites/default/files/2018-02/documents/sourceapportionmentbpttsd_2018.pdf
NOX, SOX, and PM2.5 values are inflated from 2015 to 2020 dollars using the GDP deflator.
Social Cost of Carbon, Methane, and Nitrous Oxide Interim Estimates under Executive Order 13990 (February 2021)
https://www.whitehouse.gov/wp-content/uploads/2021/02/TechnicalSupportDocument_SocialCostofCarbonMethaneNitrousOxide.pdf
Note: Fuel saved (gasoline, diesel, natural gas, etc.) can be converted into metric tons of emissions using EPA guidelines available at https://www.epa.gov/energy/greenhouse-gases-equivalencies-calculator-calculations-and-references
Note: The recommended values for reducing CO2 emissions reported in Table A-6 represent the values of future economic damages that can be avoided by reducing emissions in each future year by one metric ton. After using per-ton values to estimate the total value of reducing CO2 emissions in any future year, the result must be further discounted to its present value as of the analysis year used in the BCA, also using a 3 percent discount rate.
*Applicants should carefully note whether their emissions data is reported in short tons or metric tons. A metric ton is equal to 1.1015 short tons.
**Applicants should be careful to not apply the PM2.5 value to estimates of total emissions of PM10.</t>
  </si>
  <si>
    <t>Table A-6: Damage Costs for Emissions per Metric Ton</t>
  </si>
  <si>
    <t>Severity</t>
  </si>
  <si>
    <t>by Vehicle Type</t>
  </si>
  <si>
    <t>Proxy Speed for Idling</t>
  </si>
  <si>
    <t>Calculated</t>
  </si>
  <si>
    <t xml:space="preserve">[Index numbers, 2012=100] Seasonally adjusted </t>
  </si>
  <si>
    <t>Bureau of Economic Analysis, National Income and Product Accounts, Table 1.1.9, “Implicit Price Deflators for Gross Domestic Product” (Accessed May 10, 2022).
Adjustment factor based on 2022 Q1 relative to 2020.</t>
  </si>
  <si>
    <t>Adjustment Factors</t>
  </si>
  <si>
    <t>Implicit Price Deflators for GDP</t>
  </si>
  <si>
    <t>Source: Bureau of Economic Analysis, Table 1.1.9. Implicit Price Deflators for Gross Domestic Product.</t>
  </si>
  <si>
    <t>Price Deflators</t>
  </si>
  <si>
    <t>O&amp;M</t>
  </si>
  <si>
    <t>Eng. &amp; Construction Management</t>
  </si>
  <si>
    <t>Utilities Relocation</t>
  </si>
  <si>
    <t>Years of Analysis</t>
  </si>
  <si>
    <t>Timeline</t>
  </si>
  <si>
    <t>Useful Life of Project</t>
  </si>
  <si>
    <t>Years</t>
  </si>
  <si>
    <t>Environmental</t>
  </si>
  <si>
    <t>Distribution</t>
  </si>
  <si>
    <t>Source: ODOT Safety Branch</t>
  </si>
  <si>
    <t>Average Number of Accidents per Year</t>
  </si>
  <si>
    <t>Crash Modification Factor</t>
  </si>
  <si>
    <t>Pavement Maintenance</t>
  </si>
  <si>
    <t>Environmental Benefits</t>
  </si>
  <si>
    <t>O&amp;M Costs</t>
  </si>
  <si>
    <t>Annual Routine Maintenance</t>
  </si>
  <si>
    <t>Used in: Volume and Speed</t>
  </si>
  <si>
    <t>Vehicle-Hours of Travel Time</t>
  </si>
  <si>
    <t>Person-Hours of Travel Time</t>
  </si>
  <si>
    <t>Reduced O&amp;M Costs</t>
  </si>
  <si>
    <t>Oklahoma Department of Transportation</t>
  </si>
  <si>
    <t>Formula Parameters and Estimated 2045 Speeds</t>
  </si>
  <si>
    <t>* No change between No-Build and Build scenarios</t>
  </si>
  <si>
    <t>Percent of Daily Travel during Peak Period</t>
  </si>
  <si>
    <t>Back to Inputs Tab</t>
  </si>
  <si>
    <t>Assumption; 2.5mph is the lowest speed bin in the MOVES emission factors, and is used to estimate the amount of emissions emitted when idling during delays.</t>
  </si>
  <si>
    <t>accidents/year</t>
  </si>
  <si>
    <t>Accident Distribution – Fatality</t>
  </si>
  <si>
    <t>Accident Distribution – Injury</t>
  </si>
  <si>
    <t>Accident Distribution – PDO</t>
  </si>
  <si>
    <t>Location Specific Demand Assumptions</t>
  </si>
  <si>
    <t>Comment</t>
  </si>
  <si>
    <t>Introduction</t>
  </si>
  <si>
    <t>Demand</t>
  </si>
  <si>
    <t>Annual Routine Maintenance, No-Build</t>
  </si>
  <si>
    <t>Pavement Maintenance, No-Build</t>
  </si>
  <si>
    <t>O&amp;M, Residual</t>
  </si>
  <si>
    <t>Conclusion</t>
  </si>
  <si>
    <t>Total Safety Benefits</t>
  </si>
  <si>
    <t>Total State of Good Repair Benefits</t>
  </si>
  <si>
    <t>Assumptions used in the estimation of travel time savings</t>
  </si>
  <si>
    <t>Vehicle type distribution</t>
  </si>
  <si>
    <t>Estimated travel time savings</t>
  </si>
  <si>
    <t>Assumptions used in the estimation of safety benefits</t>
  </si>
  <si>
    <t>Assumptions used in the estimation of environmental sustainability benefits</t>
  </si>
  <si>
    <t>Assumptions used in the estimation of state of good repair benefits</t>
  </si>
  <si>
    <t>Estimated state of good repair benefits</t>
  </si>
  <si>
    <t>Alpha, beta, and capacity based on Equation 8-1 and Equation 8-7b from Dowling et al. (1997).</t>
  </si>
  <si>
    <t>Number of Peak Period Hours – AM</t>
  </si>
  <si>
    <t>Number of Peak Period Hours – PM</t>
  </si>
  <si>
    <t>Number of Non-Peak Period Hours</t>
  </si>
  <si>
    <t xml:space="preserve">Assumed that volume is negligible for 6 hours each day (e.g., 12 AM to 6 AM); remaining 18 hours minus the peak period hours is the number of non-peak period hours. </t>
  </si>
  <si>
    <t>Percent of Daily Travel during Non-Peak Hours</t>
  </si>
  <si>
    <t>Based on speed on I-35 (N) and I-35 (S)</t>
  </si>
  <si>
    <t xml:space="preserve">** Speed and length are not relevant for calculating benefits related to interchange redesign </t>
  </si>
  <si>
    <t>Fhv*</t>
  </si>
  <si>
    <t>PHF*</t>
  </si>
  <si>
    <t>Benefit categories and expected alignment with project requirements</t>
  </si>
  <si>
    <t>Avoided Fatality Costs</t>
  </si>
  <si>
    <t>Avoided Injury Costs</t>
  </si>
  <si>
    <t>Avoided PDO Costs</t>
  </si>
  <si>
    <t xml:space="preserve">Pavement </t>
  </si>
  <si>
    <t>Incremental O&amp;M Savings</t>
  </si>
  <si>
    <t>Unit</t>
  </si>
  <si>
    <t>Nitrogen Oxides (NOx)</t>
  </si>
  <si>
    <t>$/metric ton</t>
  </si>
  <si>
    <t>Varies by year</t>
  </si>
  <si>
    <t>Sulfur Oxides (SOx)</t>
  </si>
  <si>
    <t>Fine Particulate Matter (PM2.5)</t>
  </si>
  <si>
    <t>Carbon Dioxide (CO2)</t>
  </si>
  <si>
    <t>grams/mile</t>
  </si>
  <si>
    <t>O&amp;M Cost Schedule</t>
  </si>
  <si>
    <t>Project Costs by Location (2023$)</t>
  </si>
  <si>
    <t>Adjusted Project Costs by Location (deflated to 2021$)</t>
  </si>
  <si>
    <t>Note: Values are in 2023$</t>
  </si>
  <si>
    <t>Rural 2023 Grant Application</t>
  </si>
  <si>
    <t>Roadway Improvements Relating to the Mid America Industrial Park</t>
  </si>
  <si>
    <t>Project</t>
  </si>
  <si>
    <t>Intersection</t>
  </si>
  <si>
    <t>2023 (Q2)</t>
  </si>
  <si>
    <t>Last Revised on: July 27, 2023 - Next Release Date August 30, 2023</t>
  </si>
  <si>
    <t>Adjustment Factor to 2021 dollars</t>
  </si>
  <si>
    <t>Note: Cost dististribuation by year is assumed. Future cost may vary.</t>
  </si>
  <si>
    <t>Restriping every 5 years</t>
  </si>
  <si>
    <t>Annual Routine Maintenance.</t>
  </si>
  <si>
    <t>SH 412B</t>
  </si>
  <si>
    <t>US 412</t>
  </si>
  <si>
    <t>US 69</t>
  </si>
  <si>
    <t>(Starting rehab in (2025)</t>
  </si>
  <si>
    <t>3.5 miles of gravel road rehab (Future Patrol Road) every 10 years</t>
  </si>
  <si>
    <t>5 lane miles of concrete replacement every 30 years (outside study window)</t>
  </si>
  <si>
    <t>35 lane-miles of asphalt resurface every 20 years</t>
  </si>
  <si>
    <t>Interchange</t>
  </si>
  <si>
    <t>Zarrow St</t>
  </si>
  <si>
    <t>Annual Growth of AADT – US 412</t>
  </si>
  <si>
    <t>Annual Growth of AADT – Zarrow</t>
  </si>
  <si>
    <t>CMF (US 412): Grade Sep Interchange</t>
  </si>
  <si>
    <t>Half-Build</t>
  </si>
  <si>
    <t>Full-Build</t>
  </si>
  <si>
    <t>CMF Clearinghouse, individual CMFs identified</t>
  </si>
  <si>
    <t>(Interchange)</t>
  </si>
  <si>
    <t>(Widening)</t>
  </si>
  <si>
    <t>(Roundabout)</t>
  </si>
  <si>
    <t>(Per Year)</t>
  </si>
  <si>
    <t>SH 412B (Wide)</t>
  </si>
  <si>
    <t>SH 412B (Rbt)</t>
  </si>
  <si>
    <t>Annual Growth of AADT – SH 412B (Widening)</t>
  </si>
  <si>
    <t>Annual Growth of AADT – US 69 (Main)</t>
  </si>
  <si>
    <t>CMF (SH 412B): Widening 2 to 4 Lanes</t>
  </si>
  <si>
    <t>CMF (SH 412B): Introduce Roundabout</t>
  </si>
  <si>
    <t>CMF (Zarrow): Widen 2 to 4 Lanes</t>
  </si>
  <si>
    <t>https://www.cmfclearinghouse.org/study_detail.php?stid=13</t>
  </si>
  <si>
    <t>https://www.cmfclearinghouse.org/study_detail.php?stid=510</t>
  </si>
  <si>
    <t>27 lane-miles of asphalt resurface every 20 years</t>
  </si>
  <si>
    <t>Reconstruct 412B (Northern Segment) within 10 years</t>
  </si>
  <si>
    <t>12 lane-miles of asphalt resurface in 2025</t>
  </si>
  <si>
    <t>6.5 lane-miles asphalt resuface in 2045</t>
  </si>
  <si>
    <t>2021$ per 2023$</t>
  </si>
  <si>
    <t>Adjustment Factor, 2023$ to 2021$</t>
  </si>
  <si>
    <t>2021$/hour</t>
  </si>
  <si>
    <t>Revised Departmental Guidance on Valuation of Travel Time in Economic Analysis (2016). Obtained from: U.S. DOT Benefit-Cost Analysis Guidance for Discretionary Grant Programs, January 2023.</t>
  </si>
  <si>
    <t>2017 National Household Travel Survey. Obtained from: U.S. DOT Benefit-Cost Analysis Guidance for Discretionary Grant Programs, January 2023</t>
  </si>
  <si>
    <t>The Economic and Societal Impact of Motor Vehicle Crashes, 2010 (revised May 2015), Page 12, Table 1-2, Summary of Unit Costs, 2000. Inflated to 2020 dollars using the GDP deflator. Obtained from: U.S. DOT Benefit-Cost Analysis Guidance for Discretionary Grant Programs, January 2023.</t>
  </si>
  <si>
    <t>CMF (Williams): Widen 2 to 4 Lanes</t>
  </si>
  <si>
    <t>Note: Design, Contruction Management, and Utility Relocation are estimated at 9, 6,and 5 percent, respectively.</t>
  </si>
  <si>
    <t>Annual Growth of AADT – SH 412B (Rbt)</t>
  </si>
  <si>
    <t>Annual Growth of AADT – Patrol</t>
  </si>
  <si>
    <t>Annual Growth of AADT – Williams</t>
  </si>
  <si>
    <t>Williams St</t>
  </si>
  <si>
    <t>CMF (Patrol): Gravel to Paved 2 Lane</t>
  </si>
  <si>
    <t>https://www.cmfclearinghouse.org/study_detail.php?stid=183</t>
  </si>
  <si>
    <t>N/A</t>
  </si>
  <si>
    <t>Assumed values as per U.S. DOT Benefit-Cost Analysis Guidance for Discretionary Grant Programs, January 2023.</t>
  </si>
  <si>
    <t>Corridor</t>
  </si>
  <si>
    <t>Start</t>
  </si>
  <si>
    <t>End</t>
  </si>
  <si>
    <t>US-412</t>
  </si>
  <si>
    <t>West of US 69</t>
  </si>
  <si>
    <t>East of SH 412B</t>
  </si>
  <si>
    <t>US-69</t>
  </si>
  <si>
    <t>Prop Rbt</t>
  </si>
  <si>
    <t>South of US-412</t>
  </si>
  <si>
    <t>North of US-412</t>
  </si>
  <si>
    <t>SH 69A</t>
  </si>
  <si>
    <t>Patrol Rd</t>
  </si>
  <si>
    <t>Rocket Rd</t>
  </si>
  <si>
    <t>Old HWY 33 E</t>
  </si>
  <si>
    <t>W 580 Rd</t>
  </si>
  <si>
    <t>Zarrow Rd</t>
  </si>
  <si>
    <t>E 12th St</t>
  </si>
  <si>
    <t>E 16th St</t>
  </si>
  <si>
    <t>300' W of Zarrow</t>
  </si>
  <si>
    <t>Main St</t>
  </si>
  <si>
    <t>SH-69A</t>
  </si>
  <si>
    <t>North of SH-69A</t>
  </si>
  <si>
    <t>975' E of Zarrow</t>
  </si>
  <si>
    <t>No. of Lanes</t>
  </si>
  <si>
    <t>AADT</t>
  </si>
  <si>
    <t>Percent Trucks</t>
  </si>
  <si>
    <t>Percent Autos</t>
  </si>
  <si>
    <t>Heavy Veh. Adj. Factor (Fhv)</t>
  </si>
  <si>
    <t>Peak Hour Factor (PHF)</t>
  </si>
  <si>
    <t>Armin Rd</t>
  </si>
  <si>
    <t>Traffic Data</t>
  </si>
  <si>
    <t>Partial-Build</t>
  </si>
  <si>
    <t>Partial Build Subtotal</t>
  </si>
  <si>
    <t>HIDE ME!!</t>
  </si>
  <si>
    <t>TRIP GEN LETTER</t>
  </si>
  <si>
    <t>h</t>
  </si>
  <si>
    <t>g</t>
  </si>
  <si>
    <t>f</t>
  </si>
  <si>
    <t>e</t>
  </si>
  <si>
    <t>d</t>
  </si>
  <si>
    <t>a</t>
  </si>
  <si>
    <t>b</t>
  </si>
  <si>
    <t>c</t>
  </si>
  <si>
    <t>l</t>
  </si>
  <si>
    <t>m</t>
  </si>
  <si>
    <t>n</t>
  </si>
  <si>
    <t>r</t>
  </si>
  <si>
    <t>o</t>
  </si>
  <si>
    <t>s</t>
  </si>
  <si>
    <t>q</t>
  </si>
  <si>
    <t>t</t>
  </si>
  <si>
    <t>i</t>
  </si>
  <si>
    <t>j</t>
  </si>
  <si>
    <t>k</t>
  </si>
  <si>
    <t>p</t>
  </si>
  <si>
    <t>AADT (Avg Growth / Year)</t>
  </si>
  <si>
    <t>Vehicle Mi. Travelled (Day)</t>
  </si>
  <si>
    <t>Vehicle Hr. Travelled (Day)</t>
  </si>
  <si>
    <t>W 580 Rd (Quinne Ave)</t>
  </si>
  <si>
    <t>Speed Limit (MPH)</t>
  </si>
  <si>
    <t>(Reconstruction)</t>
  </si>
  <si>
    <t>FFS</t>
  </si>
  <si>
    <t>Freeway Capacity (pcphpl)</t>
  </si>
  <si>
    <t>Multilane Highway (pcphpl)</t>
  </si>
  <si>
    <t>n/a</t>
  </si>
  <si>
    <t>Two-lane highways (pcphpl)</t>
  </si>
  <si>
    <t>Peak Period Speed by Year</t>
  </si>
  <si>
    <t>Non-Peak Period Speed by Year</t>
  </si>
  <si>
    <t>fa = 2.5 (10 access points or fewer per mi.)</t>
  </si>
  <si>
    <t>Crash Data</t>
  </si>
  <si>
    <t>Crash Type</t>
  </si>
  <si>
    <t>Crash Distribution</t>
  </si>
  <si>
    <t>Average Number of Crashes</t>
  </si>
  <si>
    <t>2021$/Crash</t>
  </si>
  <si>
    <t>Source: Crash Data</t>
  </si>
  <si>
    <t>Crash Costs (2021$)</t>
  </si>
  <si>
    <t>Avoided Crash Costs (2021$)</t>
  </si>
  <si>
    <t>Avoided Crash Costs by Severity (2021$)</t>
  </si>
  <si>
    <t>Vehicle Crashes</t>
  </si>
  <si>
    <t>Crashes per Year</t>
  </si>
  <si>
    <t>Crashes per Year × Cost</t>
  </si>
  <si>
    <t>Crashes Avoided</t>
  </si>
  <si>
    <t>CMF (SH 412B): Reconstruct Roadway</t>
  </si>
  <si>
    <t>5.0 (20 access points per mi.)</t>
  </si>
  <si>
    <t>Speed Limit (mph)</t>
  </si>
  <si>
    <t>https://www.cmfclearinghouse.org/detail.php?facid=325</t>
  </si>
  <si>
    <t>Note: No crashes or monitzed crash reduction can be attributed to the SH412B roundabout location due to no crashed in that location within the past five years.</t>
  </si>
  <si>
    <t>Annual Growth of AADT - SH 412B (Recon.)</t>
  </si>
  <si>
    <t>CMF (US 69): Main Street Intersection</t>
  </si>
  <si>
    <t>BFFS</t>
  </si>
  <si>
    <t>Fa</t>
  </si>
  <si>
    <t>Flw</t>
  </si>
  <si>
    <t>Ftlc</t>
  </si>
  <si>
    <t>Fm</t>
  </si>
  <si>
    <t>Frlc</t>
  </si>
  <si>
    <t>Ftrd</t>
  </si>
  <si>
    <t>Free Flow Speed</t>
  </si>
  <si>
    <t>Fls</t>
  </si>
  <si>
    <t>Capacity (vphpl)</t>
  </si>
  <si>
    <t>US-412/SH-412B Interchange</t>
  </si>
  <si>
    <t>SH-412B South Widening</t>
  </si>
  <si>
    <t>SH-412B Roundabout</t>
  </si>
  <si>
    <t>Patrol Road Improvements</t>
  </si>
  <si>
    <t>Williams Street Improvements</t>
  </si>
  <si>
    <t>SH-412B North Reconstruction</t>
  </si>
  <si>
    <t>US-69 / Main Street Intersection</t>
  </si>
  <si>
    <t>Zarrow Street Widening</t>
  </si>
  <si>
    <t>Rocket Road Improvements</t>
  </si>
  <si>
    <t>(2021$/metric ton)</t>
  </si>
  <si>
    <t>Note: Emission costss for 2021 are set to 0 for convenience (to avoid lookup errors). Since 2020 falls outside the project schedule, this has no effect on the analysis.</t>
  </si>
  <si>
    <t>SOx</t>
  </si>
  <si>
    <t>Emission Parameters and Assumptions</t>
  </si>
  <si>
    <t>Assumed miles per gallon (MPG)</t>
  </si>
  <si>
    <t>NOx emission rate (grams per mile)</t>
  </si>
  <si>
    <t>SOx ppm per gallon</t>
  </si>
  <si>
    <t>Coverstion rate grams to metric tons</t>
  </si>
  <si>
    <t>Gasoline</t>
  </si>
  <si>
    <t>Diesel</t>
  </si>
  <si>
    <t>Gasoline (Tier 3)</t>
  </si>
  <si>
    <t>Parameter</t>
  </si>
  <si>
    <t>Fuel Type</t>
  </si>
  <si>
    <t>Conversition rate SOx parts per million (ppm) to metric tons / gal</t>
  </si>
  <si>
    <t>Based on EPA site reference in BCA guidance.</t>
  </si>
  <si>
    <t>Based on Iowa specific data from Geotab.</t>
  </si>
  <si>
    <t>Alpha</t>
  </si>
  <si>
    <t>Based on light duty vehicles (2020) from BTS.</t>
  </si>
  <si>
    <t>Based on heavy duty vehicles (2020) from BTS.</t>
  </si>
  <si>
    <t>Based on EPA requirement.</t>
  </si>
  <si>
    <t>Beta</t>
  </si>
  <si>
    <t>Based on avg. light duty vehicles/trucks (exhaust + breakwear + tirewear) (2020) from BTS</t>
  </si>
  <si>
    <t>Based on heavy duty vehicles/trucks (exhaust + breakwear + tirewear) (2020) from BTS</t>
  </si>
  <si>
    <t>Based on SO2 molecular weight.</t>
  </si>
  <si>
    <t>Notes</t>
  </si>
  <si>
    <t>https://www.epa.gov/energy/greenhouse-gases-equivalencies-calculator-calculations-and-references</t>
  </si>
  <si>
    <t>https://www.geotab.com/truck-mpg-benchmark/</t>
  </si>
  <si>
    <t>https://www.transportpolicy.net/standard/us-fuels-diesel-and-gasoline/</t>
  </si>
  <si>
    <t>https://www.bts.gov/content/estimated-national-average-vehicle-emissions-rates-vehicle-vehicle-type-using-gasoline-and</t>
  </si>
  <si>
    <t>https://teesing.com/en/library/tools/ppm-mg3-converter</t>
  </si>
  <si>
    <t>Directional Distribution</t>
  </si>
  <si>
    <t>Autos</t>
  </si>
  <si>
    <t>Emission Factors</t>
  </si>
  <si>
    <t>Trucks (metric tons / mile)</t>
  </si>
  <si>
    <t>Autos (metric tons / mile)</t>
  </si>
  <si>
    <t>Source: Parameters and Assumptions</t>
  </si>
  <si>
    <t>Peak Hour Assumptions</t>
  </si>
  <si>
    <t>Time of Day</t>
  </si>
  <si>
    <t>Peak</t>
  </si>
  <si>
    <t>Volume × Percentage of Daily Travel during Period</t>
  </si>
  <si>
    <t>Non-Peak</t>
  </si>
  <si>
    <t>Volume and Travel Summary</t>
  </si>
  <si>
    <t xml:space="preserve">For the three Build Scenarios, there are no changes in the total number of site-generated traffic volumes.  </t>
  </si>
  <si>
    <t>Refer to Traffic Data tab for relevant AADT volumes per year per segment.</t>
  </si>
  <si>
    <t>Annual Vehicle-Miles Travelled</t>
  </si>
  <si>
    <t>VMT during Peak and Non-Peak Periods</t>
  </si>
  <si>
    <t>Speed</t>
  </si>
  <si>
    <t>Vehicle Miles Travelled ÷ Speed</t>
  </si>
  <si>
    <t>Refer to 'Speed' tab</t>
  </si>
  <si>
    <t>Partial Build</t>
  </si>
  <si>
    <t>Full Build</t>
  </si>
  <si>
    <t>Reduction in Vehicle-Hours of Travel Time</t>
  </si>
  <si>
    <t>(No-Build minus Partial-Build)</t>
  </si>
  <si>
    <t>(No-Build minus Full-Build)</t>
  </si>
  <si>
    <t>Total (NOx - Trucks)</t>
  </si>
  <si>
    <t>Total (NOx - Autos)</t>
  </si>
  <si>
    <t>Total (SOx - Trucks)</t>
  </si>
  <si>
    <t>Total (SOx - Autos)</t>
  </si>
  <si>
    <t>Total (PM2.5 - Trucks)</t>
  </si>
  <si>
    <t>Total (PM2.5 - Autos)</t>
  </si>
  <si>
    <t>Total (CO2 - Trucks)</t>
  </si>
  <si>
    <t>Total (CO2 - Autos)</t>
  </si>
  <si>
    <t>Emission Rates</t>
  </si>
  <si>
    <t>Summary of Emission Rates</t>
  </si>
  <si>
    <t>Summary of Emission Cost</t>
  </si>
  <si>
    <t>Reduction of Emission Cost</t>
  </si>
  <si>
    <t>Scenerio</t>
  </si>
  <si>
    <t>Improved travel times from a result of additional roadways inside the MAIP park.</t>
  </si>
  <si>
    <t>Improved roadway safety by intersection improvments and increasing the number of lanes.</t>
  </si>
  <si>
    <t>Reduced emissions as a result of fewer miles travelled due to additional roadways.</t>
  </si>
  <si>
    <t>Reduced incremental O&amp;M from reconstructing infrastructure beyond state of good repair.</t>
  </si>
  <si>
    <t>Had to reduce from 1738.20%</t>
  </si>
  <si>
    <t>Had to reduce from 318.63%</t>
  </si>
  <si>
    <t>Varies</t>
  </si>
  <si>
    <t>Reduction of Emission Rates</t>
  </si>
  <si>
    <t>Percentage of Automobiles</t>
  </si>
  <si>
    <t>Percentage of Trucks</t>
  </si>
  <si>
    <t>By Location</t>
  </si>
  <si>
    <t>TOTALS</t>
  </si>
  <si>
    <t>2016 to 2021 accident data from ODOT.</t>
  </si>
  <si>
    <t>US-412/SH 412B Interchange</t>
  </si>
  <si>
    <t>SH-412B North Reconsturction</t>
  </si>
  <si>
    <t>US 69 / Main Street Intersection</t>
  </si>
  <si>
    <t>US-412/SH-412B</t>
  </si>
  <si>
    <t>SH-412B South</t>
  </si>
  <si>
    <t>SH-412B</t>
  </si>
  <si>
    <t>SH-412B North</t>
  </si>
  <si>
    <t>US 69/Main St</t>
  </si>
  <si>
    <t>(Intersection)</t>
  </si>
  <si>
    <t>SH412B (Recon)</t>
  </si>
  <si>
    <t>US-69/Main Street Intersection</t>
  </si>
  <si>
    <t>Estimates from various EPA sources.</t>
  </si>
  <si>
    <t>Comparison - Partial Build</t>
  </si>
  <si>
    <t>Zarrow Road Improvements</t>
  </si>
  <si>
    <t>Comparison - Full Build</t>
  </si>
  <si>
    <t>Build (Partial / Full)</t>
  </si>
  <si>
    <t>Undiscounted (Full Build)</t>
  </si>
  <si>
    <t>Discounted (Full Build)</t>
  </si>
  <si>
    <t>Undiscounted (Partial Build)</t>
  </si>
  <si>
    <t>Discounted (Partial Build)</t>
  </si>
  <si>
    <t>PM 2.5 emission rate (grams per mile)</t>
  </si>
  <si>
    <t>CO2 emmission rate (grams per mile)</t>
  </si>
  <si>
    <t>Truck - NOx Emission Rate</t>
  </si>
  <si>
    <t>Truck - SOx Emission Rate</t>
  </si>
  <si>
    <t>Truck - PM2.5 Emission Rate</t>
  </si>
  <si>
    <t>Truck - CO2 Emission Rate</t>
  </si>
  <si>
    <t>Auto - NOx Emission Rate</t>
  </si>
  <si>
    <t>Auto - SOx Emission Rate</t>
  </si>
  <si>
    <t>Auto - PM2.5 Emission Rate</t>
  </si>
  <si>
    <t>Auto - CO2 Emission Rate</t>
  </si>
  <si>
    <t>ppm / gallon diesel</t>
  </si>
  <si>
    <t>ppm / gallon gasoline</t>
  </si>
  <si>
    <t>Total Env. Sustainability Benefits</t>
  </si>
  <si>
    <t>Avoided Cost of NOx Emissions</t>
  </si>
  <si>
    <t>Avoided Cost of PM 2.5 Emissions</t>
  </si>
  <si>
    <t>Avoided Cost of SOx Emissions</t>
  </si>
  <si>
    <t>Avoided Cost of CO2 Emissions</t>
  </si>
  <si>
    <t>Annual Routine Maintenance, Partial-Build</t>
  </si>
  <si>
    <t>Annual Routine Maintenance, Full-Build</t>
  </si>
  <si>
    <t>2023$</t>
  </si>
  <si>
    <t>Pavement Maintenance, Partial-Build</t>
  </si>
  <si>
    <t>Pavement Maintenace, Full-Build</t>
  </si>
  <si>
    <t>Discounted (2021$)</t>
  </si>
  <si>
    <t>Undiscounted (2021$)</t>
  </si>
  <si>
    <t>Discounted (2021$) - in milllions</t>
  </si>
  <si>
    <t>Overall results of the benefit-cost analysis (millions of 2021$)</t>
  </si>
  <si>
    <t>$1,800,000 to resurface 12 lane-miles of asphalt in 2025; $975,000 to resurface 6.5 lane miles in 2045.
$600,000 to rehab 3.5 miles of gravel road every 10 years.
$7,675,000 to reconstruct US-412B North within 10 years;
$125,000 to restripe pavement every 5 years</t>
  </si>
  <si>
    <t>$4,050,000 every 20 years to resurface 27 lane-miles of asphalt; 
$250,000 to restripe pavement every 5 years</t>
  </si>
  <si>
    <t>$5,250,000 every 20 years to resurface 35 lane-miles of asphalt; 
$300,000 to restripe pavement every 5 years</t>
  </si>
  <si>
    <t>Annual Routine Cost</t>
  </si>
  <si>
    <t>Pavement</t>
  </si>
  <si>
    <t>https://www.cmfclearinghouse.org/detail.php?facid=7570</t>
  </si>
  <si>
    <t>Undiscounted (Partial-Build)</t>
  </si>
  <si>
    <t>Discounted (Partial-Build)</t>
  </si>
  <si>
    <t>Undiscounted (Full-Build)</t>
  </si>
  <si>
    <t>Discounted (Full-Build)</t>
  </si>
  <si>
    <t>Sources</t>
  </si>
  <si>
    <t>CMF IDs</t>
  </si>
  <si>
    <t>7570, 4397, 4399</t>
  </si>
  <si>
    <t>https://www.cmfclearinghouse.org/detail.php?facid=9305</t>
  </si>
  <si>
    <t>US 412/SH-412B Interchange </t>
  </si>
  <si>
    <t>SH-412B – South Widening </t>
  </si>
  <si>
    <t>SH-412B - Roundabout </t>
  </si>
  <si>
    <t>Patrol Road Improvements </t>
  </si>
  <si>
    <t>Williams Street Improvements </t>
  </si>
  <si>
    <t>SH-412B North Reconstruction </t>
  </si>
  <si>
    <t>US 69 / Main Street Intersection </t>
  </si>
  <si>
    <t>Zarrow Street Widening </t>
  </si>
  <si>
    <t>Rocket Road Improvements </t>
  </si>
  <si>
    <t>Estimated safety benefits ($)</t>
  </si>
  <si>
    <t>Estimated safety benefits (# Crashes)</t>
  </si>
  <si>
    <t>Avoided Fatality Crashes</t>
  </si>
  <si>
    <t>Avoided Injury Crashes</t>
  </si>
  <si>
    <t>Avoided PDO Crashes</t>
  </si>
  <si>
    <t>Estimated environmental sustainability benefits ($)</t>
  </si>
  <si>
    <t>Estimated environmental sustainability benefits (emission)</t>
  </si>
  <si>
    <t>Avoided NOx Emissions (Metric Tons)</t>
  </si>
  <si>
    <t>Avoided SOx Emissions (Metric Tons)</t>
  </si>
  <si>
    <t>Avoided PM 2.5 Emissions (Metric Tons)</t>
  </si>
  <si>
    <t>Avoided CO2 Emissions (Metric Tons)</t>
  </si>
  <si>
    <t>Roadway</t>
  </si>
  <si>
    <t>US 69 and US 412 Data from ODOT interactive AADT map. Other roadways are assumed.</t>
  </si>
  <si>
    <t>Travel Time Savings (Hours of Time)</t>
  </si>
  <si>
    <t>Travel Time Savings (Monetized)</t>
  </si>
  <si>
    <t>Capital costs by year</t>
  </si>
  <si>
    <t>Pedestrian and Bike Elements</t>
  </si>
  <si>
    <t>Operating Cost Savings</t>
  </si>
  <si>
    <t>Safety Benefits</t>
  </si>
  <si>
    <t>Emissinon Reduction Benefits</t>
  </si>
  <si>
    <t>Facility and Vechicle Amenity Benefits / Heath Benefits</t>
  </si>
  <si>
    <t>Addition of hike and bike trails along MAIP local roadways.</t>
  </si>
  <si>
    <t>NOx Emissions Savings</t>
  </si>
  <si>
    <t>SOx Emissions Savings</t>
  </si>
  <si>
    <t>PM2.5 Emissions Savings</t>
  </si>
  <si>
    <t>CO2 Emissions Savings</t>
  </si>
  <si>
    <t>Begin</t>
  </si>
  <si>
    <t>AADT (No Build)</t>
  </si>
  <si>
    <t>AADT (Partial Build)</t>
  </si>
  <si>
    <t>AADT (Full Build)</t>
  </si>
  <si>
    <t>VMT (No Build)</t>
  </si>
  <si>
    <t>VMT (Partial Build)</t>
  </si>
  <si>
    <t>VMT (Full Build)</t>
  </si>
  <si>
    <t>Full Build Project Costs by Year (2021$)</t>
  </si>
  <si>
    <t>Partial Build Project Costs by Year (2021$)</t>
  </si>
  <si>
    <t>VHT (No Build)</t>
  </si>
  <si>
    <t>VHT (Partial Build)</t>
  </si>
  <si>
    <t>VHT (Full Build)</t>
  </si>
  <si>
    <t>VHT Project Data</t>
  </si>
  <si>
    <t>VMT Project Data</t>
  </si>
  <si>
    <t>AADT Project Data</t>
  </si>
  <si>
    <r>
      <t>Project</t>
    </r>
    <r>
      <rPr>
        <sz val="12"/>
        <color theme="0"/>
        <rFont val="Times New Roman"/>
        <family val="1"/>
      </rPr>
      <t> </t>
    </r>
  </si>
  <si>
    <r>
      <t>Project Cost</t>
    </r>
    <r>
      <rPr>
        <sz val="12"/>
        <color theme="0"/>
        <rFont val="Times New Roman"/>
        <family val="1"/>
      </rPr>
      <t> </t>
    </r>
  </si>
  <si>
    <t>Capital costs by Project</t>
  </si>
  <si>
    <r>
      <t>Total Project Costs</t>
    </r>
    <r>
      <rPr>
        <b/>
        <sz val="12"/>
        <rFont val="Times New Roman"/>
        <family val="1"/>
      </rPr>
      <t> </t>
    </r>
  </si>
  <si>
    <r>
      <t>Partial Build Subtotal</t>
    </r>
    <r>
      <rPr>
        <b/>
        <sz val="12"/>
        <rFont val="Times New Roman"/>
        <family val="1"/>
      </rPr>
      <t> </t>
    </r>
  </si>
  <si>
    <t>Local Streets</t>
  </si>
  <si>
    <t>CMF Sources</t>
  </si>
  <si>
    <t>Partial</t>
  </si>
  <si>
    <t>Full</t>
  </si>
  <si>
    <t>Total (Millions of Dollars)</t>
  </si>
  <si>
    <t>($) 2023 - Partial Build</t>
  </si>
  <si>
    <t>($) 2021 - Partial Build</t>
  </si>
  <si>
    <t>($) 2023 - Full Build</t>
  </si>
  <si>
    <t>($) 2021 - Full Build</t>
  </si>
  <si>
    <t>Daily Volume x annualizationFactor days/yr. x Length</t>
  </si>
  <si>
    <t>Source: USDOT Benefit-Cost Analysis Guidance for Discretionary Grant Programs. January 2023</t>
  </si>
  <si>
    <t>U.S. DOT Benefit-Cost Analysis Guidance for Discretionary Grant Programs, Table A-1, "Value of Reduced Fatalities and Injuries" (January 2023)</t>
  </si>
  <si>
    <t>US DOT, Benefit-Cost Analysis Guidance for Discretionary Grants Program, January 2023; Table A-6.</t>
  </si>
  <si>
    <t>Treatment of the Economic Value of Preventing Fatalities and Injuries in Preparing Economic Analyses (2023). Obtained from: U.S. DOT Benefit-Cost Analysis Guidance for Discretionary Grant Programs, Table A-1, "Value of Reduced Fatalities and Injuries" (January 2023)</t>
  </si>
  <si>
    <t>2021 (Q2)</t>
  </si>
  <si>
    <t>2022 (Q2)</t>
  </si>
  <si>
    <t>Vehicle Category</t>
  </si>
  <si>
    <t>SHOULD WE DELETE THIS?</t>
  </si>
  <si>
    <t>Conversion Factors</t>
  </si>
  <si>
    <t xml:space="preserve">Assumptions: These represent a one-hour peak period. </t>
  </si>
  <si>
    <t xml:space="preserve">Developed Land / Gross </t>
  </si>
  <si>
    <t>Employee/SF</t>
  </si>
  <si>
    <t>Zone</t>
  </si>
  <si>
    <t>Area (acres)</t>
  </si>
  <si>
    <t>Area (SF GFA)</t>
  </si>
  <si>
    <t>Dev. GFA</t>
  </si>
  <si>
    <t>KSF</t>
  </si>
  <si>
    <t>ADT</t>
  </si>
  <si>
    <t>AM PEAK</t>
  </si>
  <si>
    <t>AM-IN</t>
  </si>
  <si>
    <t>AM-OUT</t>
  </si>
  <si>
    <t>PM PEAK</t>
  </si>
  <si>
    <t>PM-IN</t>
  </si>
  <si>
    <t>PM-OUT</t>
  </si>
  <si>
    <t>OFF-PEAK</t>
  </si>
  <si>
    <t>OFF-IN</t>
  </si>
  <si>
    <t>OFF-OUT</t>
  </si>
  <si>
    <t>Begin Construction</t>
  </si>
  <si>
    <t>50% Buildout</t>
  </si>
  <si>
    <t>Full Buildout</t>
  </si>
  <si>
    <t>4A</t>
  </si>
  <si>
    <t>4B</t>
  </si>
  <si>
    <t>4C</t>
  </si>
  <si>
    <t>Background Growth</t>
  </si>
  <si>
    <t>Other Highways</t>
  </si>
  <si>
    <t>Interior Roadways</t>
  </si>
  <si>
    <t>Land use code</t>
  </si>
  <si>
    <t>Name</t>
  </si>
  <si>
    <t xml:space="preserve">Percentage </t>
  </si>
  <si>
    <t>Daily</t>
  </si>
  <si>
    <t>AM</t>
  </si>
  <si>
    <t>PM</t>
  </si>
  <si>
    <t>General Light Industrial</t>
  </si>
  <si>
    <t>Industrial Park</t>
  </si>
  <si>
    <t>Manufacturing</t>
  </si>
  <si>
    <t>Warehousing</t>
  </si>
  <si>
    <t>High-cube Warehouse</t>
  </si>
  <si>
    <t>Data Center</t>
  </si>
  <si>
    <t>No-Build Scenario</t>
  </si>
  <si>
    <t>Trip Gen (ADT)</t>
  </si>
  <si>
    <t>Distribution (%)</t>
  </si>
  <si>
    <t>Base + Site-Gen (ADT)</t>
  </si>
  <si>
    <t>Partial-Build Scenario</t>
  </si>
  <si>
    <t>Full-Build Scenario</t>
  </si>
  <si>
    <t>Change in Parameter</t>
  </si>
  <si>
    <t>Change in NPV</t>
  </si>
  <si>
    <t>BCR</t>
  </si>
  <si>
    <t>Parameters</t>
  </si>
  <si>
    <t>Baseline</t>
  </si>
  <si>
    <t>No Change</t>
  </si>
  <si>
    <t>Sensitivity Analysis (Partial Build)</t>
  </si>
  <si>
    <t>Net Present Value (NPV)</t>
  </si>
  <si>
    <t>Change discount rate to 3%</t>
  </si>
  <si>
    <t>Increase capital cost by 20%</t>
  </si>
  <si>
    <t>Decrease capital cost by 20%</t>
  </si>
  <si>
    <t>Reduce development traffic by 40%</t>
  </si>
  <si>
    <t>Increase development traffic by 40%</t>
  </si>
  <si>
    <t>Increase VMT by 25%</t>
  </si>
  <si>
    <t>Decrease VMT by 25%</t>
  </si>
  <si>
    <t>Development Generated Traffic</t>
  </si>
  <si>
    <t>Peak Hours</t>
  </si>
  <si>
    <t>Vehicle Miles Travelled (VMT)</t>
  </si>
  <si>
    <t>Sensitivity Analysis (Full Build)</t>
  </si>
  <si>
    <t>Conventional Highway</t>
  </si>
  <si>
    <t>Based on HCM 6.0 - Chapters 12 &amp; 15</t>
  </si>
  <si>
    <t>Freeway</t>
  </si>
  <si>
    <t>Expressway</t>
  </si>
  <si>
    <t>HOV &amp; HOT Lanes</t>
  </si>
  <si>
    <t>Capacity</t>
  </si>
  <si>
    <t>ROAD TYPE</t>
  </si>
  <si>
    <t>2000*</t>
  </si>
  <si>
    <t>* See speed based values from HCM 6.0 - Chapter 12</t>
  </si>
  <si>
    <t>Conventional Highway**</t>
  </si>
  <si>
    <t>** Assumes Class III Highway with capacity limited by ATS (Average Travel Speed)</t>
  </si>
  <si>
    <t>FREEWAYS</t>
  </si>
  <si>
    <t>MULTILANE HIGHWAYS</t>
  </si>
  <si>
    <t>2-LANE HIGHWAYS</t>
  </si>
  <si>
    <t>FROM HCM VERSION 6.0 and BPR</t>
  </si>
  <si>
    <t>Capital Cost (Discounted)</t>
  </si>
  <si>
    <t>Increase total number of peak hours to 6 with 40% share of traffic</t>
  </si>
  <si>
    <t>Decrease total number of peak hours to 2 with 20% share of traffic</t>
  </si>
  <si>
    <t>Sensitivity</t>
  </si>
  <si>
    <t>Discounted Benefits by Category (Partial Build)</t>
  </si>
  <si>
    <t>Annual Discounted Benefits and Costs (Partial Build)</t>
  </si>
  <si>
    <t>Discounted Benefits by Category (Full Build)</t>
  </si>
  <si>
    <t>Annual Discounted Benefits and Costs (Full Build)</t>
  </si>
  <si>
    <t>Chart Data: Discounted Benefits (Partial Build)</t>
  </si>
  <si>
    <t>Partial Build Benefits</t>
  </si>
  <si>
    <t>Chart Data: Discounted Benefits (Full Build)</t>
  </si>
  <si>
    <t>Full Build Benefits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</si>
</sst>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6" formatCode="&quot;$&quot;#,##0_);[Red]\(&quot;$&quot;#,##0\)"/>
    <numFmt numFmtId="7" formatCode="&quot;$&quot;#,##0.00_);\(&quot;$&quot;#,##0.00\)"/>
    <numFmt numFmtId="42" formatCode="_(&quot;$&quot;* #,##0_);_(&quot;$&quot;* \(#,##0\);_(&quot;$&quot;* &quot;-&quot;_);_(@_)"/>
    <numFmt numFmtId="44" formatCode="_(&quot;$&quot;* #,##0.00_);_(&quot;$&quot;* \(#,##0.00\);_(&quot;$&quot;* &quot;-&quot;??_);_(@_)"/>
    <numFmt numFmtId="164" formatCode="&quot;$&quot;#,##0.00"/>
    <numFmt numFmtId="165" formatCode="&quot;$&quot;#,##0"/>
    <numFmt numFmtId="166" formatCode="0.0%"/>
    <numFmt numFmtId="167" formatCode="0.0000"/>
    <numFmt numFmtId="168" formatCode="0.000"/>
    <numFmt numFmtId="169" formatCode="&quot;$&quot;#,##0;\-&quot;$&quot;#,##0;&quot;-&quot;_)"/>
    <numFmt numFmtId="170" formatCode="#,##0;\-#,##0;&quot;-&quot;_)"/>
    <numFmt numFmtId="171" formatCode="0.0"/>
    <numFmt numFmtId="172" formatCode="#,##0.0"/>
    <numFmt numFmtId="173" formatCode="&quot;$&quot;#,##0.0,,\ &quot;M&quot;;\-&quot;$&quot;#,##0.0,,\ &quot;M&quot;;&quot;$&quot;\ &quot;-&quot;"/>
    <numFmt numFmtId="174" formatCode="[$-409]mmmm\ d\,\ yyyy;@"/>
    <numFmt numFmtId="175" formatCode="#,##0.0000"/>
    <numFmt numFmtId="176" formatCode="0.00000"/>
    <numFmt numFmtId="177" formatCode="_(&quot;$&quot;* #,##0_);_(&quot;$&quot;* \(#,##0\);_(&quot;$&quot;* &quot;-&quot;??_);_(@_)"/>
    <numFmt numFmtId="178" formatCode="#,##0.00;\-#,##0.00;&quot;-&quot;_)"/>
    <numFmt numFmtId="179" formatCode="&quot;$&quot;#,##0.0,,;\-&quot;$&quot;#,##0.0,,;&quot;$&quot;\ &quot;-&quot;"/>
    <numFmt numFmtId="180" formatCode="#,##0;;&quot;-&quot;"/>
    <numFmt numFmtId="181" formatCode="#,##0.000"/>
    <numFmt numFmtId="182" formatCode="&quot;$&quot;#,##0.0"/>
    <numFmt numFmtId="183" formatCode="0.00000E+00"/>
    <numFmt numFmtId="184" formatCode="&quot;$&quot;#,##0.000000000_);[Red]\(&quot;$&quot;#,##0.000000000\)"/>
  </numFmts>
  <fonts count="83" x14ac:knownFonts="1">
    <font>
      <sz val="11"/>
      <name val="Arial"/>
      <family val="2"/>
      <scheme val="minor"/>
    </font>
    <font>
      <sz val="11"/>
      <color theme="1"/>
      <name val="Arial"/>
      <family val="2"/>
      <scheme val="minor"/>
    </font>
    <font>
      <b/>
      <sz val="11"/>
      <color theme="0"/>
      <name val="Arial"/>
      <family val="2"/>
      <scheme val="minor"/>
    </font>
    <font>
      <sz val="11"/>
      <color theme="0"/>
      <name val="Arial"/>
      <family val="2"/>
      <scheme val="minor"/>
    </font>
    <font>
      <b/>
      <sz val="11"/>
      <name val="Arial"/>
      <family val="2"/>
      <scheme val="minor"/>
    </font>
    <font>
      <b/>
      <sz val="14"/>
      <color theme="4" tint="-0.499984740745262"/>
      <name val="Arial"/>
      <family val="2"/>
      <scheme val="minor"/>
    </font>
    <font>
      <i/>
      <sz val="11"/>
      <name val="Arial"/>
      <family val="2"/>
      <scheme val="minor"/>
    </font>
    <font>
      <b/>
      <sz val="18"/>
      <color theme="3"/>
      <name val="Arial"/>
      <family val="2"/>
      <scheme val="major"/>
    </font>
    <font>
      <sz val="14"/>
      <color theme="0"/>
      <name val="Arial"/>
      <family val="2"/>
      <scheme val="minor"/>
    </font>
    <font>
      <sz val="11"/>
      <name val="Arial"/>
      <family val="2"/>
      <scheme val="minor"/>
    </font>
    <font>
      <u/>
      <sz val="11"/>
      <color theme="10"/>
      <name val="Arial"/>
      <family val="2"/>
      <scheme val="minor"/>
    </font>
    <font>
      <i/>
      <u/>
      <sz val="11"/>
      <color theme="10"/>
      <name val="Arial"/>
      <family val="2"/>
      <scheme val="minor"/>
    </font>
    <font>
      <b/>
      <sz val="11"/>
      <color theme="3"/>
      <name val="Arial"/>
      <family val="2"/>
      <scheme val="minor"/>
    </font>
    <font>
      <b/>
      <sz val="11"/>
      <color theme="1"/>
      <name val="Arial"/>
      <family val="2"/>
      <scheme val="minor"/>
    </font>
    <font>
      <sz val="12"/>
      <name val="Arial"/>
      <family val="2"/>
      <scheme val="minor"/>
    </font>
    <font>
      <sz val="11"/>
      <color theme="3"/>
      <name val="Arial"/>
      <family val="2"/>
      <scheme val="minor"/>
    </font>
    <font>
      <sz val="11"/>
      <color theme="2" tint="-0.249977111117893"/>
      <name val="Arial"/>
      <family val="2"/>
      <scheme val="minor"/>
    </font>
    <font>
      <b/>
      <sz val="12"/>
      <color theme="3"/>
      <name val="Arial"/>
      <family val="2"/>
      <scheme val="minor"/>
    </font>
    <font>
      <b/>
      <sz val="12"/>
      <name val="Arial"/>
      <family val="2"/>
      <scheme val="minor"/>
    </font>
    <font>
      <b/>
      <sz val="9"/>
      <color theme="0"/>
      <name val="Arial"/>
      <family val="2"/>
      <scheme val="minor"/>
    </font>
    <font>
      <sz val="9"/>
      <color theme="1"/>
      <name val="Arial"/>
      <family val="2"/>
      <scheme val="minor"/>
    </font>
    <font>
      <sz val="10"/>
      <name val="Arial"/>
      <family val="2"/>
      <scheme val="major"/>
    </font>
    <font>
      <sz val="9"/>
      <name val="Arial"/>
      <family val="2"/>
      <scheme val="minor"/>
    </font>
    <font>
      <b/>
      <sz val="9"/>
      <name val="Arial"/>
      <family val="2"/>
      <scheme val="minor"/>
    </font>
    <font>
      <sz val="10"/>
      <name val="Arial"/>
      <family val="2"/>
      <scheme val="minor"/>
    </font>
    <font>
      <b/>
      <sz val="9"/>
      <name val="Arial"/>
      <family val="2"/>
      <scheme val="major"/>
    </font>
    <font>
      <u/>
      <sz val="11"/>
      <color theme="10"/>
      <name val="Calibri"/>
      <family val="2"/>
    </font>
    <font>
      <b/>
      <sz val="12"/>
      <color theme="0"/>
      <name val="Arial"/>
      <family val="2"/>
    </font>
    <font>
      <sz val="9"/>
      <color theme="0"/>
      <name val="Arial"/>
      <family val="2"/>
    </font>
    <font>
      <sz val="10"/>
      <color theme="0"/>
      <name val="Arial"/>
      <family val="2"/>
      <scheme val="minor"/>
    </font>
    <font>
      <b/>
      <i/>
      <sz val="10"/>
      <name val="Arial"/>
      <family val="2"/>
    </font>
    <font>
      <sz val="10"/>
      <name val="Arial"/>
      <family val="2"/>
    </font>
    <font>
      <sz val="10"/>
      <color indexed="16"/>
      <name val="Arial"/>
      <family val="2"/>
    </font>
    <font>
      <b/>
      <sz val="10"/>
      <color indexed="18"/>
      <name val="Arial"/>
      <family val="2"/>
    </font>
    <font>
      <b/>
      <sz val="10"/>
      <name val="Arial"/>
      <family val="2"/>
    </font>
    <font>
      <i/>
      <sz val="10"/>
      <name val="Arial"/>
      <family val="2"/>
    </font>
    <font>
      <sz val="18"/>
      <color theme="3"/>
      <name val="Arial"/>
      <family val="2"/>
      <scheme val="major"/>
    </font>
    <font>
      <b/>
      <u val="singleAccounting"/>
      <sz val="11"/>
      <color theme="1"/>
      <name val="Arial"/>
      <family val="2"/>
      <scheme val="minor"/>
    </font>
    <font>
      <b/>
      <i/>
      <sz val="11"/>
      <name val="Arial"/>
      <family val="2"/>
      <scheme val="minor"/>
    </font>
    <font>
      <sz val="11"/>
      <color theme="1" tint="0.34998626667073579"/>
      <name val="Arial"/>
      <family val="2"/>
      <scheme val="minor"/>
    </font>
    <font>
      <b/>
      <sz val="18"/>
      <color theme="4" tint="-0.499984740745262"/>
      <name val="Arial"/>
      <family val="2"/>
      <scheme val="major"/>
    </font>
    <font>
      <sz val="18"/>
      <color theme="4" tint="-0.499984740745262"/>
      <name val="Arial"/>
      <family val="2"/>
      <scheme val="minor"/>
    </font>
    <font>
      <sz val="18"/>
      <name val="Arial"/>
      <family val="2"/>
      <scheme val="minor"/>
    </font>
    <font>
      <b/>
      <sz val="10"/>
      <name val="Arial"/>
      <family val="2"/>
      <scheme val="minor"/>
    </font>
    <font>
      <b/>
      <sz val="9"/>
      <color rgb="FFFFFFFF"/>
      <name val="Arial"/>
      <family val="2"/>
      <scheme val="minor"/>
    </font>
    <font>
      <sz val="9"/>
      <color rgb="FF000000"/>
      <name val="Arial"/>
      <family val="2"/>
      <scheme val="minor"/>
    </font>
    <font>
      <b/>
      <sz val="9"/>
      <color rgb="FF000000"/>
      <name val="Arial"/>
      <family val="2"/>
      <scheme val="minor"/>
    </font>
    <font>
      <b/>
      <sz val="14"/>
      <name val="Arial"/>
      <family val="2"/>
      <scheme val="minor"/>
    </font>
    <font>
      <b/>
      <sz val="14"/>
      <color theme="9" tint="-0.249977111117893"/>
      <name val="Arial"/>
      <family val="2"/>
      <scheme val="minor"/>
    </font>
    <font>
      <b/>
      <u/>
      <sz val="14"/>
      <color theme="9" tint="-0.249977111117893"/>
      <name val="Arial"/>
      <family val="2"/>
      <scheme val="minor"/>
    </font>
    <font>
      <sz val="8"/>
      <name val="Arial"/>
      <family val="2"/>
      <scheme val="minor"/>
    </font>
    <font>
      <i/>
      <sz val="11"/>
      <color theme="5"/>
      <name val="Arial"/>
      <family val="2"/>
      <scheme val="minor"/>
    </font>
    <font>
      <sz val="10"/>
      <color rgb="FF000000"/>
      <name val="Arial"/>
      <family val="2"/>
      <scheme val="minor"/>
    </font>
    <font>
      <sz val="11"/>
      <color rgb="FF000000"/>
      <name val="Arial"/>
      <family val="2"/>
      <scheme val="minor"/>
    </font>
    <font>
      <b/>
      <sz val="11"/>
      <name val="Arial"/>
      <family val="2"/>
    </font>
    <font>
      <sz val="11"/>
      <name val="Arial"/>
      <family val="2"/>
    </font>
    <font>
      <sz val="10"/>
      <name val="Arial"/>
      <family val="2"/>
    </font>
    <font>
      <sz val="12"/>
      <color theme="1"/>
      <name val="Times New Roman"/>
      <family val="1"/>
    </font>
    <font>
      <b/>
      <sz val="18"/>
      <color theme="9" tint="-0.249977111117893"/>
      <name val="Arial"/>
      <family val="2"/>
      <scheme val="major"/>
    </font>
    <font>
      <b/>
      <sz val="18"/>
      <color theme="3"/>
      <name val="Arial"/>
      <family val="2"/>
      <scheme val="major"/>
    </font>
    <font>
      <sz val="11"/>
      <color rgb="FFFF0000"/>
      <name val="Arial"/>
      <family val="2"/>
      <scheme val="minor"/>
    </font>
    <font>
      <i/>
      <sz val="11"/>
      <color rgb="FFFF0000"/>
      <name val="Arial"/>
      <family val="2"/>
      <scheme val="minor"/>
    </font>
    <font>
      <sz val="11"/>
      <name val="Arial"/>
      <family val="2"/>
    </font>
    <font>
      <b/>
      <sz val="10"/>
      <color rgb="FFFFFFFF"/>
      <name val="Arial"/>
      <family val="2"/>
      <scheme val="minor"/>
    </font>
    <font>
      <b/>
      <sz val="14"/>
      <color rgb="FF598E17"/>
      <name val="Arial"/>
      <family val="2"/>
      <scheme val="minor"/>
    </font>
    <font>
      <b/>
      <sz val="11"/>
      <color rgb="FF598E17"/>
      <name val="Arial"/>
      <family val="2"/>
      <scheme val="minor"/>
    </font>
    <font>
      <b/>
      <sz val="11"/>
      <color theme="9" tint="-0.249977111117893"/>
      <name val="Arial"/>
      <family val="2"/>
      <scheme val="minor"/>
    </font>
    <font>
      <sz val="10"/>
      <color theme="9" tint="-0.249977111117893"/>
      <name val="Arial"/>
      <family val="2"/>
      <scheme val="minor"/>
    </font>
    <font>
      <sz val="10"/>
      <name val="Arial"/>
      <family val="2"/>
    </font>
    <font>
      <b/>
      <sz val="11"/>
      <name val="Arial"/>
      <family val="2"/>
    </font>
    <font>
      <b/>
      <sz val="12"/>
      <name val="Times New Roman"/>
      <family val="1"/>
    </font>
    <font>
      <sz val="14"/>
      <color rgb="FFFF0000"/>
      <name val="Arial"/>
      <family val="2"/>
      <scheme val="minor"/>
    </font>
    <font>
      <b/>
      <sz val="9"/>
      <name val="Arial"/>
      <scheme val="major"/>
    </font>
    <font>
      <sz val="12"/>
      <color theme="0"/>
      <name val="Times New Roman"/>
      <family val="1"/>
    </font>
    <font>
      <b/>
      <sz val="11"/>
      <color rgb="FF000000"/>
      <name val="Calibri"/>
      <family val="2"/>
    </font>
    <font>
      <sz val="11"/>
      <color rgb="FF000000"/>
      <name val="Calibri"/>
      <family val="2"/>
    </font>
    <font>
      <b/>
      <sz val="10"/>
      <color rgb="FF000000"/>
      <name val="Arial"/>
      <scheme val="minor"/>
    </font>
    <font>
      <sz val="10"/>
      <color rgb="FF000000"/>
      <name val="Arial"/>
      <scheme val="minor"/>
    </font>
    <font>
      <sz val="10"/>
      <color rgb="FF000000"/>
      <name val="Calibri"/>
      <family val="2"/>
    </font>
    <font>
      <sz val="11"/>
      <color rgb="FF000000"/>
      <name val="Arial"/>
      <scheme val="minor"/>
    </font>
    <font>
      <sz val="11"/>
      <color rgb="FF444444"/>
      <name val="Consolas"/>
      <family val="3"/>
    </font>
    <font>
      <b/>
      <sz val="18"/>
      <name val="Arial"/>
      <family val="2"/>
      <scheme val="minor"/>
    </font>
    <font>
      <b/>
      <sz val="16"/>
      <name val="Arial"/>
      <family val="2"/>
      <scheme val="minor"/>
    </font>
  </fonts>
  <fills count="21">
    <fill>
      <patternFill patternType="none"/>
    </fill>
    <fill>
      <patternFill patternType="gray125"/>
    </fill>
    <fill>
      <patternFill patternType="solid">
        <fgColor theme="4"/>
      </patternFill>
    </fill>
    <fill>
      <patternFill patternType="solid">
        <fgColor theme="4" tint="-0.24994659260841701"/>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0.59996337778862885"/>
        <bgColor indexed="64"/>
      </patternFill>
    </fill>
    <fill>
      <patternFill patternType="solid">
        <fgColor theme="2" tint="0.79998168889431442"/>
        <bgColor indexed="64"/>
      </patternFill>
    </fill>
    <fill>
      <patternFill patternType="solid">
        <fgColor indexed="26"/>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DEDEB"/>
        <bgColor indexed="64"/>
      </patternFill>
    </fill>
    <fill>
      <patternFill patternType="solid">
        <fgColor theme="9" tint="-0.249977111117893"/>
        <bgColor indexed="64"/>
      </patternFill>
    </fill>
    <fill>
      <patternFill patternType="solid">
        <fgColor rgb="FFFFFFCC"/>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rgb="FFDCDCD8"/>
        <bgColor rgb="FF000000"/>
      </patternFill>
    </fill>
    <fill>
      <patternFill patternType="solid">
        <fgColor theme="2" tint="0.59999389629810485"/>
        <bgColor indexed="64"/>
      </patternFill>
    </fill>
    <fill>
      <patternFill patternType="solid">
        <fgColor theme="8"/>
        <bgColor indexed="64"/>
      </patternFill>
    </fill>
    <fill>
      <patternFill patternType="solid">
        <fgColor theme="3" tint="0.79998168889431442"/>
        <bgColor indexed="64"/>
      </patternFill>
    </fill>
  </fills>
  <borders count="175">
    <border>
      <left/>
      <right/>
      <top/>
      <bottom/>
      <diagonal/>
    </border>
    <border>
      <left/>
      <right/>
      <top/>
      <bottom style="medium">
        <color theme="4" tint="0.39997558519241921"/>
      </bottom>
      <diagonal/>
    </border>
    <border>
      <left/>
      <right/>
      <top style="thin">
        <color theme="4"/>
      </top>
      <bottom style="double">
        <color theme="4"/>
      </bottom>
      <diagonal/>
    </border>
    <border>
      <left/>
      <right/>
      <top/>
      <bottom style="thin">
        <color theme="2" tint="-0.249977111117893"/>
      </bottom>
      <diagonal/>
    </border>
    <border>
      <left/>
      <right/>
      <top style="thin">
        <color theme="2" tint="-0.249977111117893"/>
      </top>
      <bottom style="thin">
        <color theme="2" tint="-0.249977111117893"/>
      </bottom>
      <diagonal/>
    </border>
    <border>
      <left/>
      <right/>
      <top style="thin">
        <color theme="2" tint="-0.249977111117893"/>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right/>
      <top/>
      <bottom style="thin">
        <color theme="0" tint="-0.249977111117893"/>
      </bottom>
      <diagonal/>
    </border>
    <border>
      <left/>
      <right/>
      <top style="thin">
        <color theme="0" tint="-0.249977111117893"/>
      </top>
      <bottom style="thin">
        <color theme="0" tint="-0.249977111117893"/>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rgb="FFA6A6A6"/>
      </top>
      <bottom style="thin">
        <color rgb="FFA6A6A6"/>
      </bottom>
      <diagonal/>
    </border>
    <border>
      <left/>
      <right style="thin">
        <color theme="0" tint="-0.34998626667073579"/>
      </right>
      <top/>
      <bottom style="thin">
        <color rgb="FFA6A6A6"/>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2" tint="-0.249977111117893"/>
      </bottom>
      <diagonal/>
    </border>
    <border>
      <left/>
      <right style="thin">
        <color indexed="64"/>
      </right>
      <top/>
      <bottom style="thin">
        <color theme="2" tint="-0.249977111117893"/>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theme="2" tint="-0.249977111117893"/>
      </top>
      <bottom style="medium">
        <color indexed="64"/>
      </bottom>
      <diagonal/>
    </border>
    <border>
      <left/>
      <right/>
      <top style="thin">
        <color theme="2" tint="-0.249977111117893"/>
      </top>
      <bottom style="medium">
        <color indexed="64"/>
      </bottom>
      <diagonal/>
    </border>
    <border>
      <left style="thin">
        <color indexed="64"/>
      </left>
      <right/>
      <top style="thin">
        <color theme="2" tint="-0.249977111117893"/>
      </top>
      <bottom style="medium">
        <color indexed="64"/>
      </bottom>
      <diagonal/>
    </border>
    <border>
      <left/>
      <right style="medium">
        <color indexed="64"/>
      </right>
      <top style="thin">
        <color theme="2" tint="-0.249977111117893"/>
      </top>
      <bottom style="medium">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theme="2" tint="-0.249977111117893"/>
      </bottom>
      <diagonal/>
    </border>
    <border>
      <left/>
      <right/>
      <top style="medium">
        <color indexed="64"/>
      </top>
      <bottom style="thin">
        <color theme="2" tint="-0.249977111117893"/>
      </bottom>
      <diagonal/>
    </border>
    <border>
      <left style="medium">
        <color indexed="64"/>
      </left>
      <right/>
      <top style="thin">
        <color theme="2" tint="-0.249977111117893"/>
      </top>
      <bottom style="thin">
        <color theme="2" tint="-0.249977111117893"/>
      </bottom>
      <diagonal/>
    </border>
    <border>
      <left/>
      <right style="medium">
        <color indexed="64"/>
      </right>
      <top style="thin">
        <color theme="2" tint="-0.249977111117893"/>
      </top>
      <bottom style="thin">
        <color theme="2" tint="-0.249977111117893"/>
      </bottom>
      <diagonal/>
    </border>
    <border>
      <left style="thin">
        <color rgb="FFB2B2B2"/>
      </left>
      <right style="thin">
        <color rgb="FFB2B2B2"/>
      </right>
      <top style="thin">
        <color rgb="FFB2B2B2"/>
      </top>
      <bottom style="thin">
        <color rgb="FFB2B2B2"/>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ck">
        <color auto="1"/>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theme="2" tint="-0.249977111117893"/>
      </top>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theme="0" tint="-0.249977111117893"/>
      </bottom>
      <diagonal/>
    </border>
    <border>
      <left/>
      <right/>
      <top style="medium">
        <color indexed="64"/>
      </top>
      <bottom style="thin">
        <color theme="0" tint="-0.249977111117893"/>
      </bottom>
      <diagonal/>
    </border>
    <border>
      <left/>
      <right style="medium">
        <color indexed="64"/>
      </right>
      <top style="medium">
        <color indexed="64"/>
      </top>
      <bottom style="thin">
        <color theme="0" tint="-0.249977111117893"/>
      </bottom>
      <diagonal/>
    </border>
    <border>
      <left style="medium">
        <color indexed="64"/>
      </left>
      <right/>
      <top style="thin">
        <color theme="0" tint="-0.249977111117893"/>
      </top>
      <bottom style="thin">
        <color theme="0" tint="-0.249977111117893"/>
      </bottom>
      <diagonal/>
    </border>
    <border>
      <left/>
      <right style="medium">
        <color indexed="64"/>
      </right>
      <top style="thin">
        <color theme="0" tint="-0.249977111117893"/>
      </top>
      <bottom style="thin">
        <color theme="0" tint="-0.249977111117893"/>
      </bottom>
      <diagonal/>
    </border>
    <border>
      <left style="medium">
        <color indexed="64"/>
      </left>
      <right/>
      <top/>
      <bottom style="thin">
        <color theme="0" tint="-0.249977111117893"/>
      </bottom>
      <diagonal/>
    </border>
    <border>
      <left style="medium">
        <color indexed="64"/>
      </left>
      <right/>
      <top style="thin">
        <color theme="0" tint="-0.249977111117893"/>
      </top>
      <bottom style="medium">
        <color indexed="64"/>
      </bottom>
      <diagonal/>
    </border>
    <border>
      <left/>
      <right/>
      <top style="thin">
        <color theme="0" tint="-0.249977111117893"/>
      </top>
      <bottom style="medium">
        <color indexed="64"/>
      </bottom>
      <diagonal/>
    </border>
    <border>
      <left/>
      <right style="medium">
        <color indexed="64"/>
      </right>
      <top style="thin">
        <color theme="0" tint="-0.249977111117893"/>
      </top>
      <bottom style="medium">
        <color indexed="64"/>
      </bottom>
      <diagonal/>
    </border>
    <border>
      <left style="medium">
        <color indexed="64"/>
      </left>
      <right/>
      <top style="medium">
        <color indexed="64"/>
      </top>
      <bottom style="thin">
        <color theme="0" tint="-0.24994659260841701"/>
      </bottom>
      <diagonal/>
    </border>
    <border>
      <left/>
      <right/>
      <top style="medium">
        <color indexed="64"/>
      </top>
      <bottom style="thin">
        <color theme="0" tint="-0.24994659260841701"/>
      </bottom>
      <diagonal/>
    </border>
    <border>
      <left/>
      <right style="medium">
        <color indexed="64"/>
      </right>
      <top style="medium">
        <color indexed="64"/>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right/>
      <top style="thin">
        <color theme="0" tint="-0.24994659260841701"/>
      </top>
      <bottom style="medium">
        <color indexed="64"/>
      </bottom>
      <diagonal/>
    </border>
    <border>
      <left/>
      <right style="medium">
        <color indexed="64"/>
      </right>
      <top style="thin">
        <color theme="0" tint="-0.24994659260841701"/>
      </top>
      <bottom style="medium">
        <color indexed="64"/>
      </bottom>
      <diagonal/>
    </border>
    <border>
      <left/>
      <right/>
      <top style="thin">
        <color theme="2" tint="-0.249977111117893"/>
      </top>
      <bottom style="thin">
        <color indexed="64"/>
      </bottom>
      <diagonal/>
    </border>
    <border>
      <left style="thin">
        <color theme="0" tint="-0.249977111117893"/>
      </left>
      <right style="medium">
        <color indexed="64"/>
      </right>
      <top style="medium">
        <color indexed="64"/>
      </top>
      <bottom style="thin">
        <color theme="0" tint="-0.24994659260841701"/>
      </bottom>
      <diagonal/>
    </border>
    <border>
      <left style="thin">
        <color theme="0" tint="-0.249977111117893"/>
      </left>
      <right style="medium">
        <color indexed="64"/>
      </right>
      <top style="thin">
        <color theme="0" tint="-0.24994659260841701"/>
      </top>
      <bottom style="thin">
        <color theme="0" tint="-0.24994659260841701"/>
      </bottom>
      <diagonal/>
    </border>
    <border>
      <left/>
      <right style="medium">
        <color indexed="64"/>
      </right>
      <top/>
      <bottom style="thin">
        <color theme="0" tint="-0.24994659260841701"/>
      </bottom>
      <diagonal/>
    </border>
    <border>
      <left style="thin">
        <color theme="0" tint="-0.249977111117893"/>
      </left>
      <right style="medium">
        <color indexed="64"/>
      </right>
      <top style="thin">
        <color theme="0" tint="-0.24994659260841701"/>
      </top>
      <bottom style="medium">
        <color indexed="64"/>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bottom style="thin">
        <color theme="0" tint="-0.249977111117893"/>
      </bottom>
      <diagonal/>
    </border>
    <border>
      <left style="medium">
        <color indexed="64"/>
      </left>
      <right/>
      <top style="medium">
        <color indexed="64"/>
      </top>
      <bottom style="thin">
        <color rgb="FFA6A6A6"/>
      </bottom>
      <diagonal/>
    </border>
    <border>
      <left/>
      <right/>
      <top style="medium">
        <color indexed="64"/>
      </top>
      <bottom style="thin">
        <color rgb="FFA6A6A6"/>
      </bottom>
      <diagonal/>
    </border>
    <border>
      <left/>
      <right style="medium">
        <color indexed="64"/>
      </right>
      <top style="medium">
        <color indexed="64"/>
      </top>
      <bottom style="thin">
        <color rgb="FFA6A6A6"/>
      </bottom>
      <diagonal/>
    </border>
    <border>
      <left style="medium">
        <color indexed="64"/>
      </left>
      <right/>
      <top style="thin">
        <color rgb="FFA6A6A6"/>
      </top>
      <bottom style="thin">
        <color rgb="FFA6A6A6"/>
      </bottom>
      <diagonal/>
    </border>
    <border>
      <left style="thin">
        <color theme="0" tint="-0.34998626667073579"/>
      </left>
      <right style="medium">
        <color indexed="64"/>
      </right>
      <top style="thin">
        <color rgb="FFA6A6A6"/>
      </top>
      <bottom style="thin">
        <color rgb="FFA6A6A6"/>
      </bottom>
      <diagonal/>
    </border>
    <border>
      <left/>
      <right style="medium">
        <color indexed="64"/>
      </right>
      <top style="thin">
        <color rgb="FFA6A6A6"/>
      </top>
      <bottom/>
      <diagonal/>
    </border>
    <border>
      <left style="medium">
        <color indexed="64"/>
      </left>
      <right/>
      <top style="thin">
        <color rgb="FFA6A6A6"/>
      </top>
      <bottom style="medium">
        <color indexed="64"/>
      </bottom>
      <diagonal/>
    </border>
    <border>
      <left/>
      <right/>
      <top style="thin">
        <color rgb="FFA6A6A6"/>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rgb="FFA6A6A6"/>
      </bottom>
      <diagonal/>
    </border>
    <border>
      <left/>
      <right style="medium">
        <color indexed="64"/>
      </right>
      <top/>
      <bottom style="thin">
        <color rgb="FFA6A6A6"/>
      </bottom>
      <diagonal/>
    </border>
    <border>
      <left/>
      <right style="thick">
        <color indexed="64"/>
      </right>
      <top/>
      <bottom/>
      <diagonal/>
    </border>
    <border>
      <left/>
      <right/>
      <top/>
      <bottom style="thick">
        <color indexed="64"/>
      </bottom>
      <diagonal/>
    </border>
    <border>
      <left/>
      <right style="thick">
        <color indexed="64"/>
      </right>
      <top/>
      <bottom style="medium">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right style="thick">
        <color indexed="64"/>
      </right>
      <top style="medium">
        <color indexed="64"/>
      </top>
      <bottom/>
      <diagonal/>
    </border>
    <border>
      <left style="medium">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bottom style="thin">
        <color theme="0" tint="-0.24994659260841701"/>
      </bottom>
      <diagonal/>
    </border>
    <border>
      <left style="medium">
        <color indexed="64"/>
      </left>
      <right/>
      <top style="thin">
        <color theme="0" tint="-0.24994659260841701"/>
      </top>
      <bottom/>
      <diagonal/>
    </border>
    <border>
      <left style="thin">
        <color indexed="64"/>
      </left>
      <right/>
      <top style="thin">
        <color theme="2" tint="-0.249977111117893"/>
      </top>
      <bottom/>
      <diagonal/>
    </border>
    <border>
      <left style="thin">
        <color indexed="64"/>
      </left>
      <right/>
      <top style="thin">
        <color indexed="64"/>
      </top>
      <bottom style="thin">
        <color theme="2" tint="-0.249977111117893"/>
      </bottom>
      <diagonal/>
    </border>
    <border>
      <left/>
      <right style="thin">
        <color indexed="64"/>
      </right>
      <top style="thin">
        <color theme="2" tint="-0.249977111117893"/>
      </top>
      <bottom style="thin">
        <color theme="2" tint="-0.249977111117893"/>
      </bottom>
      <diagonal/>
    </border>
    <border>
      <left/>
      <right style="thin">
        <color indexed="64"/>
      </right>
      <top style="thin">
        <color theme="2" tint="-0.249977111117893"/>
      </top>
      <bottom style="thin">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right style="thin">
        <color theme="0" tint="-0.249977111117893"/>
      </right>
      <top style="thin">
        <color theme="0" tint="-0.249977111117893"/>
      </top>
      <bottom style="medium">
        <color indexed="64"/>
      </bottom>
      <diagonal/>
    </border>
    <border>
      <left/>
      <right style="medium">
        <color indexed="64"/>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right style="medium">
        <color indexed="64"/>
      </right>
      <top style="thin">
        <color theme="0" tint="-0.24994659260841701"/>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medium">
        <color indexed="64"/>
      </bottom>
      <diagonal/>
    </border>
    <border>
      <left style="medium">
        <color indexed="64"/>
      </left>
      <right/>
      <top/>
      <bottom style="thin">
        <color theme="2" tint="-0.249977111117893"/>
      </bottom>
      <diagonal/>
    </border>
    <border>
      <left/>
      <right/>
      <top/>
      <bottom style="thin">
        <color theme="0" tint="-0.2499465926084170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s>
  <cellStyleXfs count="22">
    <xf numFmtId="0" fontId="0" fillId="0" borderId="0" applyProtection="0">
      <alignment horizontal="left" vertical="center" indent="1"/>
    </xf>
    <xf numFmtId="9" fontId="1" fillId="0" borderId="0" applyFont="0" applyFill="0" applyBorder="0" applyAlignment="0" applyProtection="0"/>
    <xf numFmtId="0" fontId="3" fillId="2" borderId="0" applyNumberFormat="0" applyBorder="0" applyAlignment="0" applyProtection="0"/>
    <xf numFmtId="0" fontId="7" fillId="0" borderId="0" applyNumberFormat="0" applyFill="0" applyBorder="0" applyAlignment="0" applyProtection="0"/>
    <xf numFmtId="3" fontId="9" fillId="0" borderId="0" applyFont="0" applyFill="0" applyBorder="0" applyAlignment="0" applyProtection="0"/>
    <xf numFmtId="165" fontId="9" fillId="0" borderId="0" applyFont="0" applyFill="0" applyBorder="0" applyAlignment="0" applyProtection="0">
      <alignment vertical="center"/>
    </xf>
    <xf numFmtId="42" fontId="9" fillId="0" borderId="0" applyFont="0" applyFill="0" applyBorder="0" applyAlignment="0" applyProtection="0"/>
    <xf numFmtId="0" fontId="10" fillId="0" borderId="0" applyNumberFormat="0" applyFill="0" applyBorder="0" applyAlignment="0" applyProtection="0">
      <alignment horizontal="left" vertical="center" indent="1"/>
    </xf>
    <xf numFmtId="0" fontId="5" fillId="0" borderId="0" applyNumberFormat="0" applyFill="0" applyAlignment="0" applyProtection="0"/>
    <xf numFmtId="0" fontId="8" fillId="3" borderId="0" applyNumberFormat="0" applyBorder="0" applyAlignment="0" applyProtection="0"/>
    <xf numFmtId="0" fontId="12" fillId="0" borderId="1" applyNumberFormat="0" applyFill="0" applyAlignment="0" applyProtection="0"/>
    <xf numFmtId="0" fontId="12" fillId="0" borderId="0" applyNumberFormat="0" applyFill="0" applyBorder="0" applyAlignment="0" applyProtection="0"/>
    <xf numFmtId="0" fontId="13" fillId="0" borderId="2" applyNumberFormat="0" applyFill="0" applyAlignment="0" applyProtection="0"/>
    <xf numFmtId="1" fontId="4" fillId="6" borderId="0" applyNumberFormat="0" applyBorder="0" applyProtection="0">
      <alignment horizontal="left" vertical="center" indent="1"/>
    </xf>
    <xf numFmtId="0" fontId="8" fillId="3" borderId="0" applyBorder="0" applyAlignment="0" applyProtection="0"/>
    <xf numFmtId="0" fontId="5" fillId="0" borderId="0" applyFill="0" applyAlignment="0" applyProtection="0"/>
    <xf numFmtId="0" fontId="26" fillId="0" borderId="0" applyNumberFormat="0" applyFill="0" applyBorder="0" applyAlignment="0" applyProtection="0">
      <alignment vertical="top"/>
      <protection locked="0"/>
    </xf>
    <xf numFmtId="9" fontId="31" fillId="0" borderId="0" applyFont="0" applyFill="0" applyBorder="0" applyAlignment="0" applyProtection="0"/>
    <xf numFmtId="0" fontId="6" fillId="0" borderId="0" applyNumberFormat="0" applyFill="0" applyBorder="0" applyAlignment="0" applyProtection="0"/>
    <xf numFmtId="180" fontId="9" fillId="0" borderId="0" applyFont="0" applyFill="0" applyBorder="0" applyAlignment="0" applyProtection="0"/>
    <xf numFmtId="0" fontId="9" fillId="0" borderId="0" applyNumberFormat="0" applyFill="0" applyBorder="0" applyProtection="0">
      <alignment horizontal="left" vertical="center"/>
    </xf>
    <xf numFmtId="0" fontId="9" fillId="13" borderId="81" applyNumberFormat="0" applyFont="0" applyAlignment="0" applyProtection="0"/>
  </cellStyleXfs>
  <cellXfs count="1460">
    <xf numFmtId="0" fontId="0" fillId="0" borderId="0" xfId="0">
      <alignment horizontal="left" vertical="center" indent="1"/>
    </xf>
    <xf numFmtId="0" fontId="4" fillId="0" borderId="0" xfId="0" applyFont="1">
      <alignment horizontal="left" vertical="center" indent="1"/>
    </xf>
    <xf numFmtId="0" fontId="0" fillId="0" borderId="0" xfId="0" applyAlignment="1">
      <alignment horizontal="right" vertical="center" indent="1"/>
    </xf>
    <xf numFmtId="0" fontId="5" fillId="0" borderId="0" xfId="0" applyFont="1">
      <alignment horizontal="left" vertical="center" indent="1"/>
    </xf>
    <xf numFmtId="0" fontId="2" fillId="0" borderId="0" xfId="2" applyFont="1" applyFill="1" applyBorder="1" applyAlignment="1">
      <alignment horizontal="left" vertical="center" indent="1"/>
    </xf>
    <xf numFmtId="3" fontId="0" fillId="0" borderId="0" xfId="0" applyNumberFormat="1" applyAlignment="1">
      <alignment horizontal="right" vertical="center" indent="1"/>
    </xf>
    <xf numFmtId="0" fontId="4" fillId="0" borderId="0" xfId="2" applyFont="1" applyFill="1" applyBorder="1" applyAlignment="1">
      <alignment horizontal="left" vertical="center" indent="1"/>
    </xf>
    <xf numFmtId="2" fontId="0" fillId="0" borderId="0" xfId="0" applyNumberFormat="1">
      <alignment horizontal="left" vertical="center" indent="1"/>
    </xf>
    <xf numFmtId="2" fontId="4" fillId="0" borderId="0" xfId="0" applyNumberFormat="1" applyFont="1">
      <alignment horizontal="left" vertical="center" indent="1"/>
    </xf>
    <xf numFmtId="0" fontId="6" fillId="0" borderId="0" xfId="0" applyFont="1">
      <alignment horizontal="left" vertical="center" indent="1"/>
    </xf>
    <xf numFmtId="0" fontId="7" fillId="0" borderId="0" xfId="3" applyBorder="1" applyAlignment="1">
      <alignment horizontal="left" vertical="center" indent="1"/>
    </xf>
    <xf numFmtId="2" fontId="0" fillId="0" borderId="0" xfId="0" applyNumberFormat="1" applyAlignment="1">
      <alignment horizontal="right" vertical="center" indent="1"/>
    </xf>
    <xf numFmtId="1" fontId="0" fillId="0" borderId="0" xfId="0" applyNumberFormat="1">
      <alignment horizontal="left" vertical="center" indent="1"/>
    </xf>
    <xf numFmtId="1" fontId="2" fillId="0" borderId="0" xfId="2" applyNumberFormat="1" applyFont="1" applyFill="1" applyBorder="1" applyAlignment="1">
      <alignment horizontal="left" vertical="center" indent="1"/>
    </xf>
    <xf numFmtId="0" fontId="3" fillId="0" borderId="0" xfId="0" applyFont="1">
      <alignment horizontal="left" vertical="center" indent="1"/>
    </xf>
    <xf numFmtId="0" fontId="8" fillId="0" borderId="0" xfId="0" applyFont="1">
      <alignment horizontal="left" vertical="center" indent="1"/>
    </xf>
    <xf numFmtId="165" fontId="0" fillId="0" borderId="0" xfId="0" applyNumberFormat="1" applyAlignment="1">
      <alignment horizontal="right" vertical="center" indent="1"/>
    </xf>
    <xf numFmtId="4" fontId="0" fillId="0" borderId="0" xfId="0" applyNumberFormat="1" applyAlignment="1">
      <alignment horizontal="right" vertical="center" indent="1"/>
    </xf>
    <xf numFmtId="3" fontId="4" fillId="0" borderId="0" xfId="0" applyNumberFormat="1" applyFont="1" applyAlignment="1">
      <alignment horizontal="right" vertical="center" indent="1"/>
    </xf>
    <xf numFmtId="2" fontId="4" fillId="0" borderId="0" xfId="0" applyNumberFormat="1" applyFont="1" applyAlignment="1">
      <alignment horizontal="right" vertical="center" indent="1"/>
    </xf>
    <xf numFmtId="0" fontId="11" fillId="0" borderId="0" xfId="7" applyFont="1" applyBorder="1">
      <alignment horizontal="left" vertical="center" indent="1"/>
    </xf>
    <xf numFmtId="165" fontId="0" fillId="0" borderId="0" xfId="5" applyFont="1" applyAlignment="1">
      <alignment horizontal="right" vertical="center" indent="1"/>
    </xf>
    <xf numFmtId="165" fontId="0" fillId="0" borderId="0" xfId="5" applyFont="1" applyBorder="1" applyAlignment="1">
      <alignment horizontal="right" vertical="center" indent="1"/>
    </xf>
    <xf numFmtId="3" fontId="0" fillId="0" borderId="0" xfId="4" applyFont="1" applyAlignment="1">
      <alignment horizontal="right" vertical="center" indent="1"/>
    </xf>
    <xf numFmtId="4" fontId="0" fillId="0" borderId="0" xfId="4" applyNumberFormat="1" applyFont="1" applyAlignment="1">
      <alignment horizontal="right" vertical="center" indent="1"/>
    </xf>
    <xf numFmtId="165" fontId="4" fillId="0" borderId="0" xfId="5" applyFont="1" applyFill="1" applyBorder="1" applyAlignment="1">
      <alignment horizontal="right" vertical="center" indent="1"/>
    </xf>
    <xf numFmtId="165" fontId="0" fillId="0" borderId="0" xfId="5" applyFont="1" applyFill="1" applyBorder="1" applyAlignment="1">
      <alignment horizontal="right" vertical="center" indent="1"/>
    </xf>
    <xf numFmtId="4" fontId="0" fillId="0" borderId="0" xfId="4" applyNumberFormat="1" applyFont="1" applyFill="1" applyAlignment="1">
      <alignment horizontal="right" vertical="center" indent="1"/>
    </xf>
    <xf numFmtId="1" fontId="0" fillId="0" borderId="0" xfId="0" applyNumberFormat="1" applyAlignment="1">
      <alignment horizontal="right" vertical="center" indent="1"/>
    </xf>
    <xf numFmtId="165" fontId="4" fillId="0" borderId="0" xfId="5" applyFont="1" applyBorder="1" applyAlignment="1">
      <alignment horizontal="right" vertical="center" indent="1"/>
    </xf>
    <xf numFmtId="164" fontId="0" fillId="0" borderId="0" xfId="5" applyNumberFormat="1" applyFont="1" applyBorder="1" applyAlignment="1">
      <alignment horizontal="right" vertical="center" indent="1"/>
    </xf>
    <xf numFmtId="0" fontId="5" fillId="0" borderId="0" xfId="8" applyAlignment="1">
      <alignment horizontal="left" vertical="center" indent="1"/>
    </xf>
    <xf numFmtId="1" fontId="4" fillId="6" borderId="0" xfId="13" applyNumberFormat="1" applyAlignment="1">
      <alignment horizontal="right" vertical="center" indent="1"/>
    </xf>
    <xf numFmtId="1" fontId="4" fillId="6" borderId="0" xfId="13" applyNumberFormat="1" applyBorder="1" applyAlignment="1">
      <alignment horizontal="right" vertical="center" indent="1"/>
    </xf>
    <xf numFmtId="1" fontId="4" fillId="6" borderId="0" xfId="13" applyNumberFormat="1" applyBorder="1">
      <alignment horizontal="left" vertical="center" indent="1"/>
    </xf>
    <xf numFmtId="3" fontId="0" fillId="0" borderId="0" xfId="4" applyFont="1" applyBorder="1" applyAlignment="1">
      <alignment horizontal="right" vertical="center" indent="1"/>
    </xf>
    <xf numFmtId="0" fontId="14" fillId="0" borderId="0" xfId="0" applyFont="1" applyAlignment="1">
      <alignment horizontal="left" vertical="top" indent="1"/>
    </xf>
    <xf numFmtId="0" fontId="14" fillId="0" borderId="0" xfId="0" applyFont="1" applyAlignment="1">
      <alignment horizontal="left" vertical="top" indent="5"/>
    </xf>
    <xf numFmtId="4" fontId="4" fillId="0" borderId="0" xfId="0" applyNumberFormat="1" applyFont="1" applyAlignment="1">
      <alignment horizontal="right" vertical="center" indent="1"/>
    </xf>
    <xf numFmtId="4" fontId="0" fillId="0" borderId="0" xfId="4" applyNumberFormat="1" applyFont="1" applyBorder="1" applyAlignment="1">
      <alignment horizontal="right" vertical="center" indent="1"/>
    </xf>
    <xf numFmtId="4" fontId="0" fillId="0" borderId="0" xfId="4" applyNumberFormat="1" applyFont="1" applyFill="1" applyBorder="1" applyAlignment="1">
      <alignment horizontal="right" vertical="center" indent="1"/>
    </xf>
    <xf numFmtId="0" fontId="14" fillId="0" borderId="0" xfId="0" applyFont="1">
      <alignment horizontal="left" vertical="center" indent="1"/>
    </xf>
    <xf numFmtId="172" fontId="0" fillId="0" borderId="0" xfId="0" applyNumberFormat="1" applyAlignment="1">
      <alignment horizontal="right" vertical="center" indent="1"/>
    </xf>
    <xf numFmtId="0" fontId="0" fillId="0" borderId="0" xfId="0" applyAlignment="1"/>
    <xf numFmtId="168" fontId="0" fillId="0" borderId="0" xfId="0" applyNumberFormat="1">
      <alignment horizontal="left" vertical="center" indent="1"/>
    </xf>
    <xf numFmtId="0" fontId="0" fillId="0" borderId="3" xfId="0" applyBorder="1">
      <alignment horizontal="left" vertical="center" indent="1"/>
    </xf>
    <xf numFmtId="0" fontId="4" fillId="6" borderId="0" xfId="13" applyNumberFormat="1" applyBorder="1" applyAlignment="1">
      <alignment horizontal="center" vertical="center"/>
    </xf>
    <xf numFmtId="3" fontId="4" fillId="0" borderId="4" xfId="0" applyNumberFormat="1" applyFont="1" applyBorder="1" applyAlignment="1">
      <alignment horizontal="right" vertical="center" indent="1"/>
    </xf>
    <xf numFmtId="9" fontId="0" fillId="0" borderId="0" xfId="1" applyFont="1" applyBorder="1" applyAlignment="1">
      <alignment horizontal="right" vertical="center" indent="1"/>
    </xf>
    <xf numFmtId="1" fontId="0" fillId="0" borderId="3" xfId="0" applyNumberFormat="1" applyBorder="1">
      <alignment horizontal="left" vertical="center" indent="1"/>
    </xf>
    <xf numFmtId="0" fontId="5" fillId="0" borderId="0" xfId="15" applyAlignment="1">
      <alignment horizontal="left" vertical="center" indent="1"/>
    </xf>
    <xf numFmtId="0" fontId="7" fillId="7" borderId="0" xfId="3" applyFill="1" applyBorder="1" applyAlignment="1">
      <alignment horizontal="left" vertical="center" indent="1"/>
    </xf>
    <xf numFmtId="0" fontId="0" fillId="7" borderId="0" xfId="0" applyFill="1">
      <alignment horizontal="left" vertical="center" indent="1"/>
    </xf>
    <xf numFmtId="0" fontId="18" fillId="7" borderId="0" xfId="0" applyFont="1" applyFill="1" applyAlignment="1">
      <alignment horizontal="left" vertical="center" indent="2"/>
    </xf>
    <xf numFmtId="0" fontId="0" fillId="7" borderId="0" xfId="0" applyFill="1" applyAlignment="1">
      <alignment horizontal="left" vertical="center" indent="2"/>
    </xf>
    <xf numFmtId="1" fontId="0" fillId="7" borderId="0" xfId="0" applyNumberFormat="1" applyFill="1" applyAlignment="1">
      <alignment horizontal="left" vertical="center" indent="2"/>
    </xf>
    <xf numFmtId="1" fontId="0" fillId="7" borderId="0" xfId="0" applyNumberFormat="1" applyFill="1" applyAlignment="1">
      <alignment horizontal="right" vertical="center" indent="2"/>
    </xf>
    <xf numFmtId="0" fontId="0" fillId="7" borderId="0" xfId="0" applyFill="1" applyAlignment="1">
      <alignment horizontal="right" vertical="center" indent="2"/>
    </xf>
    <xf numFmtId="9" fontId="0" fillId="7" borderId="0" xfId="1" applyFont="1" applyFill="1" applyBorder="1" applyAlignment="1">
      <alignment horizontal="left" vertical="center" indent="2"/>
    </xf>
    <xf numFmtId="9" fontId="0" fillId="7" borderId="0" xfId="1" applyFont="1" applyFill="1" applyBorder="1" applyAlignment="1">
      <alignment horizontal="right" vertical="center" indent="2"/>
    </xf>
    <xf numFmtId="164" fontId="0" fillId="7" borderId="0" xfId="5" applyNumberFormat="1" applyFont="1" applyFill="1" applyBorder="1" applyAlignment="1">
      <alignment horizontal="left" vertical="center" indent="2"/>
    </xf>
    <xf numFmtId="164" fontId="0" fillId="7" borderId="0" xfId="5" applyNumberFormat="1" applyFont="1" applyFill="1" applyBorder="1" applyAlignment="1">
      <alignment horizontal="right" vertical="center" indent="2"/>
    </xf>
    <xf numFmtId="167" fontId="0" fillId="0" borderId="0" xfId="0" applyNumberFormat="1">
      <alignment horizontal="left" vertical="center" indent="1"/>
    </xf>
    <xf numFmtId="0" fontId="14" fillId="0" borderId="0" xfId="0" applyFont="1" applyAlignment="1">
      <alignment horizontal="left" indent="1"/>
    </xf>
    <xf numFmtId="0" fontId="30" fillId="0" borderId="6" xfId="0" applyFont="1" applyBorder="1" applyAlignment="1">
      <alignment horizontal="left" vertical="center"/>
    </xf>
    <xf numFmtId="0" fontId="31" fillId="0" borderId="7" xfId="0" applyFont="1" applyBorder="1" applyAlignment="1">
      <alignment horizontal="left" vertical="center"/>
    </xf>
    <xf numFmtId="0" fontId="32" fillId="0" borderId="8" xfId="0" applyFont="1" applyBorder="1" applyAlignment="1">
      <alignment vertical="center"/>
    </xf>
    <xf numFmtId="0" fontId="30" fillId="0" borderId="9" xfId="0" applyFont="1" applyBorder="1" applyAlignment="1">
      <alignment horizontal="left" vertical="center"/>
    </xf>
    <xf numFmtId="0" fontId="33" fillId="0" borderId="0" xfId="0" applyFont="1" applyAlignment="1">
      <alignment horizontal="centerContinuous"/>
    </xf>
    <xf numFmtId="0" fontId="31" fillId="0" borderId="0" xfId="0" applyFont="1" applyAlignment="1">
      <alignment horizontal="centerContinuous"/>
    </xf>
    <xf numFmtId="0" fontId="31" fillId="0" borderId="10" xfId="0" applyFont="1" applyBorder="1" applyAlignment="1">
      <alignment vertical="center"/>
    </xf>
    <xf numFmtId="0" fontId="31" fillId="0" borderId="9" xfId="0" applyFont="1" applyBorder="1" applyAlignment="1">
      <alignment vertical="center"/>
    </xf>
    <xf numFmtId="0" fontId="32" fillId="0" borderId="0" xfId="0" applyFont="1" applyAlignment="1">
      <alignment horizontal="centerContinuous"/>
    </xf>
    <xf numFmtId="0" fontId="31" fillId="0" borderId="0" xfId="0" applyFont="1" applyAlignment="1"/>
    <xf numFmtId="0" fontId="34" fillId="8" borderId="11" xfId="0" applyFont="1" applyFill="1" applyBorder="1" applyAlignment="1">
      <alignment horizontal="center"/>
    </xf>
    <xf numFmtId="0" fontId="34" fillId="8" borderId="12" xfId="0" applyFont="1" applyFill="1" applyBorder="1" applyAlignment="1">
      <alignment horizontal="centerContinuous"/>
    </xf>
    <xf numFmtId="0" fontId="34" fillId="8" borderId="13" xfId="0" applyFont="1" applyFill="1" applyBorder="1" applyAlignment="1">
      <alignment horizontal="centerContinuous"/>
    </xf>
    <xf numFmtId="0" fontId="34" fillId="8" borderId="14" xfId="0" applyFont="1" applyFill="1" applyBorder="1" applyAlignment="1"/>
    <xf numFmtId="0" fontId="34" fillId="8" borderId="15" xfId="0" applyFont="1" applyFill="1" applyBorder="1" applyAlignment="1"/>
    <xf numFmtId="0" fontId="34" fillId="8" borderId="16" xfId="0" applyFont="1" applyFill="1" applyBorder="1" applyAlignment="1">
      <alignment horizontal="center"/>
    </xf>
    <xf numFmtId="0" fontId="34" fillId="8" borderId="17" xfId="0" applyFont="1" applyFill="1" applyBorder="1" applyAlignment="1">
      <alignment horizontal="centerContinuous"/>
    </xf>
    <xf numFmtId="0" fontId="34" fillId="8" borderId="18" xfId="0" applyFont="1" applyFill="1" applyBorder="1" applyAlignment="1">
      <alignment horizontal="centerContinuous"/>
    </xf>
    <xf numFmtId="0" fontId="34" fillId="8" borderId="19" xfId="0" applyFont="1" applyFill="1" applyBorder="1" applyAlignment="1">
      <alignment horizontal="centerContinuous"/>
    </xf>
    <xf numFmtId="0" fontId="34" fillId="8" borderId="20" xfId="0" applyFont="1" applyFill="1" applyBorder="1" applyAlignment="1">
      <alignment horizontal="centerContinuous"/>
    </xf>
    <xf numFmtId="0" fontId="34" fillId="8" borderId="21" xfId="0" applyFont="1" applyFill="1" applyBorder="1" applyAlignment="1">
      <alignment horizontal="center"/>
    </xf>
    <xf numFmtId="0" fontId="34" fillId="8" borderId="22" xfId="0" applyFont="1" applyFill="1" applyBorder="1" applyAlignment="1">
      <alignment horizontal="center"/>
    </xf>
    <xf numFmtId="0" fontId="34" fillId="8" borderId="23" xfId="0" applyFont="1" applyFill="1" applyBorder="1" applyAlignment="1">
      <alignment horizontal="center"/>
    </xf>
    <xf numFmtId="0" fontId="34" fillId="8" borderId="24" xfId="0" applyFont="1" applyFill="1" applyBorder="1" applyAlignment="1">
      <alignment horizontal="center"/>
    </xf>
    <xf numFmtId="0" fontId="32" fillId="0" borderId="11" xfId="0" applyFont="1" applyBorder="1" applyAlignment="1">
      <alignment horizontal="center"/>
    </xf>
    <xf numFmtId="166" fontId="31" fillId="0" borderId="25" xfId="0" applyNumberFormat="1" applyFont="1" applyBorder="1" applyAlignment="1">
      <alignment horizontal="center"/>
    </xf>
    <xf numFmtId="166" fontId="31" fillId="0" borderId="26" xfId="0" applyNumberFormat="1" applyFont="1" applyBorder="1" applyAlignment="1">
      <alignment horizontal="center"/>
    </xf>
    <xf numFmtId="166" fontId="31" fillId="0" borderId="27" xfId="0" applyNumberFormat="1" applyFont="1" applyBorder="1" applyAlignment="1">
      <alignment horizontal="center"/>
    </xf>
    <xf numFmtId="0" fontId="32" fillId="0" borderId="16" xfId="0" applyFont="1" applyBorder="1" applyAlignment="1">
      <alignment horizontal="center"/>
    </xf>
    <xf numFmtId="166" fontId="31" fillId="0" borderId="28" xfId="0" applyNumberFormat="1" applyFont="1" applyBorder="1" applyAlignment="1">
      <alignment horizontal="center"/>
    </xf>
    <xf numFmtId="166" fontId="31" fillId="0" borderId="29" xfId="0" applyNumberFormat="1" applyFont="1" applyBorder="1" applyAlignment="1">
      <alignment horizontal="center"/>
    </xf>
    <xf numFmtId="166" fontId="31" fillId="0" borderId="30" xfId="0" applyNumberFormat="1" applyFont="1" applyBorder="1" applyAlignment="1">
      <alignment horizontal="center"/>
    </xf>
    <xf numFmtId="0" fontId="32" fillId="0" borderId="21" xfId="0" applyFont="1" applyBorder="1" applyAlignment="1">
      <alignment horizontal="center"/>
    </xf>
    <xf numFmtId="166" fontId="31" fillId="0" borderId="31" xfId="0" applyNumberFormat="1" applyFont="1" applyBorder="1" applyAlignment="1">
      <alignment horizontal="center"/>
    </xf>
    <xf numFmtId="166" fontId="31" fillId="0" borderId="32" xfId="0" applyNumberFormat="1" applyFont="1" applyBorder="1" applyAlignment="1">
      <alignment horizontal="center"/>
    </xf>
    <xf numFmtId="166" fontId="31" fillId="0" borderId="33" xfId="0" applyNumberFormat="1" applyFont="1" applyBorder="1" applyAlignment="1">
      <alignment horizontal="center"/>
    </xf>
    <xf numFmtId="0" fontId="31" fillId="0" borderId="34" xfId="0" applyFont="1" applyBorder="1" applyAlignment="1"/>
    <xf numFmtId="0" fontId="31" fillId="0" borderId="35" xfId="0" applyFont="1" applyBorder="1" applyAlignment="1"/>
    <xf numFmtId="0" fontId="31" fillId="0" borderId="36" xfId="0" applyFont="1" applyBorder="1" applyAlignment="1"/>
    <xf numFmtId="10" fontId="35" fillId="0" borderId="0" xfId="17" applyNumberFormat="1" applyFont="1" applyFill="1" applyBorder="1" applyAlignment="1">
      <alignment horizontal="left"/>
    </xf>
    <xf numFmtId="0" fontId="35" fillId="0" borderId="0" xfId="0" applyFont="1" applyAlignment="1"/>
    <xf numFmtId="166" fontId="31" fillId="0" borderId="0" xfId="0" applyNumberFormat="1" applyFont="1" applyAlignment="1">
      <alignment horizontal="center"/>
    </xf>
    <xf numFmtId="0" fontId="36" fillId="0" borderId="0" xfId="3" applyFont="1" applyBorder="1" applyAlignment="1">
      <alignment horizontal="left" vertical="center" indent="1"/>
    </xf>
    <xf numFmtId="44" fontId="13" fillId="0" borderId="0" xfId="0" applyNumberFormat="1" applyFont="1" applyAlignment="1"/>
    <xf numFmtId="0" fontId="6" fillId="0" borderId="0" xfId="18" applyBorder="1" applyAlignment="1">
      <alignment horizontal="left" vertical="center" indent="1"/>
    </xf>
    <xf numFmtId="1" fontId="6" fillId="0" borderId="0" xfId="18" applyNumberFormat="1" applyBorder="1" applyAlignment="1">
      <alignment horizontal="left" vertical="center" indent="1"/>
    </xf>
    <xf numFmtId="166" fontId="0" fillId="0" borderId="0" xfId="1" applyNumberFormat="1" applyFont="1" applyBorder="1" applyAlignment="1">
      <alignment horizontal="right" vertical="center" indent="1"/>
    </xf>
    <xf numFmtId="3" fontId="0" fillId="0" borderId="0" xfId="0" applyNumberFormat="1">
      <alignment horizontal="left" vertical="center" indent="1"/>
    </xf>
    <xf numFmtId="0" fontId="10" fillId="0" borderId="0" xfId="7" applyBorder="1" applyAlignment="1">
      <alignment horizontal="left" vertical="center" indent="1"/>
    </xf>
    <xf numFmtId="0" fontId="10" fillId="0" borderId="0" xfId="7" applyAlignment="1">
      <alignment horizontal="left" vertical="center" indent="1"/>
    </xf>
    <xf numFmtId="0" fontId="38" fillId="0" borderId="0" xfId="0" applyFont="1">
      <alignment horizontal="left" vertical="center" indent="1"/>
    </xf>
    <xf numFmtId="165" fontId="4" fillId="0" borderId="0" xfId="5" applyFont="1" applyFill="1" applyBorder="1" applyAlignment="1">
      <alignment horizontal="left" vertical="center" indent="1"/>
    </xf>
    <xf numFmtId="0" fontId="0" fillId="0" borderId="0" xfId="0" applyAlignment="1">
      <alignment horizontal="center" vertical="center"/>
    </xf>
    <xf numFmtId="0" fontId="0" fillId="0" borderId="0" xfId="0" applyAlignment="1">
      <alignment horizontal="left" indent="1"/>
    </xf>
    <xf numFmtId="0" fontId="16" fillId="0" borderId="0" xfId="0" applyFont="1">
      <alignment horizontal="left" vertical="center" indent="1"/>
    </xf>
    <xf numFmtId="0" fontId="15" fillId="0" borderId="0" xfId="0" applyFont="1">
      <alignment horizontal="left" vertical="center" indent="1"/>
    </xf>
    <xf numFmtId="0" fontId="14" fillId="0" borderId="0" xfId="0" applyFont="1" applyAlignment="1">
      <alignment horizontal="left" indent="2"/>
    </xf>
    <xf numFmtId="0" fontId="16" fillId="0" borderId="0" xfId="0" applyFont="1" applyAlignment="1">
      <alignment horizontal="left" vertical="center" indent="2"/>
    </xf>
    <xf numFmtId="0" fontId="15" fillId="0" borderId="0" xfId="0" applyFont="1" applyAlignment="1">
      <alignment horizontal="left" vertical="center" indent="2"/>
    </xf>
    <xf numFmtId="0" fontId="4" fillId="6" borderId="0" xfId="13" applyNumberFormat="1" applyAlignment="1">
      <alignment horizontal="center" vertical="center"/>
    </xf>
    <xf numFmtId="0" fontId="0" fillId="0" borderId="3" xfId="0" applyBorder="1" applyAlignment="1">
      <alignment horizontal="center" vertical="center"/>
    </xf>
    <xf numFmtId="0" fontId="4" fillId="0" borderId="4" xfId="0" applyFont="1" applyBorder="1" applyAlignment="1">
      <alignment horizontal="center" vertical="center"/>
    </xf>
    <xf numFmtId="165" fontId="0" fillId="0" borderId="0" xfId="5" applyFont="1" applyFill="1" applyBorder="1" applyAlignment="1">
      <alignment horizontal="left" vertical="center" indent="1"/>
    </xf>
    <xf numFmtId="165" fontId="0" fillId="0" borderId="0" xfId="5" applyFont="1" applyAlignment="1"/>
    <xf numFmtId="0" fontId="39" fillId="0" borderId="0" xfId="0" applyFont="1" applyAlignment="1">
      <alignment horizontal="left" vertical="center" indent="2"/>
    </xf>
    <xf numFmtId="0" fontId="39" fillId="0" borderId="0" xfId="0" applyFont="1">
      <alignment horizontal="left" vertical="center" indent="1"/>
    </xf>
    <xf numFmtId="0" fontId="41" fillId="0" borderId="0" xfId="0" applyFont="1" applyAlignment="1">
      <alignment horizontal="right" vertical="center" indent="1"/>
    </xf>
    <xf numFmtId="165" fontId="40" fillId="0" borderId="0" xfId="5" applyFont="1" applyFill="1" applyBorder="1" applyAlignment="1">
      <alignment horizontal="left" vertical="center" indent="1"/>
    </xf>
    <xf numFmtId="0" fontId="41" fillId="0" borderId="0" xfId="0" applyFont="1">
      <alignment horizontal="left" vertical="center" indent="1"/>
    </xf>
    <xf numFmtId="0" fontId="42" fillId="0" borderId="0" xfId="0" applyFont="1" applyAlignment="1">
      <alignment horizontal="right" vertical="center" indent="1"/>
    </xf>
    <xf numFmtId="0" fontId="42" fillId="0" borderId="0" xfId="0" applyFont="1">
      <alignment horizontal="left" vertical="center" indent="1"/>
    </xf>
    <xf numFmtId="165" fontId="4" fillId="0" borderId="0" xfId="5" applyFont="1" applyAlignment="1">
      <alignment horizontal="right" vertical="center" indent="1"/>
    </xf>
    <xf numFmtId="0" fontId="4" fillId="0" borderId="0" xfId="0" applyFont="1" applyAlignment="1">
      <alignment horizontal="left" vertical="center"/>
    </xf>
    <xf numFmtId="0" fontId="24" fillId="0" borderId="0" xfId="0" applyFont="1" applyAlignment="1">
      <alignment horizontal="left" vertical="center"/>
    </xf>
    <xf numFmtId="0" fontId="21" fillId="0" borderId="0" xfId="0" applyFont="1" applyAlignment="1">
      <alignment horizontal="left" vertical="center"/>
    </xf>
    <xf numFmtId="0" fontId="0" fillId="0" borderId="0" xfId="0" applyAlignment="1">
      <alignment horizontal="left" vertical="center" indent="2"/>
    </xf>
    <xf numFmtId="0" fontId="20" fillId="0" borderId="0" xfId="0" applyFont="1" applyAlignment="1">
      <alignment horizontal="left" vertical="center"/>
    </xf>
    <xf numFmtId="170" fontId="20" fillId="0" borderId="0" xfId="0" applyNumberFormat="1" applyFont="1" applyAlignment="1">
      <alignment horizontal="left" vertical="center"/>
    </xf>
    <xf numFmtId="170" fontId="20" fillId="0" borderId="0" xfId="0" applyNumberFormat="1" applyFont="1" applyAlignment="1">
      <alignment horizontal="left" vertical="center" wrapText="1"/>
    </xf>
    <xf numFmtId="0" fontId="5" fillId="0" borderId="0" xfId="15" applyAlignment="1">
      <alignment horizontal="left" vertical="center"/>
    </xf>
    <xf numFmtId="0" fontId="18" fillId="0" borderId="0" xfId="18" applyFont="1" applyBorder="1" applyAlignment="1">
      <alignment horizontal="left" vertical="center" indent="1"/>
    </xf>
    <xf numFmtId="165" fontId="0" fillId="0" borderId="0" xfId="0" applyNumberFormat="1" applyAlignment="1"/>
    <xf numFmtId="171" fontId="0" fillId="0" borderId="0" xfId="0" applyNumberFormat="1" applyAlignment="1">
      <alignment horizontal="center" vertical="center"/>
    </xf>
    <xf numFmtId="178" fontId="20" fillId="0" borderId="0" xfId="0" applyNumberFormat="1" applyFont="1" applyAlignment="1">
      <alignment horizontal="left" vertical="center"/>
    </xf>
    <xf numFmtId="1" fontId="20" fillId="0" borderId="0" xfId="0" applyNumberFormat="1" applyFont="1" applyAlignment="1">
      <alignment horizontal="left" vertical="center"/>
    </xf>
    <xf numFmtId="0" fontId="20" fillId="0" borderId="0" xfId="0" applyFont="1" applyAlignment="1">
      <alignment horizontal="left" vertical="center" wrapText="1"/>
    </xf>
    <xf numFmtId="164" fontId="20" fillId="0" borderId="0" xfId="0" applyNumberFormat="1" applyFont="1" applyAlignment="1">
      <alignment horizontal="left" vertical="center"/>
    </xf>
    <xf numFmtId="9" fontId="20" fillId="0" borderId="0" xfId="1" applyFont="1" applyBorder="1" applyAlignment="1">
      <alignment horizontal="left" vertical="center"/>
    </xf>
    <xf numFmtId="3" fontId="20" fillId="0" borderId="0" xfId="4" applyFont="1" applyBorder="1" applyAlignment="1">
      <alignment horizontal="left" vertical="center"/>
    </xf>
    <xf numFmtId="0" fontId="0" fillId="0" borderId="0" xfId="0" applyAlignment="1">
      <alignment horizontal="left"/>
    </xf>
    <xf numFmtId="6" fontId="22" fillId="0" borderId="39" xfId="0" applyNumberFormat="1" applyFont="1" applyBorder="1" applyAlignment="1">
      <alignment horizontal="center" vertical="center"/>
    </xf>
    <xf numFmtId="0" fontId="22" fillId="0" borderId="40" xfId="0" applyFont="1" applyBorder="1" applyAlignment="1">
      <alignment horizontal="center" vertical="center"/>
    </xf>
    <xf numFmtId="0" fontId="45" fillId="0" borderId="0" xfId="0" applyFont="1" applyAlignment="1">
      <alignment horizontal="center" vertical="center" wrapText="1"/>
    </xf>
    <xf numFmtId="0" fontId="45" fillId="0" borderId="0" xfId="0" applyFont="1" applyAlignment="1">
      <alignment horizontal="left" vertical="center" wrapText="1"/>
    </xf>
    <xf numFmtId="10" fontId="45" fillId="0" borderId="0" xfId="0" applyNumberFormat="1" applyFont="1" applyAlignment="1">
      <alignment horizontal="center" vertical="center"/>
    </xf>
    <xf numFmtId="0" fontId="45" fillId="0" borderId="40" xfId="0" applyFont="1" applyBorder="1" applyAlignment="1">
      <alignment horizontal="center" vertical="center"/>
    </xf>
    <xf numFmtId="0" fontId="45" fillId="0" borderId="40" xfId="0" applyFont="1" applyBorder="1" applyAlignment="1">
      <alignment horizontal="center" vertical="center" wrapText="1"/>
    </xf>
    <xf numFmtId="10" fontId="45" fillId="0" borderId="40" xfId="0" applyNumberFormat="1" applyFont="1" applyBorder="1" applyAlignment="1">
      <alignment horizontal="center" vertical="center"/>
    </xf>
    <xf numFmtId="6" fontId="45" fillId="0" borderId="0" xfId="0" applyNumberFormat="1" applyFont="1" applyAlignment="1">
      <alignment horizontal="center" vertical="center"/>
    </xf>
    <xf numFmtId="6" fontId="45" fillId="0" borderId="38" xfId="0" applyNumberFormat="1" applyFont="1" applyBorder="1" applyAlignment="1">
      <alignment horizontal="center" vertical="center"/>
    </xf>
    <xf numFmtId="6" fontId="45" fillId="0" borderId="40" xfId="0" applyNumberFormat="1" applyFont="1" applyBorder="1" applyAlignment="1">
      <alignment horizontal="center" vertical="center"/>
    </xf>
    <xf numFmtId="10" fontId="22" fillId="0" borderId="40" xfId="0" applyNumberFormat="1" applyFont="1" applyBorder="1" applyAlignment="1">
      <alignment horizontal="center" vertical="center"/>
    </xf>
    <xf numFmtId="0" fontId="20" fillId="0" borderId="40" xfId="0" applyFont="1" applyBorder="1" applyAlignment="1">
      <alignment horizontal="left" vertical="center"/>
    </xf>
    <xf numFmtId="165" fontId="20" fillId="0" borderId="40" xfId="5" applyFont="1" applyBorder="1" applyAlignment="1">
      <alignment horizontal="left" vertical="center"/>
    </xf>
    <xf numFmtId="165" fontId="20" fillId="0" borderId="40" xfId="0" applyNumberFormat="1" applyFont="1" applyBorder="1" applyAlignment="1">
      <alignment horizontal="left" vertical="center"/>
    </xf>
    <xf numFmtId="179" fontId="22" fillId="0" borderId="40" xfId="0" applyNumberFormat="1" applyFont="1" applyBorder="1" applyAlignment="1">
      <alignment horizontal="center" vertical="center"/>
    </xf>
    <xf numFmtId="0" fontId="5" fillId="0" borderId="0" xfId="15" applyFill="1" applyAlignment="1">
      <alignment horizontal="left" vertical="center"/>
    </xf>
    <xf numFmtId="0" fontId="19" fillId="0" borderId="0" xfId="0" applyFont="1" applyAlignment="1">
      <alignment horizontal="left" vertical="center"/>
    </xf>
    <xf numFmtId="169" fontId="19" fillId="0" borderId="0" xfId="0" applyNumberFormat="1" applyFont="1" applyAlignment="1">
      <alignment horizontal="left" vertical="center"/>
    </xf>
    <xf numFmtId="173" fontId="19" fillId="0" borderId="0" xfId="0" applyNumberFormat="1" applyFont="1" applyAlignment="1">
      <alignment horizontal="left" vertical="center"/>
    </xf>
    <xf numFmtId="3" fontId="0" fillId="0" borderId="0" xfId="4" applyFont="1" applyBorder="1" applyAlignment="1">
      <alignment horizontal="center" vertical="center"/>
    </xf>
    <xf numFmtId="0" fontId="22" fillId="0" borderId="40" xfId="0" applyFont="1" applyBorder="1" applyAlignment="1">
      <alignment horizontal="center" vertical="center" wrapText="1"/>
    </xf>
    <xf numFmtId="3" fontId="22" fillId="0" borderId="0" xfId="0" applyNumberFormat="1" applyFont="1" applyAlignment="1">
      <alignment horizontal="center" vertical="center"/>
    </xf>
    <xf numFmtId="9" fontId="24" fillId="0" borderId="0" xfId="1" applyFont="1" applyAlignment="1">
      <alignment horizontal="left" vertical="center"/>
    </xf>
    <xf numFmtId="0" fontId="22" fillId="0" borderId="42" xfId="0" applyFont="1" applyBorder="1" applyAlignment="1">
      <alignment horizontal="center" vertical="center" wrapText="1"/>
    </xf>
    <xf numFmtId="6" fontId="22" fillId="0" borderId="43" xfId="0" applyNumberFormat="1" applyFont="1" applyBorder="1" applyAlignment="1">
      <alignment horizontal="center" vertical="center" wrapText="1"/>
    </xf>
    <xf numFmtId="0" fontId="22" fillId="0" borderId="0" xfId="0" applyFont="1" applyAlignment="1">
      <alignment horizontal="left" vertical="center" wrapText="1" indent="1"/>
    </xf>
    <xf numFmtId="0" fontId="0" fillId="0" borderId="37" xfId="0" applyBorder="1">
      <alignment horizontal="left" vertical="center" indent="1"/>
    </xf>
    <xf numFmtId="0" fontId="4" fillId="0" borderId="45" xfId="0" applyFont="1" applyBorder="1">
      <alignment horizontal="left" vertical="center" indent="1"/>
    </xf>
    <xf numFmtId="0" fontId="0" fillId="0" borderId="45" xfId="0" applyBorder="1">
      <alignment horizontal="left" vertical="center" indent="1"/>
    </xf>
    <xf numFmtId="0" fontId="0" fillId="0" borderId="47" xfId="0" applyBorder="1">
      <alignment horizontal="left" vertical="center" indent="1"/>
    </xf>
    <xf numFmtId="0" fontId="0" fillId="0" borderId="49" xfId="0" applyBorder="1">
      <alignment horizontal="left" vertical="center" indent="1"/>
    </xf>
    <xf numFmtId="0" fontId="0" fillId="0" borderId="51" xfId="0" applyBorder="1">
      <alignment horizontal="left" vertical="center" indent="1"/>
    </xf>
    <xf numFmtId="0" fontId="0" fillId="0" borderId="52" xfId="0" applyBorder="1">
      <alignment horizontal="left" vertical="center" indent="1"/>
    </xf>
    <xf numFmtId="0" fontId="0" fillId="0" borderId="0" xfId="0" quotePrefix="1" applyAlignment="1"/>
    <xf numFmtId="0" fontId="29" fillId="0" borderId="0" xfId="0" applyFont="1" applyAlignment="1">
      <alignment vertical="top" wrapText="1"/>
    </xf>
    <xf numFmtId="0" fontId="28" fillId="0" borderId="0" xfId="0" applyFont="1" applyAlignment="1">
      <alignment vertical="top" wrapText="1"/>
    </xf>
    <xf numFmtId="0" fontId="6" fillId="0" borderId="0" xfId="18" applyFill="1" applyAlignment="1">
      <alignment horizontal="left" vertical="center" indent="1"/>
    </xf>
    <xf numFmtId="0" fontId="8" fillId="12" borderId="0" xfId="14" applyFill="1" applyBorder="1" applyAlignment="1">
      <alignment horizontal="left" vertical="center" indent="1"/>
    </xf>
    <xf numFmtId="0" fontId="8" fillId="12" borderId="0" xfId="14" applyFill="1" applyAlignment="1">
      <alignment horizontal="left" vertical="center" indent="1"/>
    </xf>
    <xf numFmtId="0" fontId="48" fillId="0" borderId="0" xfId="15" applyFont="1" applyAlignment="1">
      <alignment horizontal="left" vertical="center" indent="1"/>
    </xf>
    <xf numFmtId="0" fontId="48" fillId="0" borderId="0" xfId="15" applyFont="1" applyFill="1" applyAlignment="1">
      <alignment horizontal="left" vertical="center" indent="1"/>
    </xf>
    <xf numFmtId="0" fontId="4" fillId="6" borderId="53" xfId="13" applyNumberFormat="1" applyBorder="1">
      <alignment horizontal="left" vertical="center" indent="1"/>
    </xf>
    <xf numFmtId="0" fontId="0" fillId="0" borderId="56" xfId="0" applyBorder="1">
      <alignment horizontal="left" vertical="center" indent="1"/>
    </xf>
    <xf numFmtId="165" fontId="0" fillId="0" borderId="57" xfId="5" applyFont="1" applyBorder="1" applyAlignment="1">
      <alignment horizontal="right" vertical="center" indent="1"/>
    </xf>
    <xf numFmtId="0" fontId="4" fillId="0" borderId="56" xfId="0" applyFont="1" applyBorder="1">
      <alignment horizontal="left" vertical="center" indent="1"/>
    </xf>
    <xf numFmtId="0" fontId="4" fillId="6" borderId="54" xfId="13" applyNumberFormat="1" applyBorder="1">
      <alignment horizontal="left" vertical="center" indent="1"/>
    </xf>
    <xf numFmtId="0" fontId="0" fillId="0" borderId="63" xfId="0" applyBorder="1">
      <alignment horizontal="left" vertical="center" indent="1"/>
    </xf>
    <xf numFmtId="0" fontId="0" fillId="0" borderId="64" xfId="0" applyBorder="1">
      <alignment horizontal="left" vertical="center" indent="1"/>
    </xf>
    <xf numFmtId="9" fontId="0" fillId="0" borderId="64" xfId="1" applyFont="1" applyBorder="1" applyAlignment="1">
      <alignment horizontal="right" vertical="center" indent="1"/>
    </xf>
    <xf numFmtId="0" fontId="4" fillId="0" borderId="68" xfId="0" applyFont="1" applyBorder="1">
      <alignment horizontal="left" vertical="center" indent="1"/>
    </xf>
    <xf numFmtId="0" fontId="4" fillId="6" borderId="55" xfId="13" applyNumberFormat="1" applyBorder="1">
      <alignment horizontal="left" vertical="center" indent="1"/>
    </xf>
    <xf numFmtId="0" fontId="4" fillId="6" borderId="37" xfId="13" applyNumberFormat="1" applyBorder="1" applyAlignment="1">
      <alignment horizontal="center" vertical="center"/>
    </xf>
    <xf numFmtId="0" fontId="4" fillId="6" borderId="37" xfId="13" applyNumberFormat="1" applyBorder="1" applyAlignment="1">
      <alignment horizontal="center" vertical="center" wrapText="1"/>
    </xf>
    <xf numFmtId="1" fontId="0" fillId="0" borderId="0" xfId="0" applyNumberFormat="1" applyAlignment="1">
      <alignment horizontal="left"/>
    </xf>
    <xf numFmtId="0" fontId="0" fillId="0" borderId="57" xfId="0" applyBorder="1">
      <alignment horizontal="left" vertical="center" indent="1"/>
    </xf>
    <xf numFmtId="0" fontId="0" fillId="0" borderId="65" xfId="0" applyBorder="1">
      <alignment horizontal="left" vertical="center" indent="1"/>
    </xf>
    <xf numFmtId="0" fontId="4" fillId="0" borderId="63" xfId="0" applyFont="1" applyBorder="1">
      <alignment horizontal="left" vertical="center" indent="1"/>
    </xf>
    <xf numFmtId="165" fontId="0" fillId="5" borderId="0" xfId="5" applyFont="1" applyFill="1" applyBorder="1" applyAlignment="1">
      <alignment horizontal="center"/>
    </xf>
    <xf numFmtId="165" fontId="0" fillId="5" borderId="57" xfId="5" applyFont="1" applyFill="1" applyBorder="1" applyAlignment="1">
      <alignment horizontal="center"/>
    </xf>
    <xf numFmtId="0" fontId="0" fillId="0" borderId="68" xfId="0" applyBorder="1">
      <alignment horizontal="left" vertical="center" indent="1"/>
    </xf>
    <xf numFmtId="0" fontId="4" fillId="0" borderId="57" xfId="0" applyFont="1" applyBorder="1" applyAlignment="1">
      <alignment horizontal="center" vertical="center"/>
    </xf>
    <xf numFmtId="0" fontId="4" fillId="0" borderId="79" xfId="0" applyFont="1" applyBorder="1">
      <alignment horizontal="left" vertical="center" indent="1"/>
    </xf>
    <xf numFmtId="0" fontId="4" fillId="0" borderId="80" xfId="0" applyFont="1" applyBorder="1" applyAlignment="1">
      <alignment horizontal="center" vertical="center"/>
    </xf>
    <xf numFmtId="166" fontId="0" fillId="0" borderId="64" xfId="1" applyNumberFormat="1" applyFont="1" applyBorder="1" applyAlignment="1">
      <alignment horizontal="center" vertical="center"/>
    </xf>
    <xf numFmtId="166" fontId="4" fillId="0" borderId="65" xfId="1" applyNumberFormat="1" applyFont="1" applyBorder="1" applyAlignment="1">
      <alignment horizontal="center" vertical="center"/>
    </xf>
    <xf numFmtId="0" fontId="0" fillId="0" borderId="51" xfId="0" applyBorder="1" applyAlignment="1">
      <alignment horizontal="center" vertical="center"/>
    </xf>
    <xf numFmtId="0" fontId="4" fillId="0" borderId="69" xfId="0" applyFont="1" applyBorder="1" applyAlignment="1">
      <alignment horizontal="center" vertical="center"/>
    </xf>
    <xf numFmtId="166" fontId="0" fillId="0" borderId="69" xfId="0" applyNumberFormat="1" applyBorder="1">
      <alignment horizontal="left" vertical="center" indent="1"/>
    </xf>
    <xf numFmtId="166" fontId="0" fillId="0" borderId="57" xfId="0" applyNumberFormat="1" applyBorder="1">
      <alignment horizontal="left" vertical="center" indent="1"/>
    </xf>
    <xf numFmtId="166" fontId="0" fillId="0" borderId="77" xfId="0" applyNumberFormat="1" applyBorder="1">
      <alignment horizontal="left" vertical="center" indent="1"/>
    </xf>
    <xf numFmtId="0" fontId="0" fillId="0" borderId="69" xfId="0" applyBorder="1">
      <alignment horizontal="left" vertical="center" indent="1"/>
    </xf>
    <xf numFmtId="0" fontId="8" fillId="12" borderId="0" xfId="9" applyFill="1" applyBorder="1" applyAlignment="1">
      <alignment horizontal="left" vertical="center" indent="1"/>
    </xf>
    <xf numFmtId="0" fontId="8" fillId="12" borderId="0" xfId="9" applyFill="1" applyAlignment="1">
      <alignment horizontal="left" vertical="center" indent="1"/>
    </xf>
    <xf numFmtId="1" fontId="0" fillId="0" borderId="0" xfId="0" applyNumberFormat="1" applyAlignment="1">
      <alignment horizontal="center" vertical="center"/>
    </xf>
    <xf numFmtId="1" fontId="0" fillId="0" borderId="51" xfId="0" applyNumberFormat="1" applyBorder="1" applyAlignment="1">
      <alignment horizontal="center" vertical="center"/>
    </xf>
    <xf numFmtId="1" fontId="0" fillId="0" borderId="52" xfId="0" applyNumberFormat="1" applyBorder="1" applyAlignment="1">
      <alignment horizontal="center" vertical="center"/>
    </xf>
    <xf numFmtId="1" fontId="0" fillId="0" borderId="64" xfId="0" applyNumberFormat="1" applyBorder="1" applyAlignment="1">
      <alignment horizontal="center" vertical="center"/>
    </xf>
    <xf numFmtId="0" fontId="6" fillId="0" borderId="56" xfId="0" applyFont="1" applyBorder="1">
      <alignment horizontal="left" vertical="center" indent="1"/>
    </xf>
    <xf numFmtId="0" fontId="4" fillId="0" borderId="53" xfId="0" applyFont="1" applyBorder="1">
      <alignment horizontal="left" vertical="center" indent="1"/>
    </xf>
    <xf numFmtId="0" fontId="4" fillId="6" borderId="83" xfId="13" applyNumberFormat="1" applyBorder="1">
      <alignment horizontal="left" vertical="center" indent="1"/>
    </xf>
    <xf numFmtId="0" fontId="4" fillId="6" borderId="84" xfId="13" applyNumberFormat="1" applyBorder="1">
      <alignment horizontal="left" vertical="center" indent="1"/>
    </xf>
    <xf numFmtId="0" fontId="4" fillId="6" borderId="85" xfId="13" applyNumberFormat="1" applyBorder="1" applyAlignment="1">
      <alignment horizontal="right" vertical="center" indent="1"/>
    </xf>
    <xf numFmtId="0" fontId="4" fillId="6" borderId="84" xfId="13" applyNumberFormat="1" applyBorder="1" applyAlignment="1">
      <alignment horizontal="right" vertical="center" indent="1"/>
    </xf>
    <xf numFmtId="0" fontId="4" fillId="6" borderId="78" xfId="13" applyNumberFormat="1" applyBorder="1" applyAlignment="1">
      <alignment horizontal="center" vertical="center"/>
    </xf>
    <xf numFmtId="0" fontId="4" fillId="0" borderId="0" xfId="13" applyNumberFormat="1" applyFill="1" applyBorder="1" applyAlignment="1">
      <alignment horizontal="center" vertical="center"/>
    </xf>
    <xf numFmtId="0" fontId="4" fillId="0" borderId="0" xfId="0" applyFont="1" applyAlignment="1">
      <alignment horizontal="center" vertical="center"/>
    </xf>
    <xf numFmtId="0" fontId="4" fillId="6" borderId="54" xfId="13" applyNumberFormat="1" applyBorder="1" applyAlignment="1">
      <alignment horizontal="left" vertical="center"/>
    </xf>
    <xf numFmtId="166" fontId="0" fillId="0" borderId="62" xfId="0" applyNumberFormat="1" applyBorder="1">
      <alignment horizontal="left" vertical="center" indent="1"/>
    </xf>
    <xf numFmtId="0" fontId="0" fillId="0" borderId="87" xfId="0" applyBorder="1">
      <alignment horizontal="left" vertical="center" indent="1"/>
    </xf>
    <xf numFmtId="0" fontId="10" fillId="0" borderId="0" xfId="7">
      <alignment horizontal="left" vertical="center" indent="1"/>
    </xf>
    <xf numFmtId="1" fontId="0" fillId="0" borderId="0" xfId="0" applyNumberFormat="1" applyAlignment="1"/>
    <xf numFmtId="1" fontId="0" fillId="0" borderId="0" xfId="21" applyNumberFormat="1" applyFont="1" applyFill="1" applyBorder="1" applyAlignment="1">
      <alignment vertical="center" wrapText="1"/>
    </xf>
    <xf numFmtId="0" fontId="8" fillId="0" borderId="0" xfId="14" applyFill="1" applyAlignment="1">
      <alignment horizontal="left" vertical="center" indent="1"/>
    </xf>
    <xf numFmtId="1" fontId="4" fillId="6" borderId="54" xfId="13" applyNumberFormat="1" applyBorder="1" applyAlignment="1">
      <alignment horizontal="center" vertical="center"/>
    </xf>
    <xf numFmtId="1" fontId="0" fillId="0" borderId="54" xfId="0" applyNumberFormat="1" applyBorder="1" applyAlignment="1">
      <alignment horizontal="center" vertical="center"/>
    </xf>
    <xf numFmtId="0" fontId="4" fillId="0" borderId="0" xfId="13" applyNumberFormat="1" applyFill="1" applyBorder="1" applyAlignment="1">
      <alignment horizontal="right" vertical="center" indent="1"/>
    </xf>
    <xf numFmtId="0" fontId="4" fillId="0" borderId="0" xfId="13" applyNumberFormat="1" applyFill="1" applyAlignment="1">
      <alignment horizontal="right" vertical="center" indent="1"/>
    </xf>
    <xf numFmtId="165" fontId="0" fillId="0" borderId="3" xfId="5" applyFont="1" applyFill="1" applyBorder="1" applyAlignment="1">
      <alignment horizontal="right" vertical="center" indent="1"/>
    </xf>
    <xf numFmtId="3" fontId="0" fillId="0" borderId="52" xfId="4" applyFont="1" applyBorder="1" applyAlignment="1">
      <alignment horizontal="center" vertical="center"/>
    </xf>
    <xf numFmtId="0" fontId="0" fillId="0" borderId="52" xfId="0" applyBorder="1" applyAlignment="1">
      <alignment horizontal="center" vertical="center"/>
    </xf>
    <xf numFmtId="3" fontId="0" fillId="0" borderId="89" xfId="4" applyFont="1" applyBorder="1" applyAlignment="1">
      <alignment horizontal="center" vertical="center"/>
    </xf>
    <xf numFmtId="9" fontId="0" fillId="0" borderId="0" xfId="19" applyNumberFormat="1" applyFont="1" applyFill="1" applyBorder="1" applyAlignment="1">
      <alignment horizontal="center" vertical="center"/>
    </xf>
    <xf numFmtId="2" fontId="0" fillId="0" borderId="0" xfId="19" applyNumberFormat="1" applyFont="1" applyFill="1" applyBorder="1" applyAlignment="1">
      <alignment horizontal="center" vertical="center"/>
    </xf>
    <xf numFmtId="9" fontId="0" fillId="0" borderId="89" xfId="19" applyNumberFormat="1" applyFont="1" applyFill="1" applyBorder="1" applyAlignment="1">
      <alignment horizontal="center" vertical="center"/>
    </xf>
    <xf numFmtId="2" fontId="0" fillId="0" borderId="89" xfId="19" applyNumberFormat="1" applyFont="1" applyFill="1" applyBorder="1" applyAlignment="1">
      <alignment horizontal="center" vertical="center"/>
    </xf>
    <xf numFmtId="3" fontId="0" fillId="0" borderId="0" xfId="19" applyNumberFormat="1" applyFont="1" applyFill="1" applyBorder="1" applyAlignment="1">
      <alignment horizontal="center" vertical="center"/>
    </xf>
    <xf numFmtId="3" fontId="0" fillId="0" borderId="51" xfId="19" applyNumberFormat="1" applyFont="1" applyFill="1" applyBorder="1" applyAlignment="1">
      <alignment horizontal="center" vertical="center"/>
    </xf>
    <xf numFmtId="3" fontId="0" fillId="0" borderId="52" xfId="19" applyNumberFormat="1" applyFont="1" applyFill="1" applyBorder="1" applyAlignment="1">
      <alignment horizontal="center" vertical="center"/>
    </xf>
    <xf numFmtId="1" fontId="4" fillId="6" borderId="52" xfId="13" applyNumberFormat="1" applyBorder="1" applyAlignment="1">
      <alignment horizontal="center" vertical="center"/>
    </xf>
    <xf numFmtId="1" fontId="4" fillId="6" borderId="52" xfId="13" applyNumberFormat="1" applyBorder="1" applyAlignment="1">
      <alignment horizontal="center" vertical="center" wrapText="1"/>
    </xf>
    <xf numFmtId="0" fontId="4" fillId="6" borderId="52" xfId="13" applyNumberFormat="1" applyBorder="1" applyAlignment="1">
      <alignment horizontal="center" vertical="center"/>
    </xf>
    <xf numFmtId="0" fontId="34" fillId="8" borderId="44" xfId="0" applyFont="1" applyFill="1" applyBorder="1" applyAlignment="1">
      <alignment horizontal="center"/>
    </xf>
    <xf numFmtId="0" fontId="34" fillId="8" borderId="45" xfId="0" applyFont="1" applyFill="1" applyBorder="1" applyAlignment="1">
      <alignment horizontal="center"/>
    </xf>
    <xf numFmtId="0" fontId="34" fillId="8" borderId="49" xfId="0" applyFont="1" applyFill="1" applyBorder="1" applyAlignment="1">
      <alignment horizontal="center"/>
    </xf>
    <xf numFmtId="0" fontId="32" fillId="0" borderId="44" xfId="0" applyFont="1" applyBorder="1" applyAlignment="1">
      <alignment horizontal="center"/>
    </xf>
    <xf numFmtId="0" fontId="32" fillId="0" borderId="45" xfId="0" applyFont="1" applyBorder="1" applyAlignment="1">
      <alignment horizontal="center"/>
    </xf>
    <xf numFmtId="0" fontId="32" fillId="0" borderId="49" xfId="0" applyFont="1" applyBorder="1" applyAlignment="1">
      <alignment horizontal="center"/>
    </xf>
    <xf numFmtId="1" fontId="4" fillId="6" borderId="62" xfId="13" applyNumberFormat="1" applyBorder="1" applyAlignment="1">
      <alignment horizontal="center" vertical="center" wrapText="1"/>
    </xf>
    <xf numFmtId="2" fontId="0" fillId="0" borderId="57" xfId="19" applyNumberFormat="1" applyFont="1" applyFill="1" applyBorder="1" applyAlignment="1">
      <alignment horizontal="center" vertical="center"/>
    </xf>
    <xf numFmtId="2" fontId="0" fillId="0" borderId="86" xfId="19" applyNumberFormat="1" applyFont="1" applyFill="1" applyBorder="1" applyAlignment="1">
      <alignment horizontal="center" vertical="center"/>
    </xf>
    <xf numFmtId="3" fontId="0" fillId="0" borderId="64" xfId="4" applyFont="1" applyBorder="1" applyAlignment="1">
      <alignment horizontal="center" vertical="center"/>
    </xf>
    <xf numFmtId="3" fontId="0" fillId="0" borderId="54" xfId="19" applyNumberFormat="1" applyFont="1" applyFill="1" applyBorder="1" applyAlignment="1">
      <alignment horizontal="center" vertical="center"/>
    </xf>
    <xf numFmtId="0" fontId="0" fillId="0" borderId="89" xfId="0" applyBorder="1" applyAlignment="1">
      <alignment horizontal="center" vertical="center"/>
    </xf>
    <xf numFmtId="0" fontId="0" fillId="0" borderId="64" xfId="0" applyBorder="1" applyAlignment="1">
      <alignment horizontal="center" vertical="center"/>
    </xf>
    <xf numFmtId="0" fontId="51" fillId="0" borderId="0" xfId="0" applyFont="1">
      <alignment horizontal="left" vertical="center" indent="1"/>
    </xf>
    <xf numFmtId="3" fontId="0" fillId="0" borderId="89" xfId="19" applyNumberFormat="1" applyFont="1" applyFill="1" applyBorder="1" applyAlignment="1">
      <alignment horizontal="center" vertical="center"/>
    </xf>
    <xf numFmtId="0" fontId="0" fillId="15" borderId="51" xfId="0" applyFill="1" applyBorder="1" applyAlignment="1">
      <alignment horizontal="center" vertical="center"/>
    </xf>
    <xf numFmtId="3" fontId="0" fillId="15" borderId="54" xfId="4" applyFont="1" applyFill="1" applyBorder="1" applyAlignment="1">
      <alignment horizontal="center" vertical="center"/>
    </xf>
    <xf numFmtId="181" fontId="0" fillId="15" borderId="54" xfId="4" applyNumberFormat="1" applyFont="1" applyFill="1" applyBorder="1" applyAlignment="1">
      <alignment horizontal="center" vertical="center"/>
    </xf>
    <xf numFmtId="3" fontId="0" fillId="15" borderId="54" xfId="19" applyNumberFormat="1" applyFont="1" applyFill="1" applyBorder="1" applyAlignment="1">
      <alignment horizontal="center" vertical="center"/>
    </xf>
    <xf numFmtId="3" fontId="53" fillId="15" borderId="54" xfId="0" applyNumberFormat="1" applyFont="1" applyFill="1" applyBorder="1" applyAlignment="1">
      <alignment horizontal="center" vertical="center"/>
    </xf>
    <xf numFmtId="10" fontId="9" fillId="15" borderId="54" xfId="19" applyNumberFormat="1" applyFont="1" applyFill="1" applyBorder="1" applyAlignment="1">
      <alignment horizontal="center" vertical="center"/>
    </xf>
    <xf numFmtId="3" fontId="0" fillId="15" borderId="51" xfId="19" applyNumberFormat="1" applyFont="1" applyFill="1" applyBorder="1" applyAlignment="1">
      <alignment horizontal="center" vertical="center"/>
    </xf>
    <xf numFmtId="0" fontId="0" fillId="15" borderId="0" xfId="0" applyFill="1">
      <alignment horizontal="left" vertical="center" indent="1"/>
    </xf>
    <xf numFmtId="0" fontId="0" fillId="15" borderId="0" xfId="0" applyFill="1" applyAlignment="1">
      <alignment horizontal="center" vertical="center"/>
    </xf>
    <xf numFmtId="3" fontId="0" fillId="15" borderId="0" xfId="4" applyFont="1" applyFill="1" applyBorder="1" applyAlignment="1">
      <alignment horizontal="center" vertical="center"/>
    </xf>
    <xf numFmtId="181" fontId="0" fillId="15" borderId="0" xfId="4" applyNumberFormat="1" applyFont="1" applyFill="1" applyBorder="1" applyAlignment="1">
      <alignment horizontal="center" vertical="center"/>
    </xf>
    <xf numFmtId="3" fontId="0" fillId="15" borderId="0" xfId="19" applyNumberFormat="1" applyFont="1" applyFill="1" applyBorder="1" applyAlignment="1">
      <alignment horizontal="center" vertical="center"/>
    </xf>
    <xf numFmtId="10" fontId="9" fillId="15" borderId="0" xfId="19" applyNumberFormat="1" applyFont="1" applyFill="1" applyBorder="1" applyAlignment="1">
      <alignment horizontal="center" vertical="center"/>
    </xf>
    <xf numFmtId="9" fontId="0" fillId="15" borderId="0" xfId="19" applyNumberFormat="1" applyFont="1" applyFill="1" applyBorder="1" applyAlignment="1">
      <alignment horizontal="center" vertical="center"/>
    </xf>
    <xf numFmtId="2" fontId="0" fillId="15" borderId="0" xfId="19" applyNumberFormat="1" applyFont="1" applyFill="1" applyBorder="1" applyAlignment="1">
      <alignment horizontal="center" vertical="center"/>
    </xf>
    <xf numFmtId="2" fontId="0" fillId="15" borderId="57" xfId="19" applyNumberFormat="1" applyFont="1" applyFill="1" applyBorder="1" applyAlignment="1">
      <alignment horizontal="center" vertical="center"/>
    </xf>
    <xf numFmtId="3" fontId="0" fillId="15" borderId="52" xfId="19" applyNumberFormat="1" applyFont="1" applyFill="1" applyBorder="1" applyAlignment="1">
      <alignment horizontal="center" vertical="center"/>
    </xf>
    <xf numFmtId="3" fontId="0" fillId="15" borderId="51" xfId="4" applyFont="1" applyFill="1" applyBorder="1" applyAlignment="1">
      <alignment horizontal="center" vertical="center"/>
    </xf>
    <xf numFmtId="181" fontId="0" fillId="15" borderId="51" xfId="4" applyNumberFormat="1" applyFont="1" applyFill="1" applyBorder="1" applyAlignment="1">
      <alignment horizontal="center" vertical="center"/>
    </xf>
    <xf numFmtId="3" fontId="53" fillId="15" borderId="51" xfId="0" applyNumberFormat="1" applyFont="1" applyFill="1" applyBorder="1" applyAlignment="1">
      <alignment horizontal="center" vertical="center"/>
    </xf>
    <xf numFmtId="10" fontId="9" fillId="15" borderId="51" xfId="19" applyNumberFormat="1" applyFont="1" applyFill="1" applyBorder="1" applyAlignment="1">
      <alignment horizontal="center" vertical="center"/>
    </xf>
    <xf numFmtId="0" fontId="0" fillId="15" borderId="52" xfId="0" applyFill="1" applyBorder="1" applyAlignment="1">
      <alignment horizontal="center" vertical="center"/>
    </xf>
    <xf numFmtId="3" fontId="0" fillId="15" borderId="52" xfId="4" applyFont="1" applyFill="1" applyBorder="1" applyAlignment="1">
      <alignment horizontal="center" vertical="center"/>
    </xf>
    <xf numFmtId="181" fontId="0" fillId="15" borderId="52" xfId="4" applyNumberFormat="1" applyFont="1" applyFill="1" applyBorder="1" applyAlignment="1">
      <alignment horizontal="center" vertical="center"/>
    </xf>
    <xf numFmtId="3" fontId="53" fillId="15" borderId="52" xfId="0" applyNumberFormat="1" applyFont="1" applyFill="1" applyBorder="1" applyAlignment="1">
      <alignment horizontal="center" vertical="center"/>
    </xf>
    <xf numFmtId="10" fontId="9" fillId="15" borderId="52" xfId="19" applyNumberFormat="1" applyFont="1" applyFill="1" applyBorder="1" applyAlignment="1">
      <alignment horizontal="center" vertical="center"/>
    </xf>
    <xf numFmtId="3" fontId="0" fillId="15" borderId="89" xfId="19" applyNumberFormat="1" applyFont="1" applyFill="1" applyBorder="1" applyAlignment="1">
      <alignment horizontal="center" vertical="center"/>
    </xf>
    <xf numFmtId="0" fontId="53" fillId="15" borderId="51" xfId="0" applyFont="1" applyFill="1" applyBorder="1" applyAlignment="1">
      <alignment horizontal="center" vertical="center"/>
    </xf>
    <xf numFmtId="0" fontId="53" fillId="15" borderId="52" xfId="0" applyFont="1" applyFill="1" applyBorder="1" applyAlignment="1">
      <alignment horizontal="center" vertical="center"/>
    </xf>
    <xf numFmtId="0" fontId="0" fillId="15" borderId="89" xfId="0" applyFill="1" applyBorder="1" applyAlignment="1">
      <alignment horizontal="center" vertical="center"/>
    </xf>
    <xf numFmtId="3" fontId="0" fillId="15" borderId="89" xfId="4" applyFont="1" applyFill="1" applyBorder="1" applyAlignment="1">
      <alignment horizontal="center" vertical="center"/>
    </xf>
    <xf numFmtId="181" fontId="0" fillId="15" borderId="89" xfId="4" applyNumberFormat="1" applyFont="1" applyFill="1" applyBorder="1" applyAlignment="1">
      <alignment horizontal="center" vertical="center"/>
    </xf>
    <xf numFmtId="0" fontId="52" fillId="15" borderId="89" xfId="0" applyFont="1" applyFill="1" applyBorder="1" applyAlignment="1">
      <alignment horizontal="center" vertical="center"/>
    </xf>
    <xf numFmtId="10" fontId="9" fillId="15" borderId="89" xfId="19" applyNumberFormat="1" applyFont="1" applyFill="1" applyBorder="1" applyAlignment="1">
      <alignment horizontal="center" vertical="center"/>
    </xf>
    <xf numFmtId="9" fontId="0" fillId="15" borderId="89" xfId="19" applyNumberFormat="1" applyFont="1" applyFill="1" applyBorder="1" applyAlignment="1">
      <alignment horizontal="center" vertical="center"/>
    </xf>
    <xf numFmtId="2" fontId="0" fillId="15" borderId="89" xfId="19" applyNumberFormat="1" applyFont="1" applyFill="1" applyBorder="1" applyAlignment="1">
      <alignment horizontal="center" vertical="center"/>
    </xf>
    <xf numFmtId="2" fontId="0" fillId="15" borderId="86" xfId="19" applyNumberFormat="1" applyFont="1" applyFill="1" applyBorder="1" applyAlignment="1">
      <alignment horizontal="center" vertical="center"/>
    </xf>
    <xf numFmtId="3" fontId="53" fillId="15" borderId="89" xfId="0" applyNumberFormat="1" applyFont="1" applyFill="1" applyBorder="1" applyAlignment="1">
      <alignment horizontal="center" vertical="center"/>
    </xf>
    <xf numFmtId="0" fontId="0" fillId="15" borderId="64" xfId="0" applyFill="1" applyBorder="1">
      <alignment horizontal="left" vertical="center" indent="1"/>
    </xf>
    <xf numFmtId="0" fontId="0" fillId="15" borderId="64" xfId="0" applyFill="1" applyBorder="1" applyAlignment="1">
      <alignment horizontal="center" vertical="center"/>
    </xf>
    <xf numFmtId="3" fontId="0" fillId="15" borderId="64" xfId="4" applyFont="1" applyFill="1" applyBorder="1" applyAlignment="1">
      <alignment horizontal="center" vertical="center"/>
    </xf>
    <xf numFmtId="181" fontId="0" fillId="15" borderId="64" xfId="4" applyNumberFormat="1" applyFont="1" applyFill="1" applyBorder="1" applyAlignment="1">
      <alignment horizontal="center" vertical="center"/>
    </xf>
    <xf numFmtId="10" fontId="9" fillId="15" borderId="64" xfId="19" applyNumberFormat="1" applyFont="1" applyFill="1" applyBorder="1" applyAlignment="1">
      <alignment horizontal="center" vertical="center"/>
    </xf>
    <xf numFmtId="1" fontId="4" fillId="6" borderId="66" xfId="13" applyNumberFormat="1" applyBorder="1" applyAlignment="1">
      <alignment horizontal="center" vertical="center"/>
    </xf>
    <xf numFmtId="3" fontId="0" fillId="0" borderId="68" xfId="19" applyNumberFormat="1" applyFont="1" applyFill="1" applyBorder="1" applyAlignment="1">
      <alignment horizontal="center" vertical="center"/>
    </xf>
    <xf numFmtId="3" fontId="0" fillId="0" borderId="56" xfId="19" applyNumberFormat="1" applyFont="1" applyFill="1" applyBorder="1" applyAlignment="1">
      <alignment horizontal="center" vertical="center"/>
    </xf>
    <xf numFmtId="3" fontId="0" fillId="0" borderId="66" xfId="19" applyNumberFormat="1" applyFont="1" applyFill="1" applyBorder="1" applyAlignment="1">
      <alignment horizontal="center" vertical="center"/>
    </xf>
    <xf numFmtId="3" fontId="0" fillId="0" borderId="57" xfId="19" applyNumberFormat="1" applyFont="1" applyFill="1" applyBorder="1" applyAlignment="1">
      <alignment horizontal="center" vertical="center"/>
    </xf>
    <xf numFmtId="3" fontId="0" fillId="15" borderId="53" xfId="19" applyNumberFormat="1" applyFont="1" applyFill="1" applyBorder="1" applyAlignment="1">
      <alignment horizontal="center" vertical="center"/>
    </xf>
    <xf numFmtId="3" fontId="53" fillId="15" borderId="55" xfId="0" applyNumberFormat="1" applyFont="1" applyFill="1" applyBorder="1" applyAlignment="1">
      <alignment horizontal="center" vertical="center"/>
    </xf>
    <xf numFmtId="3" fontId="0" fillId="15" borderId="56" xfId="19" applyNumberFormat="1" applyFont="1" applyFill="1" applyBorder="1" applyAlignment="1">
      <alignment horizontal="center" vertical="center"/>
    </xf>
    <xf numFmtId="3" fontId="53" fillId="15" borderId="0" xfId="0" applyNumberFormat="1" applyFont="1" applyFill="1" applyAlignment="1">
      <alignment horizontal="center" vertical="center"/>
    </xf>
    <xf numFmtId="3" fontId="53" fillId="15" borderId="57" xfId="0" applyNumberFormat="1" applyFont="1" applyFill="1" applyBorder="1" applyAlignment="1">
      <alignment horizontal="center" vertical="center"/>
    </xf>
    <xf numFmtId="3" fontId="0" fillId="15" borderId="68" xfId="19" applyNumberFormat="1" applyFont="1" applyFill="1" applyBorder="1" applyAlignment="1">
      <alignment horizontal="center" vertical="center"/>
    </xf>
    <xf numFmtId="3" fontId="53" fillId="15" borderId="69" xfId="0" applyNumberFormat="1" applyFont="1" applyFill="1" applyBorder="1" applyAlignment="1">
      <alignment horizontal="center" vertical="center"/>
    </xf>
    <xf numFmtId="3" fontId="0" fillId="15" borderId="66" xfId="19" applyNumberFormat="1" applyFont="1" applyFill="1" applyBorder="1" applyAlignment="1">
      <alignment horizontal="center" vertical="center"/>
    </xf>
    <xf numFmtId="3" fontId="53" fillId="15" borderId="62" xfId="0" applyNumberFormat="1" applyFont="1" applyFill="1" applyBorder="1" applyAlignment="1">
      <alignment horizontal="center" vertical="center"/>
    </xf>
    <xf numFmtId="0" fontId="53" fillId="15" borderId="0" xfId="0" applyFont="1" applyFill="1" applyAlignment="1">
      <alignment horizontal="center" vertical="center"/>
    </xf>
    <xf numFmtId="0" fontId="53" fillId="15" borderId="68" xfId="0" applyFont="1" applyFill="1" applyBorder="1" applyAlignment="1">
      <alignment horizontal="center" vertical="center"/>
    </xf>
    <xf numFmtId="3" fontId="0" fillId="15" borderId="57" xfId="19" applyNumberFormat="1" applyFont="1" applyFill="1" applyBorder="1" applyAlignment="1">
      <alignment horizontal="center" vertical="center"/>
    </xf>
    <xf numFmtId="0" fontId="53" fillId="15" borderId="66" xfId="0" applyFont="1" applyFill="1" applyBorder="1" applyAlignment="1">
      <alignment horizontal="center" vertical="center"/>
    </xf>
    <xf numFmtId="3" fontId="0" fillId="15" borderId="56" xfId="4" applyFont="1" applyFill="1" applyBorder="1" applyAlignment="1">
      <alignment horizontal="center" vertical="center"/>
    </xf>
    <xf numFmtId="3" fontId="0" fillId="15" borderId="57" xfId="4" applyFont="1" applyFill="1" applyBorder="1" applyAlignment="1">
      <alignment horizontal="center" vertical="center"/>
    </xf>
    <xf numFmtId="3" fontId="0" fillId="15" borderId="66" xfId="4" applyFont="1" applyFill="1" applyBorder="1" applyAlignment="1">
      <alignment horizontal="center" vertical="center"/>
    </xf>
    <xf numFmtId="3" fontId="0" fillId="15" borderId="94" xfId="4" applyFont="1" applyFill="1" applyBorder="1" applyAlignment="1">
      <alignment horizontal="center" vertical="center"/>
    </xf>
    <xf numFmtId="0" fontId="52" fillId="15" borderId="86" xfId="0" applyFont="1" applyFill="1" applyBorder="1" applyAlignment="1">
      <alignment horizontal="center" vertical="center"/>
    </xf>
    <xf numFmtId="3" fontId="53" fillId="15" borderId="86" xfId="0" applyNumberFormat="1" applyFont="1" applyFill="1" applyBorder="1" applyAlignment="1">
      <alignment horizontal="center" vertical="center"/>
    </xf>
    <xf numFmtId="3" fontId="0" fillId="15" borderId="63" xfId="4" applyFont="1" applyFill="1" applyBorder="1" applyAlignment="1">
      <alignment horizontal="center" vertical="center"/>
    </xf>
    <xf numFmtId="3" fontId="0" fillId="15" borderId="65" xfId="4" applyFont="1" applyFill="1" applyBorder="1" applyAlignment="1">
      <alignment horizontal="center" vertical="center"/>
    </xf>
    <xf numFmtId="3" fontId="0" fillId="0" borderId="53" xfId="19" applyNumberFormat="1" applyFont="1" applyFill="1" applyBorder="1" applyAlignment="1">
      <alignment horizontal="center" vertical="center"/>
    </xf>
    <xf numFmtId="1" fontId="4" fillId="6" borderId="66" xfId="13" applyNumberFormat="1" applyBorder="1" applyAlignment="1">
      <alignment horizontal="center" vertical="center" wrapText="1"/>
    </xf>
    <xf numFmtId="3" fontId="0" fillId="0" borderId="69" xfId="19" applyNumberFormat="1" applyFont="1" applyFill="1" applyBorder="1" applyAlignment="1">
      <alignment horizontal="center" vertical="center"/>
    </xf>
    <xf numFmtId="3" fontId="9" fillId="0" borderId="69" xfId="19" applyNumberFormat="1" applyFont="1" applyFill="1" applyBorder="1" applyAlignment="1">
      <alignment horizontal="center" vertical="center"/>
    </xf>
    <xf numFmtId="3" fontId="9" fillId="0" borderId="57" xfId="19" applyNumberFormat="1" applyFont="1" applyFill="1" applyBorder="1" applyAlignment="1">
      <alignment horizontal="center" vertical="center"/>
    </xf>
    <xf numFmtId="3" fontId="9" fillId="0" borderId="62" xfId="19" applyNumberFormat="1" applyFont="1" applyFill="1" applyBorder="1" applyAlignment="1">
      <alignment horizontal="center" vertical="center"/>
    </xf>
    <xf numFmtId="3" fontId="0" fillId="0" borderId="62" xfId="19" applyNumberFormat="1" applyFont="1" applyFill="1" applyBorder="1" applyAlignment="1">
      <alignment horizontal="center" vertical="center"/>
    </xf>
    <xf numFmtId="3" fontId="0" fillId="0" borderId="94" xfId="19" applyNumberFormat="1" applyFont="1" applyFill="1" applyBorder="1" applyAlignment="1">
      <alignment horizontal="center" vertical="center"/>
    </xf>
    <xf numFmtId="3" fontId="0" fillId="0" borderId="86" xfId="19" applyNumberFormat="1" applyFont="1" applyFill="1" applyBorder="1" applyAlignment="1">
      <alignment horizontal="center" vertical="center"/>
    </xf>
    <xf numFmtId="3" fontId="9" fillId="15" borderId="69" xfId="19" applyNumberFormat="1" applyFont="1" applyFill="1" applyBorder="1" applyAlignment="1">
      <alignment horizontal="center" vertical="center"/>
    </xf>
    <xf numFmtId="3" fontId="9" fillId="15" borderId="57" xfId="19" applyNumberFormat="1" applyFont="1" applyFill="1" applyBorder="1" applyAlignment="1">
      <alignment horizontal="center" vertical="center"/>
    </xf>
    <xf numFmtId="3" fontId="9" fillId="15" borderId="62" xfId="19" applyNumberFormat="1" applyFont="1" applyFill="1" applyBorder="1" applyAlignment="1">
      <alignment horizontal="center" vertical="center"/>
    </xf>
    <xf numFmtId="3" fontId="0" fillId="15" borderId="94" xfId="19" applyNumberFormat="1" applyFont="1" applyFill="1" applyBorder="1" applyAlignment="1">
      <alignment horizontal="center" vertical="center"/>
    </xf>
    <xf numFmtId="3" fontId="0" fillId="15" borderId="86" xfId="19" applyNumberFormat="1" applyFont="1" applyFill="1" applyBorder="1" applyAlignment="1">
      <alignment horizontal="center" vertical="center"/>
    </xf>
    <xf numFmtId="3" fontId="0" fillId="0" borderId="0" xfId="4" applyFont="1" applyFill="1" applyBorder="1" applyAlignment="1">
      <alignment horizontal="center" vertical="center"/>
    </xf>
    <xf numFmtId="3" fontId="0" fillId="0" borderId="57" xfId="4" applyFont="1" applyFill="1" applyBorder="1" applyAlignment="1">
      <alignment horizontal="center" vertical="center"/>
    </xf>
    <xf numFmtId="0" fontId="0" fillId="14" borderId="0" xfId="0" applyFill="1">
      <alignment horizontal="left" vertical="center" indent="1"/>
    </xf>
    <xf numFmtId="16" fontId="0" fillId="0" borderId="0" xfId="0" quotePrefix="1" applyNumberFormat="1">
      <alignment horizontal="left" vertical="center" indent="1"/>
    </xf>
    <xf numFmtId="166" fontId="0" fillId="0" borderId="0" xfId="0" applyNumberFormat="1">
      <alignment horizontal="left" vertical="center" indent="1"/>
    </xf>
    <xf numFmtId="0" fontId="0" fillId="16" borderId="0" xfId="0" applyFill="1">
      <alignment horizontal="left" vertical="center" indent="1"/>
    </xf>
    <xf numFmtId="2" fontId="0" fillId="16" borderId="0" xfId="0" applyNumberFormat="1" applyFill="1">
      <alignment horizontal="left" vertical="center" indent="1"/>
    </xf>
    <xf numFmtId="1" fontId="54" fillId="17" borderId="0" xfId="13" applyNumberFormat="1" applyFont="1" applyFill="1" applyAlignment="1">
      <alignment horizontal="center" vertical="center"/>
    </xf>
    <xf numFmtId="2" fontId="55" fillId="0" borderId="57" xfId="0" applyNumberFormat="1" applyFont="1" applyBorder="1" applyAlignment="1">
      <alignment horizontal="center" vertical="center"/>
    </xf>
    <xf numFmtId="2" fontId="55" fillId="0" borderId="52" xfId="0" applyNumberFormat="1" applyFont="1" applyBorder="1" applyAlignment="1">
      <alignment horizontal="center" vertical="center"/>
    </xf>
    <xf numFmtId="2" fontId="55" fillId="0" borderId="62" xfId="0" applyNumberFormat="1" applyFont="1" applyBorder="1" applyAlignment="1">
      <alignment horizontal="center" vertical="center"/>
    </xf>
    <xf numFmtId="2" fontId="55" fillId="0" borderId="89" xfId="0" applyNumberFormat="1" applyFont="1" applyBorder="1" applyAlignment="1">
      <alignment horizontal="center" vertical="center"/>
    </xf>
    <xf numFmtId="2" fontId="55" fillId="0" borderId="86" xfId="0" applyNumberFormat="1" applyFont="1" applyBorder="1" applyAlignment="1">
      <alignment horizontal="center" vertical="center"/>
    </xf>
    <xf numFmtId="2" fontId="55" fillId="0" borderId="51" xfId="0" applyNumberFormat="1" applyFont="1" applyBorder="1" applyAlignment="1">
      <alignment horizontal="center" vertical="center"/>
    </xf>
    <xf numFmtId="2" fontId="55" fillId="0" borderId="69" xfId="0" applyNumberFormat="1" applyFont="1" applyBorder="1" applyAlignment="1">
      <alignment horizontal="center" vertical="center"/>
    </xf>
    <xf numFmtId="2" fontId="55" fillId="0" borderId="64" xfId="0" applyNumberFormat="1" applyFont="1" applyBorder="1" applyAlignment="1">
      <alignment horizontal="center" vertical="center"/>
    </xf>
    <xf numFmtId="2" fontId="55" fillId="0" borderId="65" xfId="0" applyNumberFormat="1" applyFont="1" applyBorder="1" applyAlignment="1">
      <alignment horizontal="center" vertical="center"/>
    </xf>
    <xf numFmtId="2" fontId="0" fillId="0" borderId="57" xfId="0" applyNumberFormat="1" applyBorder="1">
      <alignment horizontal="left" vertical="center" indent="1"/>
    </xf>
    <xf numFmtId="0" fontId="56" fillId="0" borderId="0" xfId="0" applyFont="1" applyAlignment="1"/>
    <xf numFmtId="2" fontId="55" fillId="15" borderId="54" xfId="0" applyNumberFormat="1" applyFont="1" applyFill="1" applyBorder="1" applyAlignment="1">
      <alignment horizontal="center" vertical="center"/>
    </xf>
    <xf numFmtId="2" fontId="55" fillId="15" borderId="55" xfId="0" applyNumberFormat="1" applyFont="1" applyFill="1" applyBorder="1" applyAlignment="1">
      <alignment horizontal="center" vertical="center"/>
    </xf>
    <xf numFmtId="2" fontId="55" fillId="15" borderId="57" xfId="0" applyNumberFormat="1" applyFont="1" applyFill="1" applyBorder="1" applyAlignment="1">
      <alignment horizontal="center" vertical="center"/>
    </xf>
    <xf numFmtId="2" fontId="55" fillId="15" borderId="52" xfId="0" applyNumberFormat="1" applyFont="1" applyFill="1" applyBorder="1" applyAlignment="1">
      <alignment horizontal="center" vertical="center"/>
    </xf>
    <xf numFmtId="2" fontId="55" fillId="15" borderId="62" xfId="0" applyNumberFormat="1" applyFont="1" applyFill="1" applyBorder="1" applyAlignment="1">
      <alignment horizontal="center" vertical="center"/>
    </xf>
    <xf numFmtId="2" fontId="55" fillId="15" borderId="51" xfId="0" applyNumberFormat="1" applyFont="1" applyFill="1" applyBorder="1" applyAlignment="1">
      <alignment horizontal="center" vertical="center"/>
    </xf>
    <xf numFmtId="2" fontId="55" fillId="15" borderId="89" xfId="0" applyNumberFormat="1" applyFont="1" applyFill="1" applyBorder="1" applyAlignment="1">
      <alignment horizontal="center" vertical="center"/>
    </xf>
    <xf numFmtId="2" fontId="55" fillId="15" borderId="86" xfId="0" applyNumberFormat="1" applyFont="1" applyFill="1" applyBorder="1" applyAlignment="1">
      <alignment horizontal="center" vertical="center"/>
    </xf>
    <xf numFmtId="2" fontId="55" fillId="15" borderId="65" xfId="0" applyNumberFormat="1" applyFont="1" applyFill="1" applyBorder="1" applyAlignment="1">
      <alignment horizontal="center" vertical="center"/>
    </xf>
    <xf numFmtId="0" fontId="0" fillId="0" borderId="0" xfId="7" applyFont="1" applyBorder="1">
      <alignment horizontal="left" vertical="center" indent="1"/>
    </xf>
    <xf numFmtId="0" fontId="0" fillId="0" borderId="0" xfId="0" applyAlignment="1">
      <alignment horizontal="right" vertical="center"/>
    </xf>
    <xf numFmtId="0" fontId="58" fillId="0" borderId="0" xfId="3" applyFont="1" applyBorder="1" applyAlignment="1">
      <alignment horizontal="left" vertical="center" indent="1"/>
    </xf>
    <xf numFmtId="0" fontId="58" fillId="0" borderId="0" xfId="3" applyFont="1" applyAlignment="1">
      <alignment horizontal="left" vertical="center" indent="1"/>
    </xf>
    <xf numFmtId="2" fontId="55" fillId="15" borderId="0" xfId="0" applyNumberFormat="1" applyFont="1" applyFill="1" applyAlignment="1">
      <alignment horizontal="center" vertical="center"/>
    </xf>
    <xf numFmtId="0" fontId="34" fillId="8" borderId="0" xfId="0" applyFont="1" applyFill="1" applyAlignment="1"/>
    <xf numFmtId="0" fontId="34" fillId="8" borderId="0" xfId="0" applyFont="1" applyFill="1" applyAlignment="1">
      <alignment horizontal="centerContinuous"/>
    </xf>
    <xf numFmtId="0" fontId="34" fillId="8" borderId="0" xfId="0" applyFont="1" applyFill="1" applyAlignment="1">
      <alignment horizontal="center"/>
    </xf>
    <xf numFmtId="2" fontId="55" fillId="0" borderId="56" xfId="0" applyNumberFormat="1" applyFont="1" applyBorder="1" applyAlignment="1">
      <alignment horizontal="center" vertical="center"/>
    </xf>
    <xf numFmtId="2" fontId="55" fillId="0" borderId="0" xfId="0" applyNumberFormat="1" applyFont="1" applyAlignment="1">
      <alignment horizontal="center" vertical="center"/>
    </xf>
    <xf numFmtId="2" fontId="55" fillId="0" borderId="63" xfId="0" applyNumberFormat="1" applyFont="1" applyBorder="1" applyAlignment="1">
      <alignment horizontal="center" vertical="center"/>
    </xf>
    <xf numFmtId="2" fontId="55" fillId="0" borderId="68" xfId="0" applyNumberFormat="1" applyFont="1" applyBorder="1" applyAlignment="1">
      <alignment horizontal="center" vertical="center"/>
    </xf>
    <xf numFmtId="2" fontId="55" fillId="0" borderId="66" xfId="0" applyNumberFormat="1" applyFont="1" applyBorder="1" applyAlignment="1">
      <alignment horizontal="center" vertical="center"/>
    </xf>
    <xf numFmtId="2" fontId="55" fillId="0" borderId="94" xfId="0" applyNumberFormat="1" applyFont="1" applyBorder="1" applyAlignment="1">
      <alignment horizontal="center" vertical="center"/>
    </xf>
    <xf numFmtId="2" fontId="55" fillId="15" borderId="53" xfId="0" applyNumberFormat="1" applyFont="1" applyFill="1" applyBorder="1" applyAlignment="1">
      <alignment horizontal="center" vertical="center"/>
    </xf>
    <xf numFmtId="2" fontId="55" fillId="15" borderId="56" xfId="0" applyNumberFormat="1" applyFont="1" applyFill="1" applyBorder="1" applyAlignment="1">
      <alignment horizontal="center" vertical="center"/>
    </xf>
    <xf numFmtId="2" fontId="55" fillId="15" borderId="68" xfId="0" applyNumberFormat="1" applyFont="1" applyFill="1" applyBorder="1" applyAlignment="1">
      <alignment horizontal="center" vertical="center"/>
    </xf>
    <xf numFmtId="2" fontId="55" fillId="15" borderId="66" xfId="0" applyNumberFormat="1" applyFont="1" applyFill="1" applyBorder="1" applyAlignment="1">
      <alignment horizontal="center" vertical="center"/>
    </xf>
    <xf numFmtId="2" fontId="55" fillId="15" borderId="94" xfId="0" applyNumberFormat="1" applyFont="1" applyFill="1" applyBorder="1" applyAlignment="1">
      <alignment horizontal="center" vertical="center"/>
    </xf>
    <xf numFmtId="2" fontId="55" fillId="0" borderId="53" xfId="0" applyNumberFormat="1" applyFont="1" applyBorder="1" applyAlignment="1">
      <alignment horizontal="center" vertical="center"/>
    </xf>
    <xf numFmtId="2" fontId="55" fillId="0" borderId="54" xfId="0" applyNumberFormat="1" applyFont="1" applyBorder="1" applyAlignment="1">
      <alignment horizontal="center" vertical="center"/>
    </xf>
    <xf numFmtId="2" fontId="55" fillId="0" borderId="55" xfId="0" applyNumberFormat="1" applyFont="1" applyBorder="1" applyAlignment="1">
      <alignment horizontal="center" vertical="center"/>
    </xf>
    <xf numFmtId="4" fontId="0" fillId="0" borderId="51" xfId="19" applyNumberFormat="1" applyFont="1" applyFill="1" applyBorder="1" applyAlignment="1">
      <alignment horizontal="center" vertical="center"/>
    </xf>
    <xf numFmtId="4" fontId="9" fillId="0" borderId="0" xfId="19" applyNumberFormat="1" applyFont="1" applyFill="1" applyBorder="1" applyAlignment="1">
      <alignment horizontal="center" vertical="center"/>
    </xf>
    <xf numFmtId="4" fontId="0" fillId="0" borderId="68" xfId="19" applyNumberFormat="1" applyFont="1" applyFill="1" applyBorder="1" applyAlignment="1">
      <alignment horizontal="center" vertical="center"/>
    </xf>
    <xf numFmtId="4" fontId="0" fillId="0" borderId="56" xfId="19" applyNumberFormat="1" applyFont="1" applyFill="1" applyBorder="1" applyAlignment="1">
      <alignment horizontal="center" vertical="center"/>
    </xf>
    <xf numFmtId="4" fontId="0" fillId="0" borderId="63" xfId="19" applyNumberFormat="1" applyFont="1" applyFill="1" applyBorder="1" applyAlignment="1">
      <alignment horizontal="center" vertical="center"/>
    </xf>
    <xf numFmtId="4" fontId="0" fillId="0" borderId="66" xfId="19" applyNumberFormat="1" applyFont="1" applyFill="1" applyBorder="1" applyAlignment="1">
      <alignment horizontal="center" vertical="center"/>
    </xf>
    <xf numFmtId="4" fontId="0" fillId="0" borderId="94" xfId="19" applyNumberFormat="1" applyFont="1" applyFill="1" applyBorder="1" applyAlignment="1">
      <alignment horizontal="center" vertical="center"/>
    </xf>
    <xf numFmtId="4" fontId="0" fillId="15" borderId="53" xfId="19" applyNumberFormat="1" applyFont="1" applyFill="1" applyBorder="1" applyAlignment="1">
      <alignment horizontal="center" vertical="center"/>
    </xf>
    <xf numFmtId="4" fontId="9" fillId="15" borderId="54" xfId="19" applyNumberFormat="1" applyFont="1" applyFill="1" applyBorder="1" applyAlignment="1">
      <alignment horizontal="center" vertical="center"/>
    </xf>
    <xf numFmtId="4" fontId="0" fillId="15" borderId="56" xfId="19" applyNumberFormat="1" applyFont="1" applyFill="1" applyBorder="1" applyAlignment="1">
      <alignment horizontal="center" vertical="center"/>
    </xf>
    <xf numFmtId="4" fontId="9" fillId="15" borderId="0" xfId="19" applyNumberFormat="1" applyFont="1" applyFill="1" applyBorder="1" applyAlignment="1">
      <alignment horizontal="center" vertical="center"/>
    </xf>
    <xf numFmtId="4" fontId="0" fillId="15" borderId="68" xfId="19" applyNumberFormat="1" applyFont="1" applyFill="1" applyBorder="1" applyAlignment="1">
      <alignment horizontal="center" vertical="center"/>
    </xf>
    <xf numFmtId="4" fontId="0" fillId="15" borderId="66" xfId="19" applyNumberFormat="1" applyFont="1" applyFill="1" applyBorder="1" applyAlignment="1">
      <alignment horizontal="center" vertical="center"/>
    </xf>
    <xf numFmtId="4" fontId="0" fillId="15" borderId="94" xfId="19" applyNumberFormat="1" applyFont="1" applyFill="1" applyBorder="1" applyAlignment="1">
      <alignment horizontal="center" vertical="center"/>
    </xf>
    <xf numFmtId="4" fontId="0" fillId="15" borderId="63" xfId="19" applyNumberFormat="1" applyFont="1" applyFill="1" applyBorder="1" applyAlignment="1">
      <alignment horizontal="center" vertical="center"/>
    </xf>
    <xf numFmtId="4" fontId="9" fillId="15" borderId="64" xfId="19" applyNumberFormat="1" applyFont="1" applyFill="1" applyBorder="1" applyAlignment="1">
      <alignment horizontal="center" vertical="center"/>
    </xf>
    <xf numFmtId="4" fontId="0" fillId="0" borderId="69" xfId="19" applyNumberFormat="1" applyFont="1" applyFill="1" applyBorder="1" applyAlignment="1">
      <alignment horizontal="center" vertical="center"/>
    </xf>
    <xf numFmtId="4" fontId="9" fillId="15" borderId="55" xfId="19" applyNumberFormat="1" applyFont="1" applyFill="1" applyBorder="1" applyAlignment="1">
      <alignment horizontal="center" vertical="center"/>
    </xf>
    <xf numFmtId="4" fontId="9" fillId="15" borderId="57" xfId="19" applyNumberFormat="1" applyFont="1" applyFill="1" applyBorder="1" applyAlignment="1">
      <alignment horizontal="center" vertical="center"/>
    </xf>
    <xf numFmtId="4" fontId="9" fillId="15" borderId="65" xfId="19" applyNumberFormat="1" applyFont="1" applyFill="1" applyBorder="1" applyAlignment="1">
      <alignment horizontal="center" vertical="center"/>
    </xf>
    <xf numFmtId="3" fontId="4" fillId="6" borderId="84" xfId="13" applyNumberFormat="1" applyBorder="1" applyAlignment="1">
      <alignment horizontal="right" vertical="center" indent="1"/>
    </xf>
    <xf numFmtId="3" fontId="4" fillId="6" borderId="84" xfId="13" applyNumberFormat="1" applyBorder="1" applyAlignment="1">
      <alignment horizontal="center" vertical="center"/>
    </xf>
    <xf numFmtId="3" fontId="4" fillId="6" borderId="85" xfId="13" applyNumberFormat="1" applyBorder="1" applyAlignment="1">
      <alignment horizontal="center" vertical="center"/>
    </xf>
    <xf numFmtId="9" fontId="0" fillId="0" borderId="0" xfId="1" applyFont="1" applyBorder="1" applyAlignment="1">
      <alignment horizontal="center" vertical="center"/>
    </xf>
    <xf numFmtId="9" fontId="0" fillId="0" borderId="57" xfId="1" applyFont="1" applyBorder="1" applyAlignment="1">
      <alignment horizontal="center" vertical="center"/>
    </xf>
    <xf numFmtId="9" fontId="0" fillId="0" borderId="64" xfId="1" applyFont="1" applyBorder="1" applyAlignment="1">
      <alignment horizontal="center" vertical="center"/>
    </xf>
    <xf numFmtId="9" fontId="0" fillId="0" borderId="65" xfId="1" applyFont="1" applyBorder="1" applyAlignment="1">
      <alignment horizontal="center" vertical="center"/>
    </xf>
    <xf numFmtId="165" fontId="0" fillId="0" borderId="64" xfId="5" applyFont="1" applyBorder="1" applyAlignment="1">
      <alignment horizontal="right" vertical="center" indent="1"/>
    </xf>
    <xf numFmtId="165" fontId="0" fillId="0" borderId="65" xfId="5" applyFont="1" applyBorder="1" applyAlignment="1">
      <alignment horizontal="right" vertical="center" indent="1"/>
    </xf>
    <xf numFmtId="3" fontId="4" fillId="0" borderId="0" xfId="13" applyNumberFormat="1" applyFill="1" applyBorder="1" applyAlignment="1">
      <alignment horizontal="center" vertical="center"/>
    </xf>
    <xf numFmtId="9" fontId="0" fillId="0" borderId="0" xfId="1" applyFont="1" applyFill="1" applyBorder="1" applyAlignment="1">
      <alignment horizontal="center" vertical="center"/>
    </xf>
    <xf numFmtId="11" fontId="0" fillId="0" borderId="0" xfId="1" applyNumberFormat="1" applyFont="1" applyBorder="1" applyAlignment="1">
      <alignment horizontal="center" vertical="center"/>
    </xf>
    <xf numFmtId="11" fontId="0" fillId="0" borderId="57" xfId="1" applyNumberFormat="1" applyFont="1" applyBorder="1" applyAlignment="1">
      <alignment horizontal="center" vertical="center"/>
    </xf>
    <xf numFmtId="11" fontId="0" fillId="0" borderId="64" xfId="1" applyNumberFormat="1" applyFont="1" applyBorder="1" applyAlignment="1">
      <alignment horizontal="center" vertical="center"/>
    </xf>
    <xf numFmtId="11" fontId="0" fillId="0" borderId="65" xfId="1" applyNumberFormat="1" applyFont="1" applyBorder="1" applyAlignment="1">
      <alignment horizontal="center" vertical="center"/>
    </xf>
    <xf numFmtId="4" fontId="9" fillId="0" borderId="89" xfId="19" applyNumberFormat="1" applyFont="1" applyFill="1" applyBorder="1" applyAlignment="1">
      <alignment horizontal="center" vertical="center"/>
    </xf>
    <xf numFmtId="4" fontId="9" fillId="0" borderId="86" xfId="19" applyNumberFormat="1" applyFont="1" applyFill="1" applyBorder="1" applyAlignment="1">
      <alignment horizontal="center" vertical="center"/>
    </xf>
    <xf numFmtId="4" fontId="9" fillId="0" borderId="51" xfId="19" applyNumberFormat="1" applyFont="1" applyFill="1" applyBorder="1" applyAlignment="1">
      <alignment horizontal="center" vertical="center"/>
    </xf>
    <xf numFmtId="4" fontId="9" fillId="0" borderId="69" xfId="19" applyNumberFormat="1" applyFont="1" applyFill="1" applyBorder="1" applyAlignment="1">
      <alignment horizontal="center" vertical="center"/>
    </xf>
    <xf numFmtId="4" fontId="9" fillId="0" borderId="57" xfId="19" applyNumberFormat="1" applyFont="1" applyFill="1" applyBorder="1" applyAlignment="1">
      <alignment horizontal="center" vertical="center"/>
    </xf>
    <xf numFmtId="4" fontId="9" fillId="0" borderId="52" xfId="19" applyNumberFormat="1" applyFont="1" applyFill="1" applyBorder="1" applyAlignment="1">
      <alignment horizontal="center" vertical="center"/>
    </xf>
    <xf numFmtId="4" fontId="9" fillId="0" borderId="62" xfId="19" applyNumberFormat="1" applyFont="1" applyFill="1" applyBorder="1" applyAlignment="1">
      <alignment horizontal="center" vertical="center"/>
    </xf>
    <xf numFmtId="4" fontId="9" fillId="15" borderId="51" xfId="19" applyNumberFormat="1" applyFont="1" applyFill="1" applyBorder="1" applyAlignment="1">
      <alignment horizontal="center" vertical="center"/>
    </xf>
    <xf numFmtId="4" fontId="9" fillId="15" borderId="69" xfId="19" applyNumberFormat="1" applyFont="1" applyFill="1" applyBorder="1" applyAlignment="1">
      <alignment horizontal="center" vertical="center"/>
    </xf>
    <xf numFmtId="4" fontId="9" fillId="15" borderId="52" xfId="19" applyNumberFormat="1" applyFont="1" applyFill="1" applyBorder="1" applyAlignment="1">
      <alignment horizontal="center" vertical="center"/>
    </xf>
    <xf numFmtId="4" fontId="9" fillId="15" borderId="62" xfId="19" applyNumberFormat="1" applyFont="1" applyFill="1" applyBorder="1" applyAlignment="1">
      <alignment horizontal="center" vertical="center"/>
    </xf>
    <xf numFmtId="4" fontId="9" fillId="15" borderId="89" xfId="19" applyNumberFormat="1" applyFont="1" applyFill="1" applyBorder="1" applyAlignment="1">
      <alignment horizontal="center" vertical="center"/>
    </xf>
    <xf numFmtId="4" fontId="9" fillId="15" borderId="86" xfId="19" applyNumberFormat="1" applyFont="1" applyFill="1" applyBorder="1" applyAlignment="1">
      <alignment horizontal="center" vertical="center"/>
    </xf>
    <xf numFmtId="4" fontId="9" fillId="0" borderId="65" xfId="19" applyNumberFormat="1" applyFont="1" applyFill="1" applyBorder="1" applyAlignment="1">
      <alignment horizontal="center" vertical="center"/>
    </xf>
    <xf numFmtId="4" fontId="9" fillId="0" borderId="54" xfId="19" applyNumberFormat="1" applyFont="1" applyFill="1" applyBorder="1" applyAlignment="1">
      <alignment horizontal="center" vertical="center"/>
    </xf>
    <xf numFmtId="4" fontId="9" fillId="0" borderId="55" xfId="19" applyNumberFormat="1" applyFont="1" applyFill="1" applyBorder="1" applyAlignment="1">
      <alignment horizontal="center" vertical="center"/>
    </xf>
    <xf numFmtId="4" fontId="9" fillId="0" borderId="64" xfId="19" applyNumberFormat="1" applyFont="1" applyFill="1" applyBorder="1" applyAlignment="1">
      <alignment horizontal="center" vertical="center"/>
    </xf>
    <xf numFmtId="0" fontId="4" fillId="0" borderId="0" xfId="13" applyNumberFormat="1" applyFill="1" applyBorder="1">
      <alignment horizontal="left" vertical="center" indent="1"/>
    </xf>
    <xf numFmtId="10" fontId="0" fillId="0" borderId="0" xfId="1" applyNumberFormat="1" applyFont="1" applyAlignment="1">
      <alignment horizontal="left" vertical="center" indent="1"/>
    </xf>
    <xf numFmtId="0" fontId="0" fillId="0" borderId="84" xfId="0" applyBorder="1">
      <alignment horizontal="left" vertical="center" indent="1"/>
    </xf>
    <xf numFmtId="2" fontId="55" fillId="15" borderId="63" xfId="0" applyNumberFormat="1" applyFont="1" applyFill="1" applyBorder="1" applyAlignment="1">
      <alignment horizontal="center" vertical="center"/>
    </xf>
    <xf numFmtId="4" fontId="23" fillId="0" borderId="0" xfId="0" applyNumberFormat="1" applyFont="1" applyAlignment="1">
      <alignment horizontal="right" vertical="center" indent="1"/>
    </xf>
    <xf numFmtId="11" fontId="4" fillId="0" borderId="0" xfId="4" applyNumberFormat="1" applyFont="1" applyBorder="1" applyAlignment="1">
      <alignment horizontal="right" vertical="center" indent="1"/>
    </xf>
    <xf numFmtId="0" fontId="22" fillId="0" borderId="102" xfId="0" applyFont="1" applyBorder="1" applyAlignment="1">
      <alignment horizontal="center" vertical="center"/>
    </xf>
    <xf numFmtId="6" fontId="22" fillId="0" borderId="103" xfId="0" applyNumberFormat="1" applyFont="1" applyBorder="1" applyAlignment="1">
      <alignment horizontal="center" vertical="center"/>
    </xf>
    <xf numFmtId="0" fontId="22" fillId="0" borderId="104" xfId="0" applyFont="1" applyBorder="1" applyAlignment="1">
      <alignment horizontal="center" vertical="center"/>
    </xf>
    <xf numFmtId="0" fontId="44" fillId="12" borderId="105" xfId="0" applyFont="1" applyFill="1" applyBorder="1" applyAlignment="1">
      <alignment horizontal="center" vertical="center"/>
    </xf>
    <xf numFmtId="6" fontId="44" fillId="12" borderId="106" xfId="0" applyNumberFormat="1" applyFont="1" applyFill="1" applyBorder="1" applyAlignment="1">
      <alignment horizontal="center" vertical="center"/>
    </xf>
    <xf numFmtId="6" fontId="44" fillId="12" borderId="107" xfId="0" applyNumberFormat="1" applyFont="1" applyFill="1" applyBorder="1" applyAlignment="1">
      <alignment horizontal="center" vertical="center"/>
    </xf>
    <xf numFmtId="0" fontId="44" fillId="12" borderId="108" xfId="0" applyFont="1" applyFill="1" applyBorder="1" applyAlignment="1">
      <alignment horizontal="left" vertical="center"/>
    </xf>
    <xf numFmtId="0" fontId="44" fillId="12" borderId="109" xfId="0" applyFont="1" applyFill="1" applyBorder="1" applyAlignment="1">
      <alignment horizontal="center" vertical="center"/>
    </xf>
    <xf numFmtId="0" fontId="44" fillId="12" borderId="110" xfId="0" applyFont="1" applyFill="1" applyBorder="1" applyAlignment="1">
      <alignment horizontal="center" vertical="center"/>
    </xf>
    <xf numFmtId="7" fontId="22" fillId="0" borderId="112" xfId="0" applyNumberFormat="1" applyFont="1" applyBorder="1" applyAlignment="1">
      <alignment horizontal="center" vertical="center" wrapText="1"/>
    </xf>
    <xf numFmtId="0" fontId="4" fillId="6" borderId="54" xfId="13" applyNumberFormat="1" applyBorder="1" applyAlignment="1">
      <alignment horizontal="center" vertical="center"/>
    </xf>
    <xf numFmtId="0" fontId="59" fillId="0" borderId="0" xfId="3" applyFont="1" applyAlignment="1">
      <alignment horizontal="left" vertical="center" indent="1"/>
    </xf>
    <xf numFmtId="1" fontId="4" fillId="0" borderId="0" xfId="13" applyNumberFormat="1" applyFill="1" applyAlignment="1">
      <alignment horizontal="right" vertical="center" indent="1"/>
    </xf>
    <xf numFmtId="0" fontId="4" fillId="6" borderId="84" xfId="13" applyNumberFormat="1" applyBorder="1" applyAlignment="1">
      <alignment horizontal="center" vertical="center"/>
    </xf>
    <xf numFmtId="0" fontId="6" fillId="0" borderId="56" xfId="0" applyFont="1" applyBorder="1" applyAlignment="1">
      <alignment horizontal="left" vertical="center" wrapText="1" indent="1"/>
    </xf>
    <xf numFmtId="0" fontId="6" fillId="0" borderId="63" xfId="0" applyFont="1" applyBorder="1">
      <alignment horizontal="left" vertical="center" indent="1"/>
    </xf>
    <xf numFmtId="0" fontId="6" fillId="0" borderId="83" xfId="0" applyFont="1" applyBorder="1">
      <alignment horizontal="left" vertical="center" indent="1"/>
    </xf>
    <xf numFmtId="0" fontId="0" fillId="0" borderId="68" xfId="0" applyBorder="1" applyAlignment="1">
      <alignment horizontal="center" vertical="center"/>
    </xf>
    <xf numFmtId="1" fontId="4" fillId="6" borderId="53" xfId="13" applyNumberFormat="1" applyBorder="1" applyAlignment="1">
      <alignment horizontal="center" vertical="center"/>
    </xf>
    <xf numFmtId="0" fontId="4" fillId="6" borderId="44" xfId="13" applyNumberFormat="1" applyBorder="1">
      <alignment horizontal="left" vertical="center" indent="1"/>
    </xf>
    <xf numFmtId="0" fontId="0" fillId="0" borderId="56" xfId="0" applyBorder="1" applyAlignment="1">
      <alignment horizontal="center" vertical="center"/>
    </xf>
    <xf numFmtId="0" fontId="0" fillId="0" borderId="66" xfId="0" applyBorder="1" applyAlignment="1">
      <alignment horizontal="center" vertical="center"/>
    </xf>
    <xf numFmtId="0" fontId="4" fillId="6" borderId="55" xfId="13" applyNumberFormat="1" applyBorder="1" applyAlignment="1">
      <alignment horizontal="center" vertical="center"/>
    </xf>
    <xf numFmtId="0" fontId="4" fillId="6" borderId="57" xfId="13" applyNumberFormat="1" applyBorder="1" applyAlignment="1">
      <alignment horizontal="center" vertical="center"/>
    </xf>
    <xf numFmtId="0" fontId="4" fillId="6" borderId="54" xfId="13" applyNumberFormat="1" applyBorder="1" applyAlignment="1">
      <alignment horizontal="center" vertical="center" wrapText="1"/>
    </xf>
    <xf numFmtId="1" fontId="4" fillId="6" borderId="54" xfId="13" applyNumberFormat="1" applyBorder="1" applyAlignment="1">
      <alignment horizontal="center" vertical="center" wrapText="1"/>
    </xf>
    <xf numFmtId="1" fontId="4" fillId="6" borderId="55" xfId="13" applyNumberFormat="1" applyBorder="1" applyAlignment="1">
      <alignment horizontal="center" vertical="center"/>
    </xf>
    <xf numFmtId="0" fontId="44" fillId="12" borderId="53" xfId="0" applyFont="1" applyFill="1" applyBorder="1" applyAlignment="1">
      <alignment horizontal="left" vertical="center"/>
    </xf>
    <xf numFmtId="0" fontId="44" fillId="12" borderId="54" xfId="0" applyFont="1" applyFill="1" applyBorder="1" applyAlignment="1">
      <alignment horizontal="center" vertical="center"/>
    </xf>
    <xf numFmtId="0" fontId="45" fillId="0" borderId="108" xfId="0" applyFont="1" applyBorder="1" applyAlignment="1">
      <alignment horizontal="left" vertical="center" wrapText="1"/>
    </xf>
    <xf numFmtId="0" fontId="45" fillId="0" borderId="109" xfId="0" applyFont="1" applyBorder="1" applyAlignment="1">
      <alignment horizontal="center" vertical="center" wrapText="1"/>
    </xf>
    <xf numFmtId="6" fontId="45" fillId="0" borderId="109" xfId="0" applyNumberFormat="1" applyFont="1" applyBorder="1" applyAlignment="1">
      <alignment horizontal="center" vertical="center"/>
    </xf>
    <xf numFmtId="0" fontId="45" fillId="0" borderId="111" xfId="0" applyFont="1" applyBorder="1" applyAlignment="1">
      <alignment horizontal="left" vertical="center" wrapText="1"/>
    </xf>
    <xf numFmtId="0" fontId="45" fillId="0" borderId="113" xfId="0" applyFont="1" applyBorder="1" applyAlignment="1">
      <alignment horizontal="left" vertical="center" wrapText="1"/>
    </xf>
    <xf numFmtId="0" fontId="45" fillId="0" borderId="114" xfId="0" applyFont="1" applyBorder="1" applyAlignment="1">
      <alignment horizontal="center" vertical="center"/>
    </xf>
    <xf numFmtId="0" fontId="22" fillId="0" borderId="114" xfId="0" applyFont="1" applyBorder="1" applyAlignment="1">
      <alignment horizontal="center" vertical="center"/>
    </xf>
    <xf numFmtId="0" fontId="44" fillId="12" borderId="53" xfId="0" applyFont="1" applyFill="1" applyBorder="1" applyAlignment="1">
      <alignment horizontal="left" vertical="center" wrapText="1"/>
    </xf>
    <xf numFmtId="0" fontId="44" fillId="12" borderId="56" xfId="0" applyFont="1" applyFill="1" applyBorder="1" applyAlignment="1">
      <alignment horizontal="left" vertical="center" wrapText="1"/>
    </xf>
    <xf numFmtId="0" fontId="44" fillId="12" borderId="0" xfId="0" applyFont="1" applyFill="1" applyAlignment="1">
      <alignment horizontal="center" vertical="center" wrapText="1"/>
    </xf>
    <xf numFmtId="0" fontId="44" fillId="12" borderId="57" xfId="0" applyFont="1" applyFill="1" applyBorder="1" applyAlignment="1">
      <alignment horizontal="center" vertical="center"/>
    </xf>
    <xf numFmtId="0" fontId="45" fillId="0" borderId="104" xfId="0" applyFont="1" applyBorder="1" applyAlignment="1">
      <alignment horizontal="left" vertical="center"/>
    </xf>
    <xf numFmtId="6" fontId="45" fillId="0" borderId="123" xfId="0" applyNumberFormat="1" applyFont="1" applyBorder="1" applyAlignment="1">
      <alignment horizontal="center" vertical="center"/>
    </xf>
    <xf numFmtId="0" fontId="44" fillId="12" borderId="63" xfId="0" applyFont="1" applyFill="1" applyBorder="1" applyAlignment="1">
      <alignment horizontal="left" vertical="center"/>
    </xf>
    <xf numFmtId="6" fontId="44" fillId="12" borderId="64" xfId="0" applyNumberFormat="1" applyFont="1" applyFill="1" applyBorder="1" applyAlignment="1">
      <alignment horizontal="center" vertical="center"/>
    </xf>
    <xf numFmtId="6" fontId="44" fillId="12" borderId="65" xfId="0" applyNumberFormat="1" applyFont="1" applyFill="1" applyBorder="1" applyAlignment="1">
      <alignment horizontal="center" vertical="center"/>
    </xf>
    <xf numFmtId="0" fontId="6" fillId="0" borderId="66" xfId="0" applyFont="1" applyBorder="1" applyAlignment="1">
      <alignment horizontal="left" vertical="center" wrapText="1" indent="1"/>
    </xf>
    <xf numFmtId="9" fontId="61" fillId="0" borderId="0" xfId="1" applyFont="1" applyFill="1" applyBorder="1" applyAlignment="1">
      <alignment horizontal="center" vertical="center"/>
    </xf>
    <xf numFmtId="0" fontId="6" fillId="0" borderId="0" xfId="0" applyFont="1" applyAlignment="1">
      <alignment horizontal="right" vertical="center" indent="1"/>
    </xf>
    <xf numFmtId="0" fontId="60" fillId="0" borderId="0" xfId="0" applyFont="1" applyAlignment="1">
      <alignment horizontal="right" vertical="center" indent="1"/>
    </xf>
    <xf numFmtId="1" fontId="60" fillId="0" borderId="0" xfId="0" applyNumberFormat="1" applyFont="1">
      <alignment horizontal="left" vertical="center" indent="1"/>
    </xf>
    <xf numFmtId="0" fontId="61" fillId="0" borderId="0" xfId="0" applyFont="1" applyAlignment="1">
      <alignment horizontal="right" vertical="center" indent="1"/>
    </xf>
    <xf numFmtId="0" fontId="44" fillId="12" borderId="0" xfId="0" applyFont="1" applyFill="1" applyAlignment="1">
      <alignment horizontal="center" vertical="center"/>
    </xf>
    <xf numFmtId="6" fontId="44" fillId="12" borderId="0" xfId="0" applyNumberFormat="1" applyFont="1" applyFill="1" applyAlignment="1">
      <alignment horizontal="center" vertical="center"/>
    </xf>
    <xf numFmtId="2" fontId="62" fillId="0" borderId="51" xfId="0" applyNumberFormat="1" applyFont="1" applyBorder="1" applyAlignment="1">
      <alignment horizontal="center" vertical="center"/>
    </xf>
    <xf numFmtId="2" fontId="62" fillId="0" borderId="69" xfId="0" applyNumberFormat="1" applyFont="1" applyBorder="1" applyAlignment="1">
      <alignment horizontal="center" vertical="center"/>
    </xf>
    <xf numFmtId="2" fontId="62" fillId="0" borderId="57" xfId="0" applyNumberFormat="1" applyFont="1" applyBorder="1" applyAlignment="1">
      <alignment horizontal="center" vertical="center"/>
    </xf>
    <xf numFmtId="2" fontId="62" fillId="0" borderId="0" xfId="0" applyNumberFormat="1" applyFont="1" applyAlignment="1">
      <alignment horizontal="center" vertical="center"/>
    </xf>
    <xf numFmtId="2" fontId="62" fillId="0" borderId="56" xfId="0" applyNumberFormat="1" applyFont="1" applyBorder="1" applyAlignment="1">
      <alignment horizontal="center" vertical="center"/>
    </xf>
    <xf numFmtId="2" fontId="62" fillId="0" borderId="66" xfId="0" applyNumberFormat="1" applyFont="1" applyBorder="1" applyAlignment="1">
      <alignment horizontal="center" vertical="center"/>
    </xf>
    <xf numFmtId="2" fontId="62" fillId="0" borderId="52" xfId="0" applyNumberFormat="1" applyFont="1" applyBorder="1" applyAlignment="1">
      <alignment horizontal="center" vertical="center"/>
    </xf>
    <xf numFmtId="2" fontId="62" fillId="0" borderId="62" xfId="0" applyNumberFormat="1" applyFont="1" applyBorder="1" applyAlignment="1">
      <alignment horizontal="center" vertical="center"/>
    </xf>
    <xf numFmtId="2" fontId="62" fillId="15" borderId="0" xfId="0" applyNumberFormat="1" applyFont="1" applyFill="1" applyAlignment="1">
      <alignment horizontal="center" vertical="center"/>
    </xf>
    <xf numFmtId="2" fontId="62" fillId="15" borderId="89" xfId="0" applyNumberFormat="1" applyFont="1" applyFill="1" applyBorder="1" applyAlignment="1">
      <alignment horizontal="center" vertical="center"/>
    </xf>
    <xf numFmtId="0" fontId="22" fillId="12" borderId="124" xfId="0" applyFont="1" applyFill="1" applyBorder="1" applyAlignment="1">
      <alignment horizontal="left" vertical="center" wrapText="1" indent="1"/>
    </xf>
    <xf numFmtId="0" fontId="44" fillId="12" borderId="125" xfId="0" applyFont="1" applyFill="1" applyBorder="1" applyAlignment="1">
      <alignment horizontal="center" vertical="center" wrapText="1"/>
    </xf>
    <xf numFmtId="0" fontId="44" fillId="12" borderId="126" xfId="0" applyFont="1" applyFill="1" applyBorder="1" applyAlignment="1">
      <alignment horizontal="left" vertical="center" wrapText="1" indent="1"/>
    </xf>
    <xf numFmtId="0" fontId="22" fillId="0" borderId="127" xfId="0" applyFont="1" applyBorder="1" applyAlignment="1">
      <alignment horizontal="left" vertical="center" wrapText="1" indent="1"/>
    </xf>
    <xf numFmtId="0" fontId="22" fillId="0" borderId="130" xfId="0" applyFont="1" applyBorder="1" applyAlignment="1">
      <alignment horizontal="left" vertical="center" wrapText="1" indent="1"/>
    </xf>
    <xf numFmtId="0" fontId="22" fillId="0" borderId="131" xfId="0" applyFont="1" applyBorder="1" applyAlignment="1">
      <alignment horizontal="center" vertical="center" wrapText="1"/>
    </xf>
    <xf numFmtId="0" fontId="45" fillId="0" borderId="56" xfId="0" applyFont="1" applyBorder="1" applyAlignment="1">
      <alignment horizontal="left" vertical="center"/>
    </xf>
    <xf numFmtId="6" fontId="45" fillId="0" borderId="57" xfId="0" applyNumberFormat="1" applyFont="1" applyBorder="1" applyAlignment="1">
      <alignment horizontal="center" vertical="center"/>
    </xf>
    <xf numFmtId="0" fontId="0" fillId="0" borderId="0" xfId="0" applyAlignment="1">
      <alignment wrapText="1"/>
    </xf>
    <xf numFmtId="165" fontId="0" fillId="0" borderId="0" xfId="5" applyFont="1" applyBorder="1" applyAlignment="1"/>
    <xf numFmtId="0" fontId="63" fillId="12" borderId="99" xfId="0" applyFont="1" applyFill="1" applyBorder="1" applyAlignment="1">
      <alignment horizontal="center" vertical="center"/>
    </xf>
    <xf numFmtId="0" fontId="64" fillId="0" borderId="0" xfId="15" applyFont="1" applyAlignment="1">
      <alignment horizontal="left" vertical="center" indent="1"/>
    </xf>
    <xf numFmtId="0" fontId="66" fillId="0" borderId="0" xfId="0" applyFont="1" applyAlignment="1">
      <alignment horizontal="left" vertical="center"/>
    </xf>
    <xf numFmtId="0" fontId="48" fillId="0" borderId="0" xfId="15" applyFont="1" applyAlignment="1">
      <alignment horizontal="left" vertical="center"/>
    </xf>
    <xf numFmtId="0" fontId="67" fillId="0" borderId="0" xfId="0" applyFont="1" applyAlignment="1">
      <alignment horizontal="left" vertical="center"/>
    </xf>
    <xf numFmtId="0" fontId="4" fillId="0" borderId="93" xfId="0" applyFont="1" applyBorder="1" applyAlignment="1">
      <alignment horizontal="center" vertical="center"/>
    </xf>
    <xf numFmtId="0" fontId="3" fillId="12" borderId="0" xfId="0" applyFont="1" applyFill="1">
      <alignment horizontal="left" vertical="center" indent="1"/>
    </xf>
    <xf numFmtId="0" fontId="8" fillId="12" borderId="0" xfId="0" applyFont="1" applyFill="1">
      <alignment horizontal="left" vertical="center" indent="1"/>
    </xf>
    <xf numFmtId="0" fontId="44" fillId="12" borderId="109" xfId="0" applyFont="1" applyFill="1" applyBorder="1" applyAlignment="1">
      <alignment horizontal="center" vertical="center" wrapText="1"/>
    </xf>
    <xf numFmtId="0" fontId="44" fillId="12" borderId="110" xfId="0" applyFont="1" applyFill="1" applyBorder="1" applyAlignment="1">
      <alignment horizontal="left" vertical="center" wrapText="1"/>
    </xf>
    <xf numFmtId="0" fontId="20" fillId="0" borderId="111" xfId="0" applyFont="1" applyBorder="1" applyAlignment="1">
      <alignment horizontal="left" vertical="center" wrapText="1"/>
    </xf>
    <xf numFmtId="0" fontId="20" fillId="0" borderId="118" xfId="0" applyFont="1" applyBorder="1" applyAlignment="1">
      <alignment horizontal="left" vertical="center" wrapText="1"/>
    </xf>
    <xf numFmtId="0" fontId="20" fillId="0" borderId="113" xfId="0" applyFont="1" applyBorder="1" applyAlignment="1">
      <alignment horizontal="left" vertical="center"/>
    </xf>
    <xf numFmtId="0" fontId="20" fillId="0" borderId="114" xfId="0" applyFont="1" applyBorder="1" applyAlignment="1">
      <alignment horizontal="left" vertical="center"/>
    </xf>
    <xf numFmtId="1" fontId="20" fillId="0" borderId="114" xfId="0" applyNumberFormat="1" applyFont="1" applyBorder="1" applyAlignment="1">
      <alignment horizontal="left" vertical="center"/>
    </xf>
    <xf numFmtId="0" fontId="20" fillId="0" borderId="120" xfId="0" applyFont="1" applyBorder="1" applyAlignment="1">
      <alignment horizontal="left" vertical="center" wrapText="1"/>
    </xf>
    <xf numFmtId="0" fontId="66" fillId="0" borderId="0" xfId="0" applyFont="1">
      <alignment horizontal="left" vertical="center" indent="1"/>
    </xf>
    <xf numFmtId="0" fontId="58" fillId="0" borderId="0" xfId="3" applyFont="1" applyFill="1" applyBorder="1" applyAlignment="1">
      <alignment horizontal="left" vertical="center" indent="1"/>
    </xf>
    <xf numFmtId="0" fontId="48" fillId="0" borderId="0" xfId="8" applyFont="1" applyAlignment="1">
      <alignment horizontal="left" vertical="center" indent="1"/>
    </xf>
    <xf numFmtId="0" fontId="44" fillId="12" borderId="57" xfId="0" applyFont="1" applyFill="1" applyBorder="1" applyAlignment="1">
      <alignment horizontal="center" vertical="center" wrapText="1"/>
    </xf>
    <xf numFmtId="0" fontId="22" fillId="0" borderId="133" xfId="0" applyFont="1" applyBorder="1" applyAlignment="1">
      <alignment horizontal="center" vertical="center"/>
    </xf>
    <xf numFmtId="6" fontId="22" fillId="0" borderId="134" xfId="0" applyNumberFormat="1" applyFont="1" applyBorder="1" applyAlignment="1">
      <alignment horizontal="center" vertical="center" wrapText="1"/>
    </xf>
    <xf numFmtId="0" fontId="22" fillId="0" borderId="127" xfId="0" applyFont="1" applyBorder="1" applyAlignment="1">
      <alignment horizontal="center" vertical="center"/>
    </xf>
    <xf numFmtId="0" fontId="44" fillId="12" borderId="56" xfId="0" applyFont="1" applyFill="1" applyBorder="1" applyAlignment="1">
      <alignment horizontal="left" vertical="center"/>
    </xf>
    <xf numFmtId="6" fontId="44" fillId="12" borderId="57" xfId="0" applyNumberFormat="1" applyFont="1" applyFill="1" applyBorder="1" applyAlignment="1">
      <alignment horizontal="center" vertical="center"/>
    </xf>
    <xf numFmtId="0" fontId="68" fillId="0" borderId="0" xfId="0" applyFont="1" applyAlignment="1">
      <alignment horizontal="centerContinuous"/>
    </xf>
    <xf numFmtId="0" fontId="0" fillId="0" borderId="45" xfId="0" applyBorder="1" applyAlignment="1">
      <alignment horizontal="center" vertical="center"/>
    </xf>
    <xf numFmtId="0" fontId="0" fillId="15" borderId="53" xfId="0" applyFill="1" applyBorder="1" applyAlignment="1">
      <alignment horizontal="center" vertical="center"/>
    </xf>
    <xf numFmtId="0" fontId="4" fillId="6" borderId="53" xfId="13" applyNumberFormat="1" applyBorder="1" applyAlignment="1">
      <alignment horizontal="center" vertical="center"/>
    </xf>
    <xf numFmtId="0" fontId="0" fillId="15" borderId="54" xfId="0" applyFill="1" applyBorder="1" applyAlignment="1">
      <alignment horizontal="center" vertical="center"/>
    </xf>
    <xf numFmtId="168" fontId="0" fillId="0" borderId="0" xfId="0" applyNumberFormat="1" applyAlignment="1">
      <alignment horizontal="center" vertical="center"/>
    </xf>
    <xf numFmtId="3" fontId="0" fillId="0" borderId="0" xfId="0" applyNumberFormat="1" applyAlignment="1">
      <alignment horizontal="center" vertical="center"/>
    </xf>
    <xf numFmtId="4" fontId="0" fillId="0" borderId="0" xfId="0" applyNumberFormat="1" applyAlignment="1">
      <alignment horizontal="center" vertical="center"/>
    </xf>
    <xf numFmtId="9" fontId="0" fillId="0" borderId="0" xfId="0" applyNumberFormat="1" applyAlignment="1">
      <alignment horizontal="center" vertical="center"/>
    </xf>
    <xf numFmtId="2" fontId="0" fillId="0" borderId="0" xfId="0" applyNumberFormat="1" applyAlignment="1">
      <alignment horizontal="center" vertical="center"/>
    </xf>
    <xf numFmtId="168" fontId="0" fillId="0" borderId="52" xfId="0" applyNumberFormat="1" applyBorder="1" applyAlignment="1">
      <alignment horizontal="center" vertical="center"/>
    </xf>
    <xf numFmtId="171" fontId="0" fillId="0" borderId="52" xfId="0" applyNumberFormat="1" applyBorder="1" applyAlignment="1">
      <alignment horizontal="center" vertical="center"/>
    </xf>
    <xf numFmtId="3" fontId="0" fillId="0" borderId="51" xfId="0" applyNumberFormat="1" applyBorder="1" applyAlignment="1">
      <alignment horizontal="center" vertical="center"/>
    </xf>
    <xf numFmtId="4" fontId="0" fillId="0" borderId="51" xfId="0" applyNumberFormat="1" applyBorder="1" applyAlignment="1">
      <alignment horizontal="center" vertical="center"/>
    </xf>
    <xf numFmtId="9" fontId="0" fillId="0" borderId="51" xfId="0" applyNumberFormat="1" applyBorder="1" applyAlignment="1">
      <alignment horizontal="center" vertical="center"/>
    </xf>
    <xf numFmtId="2" fontId="0" fillId="0" borderId="51" xfId="0" applyNumberFormat="1" applyBorder="1" applyAlignment="1">
      <alignment horizontal="center" vertical="center"/>
    </xf>
    <xf numFmtId="3" fontId="0" fillId="0" borderId="52" xfId="0" applyNumberFormat="1" applyBorder="1" applyAlignment="1">
      <alignment horizontal="center" vertical="center"/>
    </xf>
    <xf numFmtId="4" fontId="0" fillId="0" borderId="52" xfId="0" applyNumberFormat="1" applyBorder="1" applyAlignment="1">
      <alignment horizontal="center" vertical="center"/>
    </xf>
    <xf numFmtId="9" fontId="0" fillId="0" borderId="52" xfId="0" applyNumberFormat="1" applyBorder="1" applyAlignment="1">
      <alignment horizontal="center" vertical="center"/>
    </xf>
    <xf numFmtId="2" fontId="0" fillId="0" borderId="52" xfId="0" applyNumberFormat="1" applyBorder="1" applyAlignment="1">
      <alignment horizontal="center" vertical="center"/>
    </xf>
    <xf numFmtId="168" fontId="0" fillId="0" borderId="89" xfId="0" applyNumberFormat="1" applyBorder="1" applyAlignment="1">
      <alignment horizontal="center" vertical="center"/>
    </xf>
    <xf numFmtId="171" fontId="0" fillId="0" borderId="89" xfId="0" applyNumberFormat="1" applyBorder="1" applyAlignment="1">
      <alignment horizontal="center" vertical="center"/>
    </xf>
    <xf numFmtId="3" fontId="0" fillId="0" borderId="89" xfId="0" applyNumberFormat="1" applyBorder="1" applyAlignment="1">
      <alignment horizontal="center" vertical="center"/>
    </xf>
    <xf numFmtId="4" fontId="0" fillId="0" borderId="89" xfId="0" applyNumberFormat="1" applyBorder="1" applyAlignment="1">
      <alignment horizontal="center" vertical="center"/>
    </xf>
    <xf numFmtId="9" fontId="0" fillId="0" borderId="89" xfId="0" applyNumberFormat="1" applyBorder="1" applyAlignment="1">
      <alignment horizontal="center" vertical="center"/>
    </xf>
    <xf numFmtId="1" fontId="0" fillId="0" borderId="89" xfId="0" applyNumberFormat="1" applyBorder="1" applyAlignment="1">
      <alignment horizontal="center" vertical="center"/>
    </xf>
    <xf numFmtId="168" fontId="0" fillId="0" borderId="51" xfId="0" applyNumberFormat="1" applyBorder="1" applyAlignment="1">
      <alignment horizontal="center" vertical="center"/>
    </xf>
    <xf numFmtId="171" fontId="0" fillId="0" borderId="51" xfId="0" applyNumberFormat="1" applyBorder="1" applyAlignment="1">
      <alignment horizontal="center" vertical="center"/>
    </xf>
    <xf numFmtId="2" fontId="0" fillId="0" borderId="89" xfId="0" applyNumberFormat="1" applyBorder="1" applyAlignment="1">
      <alignment horizontal="center" vertical="center"/>
    </xf>
    <xf numFmtId="168" fontId="0" fillId="0" borderId="64" xfId="0" applyNumberFormat="1" applyBorder="1" applyAlignment="1">
      <alignment horizontal="center" vertical="center"/>
    </xf>
    <xf numFmtId="168" fontId="0" fillId="15" borderId="54" xfId="0" applyNumberFormat="1" applyFill="1" applyBorder="1" applyAlignment="1">
      <alignment horizontal="center" vertical="center"/>
    </xf>
    <xf numFmtId="171" fontId="0" fillId="15" borderId="54" xfId="0" applyNumberFormat="1" applyFill="1" applyBorder="1" applyAlignment="1">
      <alignment horizontal="center" vertical="center"/>
    </xf>
    <xf numFmtId="3" fontId="0" fillId="15" borderId="54" xfId="0" applyNumberFormat="1" applyFill="1" applyBorder="1" applyAlignment="1">
      <alignment horizontal="center" vertical="center"/>
    </xf>
    <xf numFmtId="4" fontId="0" fillId="15" borderId="54" xfId="0" applyNumberFormat="1" applyFill="1" applyBorder="1" applyAlignment="1">
      <alignment horizontal="center" vertical="center"/>
    </xf>
    <xf numFmtId="9" fontId="0" fillId="15" borderId="54" xfId="0" applyNumberFormat="1" applyFill="1" applyBorder="1" applyAlignment="1">
      <alignment horizontal="center" vertical="center"/>
    </xf>
    <xf numFmtId="2" fontId="0" fillId="15" borderId="54" xfId="0" applyNumberFormat="1" applyFill="1" applyBorder="1" applyAlignment="1">
      <alignment horizontal="center" vertical="center"/>
    </xf>
    <xf numFmtId="1" fontId="0" fillId="15" borderId="54" xfId="0" applyNumberFormat="1" applyFill="1" applyBorder="1" applyAlignment="1">
      <alignment horizontal="center" vertical="center"/>
    </xf>
    <xf numFmtId="168" fontId="0" fillId="15" borderId="0" xfId="0" applyNumberFormat="1" applyFill="1" applyAlignment="1">
      <alignment horizontal="center" vertical="center"/>
    </xf>
    <xf numFmtId="171" fontId="0" fillId="15" borderId="0" xfId="0" applyNumberFormat="1" applyFill="1" applyAlignment="1">
      <alignment horizontal="center" vertical="center"/>
    </xf>
    <xf numFmtId="3" fontId="0" fillId="15" borderId="0" xfId="0" applyNumberFormat="1" applyFill="1" applyAlignment="1">
      <alignment horizontal="center" vertical="center"/>
    </xf>
    <xf numFmtId="4" fontId="0" fillId="15" borderId="0" xfId="0" applyNumberFormat="1" applyFill="1" applyAlignment="1">
      <alignment horizontal="center" vertical="center"/>
    </xf>
    <xf numFmtId="9" fontId="0" fillId="15" borderId="0" xfId="0" applyNumberFormat="1" applyFill="1" applyAlignment="1">
      <alignment horizontal="center" vertical="center"/>
    </xf>
    <xf numFmtId="2" fontId="0" fillId="15" borderId="0" xfId="0" applyNumberFormat="1" applyFill="1" applyAlignment="1">
      <alignment horizontal="center" vertical="center"/>
    </xf>
    <xf numFmtId="1" fontId="0" fillId="15" borderId="0" xfId="0" applyNumberFormat="1" applyFill="1" applyAlignment="1">
      <alignment horizontal="center" vertical="center"/>
    </xf>
    <xf numFmtId="168" fontId="0" fillId="15" borderId="52" xfId="0" applyNumberFormat="1" applyFill="1" applyBorder="1" applyAlignment="1">
      <alignment horizontal="center" vertical="center"/>
    </xf>
    <xf numFmtId="171" fontId="0" fillId="15" borderId="52" xfId="0" applyNumberFormat="1" applyFill="1" applyBorder="1" applyAlignment="1">
      <alignment horizontal="center" vertical="center"/>
    </xf>
    <xf numFmtId="2" fontId="0" fillId="15" borderId="52" xfId="0" applyNumberFormat="1" applyFill="1" applyBorder="1" applyAlignment="1">
      <alignment horizontal="center" vertical="center"/>
    </xf>
    <xf numFmtId="1" fontId="0" fillId="15" borderId="52" xfId="0" applyNumberFormat="1" applyFill="1" applyBorder="1" applyAlignment="1">
      <alignment horizontal="center" vertical="center"/>
    </xf>
    <xf numFmtId="168" fontId="0" fillId="15" borderId="51" xfId="0" applyNumberFormat="1" applyFill="1" applyBorder="1" applyAlignment="1">
      <alignment horizontal="center" vertical="center"/>
    </xf>
    <xf numFmtId="171" fontId="0" fillId="15" borderId="51" xfId="0" applyNumberFormat="1" applyFill="1" applyBorder="1" applyAlignment="1">
      <alignment horizontal="center" vertical="center"/>
    </xf>
    <xf numFmtId="3" fontId="0" fillId="15" borderId="51" xfId="0" applyNumberFormat="1" applyFill="1" applyBorder="1" applyAlignment="1">
      <alignment horizontal="center" vertical="center"/>
    </xf>
    <xf numFmtId="4" fontId="0" fillId="15" borderId="51" xfId="0" applyNumberFormat="1" applyFill="1" applyBorder="1" applyAlignment="1">
      <alignment horizontal="center" vertical="center"/>
    </xf>
    <xf numFmtId="9" fontId="0" fillId="15" borderId="51" xfId="0" applyNumberFormat="1" applyFill="1" applyBorder="1" applyAlignment="1">
      <alignment horizontal="center" vertical="center"/>
    </xf>
    <xf numFmtId="3" fontId="0" fillId="15" borderId="52" xfId="0" applyNumberFormat="1" applyFill="1" applyBorder="1" applyAlignment="1">
      <alignment horizontal="center" vertical="center"/>
    </xf>
    <xf numFmtId="4" fontId="0" fillId="15" borderId="52" xfId="0" applyNumberFormat="1" applyFill="1" applyBorder="1" applyAlignment="1">
      <alignment horizontal="center" vertical="center"/>
    </xf>
    <xf numFmtId="9" fontId="0" fillId="15" borderId="52" xfId="0" applyNumberFormat="1" applyFill="1" applyBorder="1" applyAlignment="1">
      <alignment horizontal="center" vertical="center"/>
    </xf>
    <xf numFmtId="168" fontId="0" fillId="15" borderId="89" xfId="0" applyNumberFormat="1" applyFill="1" applyBorder="1" applyAlignment="1">
      <alignment horizontal="center" vertical="center"/>
    </xf>
    <xf numFmtId="171" fontId="0" fillId="15" borderId="89" xfId="0" applyNumberFormat="1" applyFill="1" applyBorder="1" applyAlignment="1">
      <alignment horizontal="center" vertical="center"/>
    </xf>
    <xf numFmtId="3" fontId="0" fillId="15" borderId="89" xfId="0" applyNumberFormat="1" applyFill="1" applyBorder="1" applyAlignment="1">
      <alignment horizontal="center" vertical="center"/>
    </xf>
    <xf numFmtId="4" fontId="0" fillId="15" borderId="89" xfId="0" applyNumberFormat="1" applyFill="1" applyBorder="1" applyAlignment="1">
      <alignment horizontal="center" vertical="center"/>
    </xf>
    <xf numFmtId="9" fontId="0" fillId="15" borderId="89" xfId="0" applyNumberFormat="1" applyFill="1" applyBorder="1" applyAlignment="1">
      <alignment horizontal="center" vertical="center"/>
    </xf>
    <xf numFmtId="2" fontId="0" fillId="15" borderId="89" xfId="0" applyNumberFormat="1" applyFill="1" applyBorder="1" applyAlignment="1">
      <alignment horizontal="center" vertical="center"/>
    </xf>
    <xf numFmtId="1" fontId="0" fillId="15" borderId="89" xfId="0" applyNumberFormat="1" applyFill="1" applyBorder="1" applyAlignment="1">
      <alignment horizontal="center" vertical="center"/>
    </xf>
    <xf numFmtId="2" fontId="0" fillId="15" borderId="51" xfId="0" applyNumberFormat="1" applyFill="1" applyBorder="1" applyAlignment="1">
      <alignment horizontal="center" vertical="center"/>
    </xf>
    <xf numFmtId="1" fontId="0" fillId="15" borderId="51" xfId="0" applyNumberFormat="1" applyFill="1" applyBorder="1" applyAlignment="1">
      <alignment horizontal="center" vertical="center"/>
    </xf>
    <xf numFmtId="168" fontId="0" fillId="15" borderId="64" xfId="0" applyNumberFormat="1" applyFill="1" applyBorder="1" applyAlignment="1">
      <alignment horizontal="center" vertical="center"/>
    </xf>
    <xf numFmtId="171" fontId="0" fillId="15" borderId="64" xfId="0" applyNumberFormat="1" applyFill="1" applyBorder="1" applyAlignment="1">
      <alignment horizontal="center" vertical="center"/>
    </xf>
    <xf numFmtId="3" fontId="0" fillId="15" borderId="64" xfId="0" applyNumberFormat="1" applyFill="1" applyBorder="1" applyAlignment="1">
      <alignment horizontal="center" vertical="center"/>
    </xf>
    <xf numFmtId="4" fontId="0" fillId="15" borderId="64" xfId="0" applyNumberFormat="1" applyFill="1" applyBorder="1" applyAlignment="1">
      <alignment horizontal="center" vertical="center"/>
    </xf>
    <xf numFmtId="9" fontId="0" fillId="15" borderId="64" xfId="0" applyNumberFormat="1" applyFill="1" applyBorder="1" applyAlignment="1">
      <alignment horizontal="center" vertical="center"/>
    </xf>
    <xf numFmtId="2" fontId="0" fillId="15" borderId="64" xfId="0" applyNumberFormat="1" applyFill="1" applyBorder="1" applyAlignment="1">
      <alignment horizontal="center" vertical="center"/>
    </xf>
    <xf numFmtId="1" fontId="0" fillId="15" borderId="64" xfId="0" applyNumberFormat="1" applyFill="1" applyBorder="1" applyAlignment="1">
      <alignment horizontal="center" vertical="center"/>
    </xf>
    <xf numFmtId="0" fontId="0" fillId="0" borderId="135" xfId="0" applyBorder="1">
      <alignment horizontal="left" vertical="center" indent="1"/>
    </xf>
    <xf numFmtId="0" fontId="0" fillId="0" borderId="136" xfId="0" applyBorder="1">
      <alignment horizontal="left" vertical="center" indent="1"/>
    </xf>
    <xf numFmtId="1" fontId="54" fillId="17" borderId="0" xfId="13" applyNumberFormat="1" applyFont="1" applyFill="1" applyBorder="1" applyAlignment="1">
      <alignment horizontal="center" vertical="center"/>
    </xf>
    <xf numFmtId="2" fontId="55" fillId="0" borderId="135" xfId="0" applyNumberFormat="1" applyFont="1" applyBorder="1" applyAlignment="1">
      <alignment horizontal="center" vertical="center"/>
    </xf>
    <xf numFmtId="2" fontId="55" fillId="0" borderId="138" xfId="0" applyNumberFormat="1" applyFont="1" applyBorder="1" applyAlignment="1">
      <alignment horizontal="center" vertical="center"/>
    </xf>
    <xf numFmtId="2" fontId="62" fillId="0" borderId="135" xfId="0" applyNumberFormat="1" applyFont="1" applyBorder="1" applyAlignment="1">
      <alignment horizontal="center" vertical="center"/>
    </xf>
    <xf numFmtId="2" fontId="55" fillId="0" borderId="139" xfId="0" applyNumberFormat="1" applyFont="1" applyBorder="1" applyAlignment="1">
      <alignment horizontal="center" vertical="center"/>
    </xf>
    <xf numFmtId="2" fontId="55" fillId="0" borderId="140" xfId="0" applyNumberFormat="1" applyFont="1" applyBorder="1" applyAlignment="1">
      <alignment horizontal="center" vertical="center"/>
    </xf>
    <xf numFmtId="2" fontId="55" fillId="15" borderId="141" xfId="0" applyNumberFormat="1" applyFont="1" applyFill="1" applyBorder="1" applyAlignment="1">
      <alignment horizontal="center" vertical="center"/>
    </xf>
    <xf numFmtId="2" fontId="55" fillId="15" borderId="135" xfId="0" applyNumberFormat="1" applyFont="1" applyFill="1" applyBorder="1" applyAlignment="1">
      <alignment horizontal="center" vertical="center"/>
    </xf>
    <xf numFmtId="2" fontId="55" fillId="15" borderId="138" xfId="0" applyNumberFormat="1" applyFont="1" applyFill="1" applyBorder="1" applyAlignment="1">
      <alignment horizontal="center" vertical="center"/>
    </xf>
    <xf numFmtId="2" fontId="55" fillId="15" borderId="139" xfId="0" applyNumberFormat="1" applyFont="1" applyFill="1" applyBorder="1" applyAlignment="1">
      <alignment horizontal="center" vertical="center"/>
    </xf>
    <xf numFmtId="2" fontId="55" fillId="15" borderId="140" xfId="0" applyNumberFormat="1" applyFont="1" applyFill="1" applyBorder="1" applyAlignment="1">
      <alignment horizontal="center" vertical="center"/>
    </xf>
    <xf numFmtId="2" fontId="55" fillId="0" borderId="141" xfId="0" applyNumberFormat="1" applyFont="1" applyBorder="1" applyAlignment="1">
      <alignment horizontal="center" vertical="center"/>
    </xf>
    <xf numFmtId="0" fontId="0" fillId="0" borderId="136" xfId="0" applyBorder="1" applyAlignment="1">
      <alignment horizontal="center" vertical="center"/>
    </xf>
    <xf numFmtId="168" fontId="0" fillId="0" borderId="136" xfId="0" applyNumberFormat="1" applyBorder="1" applyAlignment="1">
      <alignment horizontal="center" vertical="center"/>
    </xf>
    <xf numFmtId="171" fontId="0" fillId="0" borderId="136" xfId="0" applyNumberFormat="1" applyBorder="1" applyAlignment="1">
      <alignment horizontal="center" vertical="center"/>
    </xf>
    <xf numFmtId="3" fontId="0" fillId="0" borderId="136" xfId="4" applyFont="1" applyBorder="1" applyAlignment="1">
      <alignment horizontal="center" vertical="center"/>
    </xf>
    <xf numFmtId="3" fontId="0" fillId="0" borderId="136" xfId="0" applyNumberFormat="1" applyBorder="1" applyAlignment="1">
      <alignment horizontal="center" vertical="center"/>
    </xf>
    <xf numFmtId="4" fontId="0" fillId="0" borderId="136" xfId="0" applyNumberFormat="1" applyBorder="1" applyAlignment="1">
      <alignment horizontal="center" vertical="center"/>
    </xf>
    <xf numFmtId="9" fontId="0" fillId="0" borderId="136" xfId="0" applyNumberFormat="1" applyBorder="1" applyAlignment="1">
      <alignment horizontal="center" vertical="center"/>
    </xf>
    <xf numFmtId="2" fontId="0" fillId="0" borderId="136" xfId="0" applyNumberFormat="1" applyBorder="1" applyAlignment="1">
      <alignment horizontal="center" vertical="center"/>
    </xf>
    <xf numFmtId="1" fontId="0" fillId="0" borderId="136" xfId="0" applyNumberFormat="1" applyBorder="1" applyAlignment="1">
      <alignment horizontal="center" vertical="center"/>
    </xf>
    <xf numFmtId="2" fontId="55" fillId="0" borderId="142" xfId="0" applyNumberFormat="1" applyFont="1" applyBorder="1" applyAlignment="1">
      <alignment horizontal="center" vertical="center"/>
    </xf>
    <xf numFmtId="2" fontId="55" fillId="0" borderId="136" xfId="0" applyNumberFormat="1" applyFont="1" applyBorder="1" applyAlignment="1">
      <alignment horizontal="center" vertical="center"/>
    </xf>
    <xf numFmtId="2" fontId="55" fillId="0" borderId="143" xfId="0" applyNumberFormat="1" applyFont="1" applyBorder="1" applyAlignment="1">
      <alignment horizontal="center" vertical="center"/>
    </xf>
    <xf numFmtId="2" fontId="55" fillId="0" borderId="144" xfId="0" applyNumberFormat="1" applyFont="1" applyBorder="1" applyAlignment="1">
      <alignment horizontal="center" vertical="center"/>
    </xf>
    <xf numFmtId="2" fontId="62" fillId="15" borderId="57" xfId="0" applyNumberFormat="1" applyFont="1" applyFill="1" applyBorder="1" applyAlignment="1">
      <alignment horizontal="center" vertical="center"/>
    </xf>
    <xf numFmtId="2" fontId="62" fillId="15" borderId="86" xfId="0" applyNumberFormat="1" applyFont="1" applyFill="1" applyBorder="1" applyAlignment="1">
      <alignment horizontal="center" vertical="center"/>
    </xf>
    <xf numFmtId="1" fontId="54" fillId="17" borderId="63" xfId="13" applyNumberFormat="1" applyFont="1" applyFill="1" applyBorder="1" applyAlignment="1">
      <alignment horizontal="center" vertical="center"/>
    </xf>
    <xf numFmtId="1" fontId="54" fillId="17" borderId="64" xfId="13" applyNumberFormat="1" applyFont="1" applyFill="1" applyBorder="1" applyAlignment="1">
      <alignment horizontal="center" vertical="center"/>
    </xf>
    <xf numFmtId="1" fontId="54" fillId="17" borderId="137" xfId="13" applyNumberFormat="1" applyFont="1" applyFill="1" applyBorder="1" applyAlignment="1">
      <alignment horizontal="center" vertical="center"/>
    </xf>
    <xf numFmtId="0" fontId="4" fillId="6" borderId="64" xfId="13" applyNumberFormat="1" applyBorder="1" applyAlignment="1">
      <alignment horizontal="center" vertical="center"/>
    </xf>
    <xf numFmtId="1" fontId="0" fillId="15" borderId="69" xfId="0" applyNumberFormat="1" applyFill="1" applyBorder="1" applyAlignment="1">
      <alignment horizontal="center" vertical="center"/>
    </xf>
    <xf numFmtId="1" fontId="0" fillId="15" borderId="57" xfId="0" applyNumberFormat="1" applyFill="1" applyBorder="1" applyAlignment="1">
      <alignment horizontal="center" vertical="center"/>
    </xf>
    <xf numFmtId="1" fontId="0" fillId="15" borderId="86" xfId="0" applyNumberFormat="1" applyFill="1" applyBorder="1" applyAlignment="1">
      <alignment horizontal="center" vertical="center"/>
    </xf>
    <xf numFmtId="1" fontId="0" fillId="0" borderId="69" xfId="0" applyNumberFormat="1" applyBorder="1" applyAlignment="1">
      <alignment horizontal="center" vertical="center"/>
    </xf>
    <xf numFmtId="1" fontId="0" fillId="0" borderId="57" xfId="0" applyNumberFormat="1" applyBorder="1" applyAlignment="1">
      <alignment horizontal="center" vertical="center"/>
    </xf>
    <xf numFmtId="1" fontId="0" fillId="0" borderId="86" xfId="0" applyNumberFormat="1" applyBorder="1" applyAlignment="1">
      <alignment horizontal="center" vertical="center"/>
    </xf>
    <xf numFmtId="0" fontId="48" fillId="0" borderId="0" xfId="8" applyFont="1" applyAlignment="1">
      <alignment horizontal="left" vertical="center" indent="2"/>
    </xf>
    <xf numFmtId="0" fontId="8" fillId="12" borderId="0" xfId="9" applyFill="1" applyAlignment="1">
      <alignment horizontal="right" vertical="center" indent="1"/>
    </xf>
    <xf numFmtId="0" fontId="44" fillId="12" borderId="99" xfId="0" applyFont="1" applyFill="1" applyBorder="1" applyAlignment="1">
      <alignment horizontal="left" vertical="center"/>
    </xf>
    <xf numFmtId="0" fontId="45" fillId="0" borderId="111" xfId="0" applyFont="1" applyBorder="1" applyAlignment="1">
      <alignment horizontal="left" vertical="center"/>
    </xf>
    <xf numFmtId="0" fontId="45" fillId="0" borderId="114" xfId="0" applyFont="1" applyBorder="1" applyAlignment="1">
      <alignment horizontal="center" vertical="center" wrapText="1"/>
    </xf>
    <xf numFmtId="10" fontId="45" fillId="0" borderId="114" xfId="0" applyNumberFormat="1" applyFont="1" applyBorder="1" applyAlignment="1">
      <alignment horizontal="center" vertical="center"/>
    </xf>
    <xf numFmtId="0" fontId="45" fillId="0" borderId="63" xfId="0" applyFont="1" applyBorder="1" applyAlignment="1">
      <alignment horizontal="left" vertical="center"/>
    </xf>
    <xf numFmtId="0" fontId="44" fillId="12" borderId="109" xfId="0" applyFont="1" applyFill="1" applyBorder="1" applyAlignment="1">
      <alignment horizontal="left" vertical="center" wrapText="1"/>
    </xf>
    <xf numFmtId="0" fontId="44" fillId="12" borderId="110" xfId="0" applyFont="1" applyFill="1" applyBorder="1" applyAlignment="1">
      <alignment horizontal="center" vertical="center" wrapText="1"/>
    </xf>
    <xf numFmtId="179" fontId="22" fillId="0" borderId="112" xfId="0" applyNumberFormat="1" applyFont="1" applyBorder="1" applyAlignment="1">
      <alignment horizontal="center" vertical="center"/>
    </xf>
    <xf numFmtId="0" fontId="19" fillId="12" borderId="63" xfId="0" applyFont="1" applyFill="1" applyBorder="1" applyAlignment="1">
      <alignment horizontal="left" vertical="center"/>
    </xf>
    <xf numFmtId="169" fontId="19" fillId="12" borderId="64" xfId="0" applyNumberFormat="1" applyFont="1" applyFill="1" applyBorder="1" applyAlignment="1">
      <alignment horizontal="left" vertical="center"/>
    </xf>
    <xf numFmtId="179" fontId="19" fillId="12" borderId="114" xfId="0" applyNumberFormat="1" applyFont="1" applyFill="1" applyBorder="1" applyAlignment="1">
      <alignment horizontal="center" vertical="center"/>
    </xf>
    <xf numFmtId="179" fontId="19" fillId="12" borderId="115" xfId="0" applyNumberFormat="1" applyFont="1" applyFill="1" applyBorder="1" applyAlignment="1">
      <alignment horizontal="center" vertical="center"/>
    </xf>
    <xf numFmtId="0" fontId="22" fillId="4" borderId="111" xfId="0" applyFont="1" applyFill="1" applyBorder="1" applyAlignment="1">
      <alignment horizontal="left" vertical="center"/>
    </xf>
    <xf numFmtId="0" fontId="22" fillId="4" borderId="113" xfId="0" applyFont="1" applyFill="1" applyBorder="1" applyAlignment="1">
      <alignment horizontal="left" vertical="center"/>
    </xf>
    <xf numFmtId="0" fontId="44" fillId="12" borderId="108" xfId="0" applyFont="1" applyFill="1" applyBorder="1" applyAlignment="1">
      <alignment horizontal="center" vertical="center"/>
    </xf>
    <xf numFmtId="1" fontId="25" fillId="0" borderId="111" xfId="0" applyNumberFormat="1" applyFont="1" applyBorder="1" applyAlignment="1">
      <alignment horizontal="center" vertical="center" wrapText="1"/>
    </xf>
    <xf numFmtId="0" fontId="22" fillId="0" borderId="41" xfId="0" applyFont="1" applyBorder="1" applyAlignment="1">
      <alignment horizontal="center" vertical="center" wrapText="1"/>
    </xf>
    <xf numFmtId="0" fontId="45" fillId="0" borderId="118" xfId="0" applyFont="1" applyBorder="1" applyAlignment="1">
      <alignment horizontal="center" vertical="center" wrapText="1"/>
    </xf>
    <xf numFmtId="0" fontId="45" fillId="0" borderId="120" xfId="0" applyFont="1" applyBorder="1" applyAlignment="1">
      <alignment horizontal="center" vertical="center" wrapText="1"/>
    </xf>
    <xf numFmtId="0" fontId="44" fillId="12" borderId="101" xfId="0" applyFont="1" applyFill="1" applyBorder="1" applyAlignment="1">
      <alignment horizontal="center" vertical="center" wrapText="1"/>
    </xf>
    <xf numFmtId="2" fontId="4" fillId="0" borderId="45" xfId="0" applyNumberFormat="1" applyFont="1" applyBorder="1">
      <alignment horizontal="left" vertical="center" indent="1"/>
    </xf>
    <xf numFmtId="0" fontId="6" fillId="0" borderId="45" xfId="0" applyFont="1" applyBorder="1" applyAlignment="1">
      <alignment horizontal="left" vertical="center" wrapText="1" indent="1"/>
    </xf>
    <xf numFmtId="0" fontId="6" fillId="0" borderId="45" xfId="0" applyFont="1" applyBorder="1">
      <alignment horizontal="left" vertical="center" indent="1"/>
    </xf>
    <xf numFmtId="0" fontId="10" fillId="0" borderId="47" xfId="7" applyBorder="1" applyAlignment="1">
      <alignment horizontal="left" vertical="center" indent="1"/>
    </xf>
    <xf numFmtId="0" fontId="0" fillId="0" borderId="152" xfId="0" applyBorder="1">
      <alignment horizontal="left" vertical="center" indent="1"/>
    </xf>
    <xf numFmtId="0" fontId="0" fillId="0" borderId="73" xfId="0" applyBorder="1">
      <alignment horizontal="left" vertical="center" indent="1"/>
    </xf>
    <xf numFmtId="0" fontId="4" fillId="6" borderId="45" xfId="13" applyNumberFormat="1" applyBorder="1">
      <alignment horizontal="left" vertical="center" indent="1"/>
    </xf>
    <xf numFmtId="0" fontId="8" fillId="12" borderId="45" xfId="0" applyFont="1" applyFill="1" applyBorder="1">
      <alignment horizontal="left" vertical="center" indent="1"/>
    </xf>
    <xf numFmtId="0" fontId="4" fillId="6" borderId="51" xfId="13" applyNumberFormat="1" applyBorder="1" applyAlignment="1">
      <alignment horizontal="center" vertical="center"/>
    </xf>
    <xf numFmtId="1" fontId="4" fillId="6" borderId="51" xfId="13" applyNumberFormat="1" applyBorder="1" applyAlignment="1">
      <alignment horizontal="center" vertical="center"/>
    </xf>
    <xf numFmtId="1" fontId="4" fillId="6" borderId="15" xfId="13" applyNumberFormat="1" applyBorder="1" applyAlignment="1">
      <alignment horizontal="center" vertical="center"/>
    </xf>
    <xf numFmtId="3" fontId="0" fillId="0" borderId="46" xfId="0" applyNumberFormat="1" applyBorder="1" applyAlignment="1">
      <alignment horizontal="center" vertical="center"/>
    </xf>
    <xf numFmtId="0" fontId="6" fillId="0" borderId="0" xfId="0" applyFont="1" applyAlignment="1">
      <alignment horizontal="center" vertical="center"/>
    </xf>
    <xf numFmtId="3" fontId="4" fillId="0" borderId="4" xfId="0" applyNumberFormat="1" applyFont="1" applyBorder="1" applyAlignment="1">
      <alignment horizontal="center" vertical="center"/>
    </xf>
    <xf numFmtId="3" fontId="4" fillId="0" borderId="149" xfId="0" applyNumberFormat="1" applyFont="1" applyBorder="1" applyAlignment="1">
      <alignment horizontal="center" vertical="center"/>
    </xf>
    <xf numFmtId="2" fontId="4" fillId="0" borderId="0" xfId="0" applyNumberFormat="1" applyFont="1" applyAlignment="1">
      <alignment horizontal="center" vertical="center"/>
    </xf>
    <xf numFmtId="0" fontId="38" fillId="0" borderId="0" xfId="0" applyFont="1" applyAlignment="1">
      <alignment horizontal="center" vertical="center"/>
    </xf>
    <xf numFmtId="0" fontId="4" fillId="0" borderId="3" xfId="0" applyFont="1" applyBorder="1" applyAlignment="1">
      <alignment horizontal="center" vertical="center"/>
    </xf>
    <xf numFmtId="0" fontId="4" fillId="0" borderId="116" xfId="0" applyFont="1" applyBorder="1" applyAlignment="1">
      <alignment horizontal="center" vertical="center"/>
    </xf>
    <xf numFmtId="3" fontId="4" fillId="0" borderId="116" xfId="0" applyNumberFormat="1" applyFont="1" applyBorder="1" applyAlignment="1">
      <alignment horizontal="center" vertical="center"/>
    </xf>
    <xf numFmtId="3" fontId="4" fillId="0" borderId="150" xfId="0" applyNumberFormat="1" applyFont="1" applyBorder="1" applyAlignment="1">
      <alignment horizontal="center" vertical="center"/>
    </xf>
    <xf numFmtId="3" fontId="4" fillId="0" borderId="0" xfId="0" applyNumberFormat="1" applyFont="1" applyAlignment="1">
      <alignment horizontal="center" vertical="center"/>
    </xf>
    <xf numFmtId="4" fontId="0" fillId="0" borderId="46" xfId="0" applyNumberFormat="1" applyBorder="1" applyAlignment="1">
      <alignment horizontal="center" vertical="center"/>
    </xf>
    <xf numFmtId="4" fontId="0" fillId="0" borderId="54" xfId="0" applyNumberFormat="1" applyBorder="1" applyAlignment="1">
      <alignment horizontal="center" vertical="center"/>
    </xf>
    <xf numFmtId="4" fontId="0" fillId="0" borderId="151" xfId="0" applyNumberFormat="1" applyBorder="1" applyAlignment="1">
      <alignment horizontal="center" vertical="center"/>
    </xf>
    <xf numFmtId="4" fontId="0" fillId="0" borderId="15" xfId="0" applyNumberFormat="1" applyBorder="1" applyAlignment="1">
      <alignment horizontal="center" vertical="center"/>
    </xf>
    <xf numFmtId="4" fontId="0" fillId="0" borderId="50" xfId="0" applyNumberFormat="1" applyBorder="1" applyAlignment="1">
      <alignment horizontal="center" vertical="center"/>
    </xf>
    <xf numFmtId="4" fontId="0" fillId="0" borderId="76" xfId="0" applyNumberFormat="1" applyBorder="1" applyAlignment="1">
      <alignment horizontal="center" vertical="center"/>
    </xf>
    <xf numFmtId="0" fontId="0" fillId="0" borderId="84" xfId="0" applyBorder="1" applyAlignment="1">
      <alignment horizontal="center" vertical="center"/>
    </xf>
    <xf numFmtId="0" fontId="4" fillId="0" borderId="84" xfId="0" applyFont="1" applyBorder="1" applyAlignment="1">
      <alignment horizontal="center" vertical="center"/>
    </xf>
    <xf numFmtId="4" fontId="43" fillId="0" borderId="84" xfId="0" applyNumberFormat="1" applyFont="1" applyBorder="1" applyAlignment="1">
      <alignment horizontal="center" vertical="center"/>
    </xf>
    <xf numFmtId="4" fontId="43" fillId="0" borderId="98" xfId="0" applyNumberFormat="1" applyFont="1" applyBorder="1" applyAlignment="1">
      <alignment horizontal="center" vertical="center"/>
    </xf>
    <xf numFmtId="4" fontId="0" fillId="0" borderId="64" xfId="0" applyNumberFormat="1" applyBorder="1" applyAlignment="1">
      <alignment horizontal="center" vertical="center"/>
    </xf>
    <xf numFmtId="4" fontId="0" fillId="0" borderId="92" xfId="0" applyNumberFormat="1" applyBorder="1" applyAlignment="1">
      <alignment horizontal="center" vertical="center"/>
    </xf>
    <xf numFmtId="0" fontId="0" fillId="0" borderId="72" xfId="0" applyBorder="1" applyAlignment="1">
      <alignment horizontal="center" vertical="center"/>
    </xf>
    <xf numFmtId="0" fontId="4" fillId="0" borderId="72" xfId="0" applyFont="1" applyBorder="1" applyAlignment="1">
      <alignment horizontal="center" vertical="center"/>
    </xf>
    <xf numFmtId="4" fontId="23" fillId="0" borderId="72" xfId="0" applyNumberFormat="1" applyFont="1" applyBorder="1" applyAlignment="1">
      <alignment horizontal="center" vertical="center"/>
    </xf>
    <xf numFmtId="4" fontId="23" fillId="0" borderId="153" xfId="0" applyNumberFormat="1" applyFont="1" applyBorder="1" applyAlignment="1">
      <alignment horizontal="center" vertical="center"/>
    </xf>
    <xf numFmtId="4" fontId="23" fillId="0" borderId="0" xfId="0" applyNumberFormat="1" applyFont="1" applyAlignment="1">
      <alignment horizontal="center" vertical="center"/>
    </xf>
    <xf numFmtId="166" fontId="0" fillId="0" borderId="0" xfId="1" applyNumberFormat="1" applyFont="1" applyBorder="1" applyAlignment="1">
      <alignment horizontal="center" vertical="center"/>
    </xf>
    <xf numFmtId="167" fontId="0" fillId="0" borderId="0" xfId="0" applyNumberFormat="1" applyAlignment="1">
      <alignment horizontal="center" vertical="center"/>
    </xf>
    <xf numFmtId="3" fontId="4" fillId="0" borderId="46" xfId="0" applyNumberFormat="1" applyFont="1" applyBorder="1" applyAlignment="1">
      <alignment horizontal="center" vertical="center"/>
    </xf>
    <xf numFmtId="1" fontId="4" fillId="6" borderId="0" xfId="13" applyNumberFormat="1" applyBorder="1" applyAlignment="1">
      <alignment horizontal="center" vertical="center"/>
    </xf>
    <xf numFmtId="1" fontId="4" fillId="6" borderId="46" xfId="13" applyNumberFormat="1" applyBorder="1" applyAlignment="1">
      <alignment horizontal="center" vertical="center"/>
    </xf>
    <xf numFmtId="4" fontId="23" fillId="0" borderId="84" xfId="0" applyNumberFormat="1" applyFont="1" applyBorder="1" applyAlignment="1">
      <alignment horizontal="center" vertical="center"/>
    </xf>
    <xf numFmtId="4" fontId="23" fillId="0" borderId="98" xfId="0" applyNumberFormat="1" applyFont="1" applyBorder="1" applyAlignment="1">
      <alignment horizontal="center" vertical="center"/>
    </xf>
    <xf numFmtId="4" fontId="23" fillId="0" borderId="46" xfId="0" applyNumberFormat="1" applyFont="1" applyBorder="1" applyAlignment="1">
      <alignment horizontal="center" vertical="center"/>
    </xf>
    <xf numFmtId="0" fontId="0" fillId="0" borderId="46" xfId="0" applyBorder="1" applyAlignment="1">
      <alignment horizontal="center" vertical="center"/>
    </xf>
    <xf numFmtId="4" fontId="0" fillId="0" borderId="55" xfId="0" applyNumberFormat="1" applyBorder="1" applyAlignment="1">
      <alignment horizontal="center" vertical="center"/>
    </xf>
    <xf numFmtId="4" fontId="0" fillId="0" borderId="57" xfId="0" applyNumberFormat="1" applyBorder="1" applyAlignment="1">
      <alignment horizontal="center" vertical="center"/>
    </xf>
    <xf numFmtId="4" fontId="0" fillId="0" borderId="69" xfId="0" applyNumberFormat="1" applyBorder="1" applyAlignment="1">
      <alignment horizontal="center" vertical="center"/>
    </xf>
    <xf numFmtId="4" fontId="0" fillId="0" borderId="62" xfId="0" applyNumberFormat="1" applyBorder="1" applyAlignment="1">
      <alignment horizontal="center" vertical="center"/>
    </xf>
    <xf numFmtId="4" fontId="0" fillId="0" borderId="86" xfId="0" applyNumberFormat="1" applyBorder="1" applyAlignment="1">
      <alignment horizontal="center" vertical="center"/>
    </xf>
    <xf numFmtId="0" fontId="6" fillId="0" borderId="84" xfId="0" applyFont="1" applyBorder="1" applyAlignment="1">
      <alignment horizontal="center" vertical="center"/>
    </xf>
    <xf numFmtId="4" fontId="4" fillId="0" borderId="84" xfId="0" applyNumberFormat="1" applyFont="1" applyBorder="1" applyAlignment="1">
      <alignment horizontal="center" vertical="center"/>
    </xf>
    <xf numFmtId="4" fontId="4" fillId="0" borderId="85" xfId="0" applyNumberFormat="1" applyFont="1" applyBorder="1" applyAlignment="1">
      <alignment horizontal="center" vertical="center"/>
    </xf>
    <xf numFmtId="0" fontId="4" fillId="6" borderId="72" xfId="13" applyNumberFormat="1" applyBorder="1" applyAlignment="1">
      <alignment horizontal="center" vertical="center"/>
    </xf>
    <xf numFmtId="1" fontId="4" fillId="6" borderId="72" xfId="13" applyNumberFormat="1" applyBorder="1" applyAlignment="1">
      <alignment horizontal="center" vertical="center"/>
    </xf>
    <xf numFmtId="1" fontId="4" fillId="6" borderId="74" xfId="13" applyNumberFormat="1" applyBorder="1" applyAlignment="1">
      <alignment horizontal="center" vertical="center"/>
    </xf>
    <xf numFmtId="1" fontId="4" fillId="6" borderId="85" xfId="13" applyNumberFormat="1" applyBorder="1" applyAlignment="1">
      <alignment horizontal="center" vertical="center"/>
    </xf>
    <xf numFmtId="1" fontId="4" fillId="6" borderId="84" xfId="13" applyNumberFormat="1" applyBorder="1" applyAlignment="1">
      <alignment horizontal="center" vertical="center"/>
    </xf>
    <xf numFmtId="0" fontId="6" fillId="0" borderId="64" xfId="0" applyFont="1" applyBorder="1" applyAlignment="1">
      <alignment horizontal="center" vertical="center"/>
    </xf>
    <xf numFmtId="0" fontId="4" fillId="0" borderId="59" xfId="0" applyFont="1" applyBorder="1" applyAlignment="1">
      <alignment horizontal="center" vertical="center"/>
    </xf>
    <xf numFmtId="4" fontId="0" fillId="0" borderId="65" xfId="0" applyNumberFormat="1" applyBorder="1" applyAlignment="1">
      <alignment horizontal="center" vertical="center"/>
    </xf>
    <xf numFmtId="4" fontId="4" fillId="0" borderId="64" xfId="0" applyNumberFormat="1" applyFont="1" applyBorder="1" applyAlignment="1">
      <alignment horizontal="center" vertical="center"/>
    </xf>
    <xf numFmtId="4" fontId="4" fillId="0" borderId="65" xfId="0" applyNumberFormat="1" applyFont="1" applyBorder="1" applyAlignment="1">
      <alignment horizontal="center" vertical="center"/>
    </xf>
    <xf numFmtId="4" fontId="4" fillId="0" borderId="0" xfId="0" applyNumberFormat="1" applyFont="1" applyAlignment="1">
      <alignment horizontal="center" vertical="center"/>
    </xf>
    <xf numFmtId="0" fontId="0" fillId="0" borderId="54" xfId="0" applyBorder="1" applyAlignment="1">
      <alignment horizontal="center" vertical="center"/>
    </xf>
    <xf numFmtId="0" fontId="4" fillId="0" borderId="54" xfId="0" applyFont="1" applyBorder="1" applyAlignment="1">
      <alignment horizontal="center" vertical="center"/>
    </xf>
    <xf numFmtId="0" fontId="4" fillId="0" borderId="52" xfId="0" applyFont="1" applyBorder="1" applyAlignment="1">
      <alignment horizontal="center" vertical="center"/>
    </xf>
    <xf numFmtId="0" fontId="0" fillId="0" borderId="57" xfId="0" applyBorder="1" applyAlignment="1">
      <alignment horizontal="center" vertical="center"/>
    </xf>
    <xf numFmtId="0" fontId="0" fillId="0" borderId="65" xfId="0" applyBorder="1" applyAlignment="1">
      <alignment horizontal="center" vertical="center"/>
    </xf>
    <xf numFmtId="11" fontId="0" fillId="0" borderId="51" xfId="4" applyNumberFormat="1" applyFont="1" applyBorder="1" applyAlignment="1">
      <alignment horizontal="center" vertical="center"/>
    </xf>
    <xf numFmtId="11" fontId="0" fillId="0" borderId="69" xfId="4" applyNumberFormat="1" applyFont="1" applyBorder="1" applyAlignment="1">
      <alignment horizontal="center" vertical="center"/>
    </xf>
    <xf numFmtId="11" fontId="0" fillId="0" borderId="0" xfId="4" applyNumberFormat="1" applyFont="1" applyBorder="1" applyAlignment="1">
      <alignment horizontal="center" vertical="center"/>
    </xf>
    <xf numFmtId="11" fontId="0" fillId="0" borderId="57" xfId="4" applyNumberFormat="1" applyFont="1" applyBorder="1" applyAlignment="1">
      <alignment horizontal="center" vertical="center"/>
    </xf>
    <xf numFmtId="11" fontId="0" fillId="0" borderId="52" xfId="4" applyNumberFormat="1" applyFont="1" applyBorder="1" applyAlignment="1">
      <alignment horizontal="center" vertical="center"/>
    </xf>
    <xf numFmtId="11" fontId="0" fillId="0" borderId="89" xfId="4" applyNumberFormat="1" applyFont="1" applyBorder="1" applyAlignment="1">
      <alignment horizontal="center" vertical="center"/>
    </xf>
    <xf numFmtId="11" fontId="0" fillId="0" borderId="86" xfId="4" applyNumberFormat="1" applyFont="1" applyBorder="1" applyAlignment="1">
      <alignment horizontal="center" vertical="center"/>
    </xf>
    <xf numFmtId="0" fontId="0" fillId="0" borderId="94" xfId="0" applyBorder="1" applyAlignment="1">
      <alignment horizontal="center" vertical="center"/>
    </xf>
    <xf numFmtId="11" fontId="0" fillId="0" borderId="62" xfId="4" applyNumberFormat="1" applyFont="1" applyBorder="1" applyAlignment="1">
      <alignment horizontal="center" vertical="center"/>
    </xf>
    <xf numFmtId="0" fontId="4" fillId="0" borderId="56" xfId="0" applyFont="1" applyBorder="1" applyAlignment="1">
      <alignment horizontal="center" vertical="center"/>
    </xf>
    <xf numFmtId="11" fontId="4" fillId="0" borderId="0" xfId="4" applyNumberFormat="1" applyFont="1" applyBorder="1" applyAlignment="1">
      <alignment horizontal="center" vertical="center"/>
    </xf>
    <xf numFmtId="11" fontId="4" fillId="0" borderId="57" xfId="4" applyNumberFormat="1" applyFont="1" applyBorder="1" applyAlignment="1">
      <alignment horizontal="center" vertical="center"/>
    </xf>
    <xf numFmtId="0" fontId="4" fillId="6" borderId="56" xfId="13" applyNumberFormat="1" applyBorder="1" applyAlignment="1">
      <alignment horizontal="center" vertical="center"/>
    </xf>
    <xf numFmtId="0" fontId="4" fillId="0" borderId="63" xfId="0" applyFont="1" applyBorder="1" applyAlignment="1">
      <alignment horizontal="center" vertical="center"/>
    </xf>
    <xf numFmtId="0" fontId="4" fillId="0" borderId="64" xfId="0" applyFont="1" applyBorder="1" applyAlignment="1">
      <alignment horizontal="center" vertical="center"/>
    </xf>
    <xf numFmtId="11" fontId="4" fillId="0" borderId="64" xfId="4" applyNumberFormat="1" applyFont="1" applyBorder="1" applyAlignment="1">
      <alignment horizontal="center" vertical="center"/>
    </xf>
    <xf numFmtId="11" fontId="4" fillId="0" borderId="65" xfId="4" applyNumberFormat="1" applyFont="1" applyBorder="1" applyAlignment="1">
      <alignment horizontal="center" vertical="center"/>
    </xf>
    <xf numFmtId="4" fontId="0" fillId="0" borderId="0" xfId="4" applyNumberFormat="1" applyFont="1" applyBorder="1" applyAlignment="1">
      <alignment horizontal="center" vertical="center"/>
    </xf>
    <xf numFmtId="11" fontId="4" fillId="0" borderId="52" xfId="4" applyNumberFormat="1" applyFont="1" applyBorder="1" applyAlignment="1">
      <alignment horizontal="center" vertical="center"/>
    </xf>
    <xf numFmtId="11" fontId="4" fillId="0" borderId="62" xfId="4" applyNumberFormat="1" applyFont="1" applyBorder="1" applyAlignment="1">
      <alignment horizontal="center" vertical="center"/>
    </xf>
    <xf numFmtId="0" fontId="0" fillId="0" borderId="63" xfId="0" applyBorder="1" applyAlignment="1">
      <alignment horizontal="center" vertical="center"/>
    </xf>
    <xf numFmtId="0" fontId="48" fillId="0" borderId="0" xfId="15" applyFont="1" applyAlignment="1">
      <alignment vertical="center"/>
    </xf>
    <xf numFmtId="0" fontId="58" fillId="0" borderId="0" xfId="3" applyFont="1" applyBorder="1" applyAlignment="1">
      <alignment vertical="center"/>
    </xf>
    <xf numFmtId="0" fontId="8" fillId="12" borderId="0" xfId="9" applyFill="1" applyAlignment="1">
      <alignment vertical="center"/>
    </xf>
    <xf numFmtId="164" fontId="0" fillId="0" borderId="51" xfId="4" applyNumberFormat="1" applyFont="1" applyBorder="1" applyAlignment="1">
      <alignment horizontal="center" vertical="center"/>
    </xf>
    <xf numFmtId="164" fontId="0" fillId="0" borderId="69" xfId="4" applyNumberFormat="1" applyFont="1" applyBorder="1" applyAlignment="1">
      <alignment horizontal="center" vertical="center"/>
    </xf>
    <xf numFmtId="164" fontId="0" fillId="0" borderId="0" xfId="4" applyNumberFormat="1" applyFont="1" applyAlignment="1">
      <alignment horizontal="center" vertical="center"/>
    </xf>
    <xf numFmtId="164" fontId="0" fillId="0" borderId="57" xfId="4" applyNumberFormat="1" applyFont="1" applyBorder="1" applyAlignment="1">
      <alignment horizontal="center" vertical="center"/>
    </xf>
    <xf numFmtId="164" fontId="4" fillId="0" borderId="52" xfId="4" applyNumberFormat="1" applyFont="1" applyBorder="1" applyAlignment="1">
      <alignment horizontal="center" vertical="center"/>
    </xf>
    <xf numFmtId="164" fontId="4" fillId="0" borderId="62" xfId="4" applyNumberFormat="1" applyFont="1" applyBorder="1" applyAlignment="1">
      <alignment horizontal="center" vertical="center"/>
    </xf>
    <xf numFmtId="164" fontId="4" fillId="0" borderId="57" xfId="4" applyNumberFormat="1" applyFont="1" applyBorder="1" applyAlignment="1">
      <alignment horizontal="center" vertical="center"/>
    </xf>
    <xf numFmtId="164" fontId="4" fillId="0" borderId="64" xfId="4" applyNumberFormat="1" applyFont="1" applyBorder="1" applyAlignment="1">
      <alignment horizontal="center" vertical="center"/>
    </xf>
    <xf numFmtId="164" fontId="4" fillId="0" borderId="65" xfId="4" applyNumberFormat="1" applyFont="1" applyBorder="1" applyAlignment="1">
      <alignment horizontal="center" vertical="center"/>
    </xf>
    <xf numFmtId="0" fontId="4" fillId="0" borderId="68" xfId="0" applyFont="1" applyBorder="1" applyAlignment="1">
      <alignment horizontal="center" vertical="center"/>
    </xf>
    <xf numFmtId="0" fontId="4" fillId="0" borderId="51" xfId="0" applyFont="1" applyBorder="1" applyAlignment="1">
      <alignment horizontal="center" vertical="center"/>
    </xf>
    <xf numFmtId="164" fontId="0" fillId="0" borderId="0" xfId="4" applyNumberFormat="1" applyFont="1" applyBorder="1" applyAlignment="1">
      <alignment horizontal="center" vertical="center"/>
    </xf>
    <xf numFmtId="164" fontId="4" fillId="0" borderId="0" xfId="4" applyNumberFormat="1" applyFont="1" applyBorder="1" applyAlignment="1">
      <alignment horizontal="center" vertical="center"/>
    </xf>
    <xf numFmtId="0" fontId="48" fillId="0" borderId="64" xfId="15" applyFont="1" applyBorder="1" applyAlignment="1">
      <alignment vertical="center"/>
    </xf>
    <xf numFmtId="11" fontId="0" fillId="0" borderId="64" xfId="4" applyNumberFormat="1" applyFont="1" applyBorder="1" applyAlignment="1">
      <alignment horizontal="center" vertical="center"/>
    </xf>
    <xf numFmtId="11" fontId="0" fillId="0" borderId="65" xfId="4" applyNumberFormat="1" applyFont="1" applyBorder="1" applyAlignment="1">
      <alignment horizontal="center" vertical="center"/>
    </xf>
    <xf numFmtId="11" fontId="0" fillId="0" borderId="57" xfId="0" applyNumberFormat="1" applyBorder="1" applyAlignment="1">
      <alignment horizontal="center" vertical="center"/>
    </xf>
    <xf numFmtId="11" fontId="0" fillId="0" borderId="69" xfId="0" applyNumberFormat="1" applyBorder="1" applyAlignment="1">
      <alignment horizontal="center" vertical="center"/>
    </xf>
    <xf numFmtId="0" fontId="4" fillId="0" borderId="66" xfId="0" applyFont="1" applyBorder="1" applyAlignment="1">
      <alignment horizontal="center" vertical="center"/>
    </xf>
    <xf numFmtId="11" fontId="0" fillId="0" borderId="62" xfId="0" applyNumberFormat="1" applyBorder="1" applyAlignment="1">
      <alignment horizontal="center" vertical="center"/>
    </xf>
    <xf numFmtId="11" fontId="0" fillId="0" borderId="65" xfId="0" applyNumberFormat="1" applyBorder="1" applyAlignment="1">
      <alignment horizontal="center" vertical="center"/>
    </xf>
    <xf numFmtId="11" fontId="0" fillId="0" borderId="51" xfId="0" applyNumberFormat="1" applyBorder="1" applyAlignment="1">
      <alignment horizontal="center" vertical="center"/>
    </xf>
    <xf numFmtId="11" fontId="0" fillId="0" borderId="0" xfId="0" applyNumberFormat="1" applyAlignment="1">
      <alignment horizontal="center" vertical="center"/>
    </xf>
    <xf numFmtId="11" fontId="0" fillId="0" borderId="52" xfId="0" applyNumberFormat="1" applyBorder="1" applyAlignment="1">
      <alignment horizontal="center" vertical="center"/>
    </xf>
    <xf numFmtId="11" fontId="0" fillId="0" borderId="64" xfId="0" applyNumberFormat="1" applyBorder="1" applyAlignment="1">
      <alignment horizontal="center" vertical="center"/>
    </xf>
    <xf numFmtId="164" fontId="0" fillId="0" borderId="57" xfId="0" applyNumberFormat="1" applyBorder="1" applyAlignment="1">
      <alignment horizontal="center" vertical="center"/>
    </xf>
    <xf numFmtId="164" fontId="0" fillId="0" borderId="69" xfId="0" applyNumberFormat="1" applyBorder="1" applyAlignment="1">
      <alignment horizontal="center" vertical="center"/>
    </xf>
    <xf numFmtId="164" fontId="0" fillId="0" borderId="62" xfId="0" applyNumberFormat="1" applyBorder="1" applyAlignment="1">
      <alignment horizontal="center" vertical="center"/>
    </xf>
    <xf numFmtId="164" fontId="0" fillId="0" borderId="52" xfId="4" applyNumberFormat="1" applyFont="1" applyBorder="1" applyAlignment="1">
      <alignment horizontal="center" vertical="center"/>
    </xf>
    <xf numFmtId="164" fontId="0" fillId="0" borderId="62" xfId="4" applyNumberFormat="1" applyFont="1" applyBorder="1" applyAlignment="1">
      <alignment horizontal="center" vertical="center"/>
    </xf>
    <xf numFmtId="164" fontId="0" fillId="0" borderId="65" xfId="0" applyNumberFormat="1" applyBorder="1" applyAlignment="1">
      <alignment horizontal="center" vertical="center"/>
    </xf>
    <xf numFmtId="164" fontId="0" fillId="0" borderId="64" xfId="4" applyNumberFormat="1" applyFont="1" applyBorder="1" applyAlignment="1">
      <alignment horizontal="center" vertical="center"/>
    </xf>
    <xf numFmtId="164" fontId="0" fillId="0" borderId="65" xfId="4" applyNumberFormat="1" applyFont="1" applyBorder="1" applyAlignment="1">
      <alignment horizontal="center" vertical="center"/>
    </xf>
    <xf numFmtId="0" fontId="4" fillId="6" borderId="71" xfId="13" applyNumberFormat="1" applyBorder="1" applyAlignment="1">
      <alignment horizontal="center" vertical="center"/>
    </xf>
    <xf numFmtId="0" fontId="4" fillId="6" borderId="74" xfId="13" applyNumberFormat="1" applyBorder="1" applyAlignment="1">
      <alignment horizontal="center" vertical="center"/>
    </xf>
    <xf numFmtId="0" fontId="4" fillId="6" borderId="85" xfId="13" applyNumberFormat="1" applyBorder="1" applyAlignment="1">
      <alignment horizontal="center" vertical="center"/>
    </xf>
    <xf numFmtId="166" fontId="0" fillId="0" borderId="57" xfId="0" applyNumberFormat="1" applyBorder="1" applyAlignment="1">
      <alignment horizontal="center" vertical="center"/>
    </xf>
    <xf numFmtId="166" fontId="0" fillId="0" borderId="69" xfId="0" applyNumberFormat="1" applyBorder="1" applyAlignment="1">
      <alignment horizontal="center" vertical="center"/>
    </xf>
    <xf numFmtId="166" fontId="0" fillId="0" borderId="62" xfId="0" applyNumberFormat="1" applyBorder="1" applyAlignment="1">
      <alignment horizontal="center" vertical="center"/>
    </xf>
    <xf numFmtId="171" fontId="0" fillId="0" borderId="57" xfId="0" applyNumberFormat="1" applyBorder="1" applyAlignment="1">
      <alignment horizontal="center" vertical="center"/>
    </xf>
    <xf numFmtId="171" fontId="0" fillId="0" borderId="65" xfId="0" applyNumberFormat="1" applyBorder="1" applyAlignment="1">
      <alignment horizontal="center" vertical="center"/>
    </xf>
    <xf numFmtId="4" fontId="0" fillId="0" borderId="3" xfId="0" applyNumberFormat="1" applyBorder="1" applyAlignment="1">
      <alignment horizontal="center" vertical="center"/>
    </xf>
    <xf numFmtId="4" fontId="4" fillId="0" borderId="3" xfId="0" applyNumberFormat="1" applyFont="1" applyBorder="1" applyAlignment="1">
      <alignment horizontal="center" vertical="center"/>
    </xf>
    <xf numFmtId="4" fontId="4" fillId="0" borderId="89" xfId="0" applyNumberFormat="1" applyFont="1" applyBorder="1" applyAlignment="1">
      <alignment horizontal="center" vertical="center"/>
    </xf>
    <xf numFmtId="4" fontId="4" fillId="0" borderId="86" xfId="0" applyNumberFormat="1" applyFont="1" applyBorder="1" applyAlignment="1">
      <alignment horizontal="center" vertical="center"/>
    </xf>
    <xf numFmtId="0" fontId="4" fillId="0" borderId="89" xfId="0" applyFont="1" applyBorder="1" applyAlignment="1">
      <alignment horizontal="center" vertical="center"/>
    </xf>
    <xf numFmtId="0" fontId="4" fillId="0" borderId="82" xfId="0" applyFont="1" applyBorder="1" applyAlignment="1">
      <alignment horizontal="center" vertical="center"/>
    </xf>
    <xf numFmtId="4" fontId="4" fillId="0" borderId="82" xfId="0" applyNumberFormat="1" applyFont="1" applyBorder="1" applyAlignment="1">
      <alignment horizontal="center" vertical="center"/>
    </xf>
    <xf numFmtId="165" fontId="0" fillId="0" borderId="0" xfId="5" applyFont="1" applyBorder="1" applyAlignment="1">
      <alignment horizontal="center" vertical="center"/>
    </xf>
    <xf numFmtId="165" fontId="0" fillId="0" borderId="57" xfId="5" applyFont="1" applyBorder="1" applyAlignment="1">
      <alignment horizontal="center" vertical="center"/>
    </xf>
    <xf numFmtId="165" fontId="0" fillId="0" borderId="3" xfId="5" applyFont="1" applyBorder="1" applyAlignment="1">
      <alignment horizontal="center" vertical="center"/>
    </xf>
    <xf numFmtId="165" fontId="4" fillId="0" borderId="3" xfId="5" applyFont="1" applyBorder="1" applyAlignment="1">
      <alignment horizontal="center" vertical="center"/>
    </xf>
    <xf numFmtId="165" fontId="4" fillId="0" borderId="89" xfId="5" applyFont="1" applyBorder="1" applyAlignment="1">
      <alignment horizontal="center" vertical="center"/>
    </xf>
    <xf numFmtId="165" fontId="4" fillId="0" borderId="86" xfId="5" applyFont="1" applyBorder="1" applyAlignment="1">
      <alignment horizontal="center" vertical="center"/>
    </xf>
    <xf numFmtId="165" fontId="4" fillId="0" borderId="0" xfId="5" applyFont="1" applyBorder="1" applyAlignment="1">
      <alignment horizontal="center" vertical="center"/>
    </xf>
    <xf numFmtId="165" fontId="0" fillId="0" borderId="51" xfId="5" applyFont="1" applyBorder="1" applyAlignment="1">
      <alignment horizontal="center" vertical="center"/>
    </xf>
    <xf numFmtId="165" fontId="0" fillId="0" borderId="0" xfId="5" applyFont="1" applyAlignment="1">
      <alignment horizontal="center" vertical="center"/>
    </xf>
    <xf numFmtId="165" fontId="4" fillId="0" borderId="0" xfId="5" applyFont="1" applyAlignment="1">
      <alignment horizontal="center" vertical="center"/>
    </xf>
    <xf numFmtId="0" fontId="0" fillId="0" borderId="59" xfId="0" applyBorder="1" applyAlignment="1">
      <alignment horizontal="center" vertical="center"/>
    </xf>
    <xf numFmtId="165" fontId="4" fillId="0" borderId="59" xfId="5" applyFont="1" applyBorder="1" applyAlignment="1">
      <alignment horizontal="center" vertical="center"/>
    </xf>
    <xf numFmtId="165" fontId="4" fillId="0" borderId="64" xfId="5" applyFont="1" applyBorder="1" applyAlignment="1">
      <alignment horizontal="center" vertical="center"/>
    </xf>
    <xf numFmtId="165" fontId="4" fillId="0" borderId="65" xfId="5" applyFont="1" applyBorder="1" applyAlignment="1">
      <alignment horizontal="center" vertical="center"/>
    </xf>
    <xf numFmtId="4" fontId="0" fillId="0" borderId="77" xfId="0" applyNumberFormat="1" applyBorder="1" applyAlignment="1">
      <alignment horizontal="center" vertical="center"/>
    </xf>
    <xf numFmtId="4" fontId="4" fillId="0" borderId="77" xfId="0" applyNumberFormat="1" applyFont="1" applyBorder="1" applyAlignment="1">
      <alignment horizontal="center" vertical="center"/>
    </xf>
    <xf numFmtId="4" fontId="4" fillId="0" borderId="88" xfId="0" applyNumberFormat="1" applyFont="1" applyBorder="1" applyAlignment="1">
      <alignment horizontal="center" vertical="center"/>
    </xf>
    <xf numFmtId="165" fontId="0" fillId="0" borderId="77" xfId="5" applyFont="1" applyBorder="1" applyAlignment="1">
      <alignment horizontal="center" vertical="center"/>
    </xf>
    <xf numFmtId="165" fontId="4" fillId="0" borderId="77" xfId="5" applyFont="1" applyBorder="1" applyAlignment="1">
      <alignment horizontal="center" vertical="center"/>
    </xf>
    <xf numFmtId="165" fontId="4" fillId="0" borderId="57" xfId="5" applyFont="1" applyBorder="1" applyAlignment="1">
      <alignment horizontal="center" vertical="center"/>
    </xf>
    <xf numFmtId="165" fontId="0" fillId="0" borderId="69" xfId="5" applyFont="1" applyBorder="1" applyAlignment="1">
      <alignment horizontal="center" vertical="center"/>
    </xf>
    <xf numFmtId="1" fontId="4" fillId="0" borderId="59" xfId="0" applyNumberFormat="1" applyFont="1" applyBorder="1" applyAlignment="1">
      <alignment horizontal="center" vertical="center"/>
    </xf>
    <xf numFmtId="165" fontId="4" fillId="0" borderId="61" xfId="5" applyFont="1" applyBorder="1" applyAlignment="1">
      <alignment horizontal="center" vertical="center"/>
    </xf>
    <xf numFmtId="0" fontId="4" fillId="6" borderId="83" xfId="13" applyNumberFormat="1" applyBorder="1" applyAlignment="1">
      <alignment horizontal="center" vertical="center"/>
    </xf>
    <xf numFmtId="3" fontId="0" fillId="0" borderId="57" xfId="0" applyNumberFormat="1" applyBorder="1" applyAlignment="1">
      <alignment horizontal="center" vertical="center"/>
    </xf>
    <xf numFmtId="2" fontId="4" fillId="0" borderId="58" xfId="0" applyNumberFormat="1" applyFont="1" applyBorder="1" applyAlignment="1">
      <alignment horizontal="center" vertical="center"/>
    </xf>
    <xf numFmtId="2" fontId="4" fillId="0" borderId="59" xfId="0" applyNumberFormat="1" applyFont="1" applyBorder="1" applyAlignment="1">
      <alignment horizontal="center" vertical="center"/>
    </xf>
    <xf numFmtId="3" fontId="4" fillId="0" borderId="61" xfId="0" applyNumberFormat="1" applyFont="1" applyBorder="1" applyAlignment="1">
      <alignment horizontal="center" vertical="center"/>
    </xf>
    <xf numFmtId="4" fontId="4" fillId="0" borderId="59" xfId="0" applyNumberFormat="1" applyFont="1" applyBorder="1" applyAlignment="1">
      <alignment horizontal="center" vertical="center"/>
    </xf>
    <xf numFmtId="1" fontId="0" fillId="0" borderId="56" xfId="0" applyNumberFormat="1" applyBorder="1" applyAlignment="1">
      <alignment horizontal="center" vertical="center"/>
    </xf>
    <xf numFmtId="165" fontId="0" fillId="0" borderId="57" xfId="5" applyFont="1" applyFill="1" applyBorder="1" applyAlignment="1">
      <alignment horizontal="center" vertical="center"/>
    </xf>
    <xf numFmtId="165" fontId="4" fillId="0" borderId="61" xfId="5" applyFont="1" applyFill="1" applyBorder="1" applyAlignment="1">
      <alignment horizontal="center" vertical="center"/>
    </xf>
    <xf numFmtId="165" fontId="4" fillId="0" borderId="82" xfId="5" applyFont="1" applyBorder="1" applyAlignment="1">
      <alignment horizontal="center" vertical="center"/>
    </xf>
    <xf numFmtId="165" fontId="4" fillId="0" borderId="88" xfId="5" applyFont="1" applyBorder="1" applyAlignment="1">
      <alignment horizontal="center" vertical="center"/>
    </xf>
    <xf numFmtId="165" fontId="0" fillId="0" borderId="0" xfId="5" applyFont="1" applyFill="1" applyBorder="1" applyAlignment="1">
      <alignment horizontal="center" vertical="center"/>
    </xf>
    <xf numFmtId="165" fontId="4" fillId="0" borderId="52" xfId="5" applyFont="1" applyBorder="1" applyAlignment="1">
      <alignment horizontal="center" vertical="center"/>
    </xf>
    <xf numFmtId="165" fontId="4" fillId="0" borderId="62" xfId="5" applyFont="1" applyBorder="1" applyAlignment="1">
      <alignment horizontal="center" vertical="center"/>
    </xf>
    <xf numFmtId="165" fontId="0" fillId="0" borderId="0" xfId="0" applyNumberFormat="1" applyAlignment="1">
      <alignment horizontal="center" vertical="center"/>
    </xf>
    <xf numFmtId="165" fontId="0" fillId="0" borderId="57" xfId="0" applyNumberFormat="1" applyBorder="1" applyAlignment="1">
      <alignment horizontal="center" vertical="center"/>
    </xf>
    <xf numFmtId="164" fontId="0" fillId="0" borderId="64" xfId="0" applyNumberFormat="1" applyBorder="1" applyAlignment="1">
      <alignment horizontal="center" vertical="center"/>
    </xf>
    <xf numFmtId="165" fontId="0" fillId="0" borderId="64" xfId="0" applyNumberFormat="1" applyBorder="1" applyAlignment="1">
      <alignment horizontal="center" vertical="center"/>
    </xf>
    <xf numFmtId="165" fontId="0" fillId="0" borderId="56" xfId="5" applyFont="1" applyBorder="1" applyAlignment="1">
      <alignment horizontal="center" vertical="center"/>
    </xf>
    <xf numFmtId="0" fontId="4" fillId="0" borderId="67" xfId="0" applyFont="1" applyBorder="1" applyAlignment="1">
      <alignment horizontal="center" vertical="center"/>
    </xf>
    <xf numFmtId="0" fontId="0" fillId="0" borderId="67" xfId="0" applyBorder="1" applyAlignment="1">
      <alignment horizontal="center" vertical="center"/>
    </xf>
    <xf numFmtId="165" fontId="4" fillId="0" borderId="82" xfId="0" applyNumberFormat="1" applyFont="1" applyBorder="1" applyAlignment="1">
      <alignment horizontal="center" vertical="center"/>
    </xf>
    <xf numFmtId="165" fontId="4" fillId="0" borderId="88" xfId="0" applyNumberFormat="1" applyFont="1" applyBorder="1" applyAlignment="1">
      <alignment horizontal="center" vertical="center"/>
    </xf>
    <xf numFmtId="165" fontId="0" fillId="0" borderId="45" xfId="5" applyFont="1" applyBorder="1" applyAlignment="1">
      <alignment horizontal="center" vertical="center"/>
    </xf>
    <xf numFmtId="165" fontId="4" fillId="0" borderId="45" xfId="5" applyFont="1" applyBorder="1" applyAlignment="1">
      <alignment horizontal="center" vertical="center"/>
    </xf>
    <xf numFmtId="1" fontId="4" fillId="0" borderId="58" xfId="0" applyNumberFormat="1" applyFont="1" applyBorder="1" applyAlignment="1">
      <alignment horizontal="center" vertical="center"/>
    </xf>
    <xf numFmtId="165" fontId="4" fillId="0" borderId="60" xfId="5" applyFont="1" applyBorder="1" applyAlignment="1">
      <alignment horizontal="center" vertical="center"/>
    </xf>
    <xf numFmtId="9" fontId="0" fillId="0" borderId="51" xfId="1" applyFont="1" applyBorder="1" applyAlignment="1">
      <alignment horizontal="center" vertical="center"/>
    </xf>
    <xf numFmtId="165" fontId="0" fillId="0" borderId="44" xfId="5" applyFont="1" applyBorder="1" applyAlignment="1">
      <alignment horizontal="center" vertical="center"/>
    </xf>
    <xf numFmtId="0" fontId="4" fillId="6" borderId="72" xfId="13" applyNumberFormat="1" applyBorder="1" applyAlignment="1">
      <alignment horizontal="center" vertical="center" wrapText="1"/>
    </xf>
    <xf numFmtId="1" fontId="4" fillId="6" borderId="72" xfId="13" applyNumberFormat="1" applyBorder="1" applyAlignment="1">
      <alignment horizontal="center" vertical="center" wrapText="1"/>
    </xf>
    <xf numFmtId="165" fontId="0" fillId="0" borderId="0" xfId="1" applyNumberFormat="1" applyFont="1" applyBorder="1" applyAlignment="1">
      <alignment horizontal="center" vertical="center"/>
    </xf>
    <xf numFmtId="165" fontId="0" fillId="0" borderId="52" xfId="1" applyNumberFormat="1" applyFont="1" applyBorder="1" applyAlignment="1">
      <alignment horizontal="center" vertical="center"/>
    </xf>
    <xf numFmtId="165" fontId="0" fillId="0" borderId="51" xfId="1" applyNumberFormat="1" applyFont="1" applyBorder="1" applyAlignment="1">
      <alignment horizontal="center" vertical="center"/>
    </xf>
    <xf numFmtId="0" fontId="4" fillId="6" borderId="73" xfId="13" applyNumberFormat="1" applyBorder="1" applyAlignment="1">
      <alignment horizontal="center" vertical="center"/>
    </xf>
    <xf numFmtId="0" fontId="57" fillId="4" borderId="56" xfId="0" applyFont="1" applyFill="1" applyBorder="1" applyAlignment="1">
      <alignment horizontal="center" vertical="center"/>
    </xf>
    <xf numFmtId="0" fontId="0" fillId="0" borderId="0" xfId="0" applyAlignment="1">
      <alignment horizontal="center"/>
    </xf>
    <xf numFmtId="165" fontId="0" fillId="9" borderId="0" xfId="5" applyFont="1" applyFill="1" applyBorder="1" applyAlignment="1">
      <alignment horizontal="center"/>
    </xf>
    <xf numFmtId="165" fontId="0" fillId="5" borderId="45" xfId="5" applyFont="1" applyFill="1" applyBorder="1" applyAlignment="1">
      <alignment horizontal="center"/>
    </xf>
    <xf numFmtId="0" fontId="0" fillId="0" borderId="51" xfId="0" applyBorder="1" applyAlignment="1">
      <alignment horizontal="center"/>
    </xf>
    <xf numFmtId="165" fontId="13" fillId="9" borderId="51" xfId="0" applyNumberFormat="1" applyFont="1" applyFill="1" applyBorder="1" applyAlignment="1">
      <alignment horizontal="center"/>
    </xf>
    <xf numFmtId="165" fontId="0" fillId="5" borderId="44" xfId="5" applyFont="1" applyFill="1" applyBorder="1" applyAlignment="1">
      <alignment horizontal="center"/>
    </xf>
    <xf numFmtId="165" fontId="0" fillId="5" borderId="51" xfId="5" applyFont="1" applyFill="1" applyBorder="1" applyAlignment="1">
      <alignment horizontal="center"/>
    </xf>
    <xf numFmtId="165" fontId="0" fillId="5" borderId="69" xfId="5" applyFont="1" applyFill="1"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44" fontId="37" fillId="9" borderId="64" xfId="0" applyNumberFormat="1" applyFont="1" applyFill="1" applyBorder="1" applyAlignment="1">
      <alignment horizontal="center"/>
    </xf>
    <xf numFmtId="165" fontId="13" fillId="9" borderId="64" xfId="0" applyNumberFormat="1" applyFont="1" applyFill="1" applyBorder="1" applyAlignment="1">
      <alignment horizontal="center"/>
    </xf>
    <xf numFmtId="44" fontId="37" fillId="5" borderId="70" xfId="0" applyNumberFormat="1" applyFont="1" applyFill="1" applyBorder="1" applyAlignment="1">
      <alignment horizontal="center"/>
    </xf>
    <xf numFmtId="165" fontId="13" fillId="5" borderId="64" xfId="0" applyNumberFormat="1" applyFont="1" applyFill="1" applyBorder="1" applyAlignment="1">
      <alignment horizontal="center"/>
    </xf>
    <xf numFmtId="165" fontId="13" fillId="10" borderId="65" xfId="0" applyNumberFormat="1" applyFont="1" applyFill="1" applyBorder="1" applyAlignment="1">
      <alignment horizontal="center"/>
    </xf>
    <xf numFmtId="165" fontId="0" fillId="0" borderId="37" xfId="5" applyFont="1" applyBorder="1" applyAlignment="1">
      <alignment horizontal="center"/>
    </xf>
    <xf numFmtId="44" fontId="0" fillId="0" borderId="0" xfId="0" applyNumberFormat="1" applyAlignment="1">
      <alignment horizontal="center"/>
    </xf>
    <xf numFmtId="177" fontId="0" fillId="0" borderId="37" xfId="5" applyNumberFormat="1" applyFont="1" applyBorder="1" applyAlignment="1">
      <alignment horizontal="center"/>
    </xf>
    <xf numFmtId="6" fontId="0" fillId="0" borderId="37" xfId="5" applyNumberFormat="1" applyFont="1" applyBorder="1" applyAlignment="1">
      <alignment horizontal="center"/>
    </xf>
    <xf numFmtId="165" fontId="0" fillId="0" borderId="0" xfId="0" applyNumberFormat="1" applyAlignment="1">
      <alignment horizontal="center"/>
    </xf>
    <xf numFmtId="1" fontId="4" fillId="6" borderId="71" xfId="13" applyNumberFormat="1" applyBorder="1" applyAlignment="1">
      <alignment horizontal="center" vertical="center"/>
    </xf>
    <xf numFmtId="0" fontId="0" fillId="15" borderId="56" xfId="0" applyFill="1" applyBorder="1" applyAlignment="1">
      <alignment horizontal="center" vertical="center"/>
    </xf>
    <xf numFmtId="0" fontId="0" fillId="15" borderId="63" xfId="0" applyFill="1" applyBorder="1" applyAlignment="1">
      <alignment horizontal="center" vertical="center"/>
    </xf>
    <xf numFmtId="0" fontId="4" fillId="6" borderId="98" xfId="13" applyNumberFormat="1" applyBorder="1" applyAlignment="1">
      <alignment horizontal="center" vertical="center"/>
    </xf>
    <xf numFmtId="0" fontId="0" fillId="0" borderId="96" xfId="0" applyBorder="1" applyAlignment="1">
      <alignment horizontal="center" vertical="center"/>
    </xf>
    <xf numFmtId="0" fontId="0" fillId="0" borderId="16" xfId="0" applyBorder="1" applyAlignment="1">
      <alignment horizontal="center" vertical="center"/>
    </xf>
    <xf numFmtId="183" fontId="0" fillId="0" borderId="0" xfId="0" applyNumberFormat="1" applyAlignment="1">
      <alignment horizontal="center" vertical="center"/>
    </xf>
    <xf numFmtId="0" fontId="0" fillId="0" borderId="92" xfId="0" applyBorder="1" applyAlignment="1">
      <alignment horizontal="center" vertical="center"/>
    </xf>
    <xf numFmtId="183" fontId="0" fillId="0" borderId="64" xfId="0" applyNumberFormat="1" applyBorder="1" applyAlignment="1">
      <alignment horizontal="center" vertical="center"/>
    </xf>
    <xf numFmtId="0" fontId="0" fillId="0" borderId="97" xfId="0" applyBorder="1" applyAlignment="1">
      <alignment horizontal="center" vertical="center"/>
    </xf>
    <xf numFmtId="175" fontId="0" fillId="0" borderId="84" xfId="4" applyNumberFormat="1" applyFont="1" applyBorder="1" applyAlignment="1">
      <alignment horizontal="center" vertical="center"/>
    </xf>
    <xf numFmtId="10" fontId="0" fillId="0" borderId="54" xfId="1" applyNumberFormat="1" applyFont="1" applyBorder="1" applyAlignment="1">
      <alignment horizontal="center" vertical="center"/>
    </xf>
    <xf numFmtId="10" fontId="0" fillId="0" borderId="55" xfId="1" applyNumberFormat="1" applyFont="1" applyFill="1" applyBorder="1" applyAlignment="1">
      <alignment horizontal="center" vertical="center"/>
    </xf>
    <xf numFmtId="10" fontId="0" fillId="0" borderId="0" xfId="1" applyNumberFormat="1" applyFont="1" applyBorder="1" applyAlignment="1">
      <alignment horizontal="center" vertical="center"/>
    </xf>
    <xf numFmtId="10" fontId="0" fillId="0" borderId="57" xfId="1" applyNumberFormat="1" applyFont="1" applyFill="1" applyBorder="1" applyAlignment="1">
      <alignment horizontal="center" vertical="center"/>
    </xf>
    <xf numFmtId="10" fontId="0" fillId="0" borderId="57" xfId="1" applyNumberFormat="1" applyFont="1" applyBorder="1" applyAlignment="1">
      <alignment horizontal="center" vertical="center"/>
    </xf>
    <xf numFmtId="1" fontId="4" fillId="6" borderId="95" xfId="13" applyNumberFormat="1" applyBorder="1" applyAlignment="1">
      <alignment horizontal="center" vertical="center"/>
    </xf>
    <xf numFmtId="0" fontId="0" fillId="0" borderId="47" xfId="0" applyBorder="1" applyAlignment="1">
      <alignment horizontal="center" vertical="center"/>
    </xf>
    <xf numFmtId="1"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147" xfId="0" applyBorder="1" applyAlignment="1">
      <alignment horizontal="center" vertical="center"/>
    </xf>
    <xf numFmtId="0" fontId="0" fillId="0" borderId="148" xfId="0" applyBorder="1" applyAlignment="1">
      <alignment horizontal="center" vertical="center"/>
    </xf>
    <xf numFmtId="0" fontId="4" fillId="0" borderId="132" xfId="0" applyFont="1" applyBorder="1" applyAlignment="1">
      <alignment horizontal="center" vertical="center"/>
    </xf>
    <xf numFmtId="181" fontId="0" fillId="0" borderId="55" xfId="0" applyNumberFormat="1" applyBorder="1" applyAlignment="1">
      <alignment horizontal="center" vertical="center"/>
    </xf>
    <xf numFmtId="181" fontId="0" fillId="0" borderId="57" xfId="0" applyNumberFormat="1" applyBorder="1" applyAlignment="1">
      <alignment horizontal="center" vertical="center"/>
    </xf>
    <xf numFmtId="181" fontId="0" fillId="0" borderId="65" xfId="0" applyNumberFormat="1" applyBorder="1" applyAlignment="1">
      <alignment horizontal="center" vertical="center"/>
    </xf>
    <xf numFmtId="0" fontId="0" fillId="0" borderId="37" xfId="4" applyNumberFormat="1" applyFont="1" applyFill="1" applyBorder="1" applyAlignment="1">
      <alignment horizontal="left" vertical="center" indent="1"/>
    </xf>
    <xf numFmtId="0" fontId="44" fillId="0" borderId="0" xfId="0" applyFont="1" applyAlignment="1">
      <alignment vertical="center"/>
    </xf>
    <xf numFmtId="0" fontId="44" fillId="0" borderId="0" xfId="0" applyFont="1" applyAlignment="1">
      <alignment horizontal="center" vertical="center" wrapText="1"/>
    </xf>
    <xf numFmtId="6" fontId="44" fillId="0" borderId="0" xfId="0" applyNumberFormat="1" applyFont="1" applyAlignment="1">
      <alignment horizontal="center" vertical="center"/>
    </xf>
    <xf numFmtId="2" fontId="45" fillId="0" borderId="38" xfId="0" applyNumberFormat="1" applyFont="1" applyBorder="1" applyAlignment="1">
      <alignment horizontal="center" vertical="center"/>
    </xf>
    <xf numFmtId="2" fontId="45" fillId="0" borderId="123" xfId="0" applyNumberFormat="1" applyFont="1" applyBorder="1" applyAlignment="1">
      <alignment horizontal="center" vertical="center"/>
    </xf>
    <xf numFmtId="1" fontId="45" fillId="0" borderId="38" xfId="0" applyNumberFormat="1" applyFont="1" applyBorder="1" applyAlignment="1">
      <alignment horizontal="center" vertical="center"/>
    </xf>
    <xf numFmtId="1" fontId="45" fillId="0" borderId="123" xfId="0" applyNumberFormat="1" applyFont="1" applyBorder="1" applyAlignment="1">
      <alignment horizontal="center" vertical="center"/>
    </xf>
    <xf numFmtId="1" fontId="44" fillId="12" borderId="64" xfId="0" applyNumberFormat="1" applyFont="1" applyFill="1" applyBorder="1" applyAlignment="1">
      <alignment horizontal="center" vertical="center"/>
    </xf>
    <xf numFmtId="1" fontId="44" fillId="12" borderId="65" xfId="0" applyNumberFormat="1" applyFont="1" applyFill="1" applyBorder="1" applyAlignment="1">
      <alignment horizontal="center" vertical="center"/>
    </xf>
    <xf numFmtId="0" fontId="44" fillId="12" borderId="51" xfId="0" applyFont="1" applyFill="1" applyBorder="1" applyAlignment="1">
      <alignment horizontal="center" vertical="center" wrapText="1"/>
    </xf>
    <xf numFmtId="0" fontId="44" fillId="0" borderId="0" xfId="0" applyFont="1" applyAlignment="1">
      <alignment horizontal="center" vertical="center"/>
    </xf>
    <xf numFmtId="3" fontId="45" fillId="0" borderId="64" xfId="0" applyNumberFormat="1" applyFont="1" applyBorder="1" applyAlignment="1">
      <alignment horizontal="center" vertical="center"/>
    </xf>
    <xf numFmtId="3" fontId="45" fillId="0" borderId="65" xfId="0" applyNumberFormat="1" applyFont="1" applyBorder="1" applyAlignment="1">
      <alignment horizontal="center" vertical="center"/>
    </xf>
    <xf numFmtId="165" fontId="71" fillId="0" borderId="0" xfId="0" applyNumberFormat="1" applyFont="1" applyAlignment="1">
      <alignment horizontal="right" vertical="center" indent="1"/>
    </xf>
    <xf numFmtId="11" fontId="4" fillId="0" borderId="0" xfId="4" applyNumberFormat="1" applyFont="1" applyAlignment="1">
      <alignment horizontal="right" vertical="center" indent="1"/>
    </xf>
    <xf numFmtId="4" fontId="0" fillId="0" borderId="0" xfId="4" applyNumberFormat="1" applyFont="1" applyAlignment="1">
      <alignment horizontal="center" vertical="center"/>
    </xf>
    <xf numFmtId="11" fontId="4" fillId="0" borderId="0" xfId="4" applyNumberFormat="1" applyFont="1" applyAlignment="1">
      <alignment horizontal="center" vertical="center"/>
    </xf>
    <xf numFmtId="11" fontId="0" fillId="0" borderId="0" xfId="4" applyNumberFormat="1" applyFont="1" applyAlignment="1">
      <alignment horizontal="center" vertical="center"/>
    </xf>
    <xf numFmtId="0" fontId="0" fillId="14" borderId="0" xfId="0" applyFill="1" applyAlignment="1">
      <alignment horizontal="right" vertical="center" indent="1"/>
    </xf>
    <xf numFmtId="165" fontId="0" fillId="0" borderId="0" xfId="5" applyFont="1" applyFill="1" applyAlignment="1">
      <alignment horizontal="right" vertical="center" indent="1"/>
    </xf>
    <xf numFmtId="165" fontId="0" fillId="0" borderId="0" xfId="5" applyFont="1" applyFill="1" applyAlignment="1">
      <alignment horizontal="left" vertical="center" indent="1"/>
    </xf>
    <xf numFmtId="165" fontId="9" fillId="0" borderId="0" xfId="5" applyFont="1" applyFill="1" applyAlignment="1">
      <alignment horizontal="left" vertical="center" indent="1"/>
    </xf>
    <xf numFmtId="1" fontId="4" fillId="0" borderId="0" xfId="13" applyNumberFormat="1" applyFill="1" applyBorder="1" applyAlignment="1">
      <alignment horizontal="right" vertical="center" indent="1"/>
    </xf>
    <xf numFmtId="1" fontId="4" fillId="0" borderId="0" xfId="13" applyNumberFormat="1" applyFill="1" applyBorder="1">
      <alignment horizontal="left" vertical="center" indent="1"/>
    </xf>
    <xf numFmtId="9" fontId="45" fillId="0" borderId="0" xfId="0" applyNumberFormat="1" applyFont="1" applyAlignment="1">
      <alignment horizontal="center" vertical="center"/>
    </xf>
    <xf numFmtId="3" fontId="45" fillId="0" borderId="102" xfId="0" applyNumberFormat="1" applyFont="1" applyBorder="1" applyAlignment="1">
      <alignment horizontal="left" vertical="center"/>
    </xf>
    <xf numFmtId="165" fontId="9" fillId="0" borderId="0" xfId="5" applyFont="1" applyFill="1" applyBorder="1" applyAlignment="1">
      <alignment horizontal="right" vertical="center" indent="1"/>
    </xf>
    <xf numFmtId="3" fontId="45" fillId="0" borderId="105" xfId="0" applyNumberFormat="1" applyFont="1" applyBorder="1" applyAlignment="1">
      <alignment horizontal="left" vertical="center"/>
    </xf>
    <xf numFmtId="9" fontId="45" fillId="0" borderId="39" xfId="0" applyNumberFormat="1" applyFont="1" applyBorder="1" applyAlignment="1">
      <alignment horizontal="left" vertical="center"/>
    </xf>
    <xf numFmtId="0" fontId="44" fillId="12" borderId="54" xfId="0" applyFont="1" applyFill="1" applyBorder="1" applyAlignment="1">
      <alignment horizontal="center" vertical="center" wrapText="1"/>
    </xf>
    <xf numFmtId="9" fontId="45" fillId="0" borderId="156" xfId="0" applyNumberFormat="1" applyFont="1" applyBorder="1" applyAlignment="1">
      <alignment horizontal="left" vertical="center"/>
    </xf>
    <xf numFmtId="9" fontId="45" fillId="0" borderId="106" xfId="0" applyNumberFormat="1" applyFont="1" applyBorder="1" applyAlignment="1">
      <alignment horizontal="left" vertical="center"/>
    </xf>
    <xf numFmtId="9" fontId="45" fillId="0" borderId="154" xfId="0" applyNumberFormat="1" applyFont="1" applyBorder="1" applyAlignment="1">
      <alignment horizontal="left" vertical="center"/>
    </xf>
    <xf numFmtId="6" fontId="45" fillId="0" borderId="64" xfId="0" applyNumberFormat="1" applyFont="1" applyBorder="1" applyAlignment="1">
      <alignment horizontal="center" vertical="center"/>
    </xf>
    <xf numFmtId="6" fontId="45" fillId="0" borderId="65" xfId="0" applyNumberFormat="1" applyFont="1" applyBorder="1" applyAlignment="1">
      <alignment horizontal="center" vertical="center"/>
    </xf>
    <xf numFmtId="3" fontId="45" fillId="0" borderId="38" xfId="0" applyNumberFormat="1" applyFont="1" applyBorder="1" applyAlignment="1">
      <alignment horizontal="center" vertical="center"/>
    </xf>
    <xf numFmtId="3" fontId="4" fillId="0" borderId="54" xfId="0" applyNumberFormat="1" applyFont="1" applyBorder="1" applyAlignment="1">
      <alignment horizontal="center" vertical="center"/>
    </xf>
    <xf numFmtId="0" fontId="6" fillId="0" borderId="51" xfId="0" applyFont="1" applyBorder="1" applyAlignment="1">
      <alignment horizontal="center" vertical="center"/>
    </xf>
    <xf numFmtId="164" fontId="4" fillId="0" borderId="51" xfId="0" applyNumberFormat="1" applyFont="1" applyBorder="1" applyAlignment="1">
      <alignment horizontal="center" vertical="center"/>
    </xf>
    <xf numFmtId="164" fontId="0" fillId="0" borderId="51" xfId="0" applyNumberFormat="1" applyBorder="1" applyAlignment="1">
      <alignment horizontal="center" vertical="center"/>
    </xf>
    <xf numFmtId="164" fontId="4" fillId="0" borderId="64" xfId="0" applyNumberFormat="1" applyFont="1" applyBorder="1" applyAlignment="1">
      <alignment horizontal="center" vertical="center"/>
    </xf>
    <xf numFmtId="184" fontId="24" fillId="0" borderId="0" xfId="0" applyNumberFormat="1" applyFont="1" applyAlignment="1">
      <alignment horizontal="left" vertical="center"/>
    </xf>
    <xf numFmtId="7" fontId="22" fillId="0" borderId="157" xfId="0" applyNumberFormat="1" applyFont="1" applyBorder="1" applyAlignment="1">
      <alignment horizontal="center" vertical="center" wrapText="1"/>
    </xf>
    <xf numFmtId="1" fontId="72" fillId="0" borderId="63" xfId="0" applyNumberFormat="1" applyFont="1" applyBorder="1" applyAlignment="1">
      <alignment horizontal="center" vertical="center" wrapText="1"/>
    </xf>
    <xf numFmtId="0" fontId="22" fillId="0" borderId="64" xfId="0" applyFont="1" applyBorder="1" applyAlignment="1">
      <alignment horizontal="center" vertical="center" wrapText="1"/>
    </xf>
    <xf numFmtId="7" fontId="22" fillId="0" borderId="65" xfId="0" applyNumberFormat="1" applyFont="1" applyBorder="1" applyAlignment="1">
      <alignment horizontal="center" vertical="center" wrapText="1"/>
    </xf>
    <xf numFmtId="165" fontId="9" fillId="0" borderId="0" xfId="5" applyFont="1" applyFill="1" applyAlignment="1">
      <alignment horizontal="right" vertical="center" indent="1"/>
    </xf>
    <xf numFmtId="165" fontId="0" fillId="0" borderId="3" xfId="5" applyFont="1" applyFill="1" applyBorder="1" applyAlignment="1">
      <alignment horizontal="left" vertical="center" indent="1"/>
    </xf>
    <xf numFmtId="0" fontId="0" fillId="20" borderId="0" xfId="0" applyFill="1">
      <alignment horizontal="left" vertical="center" indent="1"/>
    </xf>
    <xf numFmtId="0" fontId="4" fillId="20" borderId="0" xfId="0" applyFont="1" applyFill="1">
      <alignment horizontal="left" vertical="center" indent="1"/>
    </xf>
    <xf numFmtId="165" fontId="4" fillId="20" borderId="0" xfId="5" applyFont="1" applyFill="1" applyBorder="1" applyAlignment="1">
      <alignment horizontal="right" vertical="center" indent="1"/>
    </xf>
    <xf numFmtId="0" fontId="48" fillId="20" borderId="0" xfId="8" applyFont="1" applyFill="1" applyAlignment="1">
      <alignment horizontal="left" vertical="center" indent="1"/>
    </xf>
    <xf numFmtId="165" fontId="9" fillId="0" borderId="3" xfId="5" applyFont="1" applyFill="1" applyBorder="1" applyAlignment="1">
      <alignment horizontal="right" vertical="center" indent="1"/>
    </xf>
    <xf numFmtId="165" fontId="4" fillId="0" borderId="0" xfId="5" applyFont="1" applyFill="1" applyAlignment="1">
      <alignment horizontal="right" vertical="center" indent="1"/>
    </xf>
    <xf numFmtId="165" fontId="4" fillId="0" borderId="0" xfId="5" applyFont="1" applyFill="1" applyAlignment="1">
      <alignment horizontal="left" vertical="center" indent="1"/>
    </xf>
    <xf numFmtId="0" fontId="22" fillId="0" borderId="89" xfId="0" applyFont="1" applyBorder="1" applyAlignment="1">
      <alignment horizontal="center" vertical="center"/>
    </xf>
    <xf numFmtId="0" fontId="22" fillId="0" borderId="51" xfId="0" applyFont="1" applyBorder="1" applyAlignment="1">
      <alignment horizontal="center" vertical="center"/>
    </xf>
    <xf numFmtId="0" fontId="22" fillId="0" borderId="52" xfId="0" applyFont="1" applyBorder="1" applyAlignment="1">
      <alignment horizontal="center" vertical="center"/>
    </xf>
    <xf numFmtId="0" fontId="22" fillId="0" borderId="0" xfId="0" applyFont="1" applyAlignment="1">
      <alignment horizontal="center" vertical="center"/>
    </xf>
    <xf numFmtId="0" fontId="22" fillId="0" borderId="56" xfId="0" applyFont="1" applyBorder="1" applyAlignment="1">
      <alignment horizontal="center" vertical="center"/>
    </xf>
    <xf numFmtId="0" fontId="22" fillId="0" borderId="94" xfId="0" applyFont="1" applyBorder="1" applyAlignment="1">
      <alignment horizontal="center" vertical="center"/>
    </xf>
    <xf numFmtId="0" fontId="22" fillId="0" borderId="64" xfId="0" applyFont="1" applyBorder="1" applyAlignment="1">
      <alignment horizontal="center" vertical="center"/>
    </xf>
    <xf numFmtId="3" fontId="22" fillId="0" borderId="57" xfId="0" applyNumberFormat="1" applyFont="1" applyBorder="1" applyAlignment="1">
      <alignment horizontal="center" vertical="center"/>
    </xf>
    <xf numFmtId="3" fontId="22" fillId="0" borderId="51" xfId="0" applyNumberFormat="1" applyFont="1" applyBorder="1" applyAlignment="1">
      <alignment horizontal="center" vertical="center"/>
    </xf>
    <xf numFmtId="3" fontId="22" fillId="0" borderId="69" xfId="0" applyNumberFormat="1" applyFont="1" applyBorder="1" applyAlignment="1">
      <alignment horizontal="center" vertical="center"/>
    </xf>
    <xf numFmtId="3" fontId="22" fillId="0" borderId="52" xfId="0" applyNumberFormat="1" applyFont="1" applyBorder="1" applyAlignment="1">
      <alignment horizontal="center" vertical="center"/>
    </xf>
    <xf numFmtId="3" fontId="22" fillId="0" borderId="62" xfId="0" applyNumberFormat="1" applyFont="1" applyBorder="1" applyAlignment="1">
      <alignment horizontal="center" vertical="center"/>
    </xf>
    <xf numFmtId="3" fontId="22" fillId="0" borderId="89" xfId="0" applyNumberFormat="1" applyFont="1" applyBorder="1" applyAlignment="1">
      <alignment horizontal="center" vertical="center"/>
    </xf>
    <xf numFmtId="3" fontId="22" fillId="0" borderId="86" xfId="0" applyNumberFormat="1" applyFont="1" applyBorder="1" applyAlignment="1">
      <alignment horizontal="center" vertical="center"/>
    </xf>
    <xf numFmtId="3" fontId="22" fillId="0" borderId="64" xfId="0" applyNumberFormat="1" applyFont="1" applyBorder="1" applyAlignment="1">
      <alignment horizontal="center" vertical="center"/>
    </xf>
    <xf numFmtId="3" fontId="22" fillId="0" borderId="65" xfId="0" applyNumberFormat="1" applyFont="1" applyBorder="1" applyAlignment="1">
      <alignment horizontal="center" vertical="center"/>
    </xf>
    <xf numFmtId="0" fontId="4" fillId="0" borderId="3" xfId="0" applyFont="1" applyBorder="1">
      <alignment horizontal="left" vertical="center" indent="1"/>
    </xf>
    <xf numFmtId="165" fontId="4" fillId="0" borderId="3" xfId="5" applyFont="1" applyFill="1" applyBorder="1" applyAlignment="1">
      <alignment horizontal="right" vertical="center" indent="1"/>
    </xf>
    <xf numFmtId="165" fontId="4" fillId="0" borderId="3" xfId="5" applyFont="1" applyFill="1" applyBorder="1" applyAlignment="1">
      <alignment horizontal="left" vertical="center" indent="1"/>
    </xf>
    <xf numFmtId="165" fontId="0" fillId="0" borderId="57" xfId="1" applyNumberFormat="1" applyFont="1" applyBorder="1" applyAlignment="1">
      <alignment horizontal="center" vertical="center"/>
    </xf>
    <xf numFmtId="165" fontId="0" fillId="0" borderId="62" xfId="1" applyNumberFormat="1" applyFont="1" applyBorder="1" applyAlignment="1">
      <alignment horizontal="center" vertical="center"/>
    </xf>
    <xf numFmtId="165" fontId="0" fillId="0" borderId="69" xfId="1" applyNumberFormat="1" applyFont="1" applyBorder="1" applyAlignment="1">
      <alignment horizontal="center" vertical="center"/>
    </xf>
    <xf numFmtId="0" fontId="4" fillId="0" borderId="83" xfId="0" applyFont="1" applyBorder="1" applyAlignment="1">
      <alignment horizontal="center" vertical="center"/>
    </xf>
    <xf numFmtId="165" fontId="4" fillId="0" borderId="84" xfId="1" applyNumberFormat="1" applyFont="1" applyBorder="1" applyAlignment="1">
      <alignment horizontal="center" vertical="center"/>
    </xf>
    <xf numFmtId="165" fontId="4" fillId="0" borderId="85" xfId="1" applyNumberFormat="1" applyFont="1" applyBorder="1" applyAlignment="1">
      <alignment horizontal="center" vertical="center"/>
    </xf>
    <xf numFmtId="0" fontId="4" fillId="0" borderId="5" xfId="0" applyFont="1" applyBorder="1">
      <alignment horizontal="left" vertical="center" indent="1"/>
    </xf>
    <xf numFmtId="165" fontId="4" fillId="0" borderId="5" xfId="5" applyFont="1" applyFill="1" applyBorder="1" applyAlignment="1">
      <alignment horizontal="right" vertical="center" indent="1"/>
    </xf>
    <xf numFmtId="0" fontId="63" fillId="12" borderId="53" xfId="0" applyFont="1" applyFill="1" applyBorder="1" applyAlignment="1">
      <alignment horizontal="center" vertical="center"/>
    </xf>
    <xf numFmtId="0" fontId="22" fillId="0" borderId="63" xfId="0" applyFont="1" applyBorder="1" applyAlignment="1">
      <alignment horizontal="center" vertical="center"/>
    </xf>
    <xf numFmtId="165" fontId="0" fillId="0" borderId="52" xfId="5" applyFont="1" applyFill="1" applyBorder="1" applyAlignment="1">
      <alignment horizontal="right" vertical="center" indent="1"/>
    </xf>
    <xf numFmtId="0" fontId="63" fillId="12" borderId="55" xfId="0" applyFont="1" applyFill="1" applyBorder="1" applyAlignment="1">
      <alignment horizontal="center" vertical="center"/>
    </xf>
    <xf numFmtId="165" fontId="22" fillId="0" borderId="57" xfId="0" applyNumberFormat="1" applyFont="1" applyBorder="1" applyAlignment="1">
      <alignment horizontal="center" vertical="center"/>
    </xf>
    <xf numFmtId="0" fontId="23" fillId="0" borderId="56" xfId="0" applyFont="1" applyBorder="1" applyAlignment="1">
      <alignment horizontal="center" vertical="center"/>
    </xf>
    <xf numFmtId="165" fontId="23" fillId="0" borderId="57" xfId="0" applyNumberFormat="1" applyFont="1" applyBorder="1" applyAlignment="1">
      <alignment horizontal="center" vertical="center"/>
    </xf>
    <xf numFmtId="0" fontId="23" fillId="0" borderId="63" xfId="0" applyFont="1" applyBorder="1" applyAlignment="1">
      <alignment horizontal="center" vertical="center"/>
    </xf>
    <xf numFmtId="165" fontId="23" fillId="0" borderId="65" xfId="0" applyNumberFormat="1" applyFont="1" applyBorder="1" applyAlignment="1">
      <alignment horizontal="center" vertical="center"/>
    </xf>
    <xf numFmtId="0" fontId="22" fillId="0" borderId="0" xfId="0" applyFont="1" applyAlignment="1">
      <alignment horizontal="left" vertical="center"/>
    </xf>
    <xf numFmtId="0" fontId="22" fillId="0" borderId="57" xfId="0" applyFont="1" applyBorder="1" applyAlignment="1">
      <alignment horizontal="center" vertical="center"/>
    </xf>
    <xf numFmtId="0" fontId="22" fillId="0" borderId="64" xfId="0" applyFont="1" applyBorder="1" applyAlignment="1">
      <alignment horizontal="left" vertical="center"/>
    </xf>
    <xf numFmtId="0" fontId="22" fillId="0" borderId="65" xfId="0" applyFont="1" applyBorder="1" applyAlignment="1">
      <alignment horizontal="center" vertical="center"/>
    </xf>
    <xf numFmtId="0" fontId="48" fillId="0" borderId="0" xfId="8" applyFont="1" applyFill="1" applyAlignment="1">
      <alignment horizontal="left" vertical="center" indent="1"/>
    </xf>
    <xf numFmtId="1" fontId="4" fillId="0" borderId="0" xfId="13" applyNumberFormat="1" applyFill="1">
      <alignment horizontal="left" vertical="center" indent="1"/>
    </xf>
    <xf numFmtId="0" fontId="4" fillId="0" borderId="3" xfId="0" applyFont="1" applyBorder="1" applyAlignment="1">
      <alignment horizontal="right" vertical="center" indent="1"/>
    </xf>
    <xf numFmtId="2" fontId="4" fillId="0" borderId="3" xfId="0" applyNumberFormat="1" applyFont="1" applyBorder="1" applyAlignment="1">
      <alignment horizontal="right" vertical="center" indent="1"/>
    </xf>
    <xf numFmtId="166" fontId="9" fillId="0" borderId="3" xfId="1" applyNumberFormat="1" applyFont="1" applyFill="1" applyBorder="1" applyAlignment="1">
      <alignment horizontal="right" vertical="center" indent="1"/>
    </xf>
    <xf numFmtId="0" fontId="5" fillId="0" borderId="0" xfId="8" applyFill="1" applyAlignment="1">
      <alignment horizontal="left" vertical="center" indent="1"/>
    </xf>
    <xf numFmtId="0" fontId="8" fillId="0" borderId="0" xfId="9" applyFill="1" applyBorder="1" applyAlignment="1">
      <alignment horizontal="left" vertical="center" indent="1"/>
    </xf>
    <xf numFmtId="0" fontId="22" fillId="0" borderId="56" xfId="0" applyFont="1" applyBorder="1" applyAlignment="1">
      <alignment horizontal="center" vertical="center" wrapText="1"/>
    </xf>
    <xf numFmtId="166" fontId="0" fillId="0" borderId="3" xfId="1" applyNumberFormat="1" applyFont="1" applyFill="1" applyBorder="1" applyAlignment="1">
      <alignment horizontal="right" vertical="center" indent="1"/>
    </xf>
    <xf numFmtId="166" fontId="9" fillId="0" borderId="0" xfId="1" applyNumberFormat="1" applyFont="1" applyFill="1" applyBorder="1" applyAlignment="1">
      <alignment horizontal="right" vertical="center" indent="1"/>
    </xf>
    <xf numFmtId="1" fontId="23" fillId="4" borderId="146" xfId="0" applyNumberFormat="1" applyFont="1" applyFill="1" applyBorder="1" applyAlignment="1">
      <alignment horizontal="left" vertical="center"/>
    </xf>
    <xf numFmtId="0" fontId="22" fillId="4" borderId="40" xfId="0" applyFont="1" applyFill="1" applyBorder="1" applyAlignment="1">
      <alignment horizontal="left" vertical="center" wrapText="1"/>
    </xf>
    <xf numFmtId="1" fontId="4" fillId="0" borderId="44" xfId="13" applyNumberFormat="1" applyFill="1" applyBorder="1">
      <alignment horizontal="left" vertical="center" indent="1"/>
    </xf>
    <xf numFmtId="1" fontId="4" fillId="0" borderId="15" xfId="13" applyNumberFormat="1" applyFill="1" applyBorder="1">
      <alignment horizontal="left" vertical="center" indent="1"/>
    </xf>
    <xf numFmtId="1" fontId="4" fillId="0" borderId="37" xfId="13" applyNumberFormat="1" applyFill="1" applyBorder="1" applyAlignment="1">
      <alignment horizontal="right" vertical="center" indent="1"/>
    </xf>
    <xf numFmtId="0" fontId="4" fillId="0" borderId="46" xfId="0" applyFont="1" applyBorder="1">
      <alignment horizontal="left" vertical="center" indent="1"/>
    </xf>
    <xf numFmtId="165" fontId="0" fillId="0" borderId="37" xfId="5" applyFont="1" applyFill="1" applyBorder="1" applyAlignment="1">
      <alignment horizontal="right" vertical="center" indent="1"/>
    </xf>
    <xf numFmtId="0" fontId="0" fillId="0" borderId="46" xfId="0" applyBorder="1">
      <alignment horizontal="left" vertical="center" indent="1"/>
    </xf>
    <xf numFmtId="182" fontId="0" fillId="0" borderId="37" xfId="5" applyNumberFormat="1" applyFont="1" applyFill="1" applyBorder="1" applyAlignment="1">
      <alignment horizontal="right" vertical="center" indent="1"/>
    </xf>
    <xf numFmtId="0" fontId="0" fillId="0" borderId="48" xfId="0" applyBorder="1">
      <alignment horizontal="left" vertical="center" indent="1"/>
    </xf>
    <xf numFmtId="182" fontId="4" fillId="0" borderId="37" xfId="5" applyNumberFormat="1" applyFont="1" applyFill="1" applyBorder="1" applyAlignment="1">
      <alignment horizontal="right" vertical="center" indent="1"/>
    </xf>
    <xf numFmtId="0" fontId="4" fillId="0" borderId="47" xfId="0" applyFont="1" applyBorder="1">
      <alignment horizontal="left" vertical="center" indent="1"/>
    </xf>
    <xf numFmtId="0" fontId="4" fillId="0" borderId="48" xfId="0" applyFont="1" applyBorder="1" applyAlignment="1">
      <alignment horizontal="right" vertical="center" indent="1"/>
    </xf>
    <xf numFmtId="2" fontId="4" fillId="0" borderId="37" xfId="0" applyNumberFormat="1" applyFont="1" applyBorder="1" applyAlignment="1">
      <alignment horizontal="right" vertical="center" indent="1"/>
    </xf>
    <xf numFmtId="0" fontId="0" fillId="0" borderId="50" xfId="0" applyBorder="1">
      <alignment horizontal="left" vertical="center" indent="1"/>
    </xf>
    <xf numFmtId="172" fontId="0" fillId="0" borderId="37" xfId="0" applyNumberFormat="1" applyBorder="1" applyAlignment="1">
      <alignment horizontal="right" vertical="center" indent="1"/>
    </xf>
    <xf numFmtId="0" fontId="0" fillId="0" borderId="44" xfId="0" applyBorder="1">
      <alignment horizontal="left" vertical="center" indent="1"/>
    </xf>
    <xf numFmtId="166" fontId="0" fillId="0" borderId="15" xfId="0" applyNumberFormat="1" applyBorder="1">
      <alignment horizontal="left" vertical="center" indent="1"/>
    </xf>
    <xf numFmtId="166" fontId="0" fillId="0" borderId="50" xfId="0" applyNumberFormat="1" applyBorder="1">
      <alignment horizontal="left" vertical="center" indent="1"/>
    </xf>
    <xf numFmtId="164" fontId="63" fillId="12" borderId="100" xfId="0" applyNumberFormat="1" applyFont="1" applyFill="1" applyBorder="1" applyAlignment="1">
      <alignment horizontal="center" vertical="center" wrapText="1"/>
    </xf>
    <xf numFmtId="164" fontId="63" fillId="12" borderId="101" xfId="0" applyNumberFormat="1" applyFont="1" applyFill="1" applyBorder="1" applyAlignment="1">
      <alignment horizontal="center" vertical="center" wrapText="1"/>
    </xf>
    <xf numFmtId="0" fontId="60" fillId="0" borderId="0" xfId="0" applyFont="1">
      <alignment horizontal="left" vertical="center" indent="1"/>
    </xf>
    <xf numFmtId="166" fontId="0" fillId="0" borderId="64" xfId="1" applyNumberFormat="1" applyFont="1" applyFill="1" applyBorder="1" applyAlignment="1">
      <alignment horizontal="center" vertical="center"/>
    </xf>
    <xf numFmtId="166" fontId="4" fillId="0" borderId="65" xfId="1" applyNumberFormat="1" applyFont="1" applyFill="1" applyBorder="1" applyAlignment="1">
      <alignment horizontal="center" vertical="center"/>
    </xf>
    <xf numFmtId="0" fontId="63" fillId="12" borderId="54" xfId="0" applyFont="1" applyFill="1" applyBorder="1" applyAlignment="1">
      <alignment horizontal="center" vertical="center"/>
    </xf>
    <xf numFmtId="10" fontId="0" fillId="14" borderId="57" xfId="1" applyNumberFormat="1" applyFont="1" applyFill="1" applyBorder="1" applyAlignment="1">
      <alignment horizontal="center" vertical="center"/>
    </xf>
    <xf numFmtId="1" fontId="0" fillId="0" borderId="53" xfId="0" applyNumberFormat="1" applyBorder="1" applyAlignment="1">
      <alignment horizontal="left" vertical="center"/>
    </xf>
    <xf numFmtId="1" fontId="0" fillId="0" borderId="56" xfId="0" applyNumberFormat="1" applyBorder="1" applyAlignment="1">
      <alignment horizontal="left" vertical="center"/>
    </xf>
    <xf numFmtId="1" fontId="0" fillId="0" borderId="68" xfId="0" applyNumberFormat="1" applyBorder="1" applyAlignment="1">
      <alignment horizontal="left" vertical="center"/>
    </xf>
    <xf numFmtId="1" fontId="0" fillId="0" borderId="63" xfId="0" applyNumberFormat="1" applyBorder="1" applyAlignment="1">
      <alignment horizontal="left" vertical="center"/>
    </xf>
    <xf numFmtId="0" fontId="0" fillId="19" borderId="57" xfId="0" applyFill="1" applyBorder="1" applyAlignment="1">
      <alignment horizontal="center" vertical="center"/>
    </xf>
    <xf numFmtId="181" fontId="0" fillId="19" borderId="57" xfId="0" applyNumberFormat="1" applyFill="1" applyBorder="1" applyAlignment="1">
      <alignment horizontal="center" vertical="center"/>
    </xf>
    <xf numFmtId="9" fontId="0" fillId="0" borderId="54" xfId="13" applyNumberFormat="1" applyFont="1" applyFill="1" applyBorder="1" applyAlignment="1">
      <alignment horizontal="center" vertical="center"/>
    </xf>
    <xf numFmtId="9" fontId="0" fillId="0" borderId="55" xfId="13" applyNumberFormat="1" applyFont="1" applyFill="1" applyBorder="1" applyAlignment="1">
      <alignment horizontal="center" vertical="center"/>
    </xf>
    <xf numFmtId="9" fontId="0" fillId="0" borderId="64" xfId="13" applyNumberFormat="1" applyFont="1" applyFill="1" applyBorder="1" applyAlignment="1">
      <alignment horizontal="center" vertical="center"/>
    </xf>
    <xf numFmtId="9" fontId="0" fillId="0" borderId="65" xfId="13" applyNumberFormat="1" applyFont="1" applyFill="1" applyBorder="1" applyAlignment="1">
      <alignment horizontal="center" vertical="center"/>
    </xf>
    <xf numFmtId="0" fontId="4" fillId="6" borderId="95" xfId="13" applyNumberFormat="1" applyBorder="1" applyAlignment="1">
      <alignment horizontal="center" vertical="center"/>
    </xf>
    <xf numFmtId="9" fontId="0" fillId="0" borderId="45" xfId="1" applyFont="1" applyBorder="1" applyAlignment="1">
      <alignment horizontal="center" vertical="center"/>
    </xf>
    <xf numFmtId="9" fontId="0" fillId="0" borderId="47" xfId="1" applyFont="1" applyBorder="1" applyAlignment="1">
      <alignment horizontal="center" vertical="center"/>
    </xf>
    <xf numFmtId="3" fontId="0" fillId="0" borderId="45" xfId="4" applyFont="1" applyBorder="1" applyAlignment="1">
      <alignment horizontal="center" vertical="center"/>
    </xf>
    <xf numFmtId="4" fontId="0" fillId="0" borderId="47" xfId="4" applyNumberFormat="1" applyFont="1" applyBorder="1" applyAlignment="1">
      <alignment horizontal="center" vertical="center"/>
    </xf>
    <xf numFmtId="171" fontId="0" fillId="0" borderId="45" xfId="0" applyNumberFormat="1" applyBorder="1" applyAlignment="1">
      <alignment horizontal="center" vertical="center"/>
    </xf>
    <xf numFmtId="1" fontId="0" fillId="0" borderId="47" xfId="0" applyNumberFormat="1" applyBorder="1" applyAlignment="1">
      <alignment horizontal="center" vertical="center"/>
    </xf>
    <xf numFmtId="164" fontId="0" fillId="0" borderId="45" xfId="5" applyNumberFormat="1" applyFont="1" applyFill="1" applyBorder="1" applyAlignment="1">
      <alignment horizontal="center" vertical="center"/>
    </xf>
    <xf numFmtId="2" fontId="0" fillId="0" borderId="47" xfId="0" applyNumberFormat="1" applyBorder="1" applyAlignment="1">
      <alignment horizontal="center" vertical="center"/>
    </xf>
    <xf numFmtId="165" fontId="0" fillId="0" borderId="45" xfId="5" applyFont="1" applyFill="1" applyBorder="1" applyAlignment="1">
      <alignment horizontal="center" vertical="center"/>
    </xf>
    <xf numFmtId="165" fontId="0" fillId="0" borderId="47" xfId="5" applyFont="1" applyFill="1" applyBorder="1" applyAlignment="1">
      <alignment horizontal="center" vertical="center"/>
    </xf>
    <xf numFmtId="4" fontId="0" fillId="0" borderId="47" xfId="4" applyNumberFormat="1" applyFont="1" applyFill="1" applyBorder="1" applyAlignment="1">
      <alignment horizontal="center" vertical="center"/>
    </xf>
    <xf numFmtId="171" fontId="0" fillId="0" borderId="47" xfId="0" applyNumberFormat="1" applyBorder="1" applyAlignment="1">
      <alignment horizontal="center" vertical="center"/>
    </xf>
    <xf numFmtId="3" fontId="0" fillId="0" borderId="60" xfId="4" applyFont="1" applyFill="1" applyBorder="1" applyAlignment="1">
      <alignment horizontal="center" vertical="center"/>
    </xf>
    <xf numFmtId="0" fontId="4" fillId="0" borderId="68" xfId="0" applyFont="1" applyBorder="1" applyAlignment="1">
      <alignment horizontal="left" vertical="center"/>
    </xf>
    <xf numFmtId="0" fontId="4" fillId="0" borderId="56" xfId="0" applyFont="1" applyBorder="1" applyAlignment="1">
      <alignment horizontal="left" vertical="center"/>
    </xf>
    <xf numFmtId="1" fontId="0" fillId="0" borderId="57" xfId="0" applyNumberFormat="1" applyBorder="1">
      <alignment horizontal="left" vertical="center" indent="1"/>
    </xf>
    <xf numFmtId="1" fontId="0" fillId="0" borderId="64" xfId="0" applyNumberFormat="1" applyBorder="1">
      <alignment horizontal="left" vertical="center" indent="1"/>
    </xf>
    <xf numFmtId="1" fontId="0" fillId="0" borderId="65" xfId="0" applyNumberFormat="1" applyBorder="1">
      <alignment horizontal="left" vertical="center" indent="1"/>
    </xf>
    <xf numFmtId="1" fontId="0" fillId="0" borderId="51" xfId="0" applyNumberFormat="1" applyBorder="1">
      <alignment horizontal="left" vertical="center" indent="1"/>
    </xf>
    <xf numFmtId="1" fontId="0" fillId="0" borderId="69" xfId="0" applyNumberFormat="1" applyBorder="1">
      <alignment horizontal="left" vertical="center" indent="1"/>
    </xf>
    <xf numFmtId="1" fontId="4" fillId="0" borderId="0" xfId="13" applyNumberFormat="1" applyFill="1" applyBorder="1" applyAlignment="1">
      <alignment horizontal="center" vertical="center"/>
    </xf>
    <xf numFmtId="0" fontId="44" fillId="12" borderId="55" xfId="0" applyFont="1" applyFill="1" applyBorder="1" applyAlignment="1">
      <alignment horizontal="center" vertical="center"/>
    </xf>
    <xf numFmtId="0" fontId="0" fillId="0" borderId="37" xfId="0" applyBorder="1" applyAlignment="1">
      <alignment horizontal="center" vertical="center"/>
    </xf>
    <xf numFmtId="0" fontId="0" fillId="0" borderId="60" xfId="0" applyBorder="1" applyAlignment="1">
      <alignment horizontal="center" vertical="center"/>
    </xf>
    <xf numFmtId="0" fontId="22" fillId="0" borderId="0" xfId="0" applyFont="1" applyAlignment="1">
      <alignment horizontal="center" vertical="center" wrapText="1"/>
    </xf>
    <xf numFmtId="0" fontId="22" fillId="0" borderId="63" xfId="0" applyFont="1" applyBorder="1" applyAlignment="1">
      <alignment horizontal="center" vertical="center" wrapText="1"/>
    </xf>
    <xf numFmtId="2" fontId="22" fillId="0" borderId="40" xfId="0" applyNumberFormat="1" applyFont="1" applyBorder="1" applyAlignment="1">
      <alignment horizontal="center" vertical="center"/>
    </xf>
    <xf numFmtId="2" fontId="22" fillId="0" borderId="112" xfId="0" applyNumberFormat="1" applyFont="1" applyBorder="1" applyAlignment="1">
      <alignment horizontal="center" vertical="center"/>
    </xf>
    <xf numFmtId="165" fontId="22" fillId="0" borderId="40" xfId="0" applyNumberFormat="1" applyFont="1" applyBorder="1" applyAlignment="1">
      <alignment horizontal="center" vertical="center"/>
    </xf>
    <xf numFmtId="165" fontId="22" fillId="0" borderId="112" xfId="0" applyNumberFormat="1" applyFont="1" applyBorder="1" applyAlignment="1">
      <alignment horizontal="center" vertical="center"/>
    </xf>
    <xf numFmtId="0" fontId="44" fillId="12" borderId="164" xfId="0" applyFont="1" applyFill="1" applyBorder="1" applyAlignment="1">
      <alignment horizontal="center" vertical="center" wrapText="1"/>
    </xf>
    <xf numFmtId="165" fontId="22" fillId="0" borderId="165" xfId="0" applyNumberFormat="1" applyFont="1" applyBorder="1" applyAlignment="1">
      <alignment horizontal="center" vertical="center"/>
    </xf>
    <xf numFmtId="2" fontId="22" fillId="0" borderId="165" xfId="0" applyNumberFormat="1" applyFont="1" applyBorder="1" applyAlignment="1">
      <alignment horizontal="center" vertical="center"/>
    </xf>
    <xf numFmtId="164" fontId="0" fillId="0" borderId="0" xfId="0" applyNumberFormat="1" applyAlignment="1">
      <alignment horizontal="center" vertical="center"/>
    </xf>
    <xf numFmtId="3" fontId="4" fillId="18" borderId="84" xfId="13" applyNumberFormat="1" applyFill="1" applyBorder="1" applyAlignment="1">
      <alignment horizontal="center" vertical="center"/>
    </xf>
    <xf numFmtId="3" fontId="4" fillId="18" borderId="85" xfId="13" applyNumberFormat="1" applyFill="1" applyBorder="1" applyAlignment="1">
      <alignment horizontal="center" vertical="center"/>
    </xf>
    <xf numFmtId="9" fontId="9" fillId="0" borderId="0" xfId="13" applyNumberFormat="1" applyFont="1" applyFill="1" applyBorder="1" applyAlignment="1">
      <alignment horizontal="center" vertical="center"/>
    </xf>
    <xf numFmtId="9" fontId="9" fillId="0" borderId="57" xfId="13" applyNumberFormat="1" applyFont="1" applyFill="1" applyBorder="1" applyAlignment="1">
      <alignment horizontal="center" vertical="center"/>
    </xf>
    <xf numFmtId="9" fontId="9" fillId="0" borderId="64" xfId="13" applyNumberFormat="1" applyFont="1" applyFill="1" applyBorder="1" applyAlignment="1">
      <alignment horizontal="center" vertical="center"/>
    </xf>
    <xf numFmtId="9" fontId="9" fillId="0" borderId="65" xfId="13" applyNumberFormat="1" applyFont="1" applyFill="1" applyBorder="1" applyAlignment="1">
      <alignment horizontal="center" vertical="center"/>
    </xf>
    <xf numFmtId="166" fontId="0" fillId="0" borderId="57" xfId="1" applyNumberFormat="1" applyFont="1" applyBorder="1" applyAlignment="1">
      <alignment horizontal="center" vertical="center"/>
    </xf>
    <xf numFmtId="2" fontId="0" fillId="0" borderId="57" xfId="0" applyNumberFormat="1" applyBorder="1" applyAlignment="1">
      <alignment horizontal="center" vertical="center"/>
    </xf>
    <xf numFmtId="164" fontId="0" fillId="0" borderId="57" xfId="5" applyNumberFormat="1" applyFont="1" applyBorder="1" applyAlignment="1">
      <alignment horizontal="center" vertical="center"/>
    </xf>
    <xf numFmtId="164" fontId="0" fillId="0" borderId="65" xfId="5" applyNumberFormat="1" applyFont="1" applyBorder="1" applyAlignment="1">
      <alignment horizontal="center" vertical="center"/>
    </xf>
    <xf numFmtId="165" fontId="0" fillId="0" borderId="65" xfId="0" applyNumberFormat="1" applyBorder="1" applyAlignment="1">
      <alignment horizontal="center" vertical="center"/>
    </xf>
    <xf numFmtId="0" fontId="4" fillId="6" borderId="55" xfId="13" applyNumberFormat="1" applyBorder="1" applyAlignment="1">
      <alignment horizontal="right" vertical="center" indent="1"/>
    </xf>
    <xf numFmtId="1" fontId="0" fillId="0" borderId="57" xfId="0" applyNumberFormat="1" applyBorder="1" applyAlignment="1">
      <alignment horizontal="right" vertical="center" indent="1"/>
    </xf>
    <xf numFmtId="0" fontId="0" fillId="0" borderId="167" xfId="0" applyBorder="1">
      <alignment horizontal="left" vertical="center" indent="1"/>
    </xf>
    <xf numFmtId="1" fontId="0" fillId="0" borderId="77" xfId="0" applyNumberFormat="1" applyBorder="1" applyAlignment="1">
      <alignment horizontal="right" vertical="center" indent="1"/>
    </xf>
    <xf numFmtId="1" fontId="0" fillId="0" borderId="63" xfId="0" applyNumberFormat="1" applyBorder="1">
      <alignment horizontal="left" vertical="center" indent="1"/>
    </xf>
    <xf numFmtId="166" fontId="0" fillId="0" borderId="65" xfId="1" applyNumberFormat="1" applyFont="1" applyBorder="1" applyAlignment="1">
      <alignment horizontal="right" vertical="center" indent="1"/>
    </xf>
    <xf numFmtId="0" fontId="75" fillId="0" borderId="0" xfId="0" applyFont="1" applyAlignment="1">
      <alignment indent="1"/>
    </xf>
    <xf numFmtId="0" fontId="77" fillId="0" borderId="0" xfId="0" applyFont="1" applyAlignment="1">
      <alignment indent="1"/>
    </xf>
    <xf numFmtId="1" fontId="51" fillId="0" borderId="0" xfId="0" applyNumberFormat="1" applyFont="1">
      <alignment horizontal="left" vertical="center" indent="1"/>
    </xf>
    <xf numFmtId="3" fontId="0" fillId="0" borderId="51" xfId="4" applyFont="1" applyFill="1" applyBorder="1" applyAlignment="1">
      <alignment horizontal="center" vertical="center"/>
    </xf>
    <xf numFmtId="181" fontId="0" fillId="0" borderId="51" xfId="4" applyNumberFormat="1" applyFont="1" applyFill="1" applyBorder="1" applyAlignment="1">
      <alignment horizontal="center" vertical="center"/>
    </xf>
    <xf numFmtId="3" fontId="53" fillId="0" borderId="0" xfId="0" applyNumberFormat="1" applyFont="1" applyAlignment="1">
      <alignment horizontal="center" vertical="center"/>
    </xf>
    <xf numFmtId="171" fontId="0" fillId="0" borderId="0" xfId="0" applyNumberFormat="1" applyAlignment="1">
      <alignment horizontal="right" vertical="center" indent="1"/>
    </xf>
    <xf numFmtId="171" fontId="0" fillId="0" borderId="0" xfId="0" applyNumberFormat="1">
      <alignment horizontal="left" vertical="center" indent="1"/>
    </xf>
    <xf numFmtId="176" fontId="0" fillId="0" borderId="0" xfId="0" applyNumberFormat="1">
      <alignment horizontal="left" vertical="center" indent="1"/>
    </xf>
    <xf numFmtId="181" fontId="0" fillId="0" borderId="0" xfId="4" applyNumberFormat="1" applyFont="1" applyFill="1" applyBorder="1" applyAlignment="1">
      <alignment horizontal="center" vertical="center"/>
    </xf>
    <xf numFmtId="3" fontId="53" fillId="0" borderId="52" xfId="0" applyNumberFormat="1" applyFont="1" applyBorder="1" applyAlignment="1">
      <alignment horizontal="center" vertical="center"/>
    </xf>
    <xf numFmtId="3" fontId="0" fillId="0" borderId="52" xfId="4" applyFont="1" applyFill="1" applyBorder="1" applyAlignment="1">
      <alignment horizontal="center" vertical="center"/>
    </xf>
    <xf numFmtId="181" fontId="0" fillId="0" borderId="52" xfId="4" applyNumberFormat="1" applyFont="1" applyFill="1" applyBorder="1" applyAlignment="1">
      <alignment horizontal="center" vertical="center"/>
    </xf>
    <xf numFmtId="0" fontId="53" fillId="0" borderId="89" xfId="0" applyFont="1" applyBorder="1" applyAlignment="1">
      <alignment horizontal="center" vertical="center"/>
    </xf>
    <xf numFmtId="0" fontId="53" fillId="0" borderId="0" xfId="0" applyFont="1" applyAlignment="1">
      <alignment horizontal="center" vertical="center"/>
    </xf>
    <xf numFmtId="0" fontId="53" fillId="0" borderId="52" xfId="0" applyFont="1" applyBorder="1" applyAlignment="1">
      <alignment horizontal="center" vertical="center"/>
    </xf>
    <xf numFmtId="3" fontId="0" fillId="0" borderId="56" xfId="4" applyFont="1" applyFill="1" applyBorder="1" applyAlignment="1">
      <alignment horizontal="center" vertical="center"/>
    </xf>
    <xf numFmtId="3" fontId="0" fillId="0" borderId="66" xfId="4" applyFont="1" applyFill="1" applyBorder="1" applyAlignment="1">
      <alignment horizontal="center" vertical="center"/>
    </xf>
    <xf numFmtId="3" fontId="0" fillId="0" borderId="62" xfId="4" applyFont="1" applyFill="1" applyBorder="1" applyAlignment="1">
      <alignment horizontal="center" vertical="center"/>
    </xf>
    <xf numFmtId="3" fontId="0" fillId="0" borderId="63" xfId="4" applyFont="1" applyFill="1" applyBorder="1" applyAlignment="1">
      <alignment horizontal="center" vertical="center"/>
    </xf>
    <xf numFmtId="3" fontId="0" fillId="0" borderId="64" xfId="4" applyFont="1" applyFill="1" applyBorder="1" applyAlignment="1">
      <alignment horizontal="center" vertical="center"/>
    </xf>
    <xf numFmtId="3" fontId="0" fillId="0" borderId="65" xfId="4" applyFont="1" applyFill="1" applyBorder="1" applyAlignment="1">
      <alignment horizontal="center" vertical="center"/>
    </xf>
    <xf numFmtId="3" fontId="53" fillId="0" borderId="56" xfId="0" applyNumberFormat="1" applyFont="1" applyBorder="1" applyAlignment="1">
      <alignment horizontal="center" vertical="center"/>
    </xf>
    <xf numFmtId="0" fontId="36" fillId="0" borderId="0" xfId="3" applyFont="1" applyFill="1" applyBorder="1" applyAlignment="1">
      <alignment horizontal="left" vertical="center" indent="1"/>
    </xf>
    <xf numFmtId="166" fontId="0" fillId="0" borderId="0" xfId="1" applyNumberFormat="1" applyFont="1" applyFill="1" applyBorder="1" applyAlignment="1">
      <alignment horizontal="right" vertical="center" indent="1"/>
    </xf>
    <xf numFmtId="166" fontId="0" fillId="0" borderId="0" xfId="1" applyNumberFormat="1" applyFont="1" applyFill="1" applyAlignment="1">
      <alignment horizontal="right" vertical="center" indent="1"/>
    </xf>
    <xf numFmtId="3" fontId="52" fillId="0" borderId="89" xfId="0" applyNumberFormat="1" applyFont="1" applyBorder="1" applyAlignment="1">
      <alignment horizontal="center" vertical="center"/>
    </xf>
    <xf numFmtId="3" fontId="0" fillId="0" borderId="89" xfId="4" applyFont="1" applyFill="1" applyBorder="1" applyAlignment="1">
      <alignment horizontal="center" vertical="center"/>
    </xf>
    <xf numFmtId="181" fontId="0" fillId="0" borderId="89" xfId="4" applyNumberFormat="1" applyFont="1" applyFill="1" applyBorder="1" applyAlignment="1">
      <alignment horizontal="center" vertical="center"/>
    </xf>
    <xf numFmtId="3" fontId="0" fillId="0" borderId="94" xfId="4" applyFont="1" applyFill="1" applyBorder="1" applyAlignment="1">
      <alignment horizontal="center" vertical="center"/>
    </xf>
    <xf numFmtId="0" fontId="52" fillId="0" borderId="89" xfId="0" applyFont="1" applyBorder="1" applyAlignment="1">
      <alignment horizontal="center" vertical="center"/>
    </xf>
    <xf numFmtId="181" fontId="0" fillId="0" borderId="64" xfId="4" applyNumberFormat="1" applyFont="1" applyFill="1" applyBorder="1" applyAlignment="1">
      <alignment horizontal="center" vertical="center"/>
    </xf>
    <xf numFmtId="3" fontId="53" fillId="0" borderId="89" xfId="0" applyNumberFormat="1" applyFont="1" applyBorder="1" applyAlignment="1">
      <alignment horizontal="center" vertical="center"/>
    </xf>
    <xf numFmtId="10" fontId="0" fillId="0" borderId="171" xfId="19" applyNumberFormat="1" applyFont="1" applyFill="1" applyBorder="1" applyAlignment="1">
      <alignment horizontal="center" vertical="center"/>
    </xf>
    <xf numFmtId="10" fontId="0" fillId="0" borderId="172" xfId="19" applyNumberFormat="1" applyFont="1" applyFill="1" applyBorder="1" applyAlignment="1">
      <alignment horizontal="center" vertical="center"/>
    </xf>
    <xf numFmtId="10" fontId="0" fillId="0" borderId="170" xfId="19" applyNumberFormat="1" applyFont="1" applyFill="1" applyBorder="1" applyAlignment="1">
      <alignment horizontal="center" vertical="center"/>
    </xf>
    <xf numFmtId="10" fontId="9" fillId="0" borderId="172" xfId="19" applyNumberFormat="1" applyFont="1" applyFill="1" applyBorder="1" applyAlignment="1">
      <alignment horizontal="center" vertical="center"/>
    </xf>
    <xf numFmtId="10" fontId="9" fillId="0" borderId="170" xfId="19" applyNumberFormat="1" applyFont="1" applyFill="1" applyBorder="1" applyAlignment="1">
      <alignment horizontal="center" vertical="center"/>
    </xf>
    <xf numFmtId="10" fontId="9" fillId="0" borderId="173" xfId="19" applyNumberFormat="1" applyFont="1" applyFill="1" applyBorder="1" applyAlignment="1">
      <alignment horizontal="center" vertical="center"/>
    </xf>
    <xf numFmtId="10" fontId="9" fillId="0" borderId="174" xfId="19" applyNumberFormat="1" applyFont="1" applyFill="1" applyBorder="1" applyAlignment="1">
      <alignment horizontal="center" vertical="center"/>
    </xf>
    <xf numFmtId="3" fontId="52" fillId="0" borderId="0" xfId="0" applyNumberFormat="1" applyFont="1" applyAlignment="1">
      <alignment horizontal="center" vertical="center"/>
    </xf>
    <xf numFmtId="0" fontId="0" fillId="0" borderId="53" xfId="0" applyBorder="1" applyAlignment="1">
      <alignment horizontal="center" vertical="center"/>
    </xf>
    <xf numFmtId="3" fontId="0" fillId="0" borderId="54" xfId="4" applyFont="1" applyFill="1" applyBorder="1" applyAlignment="1">
      <alignment horizontal="center" vertical="center"/>
    </xf>
    <xf numFmtId="181" fontId="0" fillId="0" borderId="54" xfId="4" applyNumberFormat="1" applyFont="1" applyFill="1" applyBorder="1" applyAlignment="1">
      <alignment horizontal="center" vertical="center"/>
    </xf>
    <xf numFmtId="3" fontId="53" fillId="0" borderId="54" xfId="0" applyNumberFormat="1" applyFont="1" applyBorder="1" applyAlignment="1">
      <alignment horizontal="center" vertical="center"/>
    </xf>
    <xf numFmtId="0" fontId="53" fillId="0" borderId="68" xfId="0" applyFont="1" applyBorder="1" applyAlignment="1">
      <alignment horizontal="center" vertical="center"/>
    </xf>
    <xf numFmtId="0" fontId="53" fillId="0" borderId="51" xfId="0" applyFont="1" applyBorder="1" applyAlignment="1">
      <alignment horizontal="center" vertical="center"/>
    </xf>
    <xf numFmtId="0" fontId="53" fillId="0" borderId="66" xfId="0" applyFont="1" applyBorder="1" applyAlignment="1">
      <alignment horizontal="center" vertical="center"/>
    </xf>
    <xf numFmtId="0" fontId="44" fillId="12" borderId="51" xfId="0" applyFont="1" applyFill="1" applyBorder="1" applyAlignment="1">
      <alignment horizontal="center" vertical="center"/>
    </xf>
    <xf numFmtId="0" fontId="44" fillId="12" borderId="69" xfId="0" applyFont="1" applyFill="1" applyBorder="1" applyAlignment="1">
      <alignment horizontal="center" vertical="center"/>
    </xf>
    <xf numFmtId="10" fontId="9" fillId="0" borderId="169" xfId="19" applyNumberFormat="1" applyFont="1" applyFill="1" applyBorder="1" applyAlignment="1">
      <alignment horizontal="center" vertical="center"/>
    </xf>
    <xf numFmtId="10" fontId="9" fillId="0" borderId="171" xfId="19" applyNumberFormat="1" applyFont="1" applyFill="1" applyBorder="1" applyAlignment="1">
      <alignment horizontal="center" vertical="center"/>
    </xf>
    <xf numFmtId="0" fontId="75" fillId="0" borderId="37" xfId="0" applyFont="1" applyBorder="1" applyAlignment="1">
      <alignment indent="1"/>
    </xf>
    <xf numFmtId="3" fontId="75" fillId="0" borderId="37" xfId="0" applyNumberFormat="1" applyFont="1" applyBorder="1" applyAlignment="1">
      <alignment indent="1"/>
    </xf>
    <xf numFmtId="4" fontId="75" fillId="0" borderId="37" xfId="0" applyNumberFormat="1" applyFont="1" applyBorder="1" applyAlignment="1">
      <alignment indent="1"/>
    </xf>
    <xf numFmtId="0" fontId="74" fillId="0" borderId="37" xfId="0" applyFont="1" applyBorder="1" applyAlignment="1">
      <alignment horizontal="center" vertical="center" indent="1"/>
    </xf>
    <xf numFmtId="0" fontId="75" fillId="0" borderId="37" xfId="0" applyFont="1" applyBorder="1" applyAlignment="1">
      <alignment horizontal="center" vertical="center" indent="1"/>
    </xf>
    <xf numFmtId="0" fontId="80" fillId="0" borderId="37" xfId="0" applyFont="1" applyBorder="1">
      <alignment horizontal="left" vertical="center" indent="1"/>
    </xf>
    <xf numFmtId="0" fontId="75" fillId="0" borderId="0" xfId="0" applyFont="1" applyAlignment="1">
      <alignment horizontal="center" indent="1"/>
    </xf>
    <xf numFmtId="0" fontId="76" fillId="0" borderId="54" xfId="0" applyFont="1" applyBorder="1" applyAlignment="1">
      <alignment indent="1"/>
    </xf>
    <xf numFmtId="0" fontId="76" fillId="0" borderId="0" xfId="0" applyFont="1" applyAlignment="1">
      <alignment indent="1"/>
    </xf>
    <xf numFmtId="0" fontId="79" fillId="0" borderId="0" xfId="0" applyFont="1" applyAlignment="1">
      <alignment indent="1"/>
    </xf>
    <xf numFmtId="3" fontId="77" fillId="0" borderId="0" xfId="0" applyNumberFormat="1" applyFont="1" applyAlignment="1">
      <alignment indent="1"/>
    </xf>
    <xf numFmtId="3" fontId="52" fillId="0" borderId="0" xfId="0" applyNumberFormat="1" applyFont="1" applyAlignment="1">
      <alignment indent="1"/>
    </xf>
    <xf numFmtId="0" fontId="24" fillId="0" borderId="0" xfId="0" applyFont="1" applyAlignment="1">
      <alignment horizontal="left" vertical="center" wrapText="1"/>
    </xf>
    <xf numFmtId="0" fontId="44" fillId="12" borderId="55" xfId="0" applyFont="1" applyFill="1" applyBorder="1" applyAlignment="1">
      <alignment horizontal="center" vertical="center" wrapText="1"/>
    </xf>
    <xf numFmtId="2" fontId="22" fillId="0" borderId="57" xfId="0" applyNumberFormat="1" applyFont="1" applyBorder="1" applyAlignment="1">
      <alignment horizontal="center" vertical="center"/>
    </xf>
    <xf numFmtId="0" fontId="24" fillId="0" borderId="64" xfId="0" applyFont="1" applyBorder="1" applyAlignment="1">
      <alignment horizontal="left" vertical="center" wrapText="1"/>
    </xf>
    <xf numFmtId="9" fontId="22" fillId="0" borderId="64" xfId="0" applyNumberFormat="1" applyFont="1" applyBorder="1" applyAlignment="1">
      <alignment horizontal="center" vertical="center"/>
    </xf>
    <xf numFmtId="0" fontId="22" fillId="0" borderId="56" xfId="0" applyFont="1" applyBorder="1" applyAlignment="1">
      <alignment vertical="center"/>
    </xf>
    <xf numFmtId="0" fontId="74" fillId="0" borderId="37" xfId="0" applyFont="1" applyBorder="1" applyAlignment="1">
      <alignment indent="1"/>
    </xf>
    <xf numFmtId="0" fontId="78" fillId="0" borderId="0" xfId="0" applyFont="1" applyAlignment="1">
      <alignment indent="1"/>
    </xf>
    <xf numFmtId="10" fontId="75" fillId="0" borderId="0" xfId="0" applyNumberFormat="1" applyFont="1" applyAlignment="1">
      <alignment indent="1"/>
    </xf>
    <xf numFmtId="3" fontId="75" fillId="0" borderId="0" xfId="0" applyNumberFormat="1" applyFont="1" applyAlignment="1">
      <alignment indent="1"/>
    </xf>
    <xf numFmtId="2" fontId="75" fillId="0" borderId="0" xfId="0" applyNumberFormat="1" applyFont="1" applyAlignment="1">
      <alignment indent="1"/>
    </xf>
    <xf numFmtId="9" fontId="77" fillId="0" borderId="0" xfId="0" applyNumberFormat="1" applyFont="1" applyAlignment="1">
      <alignment indent="1"/>
    </xf>
    <xf numFmtId="0" fontId="77" fillId="0" borderId="64" xfId="0" applyFont="1" applyBorder="1" applyAlignment="1">
      <alignment indent="1"/>
    </xf>
    <xf numFmtId="0" fontId="77" fillId="0" borderId="54" xfId="0" applyFont="1" applyBorder="1" applyAlignment="1">
      <alignment indent="1"/>
    </xf>
    <xf numFmtId="3" fontId="77" fillId="0" borderId="54" xfId="0" applyNumberFormat="1" applyFont="1" applyBorder="1" applyAlignment="1">
      <alignment indent="1"/>
    </xf>
    <xf numFmtId="3" fontId="77" fillId="0" borderId="64" xfId="0" applyNumberFormat="1" applyFont="1" applyBorder="1" applyAlignment="1">
      <alignment indent="1"/>
    </xf>
    <xf numFmtId="0" fontId="77" fillId="0" borderId="0" xfId="0" applyFont="1" applyAlignment="1">
      <alignment horizontal="center" indent="1"/>
    </xf>
    <xf numFmtId="9" fontId="77" fillId="0" borderId="54" xfId="0" applyNumberFormat="1" applyFont="1" applyBorder="1" applyAlignment="1">
      <alignment indent="1"/>
    </xf>
    <xf numFmtId="9" fontId="77" fillId="0" borderId="64" xfId="0" applyNumberFormat="1" applyFont="1" applyBorder="1" applyAlignment="1">
      <alignment indent="1"/>
    </xf>
    <xf numFmtId="10" fontId="77" fillId="15" borderId="37" xfId="0" applyNumberFormat="1" applyFont="1" applyFill="1" applyBorder="1" applyAlignment="1">
      <alignment indent="1"/>
    </xf>
    <xf numFmtId="9" fontId="77" fillId="15" borderId="37" xfId="0" applyNumberFormat="1" applyFont="1" applyFill="1" applyBorder="1" applyAlignment="1">
      <alignment indent="1"/>
    </xf>
    <xf numFmtId="164" fontId="45" fillId="0" borderId="40" xfId="0" applyNumberFormat="1" applyFont="1" applyBorder="1" applyAlignment="1">
      <alignment horizontal="center" vertical="center"/>
    </xf>
    <xf numFmtId="0" fontId="4" fillId="0" borderId="37" xfId="0" applyFont="1" applyBorder="1" applyAlignment="1">
      <alignment horizontal="center" vertical="center"/>
    </xf>
    <xf numFmtId="2" fontId="0" fillId="0" borderId="37" xfId="0" applyNumberFormat="1" applyBorder="1" applyAlignment="1">
      <alignment horizontal="center" vertical="center"/>
    </xf>
    <xf numFmtId="0" fontId="0" fillId="0" borderId="53" xfId="0" applyBorder="1">
      <alignment horizontal="left" vertical="center" indent="1"/>
    </xf>
    <xf numFmtId="0" fontId="0" fillId="0" borderId="54" xfId="0" applyBorder="1">
      <alignment horizontal="left" vertical="center" indent="1"/>
    </xf>
    <xf numFmtId="0" fontId="0" fillId="0" borderId="54" xfId="0" applyBorder="1" applyAlignment="1">
      <alignment horizontal="right" vertical="center" indent="1"/>
    </xf>
    <xf numFmtId="0" fontId="0" fillId="0" borderId="55" xfId="0" applyBorder="1">
      <alignment horizontal="left" vertical="center" indent="1"/>
    </xf>
    <xf numFmtId="0" fontId="0" fillId="0" borderId="64" xfId="0" applyBorder="1" applyAlignment="1">
      <alignment horizontal="right" vertical="center" indent="1"/>
    </xf>
    <xf numFmtId="0" fontId="81" fillId="0" borderId="0" xfId="0" applyFont="1">
      <alignment horizontal="left" vertical="center" indent="1"/>
    </xf>
    <xf numFmtId="165" fontId="22" fillId="0" borderId="0" xfId="0" applyNumberFormat="1" applyFont="1" applyAlignment="1">
      <alignment horizontal="center" vertical="center"/>
    </xf>
    <xf numFmtId="165" fontId="22" fillId="0" borderId="0" xfId="0" applyNumberFormat="1" applyFont="1" applyAlignment="1">
      <alignment horizontal="left" vertical="center" wrapText="1"/>
    </xf>
    <xf numFmtId="9" fontId="22" fillId="0" borderId="0" xfId="0" applyNumberFormat="1" applyFont="1" applyAlignment="1">
      <alignment horizontal="center" vertical="center"/>
    </xf>
    <xf numFmtId="2" fontId="22" fillId="0" borderId="0" xfId="0" applyNumberFormat="1" applyFont="1" applyAlignment="1">
      <alignment horizontal="left" vertical="center" wrapText="1"/>
    </xf>
    <xf numFmtId="165" fontId="22" fillId="0" borderId="64" xfId="0" applyNumberFormat="1" applyFont="1" applyBorder="1" applyAlignment="1">
      <alignment horizontal="center" vertical="center"/>
    </xf>
    <xf numFmtId="2" fontId="24" fillId="0" borderId="57" xfId="0" applyNumberFormat="1" applyFont="1" applyBorder="1" applyAlignment="1">
      <alignment horizontal="center" vertical="center"/>
    </xf>
    <xf numFmtId="2" fontId="24" fillId="0" borderId="65" xfId="0" applyNumberFormat="1" applyFont="1" applyBorder="1" applyAlignment="1">
      <alignment horizontal="center" vertical="center"/>
    </xf>
    <xf numFmtId="0" fontId="23" fillId="0" borderId="56" xfId="0" applyFont="1" applyBorder="1" applyAlignment="1">
      <alignment vertical="center"/>
    </xf>
    <xf numFmtId="165" fontId="23" fillId="0" borderId="0" xfId="0" applyNumberFormat="1" applyFont="1" applyAlignment="1">
      <alignment horizontal="left" vertical="center"/>
    </xf>
    <xf numFmtId="165" fontId="23" fillId="0" borderId="0" xfId="0" applyNumberFormat="1" applyFont="1" applyAlignment="1">
      <alignment horizontal="center" vertical="center"/>
    </xf>
    <xf numFmtId="10" fontId="23" fillId="0" borderId="0" xfId="0" applyNumberFormat="1" applyFont="1" applyAlignment="1">
      <alignment horizontal="center" vertical="center"/>
    </xf>
    <xf numFmtId="2" fontId="23" fillId="0" borderId="57" xfId="0" applyNumberFormat="1" applyFont="1" applyBorder="1" applyAlignment="1">
      <alignment horizontal="center" vertical="center"/>
    </xf>
    <xf numFmtId="164" fontId="0" fillId="0" borderId="0" xfId="5" applyNumberFormat="1" applyFont="1" applyFill="1" applyBorder="1" applyAlignment="1">
      <alignment horizontal="left" vertical="center" indent="2"/>
    </xf>
    <xf numFmtId="164" fontId="0" fillId="0" borderId="0" xfId="5" applyNumberFormat="1" applyFont="1" applyFill="1" applyBorder="1" applyAlignment="1">
      <alignment horizontal="right" vertical="center" indent="2"/>
    </xf>
    <xf numFmtId="0" fontId="17" fillId="0" borderId="0" xfId="0" applyFont="1" applyAlignment="1">
      <alignment horizontal="left" vertical="center" indent="2"/>
    </xf>
    <xf numFmtId="0" fontId="17" fillId="0" borderId="0" xfId="0" applyFont="1">
      <alignment horizontal="left" vertical="center" indent="1"/>
    </xf>
    <xf numFmtId="0" fontId="48" fillId="0" borderId="0" xfId="0" applyFont="1">
      <alignment horizontal="left" vertical="center" indent="1"/>
    </xf>
    <xf numFmtId="4" fontId="0" fillId="0" borderId="3" xfId="4" applyNumberFormat="1" applyFont="1" applyFill="1" applyBorder="1" applyAlignment="1">
      <alignment horizontal="right" vertical="center" indent="1"/>
    </xf>
    <xf numFmtId="165" fontId="22" fillId="0" borderId="0" xfId="5" applyFont="1" applyFill="1" applyBorder="1" applyAlignment="1">
      <alignment horizontal="right" vertical="center" indent="1"/>
    </xf>
    <xf numFmtId="165" fontId="22" fillId="0" borderId="3" xfId="5" applyFont="1" applyFill="1" applyBorder="1" applyAlignment="1">
      <alignment horizontal="right" vertical="center" indent="1"/>
    </xf>
    <xf numFmtId="0" fontId="47" fillId="0" borderId="0" xfId="0" applyFont="1" applyAlignment="1">
      <alignment horizontal="center" vertical="center"/>
    </xf>
    <xf numFmtId="174" fontId="47" fillId="0" borderId="0" xfId="0" applyNumberFormat="1" applyFont="1" applyAlignment="1">
      <alignment horizontal="center" vertical="center"/>
    </xf>
    <xf numFmtId="0" fontId="27" fillId="0" borderId="0" xfId="0" applyFont="1" applyAlignment="1">
      <alignment horizontal="left"/>
    </xf>
    <xf numFmtId="0" fontId="48" fillId="7" borderId="0" xfId="8" applyFont="1" applyFill="1" applyAlignment="1">
      <alignment horizontal="left" vertical="center" indent="2"/>
    </xf>
    <xf numFmtId="171" fontId="40" fillId="0" borderId="0" xfId="3" applyNumberFormat="1" applyFont="1" applyFill="1" applyBorder="1" applyAlignment="1">
      <alignment horizontal="left" vertical="center" indent="2"/>
    </xf>
    <xf numFmtId="165" fontId="40" fillId="0" borderId="0" xfId="5" applyFont="1" applyFill="1" applyBorder="1" applyAlignment="1">
      <alignment horizontal="left" vertical="center" indent="1"/>
    </xf>
    <xf numFmtId="0" fontId="14" fillId="0" borderId="0" xfId="0" applyFont="1" applyAlignment="1">
      <alignment horizontal="left" indent="1"/>
    </xf>
    <xf numFmtId="0" fontId="24" fillId="0" borderId="56" xfId="0" applyFont="1" applyBorder="1" applyAlignment="1">
      <alignment vertical="center"/>
    </xf>
    <xf numFmtId="0" fontId="24" fillId="0" borderId="63" xfId="0" applyFont="1" applyBorder="1" applyAlignment="1">
      <alignment vertical="center"/>
    </xf>
    <xf numFmtId="0" fontId="22" fillId="0" borderId="56" xfId="0" applyFont="1" applyBorder="1" applyAlignment="1">
      <alignment vertical="center"/>
    </xf>
    <xf numFmtId="0" fontId="22" fillId="0" borderId="0" xfId="0" applyFont="1" applyAlignment="1">
      <alignment horizontal="center" vertical="center" wrapText="1"/>
    </xf>
    <xf numFmtId="0" fontId="22" fillId="0" borderId="64" xfId="0" applyFont="1" applyBorder="1" applyAlignment="1">
      <alignment horizontal="center" vertical="center" wrapText="1"/>
    </xf>
    <xf numFmtId="10" fontId="22" fillId="0" borderId="166" xfId="0" applyNumberFormat="1" applyFont="1" applyBorder="1" applyAlignment="1">
      <alignment horizontal="center" vertical="center"/>
    </xf>
    <xf numFmtId="10" fontId="22" fillId="0" borderId="114" xfId="0" applyNumberFormat="1" applyFont="1" applyBorder="1" applyAlignment="1">
      <alignment horizontal="center" vertical="center"/>
    </xf>
    <xf numFmtId="10" fontId="22" fillId="0" borderId="115" xfId="0" applyNumberFormat="1" applyFont="1" applyBorder="1" applyAlignment="1">
      <alignment horizontal="center" vertical="center"/>
    </xf>
    <xf numFmtId="1" fontId="23" fillId="4" borderId="146" xfId="0" applyNumberFormat="1" applyFont="1" applyFill="1" applyBorder="1" applyAlignment="1">
      <alignment horizontal="left" vertical="center"/>
    </xf>
    <xf numFmtId="1" fontId="23" fillId="4" borderId="145" xfId="0" applyNumberFormat="1" applyFont="1" applyFill="1" applyBorder="1" applyAlignment="1">
      <alignment horizontal="left" vertical="center"/>
    </xf>
    <xf numFmtId="0" fontId="44" fillId="12" borderId="53" xfId="0" applyFont="1" applyFill="1" applyBorder="1" applyAlignment="1">
      <alignment horizontal="center" vertical="center"/>
    </xf>
    <xf numFmtId="0" fontId="44" fillId="12" borderId="56" xfId="0" applyFont="1" applyFill="1" applyBorder="1" applyAlignment="1">
      <alignment horizontal="center" vertical="center"/>
    </xf>
    <xf numFmtId="0" fontId="44" fillId="12" borderId="121" xfId="0" applyFont="1" applyFill="1" applyBorder="1" applyAlignment="1">
      <alignment horizontal="center" vertical="center"/>
    </xf>
    <xf numFmtId="0" fontId="44" fillId="12" borderId="72" xfId="0" applyFont="1" applyFill="1" applyBorder="1" applyAlignment="1">
      <alignment horizontal="center" vertical="center"/>
    </xf>
    <xf numFmtId="0" fontId="44" fillId="12" borderId="74" xfId="0" applyFont="1" applyFill="1" applyBorder="1" applyAlignment="1">
      <alignment horizontal="center" vertical="center"/>
    </xf>
    <xf numFmtId="0" fontId="22" fillId="0" borderId="129" xfId="0" applyFont="1" applyBorder="1" applyAlignment="1">
      <alignment horizontal="center" vertical="center" wrapText="1"/>
    </xf>
    <xf numFmtId="0" fontId="22" fillId="0" borderId="57" xfId="0" applyFont="1" applyBorder="1" applyAlignment="1">
      <alignment horizontal="center" vertical="center" wrapText="1"/>
    </xf>
    <xf numFmtId="0" fontId="22" fillId="0" borderId="65" xfId="0" applyFont="1" applyBorder="1" applyAlignment="1">
      <alignment horizontal="center" vertical="center" wrapText="1"/>
    </xf>
    <xf numFmtId="0" fontId="45" fillId="0" borderId="118" xfId="0" applyFont="1" applyBorder="1" applyAlignment="1">
      <alignment horizontal="center" vertical="center" wrapText="1"/>
    </xf>
    <xf numFmtId="0" fontId="45" fillId="0" borderId="120" xfId="0" applyFont="1" applyBorder="1" applyAlignment="1">
      <alignment horizontal="center" vertical="center" wrapText="1"/>
    </xf>
    <xf numFmtId="0" fontId="46" fillId="11" borderId="111" xfId="0" applyFont="1" applyFill="1" applyBorder="1" applyAlignment="1">
      <alignment horizontal="left" vertical="center"/>
    </xf>
    <xf numFmtId="0" fontId="46" fillId="11" borderId="40" xfId="0" applyFont="1" applyFill="1" applyBorder="1" applyAlignment="1">
      <alignment horizontal="left" vertical="center"/>
    </xf>
    <xf numFmtId="0" fontId="46" fillId="11" borderId="112" xfId="0" applyFont="1" applyFill="1" applyBorder="1" applyAlignment="1">
      <alignment horizontal="left" vertical="center"/>
    </xf>
    <xf numFmtId="0" fontId="63" fillId="12" borderId="54" xfId="0" applyFont="1" applyFill="1" applyBorder="1" applyAlignment="1">
      <alignment horizontal="center" vertical="center"/>
    </xf>
    <xf numFmtId="0" fontId="63" fillId="12" borderId="55" xfId="0" applyFont="1" applyFill="1" applyBorder="1" applyAlignment="1">
      <alignment horizontal="center" vertical="center"/>
    </xf>
    <xf numFmtId="0" fontId="22" fillId="0" borderId="128" xfId="0" applyFont="1" applyBorder="1" applyAlignment="1">
      <alignment horizontal="left" vertical="center" wrapText="1" indent="1"/>
    </xf>
    <xf numFmtId="0" fontId="22" fillId="0" borderId="0" xfId="0" applyFont="1" applyAlignment="1">
      <alignment horizontal="left" vertical="center"/>
    </xf>
    <xf numFmtId="0" fontId="22" fillId="0" borderId="57" xfId="0" applyFont="1" applyBorder="1" applyAlignment="1">
      <alignment horizontal="left" vertical="center"/>
    </xf>
    <xf numFmtId="0" fontId="44" fillId="12" borderId="122" xfId="0" applyFont="1" applyFill="1" applyBorder="1" applyAlignment="1">
      <alignment horizontal="center" vertical="center"/>
    </xf>
    <xf numFmtId="0" fontId="44" fillId="12" borderId="54" xfId="0" applyFont="1" applyFill="1" applyBorder="1" applyAlignment="1">
      <alignment horizontal="center" vertical="center"/>
    </xf>
    <xf numFmtId="0" fontId="44" fillId="12" borderId="55" xfId="0" applyFont="1" applyFill="1" applyBorder="1" applyAlignment="1">
      <alignment horizontal="center" vertical="center"/>
    </xf>
    <xf numFmtId="0" fontId="22" fillId="0" borderId="64" xfId="0" applyFont="1" applyBorder="1" applyAlignment="1">
      <alignment horizontal="left" vertical="center"/>
    </xf>
    <xf numFmtId="0" fontId="22" fillId="0" borderId="65" xfId="0" applyFont="1" applyBorder="1" applyAlignment="1">
      <alignment horizontal="left" vertical="center"/>
    </xf>
    <xf numFmtId="0" fontId="22" fillId="0" borderId="56" xfId="0" applyFont="1" applyBorder="1" applyAlignment="1">
      <alignment horizontal="center" vertical="center"/>
    </xf>
    <xf numFmtId="0" fontId="22" fillId="0" borderId="63" xfId="0" applyFont="1" applyBorder="1" applyAlignment="1">
      <alignment horizontal="center" vertical="center"/>
    </xf>
    <xf numFmtId="0" fontId="45" fillId="0" borderId="117" xfId="0" applyFont="1" applyBorder="1" applyAlignment="1">
      <alignment horizontal="center" vertical="center" wrapText="1"/>
    </xf>
    <xf numFmtId="0" fontId="22" fillId="0" borderId="68" xfId="0" applyFont="1" applyBorder="1" applyAlignment="1">
      <alignment horizontal="center" vertical="center"/>
    </xf>
    <xf numFmtId="0" fontId="22" fillId="0" borderId="66" xfId="0" applyFont="1" applyBorder="1" applyAlignment="1">
      <alignment horizontal="center" vertical="center"/>
    </xf>
    <xf numFmtId="1" fontId="25" fillId="0" borderId="111" xfId="0" applyNumberFormat="1" applyFont="1" applyBorder="1" applyAlignment="1">
      <alignment horizontal="center" vertical="center" wrapText="1"/>
    </xf>
    <xf numFmtId="1" fontId="25" fillId="0" borderId="146" xfId="0" applyNumberFormat="1" applyFont="1" applyBorder="1" applyAlignment="1">
      <alignment horizontal="center" vertical="center" wrapText="1"/>
    </xf>
    <xf numFmtId="0" fontId="46" fillId="11" borderId="145" xfId="0" applyFont="1" applyFill="1" applyBorder="1" applyAlignment="1">
      <alignment horizontal="left" vertical="center"/>
    </xf>
    <xf numFmtId="0" fontId="46" fillId="11" borderId="168" xfId="0" applyFont="1" applyFill="1" applyBorder="1" applyAlignment="1">
      <alignment horizontal="left" vertical="center"/>
    </xf>
    <xf numFmtId="0" fontId="46" fillId="11" borderId="119" xfId="0" applyFont="1" applyFill="1" applyBorder="1" applyAlignment="1">
      <alignment horizontal="left" vertical="center"/>
    </xf>
    <xf numFmtId="0" fontId="45" fillId="0" borderId="155" xfId="0" applyFont="1" applyBorder="1" applyAlignment="1">
      <alignment horizontal="left" vertical="center" wrapText="1"/>
    </xf>
    <xf numFmtId="0" fontId="45" fillId="0" borderId="57" xfId="0" applyFont="1" applyBorder="1" applyAlignment="1">
      <alignment horizontal="left" vertical="center" wrapText="1"/>
    </xf>
    <xf numFmtId="0" fontId="45" fillId="0" borderId="65" xfId="0" applyFont="1" applyBorder="1" applyAlignment="1">
      <alignment horizontal="left" vertical="center" wrapText="1"/>
    </xf>
    <xf numFmtId="0" fontId="0" fillId="0" borderId="16" xfId="0" applyBorder="1" applyAlignment="1">
      <alignment horizontal="left" vertical="center"/>
    </xf>
    <xf numFmtId="0" fontId="0" fillId="0" borderId="160" xfId="0" applyBorder="1" applyAlignment="1">
      <alignment horizontal="left" vertical="center"/>
    </xf>
    <xf numFmtId="0" fontId="0" fillId="0" borderId="21" xfId="0" applyBorder="1" applyAlignment="1">
      <alignment horizontal="left" vertical="center"/>
    </xf>
    <xf numFmtId="0" fontId="0" fillId="0" borderId="163" xfId="0" applyBorder="1" applyAlignment="1">
      <alignment horizontal="left" vertical="center"/>
    </xf>
    <xf numFmtId="0" fontId="0" fillId="0" borderId="11" xfId="0" applyBorder="1" applyAlignment="1">
      <alignment horizontal="left" vertical="center"/>
    </xf>
    <xf numFmtId="0" fontId="0" fillId="0" borderId="162" xfId="0" applyBorder="1" applyAlignment="1">
      <alignment horizontal="left" vertical="center"/>
    </xf>
    <xf numFmtId="0" fontId="10" fillId="0" borderId="16" xfId="7" applyBorder="1" applyAlignment="1">
      <alignment horizontal="left" vertical="center"/>
    </xf>
    <xf numFmtId="0" fontId="10" fillId="0" borderId="160" xfId="7" applyBorder="1" applyAlignment="1">
      <alignment horizontal="left" vertical="center"/>
    </xf>
    <xf numFmtId="0" fontId="0" fillId="0" borderId="37" xfId="0" applyBorder="1" applyAlignment="1">
      <alignment horizontal="left" vertical="center"/>
    </xf>
    <xf numFmtId="0" fontId="0" fillId="0" borderId="159" xfId="0" applyBorder="1" applyAlignment="1">
      <alignment horizontal="left" vertical="center"/>
    </xf>
    <xf numFmtId="0" fontId="0" fillId="0" borderId="97" xfId="0" applyBorder="1" applyAlignment="1">
      <alignment horizontal="left" vertical="center"/>
    </xf>
    <xf numFmtId="0" fontId="0" fillId="0" borderId="161" xfId="0" applyBorder="1" applyAlignment="1">
      <alignment horizontal="left" vertical="center"/>
    </xf>
    <xf numFmtId="1" fontId="4" fillId="6" borderId="96" xfId="13" applyNumberFormat="1" applyBorder="1" applyAlignment="1">
      <alignment horizontal="center" vertical="center"/>
    </xf>
    <xf numFmtId="1" fontId="4" fillId="6" borderId="158" xfId="13" applyNumberFormat="1" applyBorder="1" applyAlignment="1">
      <alignment horizontal="center" vertical="center"/>
    </xf>
    <xf numFmtId="0" fontId="4" fillId="0" borderId="91" xfId="0" applyFont="1" applyBorder="1" applyAlignment="1">
      <alignment horizontal="center" vertical="center"/>
    </xf>
    <xf numFmtId="0" fontId="4" fillId="0" borderId="90" xfId="0" applyFont="1" applyBorder="1" applyAlignment="1">
      <alignment horizontal="center" vertical="center"/>
    </xf>
    <xf numFmtId="0" fontId="10" fillId="0" borderId="75" xfId="7" applyBorder="1" applyAlignment="1">
      <alignment horizontal="center" vertical="center"/>
    </xf>
    <xf numFmtId="0" fontId="10" fillId="0" borderId="89" xfId="7" applyBorder="1" applyAlignment="1">
      <alignment horizontal="center" vertical="center"/>
    </xf>
    <xf numFmtId="0" fontId="10" fillId="0" borderId="76" xfId="7" applyBorder="1" applyAlignment="1">
      <alignment horizontal="center" vertical="center"/>
    </xf>
    <xf numFmtId="0" fontId="0" fillId="0" borderId="75" xfId="0" applyBorder="1" applyAlignment="1">
      <alignment horizontal="center" vertical="center"/>
    </xf>
    <xf numFmtId="0" fontId="0" fillId="0" borderId="89" xfId="0" applyBorder="1" applyAlignment="1">
      <alignment horizontal="center" vertical="center"/>
    </xf>
    <xf numFmtId="0" fontId="0" fillId="0" borderId="76" xfId="0" applyBorder="1" applyAlignment="1">
      <alignment horizontal="center" vertical="center"/>
    </xf>
    <xf numFmtId="0" fontId="4" fillId="0" borderId="0" xfId="21" applyFont="1" applyFill="1" applyBorder="1" applyAlignment="1">
      <alignment horizontal="center" vertical="center" wrapText="1"/>
    </xf>
    <xf numFmtId="0" fontId="0" fillId="0" borderId="37" xfId="0" applyBorder="1" applyAlignment="1">
      <alignment horizontal="center" vertical="center"/>
    </xf>
    <xf numFmtId="0" fontId="10" fillId="0" borderId="37" xfId="7" applyBorder="1" applyAlignment="1">
      <alignment horizontal="center" vertical="center"/>
    </xf>
    <xf numFmtId="0" fontId="4" fillId="6" borderId="84" xfId="13" applyNumberFormat="1"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4" fillId="6" borderId="54" xfId="13" applyNumberFormat="1" applyBorder="1" applyAlignment="1">
      <alignment horizontal="center" vertical="center"/>
    </xf>
    <xf numFmtId="0" fontId="0" fillId="0" borderId="54" xfId="0" applyBorder="1" applyAlignment="1">
      <alignment horizontal="center" vertical="center"/>
    </xf>
    <xf numFmtId="0" fontId="65" fillId="0" borderId="0" xfId="0" applyFont="1">
      <alignment horizontal="left" vertical="center" indent="1"/>
    </xf>
    <xf numFmtId="0" fontId="4" fillId="6" borderId="52" xfId="13" applyNumberFormat="1" applyBorder="1" applyAlignment="1">
      <alignment horizontal="center" vertical="center"/>
    </xf>
    <xf numFmtId="0" fontId="4" fillId="6" borderId="72" xfId="13" applyNumberFormat="1" applyBorder="1" applyAlignment="1">
      <alignment horizontal="center" vertical="center"/>
    </xf>
    <xf numFmtId="0" fontId="0" fillId="0" borderId="68" xfId="0" applyBorder="1" applyAlignment="1">
      <alignment horizontal="center" vertical="center"/>
    </xf>
    <xf numFmtId="0" fontId="0" fillId="0" borderId="67" xfId="0" applyBorder="1" applyAlignment="1">
      <alignment horizontal="center" vertical="center"/>
    </xf>
    <xf numFmtId="0" fontId="4" fillId="6" borderId="71" xfId="13" applyNumberFormat="1" applyBorder="1" applyAlignment="1">
      <alignment horizontal="center" vertical="center"/>
    </xf>
    <xf numFmtId="0" fontId="0" fillId="0" borderId="56"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6" xfId="0" applyBorder="1" applyAlignment="1">
      <alignment horizontal="center" vertical="center"/>
    </xf>
    <xf numFmtId="0" fontId="0" fillId="0" borderId="52" xfId="0" applyBorder="1" applyAlignment="1">
      <alignment horizontal="center" vertical="center"/>
    </xf>
    <xf numFmtId="0" fontId="4" fillId="6" borderId="75" xfId="13" applyNumberFormat="1" applyBorder="1" applyAlignment="1">
      <alignment horizontal="center" vertical="center"/>
    </xf>
    <xf numFmtId="0" fontId="4" fillId="6" borderId="89" xfId="13" applyNumberFormat="1" applyBorder="1" applyAlignment="1">
      <alignment horizontal="center" vertical="center"/>
    </xf>
    <xf numFmtId="0" fontId="4" fillId="6" borderId="76" xfId="13" applyNumberFormat="1" applyBorder="1" applyAlignment="1">
      <alignment horizontal="center" vertical="center"/>
    </xf>
    <xf numFmtId="0" fontId="4" fillId="6" borderId="37" xfId="13" applyNumberFormat="1" applyBorder="1" applyAlignment="1">
      <alignment horizontal="center" vertical="center"/>
    </xf>
    <xf numFmtId="0" fontId="49" fillId="0" borderId="0" xfId="7" applyFont="1" applyAlignment="1">
      <alignment horizontal="left" vertical="center" indent="1"/>
    </xf>
    <xf numFmtId="0" fontId="4" fillId="6" borderId="55" xfId="13" applyNumberFormat="1" applyBorder="1" applyAlignment="1">
      <alignment horizontal="center" vertical="center"/>
    </xf>
    <xf numFmtId="0" fontId="4" fillId="6" borderId="62" xfId="13" applyNumberFormat="1" applyBorder="1" applyAlignment="1">
      <alignment horizontal="center" vertical="center"/>
    </xf>
    <xf numFmtId="0" fontId="4" fillId="6" borderId="53" xfId="13" applyNumberFormat="1" applyBorder="1" applyAlignment="1">
      <alignment horizontal="left" vertical="center"/>
    </xf>
    <xf numFmtId="0" fontId="4" fillId="6" borderId="66" xfId="13" applyNumberFormat="1" applyBorder="1" applyAlignment="1">
      <alignment horizontal="left" vertical="center"/>
    </xf>
    <xf numFmtId="0" fontId="4" fillId="6" borderId="53" xfId="13" applyNumberFormat="1" applyBorder="1">
      <alignment horizontal="left" vertical="center" indent="1"/>
    </xf>
    <xf numFmtId="0" fontId="4" fillId="6" borderId="56" xfId="13" applyNumberFormat="1" applyBorder="1">
      <alignment horizontal="left" vertical="center" indent="1"/>
    </xf>
    <xf numFmtId="0" fontId="4" fillId="6" borderId="78" xfId="13" applyNumberFormat="1" applyBorder="1" applyAlignment="1">
      <alignment horizontal="center" vertical="center"/>
    </xf>
    <xf numFmtId="0" fontId="4" fillId="6" borderId="57" xfId="13" applyNumberFormat="1" applyBorder="1" applyAlignment="1">
      <alignment horizontal="center" vertical="center"/>
    </xf>
    <xf numFmtId="0" fontId="4" fillId="0" borderId="53" xfId="13" applyNumberFormat="1" applyFill="1" applyBorder="1" applyAlignment="1">
      <alignment horizontal="left" vertical="center"/>
    </xf>
    <xf numFmtId="0" fontId="4" fillId="0" borderId="66" xfId="13" applyNumberFormat="1" applyFill="1" applyBorder="1" applyAlignment="1">
      <alignment horizontal="left" vertical="center"/>
    </xf>
    <xf numFmtId="0" fontId="4" fillId="0" borderId="78" xfId="13" applyNumberFormat="1" applyFill="1" applyBorder="1" applyAlignment="1">
      <alignment horizontal="center" vertical="center"/>
    </xf>
    <xf numFmtId="0" fontId="4" fillId="0" borderId="55" xfId="13" applyNumberFormat="1" applyFill="1" applyBorder="1" applyAlignment="1">
      <alignment horizontal="center" vertical="center"/>
    </xf>
    <xf numFmtId="0" fontId="4" fillId="0" borderId="57" xfId="13" applyNumberFormat="1" applyFill="1" applyBorder="1" applyAlignment="1">
      <alignment horizontal="center" vertical="center"/>
    </xf>
    <xf numFmtId="0" fontId="4" fillId="0" borderId="53" xfId="13" applyNumberFormat="1" applyFill="1" applyBorder="1">
      <alignment horizontal="left" vertical="center" indent="1"/>
    </xf>
    <xf numFmtId="0" fontId="4" fillId="0" borderId="56" xfId="13" applyNumberFormat="1" applyFill="1" applyBorder="1">
      <alignment horizontal="left" vertical="center" indent="1"/>
    </xf>
    <xf numFmtId="0" fontId="4" fillId="0" borderId="0" xfId="13" applyNumberFormat="1" applyFill="1" applyBorder="1" applyAlignment="1">
      <alignment horizontal="center" vertical="center"/>
    </xf>
    <xf numFmtId="0" fontId="4" fillId="0" borderId="0" xfId="13" applyNumberFormat="1" applyFill="1" applyBorder="1">
      <alignment horizontal="left" vertical="center" indent="1"/>
    </xf>
    <xf numFmtId="0" fontId="4" fillId="6" borderId="53" xfId="13" applyNumberFormat="1" applyBorder="1" applyAlignment="1">
      <alignment horizontal="center" vertical="center"/>
    </xf>
    <xf numFmtId="0" fontId="4" fillId="6" borderId="66" xfId="13" applyNumberFormat="1" applyBorder="1" applyAlignment="1">
      <alignment horizontal="center" vertical="center"/>
    </xf>
    <xf numFmtId="0" fontId="4" fillId="6" borderId="54" xfId="13" applyNumberFormat="1" applyBorder="1" applyAlignment="1">
      <alignment horizontal="center" vertical="center" wrapText="1"/>
    </xf>
    <xf numFmtId="0" fontId="4" fillId="6" borderId="52" xfId="13" applyNumberFormat="1" applyBorder="1" applyAlignment="1">
      <alignment horizontal="center" vertical="center" wrapText="1"/>
    </xf>
    <xf numFmtId="0" fontId="4" fillId="18" borderId="54" xfId="13" applyNumberFormat="1" applyFill="1" applyBorder="1" applyAlignment="1">
      <alignment horizontal="center" vertical="center"/>
    </xf>
    <xf numFmtId="0" fontId="4" fillId="18" borderId="52" xfId="13" applyNumberFormat="1" applyFill="1" applyBorder="1" applyAlignment="1">
      <alignment horizontal="center" vertical="center"/>
    </xf>
    <xf numFmtId="1" fontId="4" fillId="6" borderId="169" xfId="13" applyNumberFormat="1" applyBorder="1" applyAlignment="1">
      <alignment horizontal="center" vertical="center" wrapText="1"/>
    </xf>
    <xf numFmtId="1" fontId="4" fillId="6" borderId="170" xfId="13" applyNumberFormat="1" applyBorder="1" applyAlignment="1">
      <alignment horizontal="center" vertical="center" wrapText="1"/>
    </xf>
    <xf numFmtId="1" fontId="4" fillId="6" borderId="54" xfId="13" applyNumberFormat="1" applyBorder="1" applyAlignment="1">
      <alignment horizontal="center" vertical="center" wrapText="1"/>
    </xf>
    <xf numFmtId="1" fontId="4" fillId="6" borderId="52" xfId="13" applyNumberFormat="1" applyBorder="1" applyAlignment="1">
      <alignment horizontal="center" vertical="center" wrapText="1"/>
    </xf>
    <xf numFmtId="1" fontId="4" fillId="6" borderId="53" xfId="13" applyNumberFormat="1" applyBorder="1" applyAlignment="1">
      <alignment horizontal="center" vertical="center" wrapText="1"/>
    </xf>
    <xf numFmtId="1" fontId="4" fillId="6" borderId="55" xfId="13" applyNumberFormat="1" applyBorder="1" applyAlignment="1">
      <alignment horizontal="center" vertical="center" wrapText="1"/>
    </xf>
    <xf numFmtId="1" fontId="4" fillId="6" borderId="53" xfId="13" applyNumberFormat="1" applyBorder="1" applyAlignment="1">
      <alignment horizontal="center" vertical="center"/>
    </xf>
    <xf numFmtId="1" fontId="4" fillId="6" borderId="54" xfId="13" applyNumberFormat="1" applyBorder="1" applyAlignment="1">
      <alignment horizontal="center" vertical="center"/>
    </xf>
    <xf numFmtId="9" fontId="0" fillId="0" borderId="51" xfId="19" applyNumberFormat="1" applyFont="1" applyFill="1" applyBorder="1" applyAlignment="1">
      <alignment horizontal="center" vertical="center"/>
    </xf>
    <xf numFmtId="9" fontId="0" fillId="0" borderId="0" xfId="19" applyNumberFormat="1" applyFont="1" applyFill="1" applyBorder="1" applyAlignment="1">
      <alignment horizontal="center" vertical="center"/>
    </xf>
    <xf numFmtId="9" fontId="0" fillId="0" borderId="52" xfId="19" applyNumberFormat="1" applyFont="1" applyFill="1" applyBorder="1" applyAlignment="1">
      <alignment horizontal="center" vertical="center"/>
    </xf>
    <xf numFmtId="9" fontId="9" fillId="0" borderId="51" xfId="19" applyNumberFormat="1" applyFont="1" applyFill="1" applyBorder="1" applyAlignment="1">
      <alignment horizontal="center" vertical="center"/>
    </xf>
    <xf numFmtId="9" fontId="9" fillId="0" borderId="0" xfId="19" applyNumberFormat="1" applyFont="1" applyFill="1" applyBorder="1" applyAlignment="1">
      <alignment horizontal="center" vertical="center"/>
    </xf>
    <xf numFmtId="9" fontId="9" fillId="0" borderId="52" xfId="19" applyNumberFormat="1" applyFont="1" applyFill="1" applyBorder="1" applyAlignment="1">
      <alignment horizontal="center" vertical="center"/>
    </xf>
    <xf numFmtId="1" fontId="4" fillId="6" borderId="62" xfId="13" applyNumberFormat="1" applyBorder="1" applyAlignment="1">
      <alignment horizontal="center" vertical="center" wrapText="1"/>
    </xf>
    <xf numFmtId="2" fontId="0" fillId="0" borderId="51" xfId="19" applyNumberFormat="1" applyFont="1" applyFill="1" applyBorder="1" applyAlignment="1">
      <alignment horizontal="center" vertical="center"/>
    </xf>
    <xf numFmtId="2" fontId="0" fillId="0" borderId="0" xfId="19" applyNumberFormat="1" applyFont="1" applyFill="1" applyBorder="1" applyAlignment="1">
      <alignment horizontal="center" vertical="center"/>
    </xf>
    <xf numFmtId="2" fontId="0" fillId="0" borderId="52" xfId="19" applyNumberFormat="1" applyFont="1" applyFill="1" applyBorder="1" applyAlignment="1">
      <alignment horizontal="center" vertical="center"/>
    </xf>
    <xf numFmtId="9" fontId="9" fillId="0" borderId="64" xfId="19" applyNumberFormat="1" applyFont="1" applyFill="1" applyBorder="1" applyAlignment="1">
      <alignment horizontal="center" vertical="center"/>
    </xf>
    <xf numFmtId="2" fontId="9" fillId="0" borderId="51" xfId="19" applyNumberFormat="1" applyFont="1" applyFill="1" applyBorder="1" applyAlignment="1">
      <alignment horizontal="center" vertical="center"/>
    </xf>
    <xf numFmtId="2" fontId="9" fillId="0" borderId="0" xfId="19" applyNumberFormat="1" applyFont="1" applyFill="1" applyBorder="1" applyAlignment="1">
      <alignment horizontal="center" vertical="center"/>
    </xf>
    <xf numFmtId="2" fontId="9" fillId="0" borderId="64" xfId="19" applyNumberFormat="1" applyFont="1" applyFill="1" applyBorder="1" applyAlignment="1">
      <alignment horizontal="center" vertical="center"/>
    </xf>
    <xf numFmtId="2" fontId="0" fillId="0" borderId="69" xfId="19" applyNumberFormat="1" applyFont="1" applyFill="1" applyBorder="1" applyAlignment="1">
      <alignment horizontal="center" vertical="center"/>
    </xf>
    <xf numFmtId="2" fontId="0" fillId="0" borderId="57" xfId="19" applyNumberFormat="1" applyFont="1" applyFill="1" applyBorder="1" applyAlignment="1">
      <alignment horizontal="center" vertical="center"/>
    </xf>
    <xf numFmtId="2" fontId="0" fillId="0" borderId="62" xfId="19" applyNumberFormat="1" applyFont="1" applyFill="1" applyBorder="1" applyAlignment="1">
      <alignment horizontal="center" vertical="center"/>
    </xf>
    <xf numFmtId="2" fontId="9" fillId="0" borderId="69" xfId="19" applyNumberFormat="1" applyFont="1" applyFill="1" applyBorder="1" applyAlignment="1">
      <alignment horizontal="center" vertical="center"/>
    </xf>
    <xf numFmtId="2" fontId="9" fillId="0" borderId="57" xfId="19" applyNumberFormat="1" applyFont="1" applyFill="1" applyBorder="1" applyAlignment="1">
      <alignment horizontal="center" vertical="center"/>
    </xf>
    <xf numFmtId="2" fontId="9" fillId="0" borderId="62" xfId="19" applyNumberFormat="1" applyFont="1" applyFill="1" applyBorder="1" applyAlignment="1">
      <alignment horizontal="center" vertical="center"/>
    </xf>
    <xf numFmtId="2" fontId="9" fillId="0" borderId="65" xfId="19" applyNumberFormat="1" applyFont="1" applyFill="1" applyBorder="1" applyAlignment="1">
      <alignment horizontal="center" vertical="center"/>
    </xf>
    <xf numFmtId="2" fontId="9" fillId="0" borderId="52" xfId="19" applyNumberFormat="1" applyFont="1" applyFill="1" applyBorder="1" applyAlignment="1">
      <alignment horizontal="center" vertical="center"/>
    </xf>
    <xf numFmtId="0" fontId="0" fillId="15" borderId="51" xfId="0" applyFill="1" applyBorder="1" applyAlignment="1">
      <alignment horizontal="center" vertical="center"/>
    </xf>
    <xf numFmtId="0" fontId="0" fillId="15" borderId="0" xfId="0" applyFill="1" applyAlignment="1">
      <alignment horizontal="center" vertical="center"/>
    </xf>
    <xf numFmtId="0" fontId="0" fillId="15" borderId="52" xfId="0" applyFill="1" applyBorder="1" applyAlignment="1">
      <alignment horizontal="center" vertical="center"/>
    </xf>
    <xf numFmtId="9" fontId="0" fillId="15" borderId="51" xfId="19" applyNumberFormat="1" applyFont="1" applyFill="1" applyBorder="1" applyAlignment="1">
      <alignment horizontal="center" vertical="center"/>
    </xf>
    <xf numFmtId="9" fontId="0" fillId="15" borderId="0" xfId="19" applyNumberFormat="1" applyFont="1" applyFill="1" applyBorder="1" applyAlignment="1">
      <alignment horizontal="center" vertical="center"/>
    </xf>
    <xf numFmtId="9" fontId="0" fillId="15" borderId="52" xfId="19" applyNumberFormat="1" applyFont="1" applyFill="1" applyBorder="1" applyAlignment="1">
      <alignment horizontal="center" vertical="center"/>
    </xf>
    <xf numFmtId="2" fontId="0" fillId="15" borderId="51" xfId="19" applyNumberFormat="1" applyFont="1" applyFill="1" applyBorder="1" applyAlignment="1">
      <alignment horizontal="center" vertical="center"/>
    </xf>
    <xf numFmtId="2" fontId="0" fillId="15" borderId="0" xfId="19" applyNumberFormat="1" applyFont="1" applyFill="1" applyBorder="1" applyAlignment="1">
      <alignment horizontal="center" vertical="center"/>
    </xf>
    <xf numFmtId="2" fontId="0" fillId="15" borderId="52" xfId="19" applyNumberFormat="1" applyFont="1" applyFill="1" applyBorder="1" applyAlignment="1">
      <alignment horizontal="center" vertical="center"/>
    </xf>
    <xf numFmtId="2" fontId="0" fillId="15" borderId="69" xfId="19" applyNumberFormat="1" applyFont="1" applyFill="1" applyBorder="1" applyAlignment="1">
      <alignment horizontal="center" vertical="center"/>
    </xf>
    <xf numFmtId="2" fontId="0" fillId="15" borderId="57" xfId="19" applyNumberFormat="1" applyFont="1" applyFill="1" applyBorder="1" applyAlignment="1">
      <alignment horizontal="center" vertical="center"/>
    </xf>
    <xf numFmtId="2" fontId="0" fillId="15" borderId="62" xfId="19" applyNumberFormat="1" applyFont="1" applyFill="1" applyBorder="1" applyAlignment="1">
      <alignment horizontal="center" vertical="center"/>
    </xf>
    <xf numFmtId="0" fontId="0" fillId="15" borderId="54" xfId="0" applyFill="1" applyBorder="1" applyAlignment="1">
      <alignment horizontal="center" vertical="center"/>
    </xf>
    <xf numFmtId="9" fontId="9" fillId="15" borderId="51" xfId="19" applyNumberFormat="1" applyFont="1" applyFill="1" applyBorder="1" applyAlignment="1">
      <alignment horizontal="center" vertical="center"/>
    </xf>
    <xf numFmtId="9" fontId="9" fillId="15" borderId="0" xfId="19" applyNumberFormat="1" applyFont="1" applyFill="1" applyBorder="1" applyAlignment="1">
      <alignment horizontal="center" vertical="center"/>
    </xf>
    <xf numFmtId="9" fontId="9" fillId="15" borderId="52" xfId="19" applyNumberFormat="1" applyFont="1" applyFill="1" applyBorder="1" applyAlignment="1">
      <alignment horizontal="center" vertical="center"/>
    </xf>
    <xf numFmtId="2" fontId="9" fillId="15" borderId="51" xfId="19" applyNumberFormat="1" applyFont="1" applyFill="1" applyBorder="1" applyAlignment="1">
      <alignment horizontal="center" vertical="center"/>
    </xf>
    <xf numFmtId="2" fontId="9" fillId="15" borderId="0" xfId="19" applyNumberFormat="1" applyFont="1" applyFill="1" applyBorder="1" applyAlignment="1">
      <alignment horizontal="center" vertical="center"/>
    </xf>
    <xf numFmtId="2" fontId="9" fillId="15" borderId="52" xfId="19" applyNumberFormat="1" applyFont="1" applyFill="1" applyBorder="1" applyAlignment="1">
      <alignment horizontal="center" vertical="center"/>
    </xf>
    <xf numFmtId="2" fontId="9" fillId="15" borderId="69" xfId="19" applyNumberFormat="1" applyFont="1" applyFill="1" applyBorder="1" applyAlignment="1">
      <alignment horizontal="center" vertical="center"/>
    </xf>
    <xf numFmtId="2" fontId="9" fillId="15" borderId="57" xfId="19" applyNumberFormat="1" applyFont="1" applyFill="1" applyBorder="1" applyAlignment="1">
      <alignment horizontal="center" vertical="center"/>
    </xf>
    <xf numFmtId="2" fontId="9" fillId="15" borderId="62" xfId="19" applyNumberFormat="1" applyFont="1" applyFill="1" applyBorder="1" applyAlignment="1">
      <alignment horizontal="center" vertical="center"/>
    </xf>
    <xf numFmtId="9" fontId="9" fillId="15" borderId="64" xfId="19" applyNumberFormat="1" applyFont="1" applyFill="1" applyBorder="1" applyAlignment="1">
      <alignment horizontal="center" vertical="center"/>
    </xf>
    <xf numFmtId="2" fontId="9" fillId="15" borderId="64" xfId="19" applyNumberFormat="1" applyFont="1" applyFill="1" applyBorder="1" applyAlignment="1">
      <alignment horizontal="center" vertical="center"/>
    </xf>
    <xf numFmtId="2" fontId="9" fillId="15" borderId="65" xfId="19" applyNumberFormat="1" applyFont="1" applyFill="1" applyBorder="1" applyAlignment="1">
      <alignment horizontal="center" vertical="center"/>
    </xf>
    <xf numFmtId="0" fontId="74" fillId="0" borderId="75" xfId="0" applyFont="1" applyBorder="1" applyAlignment="1">
      <alignment horizontal="center" indent="1"/>
    </xf>
    <xf numFmtId="0" fontId="74" fillId="0" borderId="76" xfId="0" applyFont="1" applyBorder="1" applyAlignment="1">
      <alignment horizontal="center" indent="1"/>
    </xf>
    <xf numFmtId="0" fontId="75" fillId="0" borderId="0" xfId="0" applyFont="1" applyAlignment="1">
      <alignment horizontal="left" vertical="center" wrapText="1" indent="1"/>
    </xf>
    <xf numFmtId="0" fontId="81" fillId="0" borderId="56" xfId="0" applyFont="1" applyBorder="1" applyAlignment="1">
      <alignment horizontal="center" vertical="center"/>
    </xf>
    <xf numFmtId="0" fontId="81" fillId="0" borderId="0" xfId="0" applyFont="1" applyAlignment="1">
      <alignment horizontal="center" vertical="center"/>
    </xf>
    <xf numFmtId="0" fontId="82" fillId="0" borderId="0" xfId="0" applyFont="1" applyAlignment="1">
      <alignment horizontal="center" vertical="center" wrapText="1"/>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10" fillId="0" borderId="0" xfId="7" applyBorder="1" applyAlignment="1">
      <alignment horizontal="left" vertical="center" indent="1"/>
    </xf>
    <xf numFmtId="0" fontId="4" fillId="6" borderId="64" xfId="13" applyNumberFormat="1" applyBorder="1" applyAlignment="1">
      <alignment horizontal="center" vertical="center" wrapText="1"/>
    </xf>
    <xf numFmtId="0" fontId="4" fillId="6" borderId="64" xfId="13" applyNumberFormat="1" applyBorder="1" applyAlignment="1">
      <alignment horizontal="center" vertical="center"/>
    </xf>
    <xf numFmtId="0" fontId="4" fillId="6" borderId="63" xfId="13" applyNumberFormat="1" applyBorder="1" applyAlignment="1">
      <alignment horizontal="center" vertical="center"/>
    </xf>
    <xf numFmtId="1" fontId="0" fillId="0" borderId="0" xfId="0" applyNumberFormat="1" applyAlignment="1">
      <alignment horizontal="center" vertical="center"/>
    </xf>
    <xf numFmtId="1" fontId="0" fillId="0" borderId="52" xfId="0" applyNumberFormat="1" applyBorder="1" applyAlignment="1">
      <alignment horizontal="center" vertical="center"/>
    </xf>
    <xf numFmtId="1" fontId="69" fillId="17" borderId="0" xfId="13" applyNumberFormat="1" applyFont="1" applyFill="1" applyBorder="1" applyAlignment="1">
      <alignment horizontal="center" vertical="center"/>
    </xf>
    <xf numFmtId="1" fontId="69" fillId="17" borderId="57" xfId="13" applyNumberFormat="1" applyFont="1" applyFill="1" applyBorder="1" applyAlignment="1">
      <alignment horizontal="center" vertical="center"/>
    </xf>
    <xf numFmtId="1" fontId="54" fillId="17" borderId="0" xfId="13" applyNumberFormat="1" applyFont="1" applyFill="1" applyBorder="1" applyAlignment="1">
      <alignment horizontal="center" vertical="center"/>
    </xf>
    <xf numFmtId="0" fontId="0" fillId="0" borderId="64" xfId="0" applyBorder="1" applyAlignment="1">
      <alignment horizontal="center" vertical="center" wrapText="1"/>
    </xf>
    <xf numFmtId="0" fontId="4" fillId="6" borderId="55" xfId="13" applyNumberFormat="1" applyBorder="1" applyAlignment="1">
      <alignment horizontal="center" vertical="center" wrapText="1"/>
    </xf>
    <xf numFmtId="0" fontId="4" fillId="6" borderId="65" xfId="13" applyNumberFormat="1" applyBorder="1" applyAlignment="1">
      <alignment horizontal="center" vertical="center"/>
    </xf>
    <xf numFmtId="0" fontId="0" fillId="0" borderId="57" xfId="0" applyBorder="1" applyAlignment="1">
      <alignment horizontal="center" vertical="top" wrapText="1"/>
    </xf>
    <xf numFmtId="0" fontId="0" fillId="0" borderId="65" xfId="0" applyBorder="1" applyAlignment="1">
      <alignment horizontal="center" vertical="top" wrapText="1"/>
    </xf>
    <xf numFmtId="0" fontId="49" fillId="0" borderId="0" xfId="7" applyFont="1">
      <alignment horizontal="left" vertical="center" indent="1"/>
    </xf>
  </cellXfs>
  <cellStyles count="22">
    <cellStyle name="Accent1" xfId="2" builtinId="29"/>
    <cellStyle name="Comma" xfId="4" builtinId="3" customBuiltin="1"/>
    <cellStyle name="Comma [0]" xfId="19" builtinId="6" customBuiltin="1"/>
    <cellStyle name="Currency" xfId="5" builtinId="4" customBuiltin="1"/>
    <cellStyle name="Currency [0]" xfId="6" builtinId="7" customBuiltin="1"/>
    <cellStyle name="Explanatory Text" xfId="18" builtinId="53" customBuiltin="1"/>
    <cellStyle name="Hdg1" xfId="15" xr:uid="{CB408DF5-1995-4748-9EB8-7EEEAD89AE90}"/>
    <cellStyle name="Hdg2" xfId="14" xr:uid="{428C100C-E1D2-4B15-ADBF-9E3CF0E5B838}"/>
    <cellStyle name="Heading 1" xfId="8" builtinId="16" customBuiltin="1"/>
    <cellStyle name="Heading 2" xfId="9" builtinId="17" customBuiltin="1"/>
    <cellStyle name="Heading 3" xfId="10" builtinId="18" hidden="1"/>
    <cellStyle name="Heading 4" xfId="11" builtinId="19" hidden="1"/>
    <cellStyle name="Hyperlink" xfId="7" builtinId="8"/>
    <cellStyle name="Hyperlink 2" xfId="16" xr:uid="{65383806-1D57-4966-BDDD-5291951B844F}"/>
    <cellStyle name="Normal" xfId="0" builtinId="0" customBuiltin="1"/>
    <cellStyle name="Normal No Indent" xfId="20" xr:uid="{0BC1605A-6FDB-41AA-BA6F-5CD4520B0880}"/>
    <cellStyle name="Note" xfId="21" builtinId="10"/>
    <cellStyle name="Percent" xfId="1" builtinId="5"/>
    <cellStyle name="Percent 3" xfId="17" xr:uid="{F8123C25-985C-4B3C-8791-33E290122B2F}"/>
    <cellStyle name="Table Header" xfId="13" xr:uid="{1C30379B-656C-4BCC-8665-DAAC1F4AB9FE}"/>
    <cellStyle name="Title" xfId="3" builtinId="15" customBuiltin="1"/>
    <cellStyle name="Total" xfId="12" builtinId="25" hidden="1"/>
  </cellStyles>
  <dxfs count="10">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border>
        <bottom style="medium">
          <color indexed="64"/>
        </bottom>
      </border>
    </dxf>
    <dxf>
      <alignment horizontal="center" vertical="center" textRotation="0" wrapText="0" indent="0" justifyLastLine="0" shrinkToFit="0" readingOrder="0"/>
      <border diagonalUp="0" diagonalDown="0">
        <left/>
        <right/>
        <top/>
        <bottom/>
        <vertical/>
        <horizontal/>
      </border>
    </dxf>
    <dxf>
      <font>
        <b/>
        <i val="0"/>
        <color auto="1"/>
      </font>
      <fill>
        <patternFill>
          <bgColor theme="2" tint="0.59996337778862885"/>
        </patternFill>
      </fill>
    </dxf>
    <dxf>
      <border>
        <bottom style="thin">
          <color theme="1" tint="-0.24994659260841701"/>
        </bottom>
      </border>
    </dxf>
  </dxfs>
  <tableStyles count="1" defaultTableStyle="TableStyleMedium2" defaultPivotStyle="PivotStyleLight16">
    <tableStyle name="Table Style 1" pivot="0" count="2" xr9:uid="{63DC04B6-0132-4241-8F11-FC71DBB45638}">
      <tableStyleElement type="wholeTable" dxfId="9"/>
      <tableStyleElement type="headerRow"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85818734304871"/>
          <c:y val="0.39796730725777729"/>
          <c:w val="0.41804317478561642"/>
          <c:h val="0.5996733232438817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427-4EF6-861B-AB2BC22CA05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427-4EF6-861B-AB2BC22CA05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427-4EF6-861B-AB2BC22CA05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427-4EF6-861B-AB2BC22CA05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427-4EF6-861B-AB2BC22CA05C}"/>
              </c:ext>
            </c:extLst>
          </c:dPt>
          <c:dLbls>
            <c:dLbl>
              <c:idx val="3"/>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427-4EF6-861B-AB2BC22CA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 Summary'!$E$146:$E$150</c:f>
              <c:strCache>
                <c:ptCount val="5"/>
                <c:pt idx="0">
                  <c:v>Travel Time</c:v>
                </c:pt>
                <c:pt idx="1">
                  <c:v>Environmental</c:v>
                </c:pt>
                <c:pt idx="2">
                  <c:v>Safety</c:v>
                </c:pt>
                <c:pt idx="3">
                  <c:v>O&amp;M</c:v>
                </c:pt>
                <c:pt idx="4">
                  <c:v>Residual Value</c:v>
                </c:pt>
              </c:strCache>
            </c:strRef>
          </c:cat>
          <c:val>
            <c:numRef>
              <c:f>'Results Summary'!$F$146:$F$150</c:f>
              <c:numCache>
                <c:formatCode>"$"#,##0</c:formatCode>
                <c:ptCount val="5"/>
                <c:pt idx="0">
                  <c:v>181458605.45613492</c:v>
                </c:pt>
                <c:pt idx="1">
                  <c:v>70820482.555292711</c:v>
                </c:pt>
                <c:pt idx="2">
                  <c:v>8685961.083342554</c:v>
                </c:pt>
                <c:pt idx="3">
                  <c:v>4002086.3508289917</c:v>
                </c:pt>
                <c:pt idx="4">
                  <c:v>3566990.6054470208</c:v>
                </c:pt>
              </c:numCache>
            </c:numRef>
          </c:val>
          <c:extLst>
            <c:ext xmlns:c16="http://schemas.microsoft.com/office/drawing/2014/chart" uri="{C3380CC4-5D6E-409C-BE32-E72D297353CC}">
              <c16:uniqueId val="{0000000A-C427-4EF6-861B-AB2BC22CA05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73511570186386E-2"/>
          <c:y val="3.2080464428574797E-2"/>
          <c:w val="0.93356213737242022"/>
          <c:h val="0.8042039161181459"/>
        </c:manualLayout>
      </c:layout>
      <c:barChart>
        <c:barDir val="col"/>
        <c:grouping val="stacked"/>
        <c:varyColors val="0"/>
        <c:ser>
          <c:idx val="9"/>
          <c:order val="0"/>
          <c:tx>
            <c:strRef>
              <c:f>'Results Summary'!$C$140</c:f>
              <c:strCache>
                <c:ptCount val="1"/>
                <c:pt idx="0">
                  <c:v>Capital Costs</c:v>
                </c:pt>
              </c:strCache>
            </c:strRef>
          </c:tx>
          <c:spPr>
            <a:solidFill>
              <a:schemeClr val="accent4">
                <a:lumMod val="60000"/>
              </a:schemeClr>
            </a:solidFill>
            <a:ln>
              <a:noFill/>
            </a:ln>
            <a:effectLst/>
          </c:spPr>
          <c:invertIfNegative val="0"/>
          <c:cat>
            <c:numRef>
              <c:f>'[1]Results Summary'!$F$138:$AD$138</c:f>
              <c:numCache>
                <c:formatCode>General</c:formatCode>
                <c:ptCount val="2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numCache>
            </c:numRef>
          </c:cat>
          <c:val>
            <c:numRef>
              <c:f>'Results Summary'!$F$140:$AG$140</c:f>
              <c:numCache>
                <c:formatCode>"$"#,##0</c:formatCode>
                <c:ptCount val="28"/>
                <c:pt idx="0">
                  <c:v>0</c:v>
                </c:pt>
                <c:pt idx="1">
                  <c:v>-1889331.6807398144</c:v>
                </c:pt>
                <c:pt idx="2">
                  <c:v>-3606316.678802615</c:v>
                </c:pt>
                <c:pt idx="3">
                  <c:v>-2817064.6612452925</c:v>
                </c:pt>
                <c:pt idx="4">
                  <c:v>-17800487.294843756</c:v>
                </c:pt>
                <c:pt idx="5">
                  <c:v>-16635969.434433416</c:v>
                </c:pt>
                <c:pt idx="6">
                  <c:v>-10354534.908844676</c:v>
                </c:pt>
                <c:pt idx="7">
                  <c:v>-4157912.9288995885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formatCode="General">
                  <c:v>0</c:v>
                </c:pt>
                <c:pt idx="26" formatCode="General">
                  <c:v>0</c:v>
                </c:pt>
                <c:pt idx="27" formatCode="General">
                  <c:v>0</c:v>
                </c:pt>
              </c:numCache>
            </c:numRef>
          </c:val>
          <c:extLst>
            <c:ext xmlns:c16="http://schemas.microsoft.com/office/drawing/2014/chart" uri="{C3380CC4-5D6E-409C-BE32-E72D297353CC}">
              <c16:uniqueId val="{00000000-F0BF-4A4C-A9AB-F3DA8AB7410C}"/>
            </c:ext>
          </c:extLst>
        </c:ser>
        <c:ser>
          <c:idx val="0"/>
          <c:order val="1"/>
          <c:tx>
            <c:strRef>
              <c:f>'Results Summary'!$C$139</c:f>
              <c:strCache>
                <c:ptCount val="1"/>
                <c:pt idx="0">
                  <c:v>Partial Build Benefits</c:v>
                </c:pt>
              </c:strCache>
            </c:strRef>
          </c:tx>
          <c:spPr>
            <a:solidFill>
              <a:schemeClr val="accent1"/>
            </a:solidFill>
            <a:ln>
              <a:noFill/>
            </a:ln>
            <a:effectLst/>
          </c:spPr>
          <c:invertIfNegative val="0"/>
          <c:val>
            <c:numRef>
              <c:f>'Results Summary'!$F$139:$AG$139</c:f>
              <c:numCache>
                <c:formatCode>"$"#,##0</c:formatCode>
                <c:ptCount val="28"/>
                <c:pt idx="0">
                  <c:v>0</c:v>
                </c:pt>
                <c:pt idx="1">
                  <c:v>0</c:v>
                </c:pt>
                <c:pt idx="2">
                  <c:v>111490.54184089473</c:v>
                </c:pt>
                <c:pt idx="3">
                  <c:v>463278.09126422601</c:v>
                </c:pt>
                <c:pt idx="4">
                  <c:v>2645629.0123589193</c:v>
                </c:pt>
                <c:pt idx="5">
                  <c:v>1721041.0197776547</c:v>
                </c:pt>
                <c:pt idx="6">
                  <c:v>2610097.8864237908</c:v>
                </c:pt>
                <c:pt idx="7">
                  <c:v>4227364.0155993095</c:v>
                </c:pt>
                <c:pt idx="8">
                  <c:v>9152393.4069126714</c:v>
                </c:pt>
                <c:pt idx="9">
                  <c:v>10176765.499820774</c:v>
                </c:pt>
                <c:pt idx="10">
                  <c:v>12407811.503049558</c:v>
                </c:pt>
                <c:pt idx="11">
                  <c:v>14520724.420375554</c:v>
                </c:pt>
                <c:pt idx="12">
                  <c:v>16183888.263988199</c:v>
                </c:pt>
                <c:pt idx="13">
                  <c:v>15756927.238396563</c:v>
                </c:pt>
                <c:pt idx="14">
                  <c:v>17760332.442955084</c:v>
                </c:pt>
                <c:pt idx="15">
                  <c:v>14315753.969748609</c:v>
                </c:pt>
                <c:pt idx="16">
                  <c:v>13612127.134064447</c:v>
                </c:pt>
                <c:pt idx="17">
                  <c:v>13003532.257175621</c:v>
                </c:pt>
                <c:pt idx="18">
                  <c:v>12682907.846749634</c:v>
                </c:pt>
                <c:pt idx="19">
                  <c:v>12354404.622172132</c:v>
                </c:pt>
                <c:pt idx="20">
                  <c:v>12159701.229631277</c:v>
                </c:pt>
                <c:pt idx="21">
                  <c:v>11908231.763014866</c:v>
                </c:pt>
                <c:pt idx="22">
                  <c:v>11680441.068424549</c:v>
                </c:pt>
                <c:pt idx="23">
                  <c:v>11476063.449298179</c:v>
                </c:pt>
                <c:pt idx="24">
                  <c:v>11215585.296546061</c:v>
                </c:pt>
                <c:pt idx="25">
                  <c:v>10828787.272493336</c:v>
                </c:pt>
                <c:pt idx="26">
                  <c:v>11050428.350467887</c:v>
                </c:pt>
                <c:pt idx="27">
                  <c:v>14508418.448496388</c:v>
                </c:pt>
              </c:numCache>
            </c:numRef>
          </c:val>
          <c:extLst>
            <c:ext xmlns:c16="http://schemas.microsoft.com/office/drawing/2014/chart" uri="{C3380CC4-5D6E-409C-BE32-E72D297353CC}">
              <c16:uniqueId val="{00000001-F0BF-4A4C-A9AB-F3DA8AB7410C}"/>
            </c:ext>
          </c:extLst>
        </c:ser>
        <c:dLbls>
          <c:showLegendKey val="0"/>
          <c:showVal val="0"/>
          <c:showCatName val="0"/>
          <c:showSerName val="0"/>
          <c:showPercent val="0"/>
          <c:showBubbleSize val="0"/>
        </c:dLbls>
        <c:gapWidth val="50"/>
        <c:overlap val="100"/>
        <c:axId val="488357968"/>
        <c:axId val="488359216"/>
      </c:barChart>
      <c:catAx>
        <c:axId val="4883579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crossAx val="488359216"/>
        <c:crosses val="autoZero"/>
        <c:auto val="1"/>
        <c:lblAlgn val="ctr"/>
        <c:lblOffset val="100"/>
        <c:tickMarkSkip val="5"/>
        <c:noMultiLvlLbl val="0"/>
      </c:catAx>
      <c:valAx>
        <c:axId val="488359216"/>
        <c:scaling>
          <c:orientation val="minMax"/>
        </c:scaling>
        <c:delete val="0"/>
        <c:axPos val="l"/>
        <c:majorGridlines>
          <c:spPr>
            <a:ln w="9525" cap="flat" cmpd="sng" algn="ctr">
              <a:noFill/>
              <a:round/>
            </a:ln>
            <a:effectLst/>
          </c:spPr>
        </c:majorGridlines>
        <c:numFmt formatCode="&quot;$&quot;#,##0,,\ &quot;M&quot;;\-&quot;$&quot;#,##0,,\ &quot;M&quot;;&quot;$&quot;\ 0" sourceLinked="0"/>
        <c:majorTickMark val="none"/>
        <c:minorTickMark val="none"/>
        <c:tickLblPos val="nextTo"/>
        <c:spPr>
          <a:noFill/>
          <a:ln w="6350">
            <a:solidFill>
              <a:schemeClr val="bg2">
                <a:lumMod val="7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crossAx val="488357968"/>
        <c:crosses val="autoZero"/>
        <c:crossBetween val="between"/>
        <c:majorUnit val="100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vert="horz"/>
    <a:lstStyle/>
    <a:p>
      <a:pPr>
        <a:defRPr>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685818734304871"/>
          <c:y val="0.39796730725777729"/>
          <c:w val="0.41804317478561642"/>
          <c:h val="0.5996733232438817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F3A-46DE-B6AA-96770E08905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F3A-46DE-B6AA-96770E08905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F3A-46DE-B6AA-96770E08905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F3A-46DE-B6AA-96770E08905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F3A-46DE-B6AA-96770E08905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'Results Summary'!$E$163:$E$167</c:f>
              <c:strCache>
                <c:ptCount val="5"/>
                <c:pt idx="0">
                  <c:v>Travel Time</c:v>
                </c:pt>
                <c:pt idx="1">
                  <c:v>Environmental</c:v>
                </c:pt>
                <c:pt idx="2">
                  <c:v>Safety</c:v>
                </c:pt>
                <c:pt idx="3">
                  <c:v>Residual Value</c:v>
                </c:pt>
                <c:pt idx="4">
                  <c:v>O&amp;M</c:v>
                </c:pt>
              </c:strCache>
            </c:strRef>
          </c:cat>
          <c:val>
            <c:numRef>
              <c:f>'Results Summary'!$F$163:$F$167</c:f>
              <c:numCache>
                <c:formatCode>"$"#,##0</c:formatCode>
                <c:ptCount val="5"/>
                <c:pt idx="0">
                  <c:v>214481432.36424521</c:v>
                </c:pt>
                <c:pt idx="1">
                  <c:v>84242591.994328514</c:v>
                </c:pt>
                <c:pt idx="2">
                  <c:v>48366154.025280379</c:v>
                </c:pt>
                <c:pt idx="3">
                  <c:v>4582578.4027261008</c:v>
                </c:pt>
                <c:pt idx="4">
                  <c:v>3701819.8561858609</c:v>
                </c:pt>
              </c:numCache>
            </c:numRef>
          </c:val>
          <c:extLst>
            <c:ext xmlns:c16="http://schemas.microsoft.com/office/drawing/2014/chart" uri="{C3380CC4-5D6E-409C-BE32-E72D297353CC}">
              <c16:uniqueId val="{0000000A-9F3A-46DE-B6AA-96770E08905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73511570186386E-2"/>
          <c:y val="3.2080464428574797E-2"/>
          <c:w val="0.93356213737242022"/>
          <c:h val="0.8042039161181459"/>
        </c:manualLayout>
      </c:layout>
      <c:barChart>
        <c:barDir val="col"/>
        <c:grouping val="stacked"/>
        <c:varyColors val="0"/>
        <c:ser>
          <c:idx val="9"/>
          <c:order val="0"/>
          <c:tx>
            <c:strRef>
              <c:f>'Results Summary'!$C$157</c:f>
              <c:strCache>
                <c:ptCount val="1"/>
                <c:pt idx="0">
                  <c:v>Capital Costs</c:v>
                </c:pt>
              </c:strCache>
            </c:strRef>
          </c:tx>
          <c:spPr>
            <a:solidFill>
              <a:schemeClr val="accent4">
                <a:lumMod val="60000"/>
              </a:schemeClr>
            </a:solidFill>
            <a:ln>
              <a:noFill/>
            </a:ln>
            <a:effectLst/>
          </c:spPr>
          <c:invertIfNegative val="0"/>
          <c:cat>
            <c:numRef>
              <c:f>'[1]Results Summary'!$F$138:$AD$138</c:f>
              <c:numCache>
                <c:formatCode>General</c:formatCode>
                <c:ptCount val="2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pt idx="20">
                  <c:v>2041</c:v>
                </c:pt>
                <c:pt idx="21">
                  <c:v>2042</c:v>
                </c:pt>
                <c:pt idx="22">
                  <c:v>2043</c:v>
                </c:pt>
                <c:pt idx="23">
                  <c:v>2044</c:v>
                </c:pt>
                <c:pt idx="24">
                  <c:v>2045</c:v>
                </c:pt>
              </c:numCache>
            </c:numRef>
          </c:cat>
          <c:val>
            <c:numRef>
              <c:f>'Results Summary'!$F$157:$AG$157</c:f>
              <c:numCache>
                <c:formatCode>"$"#,##0</c:formatCode>
                <c:ptCount val="28"/>
                <c:pt idx="0">
                  <c:v>0</c:v>
                </c:pt>
                <c:pt idx="1">
                  <c:v>-2339528.3596919724</c:v>
                </c:pt>
                <c:pt idx="2">
                  <c:v>-4763843.8943738425</c:v>
                </c:pt>
                <c:pt idx="3">
                  <c:v>-3505646.5825563725</c:v>
                </c:pt>
                <c:pt idx="4">
                  <c:v>-25310407.749277331</c:v>
                </c:pt>
                <c:pt idx="5">
                  <c:v>-23654586.681567598</c:v>
                </c:pt>
                <c:pt idx="6">
                  <c:v>-10607856.86380112</c:v>
                </c:pt>
                <c:pt idx="7">
                  <c:v>-4157912.9288995885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137F-431A-BE53-D3A9FA926776}"/>
            </c:ext>
          </c:extLst>
        </c:ser>
        <c:ser>
          <c:idx val="0"/>
          <c:order val="1"/>
          <c:tx>
            <c:strRef>
              <c:f>'Results Summary'!$C$156</c:f>
              <c:strCache>
                <c:ptCount val="1"/>
                <c:pt idx="0">
                  <c:v>Full Build Benefits</c:v>
                </c:pt>
              </c:strCache>
            </c:strRef>
          </c:tx>
          <c:spPr>
            <a:solidFill>
              <a:schemeClr val="accent1"/>
            </a:solidFill>
            <a:ln>
              <a:noFill/>
            </a:ln>
            <a:effectLst/>
          </c:spPr>
          <c:invertIfNegative val="0"/>
          <c:val>
            <c:numRef>
              <c:f>'Results Summary'!$F$156:$AG$156</c:f>
              <c:numCache>
                <c:formatCode>"$"#,##0</c:formatCode>
                <c:ptCount val="28"/>
                <c:pt idx="0">
                  <c:v>0</c:v>
                </c:pt>
                <c:pt idx="1">
                  <c:v>0</c:v>
                </c:pt>
                <c:pt idx="2">
                  <c:v>86286.910619245362</c:v>
                </c:pt>
                <c:pt idx="3">
                  <c:v>126748.48731482762</c:v>
                </c:pt>
                <c:pt idx="4">
                  <c:v>1513611.1818765874</c:v>
                </c:pt>
                <c:pt idx="5">
                  <c:v>677867.78903744789</c:v>
                </c:pt>
                <c:pt idx="6">
                  <c:v>1667348.8588777538</c:v>
                </c:pt>
                <c:pt idx="7">
                  <c:v>3376011.1006679945</c:v>
                </c:pt>
                <c:pt idx="8">
                  <c:v>9491364.5896706954</c:v>
                </c:pt>
                <c:pt idx="9">
                  <c:v>10628597.324978434</c:v>
                </c:pt>
                <c:pt idx="10">
                  <c:v>13277295.682389947</c:v>
                </c:pt>
                <c:pt idx="11">
                  <c:v>15852689.380490117</c:v>
                </c:pt>
                <c:pt idx="12">
                  <c:v>18369020.795939911</c:v>
                </c:pt>
                <c:pt idx="13">
                  <c:v>19268331.044200331</c:v>
                </c:pt>
                <c:pt idx="14">
                  <c:v>23066000.505585685</c:v>
                </c:pt>
                <c:pt idx="15">
                  <c:v>20218298.280217897</c:v>
                </c:pt>
                <c:pt idx="16">
                  <c:v>19452697.955308191</c:v>
                </c:pt>
                <c:pt idx="17">
                  <c:v>18786982.611935943</c:v>
                </c:pt>
                <c:pt idx="18">
                  <c:v>18421916.222366206</c:v>
                </c:pt>
                <c:pt idx="19">
                  <c:v>18050812.515401751</c:v>
                </c:pt>
                <c:pt idx="20">
                  <c:v>17807553.236718751</c:v>
                </c:pt>
                <c:pt idx="21">
                  <c:v>17494100.830202144</c:v>
                </c:pt>
                <c:pt idx="22">
                  <c:v>17312193.012652561</c:v>
                </c:pt>
                <c:pt idx="23">
                  <c:v>17198990.22392625</c:v>
                </c:pt>
                <c:pt idx="24">
                  <c:v>16963303.842716426</c:v>
                </c:pt>
                <c:pt idx="25">
                  <c:v>16783167.005571935</c:v>
                </c:pt>
                <c:pt idx="26">
                  <c:v>17350697.152767207</c:v>
                </c:pt>
                <c:pt idx="27">
                  <c:v>22132690.1013318</c:v>
                </c:pt>
              </c:numCache>
            </c:numRef>
          </c:val>
          <c:extLst>
            <c:ext xmlns:c16="http://schemas.microsoft.com/office/drawing/2014/chart" uri="{C3380CC4-5D6E-409C-BE32-E72D297353CC}">
              <c16:uniqueId val="{00000001-137F-431A-BE53-D3A9FA926776}"/>
            </c:ext>
          </c:extLst>
        </c:ser>
        <c:dLbls>
          <c:showLegendKey val="0"/>
          <c:showVal val="0"/>
          <c:showCatName val="0"/>
          <c:showSerName val="0"/>
          <c:showPercent val="0"/>
          <c:showBubbleSize val="0"/>
        </c:dLbls>
        <c:gapWidth val="50"/>
        <c:overlap val="100"/>
        <c:axId val="488357968"/>
        <c:axId val="488359216"/>
      </c:barChart>
      <c:catAx>
        <c:axId val="4883579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crossAx val="488359216"/>
        <c:crosses val="autoZero"/>
        <c:auto val="1"/>
        <c:lblAlgn val="ctr"/>
        <c:lblOffset val="100"/>
        <c:tickMarkSkip val="5"/>
        <c:noMultiLvlLbl val="0"/>
      </c:catAx>
      <c:valAx>
        <c:axId val="488359216"/>
        <c:scaling>
          <c:orientation val="minMax"/>
        </c:scaling>
        <c:delete val="0"/>
        <c:axPos val="l"/>
        <c:majorGridlines>
          <c:spPr>
            <a:ln w="9525" cap="flat" cmpd="sng" algn="ctr">
              <a:noFill/>
              <a:round/>
            </a:ln>
            <a:effectLst/>
          </c:spPr>
        </c:majorGridlines>
        <c:numFmt formatCode="&quot;$&quot;#,##0,,\ &quot;M&quot;;\-&quot;$&quot;#,##0,,\ &quot;M&quot;;&quot;$&quot;\ 0" sourceLinked="0"/>
        <c:majorTickMark val="none"/>
        <c:minorTickMark val="none"/>
        <c:tickLblPos val="nextTo"/>
        <c:spPr>
          <a:noFill/>
          <a:ln w="6350">
            <a:solidFill>
              <a:schemeClr val="bg2">
                <a:lumMod val="75000"/>
              </a:schemeClr>
            </a:solidFill>
          </a:ln>
          <a:effectLst/>
        </c:spPr>
        <c:txPr>
          <a:bodyPr rot="-6000000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crossAx val="488357968"/>
        <c:crosses val="autoZero"/>
        <c:crossBetween val="between"/>
        <c:majorUnit val="100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vert="horz"/>
    <a:lstStyle/>
    <a:p>
      <a:pPr>
        <a:defRPr>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Crash History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'Crash Data'!$S$10:$S$14</c:f>
              <c:numCache>
                <c:formatCode>General</c:formatCode>
                <c:ptCount val="5"/>
                <c:pt idx="0">
                  <c:v>2017</c:v>
                </c:pt>
                <c:pt idx="1">
                  <c:v>2018</c:v>
                </c:pt>
                <c:pt idx="2">
                  <c:v>2019</c:v>
                </c:pt>
                <c:pt idx="3">
                  <c:v>2020</c:v>
                </c:pt>
                <c:pt idx="4">
                  <c:v>2021</c:v>
                </c:pt>
              </c:numCache>
            </c:numRef>
          </c:cat>
          <c:val>
            <c:numRef>
              <c:f>'Crash Data'!$T$10:$T$14</c:f>
              <c:numCache>
                <c:formatCode>General</c:formatCode>
                <c:ptCount val="5"/>
                <c:pt idx="0">
                  <c:v>8</c:v>
                </c:pt>
                <c:pt idx="1">
                  <c:v>12</c:v>
                </c:pt>
                <c:pt idx="2">
                  <c:v>13</c:v>
                </c:pt>
                <c:pt idx="3">
                  <c:v>11</c:v>
                </c:pt>
                <c:pt idx="4">
                  <c:v>13</c:v>
                </c:pt>
              </c:numCache>
            </c:numRef>
          </c:val>
          <c:smooth val="0"/>
          <c:extLst>
            <c:ext xmlns:c16="http://schemas.microsoft.com/office/drawing/2014/chart" uri="{C3380CC4-5D6E-409C-BE32-E72D297353CC}">
              <c16:uniqueId val="{00000000-DCD0-43F3-8D56-0316A29A0CD0}"/>
            </c:ext>
          </c:extLst>
        </c:ser>
        <c:dLbls>
          <c:showLegendKey val="0"/>
          <c:showVal val="0"/>
          <c:showCatName val="0"/>
          <c:showSerName val="0"/>
          <c:showPercent val="0"/>
          <c:showBubbleSize val="0"/>
        </c:dLbls>
        <c:smooth val="0"/>
        <c:axId val="995232432"/>
        <c:axId val="995230632"/>
      </c:lineChart>
      <c:catAx>
        <c:axId val="9952324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5230632"/>
        <c:crosses val="autoZero"/>
        <c:auto val="1"/>
        <c:lblAlgn val="ctr"/>
        <c:lblOffset val="100"/>
        <c:noMultiLvlLbl val="0"/>
      </c:catAx>
      <c:valAx>
        <c:axId val="995230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Crashes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523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customXml" Target="../ink/ink1.xml"/><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4.png"/><Relationship Id="rId16" Type="http://schemas.openxmlformats.org/officeDocument/2006/relationships/image" Target="../media/image16.png"/><Relationship Id="rId1" Type="http://schemas.openxmlformats.org/officeDocument/2006/relationships/image" Target="../media/image3.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0.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8</xdr:row>
      <xdr:rowOff>142081</xdr:rowOff>
    </xdr:from>
    <xdr:to>
      <xdr:col>6</xdr:col>
      <xdr:colOff>657226</xdr:colOff>
      <xdr:row>14</xdr:row>
      <xdr:rowOff>113983</xdr:rowOff>
    </xdr:to>
    <xdr:pic>
      <xdr:nvPicPr>
        <xdr:cNvPr id="5" name="Picture 4" descr="Olsson rebrands without the 'Associates'">
          <a:extLst>
            <a:ext uri="{FF2B5EF4-FFF2-40B4-BE49-F238E27FC236}">
              <a16:creationId xmlns:a16="http://schemas.microsoft.com/office/drawing/2014/main" id="{FAB9D48C-F65C-DEE4-751B-E498D3F00D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 y="1780381"/>
          <a:ext cx="3800476" cy="1076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378743</xdr:colOff>
      <xdr:row>6</xdr:row>
      <xdr:rowOff>141749</xdr:rowOff>
    </xdr:from>
    <xdr:to>
      <xdr:col>10</xdr:col>
      <xdr:colOff>561974</xdr:colOff>
      <xdr:row>17</xdr:row>
      <xdr:rowOff>76200</xdr:rowOff>
    </xdr:to>
    <xdr:pic>
      <xdr:nvPicPr>
        <xdr:cNvPr id="6" name="Picture 5" descr="ODOT logo | | city-sentinel.com">
          <a:extLst>
            <a:ext uri="{FF2B5EF4-FFF2-40B4-BE49-F238E27FC236}">
              <a16:creationId xmlns:a16="http://schemas.microsoft.com/office/drawing/2014/main" id="{77ED6FF4-8F44-F037-CD77-38BB34C0E6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79343" y="1370474"/>
          <a:ext cx="2240631" cy="1991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884464</xdr:colOff>
      <xdr:row>11</xdr:row>
      <xdr:rowOff>204108</xdr:rowOff>
    </xdr:from>
    <xdr:to>
      <xdr:col>8</xdr:col>
      <xdr:colOff>530679</xdr:colOff>
      <xdr:row>24</xdr:row>
      <xdr:rowOff>40823</xdr:rowOff>
    </xdr:to>
    <xdr:graphicFrame macro="">
      <xdr:nvGraphicFramePr>
        <xdr:cNvPr id="2" name="Chart 5">
          <a:extLst>
            <a:ext uri="{FF2B5EF4-FFF2-40B4-BE49-F238E27FC236}">
              <a16:creationId xmlns:a16="http://schemas.microsoft.com/office/drawing/2014/main" id="{BE0E8846-F90D-465B-9AAC-DF2407694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544286</xdr:colOff>
      <xdr:row>15</xdr:row>
      <xdr:rowOff>40822</xdr:rowOff>
    </xdr:from>
    <xdr:to>
      <xdr:col>15</xdr:col>
      <xdr:colOff>738413</xdr:colOff>
      <xdr:row>27</xdr:row>
      <xdr:rowOff>0</xdr:rowOff>
    </xdr:to>
    <xdr:graphicFrame macro="">
      <xdr:nvGraphicFramePr>
        <xdr:cNvPr id="3" name="Chart 10">
          <a:extLst>
            <a:ext uri="{FF2B5EF4-FFF2-40B4-BE49-F238E27FC236}">
              <a16:creationId xmlns:a16="http://schemas.microsoft.com/office/drawing/2014/main" id="{48F65A56-80C1-4994-89F2-F9B2F119B6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884464</xdr:colOff>
      <xdr:row>30</xdr:row>
      <xdr:rowOff>204108</xdr:rowOff>
    </xdr:from>
    <xdr:ext cx="5265965" cy="3374572"/>
    <xdr:graphicFrame macro="">
      <xdr:nvGraphicFramePr>
        <xdr:cNvPr id="4" name="Chart 5">
          <a:extLst>
            <a:ext uri="{FF2B5EF4-FFF2-40B4-BE49-F238E27FC236}">
              <a16:creationId xmlns:a16="http://schemas.microsoft.com/office/drawing/2014/main" id="{32ABE107-AB28-4F93-8111-7E062BFD2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twoCellAnchor>
    <xdr:from>
      <xdr:col>8</xdr:col>
      <xdr:colOff>544286</xdr:colOff>
      <xdr:row>34</xdr:row>
      <xdr:rowOff>40822</xdr:rowOff>
    </xdr:from>
    <xdr:to>
      <xdr:col>15</xdr:col>
      <xdr:colOff>738413</xdr:colOff>
      <xdr:row>46</xdr:row>
      <xdr:rowOff>0</xdr:rowOff>
    </xdr:to>
    <xdr:graphicFrame macro="">
      <xdr:nvGraphicFramePr>
        <xdr:cNvPr id="5" name="Chart 10">
          <a:extLst>
            <a:ext uri="{FF2B5EF4-FFF2-40B4-BE49-F238E27FC236}">
              <a16:creationId xmlns:a16="http://schemas.microsoft.com/office/drawing/2014/main" id="{066B6A99-B728-4365-BBA8-CA7C4E9B3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862854</xdr:colOff>
      <xdr:row>14</xdr:row>
      <xdr:rowOff>202825</xdr:rowOff>
    </xdr:from>
    <xdr:to>
      <xdr:col>23</xdr:col>
      <xdr:colOff>190501</xdr:colOff>
      <xdr:row>24</xdr:row>
      <xdr:rowOff>122143</xdr:rowOff>
    </xdr:to>
    <xdr:graphicFrame macro="">
      <xdr:nvGraphicFramePr>
        <xdr:cNvPr id="54" name="Chart 1">
          <a:extLst>
            <a:ext uri="{FF2B5EF4-FFF2-40B4-BE49-F238E27FC236}">
              <a16:creationId xmlns:a16="http://schemas.microsoft.com/office/drawing/2014/main" id="{1D6514A7-BE6B-94B4-CE04-CFD05ADD35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345892</xdr:colOff>
      <xdr:row>3</xdr:row>
      <xdr:rowOff>133350</xdr:rowOff>
    </xdr:from>
    <xdr:to>
      <xdr:col>7</xdr:col>
      <xdr:colOff>685800</xdr:colOff>
      <xdr:row>27</xdr:row>
      <xdr:rowOff>124251</xdr:rowOff>
    </xdr:to>
    <xdr:grpSp>
      <xdr:nvGrpSpPr>
        <xdr:cNvPr id="2" name="Group 2">
          <a:extLst>
            <a:ext uri="{FF2B5EF4-FFF2-40B4-BE49-F238E27FC236}">
              <a16:creationId xmlns:a16="http://schemas.microsoft.com/office/drawing/2014/main" id="{00000000-0008-0000-0800-000003000000}"/>
            </a:ext>
          </a:extLst>
        </xdr:cNvPr>
        <xdr:cNvGrpSpPr/>
      </xdr:nvGrpSpPr>
      <xdr:grpSpPr>
        <a:xfrm>
          <a:off x="603627" y="984997"/>
          <a:ext cx="6828114" cy="6714430"/>
          <a:chOff x="415291" y="400498"/>
          <a:chExt cx="6800178" cy="6667984"/>
        </a:xfrm>
      </xdr:grpSpPr>
      <xdr:pic>
        <xdr:nvPicPr>
          <xdr:cNvPr id="6"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415291" y="400498"/>
            <a:ext cx="6781412" cy="4528515"/>
          </a:xfrm>
          <a:prstGeom prst="rect">
            <a:avLst/>
          </a:prstGeom>
        </xdr:spPr>
      </xdr:pic>
      <xdr:pic>
        <xdr:nvPicPr>
          <xdr:cNvPr id="7" name="Picture 4">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srcRect t="3011"/>
          <a:stretch/>
        </xdr:blipFill>
        <xdr:spPr>
          <a:xfrm>
            <a:off x="458471" y="4729027"/>
            <a:ext cx="6756998" cy="2339455"/>
          </a:xfrm>
          <a:prstGeom prst="rect">
            <a:avLst/>
          </a:prstGeom>
        </xdr:spPr>
      </xdr:pic>
    </xdr:grpSp>
    <xdr:clientData/>
  </xdr:twoCellAnchor>
  <xdr:oneCellAnchor>
    <xdr:from>
      <xdr:col>9</xdr:col>
      <xdr:colOff>184378</xdr:colOff>
      <xdr:row>8</xdr:row>
      <xdr:rowOff>6500</xdr:rowOff>
    </xdr:from>
    <xdr:ext cx="4785187" cy="1312612"/>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4" name="Ink 8">
              <a:extLst>
                <a:ext uri="{FF2B5EF4-FFF2-40B4-BE49-F238E27FC236}">
                  <a16:creationId xmlns:a16="http://schemas.microsoft.com/office/drawing/2014/main" id="{042435C9-2572-42F4-B3C3-2D4A1640FBC5}"/>
                </a:ext>
              </a:extLst>
            </xdr14:cNvPr>
            <xdr14:cNvContentPartPr/>
          </xdr14:nvContentPartPr>
          <xdr14:nvPr macro=""/>
          <xdr14:xfrm>
            <a:off x="441139" y="9597761"/>
            <a:ext cx="4785187" cy="1312612"/>
          </xdr14:xfrm>
        </xdr:contentPart>
      </mc:Choice>
      <mc:Fallback xmlns="">
        <xdr:pic>
          <xdr:nvPicPr>
            <xdr:cNvPr id="9" name="Ink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4"/>
            <a:stretch>
              <a:fillRect/>
            </a:stretch>
          </xdr:blipFill>
          <xdr:spPr>
            <a:xfrm>
              <a:off x="436632" y="9544261"/>
              <a:ext cx="4094646" cy="1325539"/>
            </a:xfrm>
            <a:prstGeom prst="rect">
              <a:avLst/>
            </a:prstGeom>
          </xdr:spPr>
        </xdr:pic>
      </mc:Fallback>
    </mc:AlternateContent>
    <xdr:clientData/>
  </xdr:oneCellAnchor>
  <xdr:twoCellAnchor editAs="oneCell">
    <xdr:from>
      <xdr:col>0</xdr:col>
      <xdr:colOff>246530</xdr:colOff>
      <xdr:row>36</xdr:row>
      <xdr:rowOff>5602</xdr:rowOff>
    </xdr:from>
    <xdr:to>
      <xdr:col>9</xdr:col>
      <xdr:colOff>874036</xdr:colOff>
      <xdr:row>37</xdr:row>
      <xdr:rowOff>148425</xdr:rowOff>
    </xdr:to>
    <xdr:pic>
      <xdr:nvPicPr>
        <xdr:cNvPr id="5" name="Picture 4">
          <a:extLst>
            <a:ext uri="{FF2B5EF4-FFF2-40B4-BE49-F238E27FC236}">
              <a16:creationId xmlns:a16="http://schemas.microsoft.com/office/drawing/2014/main" id="{23A7E6B2-46DD-83E6-AB4E-E704948B02C0}"/>
            </a:ext>
          </a:extLst>
        </xdr:cNvPr>
        <xdr:cNvPicPr>
          <a:picLocks noChangeAspect="1"/>
        </xdr:cNvPicPr>
      </xdr:nvPicPr>
      <xdr:blipFill>
        <a:blip xmlns:r="http://schemas.openxmlformats.org/officeDocument/2006/relationships" r:embed="rId5"/>
        <a:stretch>
          <a:fillRect/>
        </a:stretch>
      </xdr:blipFill>
      <xdr:spPr>
        <a:xfrm>
          <a:off x="246530" y="11782984"/>
          <a:ext cx="9166388" cy="422970"/>
        </a:xfrm>
        <a:prstGeom prst="rect">
          <a:avLst/>
        </a:prstGeom>
      </xdr:spPr>
    </xdr:pic>
    <xdr:clientData/>
  </xdr:twoCellAnchor>
  <xdr:twoCellAnchor editAs="oneCell">
    <xdr:from>
      <xdr:col>2</xdr:col>
      <xdr:colOff>457200</xdr:colOff>
      <xdr:row>38</xdr:row>
      <xdr:rowOff>66675</xdr:rowOff>
    </xdr:from>
    <xdr:to>
      <xdr:col>7</xdr:col>
      <xdr:colOff>856526</xdr:colOff>
      <xdr:row>42</xdr:row>
      <xdr:rowOff>76062</xdr:rowOff>
    </xdr:to>
    <xdr:pic>
      <xdr:nvPicPr>
        <xdr:cNvPr id="9" name="Picture 8">
          <a:extLst>
            <a:ext uri="{FF2B5EF4-FFF2-40B4-BE49-F238E27FC236}">
              <a16:creationId xmlns:a16="http://schemas.microsoft.com/office/drawing/2014/main" id="{DA65D9DA-D3E8-F54B-CD81-8FABFF955074}"/>
            </a:ext>
          </a:extLst>
        </xdr:cNvPr>
        <xdr:cNvPicPr>
          <a:picLocks noChangeAspect="1"/>
        </xdr:cNvPicPr>
      </xdr:nvPicPr>
      <xdr:blipFill>
        <a:blip xmlns:r="http://schemas.openxmlformats.org/officeDocument/2006/relationships" r:embed="rId6"/>
        <a:stretch>
          <a:fillRect/>
        </a:stretch>
      </xdr:blipFill>
      <xdr:spPr>
        <a:xfrm>
          <a:off x="1800225" y="12239625"/>
          <a:ext cx="5790476" cy="1114286"/>
        </a:xfrm>
        <a:prstGeom prst="rect">
          <a:avLst/>
        </a:prstGeom>
      </xdr:spPr>
    </xdr:pic>
    <xdr:clientData/>
  </xdr:twoCellAnchor>
  <xdr:twoCellAnchor editAs="oneCell">
    <xdr:from>
      <xdr:col>2</xdr:col>
      <xdr:colOff>571500</xdr:colOff>
      <xdr:row>42</xdr:row>
      <xdr:rowOff>66675</xdr:rowOff>
    </xdr:from>
    <xdr:to>
      <xdr:col>9</xdr:col>
      <xdr:colOff>256317</xdr:colOff>
      <xdr:row>45</xdr:row>
      <xdr:rowOff>180856</xdr:rowOff>
    </xdr:to>
    <xdr:pic>
      <xdr:nvPicPr>
        <xdr:cNvPr id="10" name="Picture 9">
          <a:extLst>
            <a:ext uri="{FF2B5EF4-FFF2-40B4-BE49-F238E27FC236}">
              <a16:creationId xmlns:a16="http://schemas.microsoft.com/office/drawing/2014/main" id="{E454F19C-87A8-C889-9518-A5135E1D8C6E}"/>
            </a:ext>
          </a:extLst>
        </xdr:cNvPr>
        <xdr:cNvPicPr>
          <a:picLocks noChangeAspect="1"/>
        </xdr:cNvPicPr>
      </xdr:nvPicPr>
      <xdr:blipFill>
        <a:blip xmlns:r="http://schemas.openxmlformats.org/officeDocument/2006/relationships" r:embed="rId7"/>
        <a:stretch>
          <a:fillRect/>
        </a:stretch>
      </xdr:blipFill>
      <xdr:spPr>
        <a:xfrm>
          <a:off x="1914525" y="13344525"/>
          <a:ext cx="6866667" cy="942857"/>
        </a:xfrm>
        <a:prstGeom prst="rect">
          <a:avLst/>
        </a:prstGeom>
      </xdr:spPr>
    </xdr:pic>
    <xdr:clientData/>
  </xdr:twoCellAnchor>
  <xdr:twoCellAnchor editAs="oneCell">
    <xdr:from>
      <xdr:col>9</xdr:col>
      <xdr:colOff>842122</xdr:colOff>
      <xdr:row>35</xdr:row>
      <xdr:rowOff>42582</xdr:rowOff>
    </xdr:from>
    <xdr:to>
      <xdr:col>20</xdr:col>
      <xdr:colOff>393218</xdr:colOff>
      <xdr:row>39</xdr:row>
      <xdr:rowOff>65415</xdr:rowOff>
    </xdr:to>
    <xdr:pic>
      <xdr:nvPicPr>
        <xdr:cNvPr id="11" name="Picture 10">
          <a:extLst>
            <a:ext uri="{FF2B5EF4-FFF2-40B4-BE49-F238E27FC236}">
              <a16:creationId xmlns:a16="http://schemas.microsoft.com/office/drawing/2014/main" id="{8C19F6A8-E7F5-4EAD-92C6-1326B76B067B}"/>
            </a:ext>
          </a:extLst>
        </xdr:cNvPr>
        <xdr:cNvPicPr>
          <a:picLocks noChangeAspect="1"/>
        </xdr:cNvPicPr>
      </xdr:nvPicPr>
      <xdr:blipFill>
        <a:blip xmlns:r="http://schemas.openxmlformats.org/officeDocument/2006/relationships" r:embed="rId8"/>
        <a:stretch>
          <a:fillRect/>
        </a:stretch>
      </xdr:blipFill>
      <xdr:spPr>
        <a:xfrm>
          <a:off x="9381004" y="11539817"/>
          <a:ext cx="9838096" cy="1143421"/>
        </a:xfrm>
        <a:prstGeom prst="rect">
          <a:avLst/>
        </a:prstGeom>
      </xdr:spPr>
    </xdr:pic>
    <xdr:clientData/>
  </xdr:twoCellAnchor>
  <xdr:twoCellAnchor editAs="oneCell">
    <xdr:from>
      <xdr:col>9</xdr:col>
      <xdr:colOff>891428</xdr:colOff>
      <xdr:row>38</xdr:row>
      <xdr:rowOff>257176</xdr:rowOff>
    </xdr:from>
    <xdr:to>
      <xdr:col>20</xdr:col>
      <xdr:colOff>804429</xdr:colOff>
      <xdr:row>47</xdr:row>
      <xdr:rowOff>56864</xdr:rowOff>
    </xdr:to>
    <xdr:pic>
      <xdr:nvPicPr>
        <xdr:cNvPr id="12" name="Picture 11">
          <a:extLst>
            <a:ext uri="{FF2B5EF4-FFF2-40B4-BE49-F238E27FC236}">
              <a16:creationId xmlns:a16="http://schemas.microsoft.com/office/drawing/2014/main" id="{056BE06F-972D-1523-E20F-3F1CCC30B9DF}"/>
            </a:ext>
          </a:extLst>
        </xdr:cNvPr>
        <xdr:cNvPicPr>
          <a:picLocks noChangeAspect="1"/>
        </xdr:cNvPicPr>
      </xdr:nvPicPr>
      <xdr:blipFill>
        <a:blip xmlns:r="http://schemas.openxmlformats.org/officeDocument/2006/relationships" r:embed="rId9"/>
        <a:stretch>
          <a:fillRect/>
        </a:stretch>
      </xdr:blipFill>
      <xdr:spPr>
        <a:xfrm>
          <a:off x="9430310" y="12594852"/>
          <a:ext cx="10200001" cy="2321012"/>
        </a:xfrm>
        <a:prstGeom prst="rect">
          <a:avLst/>
        </a:prstGeom>
      </xdr:spPr>
    </xdr:pic>
    <xdr:clientData/>
  </xdr:twoCellAnchor>
  <xdr:twoCellAnchor editAs="oneCell">
    <xdr:from>
      <xdr:col>2</xdr:col>
      <xdr:colOff>829235</xdr:colOff>
      <xdr:row>48</xdr:row>
      <xdr:rowOff>257736</xdr:rowOff>
    </xdr:from>
    <xdr:to>
      <xdr:col>11</xdr:col>
      <xdr:colOff>718307</xdr:colOff>
      <xdr:row>59</xdr:row>
      <xdr:rowOff>80881</xdr:rowOff>
    </xdr:to>
    <xdr:pic>
      <xdr:nvPicPr>
        <xdr:cNvPr id="13" name="Picture 12">
          <a:extLst>
            <a:ext uri="{FF2B5EF4-FFF2-40B4-BE49-F238E27FC236}">
              <a16:creationId xmlns:a16="http://schemas.microsoft.com/office/drawing/2014/main" id="{E72AA0B1-8B2A-41AD-EA12-49EAE2BAA678}"/>
            </a:ext>
          </a:extLst>
        </xdr:cNvPr>
        <xdr:cNvPicPr>
          <a:picLocks noChangeAspect="1"/>
        </xdr:cNvPicPr>
      </xdr:nvPicPr>
      <xdr:blipFill>
        <a:blip xmlns:r="http://schemas.openxmlformats.org/officeDocument/2006/relationships" r:embed="rId10"/>
        <a:stretch>
          <a:fillRect/>
        </a:stretch>
      </xdr:blipFill>
      <xdr:spPr>
        <a:xfrm>
          <a:off x="2173941" y="15396883"/>
          <a:ext cx="8876190" cy="2904762"/>
        </a:xfrm>
        <a:prstGeom prst="rect">
          <a:avLst/>
        </a:prstGeom>
      </xdr:spPr>
    </xdr:pic>
    <xdr:clientData/>
  </xdr:twoCellAnchor>
  <xdr:twoCellAnchor editAs="oneCell">
    <xdr:from>
      <xdr:col>11</xdr:col>
      <xdr:colOff>649942</xdr:colOff>
      <xdr:row>48</xdr:row>
      <xdr:rowOff>67236</xdr:rowOff>
    </xdr:from>
    <xdr:to>
      <xdr:col>20</xdr:col>
      <xdr:colOff>840442</xdr:colOff>
      <xdr:row>55</xdr:row>
      <xdr:rowOff>20912</xdr:rowOff>
    </xdr:to>
    <xdr:pic>
      <xdr:nvPicPr>
        <xdr:cNvPr id="15" name="Picture 14">
          <a:extLst>
            <a:ext uri="{FF2B5EF4-FFF2-40B4-BE49-F238E27FC236}">
              <a16:creationId xmlns:a16="http://schemas.microsoft.com/office/drawing/2014/main" id="{7BB3DB74-1FD9-126D-6B56-10CB59B1913D}"/>
            </a:ext>
          </a:extLst>
        </xdr:cNvPr>
        <xdr:cNvPicPr>
          <a:picLocks noChangeAspect="1"/>
        </xdr:cNvPicPr>
      </xdr:nvPicPr>
      <xdr:blipFill>
        <a:blip xmlns:r="http://schemas.openxmlformats.org/officeDocument/2006/relationships" r:embed="rId11"/>
        <a:stretch>
          <a:fillRect/>
        </a:stretch>
      </xdr:blipFill>
      <xdr:spPr>
        <a:xfrm>
          <a:off x="10981766" y="15206383"/>
          <a:ext cx="8684558" cy="1914705"/>
        </a:xfrm>
        <a:prstGeom prst="rect">
          <a:avLst/>
        </a:prstGeom>
      </xdr:spPr>
    </xdr:pic>
    <xdr:clientData/>
  </xdr:twoCellAnchor>
  <xdr:twoCellAnchor editAs="oneCell">
    <xdr:from>
      <xdr:col>11</xdr:col>
      <xdr:colOff>705971</xdr:colOff>
      <xdr:row>55</xdr:row>
      <xdr:rowOff>89647</xdr:rowOff>
    </xdr:from>
    <xdr:to>
      <xdr:col>20</xdr:col>
      <xdr:colOff>926199</xdr:colOff>
      <xdr:row>59</xdr:row>
      <xdr:rowOff>45249</xdr:rowOff>
    </xdr:to>
    <xdr:pic>
      <xdr:nvPicPr>
        <xdr:cNvPr id="16" name="Picture 15">
          <a:extLst>
            <a:ext uri="{FF2B5EF4-FFF2-40B4-BE49-F238E27FC236}">
              <a16:creationId xmlns:a16="http://schemas.microsoft.com/office/drawing/2014/main" id="{C178DEDA-586C-73FE-F2F8-ABE65296E0F2}"/>
            </a:ext>
          </a:extLst>
        </xdr:cNvPr>
        <xdr:cNvPicPr>
          <a:picLocks noChangeAspect="1"/>
        </xdr:cNvPicPr>
      </xdr:nvPicPr>
      <xdr:blipFill>
        <a:blip xmlns:r="http://schemas.openxmlformats.org/officeDocument/2006/relationships" r:embed="rId12"/>
        <a:stretch>
          <a:fillRect/>
        </a:stretch>
      </xdr:blipFill>
      <xdr:spPr>
        <a:xfrm>
          <a:off x="11037795" y="17189823"/>
          <a:ext cx="8714286" cy="1076190"/>
        </a:xfrm>
        <a:prstGeom prst="rect">
          <a:avLst/>
        </a:prstGeom>
      </xdr:spPr>
    </xdr:pic>
    <xdr:clientData/>
  </xdr:twoCellAnchor>
  <xdr:twoCellAnchor editAs="oneCell">
    <xdr:from>
      <xdr:col>11</xdr:col>
      <xdr:colOff>784411</xdr:colOff>
      <xdr:row>61</xdr:row>
      <xdr:rowOff>44824</xdr:rowOff>
    </xdr:from>
    <xdr:to>
      <xdr:col>14</xdr:col>
      <xdr:colOff>330845</xdr:colOff>
      <xdr:row>65</xdr:row>
      <xdr:rowOff>9949</xdr:rowOff>
    </xdr:to>
    <xdr:pic>
      <xdr:nvPicPr>
        <xdr:cNvPr id="18" name="Picture 17">
          <a:extLst>
            <a:ext uri="{FF2B5EF4-FFF2-40B4-BE49-F238E27FC236}">
              <a16:creationId xmlns:a16="http://schemas.microsoft.com/office/drawing/2014/main" id="{9EB5E761-36DA-B5D4-12AC-3BFD9572E96E}"/>
            </a:ext>
          </a:extLst>
        </xdr:cNvPr>
        <xdr:cNvPicPr>
          <a:picLocks noChangeAspect="1"/>
        </xdr:cNvPicPr>
      </xdr:nvPicPr>
      <xdr:blipFill>
        <a:blip xmlns:r="http://schemas.openxmlformats.org/officeDocument/2006/relationships" r:embed="rId13"/>
        <a:stretch>
          <a:fillRect/>
        </a:stretch>
      </xdr:blipFill>
      <xdr:spPr>
        <a:xfrm>
          <a:off x="11116235" y="18825883"/>
          <a:ext cx="2314286" cy="1085714"/>
        </a:xfrm>
        <a:prstGeom prst="rect">
          <a:avLst/>
        </a:prstGeom>
      </xdr:spPr>
    </xdr:pic>
    <xdr:clientData/>
  </xdr:twoCellAnchor>
  <xdr:twoCellAnchor editAs="oneCell">
    <xdr:from>
      <xdr:col>14</xdr:col>
      <xdr:colOff>593912</xdr:colOff>
      <xdr:row>59</xdr:row>
      <xdr:rowOff>123265</xdr:rowOff>
    </xdr:from>
    <xdr:to>
      <xdr:col>20</xdr:col>
      <xdr:colOff>572468</xdr:colOff>
      <xdr:row>65</xdr:row>
      <xdr:rowOff>251906</xdr:rowOff>
    </xdr:to>
    <xdr:pic>
      <xdr:nvPicPr>
        <xdr:cNvPr id="19" name="Picture 18">
          <a:extLst>
            <a:ext uri="{FF2B5EF4-FFF2-40B4-BE49-F238E27FC236}">
              <a16:creationId xmlns:a16="http://schemas.microsoft.com/office/drawing/2014/main" id="{F8FE036B-564F-4449-F842-C854620A1A38}"/>
            </a:ext>
          </a:extLst>
        </xdr:cNvPr>
        <xdr:cNvPicPr>
          <a:picLocks noChangeAspect="1"/>
        </xdr:cNvPicPr>
      </xdr:nvPicPr>
      <xdr:blipFill>
        <a:blip xmlns:r="http://schemas.openxmlformats.org/officeDocument/2006/relationships" r:embed="rId14"/>
        <a:stretch>
          <a:fillRect/>
        </a:stretch>
      </xdr:blipFill>
      <xdr:spPr>
        <a:xfrm>
          <a:off x="13693588" y="18344030"/>
          <a:ext cx="5704762" cy="1809524"/>
        </a:xfrm>
        <a:prstGeom prst="rect">
          <a:avLst/>
        </a:prstGeom>
      </xdr:spPr>
    </xdr:pic>
    <xdr:clientData/>
  </xdr:twoCellAnchor>
  <xdr:twoCellAnchor editAs="oneCell">
    <xdr:from>
      <xdr:col>4</xdr:col>
      <xdr:colOff>11206</xdr:colOff>
      <xdr:row>68</xdr:row>
      <xdr:rowOff>78440</xdr:rowOff>
    </xdr:from>
    <xdr:to>
      <xdr:col>14</xdr:col>
      <xdr:colOff>584264</xdr:colOff>
      <xdr:row>75</xdr:row>
      <xdr:rowOff>145982</xdr:rowOff>
    </xdr:to>
    <xdr:pic>
      <xdr:nvPicPr>
        <xdr:cNvPr id="20" name="Picture 19">
          <a:extLst>
            <a:ext uri="{FF2B5EF4-FFF2-40B4-BE49-F238E27FC236}">
              <a16:creationId xmlns:a16="http://schemas.microsoft.com/office/drawing/2014/main" id="{AE05CD45-483F-DDBE-66C5-C41AA7D6BF39}"/>
            </a:ext>
          </a:extLst>
        </xdr:cNvPr>
        <xdr:cNvPicPr>
          <a:picLocks noChangeAspect="1"/>
        </xdr:cNvPicPr>
      </xdr:nvPicPr>
      <xdr:blipFill>
        <a:blip xmlns:r="http://schemas.openxmlformats.org/officeDocument/2006/relationships" r:embed="rId15"/>
        <a:stretch>
          <a:fillRect/>
        </a:stretch>
      </xdr:blipFill>
      <xdr:spPr>
        <a:xfrm>
          <a:off x="3731559" y="20820528"/>
          <a:ext cx="9952381" cy="2028571"/>
        </a:xfrm>
        <a:prstGeom prst="rect">
          <a:avLst/>
        </a:prstGeom>
      </xdr:spPr>
    </xdr:pic>
    <xdr:clientData/>
  </xdr:twoCellAnchor>
  <xdr:twoCellAnchor editAs="oneCell">
    <xdr:from>
      <xdr:col>11</xdr:col>
      <xdr:colOff>280146</xdr:colOff>
      <xdr:row>69</xdr:row>
      <xdr:rowOff>179296</xdr:rowOff>
    </xdr:from>
    <xdr:to>
      <xdr:col>20</xdr:col>
      <xdr:colOff>509897</xdr:colOff>
      <xdr:row>79</xdr:row>
      <xdr:rowOff>92111</xdr:rowOff>
    </xdr:to>
    <xdr:pic>
      <xdr:nvPicPr>
        <xdr:cNvPr id="21" name="Picture 20">
          <a:extLst>
            <a:ext uri="{FF2B5EF4-FFF2-40B4-BE49-F238E27FC236}">
              <a16:creationId xmlns:a16="http://schemas.microsoft.com/office/drawing/2014/main" id="{3FD2D552-90FC-5888-ADE9-86A646F6281B}"/>
            </a:ext>
          </a:extLst>
        </xdr:cNvPr>
        <xdr:cNvPicPr>
          <a:picLocks noChangeAspect="1"/>
        </xdr:cNvPicPr>
      </xdr:nvPicPr>
      <xdr:blipFill>
        <a:blip xmlns:r="http://schemas.openxmlformats.org/officeDocument/2006/relationships" r:embed="rId16"/>
        <a:stretch>
          <a:fillRect/>
        </a:stretch>
      </xdr:blipFill>
      <xdr:spPr>
        <a:xfrm>
          <a:off x="10611970" y="21201531"/>
          <a:ext cx="8723809" cy="2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oaconsulting-my.sharepoint.com/personal/kdiazcorro_olsson_com/Documents/ODOT%20CI-2382F%20TO4.%20MAIP%20MPDG%20Rural%20Grant%20App/BCA/BCA%20-%20Model%20MAIP%20Improvments_V1.4.xlsx" TargetMode="External"/><Relationship Id="rId1" Type="http://schemas.openxmlformats.org/officeDocument/2006/relationships/externalLinkPath" Target="/personal/kdiazcorro_olsson_com/Documents/ODOT%20CI-2382F%20TO4.%20MAIP%20MPDG%20Rural%20Grant%20App/BCA/BCA%20-%20Model%20MAIP%20Improvments_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Results Summary"/>
      <sheetName val="Reporting Tables"/>
      <sheetName val="Inputs"/>
      <sheetName val="Safety"/>
      <sheetName val="Travel Time"/>
      <sheetName val="Emissions"/>
      <sheetName val="O&amp;M"/>
      <sheetName val="Residual Value"/>
      <sheetName val="Project Costs"/>
      <sheetName val="Volume and Speed"/>
      <sheetName val="Project Cost Data"/>
      <sheetName val="Price Deflators"/>
      <sheetName val="Crash Data"/>
      <sheetName val="Traffic Data"/>
      <sheetName val="Trip Gen"/>
      <sheetName val="Speed"/>
      <sheetName val="Emissions Data"/>
    </sheetNames>
    <sheetDataSet>
      <sheetData sheetId="0" refreshError="1"/>
      <sheetData sheetId="1">
        <row r="138">
          <cell r="F138">
            <v>2021</v>
          </cell>
          <cell r="G138">
            <v>2022</v>
          </cell>
          <cell r="H138">
            <v>2023</v>
          </cell>
          <cell r="I138">
            <v>2024</v>
          </cell>
          <cell r="J138">
            <v>2025</v>
          </cell>
          <cell r="K138">
            <v>2026</v>
          </cell>
          <cell r="L138">
            <v>2027</v>
          </cell>
          <cell r="M138">
            <v>2028</v>
          </cell>
          <cell r="N138">
            <v>2029</v>
          </cell>
          <cell r="O138">
            <v>2030</v>
          </cell>
          <cell r="P138">
            <v>2031</v>
          </cell>
          <cell r="Q138">
            <v>2032</v>
          </cell>
          <cell r="R138">
            <v>2033</v>
          </cell>
          <cell r="S138">
            <v>2034</v>
          </cell>
          <cell r="T138">
            <v>2035</v>
          </cell>
          <cell r="U138">
            <v>2036</v>
          </cell>
          <cell r="V138">
            <v>2037</v>
          </cell>
          <cell r="W138">
            <v>2038</v>
          </cell>
          <cell r="X138">
            <v>2039</v>
          </cell>
          <cell r="Y138">
            <v>2040</v>
          </cell>
          <cell r="Z138">
            <v>2041</v>
          </cell>
          <cell r="AA138">
            <v>2042</v>
          </cell>
          <cell r="AB138">
            <v>2043</v>
          </cell>
          <cell r="AC138">
            <v>2044</v>
          </cell>
          <cell r="AD138">
            <v>2045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8-17T20:51:28.799"/>
    </inkml:context>
    <inkml:brush xml:id="br0">
      <inkml:brushProperty name="width" value="0.05" units="cm"/>
      <inkml:brushProperty name="height" value="0.05" units="cm"/>
      <inkml:brushProperty name="color" value="#004F8B"/>
    </inkml:brush>
  </inkml:definitions>
  <inkml:trace contextRef="#ctx0" brushRef="#br0">392 1220 18460,'0'0'4584,"-16"-2"-4059,11 2-469,-143-6 830,132 6-873,-5 0 0,5 2 0,0 0 0,-5 1 0,5 1 1,-37 10-1,47-12-71,1 0-1,0 1 1,-1 0 0,1 0 0,0 0 0,0 1 0,-6 6 0,11-8 48,-5-1 0,5 1 0,0 0 0,0 0-1,-6 1 1,6-1 0,0 0 0,0 1 0,0-1 0,-5 0 0,5 1 0,0-1 0,0 1 0,0-1 0,0 1 0,0-1 0,0 1 0,0 4-1,0-4 54,5 0 0,-5 0 0,0-1-1,0 1 1,0-1 0,6 1 0,-6-2 0,0 1-1,0 1 1,5-1 0,-5 0 0,5 0-1,-5 0 1,0 0 0,6-1 0,-6 1-1,5 2 1,11 3 287,-6-1 0,22 8-1,-5-5 38,42 21 730,90 43 1332,-154-71-2391,0-1-1,-5 1 1,6 0 0,-6 0-1,5 1 1,-5-1-1,5 0 1,-5 1 0,5-1-1,-5 1 1,0 0-1,6 0 1,-6 0-1,0-1 1,5 1 0,-5 0-1,0 0 1,0 1-1,0-1 1,5 1 0,-5-2-1,0 1 1,0 1-1,0-1 1,0 5-1,0-2-36,-5 0-1,5 0 1,0 0-1,-5 0 1,5-1-1,-6 1 1,6-1-1,-5 1 0,5-1 1,-5 0-1,0 0 1,-6 8-1,0-1-15,-5 0 1,6-1-1,-6 0 0,-21 14 1,32-22-20,-1-1 0,1 1 0,0-1 0,-1 1 0,-4-1 0,4 0 0,1-1 0,0 1 0,0-1 0,-6 0 0,6-1 0,-1 0 0,1 1 0,0-2 0,-1 1 0,-15-2 0,21 1-6,0 1 0,0-1 0,-5 1-1,5-1 1,0 0 0,-5 0 0,5 0-1,0 0 1,-6 0 0,6 0-1,0 0 1,0 0 0,0 0 0,-5 0-1,5-1 1,0 1 0,0 0 0,-5 0-1,5 0 1,0-1 0,0 0 0,0 1-1,0-1 1,0 1 0,0-4 0,-6-15-845,6 0 1,0-1 0,0 1 0,0 0 0,0-1-1,6 1 1,4-25 0,-4 18-3960,25-42 1</inkml:trace>
  <inkml:trace contextRef="#ctx0" brushRef="#br0" timeOffset="1">557 1225 14091,'0'0'6460,"0"32"-6299,0 8-4,-11 167 1908,22 330 5621,-6-448-7358,-10-169-1528,-1 19 924,1-10-554,16-142 1,-6 172 65,0 0 0,6 1-1,5 2 1,26-74 0,-36 94 246,4 3 1,17-29-1,-22 40 501,-5 0 1,5 0-1,1 1 0,-6-1 0,5 2 0,0-1 0,1 0 1,-6 0-1,5 0 0,0 1 0,0-2 0,1 2 1,-1 0-1,0 1 0,6-2 0,-11 2 79,0 1-1,5 0 1,-5 0-1,0-1 1,0 1 0,6 0-1,-6 0 1,0 0-1,5 0 1,-5 1-1,0-1 1,0 0 0,5 1-1,-5-1 1,0 0-1,6 1 1,-6 0-1,0-1 1,0 1 0,5 0-1,-5 0 1,0-1-1,5 1 1,-5 0-1,0 0 1,0 0 0,0 1-1,0 0 1,5-1-1,-5 0 1,0 0 0,0 0-1,0 1 1,6 2-1,-6 2 128,0 1 0,5 0-1,-5 0 1,0 1 0,0 10-1,0-16-150,0 13 145,0 2-1,0 0 1,0-2 0,0 0 0,-5 1 0,5 0-1,-6 0 1,1-1 0,-5 0 0,4-1 0,-15 24 0,10-17-17,-5-1 0,1 1 1,-1-2-1,-32 30 0,37-42-385,1 1 0,-1 0-1,1-1 1,-22 9-1,26-12-608,-4 0 0,-1-1 0,1 0 0,4-1 0,-4 0 0,-22 1 0,11-2-7676</inkml:trace>
  <inkml:trace contextRef="#ctx0" brushRef="#br0" timeOffset="2">939 1650 13715,'0'0'4085,"31"-16"-2793,102-54-668,-122 66-584,-6 0-1,5 0 0,-4-1 1,-1-1-1,6 1 1,-6-1-1,0 1 1,1-1-1,-1-1 0,0 0 1,1 1-1,4-14 1,-5 12 2,1 2-24,-6 1 0,5-1-1,0 0 1,-5-1 0,0 1 0,6-2 0,-6 1 0,0 0-1,5 0 1,-5-6 0,0 12-9,0 1 0,0-1 0,0 0 0,0 1 0,0-1 0,0 0 0,0 1 0,0-1 0,0 0 0,0 1 0,0-1 0,0 0 0,0 1 0,0-1 0,-5 1 0,5-1 0,0 1 0,0-1 0,0 1 0,0-1 0,0 1 0,0-1 0,0 1 0,-6-1 0,6 1 0,0 0 0,0-1 0,0 1 0,0 0 0,-26-2 315,21 2-279,-6 0-25,6 0 1,-6 1-1,6-1 1,-1 2-1,-4-1 1,4 1-1,-4 0 0,5 0 1,-1 1-1,-4-1 1,4 2-1,1-1 1,-6 0-1,6 0 1,0 2-1,0-1 0,-6 8 1,0-3 188,6-1 0,-6 0 0,6 0 1,0 0-1,-6 1 0,6 0 0,0 1 0,5 0 0,-6 0 0,1 0 1,0-1-1,5 1 0,-6 1 0,6-1 0,0 0 0,-5 1 1,5 11-1,0-19-134,0 0 0,5-1 0,-5 1 1,0 0-1,0 0 0,0 0 1,0-1-1,6 1 0,-6 0 0,0-1 1,5 1-1,-5-1 0,0 0 0,0 1 1,5-1-1,-5 0 0,6 0 0,-6 0 1,5-1-1,-5 2 0,5-1 0,-5-1 1,6 0-1,-6 0 0,5 0 0,-5 0 1,5 0-1,0 0 0,1 0 0,15 3 24,-5-2 0,0 0 0,5-1 0,16-2 0,-16 1-21,-5 0-68,-5 0 0,5-1 0,0-1 0,-6 0 1,6-1-1,0 0 0,-5-1 0,5 1 0,-6-3 1,22-7-1,-11 0-42,6 0 1,-6-2-1,0 1 1,-5-2 0,32-22-1,-38 26-126,1-1-1,0-1 0,-1 0 1,1 0-1,-1 0 0,1-1 1,-6-2-1,11-22 0,-16 31-23,6 1-1,-6 0 0,0-1 1,0-9-1,0 17 179,0-1-5,0 1 1,0 0-1,0-1 0,0 1 1,0 0-1,0-1 0,0 1 1,0 0-1,0-1 0,0 1 1,0 0-1,0 0 0,0-1 1,0 1-1,0 0 0,0-1 1,0 1-1,0 0 0,0 0 1,0-1-1,0 1 1,0 0-1,0 0 0,0 0 1,-6-1-1,6 1 0,0 0 1,0 0-1,0 0 0,0 0 1,0 0-1,0-1 0,0 1 1,0 0-1,0 0 0,0 0 1,0 0-1,0 0 0,0 0 1,0 0-1,0 0 1,0 0-1,-5 0 0,5 0 1,0 0-1,0 1 0,0-1 1,0 0-1,0 0 0,-5 0-37,-6 1 55,6 0-1,-1 0 0,1 1 1,-5-1-1,4 1 1,1 1-1,0-2 1,-6 2-1,6 0 1,-1 0-1,1 1 1,0 0-1,-11 8 1,0 3 39,0 0 0,0 0 1,-16 22-1,27-28 54,-6 0 0,6-1 0,0 2 0,0 1 0,-1-1-1,1 1 1,0-1 0,5 0 0,-6 2 0,6-2 0,-5 1 0,5 0 0,0 0 0,0 18-1,0-26-68,0 0 0,0 0 0,0 0 0,0 0 0,0 0 0,0-1 0,5 1 0,-5 0 0,0 0 0,0-1 0,0 1 0,6 0 0,-6 0 0,5 0 0,-5-2 0,0 1 0,5 0 0,-5 0 0,6 0 0,-6 0 0,5 0 0,-5 0 0,5-1 0,-5 1 0,5-1 0,-5 0 0,11 2 0,0 0-12,-1-1 0,6 0 0,-5 0 0,5-2 0,15 0 0,-25 0-16,10 1-54,5-1 0,0-1 0,-5-1-1,0 0 1,5-1 0,-5-1 0,0-1 0,5 0-1,-5-1 1,21-10 0,-5-2-724,0-1 0,31-29 1,17-18-4032,-11 3-5002</inkml:trace>
  <inkml:trace contextRef="#ctx0" brushRef="#br0" timeOffset="3">2227 1436 5945,'0'0'6288,"-37"-9"-5381,0 1-555,-5 0 0,-38-1 0,75 9-278,-1 0 0,6 0 0,-5 0-1,0 0 1,-1 1 0,1 0 0,0 0 0,0 0-1,-1 0 1,6 1 0,-5 0 0,0 0-1,-1 0 1,6 0 0,-5 1 0,0 0-1,5-1 1,-11 7 0,-5 5 526,0 0 1,6 0-1,-6 2 1,-11 22-1,22-27-138,-6 1 0,6-1 0,0 1 0,-1 0 0,1 0 1,5 1-1,-10 22 0,10-29-222,0 0 0,0-2 0,0 2 0,0 8 0,0-12-189,0-1-1,5 1 1,-5-1 0,0 0 0,0 1 0,0-1 0,0 1 0,0-1 0,0 0 0,0 1 0,5-1 0,-5 0 0,0 0 0,0 0 0,5 0 0,-5 0 0,0 0 0,0 0 0,6 0 0,-1 2 0,0-1 29,1 0 0,-1-1 0,0 1 0,1-1 0,-1-1 0,0 1 0,11-1 0,0 0-8,-5-1 1,26-4-1,-21 2-63,-6-2 0,1 1 0,5-1 0,-6 0 0,1-1 0,5 0 0,-6-1 1,1 0-1,16-12 0,-6-1-29,5-2 0,33-43 0,-43 43-47,-1-1-1,1-2 1,0 2 0,-5-3 0,5 0 0,-6-1 0,-4 1-1,15-49 1,-10 3-930,-6 2-1,0-89 1,-5 113 550,0 45 445,0 0 0,0 0 0,0 1 1,0-1-1,0 0 0,0 0 0,0 0 0,0 0 0,0 0 0,0 0 0,-5 0 0,5 1 0,0-1 0,0 0 0,0 0 0,0 0 0,0 1 0,0-1 0,0 0 1,-5 1-1,5-1 0,0 0 0,0 1 0,0-1 0,0 0 0,-6 1 41,6 1 0,0-1 0,0 0 0,0 1 0,0-1 0,-5 1 0,5-1 0,0 1 0,0-1 0,0 1 0,-5 0 0,5-1 0,0 1 0,0 0 0,0 0 0,0-1 0,0 1 0,0 0 0,0 0 0,-6 0 0,6 0 0,0 0 0,0 0 0,0 0 0,0 1 0,-10 22 442,4-3 0,1 3 0,-6 44 0,1 54 1417,5 130 0,10-217-1467,0 44 0,0-63-318,1 2 0,-6-1 0,10 0 0,6 24 0,-5-23-98,0 0 0,15 19 0,-21-31-68,-5-1 1,6 0-1,-1-1 1,0 1 0,1-1-1,-1 0 1,0 0 0,0 1-1,1-1 1,-1-1 0,11 3-1,-11-4-205,1 0 0,4-1 0,-5 0-1,1 0 1,4 0 0,-4-1 0,-1 0 0,0 0-1,17-2 1,-17 1-543,0 0 0,0 0 1,1-1-1,-1 0 0,0 0 0,1 0 0,4-4 1,1 0-2108,-1 0-1,-4-1 1,-1 1 0,11-11 0</inkml:trace>
  <inkml:trace contextRef="#ctx0" brushRef="#br0" timeOffset="4">3017 1357 19492,'0'0'8770,"212"-39"-8770,-169 35-40,-1 4-752,-26 14-1681,-16 19-3208,0 6-2681</inkml:trace>
  <inkml:trace contextRef="#ctx0" brushRef="#br0" timeOffset="5">2985 1537 12307,'0'0'14587,"186"-11"-14347,-112-15-240,32 8-288,-26 9-2753,-16 9-9570</inkml:trace>
  <inkml:trace contextRef="#ctx0" brushRef="#br0" timeOffset="6">5176 924 14635,'0'0'8327,"0"26"-7496,10 85 328,-10-31 1476,0-55-1604,5-104-327,6-65-869,31-238 44,27 1-441,-42 290 85,-22 77 400,1 1 0,-1 1 0,16-23 0,-21 34 65,0 0 1,0 0 0,5 1 0,-5-1 0,0 0 0,0 0 0,0 0 0,0 1-1,0-1 1,0 0 0,0 1 0,6-1 0,-6 1 0,0-1 0,0 0 0,0 1-1,0 0 1,5-1 0,-5 1 0,0 0 0,0-1 0,0 1 0,5 0 0,-5 0 0,0 0-1,0-1 1,0 1 0,6 0 0,-6 1 0,0-1 0,0 0 0,0 0 0,5 0-1,-5 0 1,0 1 0,0-1 0,0 0 0,0 1 0,5-1 0,-5 1 0,0-1-1,0 2 1,5 1-259,1 0 0,-6 0-1,5 0 1,0 1 0,-5-1 0,0 2-1,11 5 1,0 11-2076,-1 0 0,1 0 0,5 32-1,-11-23-3866</inkml:trace>
  <inkml:trace contextRef="#ctx0" brushRef="#br0" timeOffset="7">5568 575 8162,'0'0'15427,"-255"41"-15427,176-29-88,-17 14-2473,27 0-3680,16 0-7146</inkml:trace>
  <inkml:trace contextRef="#ctx0" brushRef="#br0" timeOffset="8">5579 675 8666,'0'0'7563,"0"29"-5205,0 188 3256,0 15 510,0-267-6351,5 0-1,0 2 1,0-2 0,11-34-1,64-129-855,-70 176 687,1 1 1,0 0-1,26-36 1,-32 54 329,-5 0 1,5 1-1,-5-1 0,6 1 1,-1-1-1,-5 1 0,5-1 0,1 1 1,-1 0-1,-5 0 0,11-2 1,-6 4-15,-5 0 1,0-1-1,0 1 1,5 0-1,-5 0 1,0 0-1,5 0 1,-5 0-1,0 0 1,0 0-1,6 0 1,-6 0 0,0 1-1,5-1 1,-5 0-1,0 1 1,0 0-1,5-1 1,-5 1-1,0-1 1,0 1-1,6 0 1,-6 0-1,0 0 1,0 0-1,0 0 1,5 0-1,-5 0 1,0 1 0,0-1-1,0 0 1,5 0-1,-5 1 1,0-1-1,0 0 1,0 2-1,6 18-2999,-1 2 0,0 22 1,0-9-4439</inkml:trace>
  <inkml:trace contextRef="#ctx0" brushRef="#br0" timeOffset="9">5966 1084 18036,'0'0'8506,"37"-22"-8501,122-79-8,-143 90 3,-6 2 0,6-3 1,-5 0-1,5-1 0,-6 0 0,1 1 0,10-20 0,-10 15-2,-11 15 1,10-6-7,-4 0 1,-1 0-1,0-1 0,1 0 0,-1 0 0,0 0 1,-5-1-1,6 1 0,-1-13 0,-5 21 6,0 1 0,0 0 0,0-1 0,0 1 0,0-1-1,0 1 1,0-1 0,0 1 0,0-1 0,0 1 0,0-1 0,0 1-1,0 0 1,0-1 0,0 1 0,0-1 0,0 1 0,0-1 0,0 1-1,0 0 1,-5-1 0,5 1 0,0 0 0,0-1 0,0 1 0,0 0-1,0-1 1,-6 0 7,1 0 0,0 0 0,-6 1 0,6-1 0,-1 2 1,1-1-1,0 1 0,-16 1 0,15 1-27,-4-1 1,-1 2 0,0-1-1,1 1 1,-1 0 0,6 1-1,-6 0 1,1-1 0,4 1 0,-4 2-1,5 0 1,-1-1 0,-4 1-1,4 0 1,-10 12 0,11-9 63,-6 0 1,6 1 0,0 0 0,0 0-1,-1 1 1,1-2 0,5 2 0,-5 0-1,5 0 1,-6 1 0,6 17 0,0-27 25,0 0-1,0 1 1,0-1 0,0 0 0,0 0 0,0 2 0,0-2-1,0 0 1,6 0 0,-6 0 0,0 0 0,5 0 0,-5 0-1,0 0 1,5-2 0,-5 3 0,11 3 0,-11-4-26,5 0 0,0 0 0,1-1 0,-1 1 1,0-1-1,1 1 0,-1-1 0,0-1 0,1 0 0,-1 1 1,6-1-1,10 2-35,-5-2 0,0 0 1,37-2-1,-48 1-39,0-1 1,6-1-1,-6 1 0,0-1 0,6 0 0,-6 0 1,1-2-1,4 2 0,-4-2 0,-1 1 0,16-8 1,-16 3-342,6-1 1,0 0 0,-6-1 0,16-18-1,6-21-4292,-6 4-5635</inkml:trace>
  <inkml:trace contextRef="#ctx0" brushRef="#br0" timeOffset="10">6427 950 9418,'0'0'15129,"32"-7"-15085,122-30 44,-149 35-80,5-1 1,-4 1-1,-1-1 1,6 0-1,-6-1 1,0 0-1,6-4 1,-6 5-3,0 0 1,-5-1-1,6 0 0,-1 1 1,-5-1-1,5-7 0,1 4 0,-1 1-16,-5-1 1,5 1-1,-5-1 0,6 0 0,-6 0 0,5 0 1,-5-1-1,0 1 0,0 0 0,0-10 0,0 16-1,0 0 0,0 0-1,0 1 1,0 0 0,0-1-1,0 0 1,0 0 0,0 0-1,0 0 1,0 1 0,0-1 0,0 0-1,0 0 1,0 0 0,0 1-1,-5-1 1,5 0 0,0 1-1,0-1 1,0 0 0,0 1-1,0-1 1,0 1 0,-6-1 0,6 0-10,-5 0 1,5 1 0,0-1 0,-5 1 0,5-1 0,-6 1 0,6 0 0,0 0 0,-5 0 0,5 0 0,-5 0 0,-1 1-11,-4 0 0,5 1 0,-1-1-1,1 1 1,0 0 0,-6 1 0,0 4 0,-4 2-1,-1 2-1,0-1 0,5 2 1,-5-1-1,-21 28 1,21-20 258,0 1 1,6 1-1,-22 37 1,27-47 64,-1 0 1,6 2-1,-5-1 1,0-1-1,5 1 0,0 1 1,0 16-1,-6-26-206,6-1 1,0 1-1,6 1 0,-6-1 1,0 0-1,0 1 0,0 0 1,0-1-1,5 6 0,-5-7-58,5 0 0,-5-1 0,0 1 0,0 0 0,6-1-1,-6 1 1,0-1 0,5 0 0,-5 0 0,5 1 0,-5-1 0,5 0-1,-5-1 1,6 1 0,-1 1 0,11 1-64,0 0 0,-5-1 0,4-1 0,1-1 0,0 1 0,0-2 0,0 1 0,32-6 0,-11-3-1005,74-25 0,-10-6-5359,5-8-11415</inkml:trace>
  <inkml:trace contextRef="#ctx0" brushRef="#br0" timeOffset="11">7737 1171 10906,'0'0'10771,"0"-45"-10477,0 45-294,10-375 50,-10 332-44,0-165-6,6 163 9,-1 0 1,21-71-1,-20 108 5,-1-23 91,22-33 1,-22 55-20,0 0-1,1-1 0,-1 3 1,0-2-1,0 0 1,1 1-1,15-12 1,-16 18-16,-5-1 0,6 1 0,-6 0 0,5 0 0,0 1 1,-5-1-1,5 0 0,6 0 0,-11 1-38,0 1-1,0 0 1,5-1-1,-5 1 1,0 0-1,0 0 1,6 0-1,-6 0 1,0 0-1,0 0 1,5 0-1,-5 0 1,0 0-1,0 0 1,0 1-1,5-1 1,-5 1-1,0-1 1,6 0-1,-6 1 1,0 0-1,0-1 1,0 1-1,0 0 1,5 0-1,-5-1 1,0 1-1,0-1 1,0 1-1,5 2 1,-5 1-37,5 1 1,-5-1-1,0 1 0,6 0 0,-6-1 1,0 1-1,5 7 0,-5 47-816,0-31-869,0 1-1,0-1 1,-16 47 0,-5-8-5268</inkml:trace>
  <inkml:trace contextRef="#ctx0" brushRef="#br0" timeOffset="12">8113 624 18476,'0'0'5049,"-265"0"-4673,164 4-376,1 13-208,20 14-2096,27-1-3754,21-8-6792</inkml:trace>
  <inkml:trace contextRef="#ctx0" brushRef="#br0" timeOffset="13">8278 261 18724,'0'0'6249,"-69"232"-6241,37-120 48,11 10 120,5-2 320,10-8-135,6-24-73,0-32-288,6-35-576,10-21-2273,-6 0-7329</inkml:trace>
  <inkml:trace contextRef="#ctx0" brushRef="#br0" timeOffset="14">8474 645 416,'0'0'20322,"-32"11"-19253,0 1-704,-53 25 0,80-35-330,5 1 1,-5 0-1,-1 0 1,6 0-1,-10 0 1,10 0-1,-5 1 1,5 0-1,-6-1 1,6 1 0,-5 0-1,0 6 1,5-2 68,-6 0 1,6 0 0,-5 0-1,5 13 1,0-13-7,-5 29 675,5 40-1,0-72-691,0-1-1,0 1 1,5-1-1,-5 1 0,0-1 1,0 1-1,5-1 0,-5 1 1,0-1-1,6 0 1,-6 1-1,5-1 0,0 5 1,1-7-63,-6 0 1,0 0-1,5 0 0,-5-1 1,5 1-1,-5-1 1,5 0-1,-5 0 1,6 0-1,-6 0 0,5 1 1,-5-1-1,5-1 1,-5 1-1,6 0 0,-6-1 1,5 0-1,-5 0 1,5 0-1,1 0 1,-6 0-1,5 0 0,-5-1 1,5 1-1,0-2 1,1 0-28,-6 1 1,5-1-1,0 1 1,1-1-1,-6 0 1,5 0-1,0 0 1,-5-1-1,6 0 1,-1 1-1,-5-1 1,0 0-1,5 0 1,1-1-1,-6 0 1,0 1-1,5-7 1,5-4-118,-10 1 0,11-2 0,-6-19 1,1 8-640,-1-1 0,0-40 0,-5 42-1749,-5-29 0,5 48 1376,0-1-1,-5 0 1,5 1 0,-6-10 0,-10-5-5225</inkml:trace>
  <inkml:trace contextRef="#ctx0" brushRef="#br0" timeOffset="15">8474 645 12139</inkml:trace>
  <inkml:trace contextRef="#ctx0" brushRef="#br0" timeOffset="16">8484 645 12139,'64'-1'1557,"63"6"1,-121-5-1441,-6 0 1,5 1 0,-5-1-1,0 0 1,5 1-1,-5 0 1,0-1-1,6 1 1,-6 0 0,0 0-1,5 0 1,-5 0-1,0 0 1,5 0-1,0 3 1,-5-3 9,0 0 0,0 0 1,0 0-1,0 1 0,0-1 0,0 0 1,0 1-1,0-1 0,0 0 0,0 1 0,0-1 1,0 1-1,0 2 0,-10 97 3545,-1 68-44,11-137-3009,0 44 679,0-75-1287,0 1 1,0-1-1,0 1 1,0-1-1,0 0 0,0 1 1,0-1-1,0 1 1,0-2-1,6 1 1,-6 1-1,0-1 1,0 0-1,0 0 1,5 0-1,-5 0 1,0 0-1,0 1 1,0-1-1,0-1 0,5 1 1,-5 0-1,0 0 1,5 0-1,-5-1 1,0 1-1,0 0 1,6-1-1,-6 2 1,0-2-1,5 0 1,-5 1-1,0-1 1,0 0-1,5 0 0,-5 0 1,6 0-28,-1-1 0,0 1 1,-5-2-1,6 1 0,-1 0 1,0 0-1,-5-1 0,5 1 0,1-1 1,-6 0-1,5 0 0,0 0 0,1-3 1,4-5-135,1 0 0,0 0 0,-1-2 0,1 1 0,-6-1 0,0 0 0,11-21 0,-5 12-675,-1-2 1,-4 0-1,10-36 0,-11 38-519,-5 15 887,5 7 488,-5 5 403,0-6-427,11 41 900,-6-22-319,11 33 0,-11-38-289,1 0-1,4 0 1,-4 0 0,4-1 0,11 19-1,-15-31-288,-6 0 0,0 0 0,5 1 0,-5-1 1,0 1-1,0-2 0,5 1 0,-5 0 0,0 0 0,6-1 0,-6 1 0,0 0 0,5-1 0,-5 0 0,0 1 0,5-1 0,-5 0 0,0 0 0,6 0 0,-6 0 0,5 0 0,-5 0 0,0-1 0,5 1 0,-5 0 0,0-1 1,5 0-1,-5 1 0,0-1 0,6 0 0,-6-2 0,5-2-36,0 1-1,1-1 1,-1 0 0,-5-1 0,5 2 0,6-10 0,10-40-216,-21 52 228,58-143-1924,-15 40-4874,-11 45-4320</inkml:trace>
  <inkml:trace contextRef="#ctx0" brushRef="#br0" timeOffset="17">10462 487 10506,'0'0'4465,"-37"-2"-3683,-122-3 250,154 5-900,-6 0 0,1 1 1,4 1-1,-4-1 0,-6 3 0,11-3 9,-1 1 0,1 0-1,0 1 1,-11 5-1,5-1 111,11-7-245,-5 3 155,0 0 0,-1-1 0,1 1 0,0 1 0,5-1 0,-11 6 0,11-8-78,0 1 0,0-1 0,-5 0 0,5 0 0,0 0 0,0 0 0,0 1 0,0-1 0,0 0 0,0 1 0,0-1 0,0 0 0,0-1 0,0 2 0,0-1 0,0 0 0,0 1 0,0-1 0,0 0 0,0 1 0,0-1 0,0 0 0,0 1 0,0-1 0,0 0 0,0 0 0,5 0 0,-5 0 0,0 1 0,0-1 0,5 2 0,11 14 473,0-1 1,5-3-1,22 17 1,-11-9-53,105 88 1790,-131-105-2223,-1 0 0,0 1 0,1 0 0,-6 0 0,5 0 0,0 0 0,1 8 0,-6-10-51,0 0 1,5 0-1,-5 0 0,0 0 0,0 0 0,0 1 0,0-1 0,0 0 0,0 0 1,0 0-1,0 1 0,0 0 0,0-1 0,0 0 0,-5 4 0,5-2-27,-6-1 0,6 1-1,-5-1 1,0 0-1,5 1 1,-11-2-1,11 1 1,-5 0-1,-1 0 1,1-1 0,0 0-1,-6 4 1,-5 0-62,0 0 1,-37 10 0,48-16-35,0 1 0,-1-1 0,-4 0-1,5-1 1,-11 1 0,16-1 72,0 0 0,0 0 0,0 0 0,0 0 0,0-1 0,0 1-1,0 0 1,0 0 0,0 0 0,0 0 0,0 0 0,-6-1 0,6 1 0,0 0 0,0 0 0,0 0-1,0-1 1,0 1 0,0 0 0,0 0 0,0 0 0,0-1 0,0 1 0,0 0 0,0 0 0,0-1-1,0 1 1,0 0 0,0-1 0,0 1 0,0 0 0,0 0 0,0-1 0,0 1 0,0 0-1,0 0 1,0-1 0,0 1 0,0 0 0,0-1 0,0 1 0,0-1 0,6-13-619,-1 9 496,0 0 0,-5 0 0,6 0-1,-1 1 1,0-2 0,11-6 0,42-23-207,181-86 18,-48 29 322,-186 90 13,1 0 0,-6-1 0,5 1 1,0-1-1,-5 1 0,5-1 0,-5-1 1,6 1-1,-1 0 0,0-5 0,-5 3-28,6 0-1,-6 0 0,0 0 0,5-2 0,-5 2 1,0-1-1,0-1 0,0 2 0,0-9 0,0 14 404,0 3 118,0 1-370,0 40 502,0-2 0,-16 71 0,0-34-366,-47 226 761,47-204-240,0 105 0,16 48 575,0-242-1380,5-15-198,-5-25-218,0-74-148,11-246-588,26 87 69,-16 186 163,37-106-1,-21 103-246,-31 66 858,-1 1 0,0 1 1,6 0-1,10-16 0,-16 19 152,6 0 0,0 0-1,-6 1 1,21-8 0,-26 12 260,6 1 1,-6-1 0,5 1 0,0-1 0,-5 0-1,6 1 1,-1 0 0,-5 0 0,5 1 0,1-1-1,-6 1 1,5 0 0,0 0 0,-5 0 0,5 0 0,6 1-1,-11-1 7,0 0 0,0 1-1,5-1 1,-5 0-1,0 1 1,0-1 0,0 1-1,6-1 1,-6 2-1,0-1 1,0-1 0,0 1-1,5 0 1,-5 0-1,0-1 1,0 1 0,0 0-1,0 0 1,0 0-1,0 0 1,0 0 0,5 0-1,-5 0 1,0 1-1,0 11 276,6 0 0,-6 1-1,5 1 1,-5 0-1,0-3 1,0 2-1,-11 23 1,11-21-261,-5 2 0,0-1 0,-1-1 0,-4 0 0,4 0 0,-15 19 0,5-15-48,0 0 0,1 1 0,-38 31 1,42-42-39,-5-1 0,5 0 1,-15 7-1,21-13-25,-1 0 0,1-1 0,0 2 0,-1-2-1,1 0 1,0-1 0,-1 1 0,1-1 0,0 0 0,-11 0-1,16-1-68,-5 0 0,5 0-1,-6 0 1,6-1-1,0 1 1,-5 0 0,5-1-1,-5 1 1,5-1-1,0 0 1,-6 0 0,6 1-1,0-1 1,-5 0-1,5 0 1,0-1 0,0 1-1,-5-1 1,5 1-1,0-1 1,0 1 0,-5-3-1,5 0-787,-6 0 0,6 0 0,0 0 0,-5 0 0,5-1 0,-5-6 0,5-36-13443</inkml:trace>
  <inkml:trace contextRef="#ctx0" brushRef="#br0" timeOffset="18">10982 886 8810,'0'0'9046,"37"-4"-8669,128-18-231,-144 18-61,-5-1 0,5 0 0,0-1 0,-5-1 0,5 0 0,-5-2 0,21-12 0,-31 18-19,15-8 269,-5 0-1,5-1 0,-5-1 1,26-23-1,-36 29-244,4-1 0,-5 1 0,1 1 0,-1-2 0,0 0 0,1 0 0,-1 0 0,-5-1 0,5 0 0,-5 1 0,6 0 0,-1-15 0,-5 16-56,0-1-6,0 1-1,0-1 1,0 1-1,0 0 0,0-1 1,0 1-1,0-10 1,0 17-24,-5-1 0,5 1 1,0-1-1,0 0 0,0 0 0,-6 1 1,6-1-1,0 0 0,0 1 0,0-1 1,0 1-1,-5-1 0,5 1 1,0-1-1,0 1 0,0 0 0,-5-1 1,5 1-1,0 0 0,0 0 0,-6 0 1,6 0-1,0 0 0,-31 3 309,25-2-244,1 1 0,0 0 0,-1 0 0,1-1 1,0 1-1,-1 1 0,6-1 0,-5 1 1,0 0-1,-1 1 0,6 0 0,-5-1 1,0 6-1,-6 4 251,1 1 0,-12 23 0,12-20 42,5 3 0,-6-1 0,6-1 0,-1 2 0,1 0 0,0 0 0,5 27 0,-6-42-276,6 0 1,0 0-1,6 0 1,-6 0-1,0 0 1,0 0-1,0 0 0,0 0 1,5 0-1,-5 0 1,5 5-1,1-7-69,-6-1 0,0 0-1,5 2 1,-5-2 0,5 0-1,-5 0 1,6-1-1,-1 1 1,-5-1 0,5 1-1,-5-1 1,5 1-1,-5-1 1,6 0 0,-1 0-1,-5-1 1,5 1 0,6 0-1,5 1-118,5-1-1,0 0 0,1-1 1,-7-1-1,7-1 0,-6 0 1,37-8-1,-16 1-1634,0-4 0,58-25 0,-21 3-5082</inkml:trace>
  <inkml:trace contextRef="#ctx0" brushRef="#br0" timeOffset="19">11884 712 10642,'0'0'14489,"26"-8"-14184,91-30-169,-112 37-134,-5 0 1,5-1-1,1 0 0,-6 1 0,5-1 0,-5 0 1,5 0-1,-5-1 0,6 1 0,-6-2 1,5 2-1,-5-1 0,5 0 0,0-4 1,-5 4-4,0 0 1,6 0 0,-6 1 0,0-1 0,0 0-1,0 0 1,0-1 0,0 0 0,0-3 0,0 0 0,0 6-6,0 0 0,0 0 0,0 0-1,0 0 1,0 0 0,0 0 0,0 0 0,0 0-1,0 0 1,0 1 0,0-1 0,0 0 0,0 0-1,0 0 1,0 0 0,-6 0 0,6 1 0,0-1-1,0 0 1,0 0 0,0 1 0,0-1 0,-5 0-1,5 1 1,0-1 0,0 0 0,0 1 4,-5-1 1,5 1 0,-5 0 0,5 0-1,0 0 1,-6 0 0,6 0-1,-5 1 1,5-1 0,0 1 0,0-1-1,-5 1 1,5 0 0,-11 3 68,0 0 1,6 1 0,-6-1-1,6 2 1,0 0 0,-6-1-1,6 1 1,-11 11 0,16-16-62,-16 14 174,0 2 1,6-1 0,-6 0 0,5 3 0,-10 18 0,16-24-12,-1 1 0,1 0 0,0 0 0,-1 1-1,6-1 1,-5 1 0,5 24 0,0-33-110,0 0-1,0 1 1,0-1-1,5 11 1,-5-14-54,0-1-1,0 1 0,0-1 1,0 0-1,6 0 1,-6 0-1,0 0 1,5-1-1,-5 0 1,0 1-1,5 0 0,-5-1 1,0 1-1,6-1 1,-1 3-1,0-2-10,1 0 0,-1 0 0,0 0 0,0 0 0,1-1 0,4 0 0,6 1 0,48 0-182,-43-2 111,-5 0-60,0 0 0,0-1 1,0-1-1,0 0 1,0-1-1,-1 0 0,1-1 1,0-1-1,0 0 0,21-9 1,0-7-1268,43-28 0,-6-5-3885,-10 3-3846</inkml:trace>
  <inkml:trace contextRef="#ctx0" brushRef="#br0" timeOffset="20">12764 649 16628,'0'0'3231,"-21"-20"-3156,21 20-75,-22-24 63,-41-30 0,63 51-24,-6 0-1,1 1 1,0 0-1,0 0 1,5 0-1,-6 0 0,1 1 1,0-1-1,-1 0 1,1 1-1,5 1 1,-5-1-1,-1 0 1,1 1-1,0 0 1,-1 0-1,1 0 0,0 1 1,5 0-1,-5-1 1,-1 1-1,1 1 1,-6 2-1,1-1 82,4 1 0,-4 0 0,-1 0 0,6-1 0,-6 2-1,1 0 1,4 1 0,1 0 0,-5 0 0,-6 15 0,5-10 156,0-1 1,6 1-1,-6 1 1,6 0-1,0 0 1,-11 20-1,16-24-85,-5-1 0,5 2 0,0-1 0,0 0 0,-6-1 0,6 2 0,6 14 1,-6-22-171,0 1 1,0 0 0,0-1-1,0 1 1,0-1 0,0 1 0,0-1-1,5 1 1,-5-1 0,0 1 0,0-1-1,5 0 1,-5 1 0,0-1 0,0 0-1,0 0 1,6 0 0,-6 0 0,0 0-1,5 0 1,-5 0 0,0 0 0,5-1-1,-5 1 1,0-1 0,5 1-1,1 0 1,-1 0-2,6 0 0,-1 0 0,1-1 0,10 0 0,0-1-4,-10 1-10,0 0-1,-1-1 1,1-1 0,5 0 0,-6 0 0,1-1 0,-1 0 0,1 0 0,10-7 0,-5 1-39,0 1 0,0-2 0,0-1 0,0 2 0,10-18 0,1 2-295,-6 0 1,0-2-1,1 0 1,-1-3-1,-5 2 1,5-2 0,-11 1-1,28-63 1,-23 38-259,1-1 0,-5 1 0,-6-2 0,6-81 0,-11 134 564,0 1 0,0-1 0,0 1 1,0-1-1,-5 1 0,5 0 1,0 0-1,0-5 0,0 6 28,0 1 0,-6-1 0,6 1 0,0 0 0,0-1 0,0 1 0,0 0 0,0 0 0,0-1 0,0 1 0,0 0 0,0 0 0,-5 0 0,5 0 0,0-1 0,0 1 0,0 0 0,0 0 0,0 0 0,0 0 0,-5 0 0,5 0 0,0 0 0,0 1 0,0-1 0,0 0 0,0 0 0,0 0 0,0 0 0,0 1 0,-6-1 0,6 0 0,0 1 0,0-1 0,0 0 0,0 1 0,0-1 0,0 1 0,-5 1 129,0 1-1,5 1 1,-6-2-1,1 0 0,5 2 1,-5-1-1,0 0 1,5 1-1,0-1 0,-6 1 1,1 5-1,-6 9 428,-5 24 0,1 11 280,-1 1-1,-6 82 1,12 111 328,15-229-1165,-5 2 0,0-1-1,5-1 1,1 1-1,-1 0 1,0-1 0,1 1-1,15 21 1,-21-33-105,5 0 0,0 0 0,1-1 1,-1 1-1,0-1 0,1 0 0,-1 0 1,0 0-1,6-1 0,5 7 0,-11-7-563,6-2-1,-1 1 0,-4-1 1,4 0-1,1 0 1,-6-1-1,6 0 0,-1-1 1,17 1-1,21 0-7418</inkml:trace>
  <inkml:trace contextRef="#ctx0" brushRef="#br0" timeOffset="21">13289 1429 8194,'0'0'11005,"0"0"-9893,-133-1 5964,-259 3-4742,286 4-1962,-37 0-64,-22-7-299,-132 1 936,6 20 398,100-1-1309,-218 2 1,346-21-35,-340 13 0,270 3 0,-233 14 0,202-28 0,-324 19 0,27 5 0,-64-26 0,408 5 0,-138 21 0,-84 6 0,-138-34 0,-197 8 0,430 6 0,-275-19 0,-218-5 0,710 12 0,-5 1-2,6 0 0,-6 2-1,-32 7 1,75-11-1420,5 1 0,10 1 1,6 0-4518,5-1-10414</inkml:trace>
  <inkml:trace contextRef="#ctx0" brushRef="#br0" timeOffset="22">5419 2233 7562,'0'0'16629,"-5"18"-15568,-11 36-557,-42 130 1471,42-118-599,-5 97 0,15 71 908,1-180-3417,5-42 473,0-1 1,0 2-1,0-1 0,0 19 0,0-31 590,0 0 0,0 1 0,0-1 0,0 0 0,0 0 0,0 0-1,0 0 1,0 1 0,0-1 0,0 0 0,0 0 0,0 0 0,0 0 0,0 0-1,0 1 1,0-1 0,0 0 0,0 0 0,5 0 0,-5 0 0,0 0 0,0 0-1,0 0 1,0 0 0,0 0 0,0 0 0,0 0 0,0 0 0,0 0 0,0 0-1,0 0 1,0 0 0,0 0 0,0 0 0,0 0 0,0 0 0,0 0-1,0 0 1,0 0 0,0 0 0,27-2-5426,5-5-2153</inkml:trace>
  <inkml:trace contextRef="#ctx0" brushRef="#br0" timeOffset="23">6210 2695 8570,'0'0'14867,"-133"0"-14027,96 4-512,-6 0-328,6-4-752,16 0-3289,0 0-5713</inkml:trace>
  <inkml:trace contextRef="#ctx0" brushRef="#br0" timeOffset="24">6146 2505 16131,'0'0'9883,"0"155"-9395,-5-105-440,5-7-48,0-1-1345,0-13-3880,0-8-8954</inkml:trace>
  <inkml:trace contextRef="#ctx0" brushRef="#br0" timeOffset="25">8951 2732 16724,'0'0'16043,"0"30"-16043,0-26-1024,0-1-1321,0 7-4024</inkml:trace>
  <inkml:trace contextRef="#ctx0" brushRef="#br0" timeOffset="26">10006 2217 3545,'0'0'14291,"-212"135"-13467,159-76 1224,5 21 841,11 16-480,21 14-809,16 8-624,6-1-584,47-6-392,16-18-272,10-18-656,17-2-1201,-17-24-3688,-20-19-4945</inkml:trace>
  <inkml:trace contextRef="#ctx0" brushRef="#br0" timeOffset="27">10590 2351 15067,'0'0'6234,"10"26"-3525,38 92-449,-27-49-530,-10-46-716,-1 2 1,12 24 0,-22-49-1021,0 0 0,0 0 1,0 1-1,0-1 0,0 0 1,0 0-1,5 1 0,-5-1 0,0 0 1,0 0-1,0 0 0,0 1 0,0-1 1,0 0-1,0 0 0,0 0 0,0 0 1,0 2-1,0-2 0,0 0 0,0 0 1,0 0-1,0 0 0,0 0 0,0 0 1,0 0-1,5 0 0,-5 0 0,0 0 1,0 0-1,0 0 0,0 0 0,0 0 1,0 0-1,0 0 0,0 0 1,0 0-1,0 0 0,0 0 0,0 0 1,0 0-1,0-2 0,0 2 0,0 0 1,0 0-1,0 0 0,0 0 0,0-1 1,0 1-1,6 0 0,-6 0 0,0 0 1,0-1-1,0 1 0,0 0 0,0 0 1,0 0-1,0-1 0,0 1 0,10-19-83,-10 16 80,154-255 59,-143 239-197,-1 3-475,-5 2 0,6-2 0,5 3 0,-11-1 0,32-23 0,-31 36 423,-6 0 0,0 0 0,0 0 0,0 1 0,5-1 0,-5 1 0,0 0 0,0-1 0,0 0 0,5 1-1,-5 0 1,0-1 0,6 1 0,-6-1 0,0 1 39,0 0 0,5 0-1,-5 1 1,0-1 0,0 0 0,0 0-1,0 0 1,0 1 0,0-1 0,5 0 0,-5 0-1,0 1 1,0-1 0,0 0 0,0 1-1,0-1 1,0 0 0,0 0 0,0 0-1,0 1 1,0-1 0,0 1 0,0-1-1,0 1 1,5 4-788,-5 0 0,0 0-1,0 0 1,6 1 0,-6 7 0,0-13 937,0 49-8060</inkml:trace>
  <inkml:trace contextRef="#ctx0" brushRef="#br0" timeOffset="28">11157 2906 11618,'0'0'9595,"-186"17"-8483,96-4-480,-10-9-632,9 0-72,-15-4-2337,27 0-3368,26 0-6185</inkml:trace>
  <inkml:trace contextRef="#ctx0" brushRef="#br0" timeOffset="29">10897 3200 12579,'0'0'5738,"-37"5"-4591,-101 22 52,133-25-1006,0 0 0,-6 0-1,6 1 1,-6 0 0,-5 6-1,11-7 17,5 1 0,-5-1-1,-1 1 1,6 0-1,-10 6 1,4 0 189,6-8-332,-5 3 198,5-2 0,-5 2-1,5 0 1,-6 0 0,1 4-1,5-7-228,0-1 0,0 1 0,0 0 0,0-1-1,0 1 1,0 0 0,0-1 0,0 1-1,0 0 1,0 0 0,0-1 0,0 1-1,0 0 1,0-1 0,0 1 0,0 0-1,0-1 1,0 1 0,0 0 0,0-1-1,0 1 1,0 0 0,0-1 0,0 1 0,0-1-1,5 1 1,-5-1 0,0 1 0,0-1-1,0 1 1,0-1 0,0 1 0,0-1-1,6 1 1,-6-1 0,0 0 0,0 1-1,0-1 1,0 0 0,0 0 0,0 0-1,5 1 1,-5-1 0,32 7-173,-6-2 0,59 2 1,64-6-2440,-117-1 1516,74 0-8165,-80 0 1201</inkml:trace>
  <inkml:trace contextRef="#ctx0" brushRef="#br0" timeOffset="30">11507 2204 9458,'0'0'14987,"64"242"-12106,-38-124-1393,-10 4-472,-11 4-351,-5 4-353,-21 2-184,-32-10-128,-37-9-504,-16-16-481,-53 5-575,26-26-2993,27-14-10898</inkml:trace>
  <inkml:trace contextRef="#ctx0" brushRef="#br0" timeOffset="31">11915 2551 13355,'0'0'7775,"-5"-6"-8022,0 1 237,5 0-1,-6 0 1,1 0-1,5 0 1,-5 0-1,5-1 1,0 2-1,-5-10 1,5-1-3,-6-1 0,6-21 0,0 20 19,0 0 0,0 0 0,6 0 1,-6 0-1,5-1 0,0 2 0,0 0 1,17-31-1,-1 9 33,48-60 0,-59 82-119,6 2 0,-5 1 0,5 1 0,0-2 0,0 3 0,26-17 0,-37 25 228,1 1 0,-6-1-1,5 1 1,0 1-1,1-1 1,-1 1 0,0-1-1,0 1 1,1 0 0,-1 1-1,0-1 1,6 1-1,-11 9 1226,0-7-1335,0 2-1,0-1 1,0 0 0,0 0 0,-5-1 0,5 1 0,0 0 0,-6-1 0,6 1-1,0-1 1,0 0 0,-5 1 0,5-1 0,-5 0 0,5 0 0,-6 0 0,6 0-1,-5 0 1,0 2 0,-11 5-150,0-1 0,-26 8 0,26-8-93,10-6 194,1 0-273,0 0 0,0 1 0,-1-1 0,-4 7-1,10-9 236,-6 1 1,6 0-1,0 0 0,0-1 0,0 1 0,0 1 0,-5-1 0,5 0 0,0 0 0,0 0 0,0 0 0,0 0 0,0-1 0,0 1 0,0 0 0,0 1 0,0-1 0,0 0 0,0-1 0,0 1 0,0 0 0,0 0 0,0 0 0,0 0 0,0 0 1,0 0-1,0 0 0,0 0 0,0 0 0,0 0 0,0 1 0,5 1 54,-5-1 0,6 1-1,-6 0 1,5-1 0,0 0 0,-5 1 0,6-1 0,-1 0 0,-5 0 0,5-1 0,0 1-1,6 2 1,-6-2 12,54 17 254,-28-9 482,49 24-1,-80-34-705,5 1 0,-5-1 0,0 1 0,0 1 0,6-2 0,-6 1 0,0 0 0,0 0 0,0 0 0,0 0 0,0 0 0,5 0 0,-5 0 0,0 0 0,0 0 0,0 1 0,0-1-19,0 0 0,0 0 0,0 0-1,0 0 1,0-1 0,0 0 0,0 1 0,0 0 0,0 0 0,0 0-1,0 0 1,0-1 0,0 1 0,0 0 0,-5 0 0,5-1 0,0 1-1,0 0 1,0-1 0,0 1 0,0 0 0,0-1 0,-6 1-1,6-1 1,0 1 0,-16 8 26,1 0-1,-1-1 1,-6-1 0,6-1-1,-31 7 1,15-6-345,0-1-1,-53 4 1,85-10 285,-21-1-1617,21 1 1359,0 0 0,0-1 0,0 1 0,0 0 0,0-1 0,0 1 0,-5 0 0,5-1 0,0 1 1,0-1-1,0 1 0,0-1 0,0 1 0,0-1 0,0 1 0,0-2 0,0 2 0,0-1 0,0 1 0,0-1 0,0 1 1,0-1-1,0 0 0,0 1 0,0-1 0,0-18-11681</inkml:trace>
  <inkml:trace contextRef="#ctx0" brushRef="#br0" timeOffset="32">7859 2539 17268,'0'0'5798,"-16"22"-4872,-5 5-480,-11 15 523,-37 39-1,11-13 435,-139 107 0,192-170-1384,0 0-1,-6 0 1,6-1 0,-22 8-1,27-11-26,-5-1 1,5 1-1,-5 0 0,5-1 0,0 1 0,-6-1 0,6 0 1,-5 0-1,5 0 0,0 0 0,-11 0 0,11 0-5,0-1 0,0 1 0,-5 0 0,5-1 0,0 1 0,0-1 0,0 0 0,-5 1 0,5-1 0,0 0 0,0 0 0,0 1 0,-5-1 0,5 0 0,0 0 0,0 0 0,0 0 0,0 0 0,0 0 0,0 0 0,-6-2 0,6-6-129,-5-1-1,5-2 1,0 2 0,0 0-1,0-18 1,0 14 24,0-7-36,0 1 0,0-1 1,11-27-1,-11 41 100,5-1 0,-5 0-1,5 0 1,0 1 0,-5-1 0,6 0-1,-1 1 1,0 1 0,1 0 0,-1-1 0,11-8-1,-16 14 55,5-1 0,-5 1 0,0 0-1,5-1 1,-5 0 0,6 1-1,-6 0 1,0 0 0,5 0 0,-5 1-1,5-1 1,-5 0 0,0 1-1,6-1 1,-1 1 0,-5 0 15,5 0 0,-5 0 0,0 1 0,6-1 0,-6 1 0,0-1 0,0 1 0,5-1 0,-5 1 0,0 0 0,5 0 0,-5 0 0,0-1 0,0 2 0,6-1 0,-6 2 0,5 4 41,0-1 1,0 1-1,1 0 0,-1-1 1,-5 1-1,11 14 1,-1 11 21,1 5-34,10 0-1,-5-1 1,26 41 0,-31-67-118,-6-2 0,1 1-1,4 0 1,1-1 0,-6 1-1,6-1 1,-1-1 0,1 0 0,0-2-1,-1 1 1,22 9 0,-11-6-1129,43 10 1,26-3-4517,27-4-8237,-112-12 13405</inkml:trace>
</inkml:ink>
</file>

<file path=xl/persons/person.xml><?xml version="1.0" encoding="utf-8"?>
<personList xmlns="http://schemas.microsoft.com/office/spreadsheetml/2018/threadedcomments" xmlns:x="http://schemas.openxmlformats.org/spreadsheetml/2006/main">
  <person displayName="Cody Hawkins" id="{0FA3F9E9-7EDC-4B08-861B-C7C689D748E4}" userId="chawkins@olsson.com" providerId="PeoplePicker"/>
  <person displayName="Karla Diaz-Corro" id="{7AA5407F-DD3B-4037-885B-9B8747AFB354}" userId="kdiazcorro@olsson.com" providerId="PeoplePicker"/>
  <person displayName="Derick Millican" id="{7DB8E17A-4A6F-4F3B-BA1F-4A240FCDB5B8}" userId="S::dmillican@olsson.com::11a44a4c-1ba8-42ef-af2b-e95cb9dfa056" providerId="AD"/>
  <person displayName="Kyle McLaughlin" id="{7D1CB553-680C-49E2-92FD-18E1476960B8}" userId="S::kmclaughlin@olsson.com::6aeffca5-72f6-43b1-9f7b-6663cfb2e6d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1FBF497-400B-44B5-A8D6-6EF6D8CE30F6}" name="EmissionCost" displayName="EmissionCost" ref="B11:F41" totalsRowShown="0" headerRowDxfId="7" dataDxfId="5" headerRowBorderDxfId="6" headerRowCellStyle="Table Header" dataCellStyle="Normal">
  <tableColumns count="5">
    <tableColumn id="1" xr3:uid="{E460F98A-1BCE-4FBC-945C-8BDCF360EC3B}" name="Year" dataDxfId="4" dataCellStyle="Normal"/>
    <tableColumn id="2" xr3:uid="{47652CE3-4B48-47B9-AE34-AA16C78D44CA}" name="NOx" dataDxfId="3" dataCellStyle="Comma"/>
    <tableColumn id="3" xr3:uid="{66741F78-8808-4B99-AB73-66AE97A68A27}" name="SOx" dataDxfId="2" dataCellStyle="Comma"/>
    <tableColumn id="4" xr3:uid="{DB09AFE6-25DE-489B-B864-ABB9A27CBA23}" name="PM2.5" dataDxfId="1" dataCellStyle="Comma"/>
    <tableColumn id="5" xr3:uid="{0385F17B-1E18-45E8-A809-E618A8B96856}" name="CO2" dataDxfId="0" dataCellStyle="Comma"/>
  </tableColumns>
  <tableStyleInfo name="Table Style 1" showFirstColumn="0" showLastColumn="0" showRowStripes="1" showColumnStripes="0"/>
</table>
</file>

<file path=xl/theme/theme1.xml><?xml version="1.0" encoding="utf-8"?>
<a:theme xmlns:a="http://schemas.openxmlformats.org/drawingml/2006/main" name="HDR_WordTheme">
  <a:themeElements>
    <a:clrScheme name="HDR_WORD-BrandingBright">
      <a:dk1>
        <a:sysClr val="windowText" lastClr="000000"/>
      </a:dk1>
      <a:lt1>
        <a:sysClr val="window" lastClr="FFFFFF"/>
      </a:lt1>
      <a:dk2>
        <a:srgbClr val="54585A"/>
      </a:dk2>
      <a:lt2>
        <a:srgbClr val="A8A99E"/>
      </a:lt2>
      <a:accent1>
        <a:srgbClr val="4298B5"/>
      </a:accent1>
      <a:accent2>
        <a:srgbClr val="C8102E"/>
      </a:accent2>
      <a:accent3>
        <a:srgbClr val="CA005D"/>
      </a:accent3>
      <a:accent4>
        <a:srgbClr val="FF8200"/>
      </a:accent4>
      <a:accent5>
        <a:srgbClr val="FFC600"/>
      </a:accent5>
      <a:accent6>
        <a:srgbClr val="78BE20"/>
      </a:accent6>
      <a:hlink>
        <a:srgbClr val="00549F"/>
      </a:hlink>
      <a:folHlink>
        <a:srgbClr val="6B1F7C"/>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1"/>
        </a:solidFill>
        <a:ln>
          <a:noFill/>
        </a:ln>
      </a:spPr>
      <a:bodyPr rtlCol="0" anchor="ctr"/>
      <a:lstStyle/>
      <a:style>
        <a:lnRef idx="2">
          <a:schemeClr val="accent1">
            <a:shade val="50000"/>
          </a:schemeClr>
        </a:lnRef>
        <a:fillRef idx="1">
          <a:schemeClr val="accent1"/>
        </a:fillRef>
        <a:effectRef idx="0">
          <a:schemeClr val="accent1"/>
        </a:effectRef>
        <a:fontRef idx="minor">
          <a:schemeClr val="lt1"/>
        </a:fontRef>
      </a:style>
    </a:spDef>
    <a:txDef>
      <a:spPr>
        <a:noFill/>
        <a:ln w="6350">
          <a:noFill/>
        </a:ln>
        <a:effectLst/>
      </a:spPr>
      <a:bodyPr wrap="square" rtlCol="0"/>
      <a:lstStyle/>
      <a:style>
        <a:lnRef idx="0">
          <a:schemeClr val="accent1"/>
        </a:lnRef>
        <a:fillRef idx="0">
          <a:schemeClr val="accent1"/>
        </a:fillRef>
        <a:effectRef idx="0">
          <a:schemeClr val="accent1"/>
        </a:effectRef>
        <a:fontRef idx="minor">
          <a:schemeClr val="dk1"/>
        </a:fontRef>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8" dT="2023-08-10T19:55:17.20" personId="{7D1CB553-680C-49E2-92FD-18E1476960B8}" id="{6A041048-87F6-4343-BC36-15F40F3A9963}">
    <text>@Cody Hawkins @Karla Diaz-Corro - need to confirm these years (and all data here) accurate- greatly impacts calculation sheets</text>
    <mentions>
      <mention mentionpersonId="{0FA3F9E9-7EDC-4B08-861B-C7C689D748E4}" mentionId="{1566FD34-7BD5-40A1-B545-85A6E02DF551}" startIndex="0" length="13"/>
      <mention mentionpersonId="{7AA5407F-DD3B-4037-885B-9B8747AFB354}" mentionId="{8254D922-E7C3-4A12-B360-AE0FEC23B655}" startIndex="14" length="17"/>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B26" dT="2023-08-14T17:03:48.69" personId="{7DB8E17A-4A6F-4F3B-BA1F-4A240FCDB5B8}" id="{BDE2E946-7340-4912-8BA7-9B1F5045837D}">
    <text>Need to make this ours.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6.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cmfclearinghouse.org/study_detail.php?stid=183" TargetMode="External"/><Relationship Id="rId7" Type="http://schemas.openxmlformats.org/officeDocument/2006/relationships/hyperlink" Target="https://www.cmfclearinghouse.org/detail.php?facid=325" TargetMode="External"/><Relationship Id="rId2" Type="http://schemas.openxmlformats.org/officeDocument/2006/relationships/hyperlink" Target="https://www.cmfclearinghouse.org/study_detail.php?stid=510" TargetMode="External"/><Relationship Id="rId1" Type="http://schemas.openxmlformats.org/officeDocument/2006/relationships/hyperlink" Target="https://www.cmfclearinghouse.org/study_detail.php?stid=13" TargetMode="External"/><Relationship Id="rId6" Type="http://schemas.openxmlformats.org/officeDocument/2006/relationships/hyperlink" Target="https://www.cmfclearinghouse.org/detail.php?facid=7570" TargetMode="External"/><Relationship Id="rId5" Type="http://schemas.openxmlformats.org/officeDocument/2006/relationships/hyperlink" Target="https://www.cmfclearinghouse.org/detail.php?facid=7570" TargetMode="External"/><Relationship Id="rId4" Type="http://schemas.openxmlformats.org/officeDocument/2006/relationships/hyperlink" Target="https://www.cmfclearinghouse.org/detail.php?facid=7570"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cmfclearinghouse.org/study_detail.php?stid=183" TargetMode="External"/><Relationship Id="rId7" Type="http://schemas.openxmlformats.org/officeDocument/2006/relationships/hyperlink" Target="https://www.cmfclearinghouse.org/detail.php?facid=325" TargetMode="External"/><Relationship Id="rId2" Type="http://schemas.openxmlformats.org/officeDocument/2006/relationships/hyperlink" Target="https://www.cmfclearinghouse.org/study_detail.php?stid=510" TargetMode="External"/><Relationship Id="rId1" Type="http://schemas.openxmlformats.org/officeDocument/2006/relationships/hyperlink" Target="https://www.cmfclearinghouse.org/study_detail.php?stid=13" TargetMode="External"/><Relationship Id="rId6" Type="http://schemas.openxmlformats.org/officeDocument/2006/relationships/hyperlink" Target="https://www.cmfclearinghouse.org/detail.php?facid=7570" TargetMode="External"/><Relationship Id="rId5" Type="http://schemas.openxmlformats.org/officeDocument/2006/relationships/hyperlink" Target="https://www.cmfclearinghouse.org/detail.php?facid=7570" TargetMode="External"/><Relationship Id="rId4" Type="http://schemas.openxmlformats.org/officeDocument/2006/relationships/hyperlink" Target="https://www.cmfclearinghouse.org/detail.php?facid=757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C0A42-9E4E-45D8-A126-9C872F465BB5}">
  <sheetPr codeName="Sheet9"/>
  <dimension ref="B4:R27"/>
  <sheetViews>
    <sheetView showGridLines="0" topLeftCell="A6" workbookViewId="0">
      <selection activeCell="E26" sqref="E26"/>
    </sheetView>
  </sheetViews>
  <sheetFormatPr defaultColWidth="9" defaultRowHeight="14.25" x14ac:dyDescent="0.2"/>
  <cols>
    <col min="1" max="16384" width="9" style="43"/>
  </cols>
  <sheetData>
    <row r="4" spans="2:12" ht="18" x14ac:dyDescent="0.2">
      <c r="B4" s="1260" t="s">
        <v>215</v>
      </c>
      <c r="C4" s="1260"/>
      <c r="D4" s="1260"/>
      <c r="E4" s="1260"/>
      <c r="F4" s="1260"/>
      <c r="G4" s="1260"/>
      <c r="H4" s="1260"/>
      <c r="I4" s="1260"/>
      <c r="J4" s="1260"/>
      <c r="K4" s="1260"/>
      <c r="L4" s="1260"/>
    </row>
    <row r="5" spans="2:12" ht="18" x14ac:dyDescent="0.2">
      <c r="B5" s="1260" t="s">
        <v>271</v>
      </c>
      <c r="C5" s="1260"/>
      <c r="D5" s="1260"/>
      <c r="E5" s="1260"/>
      <c r="F5" s="1260"/>
      <c r="G5" s="1260"/>
      <c r="H5" s="1260"/>
      <c r="I5" s="1260"/>
      <c r="J5" s="1260"/>
      <c r="K5" s="1260"/>
      <c r="L5" s="1260"/>
    </row>
    <row r="6" spans="2:12" ht="18" x14ac:dyDescent="0.2">
      <c r="B6" s="1260" t="s">
        <v>270</v>
      </c>
      <c r="C6" s="1260"/>
      <c r="D6" s="1260"/>
      <c r="E6" s="1260"/>
      <c r="F6" s="1260"/>
      <c r="G6" s="1260"/>
      <c r="H6" s="1260"/>
      <c r="I6" s="1260"/>
      <c r="J6" s="1260"/>
      <c r="K6" s="1260"/>
      <c r="L6" s="1260"/>
    </row>
    <row r="7" spans="2:12" ht="18" x14ac:dyDescent="0.2">
      <c r="B7" s="1261">
        <v>45159</v>
      </c>
      <c r="C7" s="1261"/>
      <c r="D7" s="1261"/>
      <c r="E7" s="1261"/>
      <c r="F7" s="1261"/>
      <c r="G7" s="1261"/>
      <c r="H7" s="1261"/>
      <c r="I7" s="1261"/>
      <c r="J7" s="1261"/>
      <c r="K7" s="1261"/>
      <c r="L7" s="1261"/>
    </row>
    <row r="14" spans="2:12" ht="15.75" x14ac:dyDescent="0.25">
      <c r="B14" s="1262"/>
      <c r="C14" s="1262"/>
      <c r="E14" s="188"/>
    </row>
    <row r="15" spans="2:12" x14ac:dyDescent="0.2">
      <c r="B15" s="190"/>
      <c r="C15" s="190"/>
      <c r="D15" s="190"/>
      <c r="E15" s="190"/>
      <c r="F15" s="190"/>
      <c r="G15" s="190"/>
      <c r="H15" s="190"/>
      <c r="I15" s="190"/>
      <c r="J15" s="190"/>
      <c r="K15" s="190"/>
      <c r="L15" s="190"/>
    </row>
    <row r="16" spans="2:12" x14ac:dyDescent="0.2">
      <c r="B16" s="190"/>
      <c r="C16" s="190"/>
      <c r="D16" s="190"/>
      <c r="E16" s="190"/>
      <c r="F16" s="190"/>
      <c r="G16" s="190"/>
      <c r="H16" s="190"/>
      <c r="I16" s="190"/>
      <c r="J16" s="190"/>
      <c r="K16" s="190"/>
      <c r="L16" s="190"/>
    </row>
    <row r="17" spans="2:18" x14ac:dyDescent="0.2">
      <c r="B17" s="190"/>
      <c r="C17" s="190"/>
      <c r="D17" s="190"/>
      <c r="E17" s="190"/>
      <c r="F17" s="190"/>
      <c r="G17" s="190"/>
      <c r="H17" s="190"/>
      <c r="I17" s="190"/>
      <c r="J17" s="190"/>
      <c r="K17" s="190"/>
      <c r="L17" s="190"/>
    </row>
    <row r="18" spans="2:18" x14ac:dyDescent="0.2">
      <c r="B18" s="190"/>
      <c r="C18" s="190"/>
      <c r="D18" s="190"/>
      <c r="E18" s="190"/>
      <c r="F18" s="190"/>
      <c r="G18" s="190"/>
      <c r="H18" s="190"/>
      <c r="I18" s="190"/>
      <c r="J18" s="190"/>
      <c r="K18" s="190"/>
      <c r="L18" s="190"/>
      <c r="P18"/>
    </row>
    <row r="19" spans="2:18" x14ac:dyDescent="0.2">
      <c r="B19" s="190"/>
      <c r="C19" s="190"/>
      <c r="D19" s="190"/>
      <c r="E19" s="190"/>
      <c r="F19" s="190"/>
      <c r="G19" s="190"/>
      <c r="H19" s="190"/>
      <c r="I19" s="190"/>
      <c r="J19" s="190"/>
      <c r="K19" s="190"/>
      <c r="L19" s="190"/>
      <c r="R19"/>
    </row>
    <row r="20" spans="2:18" x14ac:dyDescent="0.2">
      <c r="B20" s="190"/>
      <c r="C20" s="190"/>
      <c r="D20" s="190"/>
      <c r="E20" s="190"/>
      <c r="F20" s="190"/>
      <c r="G20" s="190"/>
      <c r="H20" s="190"/>
      <c r="I20" s="190"/>
      <c r="J20" s="190"/>
      <c r="K20" s="190"/>
      <c r="L20" s="190"/>
    </row>
    <row r="21" spans="2:18" x14ac:dyDescent="0.2">
      <c r="B21" s="190"/>
      <c r="C21" s="190"/>
      <c r="D21" s="190"/>
      <c r="E21" s="190"/>
      <c r="F21" s="190"/>
      <c r="G21" s="190"/>
      <c r="H21" s="190"/>
      <c r="I21" s="190"/>
      <c r="J21" s="190"/>
      <c r="K21" s="190"/>
      <c r="L21" s="190"/>
    </row>
    <row r="22" spans="2:18" x14ac:dyDescent="0.2">
      <c r="B22" s="190"/>
      <c r="C22" s="190"/>
      <c r="D22" s="190"/>
      <c r="E22" s="190"/>
      <c r="F22" s="190"/>
      <c r="G22" s="190"/>
      <c r="H22" s="190"/>
      <c r="I22" s="190"/>
      <c r="J22" s="190"/>
      <c r="K22" s="190"/>
      <c r="L22" s="190"/>
    </row>
    <row r="23" spans="2:18" x14ac:dyDescent="0.2">
      <c r="B23" s="190"/>
      <c r="C23" s="190"/>
      <c r="D23" s="190"/>
      <c r="E23" s="190"/>
      <c r="F23" s="190"/>
      <c r="G23" s="190"/>
      <c r="H23" s="190"/>
      <c r="I23" s="190"/>
      <c r="J23" s="190"/>
      <c r="K23" s="190"/>
      <c r="L23" s="190"/>
    </row>
    <row r="24" spans="2:18" x14ac:dyDescent="0.2">
      <c r="B24" s="190"/>
      <c r="C24" s="190"/>
      <c r="D24" s="190"/>
      <c r="E24" s="190"/>
      <c r="F24" s="190"/>
      <c r="G24" s="190"/>
      <c r="H24" s="190"/>
      <c r="I24" s="190"/>
      <c r="J24" s="190"/>
      <c r="K24" s="190"/>
      <c r="L24" s="190"/>
    </row>
    <row r="25" spans="2:18" x14ac:dyDescent="0.2">
      <c r="B25" s="190"/>
      <c r="C25" s="190"/>
      <c r="D25" s="190"/>
      <c r="E25" s="190"/>
      <c r="F25" s="190"/>
      <c r="G25" s="190"/>
      <c r="H25" s="190"/>
      <c r="I25" s="190"/>
      <c r="J25" s="190"/>
      <c r="K25" s="190"/>
      <c r="L25" s="190"/>
    </row>
    <row r="26" spans="2:18" x14ac:dyDescent="0.2">
      <c r="B26" s="190"/>
      <c r="C26" s="190"/>
      <c r="D26" s="190"/>
      <c r="E26" s="190"/>
      <c r="F26" s="190"/>
      <c r="G26" s="190"/>
      <c r="H26" s="190"/>
      <c r="I26" s="190"/>
      <c r="J26" s="190"/>
      <c r="K26" s="190"/>
      <c r="L26" s="190"/>
    </row>
    <row r="27" spans="2:18" x14ac:dyDescent="0.2">
      <c r="B27" s="189"/>
      <c r="C27" s="189"/>
      <c r="D27" s="189"/>
      <c r="E27" s="189"/>
      <c r="F27" s="189"/>
      <c r="G27" s="189"/>
      <c r="H27" s="189"/>
      <c r="I27" s="189"/>
      <c r="J27" s="189"/>
      <c r="K27" s="189"/>
      <c r="L27" s="189"/>
    </row>
  </sheetData>
  <mergeCells count="5">
    <mergeCell ref="B4:L4"/>
    <mergeCell ref="B5:L5"/>
    <mergeCell ref="B6:L6"/>
    <mergeCell ref="B7:L7"/>
    <mergeCell ref="B14:C1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A48B7-B7A4-4A8B-AE41-0047E8CA06D8}">
  <sheetPr>
    <tabColor theme="9" tint="-0.249977111117893"/>
  </sheetPr>
  <dimension ref="A2:AI111"/>
  <sheetViews>
    <sheetView showGridLines="0" topLeftCell="A38" zoomScale="90" zoomScaleNormal="90" workbookViewId="0">
      <selection activeCell="J61" sqref="J61"/>
    </sheetView>
  </sheetViews>
  <sheetFormatPr defaultColWidth="10.625" defaultRowHeight="21.95" customHeight="1" x14ac:dyDescent="0.2"/>
  <cols>
    <col min="1" max="1" width="3.375" customWidth="1"/>
    <col min="2" max="2" width="30" customWidth="1"/>
    <col min="3" max="3" width="29.875" style="2" customWidth="1"/>
    <col min="4" max="4" width="15.625" style="28" customWidth="1"/>
    <col min="5" max="7" width="13.75" style="28" customWidth="1"/>
    <col min="8" max="8" width="13.75" style="12" customWidth="1"/>
    <col min="9" max="9" width="14.5" style="12" customWidth="1"/>
    <col min="10" max="20" width="13.75" style="12" customWidth="1"/>
    <col min="21" max="35" width="12.25" style="12" customWidth="1"/>
    <col min="36" max="46" width="12.25" customWidth="1"/>
  </cols>
  <sheetData>
    <row r="2" spans="1:18" ht="23.25" x14ac:dyDescent="0.2">
      <c r="B2" s="562" t="s">
        <v>102</v>
      </c>
      <c r="C2"/>
    </row>
    <row r="4" spans="1:18" ht="21.95" customHeight="1" x14ac:dyDescent="0.2">
      <c r="A4" s="192"/>
      <c r="B4" s="193" t="s">
        <v>0</v>
      </c>
    </row>
    <row r="5" spans="1:18" ht="21.95" customHeight="1" x14ac:dyDescent="0.2">
      <c r="C5"/>
    </row>
    <row r="6" spans="1:18" ht="21.95" customHeight="1" thickBot="1" x14ac:dyDescent="0.25">
      <c r="B6" s="194" t="s">
        <v>267</v>
      </c>
      <c r="D6" s="2"/>
    </row>
    <row r="7" spans="1:18" ht="45" x14ac:dyDescent="0.2">
      <c r="B7" s="832" t="s">
        <v>61</v>
      </c>
      <c r="C7" s="759" t="s">
        <v>160</v>
      </c>
      <c r="D7" s="899" t="s">
        <v>196</v>
      </c>
      <c r="E7" s="759" t="s">
        <v>162</v>
      </c>
      <c r="F7" s="759" t="s">
        <v>163</v>
      </c>
      <c r="G7" s="899" t="s">
        <v>197</v>
      </c>
      <c r="H7" s="900" t="s">
        <v>169</v>
      </c>
      <c r="I7" s="900" t="s">
        <v>170</v>
      </c>
      <c r="J7" s="761" t="s">
        <v>89</v>
      </c>
      <c r="K7" s="1115"/>
      <c r="L7" s="1115"/>
      <c r="M7" s="1115"/>
      <c r="N7" s="1115"/>
      <c r="O7" s="1115"/>
      <c r="P7" s="1115"/>
      <c r="Q7" s="1115"/>
      <c r="R7" s="1115"/>
    </row>
    <row r="8" spans="1:18" ht="21.95" customHeight="1" x14ac:dyDescent="0.2">
      <c r="B8" s="888" t="str">
        <f>'Project Cost Data'!B9</f>
        <v>US-412/SH-412B Interchange</v>
      </c>
      <c r="C8" s="847">
        <f>'Project Cost Data'!D9</f>
        <v>28100000</v>
      </c>
      <c r="D8" s="847">
        <f>'Project Cost Data'!E9</f>
        <v>1686000</v>
      </c>
      <c r="E8" s="893">
        <f>'Project Cost Data'!F9</f>
        <v>2529000</v>
      </c>
      <c r="F8" s="847">
        <f>'Project Cost Data'!G9</f>
        <v>562000</v>
      </c>
      <c r="G8" s="847">
        <f>'Project Cost Data'!H9</f>
        <v>1405000</v>
      </c>
      <c r="H8" s="893">
        <f>SUM(C8:D8)</f>
        <v>29786000</v>
      </c>
      <c r="I8" s="847">
        <f>SUM(E8:G8)</f>
        <v>4496000</v>
      </c>
      <c r="J8" s="848">
        <f>I8+H8</f>
        <v>34282000</v>
      </c>
      <c r="K8" s="847"/>
      <c r="L8" s="847"/>
      <c r="M8" s="847"/>
      <c r="N8" s="847"/>
      <c r="O8" s="847"/>
      <c r="P8" s="847"/>
      <c r="Q8" s="847"/>
      <c r="R8" s="847"/>
    </row>
    <row r="9" spans="1:18" ht="21.95" customHeight="1" x14ac:dyDescent="0.2">
      <c r="B9" s="888" t="str">
        <f>'Project Cost Data'!B10</f>
        <v>SH-412B South Widening</v>
      </c>
      <c r="C9" s="847">
        <f>'Project Cost Data'!D10</f>
        <v>14375000</v>
      </c>
      <c r="D9" s="847">
        <f>'Project Cost Data'!E10</f>
        <v>862500</v>
      </c>
      <c r="E9" s="893">
        <f>'Project Cost Data'!F10</f>
        <v>1293750</v>
      </c>
      <c r="F9" s="847">
        <f>'Project Cost Data'!G10</f>
        <v>0</v>
      </c>
      <c r="G9" s="847">
        <f>'Project Cost Data'!H10</f>
        <v>718750</v>
      </c>
      <c r="H9" s="893">
        <f t="shared" ref="H9:H18" si="0">SUM(C9:D9)</f>
        <v>15237500</v>
      </c>
      <c r="I9" s="847">
        <f>SUM(E9:G9)</f>
        <v>2012500</v>
      </c>
      <c r="J9" s="848">
        <f t="shared" ref="J9:J18" si="1">I9+H9</f>
        <v>17250000</v>
      </c>
      <c r="K9" s="847"/>
      <c r="L9" s="847"/>
      <c r="M9" s="847"/>
      <c r="N9" s="847"/>
      <c r="O9" s="847"/>
      <c r="P9" s="847"/>
      <c r="Q9" s="847"/>
      <c r="R9" s="847"/>
    </row>
    <row r="10" spans="1:18" ht="21.95" customHeight="1" x14ac:dyDescent="0.2">
      <c r="B10" s="888" t="str">
        <f>'Project Cost Data'!B11</f>
        <v>SH-412B Roundabout</v>
      </c>
      <c r="C10" s="847">
        <f>'Project Cost Data'!D11</f>
        <v>5600000</v>
      </c>
      <c r="D10" s="847">
        <f>'Project Cost Data'!E11</f>
        <v>336000</v>
      </c>
      <c r="E10" s="893">
        <f>'Project Cost Data'!F11</f>
        <v>504000</v>
      </c>
      <c r="F10" s="847">
        <f>'Project Cost Data'!G11</f>
        <v>0</v>
      </c>
      <c r="G10" s="847">
        <f>'Project Cost Data'!H11</f>
        <v>280000</v>
      </c>
      <c r="H10" s="893">
        <f t="shared" si="0"/>
        <v>5936000</v>
      </c>
      <c r="I10" s="847">
        <f>SUM(E10:G10)</f>
        <v>784000</v>
      </c>
      <c r="J10" s="848">
        <f t="shared" si="1"/>
        <v>6720000</v>
      </c>
      <c r="K10" s="847"/>
      <c r="L10" s="847"/>
      <c r="M10" s="847"/>
      <c r="N10" s="847"/>
      <c r="O10" s="847"/>
      <c r="P10" s="847"/>
      <c r="Q10" s="847"/>
      <c r="R10" s="847"/>
    </row>
    <row r="11" spans="1:18" ht="21.95" customHeight="1" x14ac:dyDescent="0.2">
      <c r="B11" s="888" t="str">
        <f>'Project Cost Data'!B12</f>
        <v>Patrol Road Improvements</v>
      </c>
      <c r="C11" s="847">
        <f>'Project Cost Data'!D12</f>
        <v>10800000</v>
      </c>
      <c r="D11" s="847">
        <f>'Project Cost Data'!E12</f>
        <v>648000</v>
      </c>
      <c r="E11" s="893">
        <f>'Project Cost Data'!F12</f>
        <v>972000</v>
      </c>
      <c r="F11" s="847">
        <f>'Project Cost Data'!G12</f>
        <v>0</v>
      </c>
      <c r="G11" s="847">
        <f>'Project Cost Data'!H12</f>
        <v>540000</v>
      </c>
      <c r="H11" s="893">
        <f>SUM(C11:D11)</f>
        <v>11448000</v>
      </c>
      <c r="I11" s="847">
        <f>SUM(E11:G11)</f>
        <v>1512000</v>
      </c>
      <c r="J11" s="848">
        <f>I11+H11</f>
        <v>12960000</v>
      </c>
      <c r="K11" s="847"/>
      <c r="L11" s="847"/>
      <c r="M11" s="847"/>
      <c r="N11" s="847"/>
      <c r="O11" s="847"/>
      <c r="P11" s="847"/>
      <c r="Q11" s="847"/>
      <c r="R11" s="847"/>
    </row>
    <row r="12" spans="1:18" ht="21.95" customHeight="1" x14ac:dyDescent="0.2">
      <c r="B12" s="888" t="str">
        <f>'Project Cost Data'!B13</f>
        <v>Williams Street Improvements</v>
      </c>
      <c r="C12" s="847">
        <f>'Project Cost Data'!D13</f>
        <v>13600000</v>
      </c>
      <c r="D12" s="847">
        <f>'Project Cost Data'!E13</f>
        <v>816000</v>
      </c>
      <c r="E12" s="893">
        <f>'Project Cost Data'!F13</f>
        <v>1224000</v>
      </c>
      <c r="F12" s="847">
        <f>'Project Cost Data'!G13</f>
        <v>0</v>
      </c>
      <c r="G12" s="847">
        <f>'Project Cost Data'!H13</f>
        <v>680000</v>
      </c>
      <c r="H12" s="893">
        <f>SUM(C12:D12)</f>
        <v>14416000</v>
      </c>
      <c r="I12" s="847">
        <f>SUM(E12:G12)</f>
        <v>1904000</v>
      </c>
      <c r="J12" s="848">
        <f t="shared" ref="J12" si="2">I12+H12</f>
        <v>16320000</v>
      </c>
      <c r="K12" s="847"/>
      <c r="L12" s="847"/>
      <c r="M12" s="847"/>
      <c r="N12" s="847"/>
      <c r="O12" s="847"/>
      <c r="P12" s="847"/>
      <c r="Q12" s="847"/>
      <c r="R12" s="847"/>
    </row>
    <row r="13" spans="1:18" ht="21.95" customHeight="1" x14ac:dyDescent="0.2">
      <c r="B13" s="784" t="s">
        <v>360</v>
      </c>
      <c r="C13" s="853">
        <f>SUM(C8:C12)</f>
        <v>72475000</v>
      </c>
      <c r="D13" s="853">
        <f>SUM(D8:D12)</f>
        <v>4348500</v>
      </c>
      <c r="E13" s="894">
        <f t="shared" ref="E13:G13" si="3">SUM(E8:E12)</f>
        <v>6522750</v>
      </c>
      <c r="F13" s="853">
        <f t="shared" si="3"/>
        <v>562000</v>
      </c>
      <c r="G13" s="853">
        <f t="shared" si="3"/>
        <v>3623750</v>
      </c>
      <c r="H13" s="894">
        <f>SUM(H8:H12)</f>
        <v>76823500</v>
      </c>
      <c r="I13" s="853">
        <f>SUM(I8:I12)</f>
        <v>10708500</v>
      </c>
      <c r="J13" s="866">
        <f>SUM(J8:J12)</f>
        <v>87532000</v>
      </c>
      <c r="K13" s="853"/>
      <c r="L13" s="853"/>
      <c r="M13" s="853"/>
      <c r="N13" s="853"/>
      <c r="O13" s="853"/>
      <c r="P13" s="853"/>
      <c r="Q13" s="853"/>
      <c r="R13" s="853"/>
    </row>
    <row r="14" spans="1:18" ht="21.95" customHeight="1" x14ac:dyDescent="0.2">
      <c r="B14" s="492"/>
      <c r="C14" s="847"/>
      <c r="D14" s="847"/>
      <c r="E14" s="893"/>
      <c r="F14" s="847"/>
      <c r="G14" s="847"/>
      <c r="H14" s="893"/>
      <c r="I14" s="847"/>
      <c r="J14" s="848"/>
      <c r="K14" s="847"/>
      <c r="L14" s="847"/>
      <c r="M14" s="847"/>
      <c r="N14" s="847"/>
      <c r="O14" s="847"/>
      <c r="P14" s="847"/>
      <c r="Q14" s="847"/>
      <c r="R14" s="847"/>
    </row>
    <row r="15" spans="1:18" ht="21.95" customHeight="1" x14ac:dyDescent="0.2">
      <c r="B15" s="888" t="str">
        <f>'Project Cost Data'!B14</f>
        <v>SH-412B North Reconstruction</v>
      </c>
      <c r="C15" s="847">
        <f>'Project Cost Data'!D14</f>
        <v>7675000</v>
      </c>
      <c r="D15" s="847">
        <f>'Project Cost Data'!E14</f>
        <v>460500</v>
      </c>
      <c r="E15" s="893">
        <f>'Project Cost Data'!F14</f>
        <v>690750</v>
      </c>
      <c r="F15" s="847">
        <f>'Project Cost Data'!G14</f>
        <v>0</v>
      </c>
      <c r="G15" s="847">
        <f>'Project Cost Data'!H14</f>
        <v>383750</v>
      </c>
      <c r="H15" s="893">
        <f t="shared" ref="H15" si="4">SUM(C15:D15)</f>
        <v>8135500</v>
      </c>
      <c r="I15" s="847">
        <f t="shared" ref="I15" si="5">SUM(E15:G15)</f>
        <v>1074500</v>
      </c>
      <c r="J15" s="848">
        <f t="shared" ref="J15" si="6">I15+H15</f>
        <v>9210000</v>
      </c>
      <c r="K15" s="847"/>
      <c r="L15" s="847"/>
      <c r="M15" s="847"/>
      <c r="N15" s="847"/>
      <c r="O15" s="847"/>
      <c r="P15" s="847"/>
      <c r="Q15" s="847"/>
      <c r="R15" s="847"/>
    </row>
    <row r="16" spans="1:18" ht="21.95" customHeight="1" x14ac:dyDescent="0.2">
      <c r="B16" s="888" t="str">
        <f>'Project Cost Data'!B15</f>
        <v>US-69 / Main Street Intersection</v>
      </c>
      <c r="C16" s="847">
        <f>'Project Cost Data'!D15</f>
        <v>400000</v>
      </c>
      <c r="D16" s="847">
        <f>'Project Cost Data'!E15</f>
        <v>24000</v>
      </c>
      <c r="E16" s="893">
        <f>'Project Cost Data'!F15</f>
        <v>36000</v>
      </c>
      <c r="F16" s="847">
        <f>'Project Cost Data'!G15</f>
        <v>0</v>
      </c>
      <c r="G16" s="847">
        <f>'Project Cost Data'!H15</f>
        <v>20000</v>
      </c>
      <c r="H16" s="893">
        <f t="shared" si="0"/>
        <v>424000</v>
      </c>
      <c r="I16" s="847">
        <f t="shared" ref="I16:I18" si="7">SUM(E16:G16)</f>
        <v>56000</v>
      </c>
      <c r="J16" s="848">
        <f t="shared" si="1"/>
        <v>480000</v>
      </c>
      <c r="K16" s="847"/>
      <c r="L16" s="847"/>
      <c r="M16" s="847"/>
      <c r="N16" s="847"/>
      <c r="O16" s="847"/>
      <c r="P16" s="847"/>
      <c r="Q16" s="847"/>
      <c r="R16" s="847"/>
    </row>
    <row r="17" spans="1:35" ht="21.95" customHeight="1" x14ac:dyDescent="0.2">
      <c r="B17" s="888" t="str">
        <f>'Project Cost Data'!B16</f>
        <v>Zarrow Street Widening</v>
      </c>
      <c r="C17" s="847">
        <f>'Project Cost Data'!D16</f>
        <v>6340000</v>
      </c>
      <c r="D17" s="847">
        <f>'Project Cost Data'!E16</f>
        <v>380400</v>
      </c>
      <c r="E17" s="893">
        <f>'Project Cost Data'!F16</f>
        <v>570600</v>
      </c>
      <c r="F17" s="847">
        <f>'Project Cost Data'!G16</f>
        <v>0</v>
      </c>
      <c r="G17" s="847">
        <f>'Project Cost Data'!H16</f>
        <v>317000</v>
      </c>
      <c r="H17" s="893">
        <f t="shared" si="0"/>
        <v>6720400</v>
      </c>
      <c r="I17" s="847">
        <f t="shared" si="7"/>
        <v>887600</v>
      </c>
      <c r="J17" s="848">
        <f t="shared" si="1"/>
        <v>7608000</v>
      </c>
      <c r="K17" s="847"/>
      <c r="L17" s="847"/>
      <c r="M17" s="847"/>
      <c r="N17" s="847"/>
      <c r="O17" s="847"/>
      <c r="P17" s="847"/>
      <c r="Q17" s="847"/>
      <c r="R17" s="847"/>
    </row>
    <row r="18" spans="1:35" ht="21.95" customHeight="1" x14ac:dyDescent="0.2">
      <c r="B18" s="888" t="str">
        <f>'Project Cost Data'!B17</f>
        <v>Rocket Road Improvements</v>
      </c>
      <c r="C18" s="847">
        <f>'Project Cost Data'!D17</f>
        <v>6700000</v>
      </c>
      <c r="D18" s="847">
        <f>'Project Cost Data'!E17</f>
        <v>402000</v>
      </c>
      <c r="E18" s="893">
        <f>'Project Cost Data'!F17</f>
        <v>603000</v>
      </c>
      <c r="F18" s="847">
        <f>'Project Cost Data'!G17</f>
        <v>0</v>
      </c>
      <c r="G18" s="847">
        <f>'Project Cost Data'!H17</f>
        <v>335000</v>
      </c>
      <c r="H18" s="893">
        <f t="shared" si="0"/>
        <v>7102000</v>
      </c>
      <c r="I18" s="847">
        <f t="shared" si="7"/>
        <v>938000</v>
      </c>
      <c r="J18" s="848">
        <f t="shared" si="1"/>
        <v>8040000</v>
      </c>
      <c r="K18" s="847"/>
      <c r="L18" s="847"/>
      <c r="M18" s="847"/>
      <c r="N18" s="847"/>
      <c r="O18" s="847"/>
      <c r="P18" s="847"/>
      <c r="Q18" s="847"/>
      <c r="R18" s="847"/>
    </row>
    <row r="19" spans="1:35" ht="21.95" customHeight="1" thickBot="1" x14ac:dyDescent="0.25">
      <c r="B19" s="895" t="s">
        <v>25</v>
      </c>
      <c r="C19" s="858">
        <f>SUM(C8:C12)+SUM(C15:C18)</f>
        <v>93590000</v>
      </c>
      <c r="D19" s="858">
        <f t="shared" ref="D19:J19" si="8">SUM(D8:D12)+SUM(D15:D18)</f>
        <v>5615400</v>
      </c>
      <c r="E19" s="896">
        <f t="shared" si="8"/>
        <v>8423100</v>
      </c>
      <c r="F19" s="858">
        <f t="shared" si="8"/>
        <v>562000</v>
      </c>
      <c r="G19" s="858">
        <f t="shared" si="8"/>
        <v>4679500</v>
      </c>
      <c r="H19" s="896">
        <f t="shared" si="8"/>
        <v>99205400</v>
      </c>
      <c r="I19" s="858">
        <f t="shared" si="8"/>
        <v>13664600</v>
      </c>
      <c r="J19" s="869">
        <f t="shared" si="8"/>
        <v>112870000</v>
      </c>
      <c r="K19" s="853"/>
      <c r="L19" s="853"/>
      <c r="M19" s="853"/>
      <c r="N19" s="853"/>
      <c r="O19" s="853"/>
      <c r="P19" s="853"/>
      <c r="Q19" s="853"/>
      <c r="R19" s="853"/>
    </row>
    <row r="20" spans="1:35" ht="21.95" customHeight="1" x14ac:dyDescent="0.2">
      <c r="B20" s="109" t="s">
        <v>319</v>
      </c>
      <c r="C20"/>
    </row>
    <row r="21" spans="1:35" ht="21.95" customHeight="1" x14ac:dyDescent="0.2">
      <c r="A21" s="14"/>
      <c r="B21" s="15"/>
      <c r="C21" s="966"/>
    </row>
    <row r="22" spans="1:35" ht="21.95" customHeight="1" x14ac:dyDescent="0.2">
      <c r="B22" s="12"/>
      <c r="C22" s="28"/>
      <c r="Y22"/>
      <c r="Z22"/>
      <c r="AA22"/>
      <c r="AB22"/>
      <c r="AC22"/>
      <c r="AD22"/>
      <c r="AE22"/>
      <c r="AF22"/>
      <c r="AG22"/>
      <c r="AH22"/>
      <c r="AI22"/>
    </row>
    <row r="23" spans="1:35" ht="21.95" customHeight="1" thickBot="1" x14ac:dyDescent="0.25">
      <c r="B23" s="194" t="s">
        <v>167</v>
      </c>
    </row>
    <row r="24" spans="1:35" ht="21.95" customHeight="1" x14ac:dyDescent="0.2">
      <c r="B24" s="573" t="s">
        <v>88</v>
      </c>
      <c r="C24" s="482" t="s">
        <v>61</v>
      </c>
      <c r="D24" s="248">
        <v>2021</v>
      </c>
      <c r="E24" s="248">
        <f>D24+1</f>
        <v>2022</v>
      </c>
      <c r="F24" s="248">
        <f>E24+1</f>
        <v>2023</v>
      </c>
      <c r="G24" s="248">
        <f>F24+1</f>
        <v>2024</v>
      </c>
      <c r="H24" s="248">
        <f>G24+1</f>
        <v>2025</v>
      </c>
      <c r="I24" s="248">
        <f>H24+1</f>
        <v>2026</v>
      </c>
      <c r="J24" s="248">
        <f t="shared" ref="J24" si="9">I24+1</f>
        <v>2027</v>
      </c>
      <c r="K24" s="248">
        <f>J24+1</f>
        <v>2028</v>
      </c>
      <c r="L24" s="248">
        <f t="shared" ref="L24:M24" si="10">K24+1</f>
        <v>2029</v>
      </c>
      <c r="M24" s="248">
        <f t="shared" si="10"/>
        <v>2030</v>
      </c>
      <c r="N24" s="248">
        <f t="shared" ref="N24:O24" si="11">M24+1</f>
        <v>2031</v>
      </c>
      <c r="O24" s="248">
        <f t="shared" si="11"/>
        <v>2032</v>
      </c>
      <c r="P24" s="248">
        <f t="shared" ref="P24:Q24" si="12">O24+1</f>
        <v>2033</v>
      </c>
      <c r="Q24" s="248">
        <f t="shared" si="12"/>
        <v>2034</v>
      </c>
      <c r="R24" s="248">
        <f t="shared" ref="R24:S24" si="13">Q24+1</f>
        <v>2035</v>
      </c>
      <c r="S24" s="248">
        <f t="shared" si="13"/>
        <v>2036</v>
      </c>
      <c r="T24" s="248">
        <f t="shared" ref="T24:U24" si="14">S24+1</f>
        <v>2037</v>
      </c>
      <c r="U24" s="248">
        <f t="shared" si="14"/>
        <v>2038</v>
      </c>
      <c r="V24" s="248">
        <f t="shared" ref="V24:W24" si="15">U24+1</f>
        <v>2039</v>
      </c>
      <c r="W24" s="248">
        <f t="shared" si="15"/>
        <v>2040</v>
      </c>
      <c r="X24" s="248">
        <f t="shared" ref="X24:Y24" si="16">W24+1</f>
        <v>2041</v>
      </c>
      <c r="Y24" s="248">
        <f t="shared" si="16"/>
        <v>2042</v>
      </c>
      <c r="Z24" s="248">
        <f t="shared" ref="Z24:AA24" si="17">Y24+1</f>
        <v>2043</v>
      </c>
      <c r="AA24" s="248">
        <f t="shared" si="17"/>
        <v>2044</v>
      </c>
      <c r="AB24" s="248">
        <f t="shared" ref="AB24:AC24" si="18">AA24+1</f>
        <v>2045</v>
      </c>
      <c r="AC24" s="248">
        <f t="shared" si="18"/>
        <v>2046</v>
      </c>
      <c r="AD24" s="248">
        <f t="shared" ref="AD24:AE24" si="19">AC24+1</f>
        <v>2047</v>
      </c>
      <c r="AE24" s="498">
        <f t="shared" si="19"/>
        <v>2048</v>
      </c>
    </row>
    <row r="25" spans="1:35" ht="21.95" customHeight="1" x14ac:dyDescent="0.2">
      <c r="B25" s="489" t="s">
        <v>165</v>
      </c>
      <c r="C25" s="220" t="str">
        <f>'Project Cost Data'!B9</f>
        <v>US-412/SH-412B Interchange</v>
      </c>
      <c r="D25" s="220"/>
      <c r="E25" s="897">
        <f>1/3</f>
        <v>0.33333333333333331</v>
      </c>
      <c r="F25" s="897">
        <f>1/3</f>
        <v>0.33333333333333331</v>
      </c>
      <c r="G25" s="897">
        <f>1/3</f>
        <v>0.33333333333333331</v>
      </c>
      <c r="H25" s="229"/>
      <c r="I25" s="229"/>
      <c r="J25" s="897"/>
      <c r="K25" s="897"/>
      <c r="L25" s="897"/>
      <c r="M25" s="897"/>
      <c r="N25" s="897"/>
      <c r="O25" s="897"/>
      <c r="P25" s="897"/>
      <c r="Q25" s="897"/>
      <c r="R25" s="897"/>
      <c r="S25" s="1113"/>
      <c r="T25" s="1113"/>
      <c r="U25" s="1113"/>
      <c r="V25" s="1113"/>
      <c r="W25" s="1113"/>
      <c r="X25" s="1113"/>
      <c r="Y25" s="1113"/>
      <c r="Z25" s="1113"/>
      <c r="AA25" s="1113"/>
      <c r="AB25" s="1113"/>
      <c r="AC25" s="1113"/>
      <c r="AD25" s="1113"/>
      <c r="AE25" s="1114"/>
    </row>
    <row r="26" spans="1:35" ht="21.95" customHeight="1" x14ac:dyDescent="0.2">
      <c r="B26" s="492"/>
      <c r="C26" s="116" t="str">
        <f>'Project Cost Data'!B10</f>
        <v>SH-412B South Widening</v>
      </c>
      <c r="D26" s="116"/>
      <c r="E26" s="437"/>
      <c r="F26" s="437">
        <v>0.5</v>
      </c>
      <c r="G26" s="437">
        <v>0.5</v>
      </c>
      <c r="H26" s="228"/>
      <c r="I26" s="228"/>
      <c r="J26" s="437"/>
      <c r="K26" s="437"/>
      <c r="L26" s="437"/>
      <c r="M26" s="437"/>
      <c r="N26" s="437"/>
      <c r="O26" s="437"/>
      <c r="P26" s="437"/>
      <c r="Q26" s="437"/>
      <c r="R26" s="437"/>
      <c r="AE26" s="1110"/>
    </row>
    <row r="27" spans="1:35" ht="21.95" customHeight="1" x14ac:dyDescent="0.2">
      <c r="B27" s="492"/>
      <c r="C27" s="116" t="str">
        <f>'Project Cost Data'!B11</f>
        <v>SH-412B Roundabout</v>
      </c>
      <c r="D27" s="116"/>
      <c r="E27" s="437"/>
      <c r="F27" s="437">
        <v>0.5</v>
      </c>
      <c r="G27" s="437">
        <v>0.5</v>
      </c>
      <c r="H27" s="228"/>
      <c r="I27" s="228"/>
      <c r="J27" s="437"/>
      <c r="K27" s="437"/>
      <c r="L27" s="437"/>
      <c r="M27" s="437"/>
      <c r="N27" s="437"/>
      <c r="O27" s="437"/>
      <c r="P27" s="437"/>
      <c r="Q27" s="437"/>
      <c r="R27" s="437"/>
      <c r="AE27" s="1110"/>
    </row>
    <row r="28" spans="1:35" ht="21.95" customHeight="1" x14ac:dyDescent="0.2">
      <c r="B28" s="492"/>
      <c r="C28" s="116" t="str">
        <f>'Project Cost Data'!B12</f>
        <v>Patrol Road Improvements</v>
      </c>
      <c r="D28" s="116"/>
      <c r="E28" s="437">
        <v>0.5</v>
      </c>
      <c r="F28" s="437">
        <v>0.5</v>
      </c>
      <c r="G28" s="437"/>
      <c r="H28" s="228"/>
      <c r="I28" s="228"/>
      <c r="J28" s="437"/>
      <c r="K28" s="437"/>
      <c r="L28" s="437"/>
      <c r="M28" s="437"/>
      <c r="N28" s="437"/>
      <c r="O28" s="437"/>
      <c r="P28" s="437"/>
      <c r="Q28" s="437"/>
      <c r="R28" s="437"/>
      <c r="AE28" s="1110"/>
    </row>
    <row r="29" spans="1:35" ht="21.95" customHeight="1" x14ac:dyDescent="0.2">
      <c r="B29" s="492"/>
      <c r="C29" s="116" t="str">
        <f>'Project Cost Data'!B13</f>
        <v>Williams Street Improvements</v>
      </c>
      <c r="D29" s="116"/>
      <c r="E29" s="437"/>
      <c r="F29" s="437">
        <v>0.5</v>
      </c>
      <c r="G29" s="437">
        <v>0.5</v>
      </c>
      <c r="H29" s="228"/>
      <c r="I29" s="228"/>
      <c r="J29" s="437"/>
      <c r="K29" s="437"/>
      <c r="L29" s="437"/>
      <c r="M29" s="437"/>
      <c r="N29" s="437"/>
      <c r="O29" s="437"/>
      <c r="P29" s="437"/>
      <c r="Q29" s="437"/>
      <c r="R29" s="437"/>
      <c r="AE29" s="1110"/>
    </row>
    <row r="30" spans="1:35" ht="21.95" customHeight="1" x14ac:dyDescent="0.2">
      <c r="B30" s="492"/>
      <c r="C30" s="116" t="str">
        <f>'Project Cost Data'!B14</f>
        <v>SH-412B North Reconstruction</v>
      </c>
      <c r="D30" s="116"/>
      <c r="E30" s="437">
        <v>0.5</v>
      </c>
      <c r="F30" s="437">
        <v>0.5</v>
      </c>
      <c r="G30" s="437"/>
      <c r="H30" s="228"/>
      <c r="I30" s="228"/>
      <c r="J30" s="437"/>
      <c r="K30" s="437"/>
      <c r="L30" s="437"/>
      <c r="M30" s="437"/>
      <c r="N30" s="437"/>
      <c r="O30" s="437"/>
      <c r="P30" s="437"/>
      <c r="Q30" s="437"/>
      <c r="R30" s="437"/>
      <c r="AE30" s="1110"/>
    </row>
    <row r="31" spans="1:35" ht="21.95" customHeight="1" x14ac:dyDescent="0.2">
      <c r="B31" s="492"/>
      <c r="C31" s="116" t="str">
        <f>'Project Cost Data'!B15</f>
        <v>US-69 / Main Street Intersection</v>
      </c>
      <c r="D31" s="116"/>
      <c r="E31" s="437"/>
      <c r="F31" s="437">
        <v>0.5</v>
      </c>
      <c r="G31" s="437">
        <v>0.5</v>
      </c>
      <c r="H31" s="228"/>
      <c r="I31" s="228"/>
      <c r="J31" s="437"/>
      <c r="K31" s="437"/>
      <c r="L31" s="437"/>
      <c r="M31" s="437"/>
      <c r="N31" s="437"/>
      <c r="O31" s="437"/>
      <c r="P31" s="437"/>
      <c r="Q31" s="437"/>
      <c r="R31" s="437"/>
      <c r="AE31" s="1110"/>
    </row>
    <row r="32" spans="1:35" ht="21.95" customHeight="1" x14ac:dyDescent="0.2">
      <c r="B32" s="492"/>
      <c r="C32" s="116" t="str">
        <f>'Project Cost Data'!B16</f>
        <v>Zarrow Street Widening</v>
      </c>
      <c r="D32" s="116"/>
      <c r="E32" s="437"/>
      <c r="F32" s="437">
        <v>0.5</v>
      </c>
      <c r="G32" s="437">
        <v>0.5</v>
      </c>
      <c r="H32" s="228"/>
      <c r="I32" s="228"/>
      <c r="J32" s="437"/>
      <c r="K32" s="437"/>
      <c r="L32" s="437"/>
      <c r="M32" s="437"/>
      <c r="N32" s="437"/>
      <c r="O32" s="437"/>
      <c r="P32" s="437"/>
      <c r="Q32" s="437"/>
      <c r="R32" s="437"/>
      <c r="AE32" s="1110"/>
    </row>
    <row r="33" spans="1:35" ht="21.95" customHeight="1" x14ac:dyDescent="0.2">
      <c r="B33" s="492"/>
      <c r="C33" s="116" t="str">
        <f>'Project Cost Data'!B17</f>
        <v>Rocket Road Improvements</v>
      </c>
      <c r="D33" s="116"/>
      <c r="E33" s="437"/>
      <c r="F33" s="437">
        <v>0.5</v>
      </c>
      <c r="G33" s="437">
        <v>0.5</v>
      </c>
      <c r="H33" s="228"/>
      <c r="I33" s="228"/>
      <c r="J33" s="437"/>
      <c r="K33" s="437"/>
      <c r="L33" s="437"/>
      <c r="M33" s="437"/>
      <c r="N33" s="437"/>
      <c r="O33" s="437"/>
      <c r="P33" s="437"/>
      <c r="Q33" s="437"/>
      <c r="R33" s="437"/>
      <c r="AE33" s="1110"/>
    </row>
    <row r="34" spans="1:35" ht="21.95" customHeight="1" x14ac:dyDescent="0.2">
      <c r="B34" s="489" t="s">
        <v>168</v>
      </c>
      <c r="C34" s="220" t="str">
        <f>'Project Cost Data'!B9</f>
        <v>US-412/SH-412B Interchange</v>
      </c>
      <c r="D34" s="220"/>
      <c r="E34" s="897"/>
      <c r="F34" s="897"/>
      <c r="G34" s="897"/>
      <c r="H34" s="897">
        <v>0.25</v>
      </c>
      <c r="I34" s="897">
        <v>0.25</v>
      </c>
      <c r="J34" s="897">
        <v>0.25</v>
      </c>
      <c r="K34" s="897">
        <v>0.25</v>
      </c>
      <c r="L34" s="897"/>
      <c r="M34" s="897"/>
      <c r="N34" s="897"/>
      <c r="O34" s="897"/>
      <c r="P34" s="897"/>
      <c r="Q34" s="897"/>
      <c r="R34" s="897"/>
      <c r="S34" s="1113"/>
      <c r="T34" s="1113"/>
      <c r="U34" s="1113"/>
      <c r="V34" s="1113"/>
      <c r="W34" s="1113"/>
      <c r="X34" s="1113"/>
      <c r="Y34" s="1113"/>
      <c r="Z34" s="1113"/>
      <c r="AA34" s="1113"/>
      <c r="AB34" s="1113"/>
      <c r="AC34" s="1113"/>
      <c r="AD34" s="1113"/>
      <c r="AE34" s="1114"/>
    </row>
    <row r="35" spans="1:35" ht="21.95" customHeight="1" x14ac:dyDescent="0.2">
      <c r="B35" s="492"/>
      <c r="C35" s="116" t="str">
        <f>'Project Cost Data'!B10</f>
        <v>SH-412B South Widening</v>
      </c>
      <c r="D35" s="116"/>
      <c r="E35" s="437"/>
      <c r="F35" s="437"/>
      <c r="G35" s="437"/>
      <c r="H35" s="437">
        <f t="shared" ref="H35:J35" si="20">1/3</f>
        <v>0.33333333333333331</v>
      </c>
      <c r="I35" s="437">
        <f t="shared" si="20"/>
        <v>0.33333333333333331</v>
      </c>
      <c r="J35" s="437">
        <f t="shared" si="20"/>
        <v>0.33333333333333331</v>
      </c>
      <c r="K35" s="437"/>
      <c r="L35" s="437"/>
      <c r="M35" s="437"/>
      <c r="N35" s="437"/>
      <c r="O35" s="437"/>
      <c r="P35" s="437"/>
      <c r="Q35" s="437"/>
      <c r="R35" s="437"/>
      <c r="AE35" s="1110"/>
    </row>
    <row r="36" spans="1:35" ht="21.95" customHeight="1" x14ac:dyDescent="0.2">
      <c r="B36" s="492"/>
      <c r="C36" s="116" t="str">
        <f>'Project Cost Data'!B11</f>
        <v>SH-412B Roundabout</v>
      </c>
      <c r="D36" s="116"/>
      <c r="E36" s="437"/>
      <c r="F36" s="437"/>
      <c r="G36" s="437"/>
      <c r="H36" s="437">
        <v>0.5</v>
      </c>
      <c r="I36" s="437">
        <v>0.5</v>
      </c>
      <c r="J36" s="437"/>
      <c r="K36" s="437"/>
      <c r="L36" s="437"/>
      <c r="M36" s="437"/>
      <c r="N36" s="437"/>
      <c r="O36" s="437"/>
      <c r="P36" s="437"/>
      <c r="Q36" s="437"/>
      <c r="R36" s="437"/>
      <c r="AE36" s="1110"/>
    </row>
    <row r="37" spans="1:35" ht="21.95" customHeight="1" x14ac:dyDescent="0.2">
      <c r="B37" s="492"/>
      <c r="C37" s="116" t="str">
        <f>'Project Cost Data'!B12</f>
        <v>Patrol Road Improvements</v>
      </c>
      <c r="D37" s="116"/>
      <c r="E37" s="437"/>
      <c r="F37" s="437"/>
      <c r="G37" s="437"/>
      <c r="H37" s="437">
        <v>0.5</v>
      </c>
      <c r="I37" s="437">
        <v>0.5</v>
      </c>
      <c r="J37" s="437"/>
      <c r="K37" s="437"/>
      <c r="L37" s="437"/>
      <c r="M37" s="437"/>
      <c r="N37" s="437"/>
      <c r="O37" s="437"/>
      <c r="P37" s="437"/>
      <c r="Q37" s="437"/>
      <c r="R37" s="437"/>
      <c r="AE37" s="1110"/>
    </row>
    <row r="38" spans="1:35" ht="21.95" customHeight="1" x14ac:dyDescent="0.2">
      <c r="B38" s="492"/>
      <c r="C38" s="116" t="str">
        <f>'Project Cost Data'!B13</f>
        <v>Williams Street Improvements</v>
      </c>
      <c r="D38" s="116"/>
      <c r="E38" s="437"/>
      <c r="F38" s="437"/>
      <c r="G38" s="437"/>
      <c r="H38" s="437">
        <f t="shared" ref="H38:I38" si="21">1/3</f>
        <v>0.33333333333333331</v>
      </c>
      <c r="I38" s="437">
        <f t="shared" si="21"/>
        <v>0.33333333333333331</v>
      </c>
      <c r="J38" s="437">
        <f>1/3</f>
        <v>0.33333333333333331</v>
      </c>
      <c r="K38" s="437"/>
      <c r="L38" s="437"/>
      <c r="M38" s="437"/>
      <c r="N38" s="437"/>
      <c r="O38" s="437"/>
      <c r="P38" s="437"/>
      <c r="Q38" s="437"/>
      <c r="R38" s="437"/>
      <c r="AE38" s="1110"/>
    </row>
    <row r="39" spans="1:35" ht="21.95" customHeight="1" x14ac:dyDescent="0.2">
      <c r="B39" s="492"/>
      <c r="C39" s="116" t="str">
        <f>'Project Cost Data'!B14</f>
        <v>SH-412B North Reconstruction</v>
      </c>
      <c r="D39" s="116"/>
      <c r="E39" s="437"/>
      <c r="F39" s="437"/>
      <c r="G39" s="437"/>
      <c r="H39" s="437">
        <v>0.5</v>
      </c>
      <c r="I39" s="437">
        <v>0.5</v>
      </c>
      <c r="J39" s="437"/>
      <c r="K39" s="437"/>
      <c r="L39" s="437"/>
      <c r="M39" s="437"/>
      <c r="N39" s="437"/>
      <c r="O39" s="437"/>
      <c r="P39" s="437"/>
      <c r="Q39" s="437"/>
      <c r="R39" s="437"/>
      <c r="AE39" s="1110"/>
    </row>
    <row r="40" spans="1:35" ht="21.95" customHeight="1" x14ac:dyDescent="0.2">
      <c r="B40" s="492"/>
      <c r="C40" s="116" t="str">
        <f>'Project Cost Data'!B15</f>
        <v>US-69 / Main Street Intersection</v>
      </c>
      <c r="D40" s="116"/>
      <c r="E40" s="437"/>
      <c r="F40" s="437"/>
      <c r="G40" s="437"/>
      <c r="H40" s="437"/>
      <c r="I40" s="437"/>
      <c r="J40" s="437">
        <v>1</v>
      </c>
      <c r="K40" s="437"/>
      <c r="L40" s="437"/>
      <c r="M40" s="437"/>
      <c r="N40" s="437"/>
      <c r="O40" s="437"/>
      <c r="P40" s="437"/>
      <c r="Q40" s="437"/>
      <c r="R40" s="437"/>
      <c r="AE40" s="1110"/>
    </row>
    <row r="41" spans="1:35" ht="21.95" customHeight="1" x14ac:dyDescent="0.2">
      <c r="B41" s="492"/>
      <c r="C41" s="116" t="str">
        <f>'Project Cost Data'!B16</f>
        <v>Zarrow Street Widening</v>
      </c>
      <c r="D41" s="116"/>
      <c r="E41" s="437"/>
      <c r="F41" s="437"/>
      <c r="G41" s="437"/>
      <c r="H41" s="437">
        <v>0.5</v>
      </c>
      <c r="I41" s="437">
        <v>0.5</v>
      </c>
      <c r="J41" s="437"/>
      <c r="K41" s="437"/>
      <c r="L41" s="437"/>
      <c r="M41" s="437"/>
      <c r="N41" s="437"/>
      <c r="O41" s="437"/>
      <c r="P41" s="437"/>
      <c r="Q41" s="437"/>
      <c r="R41" s="437"/>
      <c r="AE41" s="1110"/>
    </row>
    <row r="42" spans="1:35" ht="21.95" customHeight="1" thickBot="1" x14ac:dyDescent="0.25">
      <c r="B42" s="795"/>
      <c r="C42" s="278" t="str">
        <f>'Project Cost Data'!B17</f>
        <v>Rocket Road Improvements</v>
      </c>
      <c r="D42" s="278"/>
      <c r="E42" s="439"/>
      <c r="F42" s="439"/>
      <c r="G42" s="439"/>
      <c r="H42" s="439">
        <v>0.5</v>
      </c>
      <c r="I42" s="439">
        <v>0.5</v>
      </c>
      <c r="J42" s="439"/>
      <c r="K42" s="439"/>
      <c r="L42" s="439"/>
      <c r="M42" s="439"/>
      <c r="N42" s="439"/>
      <c r="O42" s="439"/>
      <c r="P42" s="439"/>
      <c r="Q42" s="439"/>
      <c r="R42" s="439"/>
      <c r="S42" s="1111"/>
      <c r="T42" s="1111"/>
      <c r="U42" s="1111"/>
      <c r="V42" s="1111"/>
      <c r="W42" s="1111"/>
      <c r="X42" s="1111"/>
      <c r="Y42" s="1111"/>
      <c r="Z42" s="1111"/>
      <c r="AA42" s="1111"/>
      <c r="AB42" s="1111"/>
      <c r="AC42" s="1111"/>
      <c r="AD42" s="1111"/>
      <c r="AE42" s="1112"/>
    </row>
    <row r="43" spans="1:35" ht="21.95" customHeight="1" x14ac:dyDescent="0.2">
      <c r="B43" s="191" t="s">
        <v>277</v>
      </c>
      <c r="H43"/>
      <c r="I43" s="28"/>
    </row>
    <row r="46" spans="1:35" ht="21.95" customHeight="1" x14ac:dyDescent="0.2">
      <c r="A46" s="192"/>
      <c r="B46" s="193" t="s">
        <v>103</v>
      </c>
    </row>
    <row r="48" spans="1:35" ht="21.95" customHeight="1" thickBot="1" x14ac:dyDescent="0.25">
      <c r="A48" s="14"/>
      <c r="B48" s="195" t="s">
        <v>268</v>
      </c>
      <c r="D48" s="2"/>
      <c r="Y48"/>
      <c r="Z48"/>
      <c r="AA48"/>
      <c r="AB48"/>
      <c r="AC48"/>
      <c r="AD48"/>
      <c r="AE48"/>
      <c r="AF48"/>
      <c r="AG48"/>
      <c r="AH48"/>
      <c r="AI48"/>
    </row>
    <row r="49" spans="1:35" ht="45" x14ac:dyDescent="0.2">
      <c r="B49" s="573" t="s">
        <v>61</v>
      </c>
      <c r="C49" s="482" t="s">
        <v>160</v>
      </c>
      <c r="D49" s="496" t="s">
        <v>196</v>
      </c>
      <c r="E49" s="482" t="s">
        <v>162</v>
      </c>
      <c r="F49" s="482" t="s">
        <v>163</v>
      </c>
      <c r="G49" s="496" t="s">
        <v>197</v>
      </c>
      <c r="H49" s="497" t="s">
        <v>169</v>
      </c>
      <c r="I49" s="497" t="s">
        <v>170</v>
      </c>
      <c r="J49" s="498" t="s">
        <v>89</v>
      </c>
      <c r="K49" s="1115"/>
      <c r="L49" s="1115"/>
      <c r="M49" s="1115"/>
      <c r="N49" s="1115"/>
      <c r="O49" s="1115"/>
      <c r="P49" s="1115"/>
      <c r="Q49" s="1115"/>
      <c r="R49" s="1115"/>
      <c r="Y49"/>
      <c r="Z49"/>
      <c r="AA49"/>
      <c r="AB49"/>
      <c r="AC49"/>
      <c r="AD49"/>
      <c r="AE49"/>
      <c r="AF49"/>
      <c r="AG49"/>
      <c r="AH49"/>
      <c r="AI49"/>
    </row>
    <row r="50" spans="1:35" s="4" customFormat="1" ht="21.95" customHeight="1" x14ac:dyDescent="0.2">
      <c r="A50"/>
      <c r="B50" s="489" t="str">
        <f>'Project Cost Data'!B9</f>
        <v>US-412/SH-412B Interchange</v>
      </c>
      <c r="C50" s="854">
        <f t="shared" ref="C50:J54" si="22">C8 * adjust2023to2021</f>
        <v>25195092.686932586</v>
      </c>
      <c r="D50" s="854">
        <f t="shared" si="22"/>
        <v>1511705.5612159551</v>
      </c>
      <c r="E50" s="898">
        <f t="shared" si="22"/>
        <v>2267558.3418239327</v>
      </c>
      <c r="F50" s="854">
        <f t="shared" si="22"/>
        <v>503901.85373865173</v>
      </c>
      <c r="G50" s="854">
        <f t="shared" si="22"/>
        <v>1259754.6343466293</v>
      </c>
      <c r="H50" s="898">
        <f t="shared" si="22"/>
        <v>26706798.248148542</v>
      </c>
      <c r="I50" s="854">
        <f t="shared" si="22"/>
        <v>4031214.8299092138</v>
      </c>
      <c r="J50" s="867">
        <f t="shared" si="22"/>
        <v>30738013.078057755</v>
      </c>
      <c r="K50" s="847"/>
      <c r="L50" s="847"/>
      <c r="M50" s="847"/>
      <c r="N50" s="847"/>
      <c r="O50" s="847"/>
      <c r="P50" s="847"/>
      <c r="Q50" s="847"/>
      <c r="R50" s="847"/>
      <c r="S50" s="13"/>
      <c r="T50" s="13"/>
      <c r="U50" s="13"/>
      <c r="V50" s="13"/>
      <c r="W50" s="13"/>
      <c r="X50" s="13"/>
    </row>
    <row r="51" spans="1:35" ht="21.95" customHeight="1" x14ac:dyDescent="0.2">
      <c r="B51" s="492" t="str">
        <f>'Project Cost Data'!B10</f>
        <v>SH-412B South Widening</v>
      </c>
      <c r="C51" s="847">
        <f t="shared" si="22"/>
        <v>12888948.661019783</v>
      </c>
      <c r="D51" s="847">
        <f t="shared" si="22"/>
        <v>773336.91966118698</v>
      </c>
      <c r="E51" s="893">
        <f t="shared" si="22"/>
        <v>1160005.3794917807</v>
      </c>
      <c r="F51" s="847">
        <f t="shared" si="22"/>
        <v>0</v>
      </c>
      <c r="G51" s="847">
        <f t="shared" si="22"/>
        <v>644447.43305098917</v>
      </c>
      <c r="H51" s="893">
        <f t="shared" si="22"/>
        <v>13662285.58068097</v>
      </c>
      <c r="I51" s="847">
        <f t="shared" si="22"/>
        <v>1804452.8125427698</v>
      </c>
      <c r="J51" s="848">
        <f t="shared" si="22"/>
        <v>15466738.39322374</v>
      </c>
      <c r="K51" s="847"/>
      <c r="L51" s="847"/>
      <c r="M51" s="847"/>
      <c r="N51" s="847"/>
      <c r="O51" s="847"/>
      <c r="P51" s="847"/>
      <c r="Q51" s="847"/>
      <c r="R51" s="847"/>
      <c r="Y51"/>
      <c r="Z51"/>
      <c r="AA51"/>
      <c r="AB51"/>
      <c r="AC51"/>
      <c r="AD51"/>
      <c r="AE51"/>
      <c r="AF51"/>
      <c r="AG51"/>
      <c r="AH51"/>
      <c r="AI51"/>
    </row>
    <row r="52" spans="1:35" ht="21.95" customHeight="1" x14ac:dyDescent="0.2">
      <c r="B52" s="492" t="str">
        <f>'Project Cost Data'!B11</f>
        <v>SH-412B Roundabout</v>
      </c>
      <c r="C52" s="847">
        <f t="shared" si="22"/>
        <v>5021086.0870755333</v>
      </c>
      <c r="D52" s="847">
        <f t="shared" si="22"/>
        <v>301265.16522453201</v>
      </c>
      <c r="E52" s="893">
        <f t="shared" si="22"/>
        <v>451897.74783679796</v>
      </c>
      <c r="F52" s="847">
        <f t="shared" si="22"/>
        <v>0</v>
      </c>
      <c r="G52" s="847">
        <f t="shared" si="22"/>
        <v>251054.30435377665</v>
      </c>
      <c r="H52" s="893">
        <f t="shared" si="22"/>
        <v>5322351.252300065</v>
      </c>
      <c r="I52" s="847">
        <f t="shared" si="22"/>
        <v>702952.0521905747</v>
      </c>
      <c r="J52" s="848">
        <f t="shared" si="22"/>
        <v>6025303.3044906398</v>
      </c>
      <c r="K52" s="847"/>
      <c r="L52" s="847"/>
      <c r="M52" s="847"/>
      <c r="N52" s="847"/>
      <c r="O52" s="847"/>
      <c r="P52" s="847"/>
      <c r="Q52" s="847"/>
      <c r="R52" s="847"/>
      <c r="Y52"/>
      <c r="Z52"/>
      <c r="AA52"/>
      <c r="AB52"/>
      <c r="AC52"/>
      <c r="AD52"/>
      <c r="AE52"/>
      <c r="AF52"/>
      <c r="AG52"/>
      <c r="AH52"/>
      <c r="AI52"/>
    </row>
    <row r="53" spans="1:35" ht="21.95" customHeight="1" x14ac:dyDescent="0.2">
      <c r="B53" s="492" t="str">
        <f>'Project Cost Data'!B12</f>
        <v>Patrol Road Improvements</v>
      </c>
      <c r="C53" s="847">
        <f t="shared" si="22"/>
        <v>9683523.1679313853</v>
      </c>
      <c r="D53" s="847">
        <f t="shared" si="22"/>
        <v>581011.39007588313</v>
      </c>
      <c r="E53" s="893">
        <f t="shared" si="22"/>
        <v>871517.08511382469</v>
      </c>
      <c r="F53" s="847">
        <f t="shared" si="22"/>
        <v>0</v>
      </c>
      <c r="G53" s="847">
        <f t="shared" si="22"/>
        <v>484176.15839656926</v>
      </c>
      <c r="H53" s="893">
        <f t="shared" si="22"/>
        <v>10264534.558007268</v>
      </c>
      <c r="I53" s="847">
        <f t="shared" si="22"/>
        <v>1355693.2435103939</v>
      </c>
      <c r="J53" s="848">
        <f t="shared" si="22"/>
        <v>11620227.801517662</v>
      </c>
      <c r="K53" s="847"/>
      <c r="L53" s="847"/>
      <c r="M53" s="847"/>
      <c r="N53" s="847"/>
      <c r="O53" s="847"/>
      <c r="P53" s="847"/>
      <c r="Q53" s="847"/>
      <c r="R53" s="847"/>
      <c r="Y53"/>
      <c r="Z53"/>
      <c r="AA53"/>
      <c r="AB53"/>
      <c r="AC53"/>
      <c r="AD53"/>
      <c r="AE53"/>
      <c r="AF53"/>
      <c r="AG53"/>
      <c r="AH53"/>
      <c r="AI53"/>
    </row>
    <row r="54" spans="1:35" ht="21.95" customHeight="1" x14ac:dyDescent="0.2">
      <c r="B54" s="492" t="str">
        <f>'Project Cost Data'!B13</f>
        <v>Williams Street Improvements</v>
      </c>
      <c r="C54" s="847">
        <f t="shared" si="22"/>
        <v>12194066.211469153</v>
      </c>
      <c r="D54" s="847">
        <f t="shared" si="22"/>
        <v>731643.97268814908</v>
      </c>
      <c r="E54" s="893">
        <f t="shared" si="22"/>
        <v>1097465.9590322238</v>
      </c>
      <c r="F54" s="847">
        <f t="shared" si="22"/>
        <v>0</v>
      </c>
      <c r="G54" s="847">
        <f t="shared" si="22"/>
        <v>609703.31057345762</v>
      </c>
      <c r="H54" s="893">
        <f t="shared" si="22"/>
        <v>12925710.184157301</v>
      </c>
      <c r="I54" s="847">
        <f t="shared" si="22"/>
        <v>1707169.2696056813</v>
      </c>
      <c r="J54" s="848">
        <f t="shared" si="22"/>
        <v>14632879.453762982</v>
      </c>
      <c r="K54" s="847"/>
      <c r="L54" s="847"/>
      <c r="M54" s="847"/>
      <c r="N54" s="847"/>
      <c r="O54" s="847"/>
      <c r="P54" s="847"/>
      <c r="Q54" s="847"/>
      <c r="R54" s="847"/>
      <c r="Y54"/>
      <c r="Z54"/>
      <c r="AA54"/>
      <c r="AB54"/>
      <c r="AC54"/>
      <c r="AD54"/>
      <c r="AE54"/>
      <c r="AF54"/>
      <c r="AG54"/>
      <c r="AH54"/>
      <c r="AI54"/>
    </row>
    <row r="55" spans="1:35" ht="21.95" customHeight="1" x14ac:dyDescent="0.2">
      <c r="B55" s="784" t="s">
        <v>360</v>
      </c>
      <c r="C55" s="853">
        <f>SUM(C50:C54)</f>
        <v>64982716.814428434</v>
      </c>
      <c r="D55" s="853">
        <f t="shared" ref="D55:J55" si="23">SUM(D50:D54)</f>
        <v>3898963.0088657062</v>
      </c>
      <c r="E55" s="894">
        <f t="shared" si="23"/>
        <v>5848444.5132985599</v>
      </c>
      <c r="F55" s="853">
        <f t="shared" si="23"/>
        <v>503901.85373865173</v>
      </c>
      <c r="G55" s="853">
        <f t="shared" si="23"/>
        <v>3249135.8407214219</v>
      </c>
      <c r="H55" s="894">
        <f t="shared" si="23"/>
        <v>68881679.823294148</v>
      </c>
      <c r="I55" s="853">
        <f t="shared" si="23"/>
        <v>9601482.2077586334</v>
      </c>
      <c r="J55" s="866">
        <f t="shared" si="23"/>
        <v>78483162.031052783</v>
      </c>
      <c r="K55" s="853"/>
      <c r="L55" s="853"/>
      <c r="M55" s="853"/>
      <c r="N55" s="853"/>
      <c r="O55" s="853"/>
      <c r="P55" s="853"/>
      <c r="Q55" s="853"/>
      <c r="R55" s="853"/>
      <c r="Y55"/>
      <c r="Z55"/>
      <c r="AA55"/>
      <c r="AB55"/>
      <c r="AC55"/>
      <c r="AD55"/>
      <c r="AE55"/>
      <c r="AF55"/>
      <c r="AG55"/>
      <c r="AH55"/>
      <c r="AI55"/>
    </row>
    <row r="56" spans="1:35" ht="21.95" customHeight="1" x14ac:dyDescent="0.2">
      <c r="B56" s="492"/>
      <c r="C56" s="847"/>
      <c r="D56" s="847"/>
      <c r="E56" s="893"/>
      <c r="F56" s="847"/>
      <c r="G56" s="847"/>
      <c r="H56" s="893"/>
      <c r="I56" s="847"/>
      <c r="J56" s="848"/>
      <c r="K56" s="847"/>
      <c r="L56" s="847"/>
      <c r="M56" s="847"/>
      <c r="N56" s="847"/>
      <c r="O56" s="847"/>
      <c r="P56" s="847"/>
      <c r="Q56" s="847"/>
      <c r="R56" s="847"/>
      <c r="Y56"/>
      <c r="Z56"/>
      <c r="AA56"/>
      <c r="AB56"/>
      <c r="AC56"/>
      <c r="AD56"/>
      <c r="AE56"/>
      <c r="AF56"/>
      <c r="AG56"/>
      <c r="AH56"/>
      <c r="AI56"/>
    </row>
    <row r="57" spans="1:35" ht="21.95" customHeight="1" x14ac:dyDescent="0.2">
      <c r="B57" s="492" t="str">
        <f>'Project Cost Data'!B14</f>
        <v>SH-412B North Reconstruction</v>
      </c>
      <c r="C57" s="847">
        <f t="shared" ref="C57:J60" si="24">C15 * adjust2023to2021</f>
        <v>6881577.8068401283</v>
      </c>
      <c r="D57" s="847">
        <f t="shared" si="24"/>
        <v>412894.66841040767</v>
      </c>
      <c r="E57" s="893">
        <f t="shared" si="24"/>
        <v>619342.00261561153</v>
      </c>
      <c r="F57" s="847">
        <f t="shared" si="24"/>
        <v>0</v>
      </c>
      <c r="G57" s="847">
        <f t="shared" si="24"/>
        <v>344078.8903420064</v>
      </c>
      <c r="H57" s="893">
        <f t="shared" si="24"/>
        <v>7294472.4752505356</v>
      </c>
      <c r="I57" s="847">
        <f t="shared" si="24"/>
        <v>963420.89295761788</v>
      </c>
      <c r="J57" s="848">
        <f t="shared" si="24"/>
        <v>8257893.3682081541</v>
      </c>
      <c r="K57" s="847"/>
      <c r="L57" s="847"/>
      <c r="M57" s="847"/>
      <c r="N57" s="847"/>
      <c r="O57" s="847"/>
      <c r="P57" s="847"/>
      <c r="Q57" s="847"/>
      <c r="R57" s="847"/>
      <c r="Y57"/>
      <c r="Z57"/>
      <c r="AA57"/>
      <c r="AB57"/>
      <c r="AC57"/>
      <c r="AD57"/>
      <c r="AE57"/>
      <c r="AF57"/>
      <c r="AG57"/>
      <c r="AH57"/>
      <c r="AI57"/>
    </row>
    <row r="58" spans="1:35" ht="21.95" customHeight="1" x14ac:dyDescent="0.2">
      <c r="B58" s="492" t="str">
        <f>'Project Cost Data'!B15</f>
        <v>US-69 / Main Street Intersection</v>
      </c>
      <c r="C58" s="847">
        <f t="shared" si="24"/>
        <v>358649.00621968094</v>
      </c>
      <c r="D58" s="847">
        <f t="shared" si="24"/>
        <v>21518.940373180856</v>
      </c>
      <c r="E58" s="893">
        <f t="shared" si="24"/>
        <v>32278.410559771284</v>
      </c>
      <c r="F58" s="847">
        <f t="shared" si="24"/>
        <v>0</v>
      </c>
      <c r="G58" s="847">
        <f t="shared" si="24"/>
        <v>17932.450310984048</v>
      </c>
      <c r="H58" s="893">
        <f t="shared" si="24"/>
        <v>380167.94659286179</v>
      </c>
      <c r="I58" s="847">
        <f t="shared" si="24"/>
        <v>50210.860870755329</v>
      </c>
      <c r="J58" s="848">
        <f t="shared" si="24"/>
        <v>430378.80746361712</v>
      </c>
      <c r="K58" s="847"/>
      <c r="L58" s="847"/>
      <c r="M58" s="847"/>
      <c r="N58" s="847"/>
      <c r="O58" s="847"/>
      <c r="P58" s="847"/>
      <c r="Q58" s="847"/>
      <c r="R58" s="847"/>
      <c r="Y58"/>
      <c r="Z58"/>
      <c r="AA58"/>
      <c r="AB58"/>
      <c r="AC58"/>
      <c r="AD58"/>
      <c r="AE58"/>
      <c r="AF58"/>
      <c r="AG58"/>
      <c r="AH58"/>
      <c r="AI58"/>
    </row>
    <row r="59" spans="1:35" ht="21.95" customHeight="1" x14ac:dyDescent="0.2">
      <c r="B59" s="492" t="str">
        <f>'Project Cost Data'!B16</f>
        <v>Zarrow Street Widening</v>
      </c>
      <c r="C59" s="847">
        <f t="shared" si="24"/>
        <v>5684586.7485819431</v>
      </c>
      <c r="D59" s="847">
        <f t="shared" si="24"/>
        <v>341075.2049149166</v>
      </c>
      <c r="E59" s="893">
        <f t="shared" si="24"/>
        <v>511612.80737237487</v>
      </c>
      <c r="F59" s="847">
        <f t="shared" si="24"/>
        <v>0</v>
      </c>
      <c r="G59" s="847">
        <f t="shared" si="24"/>
        <v>284229.33742909716</v>
      </c>
      <c r="H59" s="893">
        <f t="shared" si="24"/>
        <v>6025661.9534968594</v>
      </c>
      <c r="I59" s="847">
        <f t="shared" si="24"/>
        <v>795842.14480147196</v>
      </c>
      <c r="J59" s="848">
        <f t="shared" si="24"/>
        <v>6821504.0982983317</v>
      </c>
      <c r="K59" s="847"/>
      <c r="L59" s="847"/>
      <c r="M59" s="847"/>
      <c r="N59" s="847"/>
      <c r="O59" s="847"/>
      <c r="P59" s="847"/>
      <c r="Q59" s="847"/>
      <c r="R59" s="847"/>
      <c r="Y59"/>
      <c r="Z59"/>
      <c r="AA59"/>
      <c r="AB59"/>
      <c r="AC59"/>
      <c r="AD59"/>
      <c r="AE59"/>
      <c r="AF59"/>
      <c r="AG59"/>
      <c r="AH59"/>
      <c r="AI59"/>
    </row>
    <row r="60" spans="1:35" ht="21.95" customHeight="1" x14ac:dyDescent="0.2">
      <c r="B60" s="492" t="str">
        <f>'Project Cost Data'!B17</f>
        <v>Rocket Road Improvements</v>
      </c>
      <c r="C60" s="847">
        <f t="shared" si="24"/>
        <v>6007370.8541796561</v>
      </c>
      <c r="D60" s="847">
        <f t="shared" si="24"/>
        <v>360442.25125077937</v>
      </c>
      <c r="E60" s="893">
        <f t="shared" si="24"/>
        <v>540663.376876169</v>
      </c>
      <c r="F60" s="847">
        <f t="shared" si="24"/>
        <v>0</v>
      </c>
      <c r="G60" s="847">
        <f t="shared" si="24"/>
        <v>300368.54270898277</v>
      </c>
      <c r="H60" s="893">
        <f t="shared" si="24"/>
        <v>6367813.1054304354</v>
      </c>
      <c r="I60" s="847">
        <f t="shared" si="24"/>
        <v>841031.91958515183</v>
      </c>
      <c r="J60" s="848">
        <f t="shared" si="24"/>
        <v>7208845.025015587</v>
      </c>
      <c r="K60" s="847"/>
      <c r="L60" s="847"/>
      <c r="M60" s="847"/>
      <c r="N60" s="847"/>
      <c r="O60" s="847"/>
      <c r="P60" s="847"/>
      <c r="Q60" s="847"/>
      <c r="R60" s="847"/>
      <c r="Y60"/>
      <c r="Z60"/>
      <c r="AA60"/>
      <c r="AB60"/>
      <c r="AC60"/>
      <c r="AD60"/>
      <c r="AE60"/>
      <c r="AF60"/>
      <c r="AG60"/>
      <c r="AH60"/>
      <c r="AI60"/>
    </row>
    <row r="61" spans="1:35" ht="21.95" customHeight="1" thickBot="1" x14ac:dyDescent="0.25">
      <c r="B61" s="895" t="s">
        <v>25</v>
      </c>
      <c r="C61" s="858">
        <f>SUM(C50:C54)+SUM(C57:C60)</f>
        <v>83914901.230249852</v>
      </c>
      <c r="D61" s="858">
        <f t="shared" ref="D61:J61" si="25">SUM(D50:D54)+SUM(D57:D60)</f>
        <v>5034894.07381499</v>
      </c>
      <c r="E61" s="896">
        <f t="shared" si="25"/>
        <v>7552341.1107224859</v>
      </c>
      <c r="F61" s="858">
        <f t="shared" si="25"/>
        <v>503901.85373865173</v>
      </c>
      <c r="G61" s="858">
        <f t="shared" si="25"/>
        <v>4195745.0615124926</v>
      </c>
      <c r="H61" s="896">
        <f t="shared" si="25"/>
        <v>88949795.30406484</v>
      </c>
      <c r="I61" s="858">
        <f t="shared" si="25"/>
        <v>12251988.025973629</v>
      </c>
      <c r="J61" s="869">
        <f t="shared" si="25"/>
        <v>101201783.33003847</v>
      </c>
      <c r="K61" s="853"/>
      <c r="L61" s="853"/>
      <c r="M61" s="853"/>
      <c r="N61" s="853"/>
      <c r="O61" s="853"/>
      <c r="P61" s="853"/>
      <c r="Q61" s="853"/>
      <c r="R61" s="853"/>
      <c r="Y61"/>
      <c r="Z61"/>
      <c r="AA61"/>
      <c r="AB61"/>
      <c r="AC61"/>
      <c r="AD61"/>
      <c r="AE61"/>
      <c r="AF61"/>
      <c r="AG61"/>
      <c r="AH61"/>
      <c r="AI61"/>
    </row>
    <row r="63" spans="1:35" ht="21.95" customHeight="1" thickBot="1" x14ac:dyDescent="0.25">
      <c r="B63" s="194" t="s">
        <v>619</v>
      </c>
    </row>
    <row r="64" spans="1:35" ht="21.95" customHeight="1" x14ac:dyDescent="0.2">
      <c r="B64" s="832" t="s">
        <v>88</v>
      </c>
      <c r="C64" s="759" t="s">
        <v>61</v>
      </c>
      <c r="D64" s="760">
        <v>2021</v>
      </c>
      <c r="E64" s="760">
        <f t="shared" ref="E64:AE64" si="26">D64+1</f>
        <v>2022</v>
      </c>
      <c r="F64" s="760">
        <f t="shared" si="26"/>
        <v>2023</v>
      </c>
      <c r="G64" s="760">
        <f t="shared" si="26"/>
        <v>2024</v>
      </c>
      <c r="H64" s="760">
        <f t="shared" si="26"/>
        <v>2025</v>
      </c>
      <c r="I64" s="760">
        <f t="shared" si="26"/>
        <v>2026</v>
      </c>
      <c r="J64" s="760">
        <f t="shared" si="26"/>
        <v>2027</v>
      </c>
      <c r="K64" s="760">
        <f t="shared" si="26"/>
        <v>2028</v>
      </c>
      <c r="L64" s="760">
        <f t="shared" si="26"/>
        <v>2029</v>
      </c>
      <c r="M64" s="760">
        <f t="shared" si="26"/>
        <v>2030</v>
      </c>
      <c r="N64" s="760">
        <f t="shared" si="26"/>
        <v>2031</v>
      </c>
      <c r="O64" s="760">
        <f t="shared" si="26"/>
        <v>2032</v>
      </c>
      <c r="P64" s="760">
        <f t="shared" si="26"/>
        <v>2033</v>
      </c>
      <c r="Q64" s="760">
        <f t="shared" si="26"/>
        <v>2034</v>
      </c>
      <c r="R64" s="760">
        <f t="shared" si="26"/>
        <v>2035</v>
      </c>
      <c r="S64" s="760">
        <f t="shared" si="26"/>
        <v>2036</v>
      </c>
      <c r="T64" s="760">
        <f t="shared" si="26"/>
        <v>2037</v>
      </c>
      <c r="U64" s="760">
        <f t="shared" si="26"/>
        <v>2038</v>
      </c>
      <c r="V64" s="760">
        <f t="shared" si="26"/>
        <v>2039</v>
      </c>
      <c r="W64" s="760">
        <f t="shared" si="26"/>
        <v>2040</v>
      </c>
      <c r="X64" s="760">
        <f t="shared" si="26"/>
        <v>2041</v>
      </c>
      <c r="Y64" s="760">
        <f t="shared" si="26"/>
        <v>2042</v>
      </c>
      <c r="Z64" s="760">
        <f t="shared" si="26"/>
        <v>2043</v>
      </c>
      <c r="AA64" s="760">
        <f t="shared" si="26"/>
        <v>2044</v>
      </c>
      <c r="AB64" s="760">
        <f t="shared" si="26"/>
        <v>2045</v>
      </c>
      <c r="AC64" s="760">
        <f t="shared" si="26"/>
        <v>2046</v>
      </c>
      <c r="AD64" s="760">
        <f t="shared" si="26"/>
        <v>2047</v>
      </c>
      <c r="AE64" s="761">
        <f t="shared" si="26"/>
        <v>2048</v>
      </c>
    </row>
    <row r="65" spans="2:31" ht="21.95" customHeight="1" x14ac:dyDescent="0.2">
      <c r="B65" s="1349" t="s">
        <v>165</v>
      </c>
      <c r="C65" s="116" t="str">
        <f>'Project Cost Data'!B9</f>
        <v>US-412/SH-412B Interchange</v>
      </c>
      <c r="D65" s="901">
        <f t="shared" ref="D65:E65" si="27">$I$50*D25</f>
        <v>0</v>
      </c>
      <c r="E65" s="901">
        <f t="shared" si="27"/>
        <v>1343738.2766364045</v>
      </c>
      <c r="F65" s="901">
        <f t="shared" ref="F65:AE65" si="28">$I$50*F25</f>
        <v>1343738.2766364045</v>
      </c>
      <c r="G65" s="901">
        <f t="shared" si="28"/>
        <v>1343738.2766364045</v>
      </c>
      <c r="H65" s="901">
        <f t="shared" si="28"/>
        <v>0</v>
      </c>
      <c r="I65" s="901">
        <f t="shared" si="28"/>
        <v>0</v>
      </c>
      <c r="J65" s="901">
        <f t="shared" si="28"/>
        <v>0</v>
      </c>
      <c r="K65" s="901">
        <f t="shared" si="28"/>
        <v>0</v>
      </c>
      <c r="L65" s="901">
        <f t="shared" si="28"/>
        <v>0</v>
      </c>
      <c r="M65" s="901">
        <f t="shared" si="28"/>
        <v>0</v>
      </c>
      <c r="N65" s="901">
        <f t="shared" si="28"/>
        <v>0</v>
      </c>
      <c r="O65" s="901">
        <f t="shared" si="28"/>
        <v>0</v>
      </c>
      <c r="P65" s="901">
        <f t="shared" si="28"/>
        <v>0</v>
      </c>
      <c r="Q65" s="901">
        <f t="shared" si="28"/>
        <v>0</v>
      </c>
      <c r="R65" s="901">
        <f t="shared" si="28"/>
        <v>0</v>
      </c>
      <c r="S65" s="901">
        <f t="shared" si="28"/>
        <v>0</v>
      </c>
      <c r="T65" s="901">
        <f t="shared" si="28"/>
        <v>0</v>
      </c>
      <c r="U65" s="901">
        <f t="shared" si="28"/>
        <v>0</v>
      </c>
      <c r="V65" s="901">
        <f t="shared" si="28"/>
        <v>0</v>
      </c>
      <c r="W65" s="901">
        <f t="shared" si="28"/>
        <v>0</v>
      </c>
      <c r="X65" s="901">
        <f t="shared" si="28"/>
        <v>0</v>
      </c>
      <c r="Y65" s="901">
        <f t="shared" si="28"/>
        <v>0</v>
      </c>
      <c r="Z65" s="901">
        <f t="shared" si="28"/>
        <v>0</v>
      </c>
      <c r="AA65" s="901">
        <f t="shared" si="28"/>
        <v>0</v>
      </c>
      <c r="AB65" s="901">
        <f t="shared" si="28"/>
        <v>0</v>
      </c>
      <c r="AC65" s="901">
        <f t="shared" si="28"/>
        <v>0</v>
      </c>
      <c r="AD65" s="901">
        <f t="shared" si="28"/>
        <v>0</v>
      </c>
      <c r="AE65" s="1027">
        <f t="shared" si="28"/>
        <v>0</v>
      </c>
    </row>
    <row r="66" spans="2:31" ht="21.95" customHeight="1" x14ac:dyDescent="0.2">
      <c r="B66" s="1349"/>
      <c r="C66" s="116" t="str">
        <f>'Project Cost Data'!B10</f>
        <v>SH-412B South Widening</v>
      </c>
      <c r="D66" s="901">
        <f t="shared" ref="D66" si="29">$I$50*D26</f>
        <v>0</v>
      </c>
      <c r="E66" s="901">
        <f t="shared" ref="E66:AE66" si="30">$I$51*E26</f>
        <v>0</v>
      </c>
      <c r="F66" s="901">
        <f t="shared" si="30"/>
        <v>902226.40627138491</v>
      </c>
      <c r="G66" s="901">
        <f t="shared" si="30"/>
        <v>902226.40627138491</v>
      </c>
      <c r="H66" s="901">
        <f t="shared" si="30"/>
        <v>0</v>
      </c>
      <c r="I66" s="901">
        <f t="shared" si="30"/>
        <v>0</v>
      </c>
      <c r="J66" s="901">
        <f t="shared" si="30"/>
        <v>0</v>
      </c>
      <c r="K66" s="901">
        <f t="shared" si="30"/>
        <v>0</v>
      </c>
      <c r="L66" s="901">
        <f t="shared" si="30"/>
        <v>0</v>
      </c>
      <c r="M66" s="901">
        <f t="shared" si="30"/>
        <v>0</v>
      </c>
      <c r="N66" s="901">
        <f t="shared" si="30"/>
        <v>0</v>
      </c>
      <c r="O66" s="901">
        <f t="shared" si="30"/>
        <v>0</v>
      </c>
      <c r="P66" s="901">
        <f t="shared" si="30"/>
        <v>0</v>
      </c>
      <c r="Q66" s="901">
        <f t="shared" si="30"/>
        <v>0</v>
      </c>
      <c r="R66" s="901">
        <f t="shared" si="30"/>
        <v>0</v>
      </c>
      <c r="S66" s="901">
        <f t="shared" si="30"/>
        <v>0</v>
      </c>
      <c r="T66" s="901">
        <f t="shared" si="30"/>
        <v>0</v>
      </c>
      <c r="U66" s="901">
        <f t="shared" si="30"/>
        <v>0</v>
      </c>
      <c r="V66" s="901">
        <f t="shared" si="30"/>
        <v>0</v>
      </c>
      <c r="W66" s="901">
        <f t="shared" si="30"/>
        <v>0</v>
      </c>
      <c r="X66" s="901">
        <f t="shared" si="30"/>
        <v>0</v>
      </c>
      <c r="Y66" s="901">
        <f t="shared" si="30"/>
        <v>0</v>
      </c>
      <c r="Z66" s="901">
        <f t="shared" si="30"/>
        <v>0</v>
      </c>
      <c r="AA66" s="901">
        <f t="shared" si="30"/>
        <v>0</v>
      </c>
      <c r="AB66" s="901">
        <f t="shared" si="30"/>
        <v>0</v>
      </c>
      <c r="AC66" s="901">
        <f t="shared" si="30"/>
        <v>0</v>
      </c>
      <c r="AD66" s="901">
        <f t="shared" si="30"/>
        <v>0</v>
      </c>
      <c r="AE66" s="1027">
        <f t="shared" si="30"/>
        <v>0</v>
      </c>
    </row>
    <row r="67" spans="2:31" ht="21.95" customHeight="1" x14ac:dyDescent="0.2">
      <c r="B67" s="1349"/>
      <c r="C67" s="116" t="str">
        <f>'Project Cost Data'!B11</f>
        <v>SH-412B Roundabout</v>
      </c>
      <c r="D67" s="901">
        <f t="shared" ref="D67" si="31">$I$50*D27</f>
        <v>0</v>
      </c>
      <c r="E67" s="901">
        <f t="shared" ref="E67:AE67" si="32">$I$52*E27</f>
        <v>0</v>
      </c>
      <c r="F67" s="901">
        <f t="shared" si="32"/>
        <v>351476.02609528735</v>
      </c>
      <c r="G67" s="901">
        <f t="shared" si="32"/>
        <v>351476.02609528735</v>
      </c>
      <c r="H67" s="901">
        <f t="shared" si="32"/>
        <v>0</v>
      </c>
      <c r="I67" s="901">
        <f t="shared" si="32"/>
        <v>0</v>
      </c>
      <c r="J67" s="901">
        <f t="shared" si="32"/>
        <v>0</v>
      </c>
      <c r="K67" s="901">
        <f t="shared" si="32"/>
        <v>0</v>
      </c>
      <c r="L67" s="901">
        <f t="shared" si="32"/>
        <v>0</v>
      </c>
      <c r="M67" s="901">
        <f t="shared" si="32"/>
        <v>0</v>
      </c>
      <c r="N67" s="901">
        <f t="shared" si="32"/>
        <v>0</v>
      </c>
      <c r="O67" s="901">
        <f t="shared" si="32"/>
        <v>0</v>
      </c>
      <c r="P67" s="901">
        <f t="shared" si="32"/>
        <v>0</v>
      </c>
      <c r="Q67" s="901">
        <f t="shared" si="32"/>
        <v>0</v>
      </c>
      <c r="R67" s="901">
        <f t="shared" si="32"/>
        <v>0</v>
      </c>
      <c r="S67" s="901">
        <f t="shared" si="32"/>
        <v>0</v>
      </c>
      <c r="T67" s="901">
        <f t="shared" si="32"/>
        <v>0</v>
      </c>
      <c r="U67" s="901">
        <f t="shared" si="32"/>
        <v>0</v>
      </c>
      <c r="V67" s="901">
        <f t="shared" si="32"/>
        <v>0</v>
      </c>
      <c r="W67" s="901">
        <f t="shared" si="32"/>
        <v>0</v>
      </c>
      <c r="X67" s="901">
        <f t="shared" si="32"/>
        <v>0</v>
      </c>
      <c r="Y67" s="901">
        <f t="shared" si="32"/>
        <v>0</v>
      </c>
      <c r="Z67" s="901">
        <f t="shared" si="32"/>
        <v>0</v>
      </c>
      <c r="AA67" s="901">
        <f t="shared" si="32"/>
        <v>0</v>
      </c>
      <c r="AB67" s="901">
        <f t="shared" si="32"/>
        <v>0</v>
      </c>
      <c r="AC67" s="901">
        <f t="shared" si="32"/>
        <v>0</v>
      </c>
      <c r="AD67" s="901">
        <f t="shared" si="32"/>
        <v>0</v>
      </c>
      <c r="AE67" s="1027">
        <f t="shared" si="32"/>
        <v>0</v>
      </c>
    </row>
    <row r="68" spans="2:31" ht="21.95" customHeight="1" x14ac:dyDescent="0.2">
      <c r="B68" s="1349"/>
      <c r="C68" s="116" t="str">
        <f>'Project Cost Data'!B12</f>
        <v>Patrol Road Improvements</v>
      </c>
      <c r="D68" s="901">
        <f t="shared" ref="D68" si="33">$I$50*D28</f>
        <v>0</v>
      </c>
      <c r="E68" s="901">
        <f t="shared" ref="E68:AE68" si="34">$I$53*E28</f>
        <v>677846.62175519695</v>
      </c>
      <c r="F68" s="901">
        <f t="shared" si="34"/>
        <v>677846.62175519695</v>
      </c>
      <c r="G68" s="901">
        <f t="shared" si="34"/>
        <v>0</v>
      </c>
      <c r="H68" s="901">
        <f t="shared" si="34"/>
        <v>0</v>
      </c>
      <c r="I68" s="901">
        <f t="shared" si="34"/>
        <v>0</v>
      </c>
      <c r="J68" s="901">
        <f t="shared" si="34"/>
        <v>0</v>
      </c>
      <c r="K68" s="901">
        <f t="shared" si="34"/>
        <v>0</v>
      </c>
      <c r="L68" s="901">
        <f t="shared" si="34"/>
        <v>0</v>
      </c>
      <c r="M68" s="901">
        <f t="shared" si="34"/>
        <v>0</v>
      </c>
      <c r="N68" s="901">
        <f t="shared" si="34"/>
        <v>0</v>
      </c>
      <c r="O68" s="901">
        <f t="shared" si="34"/>
        <v>0</v>
      </c>
      <c r="P68" s="901">
        <f t="shared" si="34"/>
        <v>0</v>
      </c>
      <c r="Q68" s="901">
        <f t="shared" si="34"/>
        <v>0</v>
      </c>
      <c r="R68" s="901">
        <f t="shared" si="34"/>
        <v>0</v>
      </c>
      <c r="S68" s="901">
        <f t="shared" si="34"/>
        <v>0</v>
      </c>
      <c r="T68" s="901">
        <f t="shared" si="34"/>
        <v>0</v>
      </c>
      <c r="U68" s="901">
        <f t="shared" si="34"/>
        <v>0</v>
      </c>
      <c r="V68" s="901">
        <f t="shared" si="34"/>
        <v>0</v>
      </c>
      <c r="W68" s="901">
        <f t="shared" si="34"/>
        <v>0</v>
      </c>
      <c r="X68" s="901">
        <f t="shared" si="34"/>
        <v>0</v>
      </c>
      <c r="Y68" s="901">
        <f t="shared" si="34"/>
        <v>0</v>
      </c>
      <c r="Z68" s="901">
        <f t="shared" si="34"/>
        <v>0</v>
      </c>
      <c r="AA68" s="901">
        <f t="shared" si="34"/>
        <v>0</v>
      </c>
      <c r="AB68" s="901">
        <f t="shared" si="34"/>
        <v>0</v>
      </c>
      <c r="AC68" s="901">
        <f t="shared" si="34"/>
        <v>0</v>
      </c>
      <c r="AD68" s="901">
        <f t="shared" si="34"/>
        <v>0</v>
      </c>
      <c r="AE68" s="1027">
        <f t="shared" si="34"/>
        <v>0</v>
      </c>
    </row>
    <row r="69" spans="2:31" ht="21.95" customHeight="1" x14ac:dyDescent="0.2">
      <c r="B69" s="1349"/>
      <c r="C69" s="254" t="str">
        <f>'Project Cost Data'!B13</f>
        <v>Williams Street Improvements</v>
      </c>
      <c r="D69" s="902">
        <f t="shared" ref="D69" si="35">$I$50*D29</f>
        <v>0</v>
      </c>
      <c r="E69" s="902">
        <f t="shared" ref="E69:AE69" si="36">$I$54*E29</f>
        <v>0</v>
      </c>
      <c r="F69" s="902">
        <f t="shared" si="36"/>
        <v>853584.63480284065</v>
      </c>
      <c r="G69" s="902">
        <f t="shared" si="36"/>
        <v>853584.63480284065</v>
      </c>
      <c r="H69" s="902">
        <f t="shared" si="36"/>
        <v>0</v>
      </c>
      <c r="I69" s="902">
        <f t="shared" si="36"/>
        <v>0</v>
      </c>
      <c r="J69" s="902">
        <f t="shared" si="36"/>
        <v>0</v>
      </c>
      <c r="K69" s="902">
        <f t="shared" si="36"/>
        <v>0</v>
      </c>
      <c r="L69" s="902">
        <f t="shared" si="36"/>
        <v>0</v>
      </c>
      <c r="M69" s="902">
        <f t="shared" si="36"/>
        <v>0</v>
      </c>
      <c r="N69" s="902">
        <f t="shared" si="36"/>
        <v>0</v>
      </c>
      <c r="O69" s="902">
        <f t="shared" si="36"/>
        <v>0</v>
      </c>
      <c r="P69" s="902">
        <f t="shared" si="36"/>
        <v>0</v>
      </c>
      <c r="Q69" s="902">
        <f t="shared" si="36"/>
        <v>0</v>
      </c>
      <c r="R69" s="902">
        <f t="shared" si="36"/>
        <v>0</v>
      </c>
      <c r="S69" s="902">
        <f t="shared" si="36"/>
        <v>0</v>
      </c>
      <c r="T69" s="902">
        <f t="shared" si="36"/>
        <v>0</v>
      </c>
      <c r="U69" s="902">
        <f t="shared" si="36"/>
        <v>0</v>
      </c>
      <c r="V69" s="902">
        <f t="shared" si="36"/>
        <v>0</v>
      </c>
      <c r="W69" s="902">
        <f t="shared" si="36"/>
        <v>0</v>
      </c>
      <c r="X69" s="902">
        <f t="shared" si="36"/>
        <v>0</v>
      </c>
      <c r="Y69" s="902">
        <f t="shared" si="36"/>
        <v>0</v>
      </c>
      <c r="Z69" s="902">
        <f t="shared" si="36"/>
        <v>0</v>
      </c>
      <c r="AA69" s="902">
        <f t="shared" si="36"/>
        <v>0</v>
      </c>
      <c r="AB69" s="902">
        <f t="shared" si="36"/>
        <v>0</v>
      </c>
      <c r="AC69" s="902">
        <f t="shared" si="36"/>
        <v>0</v>
      </c>
      <c r="AD69" s="902">
        <f t="shared" si="36"/>
        <v>0</v>
      </c>
      <c r="AE69" s="1028">
        <f t="shared" si="36"/>
        <v>0</v>
      </c>
    </row>
    <row r="70" spans="2:31" ht="21.95" customHeight="1" x14ac:dyDescent="0.2">
      <c r="B70" s="1346" t="s">
        <v>168</v>
      </c>
      <c r="C70" s="116" t="str">
        <f>'Project Cost Data'!B9</f>
        <v>US-412/SH-412B Interchange</v>
      </c>
      <c r="D70" s="901">
        <f t="shared" ref="D70:AE70" si="37">$H$50*D34</f>
        <v>0</v>
      </c>
      <c r="E70" s="901">
        <f t="shared" si="37"/>
        <v>0</v>
      </c>
      <c r="F70" s="901">
        <f t="shared" si="37"/>
        <v>0</v>
      </c>
      <c r="G70" s="901">
        <f t="shared" si="37"/>
        <v>0</v>
      </c>
      <c r="H70" s="901">
        <f t="shared" si="37"/>
        <v>6676699.5620371355</v>
      </c>
      <c r="I70" s="901">
        <f t="shared" si="37"/>
        <v>6676699.5620371355</v>
      </c>
      <c r="J70" s="901">
        <f t="shared" si="37"/>
        <v>6676699.5620371355</v>
      </c>
      <c r="K70" s="901">
        <f t="shared" si="37"/>
        <v>6676699.5620371355</v>
      </c>
      <c r="L70" s="901">
        <f t="shared" si="37"/>
        <v>0</v>
      </c>
      <c r="M70" s="901">
        <f t="shared" si="37"/>
        <v>0</v>
      </c>
      <c r="N70" s="901">
        <f t="shared" si="37"/>
        <v>0</v>
      </c>
      <c r="O70" s="901">
        <f t="shared" si="37"/>
        <v>0</v>
      </c>
      <c r="P70" s="901">
        <f t="shared" si="37"/>
        <v>0</v>
      </c>
      <c r="Q70" s="901">
        <f t="shared" si="37"/>
        <v>0</v>
      </c>
      <c r="R70" s="901">
        <f t="shared" si="37"/>
        <v>0</v>
      </c>
      <c r="S70" s="901">
        <f t="shared" si="37"/>
        <v>0</v>
      </c>
      <c r="T70" s="901">
        <f t="shared" si="37"/>
        <v>0</v>
      </c>
      <c r="U70" s="901">
        <f t="shared" si="37"/>
        <v>0</v>
      </c>
      <c r="V70" s="901">
        <f t="shared" si="37"/>
        <v>0</v>
      </c>
      <c r="W70" s="901">
        <f t="shared" si="37"/>
        <v>0</v>
      </c>
      <c r="X70" s="901">
        <f t="shared" si="37"/>
        <v>0</v>
      </c>
      <c r="Y70" s="901">
        <f t="shared" si="37"/>
        <v>0</v>
      </c>
      <c r="Z70" s="901">
        <f t="shared" si="37"/>
        <v>0</v>
      </c>
      <c r="AA70" s="901">
        <f t="shared" si="37"/>
        <v>0</v>
      </c>
      <c r="AB70" s="901">
        <f t="shared" si="37"/>
        <v>0</v>
      </c>
      <c r="AC70" s="901">
        <f t="shared" si="37"/>
        <v>0</v>
      </c>
      <c r="AD70" s="901">
        <f t="shared" si="37"/>
        <v>0</v>
      </c>
      <c r="AE70" s="1027">
        <f t="shared" si="37"/>
        <v>0</v>
      </c>
    </row>
    <row r="71" spans="2:31" ht="21.95" customHeight="1" x14ac:dyDescent="0.2">
      <c r="B71" s="1349"/>
      <c r="C71" s="116" t="str">
        <f>'Project Cost Data'!B10</f>
        <v>SH-412B South Widening</v>
      </c>
      <c r="D71" s="901">
        <f t="shared" ref="D71:AE71" si="38">$H$51*D35</f>
        <v>0</v>
      </c>
      <c r="E71" s="901">
        <f t="shared" si="38"/>
        <v>0</v>
      </c>
      <c r="F71" s="901">
        <f t="shared" si="38"/>
        <v>0</v>
      </c>
      <c r="G71" s="901">
        <f t="shared" si="38"/>
        <v>0</v>
      </c>
      <c r="H71" s="901">
        <f t="shared" si="38"/>
        <v>4554095.1935603227</v>
      </c>
      <c r="I71" s="901">
        <f t="shared" si="38"/>
        <v>4554095.1935603227</v>
      </c>
      <c r="J71" s="901">
        <f t="shared" si="38"/>
        <v>4554095.1935603227</v>
      </c>
      <c r="K71" s="901">
        <f t="shared" si="38"/>
        <v>0</v>
      </c>
      <c r="L71" s="901">
        <f t="shared" si="38"/>
        <v>0</v>
      </c>
      <c r="M71" s="901">
        <f t="shared" si="38"/>
        <v>0</v>
      </c>
      <c r="N71" s="901">
        <f t="shared" si="38"/>
        <v>0</v>
      </c>
      <c r="O71" s="901">
        <f t="shared" si="38"/>
        <v>0</v>
      </c>
      <c r="P71" s="901">
        <f t="shared" si="38"/>
        <v>0</v>
      </c>
      <c r="Q71" s="901">
        <f t="shared" si="38"/>
        <v>0</v>
      </c>
      <c r="R71" s="901">
        <f t="shared" si="38"/>
        <v>0</v>
      </c>
      <c r="S71" s="901">
        <f t="shared" si="38"/>
        <v>0</v>
      </c>
      <c r="T71" s="901">
        <f t="shared" si="38"/>
        <v>0</v>
      </c>
      <c r="U71" s="901">
        <f t="shared" si="38"/>
        <v>0</v>
      </c>
      <c r="V71" s="901">
        <f t="shared" si="38"/>
        <v>0</v>
      </c>
      <c r="W71" s="901">
        <f t="shared" si="38"/>
        <v>0</v>
      </c>
      <c r="X71" s="901">
        <f t="shared" si="38"/>
        <v>0</v>
      </c>
      <c r="Y71" s="901">
        <f t="shared" si="38"/>
        <v>0</v>
      </c>
      <c r="Z71" s="901">
        <f t="shared" si="38"/>
        <v>0</v>
      </c>
      <c r="AA71" s="901">
        <f t="shared" si="38"/>
        <v>0</v>
      </c>
      <c r="AB71" s="901">
        <f t="shared" si="38"/>
        <v>0</v>
      </c>
      <c r="AC71" s="901">
        <f t="shared" si="38"/>
        <v>0</v>
      </c>
      <c r="AD71" s="901">
        <f t="shared" si="38"/>
        <v>0</v>
      </c>
      <c r="AE71" s="1027">
        <f t="shared" si="38"/>
        <v>0</v>
      </c>
    </row>
    <row r="72" spans="2:31" ht="21.95" customHeight="1" x14ac:dyDescent="0.2">
      <c r="B72" s="1349"/>
      <c r="C72" s="116" t="str">
        <f>'Project Cost Data'!B11</f>
        <v>SH-412B Roundabout</v>
      </c>
      <c r="D72" s="901">
        <f t="shared" ref="D72:AE72" si="39">$H$52*D36</f>
        <v>0</v>
      </c>
      <c r="E72" s="901">
        <f t="shared" si="39"/>
        <v>0</v>
      </c>
      <c r="F72" s="901">
        <f t="shared" si="39"/>
        <v>0</v>
      </c>
      <c r="G72" s="901">
        <f t="shared" si="39"/>
        <v>0</v>
      </c>
      <c r="H72" s="901">
        <f t="shared" si="39"/>
        <v>2661175.6261500325</v>
      </c>
      <c r="I72" s="901">
        <f t="shared" si="39"/>
        <v>2661175.6261500325</v>
      </c>
      <c r="J72" s="901">
        <f t="shared" si="39"/>
        <v>0</v>
      </c>
      <c r="K72" s="901">
        <f t="shared" si="39"/>
        <v>0</v>
      </c>
      <c r="L72" s="901">
        <f t="shared" si="39"/>
        <v>0</v>
      </c>
      <c r="M72" s="901">
        <f t="shared" si="39"/>
        <v>0</v>
      </c>
      <c r="N72" s="901">
        <f t="shared" si="39"/>
        <v>0</v>
      </c>
      <c r="O72" s="901">
        <f t="shared" si="39"/>
        <v>0</v>
      </c>
      <c r="P72" s="901">
        <f t="shared" si="39"/>
        <v>0</v>
      </c>
      <c r="Q72" s="901">
        <f t="shared" si="39"/>
        <v>0</v>
      </c>
      <c r="R72" s="901">
        <f t="shared" si="39"/>
        <v>0</v>
      </c>
      <c r="S72" s="901">
        <f t="shared" si="39"/>
        <v>0</v>
      </c>
      <c r="T72" s="901">
        <f t="shared" si="39"/>
        <v>0</v>
      </c>
      <c r="U72" s="901">
        <f t="shared" si="39"/>
        <v>0</v>
      </c>
      <c r="V72" s="901">
        <f t="shared" si="39"/>
        <v>0</v>
      </c>
      <c r="W72" s="901">
        <f t="shared" si="39"/>
        <v>0</v>
      </c>
      <c r="X72" s="901">
        <f t="shared" si="39"/>
        <v>0</v>
      </c>
      <c r="Y72" s="901">
        <f t="shared" si="39"/>
        <v>0</v>
      </c>
      <c r="Z72" s="901">
        <f t="shared" si="39"/>
        <v>0</v>
      </c>
      <c r="AA72" s="901">
        <f t="shared" si="39"/>
        <v>0</v>
      </c>
      <c r="AB72" s="901">
        <f t="shared" si="39"/>
        <v>0</v>
      </c>
      <c r="AC72" s="901">
        <f t="shared" si="39"/>
        <v>0</v>
      </c>
      <c r="AD72" s="901">
        <f t="shared" si="39"/>
        <v>0</v>
      </c>
      <c r="AE72" s="1027">
        <f t="shared" si="39"/>
        <v>0</v>
      </c>
    </row>
    <row r="73" spans="2:31" ht="21.95" customHeight="1" x14ac:dyDescent="0.2">
      <c r="B73" s="1349"/>
      <c r="C73" s="116" t="str">
        <f>'Project Cost Data'!B12</f>
        <v>Patrol Road Improvements</v>
      </c>
      <c r="D73" s="901">
        <f t="shared" ref="D73:AE73" si="40">$H$53*D37</f>
        <v>0</v>
      </c>
      <c r="E73" s="901">
        <f t="shared" si="40"/>
        <v>0</v>
      </c>
      <c r="F73" s="901">
        <f t="shared" si="40"/>
        <v>0</v>
      </c>
      <c r="G73" s="901">
        <f t="shared" si="40"/>
        <v>0</v>
      </c>
      <c r="H73" s="901">
        <f t="shared" si="40"/>
        <v>5132267.2790036341</v>
      </c>
      <c r="I73" s="901">
        <f t="shared" si="40"/>
        <v>5132267.2790036341</v>
      </c>
      <c r="J73" s="901">
        <f t="shared" si="40"/>
        <v>0</v>
      </c>
      <c r="K73" s="901">
        <f t="shared" si="40"/>
        <v>0</v>
      </c>
      <c r="L73" s="901">
        <f t="shared" si="40"/>
        <v>0</v>
      </c>
      <c r="M73" s="901">
        <f t="shared" si="40"/>
        <v>0</v>
      </c>
      <c r="N73" s="901">
        <f t="shared" si="40"/>
        <v>0</v>
      </c>
      <c r="O73" s="901">
        <f t="shared" si="40"/>
        <v>0</v>
      </c>
      <c r="P73" s="901">
        <f t="shared" si="40"/>
        <v>0</v>
      </c>
      <c r="Q73" s="901">
        <f t="shared" si="40"/>
        <v>0</v>
      </c>
      <c r="R73" s="901">
        <f t="shared" si="40"/>
        <v>0</v>
      </c>
      <c r="S73" s="901">
        <f t="shared" si="40"/>
        <v>0</v>
      </c>
      <c r="T73" s="901">
        <f t="shared" si="40"/>
        <v>0</v>
      </c>
      <c r="U73" s="901">
        <f t="shared" si="40"/>
        <v>0</v>
      </c>
      <c r="V73" s="901">
        <f t="shared" si="40"/>
        <v>0</v>
      </c>
      <c r="W73" s="901">
        <f t="shared" si="40"/>
        <v>0</v>
      </c>
      <c r="X73" s="901">
        <f t="shared" si="40"/>
        <v>0</v>
      </c>
      <c r="Y73" s="901">
        <f t="shared" si="40"/>
        <v>0</v>
      </c>
      <c r="Z73" s="901">
        <f t="shared" si="40"/>
        <v>0</v>
      </c>
      <c r="AA73" s="901">
        <f t="shared" si="40"/>
        <v>0</v>
      </c>
      <c r="AB73" s="901">
        <f t="shared" si="40"/>
        <v>0</v>
      </c>
      <c r="AC73" s="901">
        <f t="shared" si="40"/>
        <v>0</v>
      </c>
      <c r="AD73" s="901">
        <f t="shared" si="40"/>
        <v>0</v>
      </c>
      <c r="AE73" s="1027">
        <f t="shared" si="40"/>
        <v>0</v>
      </c>
    </row>
    <row r="74" spans="2:31" ht="21.95" customHeight="1" x14ac:dyDescent="0.2">
      <c r="B74" s="1349"/>
      <c r="C74" s="116" t="str">
        <f>'Project Cost Data'!B13</f>
        <v>Williams Street Improvements</v>
      </c>
      <c r="D74" s="902">
        <f t="shared" ref="D74:AE74" si="41">$H$54*D38</f>
        <v>0</v>
      </c>
      <c r="E74" s="902">
        <f t="shared" si="41"/>
        <v>0</v>
      </c>
      <c r="F74" s="902">
        <f t="shared" si="41"/>
        <v>0</v>
      </c>
      <c r="G74" s="902">
        <f t="shared" si="41"/>
        <v>0</v>
      </c>
      <c r="H74" s="902">
        <f t="shared" si="41"/>
        <v>4308570.0613857666</v>
      </c>
      <c r="I74" s="902">
        <f t="shared" si="41"/>
        <v>4308570.0613857666</v>
      </c>
      <c r="J74" s="902">
        <f t="shared" si="41"/>
        <v>4308570.0613857666</v>
      </c>
      <c r="K74" s="902">
        <f t="shared" si="41"/>
        <v>0</v>
      </c>
      <c r="L74" s="902">
        <f t="shared" si="41"/>
        <v>0</v>
      </c>
      <c r="M74" s="902">
        <f t="shared" si="41"/>
        <v>0</v>
      </c>
      <c r="N74" s="902">
        <f t="shared" si="41"/>
        <v>0</v>
      </c>
      <c r="O74" s="902">
        <f t="shared" si="41"/>
        <v>0</v>
      </c>
      <c r="P74" s="902">
        <f t="shared" si="41"/>
        <v>0</v>
      </c>
      <c r="Q74" s="902">
        <f t="shared" si="41"/>
        <v>0</v>
      </c>
      <c r="R74" s="902">
        <f t="shared" si="41"/>
        <v>0</v>
      </c>
      <c r="S74" s="902">
        <f t="shared" si="41"/>
        <v>0</v>
      </c>
      <c r="T74" s="902">
        <f t="shared" si="41"/>
        <v>0</v>
      </c>
      <c r="U74" s="902">
        <f t="shared" si="41"/>
        <v>0</v>
      </c>
      <c r="V74" s="902">
        <f t="shared" si="41"/>
        <v>0</v>
      </c>
      <c r="W74" s="902">
        <f t="shared" si="41"/>
        <v>0</v>
      </c>
      <c r="X74" s="902">
        <f t="shared" si="41"/>
        <v>0</v>
      </c>
      <c r="Y74" s="902">
        <f t="shared" si="41"/>
        <v>0</v>
      </c>
      <c r="Z74" s="902">
        <f t="shared" si="41"/>
        <v>0</v>
      </c>
      <c r="AA74" s="902">
        <f t="shared" si="41"/>
        <v>0</v>
      </c>
      <c r="AB74" s="902">
        <f t="shared" si="41"/>
        <v>0</v>
      </c>
      <c r="AC74" s="902">
        <f t="shared" si="41"/>
        <v>0</v>
      </c>
      <c r="AD74" s="902">
        <f t="shared" si="41"/>
        <v>0</v>
      </c>
      <c r="AE74" s="1028">
        <f t="shared" si="41"/>
        <v>0</v>
      </c>
    </row>
    <row r="75" spans="2:31" ht="21.95" customHeight="1" x14ac:dyDescent="0.2">
      <c r="B75" s="1346" t="s">
        <v>23</v>
      </c>
      <c r="C75" s="220" t="str">
        <f>'Project Cost Data'!B9</f>
        <v>US-412/SH-412B Interchange</v>
      </c>
      <c r="D75" s="901">
        <f t="shared" ref="D75:AE75" si="42">D65+D70</f>
        <v>0</v>
      </c>
      <c r="E75" s="901">
        <f t="shared" si="42"/>
        <v>1343738.2766364045</v>
      </c>
      <c r="F75" s="901">
        <f t="shared" si="42"/>
        <v>1343738.2766364045</v>
      </c>
      <c r="G75" s="901">
        <f t="shared" si="42"/>
        <v>1343738.2766364045</v>
      </c>
      <c r="H75" s="901">
        <f t="shared" si="42"/>
        <v>6676699.5620371355</v>
      </c>
      <c r="I75" s="901">
        <f t="shared" si="42"/>
        <v>6676699.5620371355</v>
      </c>
      <c r="J75" s="901">
        <f t="shared" si="42"/>
        <v>6676699.5620371355</v>
      </c>
      <c r="K75" s="901">
        <f t="shared" si="42"/>
        <v>6676699.5620371355</v>
      </c>
      <c r="L75" s="901">
        <f t="shared" si="42"/>
        <v>0</v>
      </c>
      <c r="M75" s="901">
        <f t="shared" si="42"/>
        <v>0</v>
      </c>
      <c r="N75" s="901">
        <f t="shared" si="42"/>
        <v>0</v>
      </c>
      <c r="O75" s="901">
        <f t="shared" si="42"/>
        <v>0</v>
      </c>
      <c r="P75" s="901">
        <f t="shared" si="42"/>
        <v>0</v>
      </c>
      <c r="Q75" s="901">
        <f t="shared" si="42"/>
        <v>0</v>
      </c>
      <c r="R75" s="901">
        <f t="shared" si="42"/>
        <v>0</v>
      </c>
      <c r="S75" s="901">
        <f t="shared" si="42"/>
        <v>0</v>
      </c>
      <c r="T75" s="901">
        <f t="shared" si="42"/>
        <v>0</v>
      </c>
      <c r="U75" s="901">
        <f t="shared" si="42"/>
        <v>0</v>
      </c>
      <c r="V75" s="901">
        <f t="shared" si="42"/>
        <v>0</v>
      </c>
      <c r="W75" s="901">
        <f t="shared" si="42"/>
        <v>0</v>
      </c>
      <c r="X75" s="901">
        <f t="shared" si="42"/>
        <v>0</v>
      </c>
      <c r="Y75" s="901">
        <f t="shared" si="42"/>
        <v>0</v>
      </c>
      <c r="Z75" s="901">
        <f t="shared" si="42"/>
        <v>0</v>
      </c>
      <c r="AA75" s="901">
        <f t="shared" si="42"/>
        <v>0</v>
      </c>
      <c r="AB75" s="901">
        <f t="shared" si="42"/>
        <v>0</v>
      </c>
      <c r="AC75" s="901">
        <f t="shared" si="42"/>
        <v>0</v>
      </c>
      <c r="AD75" s="901">
        <f t="shared" si="42"/>
        <v>0</v>
      </c>
      <c r="AE75" s="1027">
        <f t="shared" si="42"/>
        <v>0</v>
      </c>
    </row>
    <row r="76" spans="2:31" ht="21.95" customHeight="1" x14ac:dyDescent="0.2">
      <c r="B76" s="1349"/>
      <c r="C76" s="116" t="str">
        <f>'Project Cost Data'!B10</f>
        <v>SH-412B South Widening</v>
      </c>
      <c r="D76" s="901">
        <f t="shared" ref="D76:AE76" si="43">D66+D71</f>
        <v>0</v>
      </c>
      <c r="E76" s="901">
        <f t="shared" si="43"/>
        <v>0</v>
      </c>
      <c r="F76" s="901">
        <f t="shared" si="43"/>
        <v>902226.40627138491</v>
      </c>
      <c r="G76" s="901">
        <f t="shared" si="43"/>
        <v>902226.40627138491</v>
      </c>
      <c r="H76" s="901">
        <f t="shared" si="43"/>
        <v>4554095.1935603227</v>
      </c>
      <c r="I76" s="901">
        <f t="shared" si="43"/>
        <v>4554095.1935603227</v>
      </c>
      <c r="J76" s="901">
        <f t="shared" si="43"/>
        <v>4554095.1935603227</v>
      </c>
      <c r="K76" s="901">
        <f t="shared" si="43"/>
        <v>0</v>
      </c>
      <c r="L76" s="901">
        <f t="shared" si="43"/>
        <v>0</v>
      </c>
      <c r="M76" s="901">
        <f t="shared" si="43"/>
        <v>0</v>
      </c>
      <c r="N76" s="901">
        <f t="shared" si="43"/>
        <v>0</v>
      </c>
      <c r="O76" s="901">
        <f t="shared" si="43"/>
        <v>0</v>
      </c>
      <c r="P76" s="901">
        <f t="shared" si="43"/>
        <v>0</v>
      </c>
      <c r="Q76" s="901">
        <f t="shared" si="43"/>
        <v>0</v>
      </c>
      <c r="R76" s="901">
        <f t="shared" si="43"/>
        <v>0</v>
      </c>
      <c r="S76" s="901">
        <f t="shared" si="43"/>
        <v>0</v>
      </c>
      <c r="T76" s="901">
        <f t="shared" si="43"/>
        <v>0</v>
      </c>
      <c r="U76" s="901">
        <f t="shared" si="43"/>
        <v>0</v>
      </c>
      <c r="V76" s="901">
        <f t="shared" si="43"/>
        <v>0</v>
      </c>
      <c r="W76" s="901">
        <f t="shared" si="43"/>
        <v>0</v>
      </c>
      <c r="X76" s="901">
        <f t="shared" si="43"/>
        <v>0</v>
      </c>
      <c r="Y76" s="901">
        <f t="shared" si="43"/>
        <v>0</v>
      </c>
      <c r="Z76" s="901">
        <f t="shared" si="43"/>
        <v>0</v>
      </c>
      <c r="AA76" s="901">
        <f t="shared" si="43"/>
        <v>0</v>
      </c>
      <c r="AB76" s="901">
        <f t="shared" si="43"/>
        <v>0</v>
      </c>
      <c r="AC76" s="901">
        <f t="shared" si="43"/>
        <v>0</v>
      </c>
      <c r="AD76" s="901">
        <f t="shared" si="43"/>
        <v>0</v>
      </c>
      <c r="AE76" s="1027">
        <f t="shared" si="43"/>
        <v>0</v>
      </c>
    </row>
    <row r="77" spans="2:31" ht="21.95" customHeight="1" x14ac:dyDescent="0.2">
      <c r="B77" s="1349"/>
      <c r="C77" s="116" t="str">
        <f>'Project Cost Data'!B11</f>
        <v>SH-412B Roundabout</v>
      </c>
      <c r="D77" s="901">
        <f t="shared" ref="D77:AE77" si="44">D67+D72</f>
        <v>0</v>
      </c>
      <c r="E77" s="901">
        <f t="shared" si="44"/>
        <v>0</v>
      </c>
      <c r="F77" s="901">
        <f t="shared" si="44"/>
        <v>351476.02609528735</v>
      </c>
      <c r="G77" s="901">
        <f t="shared" si="44"/>
        <v>351476.02609528735</v>
      </c>
      <c r="H77" s="901">
        <f t="shared" si="44"/>
        <v>2661175.6261500325</v>
      </c>
      <c r="I77" s="901">
        <f t="shared" si="44"/>
        <v>2661175.6261500325</v>
      </c>
      <c r="J77" s="901">
        <f t="shared" si="44"/>
        <v>0</v>
      </c>
      <c r="K77" s="901">
        <f t="shared" si="44"/>
        <v>0</v>
      </c>
      <c r="L77" s="901">
        <f t="shared" si="44"/>
        <v>0</v>
      </c>
      <c r="M77" s="901">
        <f t="shared" si="44"/>
        <v>0</v>
      </c>
      <c r="N77" s="901">
        <f t="shared" si="44"/>
        <v>0</v>
      </c>
      <c r="O77" s="901">
        <f t="shared" si="44"/>
        <v>0</v>
      </c>
      <c r="P77" s="901">
        <f t="shared" si="44"/>
        <v>0</v>
      </c>
      <c r="Q77" s="901">
        <f t="shared" si="44"/>
        <v>0</v>
      </c>
      <c r="R77" s="901">
        <f t="shared" si="44"/>
        <v>0</v>
      </c>
      <c r="S77" s="901">
        <f t="shared" si="44"/>
        <v>0</v>
      </c>
      <c r="T77" s="901">
        <f t="shared" si="44"/>
        <v>0</v>
      </c>
      <c r="U77" s="901">
        <f t="shared" si="44"/>
        <v>0</v>
      </c>
      <c r="V77" s="901">
        <f t="shared" si="44"/>
        <v>0</v>
      </c>
      <c r="W77" s="901">
        <f t="shared" si="44"/>
        <v>0</v>
      </c>
      <c r="X77" s="901">
        <f t="shared" si="44"/>
        <v>0</v>
      </c>
      <c r="Y77" s="901">
        <f t="shared" si="44"/>
        <v>0</v>
      </c>
      <c r="Z77" s="901">
        <f t="shared" si="44"/>
        <v>0</v>
      </c>
      <c r="AA77" s="901">
        <f t="shared" si="44"/>
        <v>0</v>
      </c>
      <c r="AB77" s="901">
        <f t="shared" si="44"/>
        <v>0</v>
      </c>
      <c r="AC77" s="901">
        <f t="shared" si="44"/>
        <v>0</v>
      </c>
      <c r="AD77" s="901">
        <f t="shared" si="44"/>
        <v>0</v>
      </c>
      <c r="AE77" s="1027">
        <f t="shared" si="44"/>
        <v>0</v>
      </c>
    </row>
    <row r="78" spans="2:31" ht="21.95" customHeight="1" x14ac:dyDescent="0.2">
      <c r="B78" s="1349"/>
      <c r="C78" s="116" t="str">
        <f>'Project Cost Data'!B12</f>
        <v>Patrol Road Improvements</v>
      </c>
      <c r="D78" s="901">
        <f t="shared" ref="D78:AE78" si="45">D68+D73</f>
        <v>0</v>
      </c>
      <c r="E78" s="901">
        <f t="shared" si="45"/>
        <v>677846.62175519695</v>
      </c>
      <c r="F78" s="901">
        <f t="shared" si="45"/>
        <v>677846.62175519695</v>
      </c>
      <c r="G78" s="901">
        <f t="shared" si="45"/>
        <v>0</v>
      </c>
      <c r="H78" s="901">
        <f t="shared" si="45"/>
        <v>5132267.2790036341</v>
      </c>
      <c r="I78" s="901">
        <f t="shared" si="45"/>
        <v>5132267.2790036341</v>
      </c>
      <c r="J78" s="901">
        <f t="shared" si="45"/>
        <v>0</v>
      </c>
      <c r="K78" s="901">
        <f t="shared" si="45"/>
        <v>0</v>
      </c>
      <c r="L78" s="901">
        <f t="shared" si="45"/>
        <v>0</v>
      </c>
      <c r="M78" s="901">
        <f t="shared" si="45"/>
        <v>0</v>
      </c>
      <c r="N78" s="901">
        <f t="shared" si="45"/>
        <v>0</v>
      </c>
      <c r="O78" s="901">
        <f t="shared" si="45"/>
        <v>0</v>
      </c>
      <c r="P78" s="901">
        <f t="shared" si="45"/>
        <v>0</v>
      </c>
      <c r="Q78" s="901">
        <f t="shared" si="45"/>
        <v>0</v>
      </c>
      <c r="R78" s="901">
        <f t="shared" si="45"/>
        <v>0</v>
      </c>
      <c r="S78" s="901">
        <f t="shared" si="45"/>
        <v>0</v>
      </c>
      <c r="T78" s="901">
        <f t="shared" si="45"/>
        <v>0</v>
      </c>
      <c r="U78" s="901">
        <f t="shared" si="45"/>
        <v>0</v>
      </c>
      <c r="V78" s="901">
        <f t="shared" si="45"/>
        <v>0</v>
      </c>
      <c r="W78" s="901">
        <f t="shared" si="45"/>
        <v>0</v>
      </c>
      <c r="X78" s="901">
        <f t="shared" si="45"/>
        <v>0</v>
      </c>
      <c r="Y78" s="901">
        <f t="shared" si="45"/>
        <v>0</v>
      </c>
      <c r="Z78" s="901">
        <f t="shared" si="45"/>
        <v>0</v>
      </c>
      <c r="AA78" s="901">
        <f t="shared" si="45"/>
        <v>0</v>
      </c>
      <c r="AB78" s="901">
        <f t="shared" si="45"/>
        <v>0</v>
      </c>
      <c r="AC78" s="901">
        <f t="shared" si="45"/>
        <v>0</v>
      </c>
      <c r="AD78" s="901">
        <f t="shared" si="45"/>
        <v>0</v>
      </c>
      <c r="AE78" s="1027">
        <f t="shared" si="45"/>
        <v>0</v>
      </c>
    </row>
    <row r="79" spans="2:31" ht="21.95" customHeight="1" thickBot="1" x14ac:dyDescent="0.25">
      <c r="B79" s="1349"/>
      <c r="C79" s="116" t="str">
        <f>'Project Cost Data'!B13</f>
        <v>Williams Street Improvements</v>
      </c>
      <c r="D79" s="901">
        <f t="shared" ref="D79:AE79" si="46">D69+D74</f>
        <v>0</v>
      </c>
      <c r="E79" s="901">
        <f t="shared" si="46"/>
        <v>0</v>
      </c>
      <c r="F79" s="901">
        <f t="shared" si="46"/>
        <v>853584.63480284065</v>
      </c>
      <c r="G79" s="901">
        <f t="shared" si="46"/>
        <v>853584.63480284065</v>
      </c>
      <c r="H79" s="901">
        <f t="shared" si="46"/>
        <v>4308570.0613857666</v>
      </c>
      <c r="I79" s="901">
        <f t="shared" si="46"/>
        <v>4308570.0613857666</v>
      </c>
      <c r="J79" s="901">
        <f t="shared" si="46"/>
        <v>4308570.0613857666</v>
      </c>
      <c r="K79" s="901">
        <f t="shared" si="46"/>
        <v>0</v>
      </c>
      <c r="L79" s="901">
        <f t="shared" si="46"/>
        <v>0</v>
      </c>
      <c r="M79" s="901">
        <f t="shared" si="46"/>
        <v>0</v>
      </c>
      <c r="N79" s="901">
        <f t="shared" si="46"/>
        <v>0</v>
      </c>
      <c r="O79" s="901">
        <f t="shared" si="46"/>
        <v>0</v>
      </c>
      <c r="P79" s="901">
        <f t="shared" si="46"/>
        <v>0</v>
      </c>
      <c r="Q79" s="901">
        <f t="shared" si="46"/>
        <v>0</v>
      </c>
      <c r="R79" s="901">
        <f t="shared" si="46"/>
        <v>0</v>
      </c>
      <c r="S79" s="901">
        <f t="shared" si="46"/>
        <v>0</v>
      </c>
      <c r="T79" s="901">
        <f t="shared" si="46"/>
        <v>0</v>
      </c>
      <c r="U79" s="901">
        <f t="shared" si="46"/>
        <v>0</v>
      </c>
      <c r="V79" s="901">
        <f t="shared" si="46"/>
        <v>0</v>
      </c>
      <c r="W79" s="901">
        <f t="shared" si="46"/>
        <v>0</v>
      </c>
      <c r="X79" s="901">
        <f t="shared" si="46"/>
        <v>0</v>
      </c>
      <c r="Y79" s="901">
        <f t="shared" si="46"/>
        <v>0</v>
      </c>
      <c r="Z79" s="901">
        <f t="shared" si="46"/>
        <v>0</v>
      </c>
      <c r="AA79" s="901">
        <f t="shared" si="46"/>
        <v>0</v>
      </c>
      <c r="AB79" s="901">
        <f t="shared" si="46"/>
        <v>0</v>
      </c>
      <c r="AC79" s="901">
        <f t="shared" si="46"/>
        <v>0</v>
      </c>
      <c r="AD79" s="901">
        <f t="shared" si="46"/>
        <v>0</v>
      </c>
      <c r="AE79" s="1027">
        <f t="shared" si="46"/>
        <v>0</v>
      </c>
    </row>
    <row r="80" spans="2:31" ht="21.95" customHeight="1" thickBot="1" x14ac:dyDescent="0.25">
      <c r="B80" s="1030"/>
      <c r="C80" s="732" t="s">
        <v>25</v>
      </c>
      <c r="D80" s="1031">
        <f t="shared" ref="D80:AE80" si="47">SUM(D75:D79)</f>
        <v>0</v>
      </c>
      <c r="E80" s="1031">
        <f t="shared" si="47"/>
        <v>2021584.8983916014</v>
      </c>
      <c r="F80" s="1031">
        <f t="shared" si="47"/>
        <v>4128871.9655611143</v>
      </c>
      <c r="G80" s="1031">
        <f t="shared" si="47"/>
        <v>3451025.3438059175</v>
      </c>
      <c r="H80" s="1031">
        <f t="shared" si="47"/>
        <v>23332807.722136889</v>
      </c>
      <c r="I80" s="1031">
        <f t="shared" si="47"/>
        <v>23332807.722136889</v>
      </c>
      <c r="J80" s="1031">
        <f t="shared" si="47"/>
        <v>15539364.816983223</v>
      </c>
      <c r="K80" s="1031">
        <f t="shared" si="47"/>
        <v>6676699.5620371355</v>
      </c>
      <c r="L80" s="1031">
        <f t="shared" si="47"/>
        <v>0</v>
      </c>
      <c r="M80" s="1031">
        <f t="shared" si="47"/>
        <v>0</v>
      </c>
      <c r="N80" s="1031">
        <f t="shared" si="47"/>
        <v>0</v>
      </c>
      <c r="O80" s="1031">
        <f t="shared" si="47"/>
        <v>0</v>
      </c>
      <c r="P80" s="1031">
        <f t="shared" si="47"/>
        <v>0</v>
      </c>
      <c r="Q80" s="1031">
        <f t="shared" si="47"/>
        <v>0</v>
      </c>
      <c r="R80" s="1031">
        <f t="shared" si="47"/>
        <v>0</v>
      </c>
      <c r="S80" s="1031">
        <f t="shared" si="47"/>
        <v>0</v>
      </c>
      <c r="T80" s="1031">
        <f t="shared" si="47"/>
        <v>0</v>
      </c>
      <c r="U80" s="1031">
        <f t="shared" si="47"/>
        <v>0</v>
      </c>
      <c r="V80" s="1031">
        <f t="shared" si="47"/>
        <v>0</v>
      </c>
      <c r="W80" s="1031">
        <f t="shared" si="47"/>
        <v>0</v>
      </c>
      <c r="X80" s="1031">
        <f t="shared" si="47"/>
        <v>0</v>
      </c>
      <c r="Y80" s="1031">
        <f t="shared" si="47"/>
        <v>0</v>
      </c>
      <c r="Z80" s="1031">
        <f t="shared" si="47"/>
        <v>0</v>
      </c>
      <c r="AA80" s="1031">
        <f t="shared" si="47"/>
        <v>0</v>
      </c>
      <c r="AB80" s="1031">
        <f t="shared" si="47"/>
        <v>0</v>
      </c>
      <c r="AC80" s="1031">
        <f t="shared" si="47"/>
        <v>0</v>
      </c>
      <c r="AD80" s="1031">
        <f t="shared" si="47"/>
        <v>0</v>
      </c>
      <c r="AE80" s="1032">
        <f t="shared" si="47"/>
        <v>0</v>
      </c>
    </row>
    <row r="82" spans="2:31" ht="21.95" customHeight="1" thickBot="1" x14ac:dyDescent="0.25">
      <c r="B82" s="195" t="s">
        <v>618</v>
      </c>
    </row>
    <row r="83" spans="2:31" ht="21.95" customHeight="1" x14ac:dyDescent="0.2">
      <c r="B83" s="832" t="s">
        <v>88</v>
      </c>
      <c r="C83" s="759" t="s">
        <v>61</v>
      </c>
      <c r="D83" s="760">
        <v>2021</v>
      </c>
      <c r="E83" s="760">
        <f>D83+1</f>
        <v>2022</v>
      </c>
      <c r="F83" s="760">
        <f>E83+1</f>
        <v>2023</v>
      </c>
      <c r="G83" s="760">
        <f t="shared" ref="G83:I83" si="48">F83+1</f>
        <v>2024</v>
      </c>
      <c r="H83" s="760">
        <f t="shared" si="48"/>
        <v>2025</v>
      </c>
      <c r="I83" s="760">
        <f t="shared" si="48"/>
        <v>2026</v>
      </c>
      <c r="J83" s="760">
        <f t="shared" ref="J83" si="49">I83+1</f>
        <v>2027</v>
      </c>
      <c r="K83" s="760">
        <f>J83+1</f>
        <v>2028</v>
      </c>
      <c r="L83" s="760">
        <f t="shared" ref="L83" si="50">K83+1</f>
        <v>2029</v>
      </c>
      <c r="M83" s="760">
        <f t="shared" ref="M83:N83" si="51">L83+1</f>
        <v>2030</v>
      </c>
      <c r="N83" s="760">
        <f t="shared" si="51"/>
        <v>2031</v>
      </c>
      <c r="O83" s="760">
        <f t="shared" ref="O83" si="52">N83+1</f>
        <v>2032</v>
      </c>
      <c r="P83" s="760">
        <f t="shared" ref="P83:Q83" si="53">O83+1</f>
        <v>2033</v>
      </c>
      <c r="Q83" s="760">
        <f t="shared" si="53"/>
        <v>2034</v>
      </c>
      <c r="R83" s="760">
        <f t="shared" ref="R83" si="54">Q83+1</f>
        <v>2035</v>
      </c>
      <c r="S83" s="760">
        <f t="shared" ref="S83:T83" si="55">R83+1</f>
        <v>2036</v>
      </c>
      <c r="T83" s="760">
        <f t="shared" si="55"/>
        <v>2037</v>
      </c>
      <c r="U83" s="760">
        <f t="shared" ref="U83" si="56">T83+1</f>
        <v>2038</v>
      </c>
      <c r="V83" s="760">
        <f t="shared" ref="V83" si="57">U83+1</f>
        <v>2039</v>
      </c>
      <c r="W83" s="760">
        <f t="shared" ref="W83" si="58">V83+1</f>
        <v>2040</v>
      </c>
      <c r="X83" s="760">
        <f t="shared" ref="X83" si="59">W83+1</f>
        <v>2041</v>
      </c>
      <c r="Y83" s="760">
        <f>X83+1</f>
        <v>2042</v>
      </c>
      <c r="Z83" s="760">
        <f t="shared" ref="Z83" si="60">Y83+1</f>
        <v>2043</v>
      </c>
      <c r="AA83" s="760">
        <f t="shared" ref="AA83" si="61">Z83+1</f>
        <v>2044</v>
      </c>
      <c r="AB83" s="760">
        <f t="shared" ref="AB83" si="62">AA83+1</f>
        <v>2045</v>
      </c>
      <c r="AC83" s="760">
        <f t="shared" ref="AC83" si="63">AB83+1</f>
        <v>2046</v>
      </c>
      <c r="AD83" s="760">
        <f t="shared" ref="AD83" si="64">AC83+1</f>
        <v>2047</v>
      </c>
      <c r="AE83" s="761">
        <f t="shared" ref="AE83" si="65">AD83+1</f>
        <v>2048</v>
      </c>
    </row>
    <row r="84" spans="2:31" ht="21.95" customHeight="1" x14ac:dyDescent="0.2">
      <c r="B84" s="1349" t="s">
        <v>165</v>
      </c>
      <c r="C84" s="116" t="str">
        <f>'Project Cost Data'!B9</f>
        <v>US-412/SH-412B Interchange</v>
      </c>
      <c r="D84" s="901">
        <f t="shared" ref="D84:AE84" si="66">$I$50*D25</f>
        <v>0</v>
      </c>
      <c r="E84" s="901">
        <f t="shared" si="66"/>
        <v>1343738.2766364045</v>
      </c>
      <c r="F84" s="901">
        <f t="shared" si="66"/>
        <v>1343738.2766364045</v>
      </c>
      <c r="G84" s="901">
        <f t="shared" si="66"/>
        <v>1343738.2766364045</v>
      </c>
      <c r="H84" s="901">
        <f t="shared" si="66"/>
        <v>0</v>
      </c>
      <c r="I84" s="901">
        <f t="shared" si="66"/>
        <v>0</v>
      </c>
      <c r="J84" s="901">
        <f t="shared" si="66"/>
        <v>0</v>
      </c>
      <c r="K84" s="901">
        <f t="shared" si="66"/>
        <v>0</v>
      </c>
      <c r="L84" s="901">
        <f t="shared" si="66"/>
        <v>0</v>
      </c>
      <c r="M84" s="901">
        <f t="shared" si="66"/>
        <v>0</v>
      </c>
      <c r="N84" s="901">
        <f t="shared" si="66"/>
        <v>0</v>
      </c>
      <c r="O84" s="901">
        <f t="shared" si="66"/>
        <v>0</v>
      </c>
      <c r="P84" s="901">
        <f t="shared" si="66"/>
        <v>0</v>
      </c>
      <c r="Q84" s="901">
        <f t="shared" si="66"/>
        <v>0</v>
      </c>
      <c r="R84" s="901">
        <f t="shared" si="66"/>
        <v>0</v>
      </c>
      <c r="S84" s="901">
        <f t="shared" si="66"/>
        <v>0</v>
      </c>
      <c r="T84" s="901">
        <f t="shared" si="66"/>
        <v>0</v>
      </c>
      <c r="U84" s="901">
        <f t="shared" si="66"/>
        <v>0</v>
      </c>
      <c r="V84" s="901">
        <f t="shared" si="66"/>
        <v>0</v>
      </c>
      <c r="W84" s="901">
        <f t="shared" si="66"/>
        <v>0</v>
      </c>
      <c r="X84" s="901">
        <f t="shared" si="66"/>
        <v>0</v>
      </c>
      <c r="Y84" s="901">
        <f t="shared" si="66"/>
        <v>0</v>
      </c>
      <c r="Z84" s="901">
        <f t="shared" si="66"/>
        <v>0</v>
      </c>
      <c r="AA84" s="901">
        <f t="shared" si="66"/>
        <v>0</v>
      </c>
      <c r="AB84" s="901">
        <f t="shared" si="66"/>
        <v>0</v>
      </c>
      <c r="AC84" s="901">
        <f t="shared" si="66"/>
        <v>0</v>
      </c>
      <c r="AD84" s="901">
        <f t="shared" si="66"/>
        <v>0</v>
      </c>
      <c r="AE84" s="1027">
        <f t="shared" si="66"/>
        <v>0</v>
      </c>
    </row>
    <row r="85" spans="2:31" ht="21.95" customHeight="1" x14ac:dyDescent="0.2">
      <c r="B85" s="1349"/>
      <c r="C85" s="116" t="str">
        <f>'Project Cost Data'!B10</f>
        <v>SH-412B South Widening</v>
      </c>
      <c r="D85" s="901">
        <f t="shared" ref="D85:AE85" si="67">$I$51*D26</f>
        <v>0</v>
      </c>
      <c r="E85" s="901">
        <f t="shared" si="67"/>
        <v>0</v>
      </c>
      <c r="F85" s="901">
        <f t="shared" si="67"/>
        <v>902226.40627138491</v>
      </c>
      <c r="G85" s="901">
        <f t="shared" si="67"/>
        <v>902226.40627138491</v>
      </c>
      <c r="H85" s="901">
        <f t="shared" si="67"/>
        <v>0</v>
      </c>
      <c r="I85" s="901">
        <f t="shared" si="67"/>
        <v>0</v>
      </c>
      <c r="J85" s="901">
        <f t="shared" si="67"/>
        <v>0</v>
      </c>
      <c r="K85" s="901">
        <f t="shared" si="67"/>
        <v>0</v>
      </c>
      <c r="L85" s="901">
        <f t="shared" si="67"/>
        <v>0</v>
      </c>
      <c r="M85" s="901">
        <f t="shared" si="67"/>
        <v>0</v>
      </c>
      <c r="N85" s="901">
        <f t="shared" si="67"/>
        <v>0</v>
      </c>
      <c r="O85" s="901">
        <f t="shared" si="67"/>
        <v>0</v>
      </c>
      <c r="P85" s="901">
        <f t="shared" si="67"/>
        <v>0</v>
      </c>
      <c r="Q85" s="901">
        <f t="shared" si="67"/>
        <v>0</v>
      </c>
      <c r="R85" s="901">
        <f t="shared" si="67"/>
        <v>0</v>
      </c>
      <c r="S85" s="901">
        <f t="shared" si="67"/>
        <v>0</v>
      </c>
      <c r="T85" s="901">
        <f t="shared" si="67"/>
        <v>0</v>
      </c>
      <c r="U85" s="901">
        <f t="shared" si="67"/>
        <v>0</v>
      </c>
      <c r="V85" s="901">
        <f t="shared" si="67"/>
        <v>0</v>
      </c>
      <c r="W85" s="901">
        <f t="shared" si="67"/>
        <v>0</v>
      </c>
      <c r="X85" s="901">
        <f t="shared" si="67"/>
        <v>0</v>
      </c>
      <c r="Y85" s="901">
        <f t="shared" si="67"/>
        <v>0</v>
      </c>
      <c r="Z85" s="901">
        <f t="shared" si="67"/>
        <v>0</v>
      </c>
      <c r="AA85" s="901">
        <f t="shared" si="67"/>
        <v>0</v>
      </c>
      <c r="AB85" s="901">
        <f t="shared" si="67"/>
        <v>0</v>
      </c>
      <c r="AC85" s="901">
        <f t="shared" si="67"/>
        <v>0</v>
      </c>
      <c r="AD85" s="901">
        <f t="shared" si="67"/>
        <v>0</v>
      </c>
      <c r="AE85" s="1027">
        <f t="shared" si="67"/>
        <v>0</v>
      </c>
    </row>
    <row r="86" spans="2:31" ht="21.95" customHeight="1" x14ac:dyDescent="0.2">
      <c r="B86" s="1349"/>
      <c r="C86" s="116" t="str">
        <f>'Project Cost Data'!B11</f>
        <v>SH-412B Roundabout</v>
      </c>
      <c r="D86" s="901">
        <f t="shared" ref="D86:AE86" si="68">$I$52*D27</f>
        <v>0</v>
      </c>
      <c r="E86" s="901">
        <f t="shared" si="68"/>
        <v>0</v>
      </c>
      <c r="F86" s="901">
        <f t="shared" si="68"/>
        <v>351476.02609528735</v>
      </c>
      <c r="G86" s="901">
        <f t="shared" si="68"/>
        <v>351476.02609528735</v>
      </c>
      <c r="H86" s="901">
        <f t="shared" si="68"/>
        <v>0</v>
      </c>
      <c r="I86" s="901">
        <f t="shared" si="68"/>
        <v>0</v>
      </c>
      <c r="J86" s="901">
        <f t="shared" si="68"/>
        <v>0</v>
      </c>
      <c r="K86" s="901">
        <f t="shared" si="68"/>
        <v>0</v>
      </c>
      <c r="L86" s="901">
        <f t="shared" si="68"/>
        <v>0</v>
      </c>
      <c r="M86" s="901">
        <f t="shared" si="68"/>
        <v>0</v>
      </c>
      <c r="N86" s="901">
        <f t="shared" si="68"/>
        <v>0</v>
      </c>
      <c r="O86" s="901">
        <f t="shared" si="68"/>
        <v>0</v>
      </c>
      <c r="P86" s="901">
        <f t="shared" si="68"/>
        <v>0</v>
      </c>
      <c r="Q86" s="901">
        <f t="shared" si="68"/>
        <v>0</v>
      </c>
      <c r="R86" s="901">
        <f t="shared" si="68"/>
        <v>0</v>
      </c>
      <c r="S86" s="901">
        <f t="shared" si="68"/>
        <v>0</v>
      </c>
      <c r="T86" s="901">
        <f t="shared" si="68"/>
        <v>0</v>
      </c>
      <c r="U86" s="901">
        <f t="shared" si="68"/>
        <v>0</v>
      </c>
      <c r="V86" s="901">
        <f t="shared" si="68"/>
        <v>0</v>
      </c>
      <c r="W86" s="901">
        <f t="shared" si="68"/>
        <v>0</v>
      </c>
      <c r="X86" s="901">
        <f t="shared" si="68"/>
        <v>0</v>
      </c>
      <c r="Y86" s="901">
        <f t="shared" si="68"/>
        <v>0</v>
      </c>
      <c r="Z86" s="901">
        <f t="shared" si="68"/>
        <v>0</v>
      </c>
      <c r="AA86" s="901">
        <f t="shared" si="68"/>
        <v>0</v>
      </c>
      <c r="AB86" s="901">
        <f t="shared" si="68"/>
        <v>0</v>
      </c>
      <c r="AC86" s="901">
        <f t="shared" si="68"/>
        <v>0</v>
      </c>
      <c r="AD86" s="901">
        <f t="shared" si="68"/>
        <v>0</v>
      </c>
      <c r="AE86" s="1027">
        <f t="shared" si="68"/>
        <v>0</v>
      </c>
    </row>
    <row r="87" spans="2:31" ht="21.95" customHeight="1" x14ac:dyDescent="0.2">
      <c r="B87" s="1349"/>
      <c r="C87" s="116" t="str">
        <f>'Project Cost Data'!B12</f>
        <v>Patrol Road Improvements</v>
      </c>
      <c r="D87" s="901">
        <f t="shared" ref="D87:AE87" si="69">$I$53*D28</f>
        <v>0</v>
      </c>
      <c r="E87" s="901">
        <f t="shared" si="69"/>
        <v>677846.62175519695</v>
      </c>
      <c r="F87" s="901">
        <f t="shared" si="69"/>
        <v>677846.62175519695</v>
      </c>
      <c r="G87" s="901">
        <f t="shared" si="69"/>
        <v>0</v>
      </c>
      <c r="H87" s="901">
        <f t="shared" si="69"/>
        <v>0</v>
      </c>
      <c r="I87" s="901">
        <f t="shared" si="69"/>
        <v>0</v>
      </c>
      <c r="J87" s="901">
        <f t="shared" si="69"/>
        <v>0</v>
      </c>
      <c r="K87" s="901">
        <f t="shared" si="69"/>
        <v>0</v>
      </c>
      <c r="L87" s="901">
        <f t="shared" si="69"/>
        <v>0</v>
      </c>
      <c r="M87" s="901">
        <f t="shared" si="69"/>
        <v>0</v>
      </c>
      <c r="N87" s="901">
        <f t="shared" si="69"/>
        <v>0</v>
      </c>
      <c r="O87" s="901">
        <f t="shared" si="69"/>
        <v>0</v>
      </c>
      <c r="P87" s="901">
        <f t="shared" si="69"/>
        <v>0</v>
      </c>
      <c r="Q87" s="901">
        <f t="shared" si="69"/>
        <v>0</v>
      </c>
      <c r="R87" s="901">
        <f t="shared" si="69"/>
        <v>0</v>
      </c>
      <c r="S87" s="901">
        <f t="shared" si="69"/>
        <v>0</v>
      </c>
      <c r="T87" s="901">
        <f t="shared" si="69"/>
        <v>0</v>
      </c>
      <c r="U87" s="901">
        <f t="shared" si="69"/>
        <v>0</v>
      </c>
      <c r="V87" s="901">
        <f t="shared" si="69"/>
        <v>0</v>
      </c>
      <c r="W87" s="901">
        <f t="shared" si="69"/>
        <v>0</v>
      </c>
      <c r="X87" s="901">
        <f t="shared" si="69"/>
        <v>0</v>
      </c>
      <c r="Y87" s="901">
        <f t="shared" si="69"/>
        <v>0</v>
      </c>
      <c r="Z87" s="901">
        <f t="shared" si="69"/>
        <v>0</v>
      </c>
      <c r="AA87" s="901">
        <f t="shared" si="69"/>
        <v>0</v>
      </c>
      <c r="AB87" s="901">
        <f t="shared" si="69"/>
        <v>0</v>
      </c>
      <c r="AC87" s="901">
        <f t="shared" si="69"/>
        <v>0</v>
      </c>
      <c r="AD87" s="901">
        <f t="shared" si="69"/>
        <v>0</v>
      </c>
      <c r="AE87" s="1027">
        <f t="shared" si="69"/>
        <v>0</v>
      </c>
    </row>
    <row r="88" spans="2:31" ht="21.95" customHeight="1" x14ac:dyDescent="0.2">
      <c r="B88" s="1349"/>
      <c r="C88" s="116" t="str">
        <f>'Project Cost Data'!B13</f>
        <v>Williams Street Improvements</v>
      </c>
      <c r="D88" s="901">
        <f t="shared" ref="D88:AE88" si="70">$I$54*D29</f>
        <v>0</v>
      </c>
      <c r="E88" s="901">
        <f t="shared" si="70"/>
        <v>0</v>
      </c>
      <c r="F88" s="901">
        <f t="shared" si="70"/>
        <v>853584.63480284065</v>
      </c>
      <c r="G88" s="901">
        <f t="shared" si="70"/>
        <v>853584.63480284065</v>
      </c>
      <c r="H88" s="901">
        <f t="shared" si="70"/>
        <v>0</v>
      </c>
      <c r="I88" s="901">
        <f t="shared" si="70"/>
        <v>0</v>
      </c>
      <c r="J88" s="901">
        <f t="shared" si="70"/>
        <v>0</v>
      </c>
      <c r="K88" s="901">
        <f t="shared" si="70"/>
        <v>0</v>
      </c>
      <c r="L88" s="901">
        <f t="shared" si="70"/>
        <v>0</v>
      </c>
      <c r="M88" s="901">
        <f t="shared" si="70"/>
        <v>0</v>
      </c>
      <c r="N88" s="901">
        <f t="shared" si="70"/>
        <v>0</v>
      </c>
      <c r="O88" s="901">
        <f t="shared" si="70"/>
        <v>0</v>
      </c>
      <c r="P88" s="901">
        <f t="shared" si="70"/>
        <v>0</v>
      </c>
      <c r="Q88" s="901">
        <f t="shared" si="70"/>
        <v>0</v>
      </c>
      <c r="R88" s="901">
        <f t="shared" si="70"/>
        <v>0</v>
      </c>
      <c r="S88" s="901">
        <f t="shared" si="70"/>
        <v>0</v>
      </c>
      <c r="T88" s="901">
        <f t="shared" si="70"/>
        <v>0</v>
      </c>
      <c r="U88" s="901">
        <f t="shared" si="70"/>
        <v>0</v>
      </c>
      <c r="V88" s="901">
        <f t="shared" si="70"/>
        <v>0</v>
      </c>
      <c r="W88" s="901">
        <f t="shared" si="70"/>
        <v>0</v>
      </c>
      <c r="X88" s="901">
        <f t="shared" si="70"/>
        <v>0</v>
      </c>
      <c r="Y88" s="901">
        <f t="shared" si="70"/>
        <v>0</v>
      </c>
      <c r="Z88" s="901">
        <f t="shared" si="70"/>
        <v>0</v>
      </c>
      <c r="AA88" s="901">
        <f t="shared" si="70"/>
        <v>0</v>
      </c>
      <c r="AB88" s="901">
        <f t="shared" si="70"/>
        <v>0</v>
      </c>
      <c r="AC88" s="901">
        <f t="shared" si="70"/>
        <v>0</v>
      </c>
      <c r="AD88" s="901">
        <f t="shared" si="70"/>
        <v>0</v>
      </c>
      <c r="AE88" s="1027">
        <f t="shared" si="70"/>
        <v>0</v>
      </c>
    </row>
    <row r="89" spans="2:31" ht="21.95" customHeight="1" x14ac:dyDescent="0.2">
      <c r="B89" s="1349"/>
      <c r="C89" s="116" t="str">
        <f>'Project Cost Data'!B14</f>
        <v>SH-412B North Reconstruction</v>
      </c>
      <c r="D89" s="901">
        <f t="shared" ref="D89:AE89" si="71">$I$57*D30</f>
        <v>0</v>
      </c>
      <c r="E89" s="901">
        <f t="shared" si="71"/>
        <v>481710.44647880894</v>
      </c>
      <c r="F89" s="901">
        <f t="shared" si="71"/>
        <v>481710.44647880894</v>
      </c>
      <c r="G89" s="901">
        <f t="shared" si="71"/>
        <v>0</v>
      </c>
      <c r="H89" s="901">
        <f t="shared" si="71"/>
        <v>0</v>
      </c>
      <c r="I89" s="901">
        <f t="shared" si="71"/>
        <v>0</v>
      </c>
      <c r="J89" s="901">
        <f t="shared" si="71"/>
        <v>0</v>
      </c>
      <c r="K89" s="901">
        <f t="shared" si="71"/>
        <v>0</v>
      </c>
      <c r="L89" s="901">
        <f t="shared" si="71"/>
        <v>0</v>
      </c>
      <c r="M89" s="901">
        <f t="shared" si="71"/>
        <v>0</v>
      </c>
      <c r="N89" s="901">
        <f t="shared" si="71"/>
        <v>0</v>
      </c>
      <c r="O89" s="901">
        <f t="shared" si="71"/>
        <v>0</v>
      </c>
      <c r="P89" s="901">
        <f t="shared" si="71"/>
        <v>0</v>
      </c>
      <c r="Q89" s="901">
        <f t="shared" si="71"/>
        <v>0</v>
      </c>
      <c r="R89" s="901">
        <f t="shared" si="71"/>
        <v>0</v>
      </c>
      <c r="S89" s="901">
        <f t="shared" si="71"/>
        <v>0</v>
      </c>
      <c r="T89" s="901">
        <f t="shared" si="71"/>
        <v>0</v>
      </c>
      <c r="U89" s="901">
        <f t="shared" si="71"/>
        <v>0</v>
      </c>
      <c r="V89" s="901">
        <f t="shared" si="71"/>
        <v>0</v>
      </c>
      <c r="W89" s="901">
        <f t="shared" si="71"/>
        <v>0</v>
      </c>
      <c r="X89" s="901">
        <f t="shared" si="71"/>
        <v>0</v>
      </c>
      <c r="Y89" s="901">
        <f t="shared" si="71"/>
        <v>0</v>
      </c>
      <c r="Z89" s="901">
        <f t="shared" si="71"/>
        <v>0</v>
      </c>
      <c r="AA89" s="901">
        <f t="shared" si="71"/>
        <v>0</v>
      </c>
      <c r="AB89" s="901">
        <f t="shared" si="71"/>
        <v>0</v>
      </c>
      <c r="AC89" s="901">
        <f t="shared" si="71"/>
        <v>0</v>
      </c>
      <c r="AD89" s="901">
        <f t="shared" si="71"/>
        <v>0</v>
      </c>
      <c r="AE89" s="1027">
        <f t="shared" si="71"/>
        <v>0</v>
      </c>
    </row>
    <row r="90" spans="2:31" ht="21.95" customHeight="1" x14ac:dyDescent="0.2">
      <c r="B90" s="1349"/>
      <c r="C90" s="116" t="str">
        <f>'Project Cost Data'!B15</f>
        <v>US-69 / Main Street Intersection</v>
      </c>
      <c r="D90" s="901">
        <f t="shared" ref="D90:AE90" si="72">$I$58*D31</f>
        <v>0</v>
      </c>
      <c r="E90" s="901">
        <f t="shared" si="72"/>
        <v>0</v>
      </c>
      <c r="F90" s="901">
        <f t="shared" si="72"/>
        <v>25105.430435377664</v>
      </c>
      <c r="G90" s="901">
        <f t="shared" si="72"/>
        <v>25105.430435377664</v>
      </c>
      <c r="H90" s="901">
        <f t="shared" si="72"/>
        <v>0</v>
      </c>
      <c r="I90" s="901">
        <f t="shared" si="72"/>
        <v>0</v>
      </c>
      <c r="J90" s="901">
        <f t="shared" si="72"/>
        <v>0</v>
      </c>
      <c r="K90" s="901">
        <f t="shared" si="72"/>
        <v>0</v>
      </c>
      <c r="L90" s="901">
        <f t="shared" si="72"/>
        <v>0</v>
      </c>
      <c r="M90" s="901">
        <f t="shared" si="72"/>
        <v>0</v>
      </c>
      <c r="N90" s="901">
        <f t="shared" si="72"/>
        <v>0</v>
      </c>
      <c r="O90" s="901">
        <f t="shared" si="72"/>
        <v>0</v>
      </c>
      <c r="P90" s="901">
        <f t="shared" si="72"/>
        <v>0</v>
      </c>
      <c r="Q90" s="901">
        <f t="shared" si="72"/>
        <v>0</v>
      </c>
      <c r="R90" s="901">
        <f t="shared" si="72"/>
        <v>0</v>
      </c>
      <c r="S90" s="901">
        <f t="shared" si="72"/>
        <v>0</v>
      </c>
      <c r="T90" s="901">
        <f t="shared" si="72"/>
        <v>0</v>
      </c>
      <c r="U90" s="901">
        <f t="shared" si="72"/>
        <v>0</v>
      </c>
      <c r="V90" s="901">
        <f t="shared" si="72"/>
        <v>0</v>
      </c>
      <c r="W90" s="901">
        <f t="shared" si="72"/>
        <v>0</v>
      </c>
      <c r="X90" s="901">
        <f t="shared" si="72"/>
        <v>0</v>
      </c>
      <c r="Y90" s="901">
        <f t="shared" si="72"/>
        <v>0</v>
      </c>
      <c r="Z90" s="901">
        <f t="shared" si="72"/>
        <v>0</v>
      </c>
      <c r="AA90" s="901">
        <f t="shared" si="72"/>
        <v>0</v>
      </c>
      <c r="AB90" s="901">
        <f t="shared" si="72"/>
        <v>0</v>
      </c>
      <c r="AC90" s="901">
        <f t="shared" si="72"/>
        <v>0</v>
      </c>
      <c r="AD90" s="901">
        <f t="shared" si="72"/>
        <v>0</v>
      </c>
      <c r="AE90" s="1027">
        <f t="shared" si="72"/>
        <v>0</v>
      </c>
    </row>
    <row r="91" spans="2:31" ht="21.95" customHeight="1" x14ac:dyDescent="0.2">
      <c r="B91" s="1349"/>
      <c r="C91" s="116" t="str">
        <f>'Project Cost Data'!B16</f>
        <v>Zarrow Street Widening</v>
      </c>
      <c r="D91" s="901">
        <f t="shared" ref="D91:AE91" si="73">$I$59*D32</f>
        <v>0</v>
      </c>
      <c r="E91" s="901">
        <f t="shared" si="73"/>
        <v>0</v>
      </c>
      <c r="F91" s="901">
        <f t="shared" si="73"/>
        <v>397921.07240073598</v>
      </c>
      <c r="G91" s="901">
        <f t="shared" si="73"/>
        <v>397921.07240073598</v>
      </c>
      <c r="H91" s="901">
        <f t="shared" si="73"/>
        <v>0</v>
      </c>
      <c r="I91" s="901">
        <f t="shared" si="73"/>
        <v>0</v>
      </c>
      <c r="J91" s="901">
        <f t="shared" si="73"/>
        <v>0</v>
      </c>
      <c r="K91" s="901">
        <f t="shared" si="73"/>
        <v>0</v>
      </c>
      <c r="L91" s="901">
        <f t="shared" si="73"/>
        <v>0</v>
      </c>
      <c r="M91" s="901">
        <f t="shared" si="73"/>
        <v>0</v>
      </c>
      <c r="N91" s="901">
        <f t="shared" si="73"/>
        <v>0</v>
      </c>
      <c r="O91" s="901">
        <f t="shared" si="73"/>
        <v>0</v>
      </c>
      <c r="P91" s="901">
        <f t="shared" si="73"/>
        <v>0</v>
      </c>
      <c r="Q91" s="901">
        <f t="shared" si="73"/>
        <v>0</v>
      </c>
      <c r="R91" s="901">
        <f t="shared" si="73"/>
        <v>0</v>
      </c>
      <c r="S91" s="901">
        <f t="shared" si="73"/>
        <v>0</v>
      </c>
      <c r="T91" s="901">
        <f t="shared" si="73"/>
        <v>0</v>
      </c>
      <c r="U91" s="901">
        <f t="shared" si="73"/>
        <v>0</v>
      </c>
      <c r="V91" s="901">
        <f t="shared" si="73"/>
        <v>0</v>
      </c>
      <c r="W91" s="901">
        <f t="shared" si="73"/>
        <v>0</v>
      </c>
      <c r="X91" s="901">
        <f t="shared" si="73"/>
        <v>0</v>
      </c>
      <c r="Y91" s="901">
        <f t="shared" si="73"/>
        <v>0</v>
      </c>
      <c r="Z91" s="901">
        <f t="shared" si="73"/>
        <v>0</v>
      </c>
      <c r="AA91" s="901">
        <f t="shared" si="73"/>
        <v>0</v>
      </c>
      <c r="AB91" s="901">
        <f t="shared" si="73"/>
        <v>0</v>
      </c>
      <c r="AC91" s="901">
        <f t="shared" si="73"/>
        <v>0</v>
      </c>
      <c r="AD91" s="901">
        <f t="shared" si="73"/>
        <v>0</v>
      </c>
      <c r="AE91" s="1027">
        <f t="shared" si="73"/>
        <v>0</v>
      </c>
    </row>
    <row r="92" spans="2:31" ht="21.95" customHeight="1" x14ac:dyDescent="0.2">
      <c r="B92" s="1352"/>
      <c r="C92" s="254" t="str">
        <f>'Project Cost Data'!B17</f>
        <v>Rocket Road Improvements</v>
      </c>
      <c r="D92" s="902">
        <f t="shared" ref="D92:AE92" si="74">$I$60*D33</f>
        <v>0</v>
      </c>
      <c r="E92" s="902">
        <f t="shared" si="74"/>
        <v>0</v>
      </c>
      <c r="F92" s="902">
        <f t="shared" si="74"/>
        <v>420515.95979257592</v>
      </c>
      <c r="G92" s="902">
        <f t="shared" si="74"/>
        <v>420515.95979257592</v>
      </c>
      <c r="H92" s="902">
        <f t="shared" si="74"/>
        <v>0</v>
      </c>
      <c r="I92" s="902">
        <f t="shared" si="74"/>
        <v>0</v>
      </c>
      <c r="J92" s="902">
        <f t="shared" si="74"/>
        <v>0</v>
      </c>
      <c r="K92" s="902">
        <f t="shared" si="74"/>
        <v>0</v>
      </c>
      <c r="L92" s="902">
        <f t="shared" si="74"/>
        <v>0</v>
      </c>
      <c r="M92" s="902">
        <f t="shared" si="74"/>
        <v>0</v>
      </c>
      <c r="N92" s="902">
        <f t="shared" si="74"/>
        <v>0</v>
      </c>
      <c r="O92" s="902">
        <f t="shared" si="74"/>
        <v>0</v>
      </c>
      <c r="P92" s="902">
        <f t="shared" si="74"/>
        <v>0</v>
      </c>
      <c r="Q92" s="902">
        <f t="shared" si="74"/>
        <v>0</v>
      </c>
      <c r="R92" s="902">
        <f t="shared" si="74"/>
        <v>0</v>
      </c>
      <c r="S92" s="902">
        <f t="shared" si="74"/>
        <v>0</v>
      </c>
      <c r="T92" s="902">
        <f t="shared" si="74"/>
        <v>0</v>
      </c>
      <c r="U92" s="902">
        <f t="shared" si="74"/>
        <v>0</v>
      </c>
      <c r="V92" s="902">
        <f t="shared" si="74"/>
        <v>0</v>
      </c>
      <c r="W92" s="902">
        <f t="shared" si="74"/>
        <v>0</v>
      </c>
      <c r="X92" s="902">
        <f t="shared" si="74"/>
        <v>0</v>
      </c>
      <c r="Y92" s="902">
        <f t="shared" si="74"/>
        <v>0</v>
      </c>
      <c r="Z92" s="902">
        <f t="shared" si="74"/>
        <v>0</v>
      </c>
      <c r="AA92" s="902">
        <f t="shared" si="74"/>
        <v>0</v>
      </c>
      <c r="AB92" s="902">
        <f t="shared" si="74"/>
        <v>0</v>
      </c>
      <c r="AC92" s="902">
        <f t="shared" si="74"/>
        <v>0</v>
      </c>
      <c r="AD92" s="902">
        <f t="shared" si="74"/>
        <v>0</v>
      </c>
      <c r="AE92" s="1028">
        <f t="shared" si="74"/>
        <v>0</v>
      </c>
    </row>
    <row r="93" spans="2:31" ht="21.95" customHeight="1" x14ac:dyDescent="0.2">
      <c r="B93" s="1346" t="s">
        <v>168</v>
      </c>
      <c r="C93" s="220" t="str">
        <f>'Project Cost Data'!B9</f>
        <v>US-412/SH-412B Interchange</v>
      </c>
      <c r="D93" s="903">
        <f t="shared" ref="D93:AE93" si="75">$H$50*D34</f>
        <v>0</v>
      </c>
      <c r="E93" s="903">
        <f t="shared" si="75"/>
        <v>0</v>
      </c>
      <c r="F93" s="903">
        <f t="shared" si="75"/>
        <v>0</v>
      </c>
      <c r="G93" s="903">
        <f t="shared" si="75"/>
        <v>0</v>
      </c>
      <c r="H93" s="903">
        <f t="shared" si="75"/>
        <v>6676699.5620371355</v>
      </c>
      <c r="I93" s="903">
        <f t="shared" si="75"/>
        <v>6676699.5620371355</v>
      </c>
      <c r="J93" s="903">
        <f t="shared" si="75"/>
        <v>6676699.5620371355</v>
      </c>
      <c r="K93" s="903">
        <f t="shared" si="75"/>
        <v>6676699.5620371355</v>
      </c>
      <c r="L93" s="903">
        <f t="shared" si="75"/>
        <v>0</v>
      </c>
      <c r="M93" s="903">
        <f t="shared" si="75"/>
        <v>0</v>
      </c>
      <c r="N93" s="903">
        <f t="shared" si="75"/>
        <v>0</v>
      </c>
      <c r="O93" s="903">
        <f t="shared" si="75"/>
        <v>0</v>
      </c>
      <c r="P93" s="903">
        <f t="shared" si="75"/>
        <v>0</v>
      </c>
      <c r="Q93" s="903">
        <f t="shared" si="75"/>
        <v>0</v>
      </c>
      <c r="R93" s="903">
        <f t="shared" si="75"/>
        <v>0</v>
      </c>
      <c r="S93" s="903">
        <f t="shared" si="75"/>
        <v>0</v>
      </c>
      <c r="T93" s="903">
        <f t="shared" si="75"/>
        <v>0</v>
      </c>
      <c r="U93" s="903">
        <f t="shared" si="75"/>
        <v>0</v>
      </c>
      <c r="V93" s="903">
        <f t="shared" si="75"/>
        <v>0</v>
      </c>
      <c r="W93" s="903">
        <f t="shared" si="75"/>
        <v>0</v>
      </c>
      <c r="X93" s="903">
        <f t="shared" si="75"/>
        <v>0</v>
      </c>
      <c r="Y93" s="903">
        <f t="shared" si="75"/>
        <v>0</v>
      </c>
      <c r="Z93" s="903">
        <f t="shared" si="75"/>
        <v>0</v>
      </c>
      <c r="AA93" s="903">
        <f t="shared" si="75"/>
        <v>0</v>
      </c>
      <c r="AB93" s="903">
        <f t="shared" si="75"/>
        <v>0</v>
      </c>
      <c r="AC93" s="903">
        <f t="shared" si="75"/>
        <v>0</v>
      </c>
      <c r="AD93" s="903">
        <f t="shared" si="75"/>
        <v>0</v>
      </c>
      <c r="AE93" s="1029">
        <f t="shared" si="75"/>
        <v>0</v>
      </c>
    </row>
    <row r="94" spans="2:31" ht="21.95" customHeight="1" x14ac:dyDescent="0.2">
      <c r="B94" s="1349"/>
      <c r="C94" s="116" t="str">
        <f>'Project Cost Data'!B10</f>
        <v>SH-412B South Widening</v>
      </c>
      <c r="D94" s="901">
        <f t="shared" ref="D94:AE94" si="76">$H$51*D35</f>
        <v>0</v>
      </c>
      <c r="E94" s="901">
        <f t="shared" si="76"/>
        <v>0</v>
      </c>
      <c r="F94" s="901">
        <f t="shared" si="76"/>
        <v>0</v>
      </c>
      <c r="G94" s="901">
        <f t="shared" si="76"/>
        <v>0</v>
      </c>
      <c r="H94" s="901">
        <f t="shared" si="76"/>
        <v>4554095.1935603227</v>
      </c>
      <c r="I94" s="901">
        <f t="shared" si="76"/>
        <v>4554095.1935603227</v>
      </c>
      <c r="J94" s="901">
        <f t="shared" si="76"/>
        <v>4554095.1935603227</v>
      </c>
      <c r="K94" s="901">
        <f t="shared" si="76"/>
        <v>0</v>
      </c>
      <c r="L94" s="901">
        <f t="shared" si="76"/>
        <v>0</v>
      </c>
      <c r="M94" s="901">
        <f t="shared" si="76"/>
        <v>0</v>
      </c>
      <c r="N94" s="901">
        <f t="shared" si="76"/>
        <v>0</v>
      </c>
      <c r="O94" s="901">
        <f t="shared" si="76"/>
        <v>0</v>
      </c>
      <c r="P94" s="901">
        <f t="shared" si="76"/>
        <v>0</v>
      </c>
      <c r="Q94" s="901">
        <f t="shared" si="76"/>
        <v>0</v>
      </c>
      <c r="R94" s="901">
        <f t="shared" si="76"/>
        <v>0</v>
      </c>
      <c r="S94" s="901">
        <f t="shared" si="76"/>
        <v>0</v>
      </c>
      <c r="T94" s="901">
        <f t="shared" si="76"/>
        <v>0</v>
      </c>
      <c r="U94" s="901">
        <f t="shared" si="76"/>
        <v>0</v>
      </c>
      <c r="V94" s="901">
        <f t="shared" si="76"/>
        <v>0</v>
      </c>
      <c r="W94" s="901">
        <f t="shared" si="76"/>
        <v>0</v>
      </c>
      <c r="X94" s="901">
        <f t="shared" si="76"/>
        <v>0</v>
      </c>
      <c r="Y94" s="901">
        <f t="shared" si="76"/>
        <v>0</v>
      </c>
      <c r="Z94" s="901">
        <f t="shared" si="76"/>
        <v>0</v>
      </c>
      <c r="AA94" s="901">
        <f t="shared" si="76"/>
        <v>0</v>
      </c>
      <c r="AB94" s="901">
        <f t="shared" si="76"/>
        <v>0</v>
      </c>
      <c r="AC94" s="901">
        <f t="shared" si="76"/>
        <v>0</v>
      </c>
      <c r="AD94" s="901">
        <f t="shared" si="76"/>
        <v>0</v>
      </c>
      <c r="AE94" s="1027">
        <f t="shared" si="76"/>
        <v>0</v>
      </c>
    </row>
    <row r="95" spans="2:31" ht="21.95" customHeight="1" x14ac:dyDescent="0.2">
      <c r="B95" s="1349"/>
      <c r="C95" s="116" t="str">
        <f>'Project Cost Data'!B11</f>
        <v>SH-412B Roundabout</v>
      </c>
      <c r="D95" s="901">
        <f t="shared" ref="D95:AE95" si="77">$H$52*D36</f>
        <v>0</v>
      </c>
      <c r="E95" s="901">
        <f t="shared" si="77"/>
        <v>0</v>
      </c>
      <c r="F95" s="901">
        <f t="shared" si="77"/>
        <v>0</v>
      </c>
      <c r="G95" s="901">
        <f t="shared" si="77"/>
        <v>0</v>
      </c>
      <c r="H95" s="901">
        <f t="shared" si="77"/>
        <v>2661175.6261500325</v>
      </c>
      <c r="I95" s="901">
        <f t="shared" si="77"/>
        <v>2661175.6261500325</v>
      </c>
      <c r="J95" s="901">
        <f t="shared" si="77"/>
        <v>0</v>
      </c>
      <c r="K95" s="901">
        <f t="shared" si="77"/>
        <v>0</v>
      </c>
      <c r="L95" s="901">
        <f t="shared" si="77"/>
        <v>0</v>
      </c>
      <c r="M95" s="901">
        <f t="shared" si="77"/>
        <v>0</v>
      </c>
      <c r="N95" s="901">
        <f t="shared" si="77"/>
        <v>0</v>
      </c>
      <c r="O95" s="901">
        <f t="shared" si="77"/>
        <v>0</v>
      </c>
      <c r="P95" s="901">
        <f t="shared" si="77"/>
        <v>0</v>
      </c>
      <c r="Q95" s="901">
        <f t="shared" si="77"/>
        <v>0</v>
      </c>
      <c r="R95" s="901">
        <f t="shared" si="77"/>
        <v>0</v>
      </c>
      <c r="S95" s="901">
        <f t="shared" si="77"/>
        <v>0</v>
      </c>
      <c r="T95" s="901">
        <f t="shared" si="77"/>
        <v>0</v>
      </c>
      <c r="U95" s="901">
        <f t="shared" si="77"/>
        <v>0</v>
      </c>
      <c r="V95" s="901">
        <f t="shared" si="77"/>
        <v>0</v>
      </c>
      <c r="W95" s="901">
        <f t="shared" si="77"/>
        <v>0</v>
      </c>
      <c r="X95" s="901">
        <f t="shared" si="77"/>
        <v>0</v>
      </c>
      <c r="Y95" s="901">
        <f t="shared" si="77"/>
        <v>0</v>
      </c>
      <c r="Z95" s="901">
        <f t="shared" si="77"/>
        <v>0</v>
      </c>
      <c r="AA95" s="901">
        <f t="shared" si="77"/>
        <v>0</v>
      </c>
      <c r="AB95" s="901">
        <f t="shared" si="77"/>
        <v>0</v>
      </c>
      <c r="AC95" s="901">
        <f t="shared" si="77"/>
        <v>0</v>
      </c>
      <c r="AD95" s="901">
        <f t="shared" si="77"/>
        <v>0</v>
      </c>
      <c r="AE95" s="1027">
        <f t="shared" si="77"/>
        <v>0</v>
      </c>
    </row>
    <row r="96" spans="2:31" ht="21.95" customHeight="1" x14ac:dyDescent="0.2">
      <c r="B96" s="1349"/>
      <c r="C96" s="116" t="str">
        <f>'Project Cost Data'!B12</f>
        <v>Patrol Road Improvements</v>
      </c>
      <c r="D96" s="901">
        <f t="shared" ref="D96:AE96" si="78">$H$53*D37</f>
        <v>0</v>
      </c>
      <c r="E96" s="901">
        <f t="shared" si="78"/>
        <v>0</v>
      </c>
      <c r="F96" s="901">
        <f t="shared" si="78"/>
        <v>0</v>
      </c>
      <c r="G96" s="901">
        <f t="shared" si="78"/>
        <v>0</v>
      </c>
      <c r="H96" s="901">
        <f t="shared" si="78"/>
        <v>5132267.2790036341</v>
      </c>
      <c r="I96" s="901">
        <f t="shared" si="78"/>
        <v>5132267.2790036341</v>
      </c>
      <c r="J96" s="901">
        <f t="shared" si="78"/>
        <v>0</v>
      </c>
      <c r="K96" s="901">
        <f t="shared" si="78"/>
        <v>0</v>
      </c>
      <c r="L96" s="901">
        <f t="shared" si="78"/>
        <v>0</v>
      </c>
      <c r="M96" s="901">
        <f t="shared" si="78"/>
        <v>0</v>
      </c>
      <c r="N96" s="901">
        <f t="shared" si="78"/>
        <v>0</v>
      </c>
      <c r="O96" s="901">
        <f t="shared" si="78"/>
        <v>0</v>
      </c>
      <c r="P96" s="901">
        <f t="shared" si="78"/>
        <v>0</v>
      </c>
      <c r="Q96" s="901">
        <f t="shared" si="78"/>
        <v>0</v>
      </c>
      <c r="R96" s="901">
        <f t="shared" si="78"/>
        <v>0</v>
      </c>
      <c r="S96" s="901">
        <f t="shared" si="78"/>
        <v>0</v>
      </c>
      <c r="T96" s="901">
        <f t="shared" si="78"/>
        <v>0</v>
      </c>
      <c r="U96" s="901">
        <f t="shared" si="78"/>
        <v>0</v>
      </c>
      <c r="V96" s="901">
        <f t="shared" si="78"/>
        <v>0</v>
      </c>
      <c r="W96" s="901">
        <f t="shared" si="78"/>
        <v>0</v>
      </c>
      <c r="X96" s="901">
        <f t="shared" si="78"/>
        <v>0</v>
      </c>
      <c r="Y96" s="901">
        <f t="shared" si="78"/>
        <v>0</v>
      </c>
      <c r="Z96" s="901">
        <f t="shared" si="78"/>
        <v>0</v>
      </c>
      <c r="AA96" s="901">
        <f t="shared" si="78"/>
        <v>0</v>
      </c>
      <c r="AB96" s="901">
        <f t="shared" si="78"/>
        <v>0</v>
      </c>
      <c r="AC96" s="901">
        <f t="shared" si="78"/>
        <v>0</v>
      </c>
      <c r="AD96" s="901">
        <f t="shared" si="78"/>
        <v>0</v>
      </c>
      <c r="AE96" s="1027">
        <f t="shared" si="78"/>
        <v>0</v>
      </c>
    </row>
    <row r="97" spans="2:31" ht="21.95" customHeight="1" x14ac:dyDescent="0.2">
      <c r="B97" s="1349"/>
      <c r="C97" s="116" t="str">
        <f>'Project Cost Data'!B13</f>
        <v>Williams Street Improvements</v>
      </c>
      <c r="D97" s="901">
        <f t="shared" ref="D97:AE97" si="79">$H$54*D38</f>
        <v>0</v>
      </c>
      <c r="E97" s="901">
        <f t="shared" si="79"/>
        <v>0</v>
      </c>
      <c r="F97" s="901">
        <f t="shared" si="79"/>
        <v>0</v>
      </c>
      <c r="G97" s="901">
        <f t="shared" si="79"/>
        <v>0</v>
      </c>
      <c r="H97" s="901">
        <f t="shared" si="79"/>
        <v>4308570.0613857666</v>
      </c>
      <c r="I97" s="901">
        <f t="shared" si="79"/>
        <v>4308570.0613857666</v>
      </c>
      <c r="J97" s="901">
        <f t="shared" si="79"/>
        <v>4308570.0613857666</v>
      </c>
      <c r="K97" s="901">
        <f t="shared" si="79"/>
        <v>0</v>
      </c>
      <c r="L97" s="901">
        <f t="shared" si="79"/>
        <v>0</v>
      </c>
      <c r="M97" s="901">
        <f t="shared" si="79"/>
        <v>0</v>
      </c>
      <c r="N97" s="901">
        <f t="shared" si="79"/>
        <v>0</v>
      </c>
      <c r="O97" s="901">
        <f t="shared" si="79"/>
        <v>0</v>
      </c>
      <c r="P97" s="901">
        <f t="shared" si="79"/>
        <v>0</v>
      </c>
      <c r="Q97" s="901">
        <f t="shared" si="79"/>
        <v>0</v>
      </c>
      <c r="R97" s="901">
        <f t="shared" si="79"/>
        <v>0</v>
      </c>
      <c r="S97" s="901">
        <f t="shared" si="79"/>
        <v>0</v>
      </c>
      <c r="T97" s="901">
        <f t="shared" si="79"/>
        <v>0</v>
      </c>
      <c r="U97" s="901">
        <f t="shared" si="79"/>
        <v>0</v>
      </c>
      <c r="V97" s="901">
        <f t="shared" si="79"/>
        <v>0</v>
      </c>
      <c r="W97" s="901">
        <f t="shared" si="79"/>
        <v>0</v>
      </c>
      <c r="X97" s="901">
        <f t="shared" si="79"/>
        <v>0</v>
      </c>
      <c r="Y97" s="901">
        <f t="shared" si="79"/>
        <v>0</v>
      </c>
      <c r="Z97" s="901">
        <f t="shared" si="79"/>
        <v>0</v>
      </c>
      <c r="AA97" s="901">
        <f t="shared" si="79"/>
        <v>0</v>
      </c>
      <c r="AB97" s="901">
        <f t="shared" si="79"/>
        <v>0</v>
      </c>
      <c r="AC97" s="901">
        <f t="shared" si="79"/>
        <v>0</v>
      </c>
      <c r="AD97" s="901">
        <f t="shared" si="79"/>
        <v>0</v>
      </c>
      <c r="AE97" s="1027">
        <f t="shared" si="79"/>
        <v>0</v>
      </c>
    </row>
    <row r="98" spans="2:31" ht="21.95" customHeight="1" x14ac:dyDescent="0.2">
      <c r="B98" s="1349"/>
      <c r="C98" s="116" t="str">
        <f>'Project Cost Data'!B14</f>
        <v>SH-412B North Reconstruction</v>
      </c>
      <c r="D98" s="901">
        <f t="shared" ref="D98:AE98" si="80">$H$57*D39</f>
        <v>0</v>
      </c>
      <c r="E98" s="901">
        <f t="shared" si="80"/>
        <v>0</v>
      </c>
      <c r="F98" s="901">
        <f t="shared" si="80"/>
        <v>0</v>
      </c>
      <c r="G98" s="901">
        <f t="shared" si="80"/>
        <v>0</v>
      </c>
      <c r="H98" s="901">
        <f t="shared" si="80"/>
        <v>3647236.2376252678</v>
      </c>
      <c r="I98" s="901">
        <f t="shared" si="80"/>
        <v>3647236.2376252678</v>
      </c>
      <c r="J98" s="901">
        <f t="shared" si="80"/>
        <v>0</v>
      </c>
      <c r="K98" s="901">
        <f t="shared" si="80"/>
        <v>0</v>
      </c>
      <c r="L98" s="901">
        <f t="shared" si="80"/>
        <v>0</v>
      </c>
      <c r="M98" s="901">
        <f t="shared" si="80"/>
        <v>0</v>
      </c>
      <c r="N98" s="901">
        <f t="shared" si="80"/>
        <v>0</v>
      </c>
      <c r="O98" s="901">
        <f t="shared" si="80"/>
        <v>0</v>
      </c>
      <c r="P98" s="901">
        <f t="shared" si="80"/>
        <v>0</v>
      </c>
      <c r="Q98" s="901">
        <f t="shared" si="80"/>
        <v>0</v>
      </c>
      <c r="R98" s="901">
        <f t="shared" si="80"/>
        <v>0</v>
      </c>
      <c r="S98" s="901">
        <f t="shared" si="80"/>
        <v>0</v>
      </c>
      <c r="T98" s="901">
        <f t="shared" si="80"/>
        <v>0</v>
      </c>
      <c r="U98" s="901">
        <f t="shared" si="80"/>
        <v>0</v>
      </c>
      <c r="V98" s="901">
        <f t="shared" si="80"/>
        <v>0</v>
      </c>
      <c r="W98" s="901">
        <f t="shared" si="80"/>
        <v>0</v>
      </c>
      <c r="X98" s="901">
        <f t="shared" si="80"/>
        <v>0</v>
      </c>
      <c r="Y98" s="901">
        <f t="shared" si="80"/>
        <v>0</v>
      </c>
      <c r="Z98" s="901">
        <f t="shared" si="80"/>
        <v>0</v>
      </c>
      <c r="AA98" s="901">
        <f t="shared" si="80"/>
        <v>0</v>
      </c>
      <c r="AB98" s="901">
        <f t="shared" si="80"/>
        <v>0</v>
      </c>
      <c r="AC98" s="901">
        <f t="shared" si="80"/>
        <v>0</v>
      </c>
      <c r="AD98" s="901">
        <f t="shared" si="80"/>
        <v>0</v>
      </c>
      <c r="AE98" s="1027">
        <f t="shared" si="80"/>
        <v>0</v>
      </c>
    </row>
    <row r="99" spans="2:31" ht="21.95" customHeight="1" x14ac:dyDescent="0.2">
      <c r="B99" s="1349"/>
      <c r="C99" s="116" t="str">
        <f>'Project Cost Data'!B15</f>
        <v>US-69 / Main Street Intersection</v>
      </c>
      <c r="D99" s="901">
        <f t="shared" ref="D99:AE99" si="81">$H$58*D40</f>
        <v>0</v>
      </c>
      <c r="E99" s="901">
        <f t="shared" si="81"/>
        <v>0</v>
      </c>
      <c r="F99" s="901">
        <f t="shared" si="81"/>
        <v>0</v>
      </c>
      <c r="G99" s="901">
        <f t="shared" si="81"/>
        <v>0</v>
      </c>
      <c r="H99" s="901">
        <f t="shared" si="81"/>
        <v>0</v>
      </c>
      <c r="I99" s="901">
        <f t="shared" si="81"/>
        <v>0</v>
      </c>
      <c r="J99" s="901">
        <f t="shared" si="81"/>
        <v>380167.94659286179</v>
      </c>
      <c r="K99" s="901">
        <f t="shared" si="81"/>
        <v>0</v>
      </c>
      <c r="L99" s="901">
        <f t="shared" si="81"/>
        <v>0</v>
      </c>
      <c r="M99" s="901">
        <f t="shared" si="81"/>
        <v>0</v>
      </c>
      <c r="N99" s="901">
        <f t="shared" si="81"/>
        <v>0</v>
      </c>
      <c r="O99" s="901">
        <f t="shared" si="81"/>
        <v>0</v>
      </c>
      <c r="P99" s="901">
        <f t="shared" si="81"/>
        <v>0</v>
      </c>
      <c r="Q99" s="901">
        <f t="shared" si="81"/>
        <v>0</v>
      </c>
      <c r="R99" s="901">
        <f t="shared" si="81"/>
        <v>0</v>
      </c>
      <c r="S99" s="901">
        <f t="shared" si="81"/>
        <v>0</v>
      </c>
      <c r="T99" s="901">
        <f t="shared" si="81"/>
        <v>0</v>
      </c>
      <c r="U99" s="901">
        <f t="shared" si="81"/>
        <v>0</v>
      </c>
      <c r="V99" s="901">
        <f t="shared" si="81"/>
        <v>0</v>
      </c>
      <c r="W99" s="901">
        <f t="shared" si="81"/>
        <v>0</v>
      </c>
      <c r="X99" s="901">
        <f t="shared" si="81"/>
        <v>0</v>
      </c>
      <c r="Y99" s="901">
        <f t="shared" si="81"/>
        <v>0</v>
      </c>
      <c r="Z99" s="901">
        <f t="shared" si="81"/>
        <v>0</v>
      </c>
      <c r="AA99" s="901">
        <f t="shared" si="81"/>
        <v>0</v>
      </c>
      <c r="AB99" s="901">
        <f t="shared" si="81"/>
        <v>0</v>
      </c>
      <c r="AC99" s="901">
        <f t="shared" si="81"/>
        <v>0</v>
      </c>
      <c r="AD99" s="901">
        <f t="shared" si="81"/>
        <v>0</v>
      </c>
      <c r="AE99" s="1027">
        <f t="shared" si="81"/>
        <v>0</v>
      </c>
    </row>
    <row r="100" spans="2:31" ht="21.95" customHeight="1" x14ac:dyDescent="0.2">
      <c r="B100" s="1349"/>
      <c r="C100" s="116" t="str">
        <f>'Project Cost Data'!B16</f>
        <v>Zarrow Street Widening</v>
      </c>
      <c r="D100" s="901">
        <f t="shared" ref="D100:AE100" si="82">$H$59*D41</f>
        <v>0</v>
      </c>
      <c r="E100" s="901">
        <f t="shared" si="82"/>
        <v>0</v>
      </c>
      <c r="F100" s="901">
        <f t="shared" si="82"/>
        <v>0</v>
      </c>
      <c r="G100" s="901">
        <f t="shared" si="82"/>
        <v>0</v>
      </c>
      <c r="H100" s="901">
        <f t="shared" si="82"/>
        <v>3012830.9767484297</v>
      </c>
      <c r="I100" s="901">
        <f t="shared" si="82"/>
        <v>3012830.9767484297</v>
      </c>
      <c r="J100" s="901">
        <f t="shared" si="82"/>
        <v>0</v>
      </c>
      <c r="K100" s="901">
        <f t="shared" si="82"/>
        <v>0</v>
      </c>
      <c r="L100" s="901">
        <f t="shared" si="82"/>
        <v>0</v>
      </c>
      <c r="M100" s="901">
        <f t="shared" si="82"/>
        <v>0</v>
      </c>
      <c r="N100" s="901">
        <f t="shared" si="82"/>
        <v>0</v>
      </c>
      <c r="O100" s="901">
        <f t="shared" si="82"/>
        <v>0</v>
      </c>
      <c r="P100" s="901">
        <f t="shared" si="82"/>
        <v>0</v>
      </c>
      <c r="Q100" s="901">
        <f t="shared" si="82"/>
        <v>0</v>
      </c>
      <c r="R100" s="901">
        <f t="shared" si="82"/>
        <v>0</v>
      </c>
      <c r="S100" s="901">
        <f t="shared" si="82"/>
        <v>0</v>
      </c>
      <c r="T100" s="901">
        <f t="shared" si="82"/>
        <v>0</v>
      </c>
      <c r="U100" s="901">
        <f t="shared" si="82"/>
        <v>0</v>
      </c>
      <c r="V100" s="901">
        <f t="shared" si="82"/>
        <v>0</v>
      </c>
      <c r="W100" s="901">
        <f t="shared" si="82"/>
        <v>0</v>
      </c>
      <c r="X100" s="901">
        <f t="shared" si="82"/>
        <v>0</v>
      </c>
      <c r="Y100" s="901">
        <f t="shared" si="82"/>
        <v>0</v>
      </c>
      <c r="Z100" s="901">
        <f t="shared" si="82"/>
        <v>0</v>
      </c>
      <c r="AA100" s="901">
        <f t="shared" si="82"/>
        <v>0</v>
      </c>
      <c r="AB100" s="901">
        <f t="shared" si="82"/>
        <v>0</v>
      </c>
      <c r="AC100" s="901">
        <f t="shared" si="82"/>
        <v>0</v>
      </c>
      <c r="AD100" s="901">
        <f t="shared" si="82"/>
        <v>0</v>
      </c>
      <c r="AE100" s="1027">
        <f t="shared" si="82"/>
        <v>0</v>
      </c>
    </row>
    <row r="101" spans="2:31" ht="21.95" customHeight="1" x14ac:dyDescent="0.2">
      <c r="B101" s="1352"/>
      <c r="C101" s="254" t="str">
        <f>'Project Cost Data'!B17</f>
        <v>Rocket Road Improvements</v>
      </c>
      <c r="D101" s="902">
        <f t="shared" ref="D101:AE101" si="83">$H$60*D42</f>
        <v>0</v>
      </c>
      <c r="E101" s="902">
        <f t="shared" si="83"/>
        <v>0</v>
      </c>
      <c r="F101" s="902">
        <f t="shared" si="83"/>
        <v>0</v>
      </c>
      <c r="G101" s="902">
        <f t="shared" si="83"/>
        <v>0</v>
      </c>
      <c r="H101" s="902">
        <f t="shared" si="83"/>
        <v>3183906.5527152177</v>
      </c>
      <c r="I101" s="902">
        <f t="shared" si="83"/>
        <v>3183906.5527152177</v>
      </c>
      <c r="J101" s="902">
        <f t="shared" si="83"/>
        <v>0</v>
      </c>
      <c r="K101" s="902">
        <f t="shared" si="83"/>
        <v>0</v>
      </c>
      <c r="L101" s="902">
        <f t="shared" si="83"/>
        <v>0</v>
      </c>
      <c r="M101" s="902">
        <f t="shared" si="83"/>
        <v>0</v>
      </c>
      <c r="N101" s="902">
        <f t="shared" si="83"/>
        <v>0</v>
      </c>
      <c r="O101" s="902">
        <f t="shared" si="83"/>
        <v>0</v>
      </c>
      <c r="P101" s="902">
        <f t="shared" si="83"/>
        <v>0</v>
      </c>
      <c r="Q101" s="902">
        <f t="shared" si="83"/>
        <v>0</v>
      </c>
      <c r="R101" s="902">
        <f t="shared" si="83"/>
        <v>0</v>
      </c>
      <c r="S101" s="902">
        <f t="shared" si="83"/>
        <v>0</v>
      </c>
      <c r="T101" s="902">
        <f t="shared" si="83"/>
        <v>0</v>
      </c>
      <c r="U101" s="902">
        <f t="shared" si="83"/>
        <v>0</v>
      </c>
      <c r="V101" s="902">
        <f t="shared" si="83"/>
        <v>0</v>
      </c>
      <c r="W101" s="902">
        <f t="shared" si="83"/>
        <v>0</v>
      </c>
      <c r="X101" s="902">
        <f t="shared" si="83"/>
        <v>0</v>
      </c>
      <c r="Y101" s="902">
        <f t="shared" si="83"/>
        <v>0</v>
      </c>
      <c r="Z101" s="902">
        <f t="shared" si="83"/>
        <v>0</v>
      </c>
      <c r="AA101" s="902">
        <f t="shared" si="83"/>
        <v>0</v>
      </c>
      <c r="AB101" s="902">
        <f t="shared" si="83"/>
        <v>0</v>
      </c>
      <c r="AC101" s="902">
        <f t="shared" si="83"/>
        <v>0</v>
      </c>
      <c r="AD101" s="902">
        <f t="shared" si="83"/>
        <v>0</v>
      </c>
      <c r="AE101" s="1028">
        <f t="shared" si="83"/>
        <v>0</v>
      </c>
    </row>
    <row r="102" spans="2:31" ht="21.95" customHeight="1" x14ac:dyDescent="0.2">
      <c r="B102" s="1346" t="s">
        <v>23</v>
      </c>
      <c r="C102" s="220" t="str">
        <f>'Project Cost Data'!B9</f>
        <v>US-412/SH-412B Interchange</v>
      </c>
      <c r="D102" s="903">
        <f>D84+D93</f>
        <v>0</v>
      </c>
      <c r="E102" s="903">
        <f t="shared" ref="E102:J102" si="84">E84+E93</f>
        <v>1343738.2766364045</v>
      </c>
      <c r="F102" s="903">
        <f t="shared" si="84"/>
        <v>1343738.2766364045</v>
      </c>
      <c r="G102" s="903">
        <f t="shared" si="84"/>
        <v>1343738.2766364045</v>
      </c>
      <c r="H102" s="903">
        <f t="shared" si="84"/>
        <v>6676699.5620371355</v>
      </c>
      <c r="I102" s="903">
        <f t="shared" si="84"/>
        <v>6676699.5620371355</v>
      </c>
      <c r="J102" s="903">
        <f t="shared" si="84"/>
        <v>6676699.5620371355</v>
      </c>
      <c r="K102" s="903">
        <f t="shared" ref="K102:K110" si="85">K84+K93</f>
        <v>6676699.5620371355</v>
      </c>
      <c r="L102" s="903">
        <f t="shared" ref="L102:X102" si="86">L84+L93</f>
        <v>0</v>
      </c>
      <c r="M102" s="903">
        <f t="shared" si="86"/>
        <v>0</v>
      </c>
      <c r="N102" s="903">
        <f t="shared" si="86"/>
        <v>0</v>
      </c>
      <c r="O102" s="903">
        <f t="shared" si="86"/>
        <v>0</v>
      </c>
      <c r="P102" s="903">
        <f t="shared" si="86"/>
        <v>0</v>
      </c>
      <c r="Q102" s="903">
        <f t="shared" si="86"/>
        <v>0</v>
      </c>
      <c r="R102" s="903">
        <f t="shared" si="86"/>
        <v>0</v>
      </c>
      <c r="S102" s="903">
        <f t="shared" si="86"/>
        <v>0</v>
      </c>
      <c r="T102" s="903">
        <f t="shared" si="86"/>
        <v>0</v>
      </c>
      <c r="U102" s="903">
        <f t="shared" si="86"/>
        <v>0</v>
      </c>
      <c r="V102" s="903">
        <f t="shared" si="86"/>
        <v>0</v>
      </c>
      <c r="W102" s="903">
        <f t="shared" si="86"/>
        <v>0</v>
      </c>
      <c r="X102" s="903">
        <f t="shared" si="86"/>
        <v>0</v>
      </c>
      <c r="Y102" s="903">
        <f t="shared" ref="Y102:Y110" si="87">Y84+Y93</f>
        <v>0</v>
      </c>
      <c r="Z102" s="903">
        <f t="shared" ref="Z102:AE102" si="88">Z84+Z93</f>
        <v>0</v>
      </c>
      <c r="AA102" s="903">
        <f t="shared" si="88"/>
        <v>0</v>
      </c>
      <c r="AB102" s="903">
        <f t="shared" si="88"/>
        <v>0</v>
      </c>
      <c r="AC102" s="903">
        <f t="shared" si="88"/>
        <v>0</v>
      </c>
      <c r="AD102" s="903">
        <f t="shared" si="88"/>
        <v>0</v>
      </c>
      <c r="AE102" s="1029">
        <f t="shared" si="88"/>
        <v>0</v>
      </c>
    </row>
    <row r="103" spans="2:31" ht="21.95" customHeight="1" x14ac:dyDescent="0.2">
      <c r="B103" s="1349"/>
      <c r="C103" s="116" t="str">
        <f>'Project Cost Data'!B10</f>
        <v>SH-412B South Widening</v>
      </c>
      <c r="D103" s="901">
        <f t="shared" ref="D103:J103" si="89">D85+D94</f>
        <v>0</v>
      </c>
      <c r="E103" s="901">
        <f t="shared" si="89"/>
        <v>0</v>
      </c>
      <c r="F103" s="901">
        <f t="shared" si="89"/>
        <v>902226.40627138491</v>
      </c>
      <c r="G103" s="901">
        <f t="shared" si="89"/>
        <v>902226.40627138491</v>
      </c>
      <c r="H103" s="901">
        <f t="shared" si="89"/>
        <v>4554095.1935603227</v>
      </c>
      <c r="I103" s="901">
        <f t="shared" si="89"/>
        <v>4554095.1935603227</v>
      </c>
      <c r="J103" s="901">
        <f t="shared" si="89"/>
        <v>4554095.1935603227</v>
      </c>
      <c r="K103" s="901">
        <f t="shared" si="85"/>
        <v>0</v>
      </c>
      <c r="L103" s="901">
        <f t="shared" ref="L103:X103" si="90">L85+L94</f>
        <v>0</v>
      </c>
      <c r="M103" s="901">
        <f t="shared" si="90"/>
        <v>0</v>
      </c>
      <c r="N103" s="901">
        <f t="shared" si="90"/>
        <v>0</v>
      </c>
      <c r="O103" s="901">
        <f t="shared" si="90"/>
        <v>0</v>
      </c>
      <c r="P103" s="901">
        <f t="shared" si="90"/>
        <v>0</v>
      </c>
      <c r="Q103" s="901">
        <f t="shared" si="90"/>
        <v>0</v>
      </c>
      <c r="R103" s="901">
        <f t="shared" si="90"/>
        <v>0</v>
      </c>
      <c r="S103" s="901">
        <f t="shared" si="90"/>
        <v>0</v>
      </c>
      <c r="T103" s="901">
        <f t="shared" si="90"/>
        <v>0</v>
      </c>
      <c r="U103" s="901">
        <f t="shared" si="90"/>
        <v>0</v>
      </c>
      <c r="V103" s="901">
        <f t="shared" si="90"/>
        <v>0</v>
      </c>
      <c r="W103" s="901">
        <f t="shared" si="90"/>
        <v>0</v>
      </c>
      <c r="X103" s="901">
        <f t="shared" si="90"/>
        <v>0</v>
      </c>
      <c r="Y103" s="901">
        <f t="shared" si="87"/>
        <v>0</v>
      </c>
      <c r="Z103" s="901">
        <f t="shared" ref="Z103:AE103" si="91">Z85+Z94</f>
        <v>0</v>
      </c>
      <c r="AA103" s="901">
        <f t="shared" si="91"/>
        <v>0</v>
      </c>
      <c r="AB103" s="901">
        <f t="shared" si="91"/>
        <v>0</v>
      </c>
      <c r="AC103" s="901">
        <f t="shared" si="91"/>
        <v>0</v>
      </c>
      <c r="AD103" s="901">
        <f t="shared" si="91"/>
        <v>0</v>
      </c>
      <c r="AE103" s="1027">
        <f t="shared" si="91"/>
        <v>0</v>
      </c>
    </row>
    <row r="104" spans="2:31" ht="21.95" customHeight="1" x14ac:dyDescent="0.2">
      <c r="B104" s="1349"/>
      <c r="C104" s="116" t="str">
        <f>'Project Cost Data'!B11</f>
        <v>SH-412B Roundabout</v>
      </c>
      <c r="D104" s="901">
        <f t="shared" ref="D104:J104" si="92">D86+D95</f>
        <v>0</v>
      </c>
      <c r="E104" s="901">
        <f t="shared" si="92"/>
        <v>0</v>
      </c>
      <c r="F104" s="901">
        <f t="shared" si="92"/>
        <v>351476.02609528735</v>
      </c>
      <c r="G104" s="901">
        <f t="shared" si="92"/>
        <v>351476.02609528735</v>
      </c>
      <c r="H104" s="901">
        <f t="shared" si="92"/>
        <v>2661175.6261500325</v>
      </c>
      <c r="I104" s="901">
        <f t="shared" si="92"/>
        <v>2661175.6261500325</v>
      </c>
      <c r="J104" s="901">
        <f t="shared" si="92"/>
        <v>0</v>
      </c>
      <c r="K104" s="901">
        <f t="shared" si="85"/>
        <v>0</v>
      </c>
      <c r="L104" s="901">
        <f t="shared" ref="L104:X104" si="93">L86+L95</f>
        <v>0</v>
      </c>
      <c r="M104" s="901">
        <f t="shared" si="93"/>
        <v>0</v>
      </c>
      <c r="N104" s="901">
        <f t="shared" si="93"/>
        <v>0</v>
      </c>
      <c r="O104" s="901">
        <f t="shared" si="93"/>
        <v>0</v>
      </c>
      <c r="P104" s="901">
        <f t="shared" si="93"/>
        <v>0</v>
      </c>
      <c r="Q104" s="901">
        <f t="shared" si="93"/>
        <v>0</v>
      </c>
      <c r="R104" s="901">
        <f t="shared" si="93"/>
        <v>0</v>
      </c>
      <c r="S104" s="901">
        <f t="shared" si="93"/>
        <v>0</v>
      </c>
      <c r="T104" s="901">
        <f t="shared" si="93"/>
        <v>0</v>
      </c>
      <c r="U104" s="901">
        <f t="shared" si="93"/>
        <v>0</v>
      </c>
      <c r="V104" s="901">
        <f t="shared" si="93"/>
        <v>0</v>
      </c>
      <c r="W104" s="901">
        <f t="shared" si="93"/>
        <v>0</v>
      </c>
      <c r="X104" s="901">
        <f t="shared" si="93"/>
        <v>0</v>
      </c>
      <c r="Y104" s="901">
        <f t="shared" si="87"/>
        <v>0</v>
      </c>
      <c r="Z104" s="901">
        <f t="shared" ref="Z104:AE104" si="94">Z86+Z95</f>
        <v>0</v>
      </c>
      <c r="AA104" s="901">
        <f t="shared" si="94"/>
        <v>0</v>
      </c>
      <c r="AB104" s="901">
        <f t="shared" si="94"/>
        <v>0</v>
      </c>
      <c r="AC104" s="901">
        <f t="shared" si="94"/>
        <v>0</v>
      </c>
      <c r="AD104" s="901">
        <f t="shared" si="94"/>
        <v>0</v>
      </c>
      <c r="AE104" s="1027">
        <f t="shared" si="94"/>
        <v>0</v>
      </c>
    </row>
    <row r="105" spans="2:31" ht="21.95" customHeight="1" x14ac:dyDescent="0.2">
      <c r="B105" s="1349"/>
      <c r="C105" s="116" t="str">
        <f>'Project Cost Data'!B12</f>
        <v>Patrol Road Improvements</v>
      </c>
      <c r="D105" s="901">
        <f t="shared" ref="D105:J105" si="95">D87+D96</f>
        <v>0</v>
      </c>
      <c r="E105" s="901">
        <f t="shared" si="95"/>
        <v>677846.62175519695</v>
      </c>
      <c r="F105" s="901">
        <f t="shared" si="95"/>
        <v>677846.62175519695</v>
      </c>
      <c r="G105" s="901">
        <f t="shared" si="95"/>
        <v>0</v>
      </c>
      <c r="H105" s="901">
        <f t="shared" si="95"/>
        <v>5132267.2790036341</v>
      </c>
      <c r="I105" s="901">
        <f t="shared" si="95"/>
        <v>5132267.2790036341</v>
      </c>
      <c r="J105" s="901">
        <f t="shared" si="95"/>
        <v>0</v>
      </c>
      <c r="K105" s="901">
        <f t="shared" si="85"/>
        <v>0</v>
      </c>
      <c r="L105" s="901">
        <f t="shared" ref="L105:X105" si="96">L87+L96</f>
        <v>0</v>
      </c>
      <c r="M105" s="901">
        <f t="shared" si="96"/>
        <v>0</v>
      </c>
      <c r="N105" s="901">
        <f t="shared" si="96"/>
        <v>0</v>
      </c>
      <c r="O105" s="901">
        <f t="shared" si="96"/>
        <v>0</v>
      </c>
      <c r="P105" s="901">
        <f t="shared" si="96"/>
        <v>0</v>
      </c>
      <c r="Q105" s="901">
        <f t="shared" si="96"/>
        <v>0</v>
      </c>
      <c r="R105" s="901">
        <f t="shared" si="96"/>
        <v>0</v>
      </c>
      <c r="S105" s="901">
        <f t="shared" si="96"/>
        <v>0</v>
      </c>
      <c r="T105" s="901">
        <f t="shared" si="96"/>
        <v>0</v>
      </c>
      <c r="U105" s="901">
        <f t="shared" si="96"/>
        <v>0</v>
      </c>
      <c r="V105" s="901">
        <f t="shared" si="96"/>
        <v>0</v>
      </c>
      <c r="W105" s="901">
        <f t="shared" si="96"/>
        <v>0</v>
      </c>
      <c r="X105" s="901">
        <f t="shared" si="96"/>
        <v>0</v>
      </c>
      <c r="Y105" s="901">
        <f t="shared" si="87"/>
        <v>0</v>
      </c>
      <c r="Z105" s="901">
        <f t="shared" ref="Z105:AE105" si="97">Z87+Z96</f>
        <v>0</v>
      </c>
      <c r="AA105" s="901">
        <f t="shared" si="97"/>
        <v>0</v>
      </c>
      <c r="AB105" s="901">
        <f t="shared" si="97"/>
        <v>0</v>
      </c>
      <c r="AC105" s="901">
        <f t="shared" si="97"/>
        <v>0</v>
      </c>
      <c r="AD105" s="901">
        <f t="shared" si="97"/>
        <v>0</v>
      </c>
      <c r="AE105" s="1027">
        <f t="shared" si="97"/>
        <v>0</v>
      </c>
    </row>
    <row r="106" spans="2:31" ht="21.95" customHeight="1" x14ac:dyDescent="0.2">
      <c r="B106" s="1349"/>
      <c r="C106" s="116" t="str">
        <f>'Project Cost Data'!B13</f>
        <v>Williams Street Improvements</v>
      </c>
      <c r="D106" s="901">
        <f t="shared" ref="D106:J106" si="98">D88+D97</f>
        <v>0</v>
      </c>
      <c r="E106" s="901">
        <f t="shared" si="98"/>
        <v>0</v>
      </c>
      <c r="F106" s="901">
        <f t="shared" si="98"/>
        <v>853584.63480284065</v>
      </c>
      <c r="G106" s="901">
        <f t="shared" si="98"/>
        <v>853584.63480284065</v>
      </c>
      <c r="H106" s="901">
        <f t="shared" si="98"/>
        <v>4308570.0613857666</v>
      </c>
      <c r="I106" s="901">
        <f t="shared" si="98"/>
        <v>4308570.0613857666</v>
      </c>
      <c r="J106" s="901">
        <f t="shared" si="98"/>
        <v>4308570.0613857666</v>
      </c>
      <c r="K106" s="901">
        <f t="shared" si="85"/>
        <v>0</v>
      </c>
      <c r="L106" s="901">
        <f t="shared" ref="L106:X106" si="99">L88+L97</f>
        <v>0</v>
      </c>
      <c r="M106" s="901">
        <f t="shared" si="99"/>
        <v>0</v>
      </c>
      <c r="N106" s="901">
        <f t="shared" si="99"/>
        <v>0</v>
      </c>
      <c r="O106" s="901">
        <f t="shared" si="99"/>
        <v>0</v>
      </c>
      <c r="P106" s="901">
        <f t="shared" si="99"/>
        <v>0</v>
      </c>
      <c r="Q106" s="901">
        <f t="shared" si="99"/>
        <v>0</v>
      </c>
      <c r="R106" s="901">
        <f t="shared" si="99"/>
        <v>0</v>
      </c>
      <c r="S106" s="901">
        <f t="shared" si="99"/>
        <v>0</v>
      </c>
      <c r="T106" s="901">
        <f t="shared" si="99"/>
        <v>0</v>
      </c>
      <c r="U106" s="901">
        <f t="shared" si="99"/>
        <v>0</v>
      </c>
      <c r="V106" s="901">
        <f t="shared" si="99"/>
        <v>0</v>
      </c>
      <c r="W106" s="901">
        <f t="shared" si="99"/>
        <v>0</v>
      </c>
      <c r="X106" s="901">
        <f t="shared" si="99"/>
        <v>0</v>
      </c>
      <c r="Y106" s="901">
        <f t="shared" si="87"/>
        <v>0</v>
      </c>
      <c r="Z106" s="901">
        <f t="shared" ref="Z106:AE106" si="100">Z88+Z97</f>
        <v>0</v>
      </c>
      <c r="AA106" s="901">
        <f t="shared" si="100"/>
        <v>0</v>
      </c>
      <c r="AB106" s="901">
        <f t="shared" si="100"/>
        <v>0</v>
      </c>
      <c r="AC106" s="901">
        <f t="shared" si="100"/>
        <v>0</v>
      </c>
      <c r="AD106" s="901">
        <f t="shared" si="100"/>
        <v>0</v>
      </c>
      <c r="AE106" s="1027">
        <f t="shared" si="100"/>
        <v>0</v>
      </c>
    </row>
    <row r="107" spans="2:31" ht="21.95" customHeight="1" x14ac:dyDescent="0.2">
      <c r="B107" s="1349"/>
      <c r="C107" s="116" t="str">
        <f>'Project Cost Data'!B14</f>
        <v>SH-412B North Reconstruction</v>
      </c>
      <c r="D107" s="901">
        <f t="shared" ref="D107:J107" si="101">D89+D98</f>
        <v>0</v>
      </c>
      <c r="E107" s="901">
        <f t="shared" si="101"/>
        <v>481710.44647880894</v>
      </c>
      <c r="F107" s="901">
        <f t="shared" si="101"/>
        <v>481710.44647880894</v>
      </c>
      <c r="G107" s="901">
        <f t="shared" si="101"/>
        <v>0</v>
      </c>
      <c r="H107" s="901">
        <f t="shared" si="101"/>
        <v>3647236.2376252678</v>
      </c>
      <c r="I107" s="901">
        <f t="shared" si="101"/>
        <v>3647236.2376252678</v>
      </c>
      <c r="J107" s="901">
        <f t="shared" si="101"/>
        <v>0</v>
      </c>
      <c r="K107" s="901">
        <f t="shared" si="85"/>
        <v>0</v>
      </c>
      <c r="L107" s="901">
        <f t="shared" ref="L107:X107" si="102">L89+L98</f>
        <v>0</v>
      </c>
      <c r="M107" s="901">
        <f t="shared" si="102"/>
        <v>0</v>
      </c>
      <c r="N107" s="901">
        <f t="shared" si="102"/>
        <v>0</v>
      </c>
      <c r="O107" s="901">
        <f t="shared" si="102"/>
        <v>0</v>
      </c>
      <c r="P107" s="901">
        <f t="shared" si="102"/>
        <v>0</v>
      </c>
      <c r="Q107" s="901">
        <f t="shared" si="102"/>
        <v>0</v>
      </c>
      <c r="R107" s="901">
        <f t="shared" si="102"/>
        <v>0</v>
      </c>
      <c r="S107" s="901">
        <f t="shared" si="102"/>
        <v>0</v>
      </c>
      <c r="T107" s="901">
        <f t="shared" si="102"/>
        <v>0</v>
      </c>
      <c r="U107" s="901">
        <f t="shared" si="102"/>
        <v>0</v>
      </c>
      <c r="V107" s="901">
        <f t="shared" si="102"/>
        <v>0</v>
      </c>
      <c r="W107" s="901">
        <f t="shared" si="102"/>
        <v>0</v>
      </c>
      <c r="X107" s="901">
        <f t="shared" si="102"/>
        <v>0</v>
      </c>
      <c r="Y107" s="901">
        <f t="shared" si="87"/>
        <v>0</v>
      </c>
      <c r="Z107" s="901">
        <f t="shared" ref="Z107:AE107" si="103">Z89+Z98</f>
        <v>0</v>
      </c>
      <c r="AA107" s="901">
        <f t="shared" si="103"/>
        <v>0</v>
      </c>
      <c r="AB107" s="901">
        <f t="shared" si="103"/>
        <v>0</v>
      </c>
      <c r="AC107" s="901">
        <f t="shared" si="103"/>
        <v>0</v>
      </c>
      <c r="AD107" s="901">
        <f t="shared" si="103"/>
        <v>0</v>
      </c>
      <c r="AE107" s="1027">
        <f t="shared" si="103"/>
        <v>0</v>
      </c>
    </row>
    <row r="108" spans="2:31" ht="21.95" customHeight="1" x14ac:dyDescent="0.2">
      <c r="B108" s="1349"/>
      <c r="C108" s="116" t="str">
        <f>'Project Cost Data'!B15</f>
        <v>US-69 / Main Street Intersection</v>
      </c>
      <c r="D108" s="901">
        <f t="shared" ref="D108:J108" si="104">D90+D99</f>
        <v>0</v>
      </c>
      <c r="E108" s="901">
        <f t="shared" si="104"/>
        <v>0</v>
      </c>
      <c r="F108" s="901">
        <f t="shared" si="104"/>
        <v>25105.430435377664</v>
      </c>
      <c r="G108" s="901">
        <f t="shared" si="104"/>
        <v>25105.430435377664</v>
      </c>
      <c r="H108" s="901">
        <f t="shared" si="104"/>
        <v>0</v>
      </c>
      <c r="I108" s="901">
        <f t="shared" si="104"/>
        <v>0</v>
      </c>
      <c r="J108" s="901">
        <f t="shared" si="104"/>
        <v>380167.94659286179</v>
      </c>
      <c r="K108" s="901">
        <f t="shared" si="85"/>
        <v>0</v>
      </c>
      <c r="L108" s="901">
        <f t="shared" ref="L108:X108" si="105">L90+L99</f>
        <v>0</v>
      </c>
      <c r="M108" s="901">
        <f t="shared" si="105"/>
        <v>0</v>
      </c>
      <c r="N108" s="901">
        <f t="shared" si="105"/>
        <v>0</v>
      </c>
      <c r="O108" s="901">
        <f t="shared" si="105"/>
        <v>0</v>
      </c>
      <c r="P108" s="901">
        <f t="shared" si="105"/>
        <v>0</v>
      </c>
      <c r="Q108" s="901">
        <f t="shared" si="105"/>
        <v>0</v>
      </c>
      <c r="R108" s="901">
        <f t="shared" si="105"/>
        <v>0</v>
      </c>
      <c r="S108" s="901">
        <f t="shared" si="105"/>
        <v>0</v>
      </c>
      <c r="T108" s="901">
        <f t="shared" si="105"/>
        <v>0</v>
      </c>
      <c r="U108" s="901">
        <f t="shared" si="105"/>
        <v>0</v>
      </c>
      <c r="V108" s="901">
        <f t="shared" si="105"/>
        <v>0</v>
      </c>
      <c r="W108" s="901">
        <f t="shared" si="105"/>
        <v>0</v>
      </c>
      <c r="X108" s="901">
        <f t="shared" si="105"/>
        <v>0</v>
      </c>
      <c r="Y108" s="901">
        <f t="shared" si="87"/>
        <v>0</v>
      </c>
      <c r="Z108" s="901">
        <f t="shared" ref="Z108:AE108" si="106">Z90+Z99</f>
        <v>0</v>
      </c>
      <c r="AA108" s="901">
        <f t="shared" si="106"/>
        <v>0</v>
      </c>
      <c r="AB108" s="901">
        <f t="shared" si="106"/>
        <v>0</v>
      </c>
      <c r="AC108" s="901">
        <f t="shared" si="106"/>
        <v>0</v>
      </c>
      <c r="AD108" s="901">
        <f t="shared" si="106"/>
        <v>0</v>
      </c>
      <c r="AE108" s="1027">
        <f t="shared" si="106"/>
        <v>0</v>
      </c>
    </row>
    <row r="109" spans="2:31" ht="21.95" customHeight="1" x14ac:dyDescent="0.2">
      <c r="B109" s="1349"/>
      <c r="C109" s="116" t="str">
        <f>'Project Cost Data'!B16</f>
        <v>Zarrow Street Widening</v>
      </c>
      <c r="D109" s="901">
        <f t="shared" ref="D109:J109" si="107">D91+D100</f>
        <v>0</v>
      </c>
      <c r="E109" s="901">
        <f t="shared" si="107"/>
        <v>0</v>
      </c>
      <c r="F109" s="901">
        <f t="shared" si="107"/>
        <v>397921.07240073598</v>
      </c>
      <c r="G109" s="901">
        <f t="shared" si="107"/>
        <v>397921.07240073598</v>
      </c>
      <c r="H109" s="901">
        <f t="shared" si="107"/>
        <v>3012830.9767484297</v>
      </c>
      <c r="I109" s="901">
        <f t="shared" si="107"/>
        <v>3012830.9767484297</v>
      </c>
      <c r="J109" s="901">
        <f t="shared" si="107"/>
        <v>0</v>
      </c>
      <c r="K109" s="901">
        <f t="shared" si="85"/>
        <v>0</v>
      </c>
      <c r="L109" s="901">
        <f t="shared" ref="L109:X109" si="108">L91+L100</f>
        <v>0</v>
      </c>
      <c r="M109" s="901">
        <f t="shared" si="108"/>
        <v>0</v>
      </c>
      <c r="N109" s="901">
        <f t="shared" si="108"/>
        <v>0</v>
      </c>
      <c r="O109" s="901">
        <f t="shared" si="108"/>
        <v>0</v>
      </c>
      <c r="P109" s="901">
        <f t="shared" si="108"/>
        <v>0</v>
      </c>
      <c r="Q109" s="901">
        <f t="shared" si="108"/>
        <v>0</v>
      </c>
      <c r="R109" s="901">
        <f t="shared" si="108"/>
        <v>0</v>
      </c>
      <c r="S109" s="901">
        <f t="shared" si="108"/>
        <v>0</v>
      </c>
      <c r="T109" s="901">
        <f t="shared" si="108"/>
        <v>0</v>
      </c>
      <c r="U109" s="901">
        <f t="shared" si="108"/>
        <v>0</v>
      </c>
      <c r="V109" s="901">
        <f t="shared" si="108"/>
        <v>0</v>
      </c>
      <c r="W109" s="901">
        <f t="shared" si="108"/>
        <v>0</v>
      </c>
      <c r="X109" s="901">
        <f t="shared" si="108"/>
        <v>0</v>
      </c>
      <c r="Y109" s="901">
        <f t="shared" si="87"/>
        <v>0</v>
      </c>
      <c r="Z109" s="901">
        <f t="shared" ref="Z109:AE109" si="109">Z91+Z100</f>
        <v>0</v>
      </c>
      <c r="AA109" s="901">
        <f t="shared" si="109"/>
        <v>0</v>
      </c>
      <c r="AB109" s="901">
        <f t="shared" si="109"/>
        <v>0</v>
      </c>
      <c r="AC109" s="901">
        <f t="shared" si="109"/>
        <v>0</v>
      </c>
      <c r="AD109" s="901">
        <f t="shared" si="109"/>
        <v>0</v>
      </c>
      <c r="AE109" s="1027">
        <f t="shared" si="109"/>
        <v>0</v>
      </c>
    </row>
    <row r="110" spans="2:31" ht="21.95" customHeight="1" thickBot="1" x14ac:dyDescent="0.25">
      <c r="B110" s="1349"/>
      <c r="C110" s="116" t="str">
        <f>'Project Cost Data'!B17</f>
        <v>Rocket Road Improvements</v>
      </c>
      <c r="D110" s="901">
        <f t="shared" ref="D110:J110" si="110">D92+D101</f>
        <v>0</v>
      </c>
      <c r="E110" s="901">
        <f t="shared" si="110"/>
        <v>0</v>
      </c>
      <c r="F110" s="901">
        <f t="shared" si="110"/>
        <v>420515.95979257592</v>
      </c>
      <c r="G110" s="901">
        <f t="shared" si="110"/>
        <v>420515.95979257592</v>
      </c>
      <c r="H110" s="901">
        <f t="shared" si="110"/>
        <v>3183906.5527152177</v>
      </c>
      <c r="I110" s="901">
        <f t="shared" si="110"/>
        <v>3183906.5527152177</v>
      </c>
      <c r="J110" s="901">
        <f t="shared" si="110"/>
        <v>0</v>
      </c>
      <c r="K110" s="901">
        <f t="shared" si="85"/>
        <v>0</v>
      </c>
      <c r="L110" s="901">
        <f t="shared" ref="L110:X110" si="111">L92+L101</f>
        <v>0</v>
      </c>
      <c r="M110" s="901">
        <f t="shared" si="111"/>
        <v>0</v>
      </c>
      <c r="N110" s="901">
        <f t="shared" si="111"/>
        <v>0</v>
      </c>
      <c r="O110" s="901">
        <f t="shared" si="111"/>
        <v>0</v>
      </c>
      <c r="P110" s="901">
        <f t="shared" si="111"/>
        <v>0</v>
      </c>
      <c r="Q110" s="901">
        <f t="shared" si="111"/>
        <v>0</v>
      </c>
      <c r="R110" s="901">
        <f t="shared" si="111"/>
        <v>0</v>
      </c>
      <c r="S110" s="901">
        <f t="shared" si="111"/>
        <v>0</v>
      </c>
      <c r="T110" s="901">
        <f t="shared" si="111"/>
        <v>0</v>
      </c>
      <c r="U110" s="901">
        <f t="shared" si="111"/>
        <v>0</v>
      </c>
      <c r="V110" s="901">
        <f t="shared" si="111"/>
        <v>0</v>
      </c>
      <c r="W110" s="901">
        <f t="shared" si="111"/>
        <v>0</v>
      </c>
      <c r="X110" s="901">
        <f t="shared" si="111"/>
        <v>0</v>
      </c>
      <c r="Y110" s="901">
        <f t="shared" si="87"/>
        <v>0</v>
      </c>
      <c r="Z110" s="901">
        <f t="shared" ref="Z110:AE110" si="112">Z92+Z101</f>
        <v>0</v>
      </c>
      <c r="AA110" s="901">
        <f t="shared" si="112"/>
        <v>0</v>
      </c>
      <c r="AB110" s="901">
        <f t="shared" si="112"/>
        <v>0</v>
      </c>
      <c r="AC110" s="901">
        <f t="shared" si="112"/>
        <v>0</v>
      </c>
      <c r="AD110" s="901">
        <f t="shared" si="112"/>
        <v>0</v>
      </c>
      <c r="AE110" s="1027">
        <f t="shared" si="112"/>
        <v>0</v>
      </c>
    </row>
    <row r="111" spans="2:31" ht="21.95" customHeight="1" thickBot="1" x14ac:dyDescent="0.25">
      <c r="B111" s="1030"/>
      <c r="C111" s="732" t="s">
        <v>25</v>
      </c>
      <c r="D111" s="1031">
        <f t="shared" ref="D111:J111" si="113">SUM(D102:D110)</f>
        <v>0</v>
      </c>
      <c r="E111" s="1031">
        <f t="shared" si="113"/>
        <v>2503295.3448704104</v>
      </c>
      <c r="F111" s="1031">
        <f t="shared" si="113"/>
        <v>5454124.8746686131</v>
      </c>
      <c r="G111" s="1031">
        <f t="shared" si="113"/>
        <v>4294567.8064346071</v>
      </c>
      <c r="H111" s="1031">
        <f t="shared" si="113"/>
        <v>33176781.489225805</v>
      </c>
      <c r="I111" s="1031">
        <f t="shared" si="113"/>
        <v>33176781.489225805</v>
      </c>
      <c r="J111" s="1031">
        <f t="shared" si="113"/>
        <v>15919532.763576085</v>
      </c>
      <c r="K111" s="1031">
        <f>SUM(K102:K110)</f>
        <v>6676699.5620371355</v>
      </c>
      <c r="L111" s="1031">
        <f t="shared" ref="L111:X111" si="114">SUM(L102:L110)</f>
        <v>0</v>
      </c>
      <c r="M111" s="1031">
        <f t="shared" si="114"/>
        <v>0</v>
      </c>
      <c r="N111" s="1031">
        <f t="shared" si="114"/>
        <v>0</v>
      </c>
      <c r="O111" s="1031">
        <f t="shared" si="114"/>
        <v>0</v>
      </c>
      <c r="P111" s="1031">
        <f t="shared" si="114"/>
        <v>0</v>
      </c>
      <c r="Q111" s="1031">
        <f t="shared" si="114"/>
        <v>0</v>
      </c>
      <c r="R111" s="1031">
        <f t="shared" si="114"/>
        <v>0</v>
      </c>
      <c r="S111" s="1031">
        <f t="shared" si="114"/>
        <v>0</v>
      </c>
      <c r="T111" s="1031">
        <f t="shared" si="114"/>
        <v>0</v>
      </c>
      <c r="U111" s="1031">
        <f t="shared" si="114"/>
        <v>0</v>
      </c>
      <c r="V111" s="1031">
        <f t="shared" si="114"/>
        <v>0</v>
      </c>
      <c r="W111" s="1031">
        <f t="shared" si="114"/>
        <v>0</v>
      </c>
      <c r="X111" s="1031">
        <f t="shared" si="114"/>
        <v>0</v>
      </c>
      <c r="Y111" s="1031">
        <f>SUM(Y102:Y110)</f>
        <v>0</v>
      </c>
      <c r="Z111" s="1031">
        <f t="shared" ref="Z111:AE111" si="115">SUM(Z102:Z110)</f>
        <v>0</v>
      </c>
      <c r="AA111" s="1031">
        <f t="shared" si="115"/>
        <v>0</v>
      </c>
      <c r="AB111" s="1031">
        <f t="shared" si="115"/>
        <v>0</v>
      </c>
      <c r="AC111" s="1031">
        <f t="shared" si="115"/>
        <v>0</v>
      </c>
      <c r="AD111" s="1031">
        <f t="shared" si="115"/>
        <v>0</v>
      </c>
      <c r="AE111" s="1032">
        <f t="shared" si="115"/>
        <v>0</v>
      </c>
    </row>
  </sheetData>
  <mergeCells count="6">
    <mergeCell ref="B84:B92"/>
    <mergeCell ref="B93:B101"/>
    <mergeCell ref="B102:B110"/>
    <mergeCell ref="B65:B69"/>
    <mergeCell ref="B70:B74"/>
    <mergeCell ref="B75:B79"/>
  </mergeCells>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BA235-C11C-426F-ACC8-D02598052016}">
  <sheetPr>
    <tabColor theme="9" tint="-0.249977111117893"/>
  </sheetPr>
  <dimension ref="A1:AN823"/>
  <sheetViews>
    <sheetView zoomScale="85" zoomScaleNormal="85" workbookViewId="0">
      <selection activeCell="H22" sqref="H22"/>
    </sheetView>
  </sheetViews>
  <sheetFormatPr defaultColWidth="11.625" defaultRowHeight="21.95" customHeight="1" x14ac:dyDescent="0.2"/>
  <cols>
    <col min="1" max="1" width="3.375" customWidth="1"/>
    <col min="2" max="2" width="54" customWidth="1"/>
    <col min="3" max="3" width="16.625" bestFit="1" customWidth="1"/>
    <col min="4" max="4" width="19" customWidth="1"/>
    <col min="5" max="5" width="14.75" customWidth="1"/>
    <col min="6" max="6" width="20.375" customWidth="1"/>
    <col min="7" max="7" width="23.875" customWidth="1"/>
    <col min="8" max="17" width="18.625" style="2" customWidth="1"/>
    <col min="18" max="33" width="18.625" customWidth="1"/>
    <col min="34" max="40" width="14.75" customWidth="1"/>
  </cols>
  <sheetData>
    <row r="1" spans="1:30" ht="21.95" customHeight="1" x14ac:dyDescent="0.2">
      <c r="E1" s="12"/>
      <c r="F1" s="12"/>
      <c r="G1" s="12"/>
      <c r="H1" s="12"/>
      <c r="I1" s="12"/>
      <c r="J1" s="12"/>
      <c r="K1" s="12"/>
      <c r="L1" s="12"/>
      <c r="M1" s="12"/>
      <c r="N1" s="12"/>
      <c r="O1" s="12"/>
      <c r="P1" s="12"/>
      <c r="Q1" s="12"/>
      <c r="R1" s="12"/>
      <c r="S1" s="12"/>
      <c r="T1" s="12"/>
      <c r="U1" s="12"/>
      <c r="V1" s="12"/>
      <c r="W1" s="12"/>
      <c r="X1" s="12"/>
      <c r="Y1" s="12"/>
      <c r="Z1" s="12"/>
      <c r="AA1" s="12"/>
      <c r="AB1" s="12"/>
      <c r="AC1" s="12"/>
    </row>
    <row r="2" spans="1:30" ht="23.25" x14ac:dyDescent="0.2">
      <c r="B2" s="394" t="s">
        <v>8</v>
      </c>
      <c r="C2" s="10"/>
      <c r="D2" s="10"/>
      <c r="E2" s="12"/>
      <c r="F2" s="12"/>
      <c r="G2" s="12"/>
      <c r="H2" s="12"/>
      <c r="I2" s="12"/>
      <c r="J2" s="12"/>
      <c r="K2" s="12"/>
      <c r="L2" s="12"/>
      <c r="M2" s="12"/>
      <c r="N2" s="12"/>
      <c r="O2" s="12"/>
      <c r="P2" s="12"/>
      <c r="Q2" s="12"/>
      <c r="R2" s="12"/>
      <c r="S2" s="12"/>
      <c r="T2" s="12"/>
      <c r="U2" s="12"/>
      <c r="V2" s="12"/>
      <c r="W2" s="12"/>
      <c r="X2" s="12"/>
      <c r="Y2" s="12"/>
      <c r="Z2" s="12"/>
      <c r="AA2" s="12"/>
      <c r="AB2" s="12"/>
      <c r="AC2" s="12"/>
    </row>
    <row r="3" spans="1:30" ht="21.95" customHeight="1" x14ac:dyDescent="0.2">
      <c r="E3" s="12"/>
      <c r="F3" s="12"/>
      <c r="G3" s="12"/>
      <c r="H3" s="12"/>
      <c r="I3" s="12"/>
      <c r="J3" s="12"/>
      <c r="K3" s="12"/>
      <c r="L3" s="12"/>
      <c r="M3" s="12"/>
      <c r="N3" s="12"/>
      <c r="O3" s="12"/>
      <c r="P3" s="12"/>
      <c r="Q3" s="12"/>
      <c r="R3" s="12"/>
      <c r="S3" s="12"/>
      <c r="T3" s="12"/>
      <c r="U3" s="12"/>
      <c r="V3" s="12"/>
      <c r="W3" s="12"/>
      <c r="X3" s="12"/>
      <c r="Y3" s="12"/>
      <c r="Z3" s="12"/>
      <c r="AA3" s="12"/>
      <c r="AB3" s="12"/>
      <c r="AC3" s="12"/>
    </row>
    <row r="4" spans="1:30" ht="21.95" customHeight="1" x14ac:dyDescent="0.2">
      <c r="A4" s="551"/>
      <c r="B4" s="552" t="s">
        <v>0</v>
      </c>
      <c r="E4" s="12"/>
      <c r="F4" s="12"/>
      <c r="G4" s="12"/>
      <c r="H4" s="12"/>
      <c r="I4" s="12"/>
      <c r="J4" s="12"/>
      <c r="K4" s="12"/>
      <c r="L4" s="12"/>
      <c r="M4" s="12"/>
      <c r="N4" s="12"/>
      <c r="O4" s="12"/>
      <c r="P4" s="12"/>
      <c r="Q4" s="12"/>
      <c r="R4" s="12"/>
      <c r="S4" s="12"/>
      <c r="T4" s="12"/>
      <c r="U4" s="12"/>
      <c r="V4" s="12"/>
      <c r="W4" s="12"/>
      <c r="X4" s="12"/>
      <c r="Y4" s="12"/>
      <c r="Z4" s="12"/>
      <c r="AA4" s="12"/>
      <c r="AB4" s="12"/>
      <c r="AC4" s="12"/>
    </row>
    <row r="5" spans="1:30" ht="21.95" customHeight="1" x14ac:dyDescent="0.2">
      <c r="A5" s="14"/>
      <c r="B5" s="15"/>
      <c r="C5" s="15"/>
      <c r="D5" s="15"/>
      <c r="E5" s="12"/>
      <c r="F5" s="12"/>
      <c r="G5" s="12"/>
      <c r="H5" s="12"/>
      <c r="I5" s="12"/>
      <c r="J5" s="12"/>
      <c r="K5" s="12"/>
      <c r="L5" s="12"/>
      <c r="M5" s="12"/>
      <c r="N5" s="12"/>
      <c r="O5" s="12"/>
      <c r="P5" s="12"/>
      <c r="Q5" s="12"/>
      <c r="R5" s="12"/>
      <c r="S5" s="12"/>
      <c r="T5" s="12"/>
      <c r="U5" s="12"/>
      <c r="V5" s="12"/>
      <c r="W5" s="12"/>
      <c r="X5" s="12"/>
      <c r="Y5" s="12"/>
      <c r="Z5" s="12"/>
      <c r="AA5" s="12"/>
      <c r="AB5" s="12"/>
      <c r="AC5" s="12"/>
    </row>
    <row r="6" spans="1:30" ht="21.95" customHeight="1" x14ac:dyDescent="0.2">
      <c r="A6" s="14"/>
      <c r="B6" s="546" t="s">
        <v>477</v>
      </c>
      <c r="H6"/>
      <c r="K6" s="12"/>
      <c r="L6" s="12"/>
      <c r="M6" s="12"/>
      <c r="N6" s="12"/>
      <c r="O6"/>
      <c r="P6"/>
      <c r="Q6"/>
      <c r="R6" s="12"/>
      <c r="S6" s="12"/>
      <c r="T6" s="12"/>
      <c r="U6" s="12"/>
      <c r="V6" s="12"/>
      <c r="W6" s="12"/>
      <c r="X6" s="12"/>
      <c r="Y6" s="12"/>
      <c r="Z6" s="12"/>
      <c r="AA6" s="12"/>
      <c r="AB6" s="12"/>
      <c r="AC6" s="12"/>
      <c r="AD6" s="12"/>
    </row>
    <row r="7" spans="1:30" ht="21.95" customHeight="1" x14ac:dyDescent="0.2">
      <c r="B7" s="112"/>
      <c r="C7" s="9"/>
      <c r="D7" s="9"/>
      <c r="E7" s="12"/>
      <c r="F7" s="12"/>
      <c r="G7" s="12"/>
      <c r="H7" s="12"/>
      <c r="I7" s="12"/>
      <c r="J7" s="12"/>
      <c r="K7" s="12"/>
      <c r="L7" s="12"/>
      <c r="M7" s="12"/>
      <c r="N7" s="12"/>
      <c r="O7"/>
      <c r="P7"/>
      <c r="Q7"/>
      <c r="U7" s="12"/>
      <c r="V7" s="12"/>
      <c r="W7" s="12"/>
      <c r="X7" s="12"/>
      <c r="Y7" s="12"/>
      <c r="Z7" s="12"/>
      <c r="AA7" s="12"/>
      <c r="AB7" s="12"/>
      <c r="AC7" s="12"/>
      <c r="AD7" s="12"/>
    </row>
    <row r="8" spans="1:30" ht="21.95" customHeight="1" x14ac:dyDescent="0.2">
      <c r="B8" s="9" t="s">
        <v>479</v>
      </c>
      <c r="E8" s="12"/>
      <c r="F8" s="12"/>
      <c r="G8" s="12"/>
      <c r="H8" s="12"/>
      <c r="I8" s="12"/>
      <c r="J8" s="12"/>
      <c r="K8" s="12"/>
      <c r="L8" s="12"/>
      <c r="M8" s="62"/>
      <c r="N8" s="12"/>
      <c r="O8" s="12"/>
      <c r="P8"/>
      <c r="Q8" s="12"/>
      <c r="U8" s="12"/>
      <c r="V8" s="12"/>
      <c r="W8" s="12"/>
      <c r="X8" s="12"/>
      <c r="Y8" s="12"/>
      <c r="Z8" s="12"/>
      <c r="AA8" s="12"/>
      <c r="AB8" s="12"/>
      <c r="AC8" s="12"/>
      <c r="AD8" s="12"/>
    </row>
    <row r="9" spans="1:30" ht="21.95" customHeight="1" x14ac:dyDescent="0.2">
      <c r="B9" s="9" t="s">
        <v>478</v>
      </c>
      <c r="E9" s="12"/>
      <c r="F9" s="12"/>
      <c r="G9" s="12"/>
      <c r="H9" s="12"/>
      <c r="I9" s="12"/>
      <c r="J9" s="12"/>
      <c r="K9" s="12"/>
      <c r="L9" s="12"/>
      <c r="M9" s="62"/>
      <c r="N9" s="12"/>
      <c r="O9" s="12"/>
      <c r="P9"/>
      <c r="Q9" s="12"/>
      <c r="U9" s="12"/>
      <c r="V9" s="12"/>
      <c r="W9" s="12"/>
      <c r="X9" s="12"/>
      <c r="Y9" s="12"/>
      <c r="Z9" s="12"/>
      <c r="AA9" s="12"/>
      <c r="AB9" s="12"/>
      <c r="AC9" s="12"/>
      <c r="AD9" s="12"/>
    </row>
    <row r="10" spans="1:30" ht="21.95" customHeight="1" x14ac:dyDescent="0.2">
      <c r="E10" s="12"/>
      <c r="F10" s="12"/>
      <c r="G10" s="12"/>
      <c r="H10" s="12"/>
      <c r="I10" s="12"/>
      <c r="J10"/>
      <c r="K10"/>
      <c r="L10"/>
      <c r="M10"/>
      <c r="N10" s="30"/>
      <c r="O10"/>
      <c r="P10"/>
      <c r="Q10" s="12"/>
      <c r="R10" s="12"/>
      <c r="S10" s="12"/>
      <c r="T10" s="12"/>
      <c r="U10" s="12"/>
      <c r="V10" s="12"/>
      <c r="W10" s="12"/>
      <c r="X10" s="12"/>
      <c r="Y10" s="12"/>
      <c r="Z10" s="12"/>
      <c r="AA10" s="12"/>
    </row>
    <row r="11" spans="1:30" ht="21.95" customHeight="1" thickBot="1" x14ac:dyDescent="0.25">
      <c r="B11" s="194" t="s">
        <v>472</v>
      </c>
      <c r="G11" s="12"/>
      <c r="H11" s="12"/>
      <c r="I11" s="12"/>
      <c r="J11" s="12"/>
      <c r="K11" s="12"/>
      <c r="L11" s="12"/>
      <c r="M11" s="62"/>
      <c r="N11" s="12"/>
      <c r="O11" s="12"/>
      <c r="P11"/>
      <c r="Q11" s="12"/>
      <c r="U11" s="12"/>
      <c r="V11" s="12"/>
      <c r="W11" s="12"/>
      <c r="X11" s="12"/>
      <c r="Y11" s="12"/>
      <c r="Z11" s="12"/>
      <c r="AA11" s="12"/>
      <c r="AB11" s="12"/>
      <c r="AC11" s="12"/>
      <c r="AD11" s="12"/>
    </row>
    <row r="12" spans="1:30" ht="21.95" customHeight="1" x14ac:dyDescent="0.2">
      <c r="B12" s="196" t="s">
        <v>1</v>
      </c>
      <c r="C12" s="200"/>
      <c r="D12" s="200"/>
      <c r="E12" s="200" t="s">
        <v>2</v>
      </c>
      <c r="F12" s="1140" t="s">
        <v>3</v>
      </c>
      <c r="G12" s="12"/>
      <c r="I12"/>
      <c r="J12" s="12"/>
      <c r="K12" s="12"/>
      <c r="L12" s="12"/>
      <c r="M12" s="62"/>
      <c r="N12" s="12"/>
      <c r="O12" s="12"/>
      <c r="P12"/>
      <c r="Q12" s="12"/>
      <c r="U12" s="12"/>
      <c r="V12" s="12"/>
      <c r="W12" s="12"/>
      <c r="X12" s="12"/>
      <c r="Y12" s="12"/>
      <c r="Z12" s="12"/>
      <c r="AA12" s="12"/>
      <c r="AB12" s="12"/>
      <c r="AC12" s="12"/>
      <c r="AD12" s="12"/>
    </row>
    <row r="13" spans="1:30" ht="21.95" customHeight="1" x14ac:dyDescent="0.2">
      <c r="B13" s="197" t="s">
        <v>153</v>
      </c>
      <c r="C13" s="12"/>
      <c r="D13" s="12"/>
      <c r="E13" s="12" t="s">
        <v>129</v>
      </c>
      <c r="F13" s="1141">
        <f>peakHoursAM</f>
        <v>2</v>
      </c>
      <c r="G13" s="12"/>
      <c r="I13"/>
      <c r="J13" s="12"/>
      <c r="K13" s="12"/>
      <c r="L13" s="12"/>
      <c r="M13" s="62"/>
      <c r="N13" s="12"/>
      <c r="O13" s="12"/>
      <c r="P13"/>
      <c r="Q13" s="12"/>
      <c r="U13" s="12"/>
      <c r="V13" s="12"/>
      <c r="W13" s="12"/>
      <c r="X13" s="12"/>
      <c r="Y13" s="12"/>
      <c r="Z13" s="12"/>
      <c r="AA13" s="12"/>
      <c r="AB13" s="12"/>
      <c r="AC13" s="12"/>
      <c r="AD13" s="12"/>
    </row>
    <row r="14" spans="1:30" ht="21.95" customHeight="1" x14ac:dyDescent="0.2">
      <c r="B14" s="1142" t="s">
        <v>154</v>
      </c>
      <c r="C14" s="49"/>
      <c r="D14" s="49"/>
      <c r="E14" s="49" t="s">
        <v>129</v>
      </c>
      <c r="F14" s="1143">
        <f>peakHoursPM</f>
        <v>2</v>
      </c>
      <c r="G14" s="12"/>
      <c r="I14"/>
      <c r="J14" s="12"/>
      <c r="K14" s="12"/>
      <c r="L14" s="12"/>
      <c r="M14" s="62"/>
      <c r="N14" s="12"/>
      <c r="O14" s="12"/>
      <c r="P14"/>
      <c r="Q14" s="12"/>
      <c r="U14" s="12"/>
      <c r="V14" s="12"/>
      <c r="W14" s="12"/>
      <c r="X14" s="12"/>
      <c r="Y14" s="12"/>
      <c r="Z14" s="12"/>
      <c r="AA14" s="12"/>
      <c r="AB14" s="12"/>
      <c r="AC14" s="12"/>
      <c r="AD14" s="12"/>
    </row>
    <row r="15" spans="1:30" ht="21.95" customHeight="1" thickBot="1" x14ac:dyDescent="0.25">
      <c r="B15" s="1144" t="s">
        <v>148</v>
      </c>
      <c r="C15" s="1111"/>
      <c r="D15" s="1111"/>
      <c r="E15" s="1111" t="s">
        <v>128</v>
      </c>
      <c r="F15" s="1145">
        <f>percentPeak</f>
        <v>0.32800000000000001</v>
      </c>
      <c r="G15" s="110"/>
      <c r="I15"/>
      <c r="J15" s="12"/>
      <c r="K15" s="12"/>
      <c r="L15" s="12"/>
      <c r="M15" s="62"/>
      <c r="N15" s="12"/>
      <c r="O15" s="12"/>
      <c r="P15"/>
      <c r="Q15" s="12"/>
      <c r="U15" s="12"/>
      <c r="V15" s="12"/>
      <c r="W15" s="12"/>
      <c r="X15" s="12"/>
      <c r="Y15" s="12"/>
      <c r="Z15" s="12"/>
      <c r="AA15" s="12"/>
      <c r="AB15" s="12"/>
      <c r="AC15" s="12"/>
      <c r="AD15" s="12"/>
    </row>
    <row r="16" spans="1:30" ht="21.95" customHeight="1" x14ac:dyDescent="0.2">
      <c r="B16" s="12"/>
      <c r="C16" s="12"/>
      <c r="D16" s="12"/>
      <c r="E16" s="12"/>
      <c r="F16" s="12"/>
      <c r="G16" s="12"/>
      <c r="H16" s="110"/>
      <c r="I16"/>
      <c r="J16" s="12"/>
      <c r="K16" s="12"/>
      <c r="L16" s="12"/>
      <c r="M16" s="62"/>
      <c r="N16" s="12"/>
      <c r="O16" s="12"/>
      <c r="P16"/>
      <c r="Q16" s="12"/>
      <c r="U16" s="12"/>
      <c r="V16" s="12"/>
      <c r="W16" s="12"/>
      <c r="X16" s="12"/>
      <c r="Y16" s="12"/>
      <c r="Z16" s="12"/>
      <c r="AA16" s="12"/>
      <c r="AB16" s="12"/>
      <c r="AC16" s="12"/>
      <c r="AD16" s="12"/>
    </row>
    <row r="17" spans="1:40" ht="21.95" customHeight="1" x14ac:dyDescent="0.2">
      <c r="B17" s="12"/>
      <c r="C17" s="12"/>
      <c r="D17" s="12"/>
      <c r="E17" s="12"/>
      <c r="F17" s="12"/>
      <c r="G17" s="12"/>
      <c r="H17" s="110"/>
      <c r="I17"/>
      <c r="J17" s="12"/>
      <c r="K17" s="12"/>
      <c r="L17" s="12"/>
      <c r="M17" s="62"/>
      <c r="N17" s="12"/>
      <c r="O17" s="12"/>
      <c r="P17"/>
      <c r="Q17" s="12"/>
      <c r="U17" s="12"/>
      <c r="V17" s="12"/>
      <c r="W17" s="12"/>
      <c r="X17" s="12"/>
      <c r="Y17" s="12"/>
      <c r="Z17" s="12"/>
      <c r="AA17" s="12"/>
      <c r="AB17" s="12"/>
      <c r="AC17" s="12"/>
      <c r="AD17" s="12"/>
    </row>
    <row r="18" spans="1:40" ht="21.95" customHeight="1" x14ac:dyDescent="0.2">
      <c r="A18" s="551"/>
      <c r="B18" s="552" t="s">
        <v>9</v>
      </c>
      <c r="E18" s="12"/>
      <c r="F18" s="467"/>
      <c r="G18" s="467"/>
      <c r="H18" s="467"/>
      <c r="I18" s="467"/>
      <c r="J18" s="467"/>
      <c r="K18" s="467"/>
      <c r="L18" s="467"/>
      <c r="M18" s="467"/>
      <c r="N18" s="467"/>
      <c r="O18" s="467"/>
      <c r="P18" s="467"/>
      <c r="Q18" s="467"/>
      <c r="R18" s="467"/>
      <c r="S18" s="467"/>
      <c r="T18" s="467"/>
      <c r="U18" s="467"/>
      <c r="V18" s="467"/>
      <c r="W18" s="467"/>
      <c r="X18" s="467"/>
      <c r="Y18" s="467"/>
      <c r="Z18" s="467"/>
      <c r="AA18" s="467"/>
      <c r="AB18" s="467"/>
      <c r="AC18" s="467"/>
      <c r="AD18" s="467"/>
      <c r="AE18" s="467"/>
    </row>
    <row r="19" spans="1:40" ht="21.95" customHeight="1" x14ac:dyDescent="0.2">
      <c r="B19" s="1"/>
      <c r="E19" s="12"/>
      <c r="F19" s="12"/>
      <c r="G19" s="12"/>
      <c r="H19" s="12"/>
      <c r="I19" s="12"/>
      <c r="J19" s="12"/>
      <c r="K19" s="12"/>
      <c r="L19" s="12"/>
      <c r="M19" s="12"/>
      <c r="N19" s="12"/>
      <c r="O19" s="12"/>
      <c r="P19" s="12"/>
      <c r="Q19" s="12"/>
      <c r="R19" s="12"/>
      <c r="S19" s="12"/>
      <c r="T19" s="12"/>
      <c r="U19" s="12"/>
      <c r="V19" s="12"/>
      <c r="W19" s="12"/>
      <c r="X19" s="12"/>
      <c r="Y19" s="12"/>
      <c r="Z19" s="12"/>
      <c r="AA19" s="12"/>
      <c r="AB19" s="12"/>
    </row>
    <row r="20" spans="1:40" ht="21.95" customHeight="1" x14ac:dyDescent="0.2">
      <c r="B20" s="194" t="s">
        <v>64</v>
      </c>
      <c r="C20" s="12"/>
      <c r="D20" s="12"/>
      <c r="E20" s="12"/>
      <c r="F20" s="12"/>
      <c r="G20" s="12"/>
      <c r="H20" s="110"/>
      <c r="I20"/>
      <c r="J20" s="12"/>
      <c r="K20" s="12"/>
      <c r="L20" s="12"/>
      <c r="M20" s="62"/>
      <c r="N20" s="12"/>
      <c r="O20" s="12"/>
      <c r="P20"/>
      <c r="Q20" s="12"/>
      <c r="U20" s="12"/>
      <c r="V20" s="12"/>
      <c r="W20" s="12"/>
      <c r="X20" s="12"/>
      <c r="Y20" s="12"/>
      <c r="Z20" s="12"/>
      <c r="AA20" s="12"/>
      <c r="AB20" s="12"/>
      <c r="AC20" s="12"/>
      <c r="AD20" s="12"/>
    </row>
    <row r="21" spans="1:40" s="7" customFormat="1" ht="21.95" customHeight="1" x14ac:dyDescent="0.2">
      <c r="B21" s="491"/>
      <c r="C21" s="711" t="s">
        <v>2</v>
      </c>
      <c r="D21" s="711" t="s">
        <v>473</v>
      </c>
      <c r="E21" s="711" t="s">
        <v>328</v>
      </c>
      <c r="F21" s="711" t="s">
        <v>329</v>
      </c>
      <c r="G21" s="711" t="s">
        <v>330</v>
      </c>
      <c r="H21" s="712">
        <v>2023</v>
      </c>
      <c r="I21" s="712">
        <v>2024</v>
      </c>
      <c r="J21" s="712">
        <v>2025</v>
      </c>
      <c r="K21" s="712">
        <v>2026</v>
      </c>
      <c r="L21" s="712">
        <v>2027</v>
      </c>
      <c r="M21" s="712">
        <v>2028</v>
      </c>
      <c r="N21" s="712">
        <v>2029</v>
      </c>
      <c r="O21" s="712">
        <v>2030</v>
      </c>
      <c r="P21" s="712">
        <v>2031</v>
      </c>
      <c r="Q21" s="712">
        <v>2032</v>
      </c>
      <c r="R21" s="712">
        <v>2033</v>
      </c>
      <c r="S21" s="712">
        <v>2034</v>
      </c>
      <c r="T21" s="712">
        <v>2035</v>
      </c>
      <c r="U21" s="712">
        <v>2036</v>
      </c>
      <c r="V21" s="712">
        <v>2037</v>
      </c>
      <c r="W21" s="712">
        <v>2038</v>
      </c>
      <c r="X21" s="712">
        <v>2039</v>
      </c>
      <c r="Y21" s="712">
        <v>2040</v>
      </c>
      <c r="Z21" s="712">
        <v>2041</v>
      </c>
      <c r="AA21" s="712">
        <v>2042</v>
      </c>
      <c r="AB21" s="712">
        <v>2043</v>
      </c>
      <c r="AC21" s="712">
        <v>2044</v>
      </c>
      <c r="AD21" s="712">
        <v>2045</v>
      </c>
      <c r="AE21" s="712">
        <v>2046</v>
      </c>
      <c r="AF21" s="712">
        <v>2047</v>
      </c>
      <c r="AG21" s="713">
        <v>2048</v>
      </c>
      <c r="AH21" s="32"/>
      <c r="AI21" s="32"/>
      <c r="AJ21" s="32"/>
      <c r="AK21" s="32"/>
      <c r="AL21" s="32"/>
      <c r="AM21" s="32"/>
      <c r="AN21" s="32"/>
    </row>
    <row r="22" spans="1:40" ht="21.95" customHeight="1" x14ac:dyDescent="0.2">
      <c r="B22" s="703" t="s">
        <v>480</v>
      </c>
      <c r="C22" s="579" t="s">
        <v>105</v>
      </c>
      <c r="D22" s="579"/>
      <c r="E22" s="1340" t="s">
        <v>331</v>
      </c>
      <c r="F22" s="220" t="s">
        <v>332</v>
      </c>
      <c r="G22" s="220" t="s">
        <v>282</v>
      </c>
      <c r="H22" s="576">
        <f>'Traffic Data'!J7*annualizationFactor*'Traffic Data'!$H7</f>
        <v>554800</v>
      </c>
      <c r="I22" s="576">
        <f>'Traffic Data'!K7*annualizationFactor*'Traffic Data'!$H7</f>
        <v>580324.26749999996</v>
      </c>
      <c r="J22" s="576">
        <f>'Traffic Data'!L7*annualizationFactor*'Traffic Data'!$H7</f>
        <v>616166.08125000005</v>
      </c>
      <c r="K22" s="576">
        <f>'Traffic Data'!M7*annualizationFactor*'Traffic Data'!$H7</f>
        <v>668745.51750000007</v>
      </c>
      <c r="L22" s="576">
        <f>'Traffic Data'!N7*annualizationFactor*'Traffic Data'!$H7</f>
        <v>721344.02500000002</v>
      </c>
      <c r="M22" s="576">
        <f>'Traffic Data'!O7*annualizationFactor*'Traffic Data'!$H7</f>
        <v>773944.26624999987</v>
      </c>
      <c r="N22" s="576">
        <f>'Traffic Data'!P7*annualizationFactor*'Traffic Data'!$H7</f>
        <v>826523.70249999978</v>
      </c>
      <c r="O22" s="576">
        <f>'Traffic Data'!Q7*annualizationFactor*'Traffic Data'!$H7</f>
        <v>879143.01499999978</v>
      </c>
      <c r="P22" s="576">
        <f>'Traffic Data'!R7*annualizationFactor*'Traffic Data'!$H7</f>
        <v>931141.64500000002</v>
      </c>
      <c r="Q22" s="576">
        <f>'Traffic Data'!S7*annualizationFactor*'Traffic Data'!$H7</f>
        <v>983150.67749999999</v>
      </c>
      <c r="R22" s="576">
        <f>'Traffic Data'!T7*annualizationFactor*'Traffic Data'!$H7</f>
        <v>1035149.3075</v>
      </c>
      <c r="S22" s="576">
        <f>'Traffic Data'!U7*annualizationFactor*'Traffic Data'!$H7</f>
        <v>1087147.9375000002</v>
      </c>
      <c r="T22" s="576">
        <f>'Traffic Data'!V7*annualizationFactor*'Traffic Data'!$H7</f>
        <v>1139188.1775000002</v>
      </c>
      <c r="U22" s="576">
        <f>'Traffic Data'!W7*annualizationFactor*'Traffic Data'!$H7</f>
        <v>1174428.3800000001</v>
      </c>
      <c r="V22" s="576">
        <f>'Traffic Data'!X7*annualizationFactor*'Traffic Data'!$H7</f>
        <v>1199952.6474999997</v>
      </c>
      <c r="W22" s="576">
        <f>'Traffic Data'!Y7*annualizationFactor*'Traffic Data'!$H7</f>
        <v>1225476.9149999998</v>
      </c>
      <c r="X22" s="576">
        <f>'Traffic Data'!Z7*annualizationFactor*'Traffic Data'!$H7</f>
        <v>1251001.1825000001</v>
      </c>
      <c r="Y22" s="576">
        <f>'Traffic Data'!AA7*annualizationFactor*'Traffic Data'!$H7</f>
        <v>1276535.8525000003</v>
      </c>
      <c r="Z22" s="576">
        <f>'Traffic Data'!AB7*annualizationFactor*'Traffic Data'!$H7</f>
        <v>1302060.1200000001</v>
      </c>
      <c r="AA22" s="576">
        <f>'Traffic Data'!AC7*annualizationFactor*'Traffic Data'!$H7</f>
        <v>1327594.7899999998</v>
      </c>
      <c r="AB22" s="576">
        <f>'Traffic Data'!AD7*annualizationFactor*'Traffic Data'!$H7</f>
        <v>1353119.0575000001</v>
      </c>
      <c r="AC22" s="576">
        <f>'Traffic Data'!AE7*annualizationFactor*'Traffic Data'!$H7</f>
        <v>1378643.325</v>
      </c>
      <c r="AD22" s="576">
        <f>'Traffic Data'!AF7*annualizationFactor*'Traffic Data'!$H7</f>
        <v>1404177.9949999999</v>
      </c>
      <c r="AE22" s="576">
        <f>'Traffic Data'!AG7*annualizationFactor*'Traffic Data'!$H7</f>
        <v>1429702.2625</v>
      </c>
      <c r="AF22" s="576">
        <f>'Traffic Data'!AH7*annualizationFactor*'Traffic Data'!$H7</f>
        <v>1455226.53</v>
      </c>
      <c r="AG22" s="714">
        <f>'Traffic Data'!AI7*annualizationFactor*'Traffic Data'!$H7</f>
        <v>1480761.2</v>
      </c>
      <c r="AH22" s="5"/>
      <c r="AI22" s="5"/>
      <c r="AJ22" s="5"/>
      <c r="AK22" s="5"/>
      <c r="AL22" s="5"/>
      <c r="AM22" s="5"/>
      <c r="AN22" s="5"/>
    </row>
    <row r="23" spans="1:40" ht="21.95" customHeight="1" x14ac:dyDescent="0.2">
      <c r="B23" s="704" t="s">
        <v>640</v>
      </c>
      <c r="C23" s="579"/>
      <c r="D23" s="579"/>
      <c r="E23" s="1339"/>
      <c r="F23" s="116" t="s">
        <v>282</v>
      </c>
      <c r="G23" s="116" t="s">
        <v>280</v>
      </c>
      <c r="H23" s="576">
        <f>'Traffic Data'!J8*annualizationFactor*'Traffic Data'!$H8</f>
        <v>17839789.772727273</v>
      </c>
      <c r="I23" s="576">
        <f>'Traffic Data'!K8*annualizationFactor*'Traffic Data'!$H8</f>
        <v>18828048.052840907</v>
      </c>
      <c r="J23" s="576">
        <f>'Traffic Data'!L8*annualizationFactor*'Traffic Data'!$H8</f>
        <v>19974089.362500001</v>
      </c>
      <c r="K23" s="576">
        <f>'Traffic Data'!M8*annualizationFactor*'Traffic Data'!$H8</f>
        <v>22112551.56988636</v>
      </c>
      <c r="L23" s="576">
        <f>'Traffic Data'!N8*annualizationFactor*'Traffic Data'!$H8</f>
        <v>24251806.656818189</v>
      </c>
      <c r="M23" s="576">
        <f>'Traffic Data'!O8*annualizationFactor*'Traffic Data'!$H8</f>
        <v>26391458.183522731</v>
      </c>
      <c r="N23" s="576">
        <f>'Traffic Data'!P8*annualizationFactor*'Traffic Data'!$H8</f>
        <v>28529920.390909094</v>
      </c>
      <c r="O23" s="576">
        <f>'Traffic Data'!Q8*annualizationFactor*'Traffic Data'!$H8</f>
        <v>30670430.870454546</v>
      </c>
      <c r="P23" s="576">
        <f>'Traffic Data'!R8*annualizationFactor*'Traffic Data'!$H8</f>
        <v>33207777.5625</v>
      </c>
      <c r="Q23" s="576">
        <f>'Traffic Data'!S8*annualizationFactor*'Traffic Data'!$H8</f>
        <v>35745851.060795456</v>
      </c>
      <c r="R23" s="576">
        <f>'Traffic Data'!T8*annualizationFactor*'Traffic Data'!$H8</f>
        <v>38283197.752840914</v>
      </c>
      <c r="S23" s="576">
        <f>'Traffic Data'!U8*annualizationFactor*'Traffic Data'!$H8</f>
        <v>40820544.444886357</v>
      </c>
      <c r="T23" s="576">
        <f>'Traffic Data'!V8*annualizationFactor*'Traffic Data'!$H8</f>
        <v>43360401.922159091</v>
      </c>
      <c r="U23" s="576">
        <f>'Traffic Data'!W8*annualizationFactor*'Traffic Data'!$H8</f>
        <v>44904072.32386364</v>
      </c>
      <c r="V23" s="576">
        <f>'Traffic Data'!X8*annualizationFactor*'Traffic Data'!$H8</f>
        <v>45892330.603977278</v>
      </c>
      <c r="W23" s="576">
        <f>'Traffic Data'!Y8*annualizationFactor*'Traffic Data'!$H8</f>
        <v>46880588.8840909</v>
      </c>
      <c r="X23" s="576">
        <f>'Traffic Data'!Z8*annualizationFactor*'Traffic Data'!$H8</f>
        <v>47868847.164204538</v>
      </c>
      <c r="Y23" s="576">
        <f>'Traffic Data'!AA8*annualizationFactor*'Traffic Data'!$H8</f>
        <v>48857766.17727273</v>
      </c>
      <c r="Z23" s="576">
        <f>'Traffic Data'!AB8*annualizationFactor*'Traffic Data'!$H8</f>
        <v>49846024.457386367</v>
      </c>
      <c r="AA23" s="576">
        <f>'Traffic Data'!AC8*annualizationFactor*'Traffic Data'!$H8</f>
        <v>50834943.470454536</v>
      </c>
      <c r="AB23" s="576">
        <f>'Traffic Data'!AD8*annualizationFactor*'Traffic Data'!$H8</f>
        <v>51823201.750568174</v>
      </c>
      <c r="AC23" s="576">
        <f>'Traffic Data'!AE8*annualizationFactor*'Traffic Data'!$H8</f>
        <v>52811460.030681811</v>
      </c>
      <c r="AD23" s="576">
        <f>'Traffic Data'!AF8*annualizationFactor*'Traffic Data'!$H8</f>
        <v>53800379.043750003</v>
      </c>
      <c r="AE23" s="576">
        <f>'Traffic Data'!AG8*annualizationFactor*'Traffic Data'!$H8</f>
        <v>54788637.32386364</v>
      </c>
      <c r="AF23" s="576">
        <f>'Traffic Data'!AH8*annualizationFactor*'Traffic Data'!$H8</f>
        <v>55776895.603977278</v>
      </c>
      <c r="AG23" s="714">
        <f>'Traffic Data'!AI8*annualizationFactor*'Traffic Data'!$H8</f>
        <v>56765814.617045462</v>
      </c>
      <c r="AH23" s="5"/>
      <c r="AI23" s="5"/>
      <c r="AJ23" s="5"/>
      <c r="AK23" s="5"/>
      <c r="AL23" s="5"/>
      <c r="AM23" s="5"/>
      <c r="AN23" s="5"/>
    </row>
    <row r="24" spans="1:40" ht="21.95" customHeight="1" x14ac:dyDescent="0.2">
      <c r="B24" s="703"/>
      <c r="C24" s="579"/>
      <c r="D24" s="579"/>
      <c r="E24" s="1339"/>
      <c r="F24" s="116" t="s">
        <v>280</v>
      </c>
      <c r="G24" s="116" t="s">
        <v>333</v>
      </c>
      <c r="H24" s="576">
        <f>'Traffic Data'!J9*annualizationFactor*'Traffic Data'!$H9</f>
        <v>416100</v>
      </c>
      <c r="I24" s="576">
        <f>'Traffic Data'!K9*annualizationFactor*'Traffic Data'!$H9</f>
        <v>433475.6424999999</v>
      </c>
      <c r="J24" s="576">
        <f>'Traffic Data'!L9*annualizationFactor*'Traffic Data'!$H9</f>
        <v>454981.0774999999</v>
      </c>
      <c r="K24" s="576">
        <f>'Traffic Data'!M9*annualizationFactor*'Traffic Data'!$H9</f>
        <v>483934.70250000001</v>
      </c>
      <c r="L24" s="576">
        <f>'Traffic Data'!N9*annualizationFactor*'Traffic Data'!$H9</f>
        <v>512898.7300000001</v>
      </c>
      <c r="M24" s="576">
        <f>'Traffic Data'!O9*annualizationFactor*'Traffic Data'!$H9</f>
        <v>541859.29</v>
      </c>
      <c r="N24" s="576">
        <f>'Traffic Data'!P9*annualizationFactor*'Traffic Data'!$H9</f>
        <v>570812.91500000004</v>
      </c>
      <c r="O24" s="576">
        <f>'Traffic Data'!Q9*annualizationFactor*'Traffic Data'!$H9</f>
        <v>599787.3450000002</v>
      </c>
      <c r="P24" s="576">
        <f>'Traffic Data'!R9*annualizationFactor*'Traffic Data'!$H9</f>
        <v>627860.22499999998</v>
      </c>
      <c r="Q24" s="576">
        <f>'Traffic Data'!S9*annualizationFactor*'Traffic Data'!$H9</f>
        <v>655943.50749999983</v>
      </c>
      <c r="R24" s="576">
        <f>'Traffic Data'!T9*annualizationFactor*'Traffic Data'!$H9</f>
        <v>684016.38749999995</v>
      </c>
      <c r="S24" s="576">
        <f>'Traffic Data'!U9*annualizationFactor*'Traffic Data'!$H9</f>
        <v>712089.26749999996</v>
      </c>
      <c r="T24" s="576">
        <f>'Traffic Data'!V9*annualizationFactor*'Traffic Data'!$H9</f>
        <v>740182.95250000013</v>
      </c>
      <c r="U24" s="576">
        <f>'Traffic Data'!W9*annualizationFactor*'Traffic Data'!$H9</f>
        <v>760797.24</v>
      </c>
      <c r="V24" s="576">
        <f>'Traffic Data'!X9*annualizationFactor*'Traffic Data'!$H9</f>
        <v>778172.88250000007</v>
      </c>
      <c r="W24" s="576">
        <f>'Traffic Data'!Y9*annualizationFactor*'Traffic Data'!$H9</f>
        <v>795548.52499999991</v>
      </c>
      <c r="X24" s="576">
        <f>'Traffic Data'!Z9*annualizationFactor*'Traffic Data'!$H9</f>
        <v>812924.16749999998</v>
      </c>
      <c r="Y24" s="576">
        <f>'Traffic Data'!AA9*annualizationFactor*'Traffic Data'!$H9</f>
        <v>830306.745</v>
      </c>
      <c r="Z24" s="576">
        <f>'Traffic Data'!AB9*annualizationFactor*'Traffic Data'!$H9</f>
        <v>847682.38749999995</v>
      </c>
      <c r="AA24" s="576">
        <f>'Traffic Data'!AC9*annualizationFactor*'Traffic Data'!$H9</f>
        <v>865064.96499999997</v>
      </c>
      <c r="AB24" s="576">
        <f>'Traffic Data'!AD9*annualizationFactor*'Traffic Data'!$H9</f>
        <v>882440.60750000016</v>
      </c>
      <c r="AC24" s="576">
        <f>'Traffic Data'!AE9*annualizationFactor*'Traffic Data'!$H9</f>
        <v>899816.24999999988</v>
      </c>
      <c r="AD24" s="576">
        <f>'Traffic Data'!AF9*annualizationFactor*'Traffic Data'!$H9</f>
        <v>917198.82750000001</v>
      </c>
      <c r="AE24" s="576">
        <f>'Traffic Data'!AG9*annualizationFactor*'Traffic Data'!$H9</f>
        <v>934574.47</v>
      </c>
      <c r="AF24" s="576">
        <f>'Traffic Data'!AH9*annualizationFactor*'Traffic Data'!$H9</f>
        <v>951950.11249999981</v>
      </c>
      <c r="AG24" s="714">
        <f>'Traffic Data'!AI9*annualizationFactor*'Traffic Data'!$H9</f>
        <v>969332.69000000006</v>
      </c>
      <c r="AH24" s="5"/>
      <c r="AI24" s="5"/>
      <c r="AJ24" s="5"/>
      <c r="AK24" s="5"/>
      <c r="AL24" s="5"/>
      <c r="AM24" s="5"/>
      <c r="AN24" s="5"/>
    </row>
    <row r="25" spans="1:40" ht="21.95" customHeight="1" x14ac:dyDescent="0.2">
      <c r="B25" s="703"/>
      <c r="C25" s="579"/>
      <c r="D25" s="579"/>
      <c r="E25" s="1340" t="s">
        <v>280</v>
      </c>
      <c r="F25" s="220" t="s">
        <v>281</v>
      </c>
      <c r="G25" s="220" t="s">
        <v>335</v>
      </c>
      <c r="H25" s="576">
        <f>'Traffic Data'!J10*annualizationFactor*'Traffic Data'!$H10</f>
        <v>3781400</v>
      </c>
      <c r="I25" s="576">
        <f>'Traffic Data'!K10*annualizationFactor*'Traffic Data'!$H10</f>
        <v>4193998.0075000003</v>
      </c>
      <c r="J25" s="576">
        <f>'Traffic Data'!L10*annualizationFactor*'Traffic Data'!$H10</f>
        <v>4629738.1829999993</v>
      </c>
      <c r="K25" s="576">
        <f>'Traffic Data'!M10*annualizationFactor*'Traffic Data'!$H10</f>
        <v>5978497.3885000004</v>
      </c>
      <c r="L25" s="576">
        <f>'Traffic Data'!N10*annualizationFactor*'Traffic Data'!$H10</f>
        <v>7327937.2459999993</v>
      </c>
      <c r="M25" s="576">
        <f>'Traffic Data'!O10*annualizationFactor*'Traffic Data'!$H10</f>
        <v>8677736.3365000002</v>
      </c>
      <c r="N25" s="576">
        <f>'Traffic Data'!P10*annualizationFactor*'Traffic Data'!$H10</f>
        <v>10026495.541999999</v>
      </c>
      <c r="O25" s="576">
        <f>'Traffic Data'!Q10*annualizationFactor*'Traffic Data'!$H10</f>
        <v>11377117.087000001</v>
      </c>
      <c r="P25" s="576">
        <f>'Traffic Data'!R10*annualizationFactor*'Traffic Data'!$H10</f>
        <v>13189542.106999999</v>
      </c>
      <c r="Q25" s="576">
        <f>'Traffic Data'!S10*annualizationFactor*'Traffic Data'!$H10</f>
        <v>15002770.674499996</v>
      </c>
      <c r="R25" s="576">
        <f>'Traffic Data'!T10*annualizationFactor*'Traffic Data'!$H10</f>
        <v>16815195.694499999</v>
      </c>
      <c r="S25" s="576">
        <f>'Traffic Data'!U10*annualizationFactor*'Traffic Data'!$H10</f>
        <v>18627620.714500003</v>
      </c>
      <c r="T25" s="576">
        <f>'Traffic Data'!V10*annualizationFactor*'Traffic Data'!$H10</f>
        <v>20442409.109500002</v>
      </c>
      <c r="U25" s="576">
        <f>'Traffic Data'!W10*annualizationFactor*'Traffic Data'!$H10</f>
        <v>21340633.411999997</v>
      </c>
      <c r="V25" s="576">
        <f>'Traffic Data'!X10*annualizationFactor*'Traffic Data'!$H10</f>
        <v>21753231.419500001</v>
      </c>
      <c r="W25" s="576">
        <f>'Traffic Data'!Y10*annualizationFactor*'Traffic Data'!$H10</f>
        <v>22165829.427000001</v>
      </c>
      <c r="X25" s="576">
        <f>'Traffic Data'!Z10*annualizationFactor*'Traffic Data'!$H10</f>
        <v>22578427.434500001</v>
      </c>
      <c r="Y25" s="576">
        <f>'Traffic Data'!AA10*annualizationFactor*'Traffic Data'!$H10</f>
        <v>22991687.186999999</v>
      </c>
      <c r="Z25" s="576">
        <f>'Traffic Data'!AB10*annualizationFactor*'Traffic Data'!$H10</f>
        <v>23404285.194499996</v>
      </c>
      <c r="AA25" s="576">
        <f>'Traffic Data'!AC10*annualizationFactor*'Traffic Data'!$H10</f>
        <v>23817544.946999997</v>
      </c>
      <c r="AB25" s="576">
        <f>'Traffic Data'!AD10*annualizationFactor*'Traffic Data'!$H10</f>
        <v>24230142.954500001</v>
      </c>
      <c r="AC25" s="576">
        <f>'Traffic Data'!AE10*annualizationFactor*'Traffic Data'!$H10</f>
        <v>24642740.962000001</v>
      </c>
      <c r="AD25" s="576">
        <f>'Traffic Data'!AF10*annualizationFactor*'Traffic Data'!$H10</f>
        <v>25056000.714500006</v>
      </c>
      <c r="AE25" s="576">
        <f>'Traffic Data'!AG10*annualizationFactor*'Traffic Data'!$H10</f>
        <v>25468598.721999999</v>
      </c>
      <c r="AF25" s="576">
        <f>'Traffic Data'!AH10*annualizationFactor*'Traffic Data'!$H10</f>
        <v>25881196.729499996</v>
      </c>
      <c r="AG25" s="714">
        <f>'Traffic Data'!AI10*annualizationFactor*'Traffic Data'!$H10</f>
        <v>26294456.482000001</v>
      </c>
      <c r="AH25" s="5"/>
      <c r="AI25" s="5"/>
      <c r="AJ25" s="5"/>
      <c r="AK25" s="5"/>
      <c r="AL25" s="5"/>
      <c r="AM25" s="5"/>
      <c r="AN25" s="5"/>
    </row>
    <row r="26" spans="1:40" ht="21.95" customHeight="1" x14ac:dyDescent="0.2">
      <c r="B26" s="703"/>
      <c r="C26" s="579"/>
      <c r="D26" s="579"/>
      <c r="E26" s="1339"/>
      <c r="F26" s="116" t="s">
        <v>335</v>
      </c>
      <c r="G26" s="116" t="s">
        <v>323</v>
      </c>
      <c r="H26" s="576">
        <f>'Traffic Data'!J11*annualizationFactor*'Traffic Data'!$H11</f>
        <v>438000</v>
      </c>
      <c r="I26" s="576">
        <f>'Traffic Data'!K11*annualizationFactor*'Traffic Data'!$H11</f>
        <v>496202.9</v>
      </c>
      <c r="J26" s="576">
        <f>'Traffic Data'!L11*annualizationFactor*'Traffic Data'!$H11</f>
        <v>554442.30000000005</v>
      </c>
      <c r="K26" s="576">
        <f>'Traffic Data'!M11*annualizationFactor*'Traffic Data'!$H11</f>
        <v>751491.20000000007</v>
      </c>
      <c r="L26" s="576">
        <f>'Traffic Data'!N11*annualizationFactor*'Traffic Data'!$H11</f>
        <v>948580.25</v>
      </c>
      <c r="M26" s="576">
        <f>'Traffic Data'!O11*annualizationFactor*'Traffic Data'!$H11</f>
        <v>1145848.1500000001</v>
      </c>
      <c r="N26" s="576">
        <f>'Traffic Data'!P11*annualizationFactor*'Traffic Data'!$H11</f>
        <v>1342897.05</v>
      </c>
      <c r="O26" s="576">
        <f>'Traffic Data'!Q11*annualizationFactor*'Traffic Data'!$H11</f>
        <v>1540132.1</v>
      </c>
      <c r="P26" s="576">
        <f>'Traffic Data'!R11*annualizationFactor*'Traffic Data'!$H11</f>
        <v>1842976.25</v>
      </c>
      <c r="Q26" s="576">
        <f>'Traffic Data'!S11*annualizationFactor*'Traffic Data'!$H11</f>
        <v>2145787.5500000003</v>
      </c>
      <c r="R26" s="576">
        <f>'Traffic Data'!T11*annualizationFactor*'Traffic Data'!$H11</f>
        <v>2448628.0500000003</v>
      </c>
      <c r="S26" s="576">
        <f>'Traffic Data'!U11*annualizationFactor*'Traffic Data'!$H11</f>
        <v>2751472.1999999997</v>
      </c>
      <c r="T26" s="576">
        <f>'Traffic Data'!V11*annualizationFactor*'Traffic Data'!$H11</f>
        <v>3054612.0000000005</v>
      </c>
      <c r="U26" s="576">
        <f>'Traffic Data'!W11*annualizationFactor*'Traffic Data'!$H11</f>
        <v>3218497.0000000005</v>
      </c>
      <c r="V26" s="576">
        <f>'Traffic Data'!X11*annualizationFactor*'Traffic Data'!$H11</f>
        <v>3276699.9</v>
      </c>
      <c r="W26" s="576">
        <f>'Traffic Data'!Y11*annualizationFactor*'Traffic Data'!$H11</f>
        <v>3334902.8000000003</v>
      </c>
      <c r="X26" s="576">
        <f>'Traffic Data'!Z11*annualizationFactor*'Traffic Data'!$H11</f>
        <v>3393105.7000000007</v>
      </c>
      <c r="Y26" s="576">
        <f>'Traffic Data'!AA11*annualizationFactor*'Traffic Data'!$H11</f>
        <v>3451345.1000000006</v>
      </c>
      <c r="Z26" s="576">
        <f>'Traffic Data'!AB11*annualizationFactor*'Traffic Data'!$H11</f>
        <v>3509548.0000000005</v>
      </c>
      <c r="AA26" s="576">
        <f>'Traffic Data'!AC11*annualizationFactor*'Traffic Data'!$H11</f>
        <v>3567787.4</v>
      </c>
      <c r="AB26" s="576">
        <f>'Traffic Data'!AD11*annualizationFactor*'Traffic Data'!$H11</f>
        <v>3625990.3</v>
      </c>
      <c r="AC26" s="576">
        <f>'Traffic Data'!AE11*annualizationFactor*'Traffic Data'!$H11</f>
        <v>3684193.2</v>
      </c>
      <c r="AD26" s="576">
        <f>'Traffic Data'!AF11*annualizationFactor*'Traffic Data'!$H11</f>
        <v>3742432.6000000006</v>
      </c>
      <c r="AE26" s="576">
        <f>'Traffic Data'!AG11*annualizationFactor*'Traffic Data'!$H11</f>
        <v>3800635.5000000005</v>
      </c>
      <c r="AF26" s="576">
        <f>'Traffic Data'!AH11*annualizationFactor*'Traffic Data'!$H11</f>
        <v>3858838.4</v>
      </c>
      <c r="AG26" s="714">
        <f>'Traffic Data'!AI11*annualizationFactor*'Traffic Data'!$H11</f>
        <v>3917077.8</v>
      </c>
      <c r="AH26" s="5"/>
      <c r="AI26" s="5"/>
      <c r="AJ26" s="5"/>
      <c r="AK26" s="5"/>
      <c r="AL26" s="5"/>
      <c r="AM26" s="5"/>
      <c r="AN26" s="5"/>
    </row>
    <row r="27" spans="1:40" ht="21.95" customHeight="1" x14ac:dyDescent="0.2">
      <c r="B27" s="703"/>
      <c r="C27" s="579"/>
      <c r="D27" s="579"/>
      <c r="E27" s="1353"/>
      <c r="F27" s="254" t="s">
        <v>323</v>
      </c>
      <c r="G27" s="254" t="s">
        <v>338</v>
      </c>
      <c r="H27" s="576">
        <f>'Traffic Data'!J12*annualizationFactor*'Traffic Data'!$H12</f>
        <v>5869200</v>
      </c>
      <c r="I27" s="576">
        <f>'Traffic Data'!K12*annualizationFactor*'Traffic Data'!$H12</f>
        <v>6086878.8460000008</v>
      </c>
      <c r="J27" s="576">
        <f>'Traffic Data'!L12*annualizationFactor*'Traffic Data'!$H12</f>
        <v>6304694.6399999987</v>
      </c>
      <c r="K27" s="576">
        <f>'Traffic Data'!M12*annualizationFactor*'Traffic Data'!$H12</f>
        <v>6727697.6660000011</v>
      </c>
      <c r="L27" s="576">
        <f>'Traffic Data'!N12*annualizationFactor*'Traffic Data'!$H12</f>
        <v>7150945.2420000015</v>
      </c>
      <c r="M27" s="576">
        <f>'Traffic Data'!O12*annualizationFactor*'Traffic Data'!$H12</f>
        <v>7574085.2160000009</v>
      </c>
      <c r="N27" s="576">
        <f>'Traffic Data'!P12*annualizationFactor*'Traffic Data'!$H12</f>
        <v>7997088.2420000015</v>
      </c>
      <c r="O27" s="576">
        <f>'Traffic Data'!Q12*annualizationFactor*'Traffic Data'!$H12</f>
        <v>8420541.2400000021</v>
      </c>
      <c r="P27" s="576">
        <f>'Traffic Data'!R12*annualizationFactor*'Traffic Data'!$H12</f>
        <v>9008175.3260000013</v>
      </c>
      <c r="Q27" s="576">
        <f>'Traffic Data'!S12*annualizationFactor*'Traffic Data'!$H12</f>
        <v>9596122.4360000007</v>
      </c>
      <c r="R27" s="576">
        <f>'Traffic Data'!T12*annualizationFactor*'Traffic Data'!$H12</f>
        <v>10183648.92</v>
      </c>
      <c r="S27" s="576">
        <f>'Traffic Data'!U12*annualizationFactor*'Traffic Data'!$H12</f>
        <v>10771283.006000003</v>
      </c>
      <c r="T27" s="576">
        <f>'Traffic Data'!V12*annualizationFactor*'Traffic Data'!$H12</f>
        <v>11359435.538000003</v>
      </c>
      <c r="U27" s="576">
        <f>'Traffic Data'!W12*annualizationFactor*'Traffic Data'!$H12</f>
        <v>11741569.367999999</v>
      </c>
      <c r="V27" s="576">
        <f>'Traffic Data'!X12*annualizationFactor*'Traffic Data'!$H12</f>
        <v>11959248.214000003</v>
      </c>
      <c r="W27" s="576">
        <f>'Traffic Data'!Y12*annualizationFactor*'Traffic Data'!$H12</f>
        <v>12176927.060000001</v>
      </c>
      <c r="X27" s="576">
        <f>'Traffic Data'!Z12*annualizationFactor*'Traffic Data'!$H12</f>
        <v>12394605.906000001</v>
      </c>
      <c r="Y27" s="576">
        <f>'Traffic Data'!AA12*annualizationFactor*'Traffic Data'!$H12</f>
        <v>12612421.700000003</v>
      </c>
      <c r="Z27" s="576">
        <f>'Traffic Data'!AB12*annualizationFactor*'Traffic Data'!$H12</f>
        <v>12830100.545999998</v>
      </c>
      <c r="AA27" s="576">
        <f>'Traffic Data'!AC12*annualizationFactor*'Traffic Data'!$H12</f>
        <v>13047916.34</v>
      </c>
      <c r="AB27" s="576">
        <f>'Traffic Data'!AD12*annualizationFactor*'Traffic Data'!$H12</f>
        <v>13265595.186000001</v>
      </c>
      <c r="AC27" s="576">
        <f>'Traffic Data'!AE12*annualizationFactor*'Traffic Data'!$H12</f>
        <v>13483274.032000002</v>
      </c>
      <c r="AD27" s="576">
        <f>'Traffic Data'!AF12*annualizationFactor*'Traffic Data'!$H12</f>
        <v>13701089.826000003</v>
      </c>
      <c r="AE27" s="576">
        <f>'Traffic Data'!AG12*annualizationFactor*'Traffic Data'!$H12</f>
        <v>13918768.672000002</v>
      </c>
      <c r="AF27" s="576">
        <f>'Traffic Data'!AH12*annualizationFactor*'Traffic Data'!$H12</f>
        <v>14136447.518000003</v>
      </c>
      <c r="AG27" s="714">
        <f>'Traffic Data'!AI12*annualizationFactor*'Traffic Data'!$H12</f>
        <v>14354263.312000003</v>
      </c>
      <c r="AH27" s="5"/>
      <c r="AI27" s="5"/>
      <c r="AJ27" s="5"/>
      <c r="AK27" s="5"/>
      <c r="AL27" s="5"/>
      <c r="AM27" s="5"/>
      <c r="AN27" s="5"/>
    </row>
    <row r="28" spans="1:40" ht="21.95" customHeight="1" x14ac:dyDescent="0.2">
      <c r="B28" s="703"/>
      <c r="C28" s="579"/>
      <c r="D28" s="579"/>
      <c r="E28" s="116" t="s">
        <v>339</v>
      </c>
      <c r="F28" s="116" t="s">
        <v>335</v>
      </c>
      <c r="G28" s="116" t="s">
        <v>323</v>
      </c>
      <c r="H28" s="576">
        <f>'Traffic Data'!J13*annualizationFactor*'Traffic Data'!$H13</f>
        <v>17155</v>
      </c>
      <c r="I28" s="576">
        <f>'Traffic Data'!K13*annualizationFactor*'Traffic Data'!$H13</f>
        <v>27773.945</v>
      </c>
      <c r="J28" s="576">
        <f>'Traffic Data'!L13*annualizationFactor*'Traffic Data'!$H13</f>
        <v>79238.944999999992</v>
      </c>
      <c r="K28" s="576">
        <f>'Traffic Data'!M13*annualizationFactor*'Traffic Data'!$H13</f>
        <v>167535.73000000001</v>
      </c>
      <c r="L28" s="576">
        <f>'Traffic Data'!N13*annualizationFactor*'Traffic Data'!$H13</f>
        <v>255901.13500000001</v>
      </c>
      <c r="M28" s="576">
        <f>'Traffic Data'!O13*annualizationFactor*'Traffic Data'!$H13</f>
        <v>344232.23000000004</v>
      </c>
      <c r="N28" s="576">
        <f>'Traffic Data'!P13*annualizationFactor*'Traffic Data'!$H13</f>
        <v>432529.01500000007</v>
      </c>
      <c r="O28" s="576">
        <f>'Traffic Data'!Q13*annualizationFactor*'Traffic Data'!$H13</f>
        <v>520963.04</v>
      </c>
      <c r="P28" s="576">
        <f>'Traffic Data'!R13*annualizationFactor*'Traffic Data'!$H13</f>
        <v>568465.23499999999</v>
      </c>
      <c r="Q28" s="576">
        <f>'Traffic Data'!S13*annualizationFactor*'Traffic Data'!$H13</f>
        <v>616036.04999999993</v>
      </c>
      <c r="R28" s="576">
        <f>'Traffic Data'!T13*annualizationFactor*'Traffic Data'!$H13</f>
        <v>663555.4</v>
      </c>
      <c r="S28" s="576">
        <f>'Traffic Data'!U13*annualizationFactor*'Traffic Data'!$H13</f>
        <v>711057.59500000009</v>
      </c>
      <c r="T28" s="576">
        <f>'Traffic Data'!V13*annualizationFactor*'Traffic Data'!$H13</f>
        <v>758679.875</v>
      </c>
      <c r="U28" s="576">
        <f>'Traffic Data'!W13*annualizationFactor*'Traffic Data'!$H13</f>
        <v>769298.82</v>
      </c>
      <c r="V28" s="576">
        <f>'Traffic Data'!X13*annualizationFactor*'Traffic Data'!$H13</f>
        <v>779917.76500000013</v>
      </c>
      <c r="W28" s="576">
        <f>'Traffic Data'!Y13*annualizationFactor*'Traffic Data'!$H13</f>
        <v>790536.71</v>
      </c>
      <c r="X28" s="576">
        <f>'Traffic Data'!Z13*annualizationFactor*'Traffic Data'!$H13</f>
        <v>801155.65500000003</v>
      </c>
      <c r="Y28" s="576">
        <f>'Traffic Data'!AA13*annualizationFactor*'Traffic Data'!$H13</f>
        <v>811826.06499999994</v>
      </c>
      <c r="Z28" s="576">
        <f>'Traffic Data'!AB13*annualizationFactor*'Traffic Data'!$H13</f>
        <v>822445.01</v>
      </c>
      <c r="AA28" s="576">
        <f>'Traffic Data'!AC13*annualizationFactor*'Traffic Data'!$H13</f>
        <v>833115.42</v>
      </c>
      <c r="AB28" s="576">
        <f>'Traffic Data'!AD13*annualizationFactor*'Traffic Data'!$H13</f>
        <v>843734.36499999999</v>
      </c>
      <c r="AC28" s="576">
        <f>'Traffic Data'!AE13*annualizationFactor*'Traffic Data'!$H13</f>
        <v>854353.30999999994</v>
      </c>
      <c r="AD28" s="576">
        <f>'Traffic Data'!AF13*annualizationFactor*'Traffic Data'!$H13</f>
        <v>865023.72000000009</v>
      </c>
      <c r="AE28" s="576">
        <f>'Traffic Data'!AG13*annualizationFactor*'Traffic Data'!$H13</f>
        <v>875642.66499999992</v>
      </c>
      <c r="AF28" s="576">
        <f>'Traffic Data'!AH13*annualizationFactor*'Traffic Data'!$H13</f>
        <v>886261.61</v>
      </c>
      <c r="AG28" s="714">
        <f>'Traffic Data'!AI13*annualizationFactor*'Traffic Data'!$H13</f>
        <v>896932.02</v>
      </c>
      <c r="AH28" s="5"/>
      <c r="AI28" s="5"/>
      <c r="AJ28" s="5"/>
      <c r="AK28" s="5"/>
      <c r="AL28" s="5"/>
      <c r="AM28" s="5"/>
      <c r="AN28" s="5"/>
    </row>
    <row r="29" spans="1:40" ht="21.95" customHeight="1" x14ac:dyDescent="0.2">
      <c r="B29" s="703"/>
      <c r="C29" s="579"/>
      <c r="D29" s="579"/>
      <c r="E29" s="1340" t="s">
        <v>323</v>
      </c>
      <c r="F29" s="220" t="s">
        <v>282</v>
      </c>
      <c r="G29" s="220" t="s">
        <v>339</v>
      </c>
      <c r="H29" s="576">
        <f>'Traffic Data'!J14*annualizationFactor*'Traffic Data'!$H14</f>
        <v>49275</v>
      </c>
      <c r="I29" s="576">
        <f>'Traffic Data'!K14*annualizationFactor*'Traffic Data'!$H14</f>
        <v>49275</v>
      </c>
      <c r="J29" s="576">
        <f>'Traffic Data'!L14*annualizationFactor*'Traffic Data'!$H14</f>
        <v>576566.77500000014</v>
      </c>
      <c r="K29" s="576">
        <f>'Traffic Data'!M14*annualizationFactor*'Traffic Data'!$H14</f>
        <v>1103858.5500000003</v>
      </c>
      <c r="L29" s="576">
        <f>'Traffic Data'!N14*annualizationFactor*'Traffic Data'!$H14</f>
        <v>1631593.8</v>
      </c>
      <c r="M29" s="576">
        <f>'Traffic Data'!O14*annualizationFactor*'Traffic Data'!$H14</f>
        <v>2158885.5750000002</v>
      </c>
      <c r="N29" s="576">
        <f>'Traffic Data'!P14*annualizationFactor*'Traffic Data'!$H14</f>
        <v>2686177.3500000006</v>
      </c>
      <c r="O29" s="576">
        <f>'Traffic Data'!Q14*annualizationFactor*'Traffic Data'!$H14</f>
        <v>3213912.6</v>
      </c>
      <c r="P29" s="576">
        <f>'Traffic Data'!R14*annualizationFactor*'Traffic Data'!$H14</f>
        <v>3213912.6</v>
      </c>
      <c r="Q29" s="576">
        <f>'Traffic Data'!S14*annualizationFactor*'Traffic Data'!$H14</f>
        <v>3213912.6</v>
      </c>
      <c r="R29" s="576">
        <f>'Traffic Data'!T14*annualizationFactor*'Traffic Data'!$H14</f>
        <v>3213912.6</v>
      </c>
      <c r="S29" s="576">
        <f>'Traffic Data'!U14*annualizationFactor*'Traffic Data'!$H14</f>
        <v>3213912.6</v>
      </c>
      <c r="T29" s="576">
        <f>'Traffic Data'!V14*annualizationFactor*'Traffic Data'!$H14</f>
        <v>3213912.6</v>
      </c>
      <c r="U29" s="576">
        <f>'Traffic Data'!W14*annualizationFactor*'Traffic Data'!$H14</f>
        <v>3213912.6</v>
      </c>
      <c r="V29" s="576">
        <f>'Traffic Data'!X14*annualizationFactor*'Traffic Data'!$H14</f>
        <v>3213912.6</v>
      </c>
      <c r="W29" s="576">
        <f>'Traffic Data'!Y14*annualizationFactor*'Traffic Data'!$H14</f>
        <v>3213912.6</v>
      </c>
      <c r="X29" s="576">
        <f>'Traffic Data'!Z14*annualizationFactor*'Traffic Data'!$H14</f>
        <v>3213912.6</v>
      </c>
      <c r="Y29" s="576">
        <f>'Traffic Data'!AA14*annualizationFactor*'Traffic Data'!$H14</f>
        <v>3213912.6</v>
      </c>
      <c r="Z29" s="576">
        <f>'Traffic Data'!AB14*annualizationFactor*'Traffic Data'!$H14</f>
        <v>3213912.6</v>
      </c>
      <c r="AA29" s="576">
        <f>'Traffic Data'!AC14*annualizationFactor*'Traffic Data'!$H14</f>
        <v>3213912.6</v>
      </c>
      <c r="AB29" s="576">
        <f>'Traffic Data'!AD14*annualizationFactor*'Traffic Data'!$H14</f>
        <v>3213912.6</v>
      </c>
      <c r="AC29" s="576">
        <f>'Traffic Data'!AE14*annualizationFactor*'Traffic Data'!$H14</f>
        <v>3213912.6</v>
      </c>
      <c r="AD29" s="576">
        <f>'Traffic Data'!AF14*annualizationFactor*'Traffic Data'!$H14</f>
        <v>3213912.6</v>
      </c>
      <c r="AE29" s="576">
        <f>'Traffic Data'!AG14*annualizationFactor*'Traffic Data'!$H14</f>
        <v>3213912.6</v>
      </c>
      <c r="AF29" s="576">
        <f>'Traffic Data'!AH14*annualizationFactor*'Traffic Data'!$H14</f>
        <v>3213912.6</v>
      </c>
      <c r="AG29" s="714">
        <f>'Traffic Data'!AI14*annualizationFactor*'Traffic Data'!$H14</f>
        <v>3213912.6</v>
      </c>
      <c r="AH29" s="5"/>
      <c r="AI29" s="5"/>
      <c r="AJ29" s="5"/>
      <c r="AK29" s="5"/>
      <c r="AL29" s="5"/>
      <c r="AM29" s="5"/>
      <c r="AN29" s="5"/>
    </row>
    <row r="30" spans="1:40" ht="21.95" customHeight="1" x14ac:dyDescent="0.2">
      <c r="B30" s="703"/>
      <c r="C30" s="579"/>
      <c r="D30" s="579"/>
      <c r="E30" s="1339"/>
      <c r="F30" s="116" t="s">
        <v>339</v>
      </c>
      <c r="G30" s="116" t="s">
        <v>288</v>
      </c>
      <c r="H30" s="576">
        <f>'Traffic Data'!J15*annualizationFactor*'Traffic Data'!$H15</f>
        <v>22484.000000000004</v>
      </c>
      <c r="I30" s="576">
        <f>'Traffic Data'!K15*annualizationFactor*'Traffic Data'!$H15</f>
        <v>42719.600000000006</v>
      </c>
      <c r="J30" s="576">
        <f>'Traffic Data'!L15*annualizationFactor*'Traffic Data'!$H15</f>
        <v>62955.200000000004</v>
      </c>
      <c r="K30" s="576">
        <f>'Traffic Data'!M15*annualizationFactor*'Traffic Data'!$H15</f>
        <v>136948</v>
      </c>
      <c r="L30" s="576">
        <f>'Traffic Data'!N15*annualizationFactor*'Traffic Data'!$H15</f>
        <v>210838.6</v>
      </c>
      <c r="M30" s="576">
        <f>'Traffic Data'!O15*annualizationFactor*'Traffic Data'!$H15</f>
        <v>284933.60000000003</v>
      </c>
      <c r="N30" s="576">
        <f>'Traffic Data'!P15*annualizationFactor*'Traffic Data'!$H15</f>
        <v>358926.4</v>
      </c>
      <c r="O30" s="576">
        <f>'Traffic Data'!Q15*annualizationFactor*'Traffic Data'!$H15</f>
        <v>432919.20000000007</v>
      </c>
      <c r="P30" s="576">
        <f>'Traffic Data'!R15*annualizationFactor*'Traffic Data'!$H15</f>
        <v>561589</v>
      </c>
      <c r="Q30" s="576">
        <f>'Traffic Data'!S15*annualizationFactor*'Traffic Data'!$H15</f>
        <v>690156.60000000009</v>
      </c>
      <c r="R30" s="576">
        <f>'Traffic Data'!T15*annualizationFactor*'Traffic Data'!$H15</f>
        <v>818724.20000000007</v>
      </c>
      <c r="S30" s="576">
        <f>'Traffic Data'!U15*annualizationFactor*'Traffic Data'!$H15</f>
        <v>947394.00000000012</v>
      </c>
      <c r="T30" s="576">
        <f>'Traffic Data'!V15*annualizationFactor*'Traffic Data'!$H15</f>
        <v>1076063.8</v>
      </c>
      <c r="U30" s="576">
        <f>'Traffic Data'!W15*annualizationFactor*'Traffic Data'!$H15</f>
        <v>1150976.4000000001</v>
      </c>
      <c r="V30" s="576">
        <f>'Traffic Data'!X15*annualizationFactor*'Traffic Data'!$H15</f>
        <v>1171109.8</v>
      </c>
      <c r="W30" s="576">
        <f>'Traffic Data'!Y15*annualizationFactor*'Traffic Data'!$H15</f>
        <v>1191345.4000000001</v>
      </c>
      <c r="X30" s="576">
        <f>'Traffic Data'!Z15*annualizationFactor*'Traffic Data'!$H15</f>
        <v>1211581</v>
      </c>
      <c r="Y30" s="576">
        <f>'Traffic Data'!AA15*annualizationFactor*'Traffic Data'!$H15</f>
        <v>1231816.6000000001</v>
      </c>
      <c r="Z30" s="576">
        <f>'Traffic Data'!AB15*annualizationFactor*'Traffic Data'!$H15</f>
        <v>1252052.2000000002</v>
      </c>
      <c r="AA30" s="576">
        <f>'Traffic Data'!AC15*annualizationFactor*'Traffic Data'!$H15</f>
        <v>1272287.8</v>
      </c>
      <c r="AB30" s="576">
        <f>'Traffic Data'!AD15*annualizationFactor*'Traffic Data'!$H15</f>
        <v>1292523.4000000001</v>
      </c>
      <c r="AC30" s="576">
        <f>'Traffic Data'!AE15*annualizationFactor*'Traffic Data'!$H15</f>
        <v>1312759.0000000002</v>
      </c>
      <c r="AD30" s="576">
        <f>'Traffic Data'!AF15*annualizationFactor*'Traffic Data'!$H15</f>
        <v>1332892.4000000001</v>
      </c>
      <c r="AE30" s="576">
        <f>'Traffic Data'!AG15*annualizationFactor*'Traffic Data'!$H15</f>
        <v>1353128.0000000002</v>
      </c>
      <c r="AF30" s="576">
        <f>'Traffic Data'!AH15*annualizationFactor*'Traffic Data'!$H15</f>
        <v>1373363.6</v>
      </c>
      <c r="AG30" s="714">
        <f>'Traffic Data'!AI15*annualizationFactor*'Traffic Data'!$H15</f>
        <v>1393599.2000000002</v>
      </c>
      <c r="AH30" s="5"/>
      <c r="AI30" s="5"/>
      <c r="AJ30" s="5"/>
      <c r="AK30" s="5"/>
      <c r="AL30" s="5"/>
      <c r="AM30" s="5"/>
      <c r="AN30" s="5"/>
    </row>
    <row r="31" spans="1:40" ht="21.95" customHeight="1" x14ac:dyDescent="0.2">
      <c r="B31" s="703"/>
      <c r="C31" s="579"/>
      <c r="D31" s="579"/>
      <c r="E31" s="1339"/>
      <c r="F31" s="116" t="s">
        <v>288</v>
      </c>
      <c r="G31" s="116" t="s">
        <v>340</v>
      </c>
      <c r="H31" s="576">
        <f>'Traffic Data'!J16*annualizationFactor*'Traffic Data'!$H16</f>
        <v>79935</v>
      </c>
      <c r="I31" s="576">
        <f>'Traffic Data'!K16*annualizationFactor*'Traffic Data'!$H16</f>
        <v>151841.8615</v>
      </c>
      <c r="J31" s="576">
        <f>'Traffic Data'!L16*annualizationFactor*'Traffic Data'!$H16</f>
        <v>223724.74250000005</v>
      </c>
      <c r="K31" s="576">
        <f>'Traffic Data'!M16*annualizationFactor*'Traffic Data'!$H16</f>
        <v>486702.89899999992</v>
      </c>
      <c r="L31" s="576">
        <f>'Traffic Data'!N16*annualizationFactor*'Traffic Data'!$H16</f>
        <v>749691.71350000007</v>
      </c>
      <c r="M31" s="576">
        <f>'Traffic Data'!O16*annualizationFactor*'Traffic Data'!$H16</f>
        <v>1013016.2550000001</v>
      </c>
      <c r="N31" s="576">
        <f>'Traffic Data'!P16*annualizationFactor*'Traffic Data'!$H16</f>
        <v>1275994.4114999999</v>
      </c>
      <c r="O31" s="576">
        <f>'Traffic Data'!Q16*annualizationFactor*'Traffic Data'!$H16</f>
        <v>1539132.4380000001</v>
      </c>
      <c r="P31" s="576">
        <f>'Traffic Data'!R16*annualizationFactor*'Traffic Data'!$H16</f>
        <v>1996432.5795000002</v>
      </c>
      <c r="Q31" s="576">
        <f>'Traffic Data'!S16*annualizationFactor*'Traffic Data'!$H16</f>
        <v>2453546.2060000002</v>
      </c>
      <c r="R31" s="576">
        <f>'Traffic Data'!T16*annualizationFactor*'Traffic Data'!$H16</f>
        <v>2910811.7089999993</v>
      </c>
      <c r="S31" s="576">
        <f>'Traffic Data'!U16*annualizationFactor*'Traffic Data'!$H16</f>
        <v>3368111.8505000002</v>
      </c>
      <c r="T31" s="576">
        <f>'Traffic Data'!V16*annualizationFactor*'Traffic Data'!$H16</f>
        <v>3825745.0544999996</v>
      </c>
      <c r="U31" s="576">
        <f>'Traffic Data'!W16*annualizationFactor*'Traffic Data'!$H16</f>
        <v>4091766.0699999994</v>
      </c>
      <c r="V31" s="576">
        <f>'Traffic Data'!X16*annualizationFactor*'Traffic Data'!$H16</f>
        <v>4163672.9314999999</v>
      </c>
      <c r="W31" s="576">
        <f>'Traffic Data'!Y16*annualizationFactor*'Traffic Data'!$H16</f>
        <v>4235579.7929999996</v>
      </c>
      <c r="X31" s="576">
        <f>'Traffic Data'!Z16*annualizationFactor*'Traffic Data'!$H16</f>
        <v>4307486.6544999992</v>
      </c>
      <c r="Y31" s="576">
        <f>'Traffic Data'!AA16*annualizationFactor*'Traffic Data'!$H16</f>
        <v>4379369.5354999993</v>
      </c>
      <c r="Z31" s="576">
        <f>'Traffic Data'!AB16*annualizationFactor*'Traffic Data'!$H16</f>
        <v>4451276.3969999999</v>
      </c>
      <c r="AA31" s="576">
        <f>'Traffic Data'!AC16*annualizationFactor*'Traffic Data'!$H16</f>
        <v>4523159.2779999999</v>
      </c>
      <c r="AB31" s="576">
        <f>'Traffic Data'!AD16*annualizationFactor*'Traffic Data'!$H16</f>
        <v>4595066.1394999996</v>
      </c>
      <c r="AC31" s="576">
        <f>'Traffic Data'!AE16*annualizationFactor*'Traffic Data'!$H16</f>
        <v>4666973.0010000002</v>
      </c>
      <c r="AD31" s="576">
        <f>'Traffic Data'!AF16*annualizationFactor*'Traffic Data'!$H16</f>
        <v>4738855.8820000002</v>
      </c>
      <c r="AE31" s="576">
        <f>'Traffic Data'!AG16*annualizationFactor*'Traffic Data'!$H16</f>
        <v>4810762.7435000008</v>
      </c>
      <c r="AF31" s="576">
        <f>'Traffic Data'!AH16*annualizationFactor*'Traffic Data'!$H16</f>
        <v>4882669.6050000004</v>
      </c>
      <c r="AG31" s="714">
        <f>'Traffic Data'!AI16*annualizationFactor*'Traffic Data'!$H16</f>
        <v>4954552.4859999996</v>
      </c>
      <c r="AH31" s="5"/>
      <c r="AI31" s="5"/>
      <c r="AJ31" s="5"/>
      <c r="AK31" s="5"/>
      <c r="AL31" s="5"/>
      <c r="AM31" s="5"/>
      <c r="AN31" s="5"/>
    </row>
    <row r="32" spans="1:40" ht="21.95" customHeight="1" x14ac:dyDescent="0.2">
      <c r="B32" s="703"/>
      <c r="C32" s="579"/>
      <c r="D32" s="579"/>
      <c r="E32" s="1353"/>
      <c r="F32" s="254" t="s">
        <v>340</v>
      </c>
      <c r="G32" s="254" t="s">
        <v>280</v>
      </c>
      <c r="H32" s="576">
        <f>'Traffic Data'!J17*annualizationFactor*'Traffic Data'!$H17</f>
        <v>114975</v>
      </c>
      <c r="I32" s="576">
        <f>'Traffic Data'!K17*annualizationFactor*'Traffic Data'!$H17</f>
        <v>218402.67749999999</v>
      </c>
      <c r="J32" s="576">
        <f>'Traffic Data'!L17*annualizationFactor*'Traffic Data'!$H17</f>
        <v>321795.86250000005</v>
      </c>
      <c r="K32" s="576">
        <f>'Traffic Data'!M17*annualizationFactor*'Traffic Data'!$H17</f>
        <v>700052.11499999999</v>
      </c>
      <c r="L32" s="576">
        <f>'Traffic Data'!N17*annualizationFactor*'Traffic Data'!$H17</f>
        <v>1078323.6975</v>
      </c>
      <c r="M32" s="576">
        <f>'Traffic Data'!O17*annualizationFactor*'Traffic Data'!$H17</f>
        <v>1457078.1750000003</v>
      </c>
      <c r="N32" s="576">
        <f>'Traffic Data'!P17*annualizationFactor*'Traffic Data'!$H17</f>
        <v>1835334.4275000002</v>
      </c>
      <c r="O32" s="576">
        <f>'Traffic Data'!Q17*annualizationFactor*'Traffic Data'!$H17</f>
        <v>2213820.6300000004</v>
      </c>
      <c r="P32" s="576">
        <f>'Traffic Data'!R17*annualizationFactor*'Traffic Data'!$H17</f>
        <v>2871581.1075000004</v>
      </c>
      <c r="Q32" s="576">
        <f>'Traffic Data'!S17*annualizationFactor*'Traffic Data'!$H17</f>
        <v>3529073.3100000005</v>
      </c>
      <c r="R32" s="576">
        <f>'Traffic Data'!T17*annualizationFactor*'Traffic Data'!$H17</f>
        <v>4186783.9649999994</v>
      </c>
      <c r="S32" s="576">
        <f>'Traffic Data'!U17*annualizationFactor*'Traffic Data'!$H17</f>
        <v>4844544.4425000008</v>
      </c>
      <c r="T32" s="576">
        <f>'Traffic Data'!V17*annualizationFactor*'Traffic Data'!$H17</f>
        <v>5502783.9824999999</v>
      </c>
      <c r="U32" s="576">
        <f>'Traffic Data'!W17*annualizationFactor*'Traffic Data'!$H17</f>
        <v>5885416.9499999993</v>
      </c>
      <c r="V32" s="576">
        <f>'Traffic Data'!X17*annualizationFactor*'Traffic Data'!$H17</f>
        <v>5988844.6275000004</v>
      </c>
      <c r="W32" s="576">
        <f>'Traffic Data'!Y17*annualizationFactor*'Traffic Data'!$H17</f>
        <v>6092272.3049999997</v>
      </c>
      <c r="X32" s="576">
        <f>'Traffic Data'!Z17*annualizationFactor*'Traffic Data'!$H17</f>
        <v>6195699.9824999999</v>
      </c>
      <c r="Y32" s="576">
        <f>'Traffic Data'!AA17*annualizationFactor*'Traffic Data'!$H17</f>
        <v>6299093.1674999995</v>
      </c>
      <c r="Z32" s="576">
        <f>'Traffic Data'!AB17*annualizationFactor*'Traffic Data'!$H17</f>
        <v>6402520.8450000007</v>
      </c>
      <c r="AA32" s="576">
        <f>'Traffic Data'!AC17*annualizationFactor*'Traffic Data'!$H17</f>
        <v>6505914.0300000003</v>
      </c>
      <c r="AB32" s="576">
        <f>'Traffic Data'!AD17*annualizationFactor*'Traffic Data'!$H17</f>
        <v>6609341.7074999996</v>
      </c>
      <c r="AC32" s="576">
        <f>'Traffic Data'!AE17*annualizationFactor*'Traffic Data'!$H17</f>
        <v>6712769.3850000007</v>
      </c>
      <c r="AD32" s="576">
        <f>'Traffic Data'!AF17*annualizationFactor*'Traffic Data'!$H17</f>
        <v>6816162.5700000003</v>
      </c>
      <c r="AE32" s="576">
        <f>'Traffic Data'!AG17*annualizationFactor*'Traffic Data'!$H17</f>
        <v>6919590.2475000015</v>
      </c>
      <c r="AF32" s="576">
        <f>'Traffic Data'!AH17*annualizationFactor*'Traffic Data'!$H17</f>
        <v>7023017.9250000017</v>
      </c>
      <c r="AG32" s="714">
        <f>'Traffic Data'!AI17*annualizationFactor*'Traffic Data'!$H17</f>
        <v>7126411.1100000003</v>
      </c>
      <c r="AH32" s="5"/>
      <c r="AI32" s="5"/>
      <c r="AJ32" s="5"/>
      <c r="AK32" s="5"/>
      <c r="AL32" s="5"/>
      <c r="AM32" s="5"/>
      <c r="AN32" s="5"/>
    </row>
    <row r="33" spans="2:40" ht="21.95" customHeight="1" x14ac:dyDescent="0.2">
      <c r="B33" s="703"/>
      <c r="C33" s="579"/>
      <c r="D33" s="579"/>
      <c r="E33" s="1340" t="s">
        <v>334</v>
      </c>
      <c r="F33" s="116" t="s">
        <v>336</v>
      </c>
      <c r="G33" s="116" t="s">
        <v>337</v>
      </c>
      <c r="H33" s="576">
        <f>'Traffic Data'!J18*annualizationFactor*'Traffic Data'!$H18</f>
        <v>2555000</v>
      </c>
      <c r="I33" s="576">
        <f>'Traffic Data'!K18*annualizationFactor*'Traffic Data'!$H18</f>
        <v>2624213.1249999995</v>
      </c>
      <c r="J33" s="576">
        <f>'Traffic Data'!L18*annualizationFactor*'Traffic Data'!$H18</f>
        <v>2736861.25</v>
      </c>
      <c r="K33" s="576">
        <f>'Traffic Data'!M18*annualizationFactor*'Traffic Data'!$H18</f>
        <v>2898474.125</v>
      </c>
      <c r="L33" s="576">
        <f>'Traffic Data'!N18*annualizationFactor*'Traffic Data'!$H18</f>
        <v>3060160.0000000005</v>
      </c>
      <c r="M33" s="576">
        <f>'Traffic Data'!O18*annualizationFactor*'Traffic Data'!$H18</f>
        <v>3221827.6250000009</v>
      </c>
      <c r="N33" s="576">
        <f>'Traffic Data'!P18*annualizationFactor*'Traffic Data'!$H18</f>
        <v>3383440.5000000009</v>
      </c>
      <c r="O33" s="576">
        <f>'Traffic Data'!Q18*annualizationFactor*'Traffic Data'!$H18</f>
        <v>3545190.25</v>
      </c>
      <c r="P33" s="576">
        <f>'Traffic Data'!R18*annualizationFactor*'Traffic Data'!$H18</f>
        <v>3689000.2499999995</v>
      </c>
      <c r="Q33" s="576">
        <f>'Traffic Data'!S18*annualizationFactor*'Traffic Data'!$H18</f>
        <v>3832855.875</v>
      </c>
      <c r="R33" s="576">
        <f>'Traffic Data'!T18*annualizationFactor*'Traffic Data'!$H18</f>
        <v>3976665.8749999995</v>
      </c>
      <c r="S33" s="576">
        <f>'Traffic Data'!U18*annualizationFactor*'Traffic Data'!$H18</f>
        <v>4120475.875</v>
      </c>
      <c r="T33" s="576">
        <f>'Traffic Data'!V18*annualizationFactor*'Traffic Data'!$H18</f>
        <v>4264413.625</v>
      </c>
      <c r="U33" s="576">
        <f>'Traffic Data'!W18*annualizationFactor*'Traffic Data'!$H18</f>
        <v>4359195</v>
      </c>
      <c r="V33" s="576">
        <f>'Traffic Data'!X18*annualizationFactor*'Traffic Data'!$H18</f>
        <v>4428408.1249999991</v>
      </c>
      <c r="W33" s="576">
        <f>'Traffic Data'!Y18*annualizationFactor*'Traffic Data'!$H18</f>
        <v>4497621.25</v>
      </c>
      <c r="X33" s="576">
        <f>'Traffic Data'!Z18*annualizationFactor*'Traffic Data'!$H18</f>
        <v>4566834.3749999991</v>
      </c>
      <c r="Y33" s="576">
        <f>'Traffic Data'!AA18*annualizationFactor*'Traffic Data'!$H18</f>
        <v>4636083.9999999991</v>
      </c>
      <c r="Z33" s="576">
        <f>'Traffic Data'!AB18*annualizationFactor*'Traffic Data'!$H18</f>
        <v>4705297.125</v>
      </c>
      <c r="AA33" s="576">
        <f>'Traffic Data'!AC18*annualizationFactor*'Traffic Data'!$H18</f>
        <v>4774546.75</v>
      </c>
      <c r="AB33" s="576">
        <f>'Traffic Data'!AD18*annualizationFactor*'Traffic Data'!$H18</f>
        <v>4843759.875</v>
      </c>
      <c r="AC33" s="576">
        <f>'Traffic Data'!AE18*annualizationFactor*'Traffic Data'!$H18</f>
        <v>4912973</v>
      </c>
      <c r="AD33" s="576">
        <f>'Traffic Data'!AF18*annualizationFactor*'Traffic Data'!$H18</f>
        <v>4982222.625</v>
      </c>
      <c r="AE33" s="576">
        <f>'Traffic Data'!AG18*annualizationFactor*'Traffic Data'!$H18</f>
        <v>5051435.75</v>
      </c>
      <c r="AF33" s="576">
        <f>'Traffic Data'!AH18*annualizationFactor*'Traffic Data'!$H18</f>
        <v>5120648.875</v>
      </c>
      <c r="AG33" s="714">
        <f>'Traffic Data'!AI18*annualizationFactor*'Traffic Data'!$H18</f>
        <v>5189898.4999999991</v>
      </c>
      <c r="AH33" s="5"/>
      <c r="AI33" s="5"/>
      <c r="AJ33" s="5"/>
      <c r="AK33" s="5"/>
      <c r="AL33" s="5"/>
      <c r="AM33" s="5"/>
      <c r="AN33" s="5"/>
    </row>
    <row r="34" spans="2:40" ht="21.95" customHeight="1" x14ac:dyDescent="0.2">
      <c r="B34" s="703"/>
      <c r="C34" s="579"/>
      <c r="D34" s="579"/>
      <c r="E34" s="1339"/>
      <c r="F34" s="116" t="s">
        <v>337</v>
      </c>
      <c r="G34" s="116" t="s">
        <v>386</v>
      </c>
      <c r="H34" s="576">
        <f>'Traffic Data'!J19*annualizationFactor*'Traffic Data'!$H19</f>
        <v>4015000</v>
      </c>
      <c r="I34" s="576">
        <f>'Traffic Data'!K19*annualizationFactor*'Traffic Data'!$H19</f>
        <v>4098402.5</v>
      </c>
      <c r="J34" s="576">
        <f>'Traffic Data'!L19*annualizationFactor*'Traffic Data'!$H19</f>
        <v>4296232.5</v>
      </c>
      <c r="K34" s="576">
        <f>'Traffic Data'!M19*annualizationFactor*'Traffic Data'!$H19</f>
        <v>4513042.5</v>
      </c>
      <c r="L34" s="576">
        <f>'Traffic Data'!N19*annualizationFactor*'Traffic Data'!$H19</f>
        <v>4730217.5</v>
      </c>
      <c r="M34" s="576">
        <f>'Traffic Data'!O19*annualizationFactor*'Traffic Data'!$H19</f>
        <v>4947210</v>
      </c>
      <c r="N34" s="576">
        <f>'Traffic Data'!P19*annualizationFactor*'Traffic Data'!$H19</f>
        <v>5164020</v>
      </c>
      <c r="O34" s="576">
        <f>'Traffic Data'!Q19*annualizationFactor*'Traffic Data'!$H19</f>
        <v>5381195</v>
      </c>
      <c r="P34" s="576">
        <f>'Traffic Data'!R19*annualizationFactor*'Traffic Data'!$H19</f>
        <v>5500732.5</v>
      </c>
      <c r="Q34" s="576">
        <f>'Traffic Data'!S19*annualizationFactor*'Traffic Data'!$H19</f>
        <v>5620452.5</v>
      </c>
      <c r="R34" s="576">
        <f>'Traffic Data'!T19*annualizationFactor*'Traffic Data'!$H19</f>
        <v>5739990</v>
      </c>
      <c r="S34" s="576">
        <f>'Traffic Data'!U19*annualizationFactor*'Traffic Data'!$H19</f>
        <v>5859710</v>
      </c>
      <c r="T34" s="576">
        <f>'Traffic Data'!V19*annualizationFactor*'Traffic Data'!$H19</f>
        <v>5979247.5</v>
      </c>
      <c r="U34" s="576">
        <f>'Traffic Data'!W19*annualizationFactor*'Traffic Data'!$H19</f>
        <v>6079805</v>
      </c>
      <c r="V34" s="576">
        <f>'Traffic Data'!X19*annualizationFactor*'Traffic Data'!$H19</f>
        <v>6166675</v>
      </c>
      <c r="W34" s="576">
        <f>'Traffic Data'!Y19*annualizationFactor*'Traffic Data'!$H19</f>
        <v>6253727.5</v>
      </c>
      <c r="X34" s="576">
        <f>'Traffic Data'!Z19*annualizationFactor*'Traffic Data'!$H19</f>
        <v>6340780</v>
      </c>
      <c r="Y34" s="576">
        <f>'Traffic Data'!AA19*annualizationFactor*'Traffic Data'!$H19</f>
        <v>6427832.5</v>
      </c>
      <c r="Z34" s="576">
        <f>'Traffic Data'!AB19*annualizationFactor*'Traffic Data'!$H19</f>
        <v>6514885</v>
      </c>
      <c r="AA34" s="576">
        <f>'Traffic Data'!AC19*annualizationFactor*'Traffic Data'!$H19</f>
        <v>6601937.5</v>
      </c>
      <c r="AB34" s="576">
        <f>'Traffic Data'!AD19*annualizationFactor*'Traffic Data'!$H19</f>
        <v>6688990</v>
      </c>
      <c r="AC34" s="576">
        <f>'Traffic Data'!AE19*annualizationFactor*'Traffic Data'!$H19</f>
        <v>6776042.5</v>
      </c>
      <c r="AD34" s="576">
        <f>'Traffic Data'!AF19*annualizationFactor*'Traffic Data'!$H19</f>
        <v>6863095</v>
      </c>
      <c r="AE34" s="576">
        <f>'Traffic Data'!AG19*annualizationFactor*'Traffic Data'!$H19</f>
        <v>6950147.5</v>
      </c>
      <c r="AF34" s="576">
        <f>'Traffic Data'!AH19*annualizationFactor*'Traffic Data'!$H19</f>
        <v>7037017.5</v>
      </c>
      <c r="AG34" s="714">
        <f>'Traffic Data'!AI19*annualizationFactor*'Traffic Data'!$H19</f>
        <v>7124070</v>
      </c>
      <c r="AH34" s="5"/>
      <c r="AI34" s="5"/>
      <c r="AJ34" s="5"/>
      <c r="AK34" s="5"/>
      <c r="AL34" s="5"/>
      <c r="AM34" s="5"/>
      <c r="AN34" s="5"/>
    </row>
    <row r="35" spans="2:40" ht="21.95" customHeight="1" x14ac:dyDescent="0.2">
      <c r="B35" s="703"/>
      <c r="C35" s="579"/>
      <c r="D35" s="579"/>
      <c r="E35" s="1339"/>
      <c r="F35" s="116" t="s">
        <v>342</v>
      </c>
      <c r="G35" s="116" t="s">
        <v>341</v>
      </c>
      <c r="H35" s="576">
        <f>'Traffic Data'!J20*annualizationFactor*'Traffic Data'!$H20</f>
        <v>5219500</v>
      </c>
      <c r="I35" s="576">
        <f>'Traffic Data'!K20*annualizationFactor*'Traffic Data'!$H20</f>
        <v>5327923.25</v>
      </c>
      <c r="J35" s="576">
        <f>'Traffic Data'!L20*annualizationFactor*'Traffic Data'!$H20</f>
        <v>5585102.25</v>
      </c>
      <c r="K35" s="576">
        <f>'Traffic Data'!M20*annualizationFactor*'Traffic Data'!$H20</f>
        <v>5866955.25</v>
      </c>
      <c r="L35" s="576">
        <f>'Traffic Data'!N20*annualizationFactor*'Traffic Data'!$H20</f>
        <v>6149282.75</v>
      </c>
      <c r="M35" s="576">
        <f>'Traffic Data'!O20*annualizationFactor*'Traffic Data'!$H20</f>
        <v>6431373</v>
      </c>
      <c r="N35" s="576">
        <f>'Traffic Data'!P20*annualizationFactor*'Traffic Data'!$H20</f>
        <v>6713226</v>
      </c>
      <c r="O35" s="576">
        <f>'Traffic Data'!Q20*annualizationFactor*'Traffic Data'!$H20</f>
        <v>6995553.5</v>
      </c>
      <c r="P35" s="576">
        <f>'Traffic Data'!R20*annualizationFactor*'Traffic Data'!$H20</f>
        <v>7150952.25</v>
      </c>
      <c r="Q35" s="576">
        <f>'Traffic Data'!S20*annualizationFactor*'Traffic Data'!$H20</f>
        <v>7306588.25</v>
      </c>
      <c r="R35" s="576">
        <f>'Traffic Data'!T20*annualizationFactor*'Traffic Data'!$H20</f>
        <v>7461987</v>
      </c>
      <c r="S35" s="576">
        <f>'Traffic Data'!U20*annualizationFactor*'Traffic Data'!$H20</f>
        <v>7617623</v>
      </c>
      <c r="T35" s="576">
        <f>'Traffic Data'!V20*annualizationFactor*'Traffic Data'!$H20</f>
        <v>7773021.75</v>
      </c>
      <c r="U35" s="576">
        <f>'Traffic Data'!W20*annualizationFactor*'Traffic Data'!$H20</f>
        <v>7903746.5</v>
      </c>
      <c r="V35" s="576">
        <f>'Traffic Data'!X20*annualizationFactor*'Traffic Data'!$H20</f>
        <v>8016677.5</v>
      </c>
      <c r="W35" s="576">
        <f>'Traffic Data'!Y20*annualizationFactor*'Traffic Data'!$H20</f>
        <v>8129845.75</v>
      </c>
      <c r="X35" s="576">
        <f>'Traffic Data'!Z20*annualizationFactor*'Traffic Data'!$H20</f>
        <v>8243014</v>
      </c>
      <c r="Y35" s="576">
        <f>'Traffic Data'!AA20*annualizationFactor*'Traffic Data'!$H20</f>
        <v>8356182.25</v>
      </c>
      <c r="Z35" s="576">
        <f>'Traffic Data'!AB20*annualizationFactor*'Traffic Data'!$H20</f>
        <v>8469350.5</v>
      </c>
      <c r="AA35" s="576">
        <f>'Traffic Data'!AC20*annualizationFactor*'Traffic Data'!$H20</f>
        <v>8582518.75</v>
      </c>
      <c r="AB35" s="576">
        <f>'Traffic Data'!AD20*annualizationFactor*'Traffic Data'!$H20</f>
        <v>8695687</v>
      </c>
      <c r="AC35" s="576">
        <f>'Traffic Data'!AE20*annualizationFactor*'Traffic Data'!$H20</f>
        <v>8808855.25</v>
      </c>
      <c r="AD35" s="576">
        <f>'Traffic Data'!AF20*annualizationFactor*'Traffic Data'!$H20</f>
        <v>8922023.5</v>
      </c>
      <c r="AE35" s="576">
        <f>'Traffic Data'!AG20*annualizationFactor*'Traffic Data'!$H20</f>
        <v>9035191.75</v>
      </c>
      <c r="AF35" s="576">
        <f>'Traffic Data'!AH20*annualizationFactor*'Traffic Data'!$H20</f>
        <v>9148122.75</v>
      </c>
      <c r="AG35" s="714">
        <f>'Traffic Data'!AI20*annualizationFactor*'Traffic Data'!$H20</f>
        <v>9261291</v>
      </c>
      <c r="AH35" s="5"/>
      <c r="AI35" s="5"/>
      <c r="AJ35" s="5"/>
      <c r="AK35" s="5"/>
      <c r="AL35" s="5"/>
      <c r="AM35" s="5"/>
      <c r="AN35" s="5"/>
    </row>
    <row r="36" spans="2:40" ht="21.95" customHeight="1" x14ac:dyDescent="0.2">
      <c r="B36" s="703"/>
      <c r="C36" s="579"/>
      <c r="D36" s="579"/>
      <c r="E36" s="1339"/>
      <c r="F36" s="116" t="s">
        <v>341</v>
      </c>
      <c r="G36" s="116" t="s">
        <v>344</v>
      </c>
      <c r="H36" s="576">
        <f>'Traffic Data'!J21*annualizationFactor*'Traffic Data'!$H21</f>
        <v>5788900</v>
      </c>
      <c r="I36" s="576">
        <f>'Traffic Data'!K21*annualizationFactor*'Traffic Data'!$H21</f>
        <v>5914474.5999999996</v>
      </c>
      <c r="J36" s="576">
        <f>'Traffic Data'!L21*annualizationFactor*'Traffic Data'!$H21</f>
        <v>6199911.8999999994</v>
      </c>
      <c r="K36" s="576">
        <f>'Traffic Data'!M21*annualizationFactor*'Traffic Data'!$H21</f>
        <v>6512957.7999999998</v>
      </c>
      <c r="L36" s="576">
        <f>'Traffic Data'!N21*annualizationFactor*'Traffic Data'!$H21</f>
        <v>6826226.3499999996</v>
      </c>
      <c r="M36" s="576">
        <f>'Traffic Data'!O21*annualizationFactor*'Traffic Data'!$H21</f>
        <v>7139272.25</v>
      </c>
      <c r="N36" s="576">
        <f>'Traffic Data'!P21*annualizationFactor*'Traffic Data'!$H21</f>
        <v>7452318.1499999994</v>
      </c>
      <c r="O36" s="576">
        <f>'Traffic Data'!Q21*annualizationFactor*'Traffic Data'!$H21</f>
        <v>7765586.7000000002</v>
      </c>
      <c r="P36" s="576">
        <f>'Traffic Data'!R21*annualizationFactor*'Traffic Data'!$H21</f>
        <v>7938363.0999999996</v>
      </c>
      <c r="Q36" s="576">
        <f>'Traffic Data'!S21*annualizationFactor*'Traffic Data'!$H21</f>
        <v>8110916.8499999996</v>
      </c>
      <c r="R36" s="576">
        <f>'Traffic Data'!T21*annualizationFactor*'Traffic Data'!$H21</f>
        <v>8283693.25</v>
      </c>
      <c r="S36" s="576">
        <f>'Traffic Data'!U21*annualizationFactor*'Traffic Data'!$H21</f>
        <v>8456247</v>
      </c>
      <c r="T36" s="576">
        <f>'Traffic Data'!V21*annualizationFactor*'Traffic Data'!$H21</f>
        <v>8629023.4000000004</v>
      </c>
      <c r="U36" s="576">
        <f>'Traffic Data'!W21*annualizationFactor*'Traffic Data'!$H21</f>
        <v>8773745.9000000004</v>
      </c>
      <c r="V36" s="576">
        <f>'Traffic Data'!X21*annualizationFactor*'Traffic Data'!$H21</f>
        <v>8899320.5</v>
      </c>
      <c r="W36" s="576">
        <f>'Traffic Data'!Y21*annualizationFactor*'Traffic Data'!$H21</f>
        <v>9025117.75</v>
      </c>
      <c r="X36" s="576">
        <f>'Traffic Data'!Z21*annualizationFactor*'Traffic Data'!$H21</f>
        <v>9150692.3499999996</v>
      </c>
      <c r="Y36" s="576">
        <f>'Traffic Data'!AA21*annualizationFactor*'Traffic Data'!$H21</f>
        <v>9276266.9499999993</v>
      </c>
      <c r="Z36" s="576">
        <f>'Traffic Data'!AB21*annualizationFactor*'Traffic Data'!$H21</f>
        <v>9401841.5499999989</v>
      </c>
      <c r="AA36" s="576">
        <f>'Traffic Data'!AC21*annualizationFactor*'Traffic Data'!$H21</f>
        <v>9527416.1500000004</v>
      </c>
      <c r="AB36" s="576">
        <f>'Traffic Data'!AD21*annualizationFactor*'Traffic Data'!$H21</f>
        <v>9652990.75</v>
      </c>
      <c r="AC36" s="576">
        <f>'Traffic Data'!AE21*annualizationFactor*'Traffic Data'!$H21</f>
        <v>9778565.3499999996</v>
      </c>
      <c r="AD36" s="576">
        <f>'Traffic Data'!AF21*annualizationFactor*'Traffic Data'!$H21</f>
        <v>9904139.9499999993</v>
      </c>
      <c r="AE36" s="576">
        <f>'Traffic Data'!AG21*annualizationFactor*'Traffic Data'!$H21</f>
        <v>10029937.199999999</v>
      </c>
      <c r="AF36" s="576">
        <f>'Traffic Data'!AH21*annualizationFactor*'Traffic Data'!$H21</f>
        <v>10155511.799999999</v>
      </c>
      <c r="AG36" s="714">
        <f>'Traffic Data'!AI21*annualizationFactor*'Traffic Data'!$H21</f>
        <v>10281086.4</v>
      </c>
      <c r="AH36" s="5"/>
      <c r="AI36" s="5"/>
      <c r="AJ36" s="5"/>
      <c r="AK36" s="5"/>
      <c r="AL36" s="5"/>
      <c r="AM36" s="5"/>
      <c r="AN36" s="5"/>
    </row>
    <row r="37" spans="2:40" ht="21.95" customHeight="1" x14ac:dyDescent="0.2">
      <c r="B37" s="703"/>
      <c r="C37" s="579"/>
      <c r="D37" s="579"/>
      <c r="E37" s="1339"/>
      <c r="F37" s="116" t="s">
        <v>344</v>
      </c>
      <c r="G37" s="116" t="s">
        <v>345</v>
      </c>
      <c r="H37" s="576">
        <f>'Traffic Data'!J22*annualizationFactor*'Traffic Data'!$H22</f>
        <v>2372500</v>
      </c>
      <c r="I37" s="576">
        <f>'Traffic Data'!K22*annualizationFactor*'Traffic Data'!$H22</f>
        <v>2423965</v>
      </c>
      <c r="J37" s="576">
        <f>'Traffic Data'!L22*annualizationFactor*'Traffic Data'!$H22</f>
        <v>2540947.5</v>
      </c>
      <c r="K37" s="576">
        <f>'Traffic Data'!M22*annualizationFactor*'Traffic Data'!$H22</f>
        <v>2669245</v>
      </c>
      <c r="L37" s="576">
        <f>'Traffic Data'!N22*annualizationFactor*'Traffic Data'!$H22</f>
        <v>2797633.75</v>
      </c>
      <c r="M37" s="576">
        <f>'Traffic Data'!O22*annualizationFactor*'Traffic Data'!$H22</f>
        <v>2925931.25</v>
      </c>
      <c r="N37" s="576">
        <f>'Traffic Data'!P22*annualizationFactor*'Traffic Data'!$H22</f>
        <v>3054228.75</v>
      </c>
      <c r="O37" s="576">
        <f>'Traffic Data'!Q22*annualizationFactor*'Traffic Data'!$H22</f>
        <v>3182617.5</v>
      </c>
      <c r="P37" s="576">
        <f>'Traffic Data'!R22*annualizationFactor*'Traffic Data'!$H22</f>
        <v>3253427.5</v>
      </c>
      <c r="Q37" s="576">
        <f>'Traffic Data'!S22*annualizationFactor*'Traffic Data'!$H22</f>
        <v>3324146.25</v>
      </c>
      <c r="R37" s="576">
        <f>'Traffic Data'!T22*annualizationFactor*'Traffic Data'!$H22</f>
        <v>3394956.25</v>
      </c>
      <c r="S37" s="576">
        <f>'Traffic Data'!U22*annualizationFactor*'Traffic Data'!$H22</f>
        <v>3465675</v>
      </c>
      <c r="T37" s="576">
        <f>'Traffic Data'!V22*annualizationFactor*'Traffic Data'!$H22</f>
        <v>3536485</v>
      </c>
      <c r="U37" s="576">
        <f>'Traffic Data'!W22*annualizationFactor*'Traffic Data'!$H22</f>
        <v>3595797.5</v>
      </c>
      <c r="V37" s="576">
        <f>'Traffic Data'!X22*annualizationFactor*'Traffic Data'!$H22</f>
        <v>3647262.5</v>
      </c>
      <c r="W37" s="576">
        <f>'Traffic Data'!Y22*annualizationFactor*'Traffic Data'!$H22</f>
        <v>3698818.75</v>
      </c>
      <c r="X37" s="576">
        <f>'Traffic Data'!Z22*annualizationFactor*'Traffic Data'!$H22</f>
        <v>3750283.75</v>
      </c>
      <c r="Y37" s="576">
        <f>'Traffic Data'!AA22*annualizationFactor*'Traffic Data'!$H22</f>
        <v>3801748.75</v>
      </c>
      <c r="Z37" s="576">
        <f>'Traffic Data'!AB22*annualizationFactor*'Traffic Data'!$H22</f>
        <v>3853213.75</v>
      </c>
      <c r="AA37" s="576">
        <f>'Traffic Data'!AC22*annualizationFactor*'Traffic Data'!$H22</f>
        <v>3904678.75</v>
      </c>
      <c r="AB37" s="576">
        <f>'Traffic Data'!AD22*annualizationFactor*'Traffic Data'!$H22</f>
        <v>3956143.75</v>
      </c>
      <c r="AC37" s="576">
        <f>'Traffic Data'!AE22*annualizationFactor*'Traffic Data'!$H22</f>
        <v>4007608.75</v>
      </c>
      <c r="AD37" s="576">
        <f>'Traffic Data'!AF22*annualizationFactor*'Traffic Data'!$H22</f>
        <v>4059073.75</v>
      </c>
      <c r="AE37" s="576">
        <f>'Traffic Data'!AG22*annualizationFactor*'Traffic Data'!$H22</f>
        <v>4110630</v>
      </c>
      <c r="AF37" s="576">
        <f>'Traffic Data'!AH22*annualizationFactor*'Traffic Data'!$H22</f>
        <v>4162095</v>
      </c>
      <c r="AG37" s="714">
        <f>'Traffic Data'!AI22*annualizationFactor*'Traffic Data'!$H22</f>
        <v>4213560</v>
      </c>
      <c r="AH37" s="5"/>
      <c r="AI37" s="5"/>
      <c r="AJ37" s="5"/>
      <c r="AK37" s="5"/>
      <c r="AL37" s="5"/>
      <c r="AM37" s="5"/>
      <c r="AN37" s="5"/>
    </row>
    <row r="38" spans="2:40" ht="21.95" customHeight="1" x14ac:dyDescent="0.2">
      <c r="B38" s="703"/>
      <c r="C38" s="579"/>
      <c r="D38" s="579"/>
      <c r="E38" s="1339"/>
      <c r="F38" s="116" t="s">
        <v>345</v>
      </c>
      <c r="G38" s="116" t="s">
        <v>323</v>
      </c>
      <c r="H38" s="576">
        <f>'Traffic Data'!J23*annualizationFactor*'Traffic Data'!$H23</f>
        <v>28616000</v>
      </c>
      <c r="I38" s="576">
        <f>'Traffic Data'!K23*annualizationFactor*'Traffic Data'!$H23</f>
        <v>29236865</v>
      </c>
      <c r="J38" s="576">
        <f>'Traffic Data'!L23*annualizationFactor*'Traffic Data'!$H23</f>
        <v>30647633.799999997</v>
      </c>
      <c r="K38" s="576">
        <f>'Traffic Data'!M23*annualizationFactor*'Traffic Data'!$H23</f>
        <v>32195299.500000004</v>
      </c>
      <c r="L38" s="576">
        <f>'Traffic Data'!N23*annualizationFactor*'Traffic Data'!$H23</f>
        <v>33743680.600000001</v>
      </c>
      <c r="M38" s="576">
        <f>'Traffic Data'!O23*annualizationFactor*'Traffic Data'!$H23</f>
        <v>35291550.700000003</v>
      </c>
      <c r="N38" s="576">
        <f>'Traffic Data'!P23*annualizationFactor*'Traffic Data'!$H23</f>
        <v>36839216.399999991</v>
      </c>
      <c r="O38" s="576">
        <f>'Traffic Data'!Q23*annualizationFactor*'Traffic Data'!$H23</f>
        <v>38387750.79999999</v>
      </c>
      <c r="P38" s="576">
        <f>'Traffic Data'!R23*annualizationFactor*'Traffic Data'!$H23</f>
        <v>39241120.799999982</v>
      </c>
      <c r="Q38" s="576">
        <f>'Traffic Data'!S23*annualizationFactor*'Traffic Data'!$H23</f>
        <v>40094490.79999999</v>
      </c>
      <c r="R38" s="576">
        <f>'Traffic Data'!T23*annualizationFactor*'Traffic Data'!$H23</f>
        <v>40947860.799999997</v>
      </c>
      <c r="S38" s="576">
        <f>'Traffic Data'!U23*annualizationFactor*'Traffic Data'!$H23</f>
        <v>41801230.800000004</v>
      </c>
      <c r="T38" s="576">
        <f>'Traffic Data'!V23*annualizationFactor*'Traffic Data'!$H23</f>
        <v>42654907.399999991</v>
      </c>
      <c r="U38" s="576">
        <f>'Traffic Data'!W23*annualizationFactor*'Traffic Data'!$H23</f>
        <v>43371227.199999996</v>
      </c>
      <c r="V38" s="576">
        <f>'Traffic Data'!X23*annualizationFactor*'Traffic Data'!$H23</f>
        <v>43992092.199999996</v>
      </c>
      <c r="W38" s="576">
        <f>'Traffic Data'!Y23*annualizationFactor*'Traffic Data'!$H23</f>
        <v>44612957.199999996</v>
      </c>
      <c r="X38" s="576">
        <f>'Traffic Data'!Z23*annualizationFactor*'Traffic Data'!$H23</f>
        <v>45233822.200000003</v>
      </c>
      <c r="Y38" s="576">
        <f>'Traffic Data'!AA23*annualizationFactor*'Traffic Data'!$H23</f>
        <v>45854738.299999997</v>
      </c>
      <c r="Z38" s="576">
        <f>'Traffic Data'!AB23*annualizationFactor*'Traffic Data'!$H23</f>
        <v>46475603.29999999</v>
      </c>
      <c r="AA38" s="576">
        <f>'Traffic Data'!AC23*annualizationFactor*'Traffic Data'!$H23</f>
        <v>47096519.399999999</v>
      </c>
      <c r="AB38" s="576">
        <f>'Traffic Data'!AD23*annualizationFactor*'Traffic Data'!$H23</f>
        <v>47717384.400000006</v>
      </c>
      <c r="AC38" s="576">
        <f>'Traffic Data'!AE23*annualizationFactor*'Traffic Data'!$H23</f>
        <v>48338249.399999999</v>
      </c>
      <c r="AD38" s="576">
        <f>'Traffic Data'!AF23*annualizationFactor*'Traffic Data'!$H23</f>
        <v>48959165.5</v>
      </c>
      <c r="AE38" s="576">
        <f>'Traffic Data'!AG23*annualizationFactor*'Traffic Data'!$H23</f>
        <v>49580030.500000007</v>
      </c>
      <c r="AF38" s="576">
        <f>'Traffic Data'!AH23*annualizationFactor*'Traffic Data'!$H23</f>
        <v>50200895.500000007</v>
      </c>
      <c r="AG38" s="714">
        <f>'Traffic Data'!AI23*annualizationFactor*'Traffic Data'!$H23</f>
        <v>50821811.599999994</v>
      </c>
      <c r="AH38" s="5"/>
      <c r="AI38" s="5"/>
      <c r="AJ38" s="5"/>
      <c r="AK38" s="5"/>
      <c r="AL38" s="5"/>
      <c r="AM38" s="5"/>
      <c r="AN38" s="5"/>
    </row>
    <row r="39" spans="2:40" ht="21.95" customHeight="1" x14ac:dyDescent="0.2">
      <c r="B39" s="703"/>
      <c r="C39" s="579"/>
      <c r="D39" s="579"/>
      <c r="E39" s="1339"/>
      <c r="F39" s="116" t="s">
        <v>323</v>
      </c>
      <c r="G39" s="116" t="s">
        <v>347</v>
      </c>
      <c r="H39" s="576">
        <f>'Traffic Data'!J24*annualizationFactor*'Traffic Data'!$H24</f>
        <v>5110000</v>
      </c>
      <c r="I39" s="576">
        <f>'Traffic Data'!K24*annualizationFactor*'Traffic Data'!$H24</f>
        <v>5220868.75</v>
      </c>
      <c r="J39" s="576">
        <f>'Traffic Data'!L24*annualizationFactor*'Traffic Data'!$H24</f>
        <v>5385994.75</v>
      </c>
      <c r="K39" s="576">
        <f>'Traffic Data'!M24*annualizationFactor*'Traffic Data'!$H24</f>
        <v>5575566.6250000009</v>
      </c>
      <c r="L39" s="576">
        <f>'Traffic Data'!N24*annualizationFactor*'Traffic Data'!$H24</f>
        <v>5765193.25</v>
      </c>
      <c r="M39" s="576">
        <f>'Traffic Data'!O24*annualizationFactor*'Traffic Data'!$H24</f>
        <v>5954801.625</v>
      </c>
      <c r="N39" s="576">
        <f>'Traffic Data'!P24*annualizationFactor*'Traffic Data'!$H24</f>
        <v>6144373.4999999991</v>
      </c>
      <c r="O39" s="576">
        <f>'Traffic Data'!Q24*annualizationFactor*'Traffic Data'!$H24</f>
        <v>6334027.4999999991</v>
      </c>
      <c r="P39" s="576">
        <f>'Traffic Data'!R24*annualizationFactor*'Traffic Data'!$H24</f>
        <v>6486414.9999999991</v>
      </c>
      <c r="Q39" s="576">
        <f>'Traffic Data'!S24*annualizationFactor*'Traffic Data'!$H24</f>
        <v>6638802.4999999991</v>
      </c>
      <c r="R39" s="576">
        <f>'Traffic Data'!T24*annualizationFactor*'Traffic Data'!$H24</f>
        <v>6791190</v>
      </c>
      <c r="S39" s="576">
        <f>'Traffic Data'!U24*annualizationFactor*'Traffic Data'!$H24</f>
        <v>6943577.5000000009</v>
      </c>
      <c r="T39" s="576">
        <f>'Traffic Data'!V24*annualizationFactor*'Traffic Data'!$H24</f>
        <v>7096019.7499999991</v>
      </c>
      <c r="U39" s="576">
        <f>'Traffic Data'!W24*annualizationFactor*'Traffic Data'!$H24</f>
        <v>7223933.9999999991</v>
      </c>
      <c r="V39" s="576">
        <f>'Traffic Data'!X24*annualizationFactor*'Traffic Data'!$H24</f>
        <v>7334802.7499999991</v>
      </c>
      <c r="W39" s="576">
        <f>'Traffic Data'!Y24*annualizationFactor*'Traffic Data'!$H24</f>
        <v>7445671.4999999991</v>
      </c>
      <c r="X39" s="576">
        <f>'Traffic Data'!Z24*annualizationFactor*'Traffic Data'!$H24</f>
        <v>7556540.2500000009</v>
      </c>
      <c r="Y39" s="576">
        <f>'Traffic Data'!AA24*annualizationFactor*'Traffic Data'!$H24</f>
        <v>7667418.125</v>
      </c>
      <c r="Z39" s="576">
        <f>'Traffic Data'!AB24*annualizationFactor*'Traffic Data'!$H24</f>
        <v>7778286.8749999991</v>
      </c>
      <c r="AA39" s="576">
        <f>'Traffic Data'!AC24*annualizationFactor*'Traffic Data'!$H24</f>
        <v>7889164.7500000009</v>
      </c>
      <c r="AB39" s="576">
        <f>'Traffic Data'!AD24*annualizationFactor*'Traffic Data'!$H24</f>
        <v>8000033.5000000019</v>
      </c>
      <c r="AC39" s="576">
        <f>'Traffic Data'!AE24*annualizationFactor*'Traffic Data'!$H24</f>
        <v>8110902.2500000009</v>
      </c>
      <c r="AD39" s="576">
        <f>'Traffic Data'!AF24*annualizationFactor*'Traffic Data'!$H24</f>
        <v>8221780.125</v>
      </c>
      <c r="AE39" s="576">
        <f>'Traffic Data'!AG24*annualizationFactor*'Traffic Data'!$H24</f>
        <v>8332648.8750000009</v>
      </c>
      <c r="AF39" s="576">
        <f>'Traffic Data'!AH24*annualizationFactor*'Traffic Data'!$H24</f>
        <v>8443517.6250000019</v>
      </c>
      <c r="AG39" s="714">
        <f>'Traffic Data'!AI24*annualizationFactor*'Traffic Data'!$H24</f>
        <v>8554395.5</v>
      </c>
      <c r="AH39" s="5"/>
      <c r="AI39" s="5"/>
      <c r="AJ39" s="5"/>
      <c r="AK39" s="5"/>
      <c r="AL39" s="5"/>
      <c r="AM39" s="5"/>
      <c r="AN39" s="5"/>
    </row>
    <row r="40" spans="2:40" ht="21.95" customHeight="1" x14ac:dyDescent="0.2">
      <c r="B40" s="703"/>
      <c r="C40" s="579"/>
      <c r="D40" s="579"/>
      <c r="E40" s="1339"/>
      <c r="F40" s="116" t="s">
        <v>347</v>
      </c>
      <c r="G40" s="116" t="s">
        <v>348</v>
      </c>
      <c r="H40" s="576">
        <f>'Traffic Data'!J25*annualizationFactor*'Traffic Data'!$H25</f>
        <v>3577000</v>
      </c>
      <c r="I40" s="576">
        <f>'Traffic Data'!K25*annualizationFactor*'Traffic Data'!$H25</f>
        <v>3654608.125</v>
      </c>
      <c r="J40" s="576">
        <f>'Traffic Data'!L25*annualizationFactor*'Traffic Data'!$H25</f>
        <v>3770196.3249999997</v>
      </c>
      <c r="K40" s="576">
        <f>'Traffic Data'!M25*annualizationFactor*'Traffic Data'!$H25</f>
        <v>3902896.6375000002</v>
      </c>
      <c r="L40" s="576">
        <f>'Traffic Data'!N25*annualizationFactor*'Traffic Data'!$H25</f>
        <v>4035635.2749999999</v>
      </c>
      <c r="M40" s="576">
        <f>'Traffic Data'!O25*annualizationFactor*'Traffic Data'!$H25</f>
        <v>4168361.1374999997</v>
      </c>
      <c r="N40" s="576">
        <f>'Traffic Data'!P25*annualizationFactor*'Traffic Data'!$H25</f>
        <v>4301061.4499999993</v>
      </c>
      <c r="O40" s="576">
        <f>'Traffic Data'!Q25*annualizationFactor*'Traffic Data'!$H25</f>
        <v>4433819.2499999991</v>
      </c>
      <c r="P40" s="576">
        <f>'Traffic Data'!R25*annualizationFactor*'Traffic Data'!$H25</f>
        <v>4540490.4999999991</v>
      </c>
      <c r="Q40" s="576">
        <f>'Traffic Data'!S25*annualizationFactor*'Traffic Data'!$H25</f>
        <v>4647161.7499999991</v>
      </c>
      <c r="R40" s="576">
        <f>'Traffic Data'!T25*annualizationFactor*'Traffic Data'!$H25</f>
        <v>4753833</v>
      </c>
      <c r="S40" s="576">
        <f>'Traffic Data'!U25*annualizationFactor*'Traffic Data'!$H25</f>
        <v>4860504.25</v>
      </c>
      <c r="T40" s="576">
        <f>'Traffic Data'!V25*annualizationFactor*'Traffic Data'!$H25</f>
        <v>4967213.8249999993</v>
      </c>
      <c r="U40" s="576">
        <f>'Traffic Data'!W25*annualizationFactor*'Traffic Data'!$H25</f>
        <v>5056753.7999999989</v>
      </c>
      <c r="V40" s="576">
        <f>'Traffic Data'!X25*annualizationFactor*'Traffic Data'!$H25</f>
        <v>5134361.9249999989</v>
      </c>
      <c r="W40" s="576">
        <f>'Traffic Data'!Y25*annualizationFactor*'Traffic Data'!$H25</f>
        <v>5211970.0499999989</v>
      </c>
      <c r="X40" s="576">
        <f>'Traffic Data'!Z25*annualizationFactor*'Traffic Data'!$H25</f>
        <v>5289578.1750000007</v>
      </c>
      <c r="Y40" s="576">
        <f>'Traffic Data'!AA25*annualizationFactor*'Traffic Data'!$H25</f>
        <v>5367192.6875</v>
      </c>
      <c r="Z40" s="576">
        <f>'Traffic Data'!AB25*annualizationFactor*'Traffic Data'!$H25</f>
        <v>5444800.8124999991</v>
      </c>
      <c r="AA40" s="576">
        <f>'Traffic Data'!AC25*annualizationFactor*'Traffic Data'!$H25</f>
        <v>5522415.3250000002</v>
      </c>
      <c r="AB40" s="576">
        <f>'Traffic Data'!AD25*annualizationFactor*'Traffic Data'!$H25</f>
        <v>5600023.4500000011</v>
      </c>
      <c r="AC40" s="576">
        <f>'Traffic Data'!AE25*annualizationFactor*'Traffic Data'!$H25</f>
        <v>5677631.5750000002</v>
      </c>
      <c r="AD40" s="576">
        <f>'Traffic Data'!AF25*annualizationFactor*'Traffic Data'!$H25</f>
        <v>5755246.0874999994</v>
      </c>
      <c r="AE40" s="576">
        <f>'Traffic Data'!AG25*annualizationFactor*'Traffic Data'!$H25</f>
        <v>5832854.2125000004</v>
      </c>
      <c r="AF40" s="576">
        <f>'Traffic Data'!AH25*annualizationFactor*'Traffic Data'!$H25</f>
        <v>5910462.3375000013</v>
      </c>
      <c r="AG40" s="714">
        <f>'Traffic Data'!AI25*annualizationFactor*'Traffic Data'!$H25</f>
        <v>5988076.8499999996</v>
      </c>
      <c r="AH40" s="5"/>
      <c r="AI40" s="5"/>
      <c r="AJ40" s="5"/>
      <c r="AK40" s="5"/>
      <c r="AL40" s="5"/>
      <c r="AM40" s="5"/>
      <c r="AN40" s="5"/>
    </row>
    <row r="41" spans="2:40" ht="21.95" customHeight="1" x14ac:dyDescent="0.2">
      <c r="B41" s="703"/>
      <c r="C41" s="579"/>
      <c r="D41" s="579"/>
      <c r="E41" s="1353"/>
      <c r="F41" s="254" t="s">
        <v>348</v>
      </c>
      <c r="G41" s="254" t="s">
        <v>349</v>
      </c>
      <c r="H41" s="576">
        <f>'Traffic Data'!J26*annualizationFactor*'Traffic Data'!$H26</f>
        <v>5840000</v>
      </c>
      <c r="I41" s="576">
        <f>'Traffic Data'!K26*annualizationFactor*'Traffic Data'!$H26</f>
        <v>5979493.875</v>
      </c>
      <c r="J41" s="576">
        <f>'Traffic Data'!L26*annualizationFactor*'Traffic Data'!$H26</f>
        <v>6173263.25</v>
      </c>
      <c r="K41" s="576">
        <f>'Traffic Data'!M26*annualizationFactor*'Traffic Data'!$H26</f>
        <v>6430606.4999999991</v>
      </c>
      <c r="L41" s="576">
        <f>'Traffic Data'!N26*annualizationFactor*'Traffic Data'!$H26</f>
        <v>6688022.7500000009</v>
      </c>
      <c r="M41" s="576">
        <f>'Traffic Data'!O26*annualizationFactor*'Traffic Data'!$H26</f>
        <v>6945457.2500000009</v>
      </c>
      <c r="N41" s="576">
        <f>'Traffic Data'!P26*annualizationFactor*'Traffic Data'!$H26</f>
        <v>7202800.5</v>
      </c>
      <c r="O41" s="576">
        <f>'Traffic Data'!Q26*annualizationFactor*'Traffic Data'!$H26</f>
        <v>7460289.7500000019</v>
      </c>
      <c r="P41" s="576">
        <f>'Traffic Data'!R26*annualizationFactor*'Traffic Data'!$H26</f>
        <v>7706044.25</v>
      </c>
      <c r="Q41" s="576">
        <f>'Traffic Data'!S26*annualizationFactor*'Traffic Data'!$H26</f>
        <v>7951807.8749999991</v>
      </c>
      <c r="R41" s="576">
        <f>'Traffic Data'!T26*annualizationFactor*'Traffic Data'!$H26</f>
        <v>8197562.3749999991</v>
      </c>
      <c r="S41" s="576">
        <f>'Traffic Data'!U26*annualizationFactor*'Traffic Data'!$H26</f>
        <v>8443316.875</v>
      </c>
      <c r="T41" s="576">
        <f>'Traffic Data'!V26*annualizationFactor*'Traffic Data'!$H26</f>
        <v>8689217.375</v>
      </c>
      <c r="U41" s="576">
        <f>'Traffic Data'!W26*annualizationFactor*'Traffic Data'!$H26</f>
        <v>8871325</v>
      </c>
      <c r="V41" s="576">
        <f>'Traffic Data'!X26*annualizationFactor*'Traffic Data'!$H26</f>
        <v>9010818.875</v>
      </c>
      <c r="W41" s="576">
        <f>'Traffic Data'!Y26*annualizationFactor*'Traffic Data'!$H26</f>
        <v>9150312.75</v>
      </c>
      <c r="X41" s="576">
        <f>'Traffic Data'!Z26*annualizationFactor*'Traffic Data'!$H26</f>
        <v>9289806.625</v>
      </c>
      <c r="Y41" s="576">
        <f>'Traffic Data'!AA26*annualizationFactor*'Traffic Data'!$H26</f>
        <v>9429327.875</v>
      </c>
      <c r="Z41" s="576">
        <f>'Traffic Data'!AB26*annualizationFactor*'Traffic Data'!$H26</f>
        <v>9568821.7499999981</v>
      </c>
      <c r="AA41" s="576">
        <f>'Traffic Data'!AC26*annualizationFactor*'Traffic Data'!$H26</f>
        <v>9708343</v>
      </c>
      <c r="AB41" s="576">
        <f>'Traffic Data'!AD26*annualizationFactor*'Traffic Data'!$H26</f>
        <v>9847836.875</v>
      </c>
      <c r="AC41" s="576">
        <f>'Traffic Data'!AE26*annualizationFactor*'Traffic Data'!$H26</f>
        <v>9987330.75</v>
      </c>
      <c r="AD41" s="576">
        <f>'Traffic Data'!AF26*annualizationFactor*'Traffic Data'!$H26</f>
        <v>10126852</v>
      </c>
      <c r="AE41" s="576">
        <f>'Traffic Data'!AG26*annualizationFactor*'Traffic Data'!$H26</f>
        <v>10266345.875</v>
      </c>
      <c r="AF41" s="576">
        <f>'Traffic Data'!AH26*annualizationFactor*'Traffic Data'!$H26</f>
        <v>10405839.75</v>
      </c>
      <c r="AG41" s="714">
        <f>'Traffic Data'!AI26*annualizationFactor*'Traffic Data'!$H26</f>
        <v>10545361</v>
      </c>
      <c r="AH41" s="5"/>
      <c r="AI41" s="5"/>
      <c r="AJ41" s="5"/>
      <c r="AK41" s="5"/>
      <c r="AL41" s="5"/>
      <c r="AM41" s="5"/>
      <c r="AN41" s="5"/>
    </row>
    <row r="42" spans="2:40" ht="21.95" customHeight="1" x14ac:dyDescent="0.2">
      <c r="B42" s="703"/>
      <c r="C42" s="579"/>
      <c r="D42" s="579"/>
      <c r="E42" s="116" t="s">
        <v>288</v>
      </c>
      <c r="F42" s="116" t="s">
        <v>323</v>
      </c>
      <c r="G42" s="116" t="s">
        <v>348</v>
      </c>
      <c r="H42" s="576">
        <f>'Traffic Data'!J27*annualizationFactor*'Traffic Data'!$H27</f>
        <v>657000</v>
      </c>
      <c r="I42" s="576">
        <f>'Traffic Data'!K27*annualizationFactor*'Traffic Data'!$H27</f>
        <v>681630.2</v>
      </c>
      <c r="J42" s="576">
        <f>'Traffic Data'!L27*annualizationFactor*'Traffic Data'!$H27</f>
        <v>719305.5</v>
      </c>
      <c r="K42" s="576">
        <f>'Traffic Data'!M27*annualizationFactor*'Traffic Data'!$H27</f>
        <v>839007.25000000023</v>
      </c>
      <c r="L42" s="576">
        <f>'Traffic Data'!N27*annualizationFactor*'Traffic Data'!$H27</f>
        <v>958727.25</v>
      </c>
      <c r="M42" s="576">
        <f>'Traffic Data'!O27*annualizationFactor*'Traffic Data'!$H27</f>
        <v>1078574.9999999998</v>
      </c>
      <c r="N42" s="576">
        <f>'Traffic Data'!P27*annualizationFactor*'Traffic Data'!$H27</f>
        <v>1198276.75</v>
      </c>
      <c r="O42" s="576">
        <f>'Traffic Data'!Q27*annualizationFactor*'Traffic Data'!$H27</f>
        <v>1318095.3</v>
      </c>
      <c r="P42" s="576">
        <f>'Traffic Data'!R27*annualizationFactor*'Traffic Data'!$H27</f>
        <v>1475968.75</v>
      </c>
      <c r="Q42" s="576">
        <f>'Traffic Data'!S27*annualizationFactor*'Traffic Data'!$H27</f>
        <v>1633802.05</v>
      </c>
      <c r="R42" s="576">
        <f>'Traffic Data'!T27*annualizationFactor*'Traffic Data'!$H27</f>
        <v>1791693.75</v>
      </c>
      <c r="S42" s="576">
        <f>'Traffic Data'!U27*annualizationFactor*'Traffic Data'!$H27</f>
        <v>1949567.2000000007</v>
      </c>
      <c r="T42" s="576">
        <f>'Traffic Data'!V27*annualizationFactor*'Traffic Data'!$H27</f>
        <v>2107619.5</v>
      </c>
      <c r="U42" s="576">
        <f>'Traffic Data'!W27*annualizationFactor*'Traffic Data'!$H27</f>
        <v>2183386.1999999997</v>
      </c>
      <c r="V42" s="576">
        <f>'Traffic Data'!X27*annualizationFactor*'Traffic Data'!$H27</f>
        <v>2208016.4</v>
      </c>
      <c r="W42" s="576">
        <f>'Traffic Data'!Y27*annualizationFactor*'Traffic Data'!$H27</f>
        <v>2232646.5999999996</v>
      </c>
      <c r="X42" s="576">
        <f>'Traffic Data'!Z27*annualizationFactor*'Traffic Data'!$H27</f>
        <v>2257276.7999999998</v>
      </c>
      <c r="Y42" s="576">
        <f>'Traffic Data'!AA27*annualizationFactor*'Traffic Data'!$H27</f>
        <v>2281932.5499999998</v>
      </c>
      <c r="Z42" s="576">
        <f>'Traffic Data'!AB27*annualizationFactor*'Traffic Data'!$H27</f>
        <v>2306562.7499999995</v>
      </c>
      <c r="AA42" s="576">
        <f>'Traffic Data'!AC27*annualizationFactor*'Traffic Data'!$H27</f>
        <v>2331218.5</v>
      </c>
      <c r="AB42" s="576">
        <f>'Traffic Data'!AD27*annualizationFactor*'Traffic Data'!$H27</f>
        <v>2355848.7000000002</v>
      </c>
      <c r="AC42" s="576">
        <f>'Traffic Data'!AE27*annualizationFactor*'Traffic Data'!$H27</f>
        <v>2380478.9</v>
      </c>
      <c r="AD42" s="576">
        <f>'Traffic Data'!AF27*annualizationFactor*'Traffic Data'!$H27</f>
        <v>2405134.65</v>
      </c>
      <c r="AE42" s="576">
        <f>'Traffic Data'!AG27*annualizationFactor*'Traffic Data'!$H27</f>
        <v>2429764.8500000006</v>
      </c>
      <c r="AF42" s="576">
        <f>'Traffic Data'!AH27*annualizationFactor*'Traffic Data'!$H27</f>
        <v>2454395.0499999998</v>
      </c>
      <c r="AG42" s="714">
        <f>'Traffic Data'!AI27*annualizationFactor*'Traffic Data'!$H27</f>
        <v>2479050.7999999998</v>
      </c>
      <c r="AH42" s="5"/>
      <c r="AI42" s="5"/>
      <c r="AJ42" s="5"/>
      <c r="AK42" s="5"/>
      <c r="AL42" s="5"/>
      <c r="AM42" s="5"/>
      <c r="AN42" s="5"/>
    </row>
    <row r="43" spans="2:40" ht="21.95" customHeight="1" x14ac:dyDescent="0.2">
      <c r="B43" s="703"/>
      <c r="C43" s="579"/>
      <c r="D43" s="579"/>
      <c r="E43" s="277" t="s">
        <v>340</v>
      </c>
      <c r="F43" s="277" t="s">
        <v>335</v>
      </c>
      <c r="G43" s="277" t="s">
        <v>323</v>
      </c>
      <c r="H43" s="576">
        <f>'Traffic Data'!J28*annualizationFactor*'Traffic Data'!$H28</f>
        <v>0</v>
      </c>
      <c r="I43" s="576">
        <f>'Traffic Data'!K28*annualizationFactor*'Traffic Data'!$H28</f>
        <v>0</v>
      </c>
      <c r="J43" s="576">
        <f>'Traffic Data'!L28*annualizationFactor*'Traffic Data'!$H28</f>
        <v>0</v>
      </c>
      <c r="K43" s="576">
        <f>'Traffic Data'!M28*annualizationFactor*'Traffic Data'!$H28</f>
        <v>0</v>
      </c>
      <c r="L43" s="576">
        <f>'Traffic Data'!N28*annualizationFactor*'Traffic Data'!$H28</f>
        <v>0</v>
      </c>
      <c r="M43" s="576">
        <f>'Traffic Data'!O28*annualizationFactor*'Traffic Data'!$H28</f>
        <v>0</v>
      </c>
      <c r="N43" s="576">
        <f>'Traffic Data'!P28*annualizationFactor*'Traffic Data'!$H28</f>
        <v>0</v>
      </c>
      <c r="O43" s="576">
        <f>'Traffic Data'!Q28*annualizationFactor*'Traffic Data'!$H28</f>
        <v>0</v>
      </c>
      <c r="P43" s="576">
        <f>'Traffic Data'!R28*annualizationFactor*'Traffic Data'!$H28</f>
        <v>0</v>
      </c>
      <c r="Q43" s="576">
        <f>'Traffic Data'!S28*annualizationFactor*'Traffic Data'!$H28</f>
        <v>0</v>
      </c>
      <c r="R43" s="576">
        <f>'Traffic Data'!T28*annualizationFactor*'Traffic Data'!$H28</f>
        <v>0</v>
      </c>
      <c r="S43" s="576">
        <f>'Traffic Data'!U28*annualizationFactor*'Traffic Data'!$H28</f>
        <v>0</v>
      </c>
      <c r="T43" s="576">
        <f>'Traffic Data'!V28*annualizationFactor*'Traffic Data'!$H28</f>
        <v>0</v>
      </c>
      <c r="U43" s="576">
        <f>'Traffic Data'!W28*annualizationFactor*'Traffic Data'!$H28</f>
        <v>0</v>
      </c>
      <c r="V43" s="576">
        <f>'Traffic Data'!X28*annualizationFactor*'Traffic Data'!$H28</f>
        <v>0</v>
      </c>
      <c r="W43" s="576">
        <f>'Traffic Data'!Y28*annualizationFactor*'Traffic Data'!$H28</f>
        <v>0</v>
      </c>
      <c r="X43" s="576">
        <f>'Traffic Data'!Z28*annualizationFactor*'Traffic Data'!$H28</f>
        <v>0</v>
      </c>
      <c r="Y43" s="576">
        <f>'Traffic Data'!AA28*annualizationFactor*'Traffic Data'!$H28</f>
        <v>0</v>
      </c>
      <c r="Z43" s="576">
        <f>'Traffic Data'!AB28*annualizationFactor*'Traffic Data'!$H28</f>
        <v>0</v>
      </c>
      <c r="AA43" s="576">
        <f>'Traffic Data'!AC28*annualizationFactor*'Traffic Data'!$H28</f>
        <v>0</v>
      </c>
      <c r="AB43" s="576">
        <f>'Traffic Data'!AD28*annualizationFactor*'Traffic Data'!$H28</f>
        <v>0</v>
      </c>
      <c r="AC43" s="576">
        <f>'Traffic Data'!AE28*annualizationFactor*'Traffic Data'!$H28</f>
        <v>0</v>
      </c>
      <c r="AD43" s="576">
        <f>'Traffic Data'!AF28*annualizationFactor*'Traffic Data'!$H28</f>
        <v>0</v>
      </c>
      <c r="AE43" s="576">
        <f>'Traffic Data'!AG28*annualizationFactor*'Traffic Data'!$H28</f>
        <v>0</v>
      </c>
      <c r="AF43" s="576">
        <f>'Traffic Data'!AH28*annualizationFactor*'Traffic Data'!$H28</f>
        <v>0</v>
      </c>
      <c r="AG43" s="714">
        <f>'Traffic Data'!AI28*annualizationFactor*'Traffic Data'!$H28</f>
        <v>0</v>
      </c>
      <c r="AH43" s="5"/>
      <c r="AI43" s="5"/>
      <c r="AJ43" s="5"/>
      <c r="AK43" s="5"/>
      <c r="AL43" s="5"/>
      <c r="AM43" s="5"/>
      <c r="AN43" s="5"/>
    </row>
    <row r="44" spans="2:40" ht="21.95" customHeight="1" x14ac:dyDescent="0.2">
      <c r="B44" s="703"/>
      <c r="C44" s="579"/>
      <c r="D44" s="579"/>
      <c r="E44" s="277" t="s">
        <v>357</v>
      </c>
      <c r="F44" s="277" t="s">
        <v>338</v>
      </c>
      <c r="G44" s="277" t="s">
        <v>323</v>
      </c>
      <c r="H44" s="576">
        <f>'Traffic Data'!J29*annualizationFactor*'Traffic Data'!$H29</f>
        <v>1218436.3636363635</v>
      </c>
      <c r="I44" s="576">
        <f>'Traffic Data'!K29*annualizationFactor*'Traffic Data'!$H29</f>
        <v>1237267.9745454544</v>
      </c>
      <c r="J44" s="576">
        <f>'Traffic Data'!L29*annualizationFactor*'Traffic Data'!$H29</f>
        <v>1268209.489090909</v>
      </c>
      <c r="K44" s="576">
        <f>'Traffic Data'!M29*annualizationFactor*'Traffic Data'!$H29</f>
        <v>1373370.7009090909</v>
      </c>
      <c r="L44" s="576">
        <f>'Traffic Data'!N29*annualizationFactor*'Traffic Data'!$H29</f>
        <v>1478545.4509090909</v>
      </c>
      <c r="M44" s="576">
        <f>'Traffic Data'!O29*annualizationFactor*'Traffic Data'!$H29</f>
        <v>1583842.0445454542</v>
      </c>
      <c r="N44" s="576">
        <f>'Traffic Data'!P29*annualizationFactor*'Traffic Data'!$H29</f>
        <v>1689003.2563636359</v>
      </c>
      <c r="O44" s="576">
        <f>'Traffic Data'!Q29*annualizationFactor*'Traffic Data'!$H29</f>
        <v>1794282.927272727</v>
      </c>
      <c r="P44" s="576">
        <f>'Traffic Data'!R29*annualizationFactor*'Traffic Data'!$H29</f>
        <v>1919016.9654545451</v>
      </c>
      <c r="Q44" s="576">
        <f>'Traffic Data'!S29*annualizationFactor*'Traffic Data'!$H29</f>
        <v>2043723.9272727268</v>
      </c>
      <c r="R44" s="576">
        <f>'Traffic Data'!T29*annualizationFactor*'Traffic Data'!$H29</f>
        <v>2168491.8109090906</v>
      </c>
      <c r="S44" s="576">
        <f>'Traffic Data'!U29*annualizationFactor*'Traffic Data'!$H29</f>
        <v>2293225.8490909091</v>
      </c>
      <c r="T44" s="576">
        <f>'Traffic Data'!V29*annualizationFactor*'Traffic Data'!$H29</f>
        <v>2418135.8836363633</v>
      </c>
      <c r="U44" s="576">
        <f>'Traffic Data'!W29*annualizationFactor*'Traffic Data'!$H29</f>
        <v>2468579.1490909089</v>
      </c>
      <c r="V44" s="576">
        <f>'Traffic Data'!X29*annualizationFactor*'Traffic Data'!$H29</f>
        <v>2487410.7599999993</v>
      </c>
      <c r="W44" s="576">
        <f>'Traffic Data'!Y29*annualizationFactor*'Traffic Data'!$H29</f>
        <v>2506242.3709090911</v>
      </c>
      <c r="X44" s="576">
        <f>'Traffic Data'!Z29*annualizationFactor*'Traffic Data'!$H29</f>
        <v>2525073.9818181819</v>
      </c>
      <c r="Y44" s="576">
        <f>'Traffic Data'!AA29*annualizationFactor*'Traffic Data'!$H29</f>
        <v>2543942.8227272728</v>
      </c>
      <c r="Z44" s="576">
        <f>'Traffic Data'!AB29*annualizationFactor*'Traffic Data'!$H29</f>
        <v>2562774.4336363636</v>
      </c>
      <c r="AA44" s="576">
        <f>'Traffic Data'!AC29*annualizationFactor*'Traffic Data'!$H29</f>
        <v>2581643.2745454544</v>
      </c>
      <c r="AB44" s="576">
        <f>'Traffic Data'!AD29*annualizationFactor*'Traffic Data'!$H29</f>
        <v>2600474.8854545457</v>
      </c>
      <c r="AC44" s="576">
        <f>'Traffic Data'!AE29*annualizationFactor*'Traffic Data'!$H29</f>
        <v>2619306.4963636366</v>
      </c>
      <c r="AD44" s="576">
        <f>'Traffic Data'!AF29*annualizationFactor*'Traffic Data'!$H29</f>
        <v>2638175.3372727274</v>
      </c>
      <c r="AE44" s="576">
        <f>'Traffic Data'!AG29*annualizationFactor*'Traffic Data'!$H29</f>
        <v>2657006.9481818182</v>
      </c>
      <c r="AF44" s="576">
        <f>'Traffic Data'!AH29*annualizationFactor*'Traffic Data'!$H29</f>
        <v>2675838.5590909095</v>
      </c>
      <c r="AG44" s="714">
        <f>'Traffic Data'!AI29*annualizationFactor*'Traffic Data'!$H29</f>
        <v>2694707.4</v>
      </c>
      <c r="AH44" s="5"/>
      <c r="AI44" s="5"/>
      <c r="AJ44" s="5"/>
      <c r="AK44" s="5"/>
      <c r="AL44" s="5"/>
      <c r="AM44" s="5"/>
      <c r="AN44" s="5"/>
    </row>
    <row r="45" spans="2:40" ht="21.95" customHeight="1" x14ac:dyDescent="0.2">
      <c r="B45" s="703"/>
      <c r="C45" s="579"/>
      <c r="D45" s="579"/>
      <c r="E45" s="116" t="s">
        <v>338</v>
      </c>
      <c r="F45" s="116" t="s">
        <v>282</v>
      </c>
      <c r="G45" s="116" t="s">
        <v>357</v>
      </c>
      <c r="H45" s="576">
        <f>'Traffic Data'!J30*annualizationFactor*'Traffic Data'!$H30</f>
        <v>4375852.2727272734</v>
      </c>
      <c r="I45" s="576">
        <f>'Traffic Data'!K30*annualizationFactor*'Traffic Data'!$H30</f>
        <v>4538568.3394886367</v>
      </c>
      <c r="J45" s="576">
        <f>'Traffic Data'!L30*annualizationFactor*'Traffic Data'!$H30</f>
        <v>4711777.6999999993</v>
      </c>
      <c r="K45" s="576">
        <f>'Traffic Data'!M30*annualizationFactor*'Traffic Data'!$H30</f>
        <v>5096034.4156249994</v>
      </c>
      <c r="L45" s="576">
        <f>'Traffic Data'!N30*annualizationFactor*'Traffic Data'!$H30</f>
        <v>5480387.4000000013</v>
      </c>
      <c r="M45" s="576">
        <f>'Traffic Data'!O30*annualizationFactor*'Traffic Data'!$H30</f>
        <v>5864950.4252840923</v>
      </c>
      <c r="N45" s="576">
        <f>'Traffic Data'!P30*annualizationFactor*'Traffic Data'!$H30</f>
        <v>6249207.1409090934</v>
      </c>
      <c r="O45" s="576">
        <f>'Traffic Data'!Q30*annualizationFactor*'Traffic Data'!$H30</f>
        <v>6633800.7971590925</v>
      </c>
      <c r="P45" s="576">
        <f>'Traffic Data'!R30*annualizationFactor*'Traffic Data'!$H30</f>
        <v>7150851.5017045448</v>
      </c>
      <c r="Q45" s="576">
        <f>'Traffic Data'!S30*annualizationFactor*'Traffic Data'!$H30</f>
        <v>7667924.0855113631</v>
      </c>
      <c r="R45" s="576">
        <f>'Traffic Data'!T30*annualizationFactor*'Traffic Data'!$H30</f>
        <v>8184974.7900568163</v>
      </c>
      <c r="S45" s="576">
        <f>'Traffic Data'!U30*annualizationFactor*'Traffic Data'!$H30</f>
        <v>8702025.4946022723</v>
      </c>
      <c r="T45" s="576">
        <f>'Traffic Data'!V30*annualizationFactor*'Traffic Data'!$H30</f>
        <v>9219557.5428977292</v>
      </c>
      <c r="U45" s="576">
        <f>'Traffic Data'!W30*annualizationFactor*'Traffic Data'!$H30</f>
        <v>9525320.2204545457</v>
      </c>
      <c r="V45" s="576">
        <f>'Traffic Data'!X30*annualizationFactor*'Traffic Data'!$H30</f>
        <v>9688036.287215909</v>
      </c>
      <c r="W45" s="576">
        <f>'Traffic Data'!Y30*annualizationFactor*'Traffic Data'!$H30</f>
        <v>9850752.3539772704</v>
      </c>
      <c r="X45" s="576">
        <f>'Traffic Data'!Z30*annualizationFactor*'Traffic Data'!$H30</f>
        <v>10013468.420738636</v>
      </c>
      <c r="Y45" s="576">
        <f>'Traffic Data'!AA30*annualizationFactor*'Traffic Data'!$H30</f>
        <v>10176272.004545454</v>
      </c>
      <c r="Z45" s="576">
        <f>'Traffic Data'!AB30*annualizationFactor*'Traffic Data'!$H30</f>
        <v>10338988.071306817</v>
      </c>
      <c r="AA45" s="576">
        <f>'Traffic Data'!AC30*annualizationFactor*'Traffic Data'!$H30</f>
        <v>10501791.655113636</v>
      </c>
      <c r="AB45" s="576">
        <f>'Traffic Data'!AD30*annualizationFactor*'Traffic Data'!$H30</f>
        <v>10664507.721875003</v>
      </c>
      <c r="AC45" s="576">
        <f>'Traffic Data'!AE30*annualizationFactor*'Traffic Data'!$H30</f>
        <v>10827223.788636364</v>
      </c>
      <c r="AD45" s="576">
        <f>'Traffic Data'!AF30*annualizationFactor*'Traffic Data'!$H30</f>
        <v>10990027.372443181</v>
      </c>
      <c r="AE45" s="576">
        <f>'Traffic Data'!AG30*annualizationFactor*'Traffic Data'!$H30</f>
        <v>11152743.439204546</v>
      </c>
      <c r="AF45" s="576">
        <f>'Traffic Data'!AH30*annualizationFactor*'Traffic Data'!$H30</f>
        <v>11315459.505965909</v>
      </c>
      <c r="AG45" s="714">
        <f>'Traffic Data'!AI30*annualizationFactor*'Traffic Data'!$H30</f>
        <v>11478263.089772727</v>
      </c>
      <c r="AH45" s="5"/>
      <c r="AI45" s="5"/>
      <c r="AJ45" s="5"/>
      <c r="AK45" s="5"/>
      <c r="AL45" s="5"/>
      <c r="AM45" s="5"/>
      <c r="AN45" s="5"/>
    </row>
    <row r="46" spans="2:40" ht="21.95" customHeight="1" x14ac:dyDescent="0.2">
      <c r="B46" s="703"/>
      <c r="C46" s="579"/>
      <c r="D46" s="579"/>
      <c r="E46" s="116"/>
      <c r="F46" s="116" t="s">
        <v>357</v>
      </c>
      <c r="G46" s="116" t="s">
        <v>346</v>
      </c>
      <c r="H46" s="576">
        <f>'Traffic Data'!J31*annualizationFactor*'Traffic Data'!$H31</f>
        <v>637284.46969696973</v>
      </c>
      <c r="I46" s="576">
        <f>'Traffic Data'!K31*annualizationFactor*'Traffic Data'!$H31</f>
        <v>659962.57296401518</v>
      </c>
      <c r="J46" s="576">
        <f>'Traffic Data'!L31*annualizationFactor*'Traffic Data'!$H31</f>
        <v>684643.09111742419</v>
      </c>
      <c r="K46" s="576">
        <f>'Traffic Data'!M31*annualizationFactor*'Traffic Data'!$H31</f>
        <v>731829.81343750015</v>
      </c>
      <c r="L46" s="576">
        <f>'Traffic Data'!N31*annualizationFactor*'Traffic Data'!$H31</f>
        <v>779034.98346590914</v>
      </c>
      <c r="M46" s="576">
        <f>'Traffic Data'!O31*annualizationFactor*'Traffic Data'!$H31</f>
        <v>826246.861751894</v>
      </c>
      <c r="N46" s="576">
        <f>'Traffic Data'!P31*annualizationFactor*'Traffic Data'!$H31</f>
        <v>873433.58407196961</v>
      </c>
      <c r="O46" s="576">
        <f>'Traffic Data'!Q31*annualizationFactor*'Traffic Data'!$H31</f>
        <v>920659.71740530303</v>
      </c>
      <c r="P46" s="576">
        <f>'Traffic Data'!R31*annualizationFactor*'Traffic Data'!$H31</f>
        <v>985453.10026515124</v>
      </c>
      <c r="Q46" s="576">
        <f>'Traffic Data'!S31*annualizationFactor*'Traffic Data'!$H31</f>
        <v>1050259.0611079542</v>
      </c>
      <c r="R46" s="576">
        <f>'Traffic Data'!T31*annualizationFactor*'Traffic Data'!$H31</f>
        <v>1115044.0586458333</v>
      </c>
      <c r="S46" s="576">
        <f>'Traffic Data'!U31*annualizationFactor*'Traffic Data'!$H31</f>
        <v>1179837.4415056817</v>
      </c>
      <c r="T46" s="576">
        <f>'Traffic Data'!V31*annualizationFactor*'Traffic Data'!$H31</f>
        <v>1244681.1362973482</v>
      </c>
      <c r="U46" s="576">
        <f>'Traffic Data'!W31*annualizationFactor*'Traffic Data'!$H31</f>
        <v>1286938.9663636363</v>
      </c>
      <c r="V46" s="576">
        <f>'Traffic Data'!X31*annualizationFactor*'Traffic Data'!$H31</f>
        <v>1309617.0696306815</v>
      </c>
      <c r="W46" s="576">
        <f>'Traffic Data'!Y31*annualizationFactor*'Traffic Data'!$H31</f>
        <v>1332295.1728977272</v>
      </c>
      <c r="X46" s="576">
        <f>'Traffic Data'!Z31*annualizationFactor*'Traffic Data'!$H31</f>
        <v>1354973.2761647727</v>
      </c>
      <c r="Y46" s="576">
        <f>'Traffic Data'!AA31*annualizationFactor*'Traffic Data'!$H31</f>
        <v>1377659.7647537878</v>
      </c>
      <c r="Z46" s="576">
        <f>'Traffic Data'!AB31*annualizationFactor*'Traffic Data'!$H31</f>
        <v>1400337.8680208328</v>
      </c>
      <c r="AA46" s="576">
        <f>'Traffic Data'!AC31*annualizationFactor*'Traffic Data'!$H31</f>
        <v>1423024.3566098486</v>
      </c>
      <c r="AB46" s="576">
        <f>'Traffic Data'!AD31*annualizationFactor*'Traffic Data'!$H31</f>
        <v>1445702.459876894</v>
      </c>
      <c r="AC46" s="576">
        <f>'Traffic Data'!AE31*annualizationFactor*'Traffic Data'!$H31</f>
        <v>1468380.5631439392</v>
      </c>
      <c r="AD46" s="576">
        <f>'Traffic Data'!AF31*annualizationFactor*'Traffic Data'!$H31</f>
        <v>1491067.0517329546</v>
      </c>
      <c r="AE46" s="576">
        <f>'Traffic Data'!AG31*annualizationFactor*'Traffic Data'!$H31</f>
        <v>1513745.155</v>
      </c>
      <c r="AF46" s="576">
        <f>'Traffic Data'!AH31*annualizationFactor*'Traffic Data'!$H31</f>
        <v>1536423.2582670455</v>
      </c>
      <c r="AG46" s="714">
        <f>'Traffic Data'!AI31*annualizationFactor*'Traffic Data'!$H31</f>
        <v>1559109.7468560603</v>
      </c>
      <c r="AH46" s="5"/>
      <c r="AI46" s="5"/>
      <c r="AJ46" s="5"/>
      <c r="AK46" s="5"/>
      <c r="AL46" s="5"/>
      <c r="AM46" s="5"/>
      <c r="AN46" s="5"/>
    </row>
    <row r="47" spans="2:40" ht="21.95" customHeight="1" x14ac:dyDescent="0.2">
      <c r="B47" s="703"/>
      <c r="C47" s="579"/>
      <c r="D47" s="579"/>
      <c r="E47" s="116"/>
      <c r="F47" s="116" t="s">
        <v>346</v>
      </c>
      <c r="G47" s="116" t="s">
        <v>343</v>
      </c>
      <c r="H47" s="576">
        <f>'Traffic Data'!J32*annualizationFactor*'Traffic Data'!$H32</f>
        <v>157613.63636363635</v>
      </c>
      <c r="I47" s="576">
        <f>'Traffic Data'!K32*annualizationFactor*'Traffic Data'!$H32</f>
        <v>163222.40056818182</v>
      </c>
      <c r="J47" s="576">
        <f>'Traffic Data'!L32*annualizationFactor*'Traffic Data'!$H32</f>
        <v>169326.40340909088</v>
      </c>
      <c r="K47" s="576">
        <f>'Traffic Data'!M32*annualizationFactor*'Traffic Data'!$H32</f>
        <v>180996.65625000003</v>
      </c>
      <c r="L47" s="576">
        <f>'Traffic Data'!N32*annualizationFactor*'Traffic Data'!$H32</f>
        <v>192671.47159090912</v>
      </c>
      <c r="M47" s="576">
        <f>'Traffic Data'!O32*annualizationFactor*'Traffic Data'!$H32</f>
        <v>204347.94602272726</v>
      </c>
      <c r="N47" s="576">
        <f>'Traffic Data'!P32*annualizationFactor*'Traffic Data'!$H32</f>
        <v>216018.19886363635</v>
      </c>
      <c r="O47" s="576">
        <f>'Traffic Data'!Q32*annualizationFactor*'Traffic Data'!$H32</f>
        <v>227698.19886363635</v>
      </c>
      <c r="P47" s="576">
        <f>'Traffic Data'!R32*annualizationFactor*'Traffic Data'!$H32</f>
        <v>243722.94318181812</v>
      </c>
      <c r="Q47" s="576">
        <f>'Traffic Data'!S32*annualizationFactor*'Traffic Data'!$H32</f>
        <v>259750.79829545447</v>
      </c>
      <c r="R47" s="576">
        <f>'Traffic Data'!T32*annualizationFactor*'Traffic Data'!$H32</f>
        <v>275773.46875</v>
      </c>
      <c r="S47" s="576">
        <f>'Traffic Data'!U32*annualizationFactor*'Traffic Data'!$H32</f>
        <v>291798.21306818182</v>
      </c>
      <c r="T47" s="576">
        <f>'Traffic Data'!V32*annualizationFactor*'Traffic Data'!$H32</f>
        <v>307835.40056818177</v>
      </c>
      <c r="U47" s="576">
        <f>'Traffic Data'!W32*annualizationFactor*'Traffic Data'!$H32</f>
        <v>318286.63636363635</v>
      </c>
      <c r="V47" s="576">
        <f>'Traffic Data'!X32*annualizationFactor*'Traffic Data'!$H32</f>
        <v>323895.40056818177</v>
      </c>
      <c r="W47" s="576">
        <f>'Traffic Data'!Y32*annualizationFactor*'Traffic Data'!$H32</f>
        <v>329504.16477272724</v>
      </c>
      <c r="X47" s="576">
        <f>'Traffic Data'!Z32*annualizationFactor*'Traffic Data'!$H32</f>
        <v>335112.92897727271</v>
      </c>
      <c r="Y47" s="576">
        <f>'Traffic Data'!AA32*annualizationFactor*'Traffic Data'!$H32</f>
        <v>340723.76704545453</v>
      </c>
      <c r="Z47" s="576">
        <f>'Traffic Data'!AB32*annualizationFactor*'Traffic Data'!$H32</f>
        <v>346332.53124999988</v>
      </c>
      <c r="AA47" s="576">
        <f>'Traffic Data'!AC32*annualizationFactor*'Traffic Data'!$H32</f>
        <v>351943.36931818182</v>
      </c>
      <c r="AB47" s="576">
        <f>'Traffic Data'!AD32*annualizationFactor*'Traffic Data'!$H32</f>
        <v>357552.13352272724</v>
      </c>
      <c r="AC47" s="576">
        <f>'Traffic Data'!AE32*annualizationFactor*'Traffic Data'!$H32</f>
        <v>363160.89772727271</v>
      </c>
      <c r="AD47" s="576">
        <f>'Traffic Data'!AF32*annualizationFactor*'Traffic Data'!$H32</f>
        <v>368771.73579545453</v>
      </c>
      <c r="AE47" s="576">
        <f>'Traffic Data'!AG32*annualizationFactor*'Traffic Data'!$H32</f>
        <v>374380.5</v>
      </c>
      <c r="AF47" s="576">
        <f>'Traffic Data'!AH32*annualizationFactor*'Traffic Data'!$H32</f>
        <v>379989.26420454541</v>
      </c>
      <c r="AG47" s="714">
        <f>'Traffic Data'!AI32*annualizationFactor*'Traffic Data'!$H32</f>
        <v>385600.10227272718</v>
      </c>
      <c r="AH47" s="5"/>
      <c r="AI47" s="5"/>
      <c r="AJ47" s="5"/>
      <c r="AK47" s="5"/>
      <c r="AL47" s="5"/>
      <c r="AM47" s="5"/>
      <c r="AN47" s="5"/>
    </row>
    <row r="48" spans="2:40" ht="21.95" customHeight="1" x14ac:dyDescent="0.2">
      <c r="B48" s="703"/>
      <c r="C48" s="579"/>
      <c r="D48" s="579"/>
      <c r="E48" s="116"/>
      <c r="F48" s="116" t="s">
        <v>343</v>
      </c>
      <c r="G48" s="116" t="s">
        <v>350</v>
      </c>
      <c r="H48" s="576">
        <f>'Traffic Data'!J33*annualizationFactor*'Traffic Data'!$H33</f>
        <v>404403.40909090912</v>
      </c>
      <c r="I48" s="576">
        <f>'Traffic Data'!K33*annualizationFactor*'Traffic Data'!$H33</f>
        <v>418330.38849431823</v>
      </c>
      <c r="J48" s="576">
        <f>'Traffic Data'!L33*annualizationFactor*'Traffic Data'!$H33</f>
        <v>433868.24147727265</v>
      </c>
      <c r="K48" s="576">
        <f>'Traffic Data'!M33*annualizationFactor*'Traffic Data'!$H33</f>
        <v>461011.12428977276</v>
      </c>
      <c r="L48" s="576">
        <f>'Traffic Data'!N33*annualizationFactor*'Traffic Data'!$H33</f>
        <v>488170.18323863635</v>
      </c>
      <c r="M48" s="576">
        <f>'Traffic Data'!O33*annualizationFactor*'Traffic Data'!$H33</f>
        <v>515319.80610795465</v>
      </c>
      <c r="N48" s="576">
        <f>'Traffic Data'!P33*annualizationFactor*'Traffic Data'!$H33</f>
        <v>542462.6889204547</v>
      </c>
      <c r="O48" s="576">
        <f>'Traffic Data'!Q33*annualizationFactor*'Traffic Data'!$H33</f>
        <v>569633.20596590918</v>
      </c>
      <c r="P48" s="576">
        <f>'Traffic Data'!R33*annualizationFactor*'Traffic Data'!$H33</f>
        <v>604626.23295454553</v>
      </c>
      <c r="Q48" s="576">
        <f>'Traffic Data'!S33*annualizationFactor*'Traffic Data'!$H33</f>
        <v>639638.8061079547</v>
      </c>
      <c r="R48" s="576">
        <f>'Traffic Data'!T33*annualizationFactor*'Traffic Data'!$H33</f>
        <v>674625.09303977247</v>
      </c>
      <c r="S48" s="576">
        <f>'Traffic Data'!U33*annualizationFactor*'Traffic Data'!$H33</f>
        <v>709618.12002840906</v>
      </c>
      <c r="T48" s="576">
        <f>'Traffic Data'!V33*annualizationFactor*'Traffic Data'!$H33</f>
        <v>744640.80326704553</v>
      </c>
      <c r="U48" s="576">
        <f>'Traffic Data'!W33*annualizationFactor*'Traffic Data'!$H33</f>
        <v>768010.60227272729</v>
      </c>
      <c r="V48" s="576">
        <f>'Traffic Data'!X33*annualizationFactor*'Traffic Data'!$H33</f>
        <v>781937.58167613659</v>
      </c>
      <c r="W48" s="576">
        <f>'Traffic Data'!Y33*annualizationFactor*'Traffic Data'!$H33</f>
        <v>795864.56107954553</v>
      </c>
      <c r="X48" s="576">
        <f>'Traffic Data'!Z33*annualizationFactor*'Traffic Data'!$H33</f>
        <v>809791.54048295482</v>
      </c>
      <c r="Y48" s="576">
        <f>'Traffic Data'!AA33*annualizationFactor*'Traffic Data'!$H33</f>
        <v>823726.60795454576</v>
      </c>
      <c r="Z48" s="576">
        <f>'Traffic Data'!AB33*annualizationFactor*'Traffic Data'!$H33</f>
        <v>837653.5873579547</v>
      </c>
      <c r="AA48" s="576">
        <f>'Traffic Data'!AC33*annualizationFactor*'Traffic Data'!$H33</f>
        <v>851588.65482954541</v>
      </c>
      <c r="AB48" s="576">
        <f>'Traffic Data'!AD33*annualizationFactor*'Traffic Data'!$H33</f>
        <v>865515.6342329547</v>
      </c>
      <c r="AC48" s="576">
        <f>'Traffic Data'!AE33*annualizationFactor*'Traffic Data'!$H33</f>
        <v>879442.61363636365</v>
      </c>
      <c r="AD48" s="576">
        <f>'Traffic Data'!AF33*annualizationFactor*'Traffic Data'!$H33</f>
        <v>893377.68110795459</v>
      </c>
      <c r="AE48" s="576">
        <f>'Traffic Data'!AG33*annualizationFactor*'Traffic Data'!$H33</f>
        <v>907304.66051136365</v>
      </c>
      <c r="AF48" s="576">
        <f>'Traffic Data'!AH33*annualizationFactor*'Traffic Data'!$H33</f>
        <v>921231.63991477282</v>
      </c>
      <c r="AG48" s="714">
        <f>'Traffic Data'!AI33*annualizationFactor*'Traffic Data'!$H33</f>
        <v>935166.70738636376</v>
      </c>
      <c r="AH48" s="5"/>
      <c r="AI48" s="5"/>
      <c r="AJ48" s="5"/>
      <c r="AK48" s="5"/>
      <c r="AL48" s="5"/>
      <c r="AM48" s="5"/>
      <c r="AN48" s="5"/>
    </row>
    <row r="49" spans="2:40" ht="21.95" customHeight="1" x14ac:dyDescent="0.2">
      <c r="B49" s="703"/>
      <c r="C49" s="579"/>
      <c r="D49" s="579"/>
      <c r="E49" s="116"/>
      <c r="F49" s="116" t="s">
        <v>350</v>
      </c>
      <c r="G49" s="116" t="s">
        <v>280</v>
      </c>
      <c r="H49" s="576">
        <f>'Traffic Data'!J34*annualizationFactor*'Traffic Data'!$H34</f>
        <v>3357585.2272727275</v>
      </c>
      <c r="I49" s="576">
        <f>'Traffic Data'!K34*annualizationFactor*'Traffic Data'!$H34</f>
        <v>3473214.8665246218</v>
      </c>
      <c r="J49" s="576">
        <f>'Traffic Data'!L34*annualizationFactor*'Traffic Data'!$H34</f>
        <v>3602218.8869318175</v>
      </c>
      <c r="K49" s="576">
        <f>'Traffic Data'!M34*annualizationFactor*'Traffic Data'!$H34</f>
        <v>3827574.4114109855</v>
      </c>
      <c r="L49" s="576">
        <f>'Traffic Data'!N34*annualizationFactor*'Traffic Data'!$H34</f>
        <v>4053064.2392992424</v>
      </c>
      <c r="M49" s="576">
        <f>'Traffic Data'!O34*annualizationFactor*'Traffic Data'!$H34</f>
        <v>4278475.723532198</v>
      </c>
      <c r="N49" s="576">
        <f>'Traffic Data'!P34*annualizationFactor*'Traffic Data'!$H34</f>
        <v>4503831.2480113646</v>
      </c>
      <c r="O49" s="576">
        <f>'Traffic Data'!Q34*annualizationFactor*'Traffic Data'!$H34</f>
        <v>4729416.2074810611</v>
      </c>
      <c r="P49" s="576">
        <f>'Traffic Data'!R34*annualizationFactor*'Traffic Data'!$H34</f>
        <v>5019948.057196971</v>
      </c>
      <c r="Q49" s="576">
        <f>'Traffic Data'!S34*annualizationFactor*'Traffic Data'!$H34</f>
        <v>5310642.1901988648</v>
      </c>
      <c r="R49" s="576">
        <f>'Traffic Data'!T34*annualizationFactor*'Traffic Data'!$H34</f>
        <v>5601118.0801609829</v>
      </c>
      <c r="S49" s="576">
        <f>'Traffic Data'!U34*annualizationFactor*'Traffic Data'!$H34</f>
        <v>5891649.9298768938</v>
      </c>
      <c r="T49" s="576">
        <f>'Traffic Data'!V34*annualizationFactor*'Traffic Data'!$H34</f>
        <v>6182428.0025094701</v>
      </c>
      <c r="U49" s="576">
        <f>'Traffic Data'!W34*annualizationFactor*'Traffic Data'!$H34</f>
        <v>6376457.2568181828</v>
      </c>
      <c r="V49" s="576">
        <f>'Traffic Data'!X34*annualizationFactor*'Traffic Data'!$H34</f>
        <v>6492086.8960700771</v>
      </c>
      <c r="W49" s="576">
        <f>'Traffic Data'!Y34*annualizationFactor*'Traffic Data'!$H34</f>
        <v>6607716.5353219705</v>
      </c>
      <c r="X49" s="576">
        <f>'Traffic Data'!Z34*annualizationFactor*'Traffic Data'!$H34</f>
        <v>6723346.1745738657</v>
      </c>
      <c r="Y49" s="576">
        <f>'Traffic Data'!AA34*annualizationFactor*'Traffic Data'!$H34</f>
        <v>6839042.9655303052</v>
      </c>
      <c r="Z49" s="576">
        <f>'Traffic Data'!AB34*annualizationFactor*'Traffic Data'!$H34</f>
        <v>6954672.6047821976</v>
      </c>
      <c r="AA49" s="576">
        <f>'Traffic Data'!AC34*annualizationFactor*'Traffic Data'!$H34</f>
        <v>7070369.3957386361</v>
      </c>
      <c r="AB49" s="576">
        <f>'Traffic Data'!AD34*annualizationFactor*'Traffic Data'!$H34</f>
        <v>7185999.0349905314</v>
      </c>
      <c r="AC49" s="576">
        <f>'Traffic Data'!AE34*annualizationFactor*'Traffic Data'!$H34</f>
        <v>7301628.6742424248</v>
      </c>
      <c r="AD49" s="576">
        <f>'Traffic Data'!AF34*annualizationFactor*'Traffic Data'!$H34</f>
        <v>7417325.4651988642</v>
      </c>
      <c r="AE49" s="576">
        <f>'Traffic Data'!AG34*annualizationFactor*'Traffic Data'!$H34</f>
        <v>7532955.1044507585</v>
      </c>
      <c r="AF49" s="576">
        <f>'Traffic Data'!AH34*annualizationFactor*'Traffic Data'!$H34</f>
        <v>7648584.7437026519</v>
      </c>
      <c r="AG49" s="714">
        <f>'Traffic Data'!AI34*annualizationFactor*'Traffic Data'!$H34</f>
        <v>7764281.5346590914</v>
      </c>
      <c r="AH49" s="5"/>
      <c r="AI49" s="5"/>
      <c r="AJ49" s="5"/>
      <c r="AK49" s="5"/>
      <c r="AL49" s="5"/>
      <c r="AM49" s="5"/>
      <c r="AN49" s="5"/>
    </row>
    <row r="50" spans="2:40" ht="21.95" customHeight="1" thickBot="1" x14ac:dyDescent="0.25">
      <c r="B50" s="705"/>
      <c r="C50" s="715"/>
      <c r="D50" s="579"/>
      <c r="E50" s="278"/>
      <c r="F50" s="278" t="s">
        <v>280</v>
      </c>
      <c r="G50" s="278" t="s">
        <v>333</v>
      </c>
      <c r="H50" s="576">
        <f>'Traffic Data'!J35*annualizationFactor*'Traffic Data'!$H35</f>
        <v>82954.545454545456</v>
      </c>
      <c r="I50" s="576">
        <f>'Traffic Data'!K35*annualizationFactor*'Traffic Data'!$H35</f>
        <v>85811.36174242424</v>
      </c>
      <c r="J50" s="576">
        <f>'Traffic Data'!L35*annualizationFactor*'Traffic Data'!$H35</f>
        <v>88998.613636363618</v>
      </c>
      <c r="K50" s="576">
        <f>'Traffic Data'!M35*annualizationFactor*'Traffic Data'!$H35</f>
        <v>94566.384469696975</v>
      </c>
      <c r="L50" s="576">
        <f>'Traffic Data'!N35*annualizationFactor*'Traffic Data'!$H35</f>
        <v>100137.47348484848</v>
      </c>
      <c r="M50" s="576">
        <f>'Traffic Data'!O35*annualizationFactor*'Traffic Data'!$H35</f>
        <v>105706.62689393941</v>
      </c>
      <c r="N50" s="576">
        <f>'Traffic Data'!P35*annualizationFactor*'Traffic Data'!$H35</f>
        <v>111274.39772727276</v>
      </c>
      <c r="O50" s="576">
        <f>'Traffic Data'!Q35*annualizationFactor*'Traffic Data'!$H35</f>
        <v>116847.83712121216</v>
      </c>
      <c r="P50" s="576">
        <f>'Traffic Data'!R35*annualizationFactor*'Traffic Data'!$H35</f>
        <v>124025.89393939395</v>
      </c>
      <c r="Q50" s="576">
        <f>'Traffic Data'!S35*annualizationFactor*'Traffic Data'!$H35</f>
        <v>131207.96022727276</v>
      </c>
      <c r="R50" s="576">
        <f>'Traffic Data'!T35*annualizationFactor*'Traffic Data'!$H35</f>
        <v>138384.63446969693</v>
      </c>
      <c r="S50" s="576">
        <f>'Traffic Data'!U35*annualizationFactor*'Traffic Data'!$H35</f>
        <v>145562.69128787878</v>
      </c>
      <c r="T50" s="576">
        <f>'Traffic Data'!V35*annualizationFactor*'Traffic Data'!$H35</f>
        <v>152746.83143939395</v>
      </c>
      <c r="U50" s="576">
        <f>'Traffic Data'!W35*annualizationFactor*'Traffic Data'!$H35</f>
        <v>157540.63636363638</v>
      </c>
      <c r="V50" s="576">
        <f>'Traffic Data'!X35*annualizationFactor*'Traffic Data'!$H35</f>
        <v>160397.45265151517</v>
      </c>
      <c r="W50" s="576">
        <f>'Traffic Data'!Y35*annualizationFactor*'Traffic Data'!$H35</f>
        <v>163254.26893939398</v>
      </c>
      <c r="X50" s="576">
        <f>'Traffic Data'!Z35*annualizationFactor*'Traffic Data'!$H35</f>
        <v>166111.08522727279</v>
      </c>
      <c r="Y50" s="576">
        <f>'Traffic Data'!AA35*annualizationFactor*'Traffic Data'!$H35</f>
        <v>168969.56060606067</v>
      </c>
      <c r="Z50" s="576">
        <f>'Traffic Data'!AB35*annualizationFactor*'Traffic Data'!$H35</f>
        <v>171826.37689393942</v>
      </c>
      <c r="AA50" s="576">
        <f>'Traffic Data'!AC35*annualizationFactor*'Traffic Data'!$H35</f>
        <v>174684.85227272726</v>
      </c>
      <c r="AB50" s="576">
        <f>'Traffic Data'!AD35*annualizationFactor*'Traffic Data'!$H35</f>
        <v>177541.66856060608</v>
      </c>
      <c r="AC50" s="576">
        <f>'Traffic Data'!AE35*annualizationFactor*'Traffic Data'!$H35</f>
        <v>180398.48484848486</v>
      </c>
      <c r="AD50" s="576">
        <f>'Traffic Data'!AF35*annualizationFactor*'Traffic Data'!$H35</f>
        <v>183256.96022727274</v>
      </c>
      <c r="AE50" s="576">
        <f>'Traffic Data'!AG35*annualizationFactor*'Traffic Data'!$H35</f>
        <v>186113.77651515152</v>
      </c>
      <c r="AF50" s="576">
        <f>'Traffic Data'!AH35*annualizationFactor*'Traffic Data'!$H35</f>
        <v>188970.59280303033</v>
      </c>
      <c r="AG50" s="714">
        <f>'Traffic Data'!AI35*annualizationFactor*'Traffic Data'!$H35</f>
        <v>191829.06818181821</v>
      </c>
      <c r="AH50" s="5"/>
      <c r="AI50" s="5"/>
      <c r="AJ50" s="5"/>
      <c r="AK50" s="5"/>
      <c r="AL50" s="5"/>
      <c r="AM50" s="5"/>
      <c r="AN50" s="5"/>
    </row>
    <row r="51" spans="2:40" ht="21.95" customHeight="1" x14ac:dyDescent="0.2">
      <c r="B51" s="184"/>
      <c r="C51" s="124"/>
      <c r="D51" s="124"/>
      <c r="E51" s="125" t="s">
        <v>25</v>
      </c>
      <c r="F51" s="125"/>
      <c r="G51" s="125"/>
      <c r="H51" s="716">
        <f>SUM(H22:H50)</f>
        <v>103168143.6969697</v>
      </c>
      <c r="I51" s="716">
        <f t="shared" ref="I51:AF51" si="0">SUM(I22:I50)</f>
        <v>106847763.12966855</v>
      </c>
      <c r="J51" s="716">
        <f t="shared" si="0"/>
        <v>112812884.61991288</v>
      </c>
      <c r="K51" s="716">
        <f t="shared" si="0"/>
        <v>122487450.03227842</v>
      </c>
      <c r="L51" s="716">
        <f>SUM(L22:L50)</f>
        <v>132166651.77280682</v>
      </c>
      <c r="M51" s="716">
        <f t="shared" si="0"/>
        <v>141846326.54891101</v>
      </c>
      <c r="N51" s="716">
        <f t="shared" si="0"/>
        <v>151520891.96127653</v>
      </c>
      <c r="O51" s="716">
        <f t="shared" si="0"/>
        <v>161204364.00672349</v>
      </c>
      <c r="P51" s="716">
        <f t="shared" si="0"/>
        <v>171049613.23219693</v>
      </c>
      <c r="Q51" s="716">
        <f t="shared" si="0"/>
        <v>180896522.20101708</v>
      </c>
      <c r="R51" s="716">
        <f t="shared" si="0"/>
        <v>190741468.22237313</v>
      </c>
      <c r="S51" s="716">
        <f t="shared" si="0"/>
        <v>200586823.29784656</v>
      </c>
      <c r="T51" s="716">
        <f t="shared" si="0"/>
        <v>210440609.73727462</v>
      </c>
      <c r="U51" s="716">
        <f t="shared" si="0"/>
        <v>216571418.13159087</v>
      </c>
      <c r="V51" s="716">
        <f t="shared" si="0"/>
        <v>220258910.61428976</v>
      </c>
      <c r="W51" s="716">
        <f t="shared" si="0"/>
        <v>223947238.94698861</v>
      </c>
      <c r="X51" s="716">
        <f t="shared" si="0"/>
        <v>227635253.37968752</v>
      </c>
      <c r="Y51" s="716">
        <f t="shared" si="0"/>
        <v>231325142.21043557</v>
      </c>
      <c r="Z51" s="716">
        <f t="shared" si="0"/>
        <v>235013156.64313447</v>
      </c>
      <c r="AA51" s="716">
        <f t="shared" si="0"/>
        <v>238703045.47388256</v>
      </c>
      <c r="AB51" s="716">
        <f t="shared" si="0"/>
        <v>242391059.90658137</v>
      </c>
      <c r="AC51" s="716">
        <f t="shared" si="0"/>
        <v>246079074.33928037</v>
      </c>
      <c r="AD51" s="716">
        <f t="shared" si="0"/>
        <v>249768860.97002846</v>
      </c>
      <c r="AE51" s="716">
        <f t="shared" si="0"/>
        <v>253457189.30272728</v>
      </c>
      <c r="AF51" s="716">
        <f t="shared" si="0"/>
        <v>257144783.98542616</v>
      </c>
      <c r="AG51" s="717">
        <f>SUM(AG22:AG50)</f>
        <v>260834672.81617427</v>
      </c>
      <c r="AH51" s="47"/>
      <c r="AI51" s="47"/>
      <c r="AJ51" s="47"/>
      <c r="AK51" s="47"/>
      <c r="AL51" s="47"/>
      <c r="AM51" s="47"/>
      <c r="AN51" s="47"/>
    </row>
    <row r="52" spans="2:40" ht="21.95" customHeight="1" x14ac:dyDescent="0.2">
      <c r="B52" s="703" t="s">
        <v>481</v>
      </c>
      <c r="C52" s="579" t="s">
        <v>65</v>
      </c>
      <c r="D52" s="718" t="s">
        <v>474</v>
      </c>
      <c r="E52" s="1340" t="s">
        <v>331</v>
      </c>
      <c r="F52" s="220" t="s">
        <v>332</v>
      </c>
      <c r="G52" s="220" t="s">
        <v>282</v>
      </c>
      <c r="H52" s="576" cm="1">
        <f t="array" ref="H52">_xlfn.ANCHORARRAY(H22) * $F$15</f>
        <v>181974.39999999999</v>
      </c>
      <c r="I52" s="576" cm="1">
        <f t="array" ref="I52">_xlfn.ANCHORARRAY(I22) * $F$15</f>
        <v>190346.35973999999</v>
      </c>
      <c r="J52" s="576" cm="1">
        <f t="array" ref="J52">_xlfn.ANCHORARRAY(J22) * $F$15</f>
        <v>202102.47465000002</v>
      </c>
      <c r="K52" s="576" cm="1">
        <f t="array" ref="K52">_xlfn.ANCHORARRAY(K22) * $F$15</f>
        <v>219348.52974000003</v>
      </c>
      <c r="L52" s="576" cm="1">
        <f t="array" ref="L52">_xlfn.ANCHORARRAY(L22) * $F$15</f>
        <v>236600.84020000001</v>
      </c>
      <c r="M52" s="576" cm="1">
        <f t="array" ref="M52">_xlfn.ANCHORARRAY(M22) * $F$15</f>
        <v>253853.71932999996</v>
      </c>
      <c r="N52" s="576" cm="1">
        <f t="array" ref="N52">_xlfn.ANCHORARRAY(N22) * $F$15</f>
        <v>271099.77441999991</v>
      </c>
      <c r="O52" s="576" cm="1">
        <f t="array" ref="O52">_xlfn.ANCHORARRAY(O22) * $F$15</f>
        <v>288358.90891999996</v>
      </c>
      <c r="P52" s="576" cm="1">
        <f t="array" ref="P52">_xlfn.ANCHORARRAY(P22) * $F$15</f>
        <v>305414.45956000005</v>
      </c>
      <c r="Q52" s="576" cm="1">
        <f t="array" ref="Q52">_xlfn.ANCHORARRAY(Q22) * $F$15</f>
        <v>322473.42222000001</v>
      </c>
      <c r="R52" s="576" cm="1">
        <f t="array" ref="R52">_xlfn.ANCHORARRAY(R22) * $F$15</f>
        <v>339528.97286000004</v>
      </c>
      <c r="S52" s="576" cm="1">
        <f t="array" ref="S52">_xlfn.ANCHORARRAY(S22) * $F$15</f>
        <v>356584.52350000007</v>
      </c>
      <c r="T52" s="576" cm="1">
        <f t="array" ref="T52">_xlfn.ANCHORARRAY(T22) * $F$15</f>
        <v>373653.72222000011</v>
      </c>
      <c r="U52" s="576" cm="1">
        <f t="array" ref="U52">_xlfn.ANCHORARRAY(U22) * $F$15</f>
        <v>385212.50864000007</v>
      </c>
      <c r="V52" s="576" cm="1">
        <f t="array" ref="V52">_xlfn.ANCHORARRAY(V22) * $F$15</f>
        <v>393584.46837999992</v>
      </c>
      <c r="W52" s="576" cm="1">
        <f t="array" ref="W52">_xlfn.ANCHORARRAY(W22) * $F$15</f>
        <v>401956.42811999994</v>
      </c>
      <c r="X52" s="576" cm="1">
        <f t="array" ref="X52">_xlfn.ANCHORARRAY(X22) * $F$15</f>
        <v>410328.38786000008</v>
      </c>
      <c r="Y52" s="576" cm="1">
        <f t="array" ref="Y52">_xlfn.ANCHORARRAY(Y22) * $F$15</f>
        <v>418703.75962000008</v>
      </c>
      <c r="Z52" s="576" cm="1">
        <f t="array" ref="Z52">_xlfn.ANCHORARRAY(Z22) * $F$15</f>
        <v>427075.71936000005</v>
      </c>
      <c r="AA52" s="576" cm="1">
        <f t="array" ref="AA52">_xlfn.ANCHORARRAY(AA22) * $F$15</f>
        <v>435451.09111999994</v>
      </c>
      <c r="AB52" s="576" cm="1">
        <f t="array" ref="AB52">_xlfn.ANCHORARRAY(AB22) * $F$15</f>
        <v>443823.05086000008</v>
      </c>
      <c r="AC52" s="576" cm="1">
        <f t="array" ref="AC52">_xlfn.ANCHORARRAY(AC22) * $F$15</f>
        <v>452195.01059999998</v>
      </c>
      <c r="AD52" s="576" cm="1">
        <f t="array" ref="AD52">_xlfn.ANCHORARRAY(AD22) * $F$15</f>
        <v>460570.38235999999</v>
      </c>
      <c r="AE52" s="576" cm="1">
        <f t="array" ref="AE52">_xlfn.ANCHORARRAY(AE22) * $F$15</f>
        <v>468942.34210000001</v>
      </c>
      <c r="AF52" s="576" cm="1">
        <f t="array" ref="AF52">_xlfn.ANCHORARRAY(AF22) * $F$15</f>
        <v>477314.30184000003</v>
      </c>
      <c r="AG52" s="714" cm="1">
        <f t="array" ref="AG52">_xlfn.ANCHORARRAY(AG22) * $F$15</f>
        <v>485689.67359999998</v>
      </c>
      <c r="AH52" s="5"/>
      <c r="AI52" s="5"/>
      <c r="AJ52" s="5"/>
      <c r="AK52" s="5"/>
      <c r="AL52" s="5"/>
      <c r="AM52" s="5"/>
      <c r="AN52" s="5"/>
    </row>
    <row r="53" spans="2:40" ht="21.95" customHeight="1" x14ac:dyDescent="0.2">
      <c r="B53" s="704" t="s">
        <v>475</v>
      </c>
      <c r="C53" s="715"/>
      <c r="D53" s="719"/>
      <c r="E53" s="1339"/>
      <c r="F53" s="116" t="s">
        <v>282</v>
      </c>
      <c r="G53" s="116" t="s">
        <v>280</v>
      </c>
      <c r="H53" s="576" cm="1">
        <f t="array" ref="H53">_xlfn.ANCHORARRAY(H23) * $F$15</f>
        <v>5851451.0454545459</v>
      </c>
      <c r="I53" s="576" cm="1">
        <f t="array" ref="I53">_xlfn.ANCHORARRAY(I23) * $F$15</f>
        <v>6175599.7613318181</v>
      </c>
      <c r="J53" s="576" cm="1">
        <f t="array" ref="J53">_xlfn.ANCHORARRAY(J23) * $F$15</f>
        <v>6551501.3109000009</v>
      </c>
      <c r="K53" s="576" cm="1">
        <f t="array" ref="K53">_xlfn.ANCHORARRAY(K23) * $F$15</f>
        <v>7252916.9149227263</v>
      </c>
      <c r="L53" s="576" cm="1">
        <f t="array" ref="L53">_xlfn.ANCHORARRAY(L23) * $F$15</f>
        <v>7954592.5834363662</v>
      </c>
      <c r="M53" s="576" cm="1">
        <f t="array" ref="M53">_xlfn.ANCHORARRAY(M23) * $F$15</f>
        <v>8656398.2841954567</v>
      </c>
      <c r="N53" s="576" cm="1">
        <f t="array" ref="N53">_xlfn.ANCHORARRAY(N23) * $F$15</f>
        <v>9357813.8882181831</v>
      </c>
      <c r="O53" s="576" cm="1">
        <f t="array" ref="O53">_xlfn.ANCHORARRAY(O23) * $F$15</f>
        <v>10059901.325509092</v>
      </c>
      <c r="P53" s="576" cm="1">
        <f t="array" ref="P53">_xlfn.ANCHORARRAY(P23) * $F$15</f>
        <v>10892151.0405</v>
      </c>
      <c r="Q53" s="576" cm="1">
        <f t="array" ref="Q53">_xlfn.ANCHORARRAY(Q23) * $F$15</f>
        <v>11724639.147940909</v>
      </c>
      <c r="R53" s="576" cm="1">
        <f t="array" ref="R53">_xlfn.ANCHORARRAY(R23) * $F$15</f>
        <v>12556888.86293182</v>
      </c>
      <c r="S53" s="576" cm="1">
        <f t="array" ref="S53">_xlfn.ANCHORARRAY(S23) * $F$15</f>
        <v>13389138.577922726</v>
      </c>
      <c r="T53" s="576" cm="1">
        <f t="array" ref="T53">_xlfn.ANCHORARRAY(T23) * $F$15</f>
        <v>14222211.830468182</v>
      </c>
      <c r="U53" s="576" cm="1">
        <f t="array" ref="U53">_xlfn.ANCHORARRAY(U23) * $F$15</f>
        <v>14728535.722227275</v>
      </c>
      <c r="V53" s="576" cm="1">
        <f t="array" ref="V53">_xlfn.ANCHORARRAY(V23) * $F$15</f>
        <v>15052684.438104548</v>
      </c>
      <c r="W53" s="576" cm="1">
        <f t="array" ref="W53">_xlfn.ANCHORARRAY(W23) * $F$15</f>
        <v>15376833.153981816</v>
      </c>
      <c r="X53" s="576" cm="1">
        <f t="array" ref="X53">_xlfn.ANCHORARRAY(X23) * $F$15</f>
        <v>15700981.869859088</v>
      </c>
      <c r="Y53" s="576" cm="1">
        <f t="array" ref="Y53">_xlfn.ANCHORARRAY(Y23) * $F$15</f>
        <v>16025347.306145456</v>
      </c>
      <c r="Z53" s="576" cm="1">
        <f t="array" ref="Z53">_xlfn.ANCHORARRAY(Z23) * $F$15</f>
        <v>16349496.02202273</v>
      </c>
      <c r="AA53" s="576" cm="1">
        <f t="array" ref="AA53">_xlfn.ANCHORARRAY(AA23) * $F$15</f>
        <v>16673861.458309088</v>
      </c>
      <c r="AB53" s="576" cm="1">
        <f t="array" ref="AB53">_xlfn.ANCHORARRAY(AB23) * $F$15</f>
        <v>16998010.17418636</v>
      </c>
      <c r="AC53" s="576" cm="1">
        <f t="array" ref="AC53">_xlfn.ANCHORARRAY(AC23) * $F$15</f>
        <v>17322158.890063636</v>
      </c>
      <c r="AD53" s="576" cm="1">
        <f t="array" ref="AD53">_xlfn.ANCHORARRAY(AD23) * $F$15</f>
        <v>17646524.326350003</v>
      </c>
      <c r="AE53" s="576" cm="1">
        <f t="array" ref="AE53">_xlfn.ANCHORARRAY(AE23) * $F$15</f>
        <v>17970673.042227276</v>
      </c>
      <c r="AF53" s="576" cm="1">
        <f t="array" ref="AF53">_xlfn.ANCHORARRAY(AF23) * $F$15</f>
        <v>18294821.758104548</v>
      </c>
      <c r="AG53" s="714" cm="1">
        <f t="array" ref="AG53">_xlfn.ANCHORARRAY(AG23) * $F$15</f>
        <v>18619187.194390912</v>
      </c>
      <c r="AH53" s="5"/>
      <c r="AI53" s="5"/>
      <c r="AJ53" s="5"/>
      <c r="AK53" s="5"/>
      <c r="AL53" s="5"/>
      <c r="AM53" s="5"/>
      <c r="AN53" s="5"/>
    </row>
    <row r="54" spans="2:40" ht="21.95" customHeight="1" x14ac:dyDescent="0.2">
      <c r="B54" s="704"/>
      <c r="C54" s="715"/>
      <c r="D54" s="719"/>
      <c r="E54" s="1339"/>
      <c r="F54" s="116" t="s">
        <v>280</v>
      </c>
      <c r="G54" s="116" t="s">
        <v>333</v>
      </c>
      <c r="H54" s="576" cm="1">
        <f t="array" ref="H54">_xlfn.ANCHORARRAY(H24) * $F$15</f>
        <v>136480.80000000002</v>
      </c>
      <c r="I54" s="576" cm="1">
        <f t="array" ref="I54">_xlfn.ANCHORARRAY(I24) * $F$15</f>
        <v>142180.01073999997</v>
      </c>
      <c r="J54" s="576" cm="1">
        <f t="array" ref="J54">_xlfn.ANCHORARRAY(J24) * $F$15</f>
        <v>149233.79341999997</v>
      </c>
      <c r="K54" s="576" cm="1">
        <f t="array" ref="K54">_xlfn.ANCHORARRAY(K24) * $F$15</f>
        <v>158730.58242000002</v>
      </c>
      <c r="L54" s="576" cm="1">
        <f t="array" ref="L54">_xlfn.ANCHORARRAY(L24) * $F$15</f>
        <v>168230.78344000003</v>
      </c>
      <c r="M54" s="576" cm="1">
        <f t="array" ref="M54">_xlfn.ANCHORARRAY(M24) * $F$15</f>
        <v>177729.84712000002</v>
      </c>
      <c r="N54" s="576" cm="1">
        <f t="array" ref="N54">_xlfn.ANCHORARRAY(N24) * $F$15</f>
        <v>187226.63612000001</v>
      </c>
      <c r="O54" s="576" cm="1">
        <f t="array" ref="O54">_xlfn.ANCHORARRAY(O24) * $F$15</f>
        <v>196730.24916000006</v>
      </c>
      <c r="P54" s="576" cm="1">
        <f t="array" ref="P54">_xlfn.ANCHORARRAY(P24) * $F$15</f>
        <v>205938.1538</v>
      </c>
      <c r="Q54" s="576" cm="1">
        <f t="array" ref="Q54">_xlfn.ANCHORARRAY(Q24) * $F$15</f>
        <v>215149.47045999995</v>
      </c>
      <c r="R54" s="576" cm="1">
        <f t="array" ref="R54">_xlfn.ANCHORARRAY(R24) * $F$15</f>
        <v>224357.3751</v>
      </c>
      <c r="S54" s="576" cm="1">
        <f t="array" ref="S54">_xlfn.ANCHORARRAY(S24) * $F$15</f>
        <v>233565.27974</v>
      </c>
      <c r="T54" s="576" cm="1">
        <f t="array" ref="T54">_xlfn.ANCHORARRAY(T24) * $F$15</f>
        <v>242780.00842000006</v>
      </c>
      <c r="U54" s="576" cm="1">
        <f t="array" ref="U54">_xlfn.ANCHORARRAY(U24) * $F$15</f>
        <v>249541.49472000002</v>
      </c>
      <c r="V54" s="576" cm="1">
        <f t="array" ref="V54">_xlfn.ANCHORARRAY(V24) * $F$15</f>
        <v>255240.70546000003</v>
      </c>
      <c r="W54" s="576" cm="1">
        <f t="array" ref="W54">_xlfn.ANCHORARRAY(W24) * $F$15</f>
        <v>260939.91619999998</v>
      </c>
      <c r="X54" s="576" cm="1">
        <f t="array" ref="X54">_xlfn.ANCHORARRAY(X24) * $F$15</f>
        <v>266639.12693999999</v>
      </c>
      <c r="Y54" s="576" cm="1">
        <f t="array" ref="Y54">_xlfn.ANCHORARRAY(Y24) * $F$15</f>
        <v>272340.61236000003</v>
      </c>
      <c r="Z54" s="576" cm="1">
        <f t="array" ref="Z54">_xlfn.ANCHORARRAY(Z24) * $F$15</f>
        <v>278039.82309999998</v>
      </c>
      <c r="AA54" s="576" cm="1">
        <f t="array" ref="AA54">_xlfn.ANCHORARRAY(AA24) * $F$15</f>
        <v>283741.30852000002</v>
      </c>
      <c r="AB54" s="576" cm="1">
        <f t="array" ref="AB54">_xlfn.ANCHORARRAY(AB24) * $F$15</f>
        <v>289440.51926000009</v>
      </c>
      <c r="AC54" s="576" cm="1">
        <f t="array" ref="AC54">_xlfn.ANCHORARRAY(AC24) * $F$15</f>
        <v>295139.73</v>
      </c>
      <c r="AD54" s="576" cm="1">
        <f t="array" ref="AD54">_xlfn.ANCHORARRAY(AD24) * $F$15</f>
        <v>300841.21542000002</v>
      </c>
      <c r="AE54" s="576" cm="1">
        <f t="array" ref="AE54">_xlfn.ANCHORARRAY(AE24) * $F$15</f>
        <v>306540.42616000003</v>
      </c>
      <c r="AF54" s="576" cm="1">
        <f t="array" ref="AF54">_xlfn.ANCHORARRAY(AF24) * $F$15</f>
        <v>312239.63689999992</v>
      </c>
      <c r="AG54" s="714" cm="1">
        <f t="array" ref="AG54">_xlfn.ANCHORARRAY(AG24) * $F$15</f>
        <v>317941.12232000002</v>
      </c>
      <c r="AH54" s="5"/>
      <c r="AI54" s="5"/>
      <c r="AJ54" s="5"/>
      <c r="AK54" s="5"/>
      <c r="AL54" s="5"/>
      <c r="AM54" s="5"/>
      <c r="AN54" s="5"/>
    </row>
    <row r="55" spans="2:40" ht="21.95" customHeight="1" x14ac:dyDescent="0.2">
      <c r="B55" s="704"/>
      <c r="C55" s="715"/>
      <c r="D55" s="719"/>
      <c r="E55" s="1340" t="s">
        <v>280</v>
      </c>
      <c r="F55" s="220" t="s">
        <v>281</v>
      </c>
      <c r="G55" s="220" t="s">
        <v>335</v>
      </c>
      <c r="H55" s="576" cm="1">
        <f t="array" ref="H55">_xlfn.ANCHORARRAY(H25) * $F$15</f>
        <v>1240299.2</v>
      </c>
      <c r="I55" s="576" cm="1">
        <f t="array" ref="I55">_xlfn.ANCHORARRAY(I25) * $F$15</f>
        <v>1375631.3464600001</v>
      </c>
      <c r="J55" s="576" cm="1">
        <f t="array" ref="J55">_xlfn.ANCHORARRAY(J25) * $F$15</f>
        <v>1518554.1240239998</v>
      </c>
      <c r="K55" s="576" cm="1">
        <f t="array" ref="K55">_xlfn.ANCHORARRAY(K25) * $F$15</f>
        <v>1960947.1434280002</v>
      </c>
      <c r="L55" s="576" cm="1">
        <f t="array" ref="L55">_xlfn.ANCHORARRAY(L25) * $F$15</f>
        <v>2403563.4166879999</v>
      </c>
      <c r="M55" s="576" cm="1">
        <f t="array" ref="M55">_xlfn.ANCHORARRAY(M25) * $F$15</f>
        <v>2846297.5183720002</v>
      </c>
      <c r="N55" s="576" cm="1">
        <f t="array" ref="N55">_xlfn.ANCHORARRAY(N25) * $F$15</f>
        <v>3288690.5377759999</v>
      </c>
      <c r="O55" s="576" cm="1">
        <f t="array" ref="O55">_xlfn.ANCHORARRAY(O25) * $F$15</f>
        <v>3731694.4045360005</v>
      </c>
      <c r="P55" s="576" cm="1">
        <f t="array" ref="P55">_xlfn.ANCHORARRAY(P25) * $F$15</f>
        <v>4326169.8110959996</v>
      </c>
      <c r="Q55" s="576" cm="1">
        <f t="array" ref="Q55">_xlfn.ANCHORARRAY(Q25) * $F$15</f>
        <v>4920908.7812359985</v>
      </c>
      <c r="R55" s="576" cm="1">
        <f t="array" ref="R55">_xlfn.ANCHORARRAY(R25) * $F$15</f>
        <v>5515384.1877960004</v>
      </c>
      <c r="S55" s="576" cm="1">
        <f t="array" ref="S55">_xlfn.ANCHORARRAY(S25) * $F$15</f>
        <v>6109859.5943560014</v>
      </c>
      <c r="T55" s="576" cm="1">
        <f t="array" ref="T55">_xlfn.ANCHORARRAY(T25) * $F$15</f>
        <v>6705110.1879160013</v>
      </c>
      <c r="U55" s="576" cm="1">
        <f t="array" ref="U55">_xlfn.ANCHORARRAY(U25) * $F$15</f>
        <v>6999727.7591359988</v>
      </c>
      <c r="V55" s="576" cm="1">
        <f t="array" ref="V55">_xlfn.ANCHORARRAY(V25) * $F$15</f>
        <v>7135059.9055960001</v>
      </c>
      <c r="W55" s="576" cm="1">
        <f t="array" ref="W55">_xlfn.ANCHORARRAY(W25) * $F$15</f>
        <v>7270392.0520560006</v>
      </c>
      <c r="X55" s="576" cm="1">
        <f t="array" ref="X55">_xlfn.ANCHORARRAY(X25) * $F$15</f>
        <v>7405724.198516001</v>
      </c>
      <c r="Y55" s="576" cm="1">
        <f t="array" ref="Y55">_xlfn.ANCHORARRAY(Y25) * $F$15</f>
        <v>7541273.3973359996</v>
      </c>
      <c r="Z55" s="576" cm="1">
        <f t="array" ref="Z55">_xlfn.ANCHORARRAY(Z25) * $F$15</f>
        <v>7676605.5437959991</v>
      </c>
      <c r="AA55" s="576" cm="1">
        <f t="array" ref="AA55">_xlfn.ANCHORARRAY(AA25) * $F$15</f>
        <v>7812154.7426159997</v>
      </c>
      <c r="AB55" s="576" cm="1">
        <f t="array" ref="AB55">_xlfn.ANCHORARRAY(AB25) * $F$15</f>
        <v>7947486.889076001</v>
      </c>
      <c r="AC55" s="576" cm="1">
        <f t="array" ref="AC55">_xlfn.ANCHORARRAY(AC25) * $F$15</f>
        <v>8082819.0355360005</v>
      </c>
      <c r="AD55" s="576" cm="1">
        <f t="array" ref="AD55">_xlfn.ANCHORARRAY(AD25) * $F$15</f>
        <v>8218368.234356002</v>
      </c>
      <c r="AE55" s="576" cm="1">
        <f t="array" ref="AE55">_xlfn.ANCHORARRAY(AE25) * $F$15</f>
        <v>8353700.3808160005</v>
      </c>
      <c r="AF55" s="576" cm="1">
        <f t="array" ref="AF55">_xlfn.ANCHORARRAY(AF25) * $F$15</f>
        <v>8489032.5272759981</v>
      </c>
      <c r="AG55" s="714" cm="1">
        <f t="array" ref="AG55">_xlfn.ANCHORARRAY(AG25) * $F$15</f>
        <v>8624581.7260960005</v>
      </c>
      <c r="AH55" s="5"/>
      <c r="AI55" s="5"/>
      <c r="AJ55" s="5"/>
      <c r="AK55" s="5"/>
      <c r="AL55" s="5"/>
      <c r="AM55" s="5"/>
      <c r="AN55" s="5"/>
    </row>
    <row r="56" spans="2:40" ht="21.95" customHeight="1" x14ac:dyDescent="0.2">
      <c r="B56" s="704"/>
      <c r="C56" s="715"/>
      <c r="D56" s="719"/>
      <c r="E56" s="1339"/>
      <c r="F56" s="116" t="s">
        <v>335</v>
      </c>
      <c r="G56" s="116" t="s">
        <v>323</v>
      </c>
      <c r="H56" s="576" cm="1">
        <f t="array" ref="H56">_xlfn.ANCHORARRAY(H26) * $F$15</f>
        <v>143664</v>
      </c>
      <c r="I56" s="576" cm="1">
        <f t="array" ref="I56">_xlfn.ANCHORARRAY(I26) * $F$15</f>
        <v>162754.55120000002</v>
      </c>
      <c r="J56" s="576" cm="1">
        <f t="array" ref="J56">_xlfn.ANCHORARRAY(J26) * $F$15</f>
        <v>181857.07440000001</v>
      </c>
      <c r="K56" s="576" cm="1">
        <f t="array" ref="K56">_xlfn.ANCHORARRAY(K26) * $F$15</f>
        <v>246489.11360000004</v>
      </c>
      <c r="L56" s="576" cm="1">
        <f t="array" ref="L56">_xlfn.ANCHORARRAY(L26) * $F$15</f>
        <v>311134.32199999999</v>
      </c>
      <c r="M56" s="576" cm="1">
        <f t="array" ref="M56">_xlfn.ANCHORARRAY(M26) * $F$15</f>
        <v>375838.19320000004</v>
      </c>
      <c r="N56" s="576" cm="1">
        <f t="array" ref="N56">_xlfn.ANCHORARRAY(N26) * $F$15</f>
        <v>440470.23240000004</v>
      </c>
      <c r="O56" s="576" cm="1">
        <f t="array" ref="O56">_xlfn.ANCHORARRAY(O26) * $F$15</f>
        <v>505163.32880000008</v>
      </c>
      <c r="P56" s="576" cm="1">
        <f t="array" ref="P56">_xlfn.ANCHORARRAY(P26) * $F$15</f>
        <v>604496.21000000008</v>
      </c>
      <c r="Q56" s="576" cm="1">
        <f t="array" ref="Q56">_xlfn.ANCHORARRAY(Q26) * $F$15</f>
        <v>703818.31640000013</v>
      </c>
      <c r="R56" s="576" cm="1">
        <f t="array" ref="R56">_xlfn.ANCHORARRAY(R26) * $F$15</f>
        <v>803150.00040000014</v>
      </c>
      <c r="S56" s="576" cm="1">
        <f t="array" ref="S56">_xlfn.ANCHORARRAY(S26) * $F$15</f>
        <v>902482.88159999996</v>
      </c>
      <c r="T56" s="576" cm="1">
        <f t="array" ref="T56">_xlfn.ANCHORARRAY(T26) * $F$15</f>
        <v>1001912.7360000001</v>
      </c>
      <c r="U56" s="576" cm="1">
        <f t="array" ref="U56">_xlfn.ANCHORARRAY(U26) * $F$15</f>
        <v>1055667.0160000003</v>
      </c>
      <c r="V56" s="576" cm="1">
        <f t="array" ref="V56">_xlfn.ANCHORARRAY(V26) * $F$15</f>
        <v>1074757.5671999999</v>
      </c>
      <c r="W56" s="576" cm="1">
        <f t="array" ref="W56">_xlfn.ANCHORARRAY(W26) * $F$15</f>
        <v>1093848.1184</v>
      </c>
      <c r="X56" s="576" cm="1">
        <f t="array" ref="X56">_xlfn.ANCHORARRAY(X26) * $F$15</f>
        <v>1112938.6696000004</v>
      </c>
      <c r="Y56" s="576" cm="1">
        <f t="array" ref="Y56">_xlfn.ANCHORARRAY(Y26) * $F$15</f>
        <v>1132041.1928000003</v>
      </c>
      <c r="Z56" s="576" cm="1">
        <f t="array" ref="Z56">_xlfn.ANCHORARRAY(Z26) * $F$15</f>
        <v>1151131.7440000002</v>
      </c>
      <c r="AA56" s="576" cm="1">
        <f t="array" ref="AA56">_xlfn.ANCHORARRAY(AA26) * $F$15</f>
        <v>1170234.2672000001</v>
      </c>
      <c r="AB56" s="576" cm="1">
        <f t="array" ref="AB56">_xlfn.ANCHORARRAY(AB26) * $F$15</f>
        <v>1189324.8184</v>
      </c>
      <c r="AC56" s="576" cm="1">
        <f t="array" ref="AC56">_xlfn.ANCHORARRAY(AC26) * $F$15</f>
        <v>1208415.3696000001</v>
      </c>
      <c r="AD56" s="576" cm="1">
        <f t="array" ref="AD56">_xlfn.ANCHORARRAY(AD26) * $F$15</f>
        <v>1227517.8928000003</v>
      </c>
      <c r="AE56" s="576" cm="1">
        <f t="array" ref="AE56">_xlfn.ANCHORARRAY(AE26) * $F$15</f>
        <v>1246608.4440000001</v>
      </c>
      <c r="AF56" s="576" cm="1">
        <f t="array" ref="AF56">_xlfn.ANCHORARRAY(AF26) * $F$15</f>
        <v>1265698.9952</v>
      </c>
      <c r="AG56" s="714" cm="1">
        <f t="array" ref="AG56">_xlfn.ANCHORARRAY(AG26) * $F$15</f>
        <v>1284801.5183999999</v>
      </c>
      <c r="AH56" s="5"/>
      <c r="AI56" s="5"/>
      <c r="AJ56" s="5"/>
      <c r="AK56" s="5"/>
      <c r="AL56" s="5"/>
      <c r="AM56" s="5"/>
      <c r="AN56" s="5"/>
    </row>
    <row r="57" spans="2:40" ht="21.95" customHeight="1" x14ac:dyDescent="0.2">
      <c r="B57" s="704"/>
      <c r="C57" s="715"/>
      <c r="D57" s="719"/>
      <c r="E57" s="1353"/>
      <c r="F57" s="254" t="s">
        <v>323</v>
      </c>
      <c r="G57" s="254" t="s">
        <v>338</v>
      </c>
      <c r="H57" s="576" cm="1">
        <f t="array" ref="H57">_xlfn.ANCHORARRAY(H27) * $F$15</f>
        <v>1925097.6</v>
      </c>
      <c r="I57" s="576" cm="1">
        <f t="array" ref="I57">_xlfn.ANCHORARRAY(I27) * $F$15</f>
        <v>1996496.2614880004</v>
      </c>
      <c r="J57" s="576" cm="1">
        <f t="array" ref="J57">_xlfn.ANCHORARRAY(J27) * $F$15</f>
        <v>2067939.8419199996</v>
      </c>
      <c r="K57" s="576" cm="1">
        <f t="array" ref="K57">_xlfn.ANCHORARRAY(K27) * $F$15</f>
        <v>2206684.8344480004</v>
      </c>
      <c r="L57" s="576" cm="1">
        <f t="array" ref="L57">_xlfn.ANCHORARRAY(L27) * $F$15</f>
        <v>2345510.0393760004</v>
      </c>
      <c r="M57" s="576" cm="1">
        <f t="array" ref="M57">_xlfn.ANCHORARRAY(M27) * $F$15</f>
        <v>2484299.9508480006</v>
      </c>
      <c r="N57" s="576" cm="1">
        <f t="array" ref="N57">_xlfn.ANCHORARRAY(N27) * $F$15</f>
        <v>2623044.9433760005</v>
      </c>
      <c r="O57" s="576" cm="1">
        <f t="array" ref="O57">_xlfn.ANCHORARRAY(O27) * $F$15</f>
        <v>2761937.5267200009</v>
      </c>
      <c r="P57" s="576" cm="1">
        <f t="array" ref="P57">_xlfn.ANCHORARRAY(P27) * $F$15</f>
        <v>2954681.5069280006</v>
      </c>
      <c r="Q57" s="576" cm="1">
        <f t="array" ref="Q57">_xlfn.ANCHORARRAY(Q27) * $F$15</f>
        <v>3147528.1590080005</v>
      </c>
      <c r="R57" s="576" cm="1">
        <f t="array" ref="R57">_xlfn.ANCHORARRAY(R27) * $F$15</f>
        <v>3340236.8457599999</v>
      </c>
      <c r="S57" s="576" cm="1">
        <f t="array" ref="S57">_xlfn.ANCHORARRAY(S27) * $F$15</f>
        <v>3532980.825968001</v>
      </c>
      <c r="T57" s="576" cm="1">
        <f t="array" ref="T57">_xlfn.ANCHORARRAY(T27) * $F$15</f>
        <v>3725894.8564640009</v>
      </c>
      <c r="U57" s="576" cm="1">
        <f t="array" ref="U57">_xlfn.ANCHORARRAY(U27) * $F$15</f>
        <v>3851234.7527039996</v>
      </c>
      <c r="V57" s="576" cm="1">
        <f t="array" ref="V57">_xlfn.ANCHORARRAY(V27) * $F$15</f>
        <v>3922633.4141920013</v>
      </c>
      <c r="W57" s="576" cm="1">
        <f t="array" ref="W57">_xlfn.ANCHORARRAY(W27) * $F$15</f>
        <v>3994032.0756800002</v>
      </c>
      <c r="X57" s="576" cm="1">
        <f t="array" ref="X57">_xlfn.ANCHORARRAY(X27) * $F$15</f>
        <v>4065430.7371680005</v>
      </c>
      <c r="Y57" s="576" cm="1">
        <f t="array" ref="Y57">_xlfn.ANCHORARRAY(Y27) * $F$15</f>
        <v>4136874.3176000011</v>
      </c>
      <c r="Z57" s="576" cm="1">
        <f t="array" ref="Z57">_xlfn.ANCHORARRAY(Z27) * $F$15</f>
        <v>4208272.979088</v>
      </c>
      <c r="AA57" s="576" cm="1">
        <f t="array" ref="AA57">_xlfn.ANCHORARRAY(AA27) * $F$15</f>
        <v>4279716.5595200006</v>
      </c>
      <c r="AB57" s="576" cm="1">
        <f t="array" ref="AB57">_xlfn.ANCHORARRAY(AB27) * $F$15</f>
        <v>4351115.221008</v>
      </c>
      <c r="AC57" s="576" cm="1">
        <f t="array" ref="AC57">_xlfn.ANCHORARRAY(AC27) * $F$15</f>
        <v>4422513.8824960003</v>
      </c>
      <c r="AD57" s="576" cm="1">
        <f t="array" ref="AD57">_xlfn.ANCHORARRAY(AD27) * $F$15</f>
        <v>4493957.4629280008</v>
      </c>
      <c r="AE57" s="576" cm="1">
        <f t="array" ref="AE57">_xlfn.ANCHORARRAY(AE27) * $F$15</f>
        <v>4565356.1244160011</v>
      </c>
      <c r="AF57" s="576" cm="1">
        <f t="array" ref="AF57">_xlfn.ANCHORARRAY(AF27) * $F$15</f>
        <v>4636754.7859040014</v>
      </c>
      <c r="AG57" s="714" cm="1">
        <f t="array" ref="AG57">_xlfn.ANCHORARRAY(AG27) * $F$15</f>
        <v>4708198.3663360011</v>
      </c>
      <c r="AH57" s="5"/>
      <c r="AI57" s="5"/>
      <c r="AJ57" s="5"/>
      <c r="AK57" s="5"/>
      <c r="AL57" s="5"/>
      <c r="AM57" s="5"/>
      <c r="AN57" s="5"/>
    </row>
    <row r="58" spans="2:40" ht="21.95" customHeight="1" x14ac:dyDescent="0.2">
      <c r="B58" s="704"/>
      <c r="C58" s="715"/>
      <c r="D58" s="719"/>
      <c r="E58" s="116" t="s">
        <v>339</v>
      </c>
      <c r="F58" s="116" t="s">
        <v>335</v>
      </c>
      <c r="G58" s="116" t="s">
        <v>323</v>
      </c>
      <c r="H58" s="576" cm="1">
        <f t="array" ref="H58">_xlfn.ANCHORARRAY(H28) * $F$15</f>
        <v>5626.84</v>
      </c>
      <c r="I58" s="576" cm="1">
        <f t="array" ref="I58">_xlfn.ANCHORARRAY(I28) * $F$15</f>
        <v>9109.8539600000004</v>
      </c>
      <c r="J58" s="576" cm="1">
        <f t="array" ref="J58">_xlfn.ANCHORARRAY(J28) * $F$15</f>
        <v>25990.373959999997</v>
      </c>
      <c r="K58" s="576" cm="1">
        <f t="array" ref="K58">_xlfn.ANCHORARRAY(K28) * $F$15</f>
        <v>54951.719440000008</v>
      </c>
      <c r="L58" s="576" cm="1">
        <f t="array" ref="L58">_xlfn.ANCHORARRAY(L28) * $F$15</f>
        <v>83935.572280000008</v>
      </c>
      <c r="M58" s="576" cm="1">
        <f t="array" ref="M58">_xlfn.ANCHORARRAY(M28) * $F$15</f>
        <v>112908.17144000002</v>
      </c>
      <c r="N58" s="576" cm="1">
        <f t="array" ref="N58">_xlfn.ANCHORARRAY(N28) * $F$15</f>
        <v>141869.51692000002</v>
      </c>
      <c r="O58" s="576" cm="1">
        <f t="array" ref="O58">_xlfn.ANCHORARRAY(O28) * $F$15</f>
        <v>170875.87711999999</v>
      </c>
      <c r="P58" s="576" cm="1">
        <f t="array" ref="P58">_xlfn.ANCHORARRAY(P28) * $F$15</f>
        <v>186456.59708000001</v>
      </c>
      <c r="Q58" s="576" cm="1">
        <f t="array" ref="Q58">_xlfn.ANCHORARRAY(Q28) * $F$15</f>
        <v>202059.82439999998</v>
      </c>
      <c r="R58" s="576" cm="1">
        <f t="array" ref="R58">_xlfn.ANCHORARRAY(R28) * $F$15</f>
        <v>217646.17120000001</v>
      </c>
      <c r="S58" s="576" cm="1">
        <f t="array" ref="S58">_xlfn.ANCHORARRAY(S28) * $F$15</f>
        <v>233226.89116000003</v>
      </c>
      <c r="T58" s="576" cm="1">
        <f t="array" ref="T58">_xlfn.ANCHORARRAY(T28) * $F$15</f>
        <v>248846.99900000001</v>
      </c>
      <c r="U58" s="576" cm="1">
        <f t="array" ref="U58">_xlfn.ANCHORARRAY(U28) * $F$15</f>
        <v>252330.01295999999</v>
      </c>
      <c r="V58" s="576" cm="1">
        <f t="array" ref="V58">_xlfn.ANCHORARRAY(V28) * $F$15</f>
        <v>255813.02692000006</v>
      </c>
      <c r="W58" s="576" cm="1">
        <f t="array" ref="W58">_xlfn.ANCHORARRAY(W28) * $F$15</f>
        <v>259296.04087999999</v>
      </c>
      <c r="X58" s="576" cm="1">
        <f t="array" ref="X58">_xlfn.ANCHORARRAY(X28) * $F$15</f>
        <v>262779.05484</v>
      </c>
      <c r="Y58" s="576" cm="1">
        <f t="array" ref="Y58">_xlfn.ANCHORARRAY(Y28) * $F$15</f>
        <v>266278.94932000001</v>
      </c>
      <c r="Z58" s="576" cm="1">
        <f t="array" ref="Z58">_xlfn.ANCHORARRAY(Z28) * $F$15</f>
        <v>269761.96328000003</v>
      </c>
      <c r="AA58" s="576" cm="1">
        <f t="array" ref="AA58">_xlfn.ANCHORARRAY(AA28) * $F$15</f>
        <v>273261.85776000004</v>
      </c>
      <c r="AB58" s="576" cm="1">
        <f t="array" ref="AB58">_xlfn.ANCHORARRAY(AB28) * $F$15</f>
        <v>276744.87172</v>
      </c>
      <c r="AC58" s="576" cm="1">
        <f t="array" ref="AC58">_xlfn.ANCHORARRAY(AC28) * $F$15</f>
        <v>280227.88568000001</v>
      </c>
      <c r="AD58" s="576" cm="1">
        <f t="array" ref="AD58">_xlfn.ANCHORARRAY(AD28) * $F$15</f>
        <v>283727.78016000002</v>
      </c>
      <c r="AE58" s="576" cm="1">
        <f t="array" ref="AE58">_xlfn.ANCHORARRAY(AE28) * $F$15</f>
        <v>287210.79411999998</v>
      </c>
      <c r="AF58" s="576" cm="1">
        <f t="array" ref="AF58">_xlfn.ANCHORARRAY(AF28) * $F$15</f>
        <v>290693.80807999999</v>
      </c>
      <c r="AG58" s="714" cm="1">
        <f t="array" ref="AG58">_xlfn.ANCHORARRAY(AG28) * $F$15</f>
        <v>294193.70256000001</v>
      </c>
      <c r="AH58" s="5"/>
      <c r="AI58" s="5"/>
      <c r="AJ58" s="5"/>
      <c r="AK58" s="5"/>
      <c r="AL58" s="5"/>
      <c r="AM58" s="5"/>
      <c r="AN58" s="5"/>
    </row>
    <row r="59" spans="2:40" ht="21.95" customHeight="1" x14ac:dyDescent="0.2">
      <c r="B59" s="704"/>
      <c r="C59" s="715"/>
      <c r="D59" s="719"/>
      <c r="E59" s="1340" t="s">
        <v>323</v>
      </c>
      <c r="F59" s="220" t="s">
        <v>282</v>
      </c>
      <c r="G59" s="220" t="s">
        <v>339</v>
      </c>
      <c r="H59" s="576" cm="1">
        <f t="array" ref="H59">_xlfn.ANCHORARRAY(H29) * $F$15</f>
        <v>16162.2</v>
      </c>
      <c r="I59" s="576" cm="1">
        <f t="array" ref="I59">_xlfn.ANCHORARRAY(I29) * $F$15</f>
        <v>16162.2</v>
      </c>
      <c r="J59" s="576" cm="1">
        <f t="array" ref="J59">_xlfn.ANCHORARRAY(J29) * $F$15</f>
        <v>189113.90220000004</v>
      </c>
      <c r="K59" s="576" cm="1">
        <f t="array" ref="K59">_xlfn.ANCHORARRAY(K29) * $F$15</f>
        <v>362065.60440000013</v>
      </c>
      <c r="L59" s="576" cm="1">
        <f t="array" ref="L59">_xlfn.ANCHORARRAY(L29) * $F$15</f>
        <v>535162.76640000008</v>
      </c>
      <c r="M59" s="576" cm="1">
        <f t="array" ref="M59">_xlfn.ANCHORARRAY(M29) * $F$15</f>
        <v>708114.46860000014</v>
      </c>
      <c r="N59" s="576" cm="1">
        <f t="array" ref="N59">_xlfn.ANCHORARRAY(N29) * $F$15</f>
        <v>881066.1708000002</v>
      </c>
      <c r="O59" s="576" cm="1">
        <f t="array" ref="O59">_xlfn.ANCHORARRAY(O29) * $F$15</f>
        <v>1054163.3328</v>
      </c>
      <c r="P59" s="576" cm="1">
        <f t="array" ref="P59">_xlfn.ANCHORARRAY(P29) * $F$15</f>
        <v>1054163.3328</v>
      </c>
      <c r="Q59" s="576" cm="1">
        <f t="array" ref="Q59">_xlfn.ANCHORARRAY(Q29) * $F$15</f>
        <v>1054163.3328</v>
      </c>
      <c r="R59" s="576" cm="1">
        <f t="array" ref="R59">_xlfn.ANCHORARRAY(R29) * $F$15</f>
        <v>1054163.3328</v>
      </c>
      <c r="S59" s="576" cm="1">
        <f t="array" ref="S59">_xlfn.ANCHORARRAY(S29) * $F$15</f>
        <v>1054163.3328</v>
      </c>
      <c r="T59" s="576" cm="1">
        <f t="array" ref="T59">_xlfn.ANCHORARRAY(T29) * $F$15</f>
        <v>1054163.3328</v>
      </c>
      <c r="U59" s="576" cm="1">
        <f t="array" ref="U59">_xlfn.ANCHORARRAY(U29) * $F$15</f>
        <v>1054163.3328</v>
      </c>
      <c r="V59" s="576" cm="1">
        <f t="array" ref="V59">_xlfn.ANCHORARRAY(V29) * $F$15</f>
        <v>1054163.3328</v>
      </c>
      <c r="W59" s="576" cm="1">
        <f t="array" ref="W59">_xlfn.ANCHORARRAY(W29) * $F$15</f>
        <v>1054163.3328</v>
      </c>
      <c r="X59" s="576" cm="1">
        <f t="array" ref="X59">_xlfn.ANCHORARRAY(X29) * $F$15</f>
        <v>1054163.3328</v>
      </c>
      <c r="Y59" s="576" cm="1">
        <f t="array" ref="Y59">_xlfn.ANCHORARRAY(Y29) * $F$15</f>
        <v>1054163.3328</v>
      </c>
      <c r="Z59" s="576" cm="1">
        <f t="array" ref="Z59">_xlfn.ANCHORARRAY(Z29) * $F$15</f>
        <v>1054163.3328</v>
      </c>
      <c r="AA59" s="576" cm="1">
        <f t="array" ref="AA59">_xlfn.ANCHORARRAY(AA29) * $F$15</f>
        <v>1054163.3328</v>
      </c>
      <c r="AB59" s="576" cm="1">
        <f t="array" ref="AB59">_xlfn.ANCHORARRAY(AB29) * $F$15</f>
        <v>1054163.3328</v>
      </c>
      <c r="AC59" s="576" cm="1">
        <f t="array" ref="AC59">_xlfn.ANCHORARRAY(AC29) * $F$15</f>
        <v>1054163.3328</v>
      </c>
      <c r="AD59" s="576" cm="1">
        <f t="array" ref="AD59">_xlfn.ANCHORARRAY(AD29) * $F$15</f>
        <v>1054163.3328</v>
      </c>
      <c r="AE59" s="576" cm="1">
        <f t="array" ref="AE59">_xlfn.ANCHORARRAY(AE29) * $F$15</f>
        <v>1054163.3328</v>
      </c>
      <c r="AF59" s="576" cm="1">
        <f t="array" ref="AF59">_xlfn.ANCHORARRAY(AF29) * $F$15</f>
        <v>1054163.3328</v>
      </c>
      <c r="AG59" s="714" cm="1">
        <f t="array" ref="AG59">_xlfn.ANCHORARRAY(AG29) * $F$15</f>
        <v>1054163.3328</v>
      </c>
      <c r="AH59" s="5"/>
      <c r="AI59" s="5"/>
      <c r="AJ59" s="5"/>
      <c r="AK59" s="5"/>
      <c r="AL59" s="5"/>
      <c r="AM59" s="5"/>
      <c r="AN59" s="5"/>
    </row>
    <row r="60" spans="2:40" ht="21.95" customHeight="1" x14ac:dyDescent="0.2">
      <c r="B60" s="704"/>
      <c r="C60" s="715"/>
      <c r="D60" s="719"/>
      <c r="E60" s="1339"/>
      <c r="F60" s="116" t="s">
        <v>339</v>
      </c>
      <c r="G60" s="116" t="s">
        <v>288</v>
      </c>
      <c r="H60" s="576" cm="1">
        <f t="array" ref="H60">_xlfn.ANCHORARRAY(H30) * $F$15</f>
        <v>7374.7520000000013</v>
      </c>
      <c r="I60" s="576" cm="1">
        <f t="array" ref="I60">_xlfn.ANCHORARRAY(I30) * $F$15</f>
        <v>14012.028800000002</v>
      </c>
      <c r="J60" s="576" cm="1">
        <f t="array" ref="J60">_xlfn.ANCHORARRAY(J30) * $F$15</f>
        <v>20649.305600000003</v>
      </c>
      <c r="K60" s="576" cm="1">
        <f t="array" ref="K60">_xlfn.ANCHORARRAY(K30) * $F$15</f>
        <v>44918.944000000003</v>
      </c>
      <c r="L60" s="576" cm="1">
        <f t="array" ref="L60">_xlfn.ANCHORARRAY(L30) * $F$15</f>
        <v>69155.060800000007</v>
      </c>
      <c r="M60" s="576" cm="1">
        <f t="array" ref="M60">_xlfn.ANCHORARRAY(M30) * $F$15</f>
        <v>93458.22080000001</v>
      </c>
      <c r="N60" s="576" cm="1">
        <f t="array" ref="N60">_xlfn.ANCHORARRAY(N30) * $F$15</f>
        <v>117727.85920000001</v>
      </c>
      <c r="O60" s="576" cm="1">
        <f t="array" ref="O60">_xlfn.ANCHORARRAY(O30) * $F$15</f>
        <v>141997.49760000003</v>
      </c>
      <c r="P60" s="576" cm="1">
        <f t="array" ref="P60">_xlfn.ANCHORARRAY(P30) * $F$15</f>
        <v>184201.19200000001</v>
      </c>
      <c r="Q60" s="576" cm="1">
        <f t="array" ref="Q60">_xlfn.ANCHORARRAY(Q30) * $F$15</f>
        <v>226371.36480000004</v>
      </c>
      <c r="R60" s="576" cm="1">
        <f t="array" ref="R60">_xlfn.ANCHORARRAY(R30) * $F$15</f>
        <v>268541.53760000004</v>
      </c>
      <c r="S60" s="576" cm="1">
        <f t="array" ref="S60">_xlfn.ANCHORARRAY(S30) * $F$15</f>
        <v>310745.23200000008</v>
      </c>
      <c r="T60" s="576" cm="1">
        <f t="array" ref="T60">_xlfn.ANCHORARRAY(T30) * $F$15</f>
        <v>352948.92640000005</v>
      </c>
      <c r="U60" s="576" cm="1">
        <f t="array" ref="U60">_xlfn.ANCHORARRAY(U30) * $F$15</f>
        <v>377520.25920000009</v>
      </c>
      <c r="V60" s="576" cm="1">
        <f t="array" ref="V60">_xlfn.ANCHORARRAY(V30) * $F$15</f>
        <v>384124.01440000004</v>
      </c>
      <c r="W60" s="576" cm="1">
        <f t="array" ref="W60">_xlfn.ANCHORARRAY(W30) * $F$15</f>
        <v>390761.29120000004</v>
      </c>
      <c r="X60" s="576" cm="1">
        <f t="array" ref="X60">_xlfn.ANCHORARRAY(X30) * $F$15</f>
        <v>397398.56800000003</v>
      </c>
      <c r="Y60" s="576" cm="1">
        <f t="array" ref="Y60">_xlfn.ANCHORARRAY(Y30) * $F$15</f>
        <v>404035.84480000002</v>
      </c>
      <c r="Z60" s="576" cm="1">
        <f t="array" ref="Z60">_xlfn.ANCHORARRAY(Z30) * $F$15</f>
        <v>410673.12160000007</v>
      </c>
      <c r="AA60" s="576" cm="1">
        <f t="array" ref="AA60">_xlfn.ANCHORARRAY(AA30) * $F$15</f>
        <v>417310.39840000001</v>
      </c>
      <c r="AB60" s="576" cm="1">
        <f t="array" ref="AB60">_xlfn.ANCHORARRAY(AB30) * $F$15</f>
        <v>423947.67520000006</v>
      </c>
      <c r="AC60" s="576" cm="1">
        <f t="array" ref="AC60">_xlfn.ANCHORARRAY(AC30) * $F$15</f>
        <v>430584.95200000011</v>
      </c>
      <c r="AD60" s="576" cm="1">
        <f t="array" ref="AD60">_xlfn.ANCHORARRAY(AD30) * $F$15</f>
        <v>437188.70720000006</v>
      </c>
      <c r="AE60" s="576" cm="1">
        <f t="array" ref="AE60">_xlfn.ANCHORARRAY(AE30) * $F$15</f>
        <v>443825.98400000011</v>
      </c>
      <c r="AF60" s="576" cm="1">
        <f t="array" ref="AF60">_xlfn.ANCHORARRAY(AF30) * $F$15</f>
        <v>450463.26080000005</v>
      </c>
      <c r="AG60" s="714" cm="1">
        <f t="array" ref="AG60">_xlfn.ANCHORARRAY(AG30) * $F$15</f>
        <v>457100.5376000001</v>
      </c>
      <c r="AH60" s="5"/>
      <c r="AI60" s="5"/>
      <c r="AJ60" s="5"/>
      <c r="AK60" s="5"/>
      <c r="AL60" s="5"/>
      <c r="AM60" s="5"/>
      <c r="AN60" s="5"/>
    </row>
    <row r="61" spans="2:40" ht="21.95" customHeight="1" x14ac:dyDescent="0.2">
      <c r="B61" s="704"/>
      <c r="C61" s="715"/>
      <c r="D61" s="719"/>
      <c r="E61" s="1339"/>
      <c r="F61" s="116" t="s">
        <v>288</v>
      </c>
      <c r="G61" s="116" t="s">
        <v>340</v>
      </c>
      <c r="H61" s="576" cm="1">
        <f t="array" ref="H61">_xlfn.ANCHORARRAY(H31) * $F$15</f>
        <v>26218.68</v>
      </c>
      <c r="I61" s="576" cm="1">
        <f t="array" ref="I61">_xlfn.ANCHORARRAY(I31) * $F$15</f>
        <v>49804.130572000002</v>
      </c>
      <c r="J61" s="576" cm="1">
        <f t="array" ref="J61">_xlfn.ANCHORARRAY(J31) * $F$15</f>
        <v>73381.715540000019</v>
      </c>
      <c r="K61" s="576" cm="1">
        <f t="array" ref="K61">_xlfn.ANCHORARRAY(K31) * $F$15</f>
        <v>159638.55087199999</v>
      </c>
      <c r="L61" s="576" cm="1">
        <f t="array" ref="L61">_xlfn.ANCHORARRAY(L31) * $F$15</f>
        <v>245898.88202800002</v>
      </c>
      <c r="M61" s="576" cm="1">
        <f t="array" ref="M61">_xlfn.ANCHORARRAY(M31) * $F$15</f>
        <v>332269.33164000005</v>
      </c>
      <c r="N61" s="576" cm="1">
        <f t="array" ref="N61">_xlfn.ANCHORARRAY(N31) * $F$15</f>
        <v>418526.16697199998</v>
      </c>
      <c r="O61" s="576" cm="1">
        <f t="array" ref="O61">_xlfn.ANCHORARRAY(O31) * $F$15</f>
        <v>504835.43966400006</v>
      </c>
      <c r="P61" s="576" cm="1">
        <f t="array" ref="P61">_xlfn.ANCHORARRAY(P31) * $F$15</f>
        <v>654829.88607600005</v>
      </c>
      <c r="Q61" s="576" cm="1">
        <f t="array" ref="Q61">_xlfn.ANCHORARRAY(Q31) * $F$15</f>
        <v>804763.15556800016</v>
      </c>
      <c r="R61" s="576" cm="1">
        <f t="array" ref="R61">_xlfn.ANCHORARRAY(R31) * $F$15</f>
        <v>954746.24055199977</v>
      </c>
      <c r="S61" s="576" cm="1">
        <f t="array" ref="S61">_xlfn.ANCHORARRAY(S31) * $F$15</f>
        <v>1104740.6869640001</v>
      </c>
      <c r="T61" s="576" cm="1">
        <f t="array" ref="T61">_xlfn.ANCHORARRAY(T31) * $F$15</f>
        <v>1254844.377876</v>
      </c>
      <c r="U61" s="576" cm="1">
        <f t="array" ref="U61">_xlfn.ANCHORARRAY(U31) * $F$15</f>
        <v>1342099.2709599999</v>
      </c>
      <c r="V61" s="576" cm="1">
        <f t="array" ref="V61">_xlfn.ANCHORARRAY(V31) * $F$15</f>
        <v>1365684.721532</v>
      </c>
      <c r="W61" s="576" cm="1">
        <f t="array" ref="W61">_xlfn.ANCHORARRAY(W31) * $F$15</f>
        <v>1389270.1721039999</v>
      </c>
      <c r="X61" s="576" cm="1">
        <f t="array" ref="X61">_xlfn.ANCHORARRAY(X31) * $F$15</f>
        <v>1412855.6226759998</v>
      </c>
      <c r="Y61" s="576" cm="1">
        <f t="array" ref="Y61">_xlfn.ANCHORARRAY(Y31) * $F$15</f>
        <v>1436433.2076439997</v>
      </c>
      <c r="Z61" s="576" cm="1">
        <f t="array" ref="Z61">_xlfn.ANCHORARRAY(Z31) * $F$15</f>
        <v>1460018.6582160001</v>
      </c>
      <c r="AA61" s="576" cm="1">
        <f t="array" ref="AA61">_xlfn.ANCHORARRAY(AA31) * $F$15</f>
        <v>1483596.243184</v>
      </c>
      <c r="AB61" s="576" cm="1">
        <f t="array" ref="AB61">_xlfn.ANCHORARRAY(AB31) * $F$15</f>
        <v>1507181.6937559999</v>
      </c>
      <c r="AC61" s="576" cm="1">
        <f t="array" ref="AC61">_xlfn.ANCHORARRAY(AC31) * $F$15</f>
        <v>1530767.144328</v>
      </c>
      <c r="AD61" s="576" cm="1">
        <f t="array" ref="AD61">_xlfn.ANCHORARRAY(AD31) * $F$15</f>
        <v>1554344.7292960002</v>
      </c>
      <c r="AE61" s="576" cm="1">
        <f t="array" ref="AE61">_xlfn.ANCHORARRAY(AE31) * $F$15</f>
        <v>1577930.1798680003</v>
      </c>
      <c r="AF61" s="576" cm="1">
        <f t="array" ref="AF61">_xlfn.ANCHORARRAY(AF31) * $F$15</f>
        <v>1601515.6304400002</v>
      </c>
      <c r="AG61" s="714" cm="1">
        <f t="array" ref="AG61">_xlfn.ANCHORARRAY(AG31) * $F$15</f>
        <v>1625093.2154079999</v>
      </c>
      <c r="AH61" s="5"/>
      <c r="AI61" s="5"/>
      <c r="AJ61" s="5"/>
      <c r="AK61" s="5"/>
      <c r="AL61" s="5"/>
      <c r="AM61" s="5"/>
      <c r="AN61" s="5"/>
    </row>
    <row r="62" spans="2:40" ht="21.95" customHeight="1" x14ac:dyDescent="0.2">
      <c r="B62" s="704"/>
      <c r="C62" s="715"/>
      <c r="D62" s="719"/>
      <c r="E62" s="1353"/>
      <c r="F62" s="254" t="s">
        <v>340</v>
      </c>
      <c r="G62" s="254" t="s">
        <v>280</v>
      </c>
      <c r="H62" s="576" cm="1">
        <f t="array" ref="H62">_xlfn.ANCHORARRAY(H32) * $F$15</f>
        <v>37711.800000000003</v>
      </c>
      <c r="I62" s="576" cm="1">
        <f t="array" ref="I62">_xlfn.ANCHORARRAY(I32) * $F$15</f>
        <v>71636.078219999996</v>
      </c>
      <c r="J62" s="576" cm="1">
        <f t="array" ref="J62">_xlfn.ANCHORARRAY(J32) * $F$15</f>
        <v>105549.04290000001</v>
      </c>
      <c r="K62" s="576" cm="1">
        <f t="array" ref="K62">_xlfn.ANCHORARRAY(K32) * $F$15</f>
        <v>229617.09372</v>
      </c>
      <c r="L62" s="576" cm="1">
        <f t="array" ref="L62">_xlfn.ANCHORARRAY(L32) * $F$15</f>
        <v>353690.17278000002</v>
      </c>
      <c r="M62" s="576" cm="1">
        <f t="array" ref="M62">_xlfn.ANCHORARRAY(M32) * $F$15</f>
        <v>477921.64140000014</v>
      </c>
      <c r="N62" s="576" cm="1">
        <f t="array" ref="N62">_xlfn.ANCHORARRAY(N32) * $F$15</f>
        <v>601989.69222000008</v>
      </c>
      <c r="O62" s="576" cm="1">
        <f t="array" ref="O62">_xlfn.ANCHORARRAY(O32) * $F$15</f>
        <v>726133.16664000018</v>
      </c>
      <c r="P62" s="576" cm="1">
        <f t="array" ref="P62">_xlfn.ANCHORARRAY(P32) * $F$15</f>
        <v>941878.60326000012</v>
      </c>
      <c r="Q62" s="576" cm="1">
        <f t="array" ref="Q62">_xlfn.ANCHORARRAY(Q32) * $F$15</f>
        <v>1157536.0456800002</v>
      </c>
      <c r="R62" s="576" cm="1">
        <f t="array" ref="R62">_xlfn.ANCHORARRAY(R32) * $F$15</f>
        <v>1373265.1405199999</v>
      </c>
      <c r="S62" s="576" cm="1">
        <f t="array" ref="S62">_xlfn.ANCHORARRAY(S32) * $F$15</f>
        <v>1589010.5771400004</v>
      </c>
      <c r="T62" s="576" cm="1">
        <f t="array" ref="T62">_xlfn.ANCHORARRAY(T32) * $F$15</f>
        <v>1804913.1462600001</v>
      </c>
      <c r="U62" s="576" cm="1">
        <f t="array" ref="U62">_xlfn.ANCHORARRAY(U32) * $F$15</f>
        <v>1930416.7595999998</v>
      </c>
      <c r="V62" s="576" cm="1">
        <f t="array" ref="V62">_xlfn.ANCHORARRAY(V32) * $F$15</f>
        <v>1964341.0378200002</v>
      </c>
      <c r="W62" s="576" cm="1">
        <f t="array" ref="W62">_xlfn.ANCHORARRAY(W32) * $F$15</f>
        <v>1998265.3160399999</v>
      </c>
      <c r="X62" s="576" cm="1">
        <f t="array" ref="X62">_xlfn.ANCHORARRAY(X32) * $F$15</f>
        <v>2032189.5942600002</v>
      </c>
      <c r="Y62" s="576" cm="1">
        <f t="array" ref="Y62">_xlfn.ANCHORARRAY(Y32) * $F$15</f>
        <v>2066102.5589399999</v>
      </c>
      <c r="Z62" s="576" cm="1">
        <f t="array" ref="Z62">_xlfn.ANCHORARRAY(Z32) * $F$15</f>
        <v>2100026.8371600001</v>
      </c>
      <c r="AA62" s="576" cm="1">
        <f t="array" ref="AA62">_xlfn.ANCHORARRAY(AA32) * $F$15</f>
        <v>2133939.8018400003</v>
      </c>
      <c r="AB62" s="576" cm="1">
        <f t="array" ref="AB62">_xlfn.ANCHORARRAY(AB32) * $F$15</f>
        <v>2167864.0800600001</v>
      </c>
      <c r="AC62" s="576" cm="1">
        <f t="array" ref="AC62">_xlfn.ANCHORARRAY(AC32) * $F$15</f>
        <v>2201788.3582800003</v>
      </c>
      <c r="AD62" s="576" cm="1">
        <f t="array" ref="AD62">_xlfn.ANCHORARRAY(AD32) * $F$15</f>
        <v>2235701.32296</v>
      </c>
      <c r="AE62" s="576" cm="1">
        <f t="array" ref="AE62">_xlfn.ANCHORARRAY(AE32) * $F$15</f>
        <v>2269625.6011800007</v>
      </c>
      <c r="AF62" s="576" cm="1">
        <f t="array" ref="AF62">_xlfn.ANCHORARRAY(AF32) * $F$15</f>
        <v>2303549.8794000004</v>
      </c>
      <c r="AG62" s="714" cm="1">
        <f t="array" ref="AG62">_xlfn.ANCHORARRAY(AG32) * $F$15</f>
        <v>2337462.8440800002</v>
      </c>
      <c r="AH62" s="5"/>
      <c r="AI62" s="5"/>
      <c r="AJ62" s="5"/>
      <c r="AK62" s="5"/>
      <c r="AL62" s="5"/>
      <c r="AM62" s="5"/>
      <c r="AN62" s="5"/>
    </row>
    <row r="63" spans="2:40" ht="21.95" customHeight="1" x14ac:dyDescent="0.2">
      <c r="B63" s="704"/>
      <c r="C63" s="715"/>
      <c r="D63" s="719"/>
      <c r="E63" s="1340" t="s">
        <v>334</v>
      </c>
      <c r="F63" s="116" t="s">
        <v>336</v>
      </c>
      <c r="G63" s="116" t="s">
        <v>337</v>
      </c>
      <c r="H63" s="576" cm="1">
        <f t="array" ref="H63">_xlfn.ANCHORARRAY(H33) * $F$15</f>
        <v>838040</v>
      </c>
      <c r="I63" s="576" cm="1">
        <f t="array" ref="I63">_xlfn.ANCHORARRAY(I33) * $F$15</f>
        <v>860741.90499999991</v>
      </c>
      <c r="J63" s="576" cm="1">
        <f t="array" ref="J63">_xlfn.ANCHORARRAY(J33) * $F$15</f>
        <v>897690.49</v>
      </c>
      <c r="K63" s="576" cm="1">
        <f t="array" ref="K63">_xlfn.ANCHORARRAY(K33) * $F$15</f>
        <v>950699.51300000004</v>
      </c>
      <c r="L63" s="576" cm="1">
        <f t="array" ref="L63">_xlfn.ANCHORARRAY(L33) * $F$15</f>
        <v>1003732.4800000002</v>
      </c>
      <c r="M63" s="576" cm="1">
        <f t="array" ref="M63">_xlfn.ANCHORARRAY(M33) * $F$15</f>
        <v>1056759.4610000004</v>
      </c>
      <c r="N63" s="576" cm="1">
        <f t="array" ref="N63">_xlfn.ANCHORARRAY(N33) * $F$15</f>
        <v>1109768.4840000004</v>
      </c>
      <c r="O63" s="576" cm="1">
        <f t="array" ref="O63">_xlfn.ANCHORARRAY(O33) * $F$15</f>
        <v>1162822.402</v>
      </c>
      <c r="P63" s="576" cm="1">
        <f t="array" ref="P63">_xlfn.ANCHORARRAY(P33) * $F$15</f>
        <v>1209992.0819999999</v>
      </c>
      <c r="Q63" s="576" cm="1">
        <f t="array" ref="Q63">_xlfn.ANCHORARRAY(Q33) * $F$15</f>
        <v>1257176.727</v>
      </c>
      <c r="R63" s="576" cm="1">
        <f t="array" ref="R63">_xlfn.ANCHORARRAY(R33) * $F$15</f>
        <v>1304346.4069999999</v>
      </c>
      <c r="S63" s="576" cm="1">
        <f t="array" ref="S63">_xlfn.ANCHORARRAY(S33) * $F$15</f>
        <v>1351516.0870000001</v>
      </c>
      <c r="T63" s="576" cm="1">
        <f t="array" ref="T63">_xlfn.ANCHORARRAY(T33) * $F$15</f>
        <v>1398727.669</v>
      </c>
      <c r="U63" s="576" cm="1">
        <f t="array" ref="U63">_xlfn.ANCHORARRAY(U33) * $F$15</f>
        <v>1429815.96</v>
      </c>
      <c r="V63" s="576" cm="1">
        <f t="array" ref="V63">_xlfn.ANCHORARRAY(V33) * $F$15</f>
        <v>1452517.8649999998</v>
      </c>
      <c r="W63" s="576" cm="1">
        <f t="array" ref="W63">_xlfn.ANCHORARRAY(W33) * $F$15</f>
        <v>1475219.77</v>
      </c>
      <c r="X63" s="576" cm="1">
        <f t="array" ref="X63">_xlfn.ANCHORARRAY(X33) * $F$15</f>
        <v>1497921.6749999998</v>
      </c>
      <c r="Y63" s="576" cm="1">
        <f t="array" ref="Y63">_xlfn.ANCHORARRAY(Y33) * $F$15</f>
        <v>1520635.5519999997</v>
      </c>
      <c r="Z63" s="576" cm="1">
        <f t="array" ref="Z63">_xlfn.ANCHORARRAY(Z33) * $F$15</f>
        <v>1543337.4570000002</v>
      </c>
      <c r="AA63" s="576" cm="1">
        <f t="array" ref="AA63">_xlfn.ANCHORARRAY(AA33) * $F$15</f>
        <v>1566051.334</v>
      </c>
      <c r="AB63" s="576" cm="1">
        <f t="array" ref="AB63">_xlfn.ANCHORARRAY(AB33) * $F$15</f>
        <v>1588753.2390000001</v>
      </c>
      <c r="AC63" s="576" cm="1">
        <f t="array" ref="AC63">_xlfn.ANCHORARRAY(AC33) * $F$15</f>
        <v>1611455.1440000001</v>
      </c>
      <c r="AD63" s="576" cm="1">
        <f t="array" ref="AD63">_xlfn.ANCHORARRAY(AD33) * $F$15</f>
        <v>1634169.0210000002</v>
      </c>
      <c r="AE63" s="576" cm="1">
        <f t="array" ref="AE63">_xlfn.ANCHORARRAY(AE33) * $F$15</f>
        <v>1656870.926</v>
      </c>
      <c r="AF63" s="576" cm="1">
        <f t="array" ref="AF63">_xlfn.ANCHORARRAY(AF33) * $F$15</f>
        <v>1679572.831</v>
      </c>
      <c r="AG63" s="714" cm="1">
        <f t="array" ref="AG63">_xlfn.ANCHORARRAY(AG33) * $F$15</f>
        <v>1702286.7079999999</v>
      </c>
      <c r="AH63" s="5"/>
      <c r="AI63" s="5"/>
      <c r="AJ63" s="5"/>
      <c r="AK63" s="5"/>
      <c r="AL63" s="5"/>
      <c r="AM63" s="5"/>
      <c r="AN63" s="5"/>
    </row>
    <row r="64" spans="2:40" ht="21.95" customHeight="1" x14ac:dyDescent="0.2">
      <c r="B64" s="704"/>
      <c r="C64" s="715"/>
      <c r="D64" s="719"/>
      <c r="E64" s="1339"/>
      <c r="F64" s="116" t="s">
        <v>337</v>
      </c>
      <c r="G64" s="116" t="s">
        <v>386</v>
      </c>
      <c r="H64" s="576" cm="1">
        <f t="array" ref="H64">_xlfn.ANCHORARRAY(H34) * $F$15</f>
        <v>1316920</v>
      </c>
      <c r="I64" s="576" cm="1">
        <f t="array" ref="I64">_xlfn.ANCHORARRAY(I34) * $F$15</f>
        <v>1344276.02</v>
      </c>
      <c r="J64" s="576" cm="1">
        <f t="array" ref="J64">_xlfn.ANCHORARRAY(J34) * $F$15</f>
        <v>1409164.26</v>
      </c>
      <c r="K64" s="576" cm="1">
        <f t="array" ref="K64">_xlfn.ANCHORARRAY(K34) * $F$15</f>
        <v>1480277.9400000002</v>
      </c>
      <c r="L64" s="576" cm="1">
        <f t="array" ref="L64">_xlfn.ANCHORARRAY(L34) * $F$15</f>
        <v>1551511.34</v>
      </c>
      <c r="M64" s="576" cm="1">
        <f t="array" ref="M64">_xlfn.ANCHORARRAY(M34) * $F$15</f>
        <v>1622684.8800000001</v>
      </c>
      <c r="N64" s="576" cm="1">
        <f t="array" ref="N64">_xlfn.ANCHORARRAY(N34) * $F$15</f>
        <v>1693798.56</v>
      </c>
      <c r="O64" s="576" cm="1">
        <f t="array" ref="O64">_xlfn.ANCHORARRAY(O34) * $F$15</f>
        <v>1765031.96</v>
      </c>
      <c r="P64" s="576" cm="1">
        <f t="array" ref="P64">_xlfn.ANCHORARRAY(P34) * $F$15</f>
        <v>1804240.26</v>
      </c>
      <c r="Q64" s="576" cm="1">
        <f t="array" ref="Q64">_xlfn.ANCHORARRAY(Q34) * $F$15</f>
        <v>1843508.4200000002</v>
      </c>
      <c r="R64" s="576" cm="1">
        <f t="array" ref="R64">_xlfn.ANCHORARRAY(R34) * $F$15</f>
        <v>1882716.72</v>
      </c>
      <c r="S64" s="576" cm="1">
        <f t="array" ref="S64">_xlfn.ANCHORARRAY(S34) * $F$15</f>
        <v>1921984.8800000001</v>
      </c>
      <c r="T64" s="576" cm="1">
        <f t="array" ref="T64">_xlfn.ANCHORARRAY(T34) * $F$15</f>
        <v>1961193.1800000002</v>
      </c>
      <c r="U64" s="576" cm="1">
        <f t="array" ref="U64">_xlfn.ANCHORARRAY(U34) * $F$15</f>
        <v>1994176.04</v>
      </c>
      <c r="V64" s="576" cm="1">
        <f t="array" ref="V64">_xlfn.ANCHORARRAY(V34) * $F$15</f>
        <v>2022669.4000000001</v>
      </c>
      <c r="W64" s="576" cm="1">
        <f t="array" ref="W64">_xlfn.ANCHORARRAY(W34) * $F$15</f>
        <v>2051222.62</v>
      </c>
      <c r="X64" s="576" cm="1">
        <f t="array" ref="X64">_xlfn.ANCHORARRAY(X34) * $F$15</f>
        <v>2079775.84</v>
      </c>
      <c r="Y64" s="576" cm="1">
        <f t="array" ref="Y64">_xlfn.ANCHORARRAY(Y34) * $F$15</f>
        <v>2108329.06</v>
      </c>
      <c r="Z64" s="576" cm="1">
        <f t="array" ref="Z64">_xlfn.ANCHORARRAY(Z34) * $F$15</f>
        <v>2136882.2800000003</v>
      </c>
      <c r="AA64" s="576" cm="1">
        <f t="array" ref="AA64">_xlfn.ANCHORARRAY(AA34) * $F$15</f>
        <v>2165435.5</v>
      </c>
      <c r="AB64" s="576" cm="1">
        <f t="array" ref="AB64">_xlfn.ANCHORARRAY(AB34) * $F$15</f>
        <v>2193988.7200000002</v>
      </c>
      <c r="AC64" s="576" cm="1">
        <f t="array" ref="AC64">_xlfn.ANCHORARRAY(AC34) * $F$15</f>
        <v>2222541.94</v>
      </c>
      <c r="AD64" s="576" cm="1">
        <f t="array" ref="AD64">_xlfn.ANCHORARRAY(AD34) * $F$15</f>
        <v>2251095.16</v>
      </c>
      <c r="AE64" s="576" cm="1">
        <f t="array" ref="AE64">_xlfn.ANCHORARRAY(AE34) * $F$15</f>
        <v>2279648.38</v>
      </c>
      <c r="AF64" s="576" cm="1">
        <f t="array" ref="AF64">_xlfn.ANCHORARRAY(AF34) * $F$15</f>
        <v>2308141.7400000002</v>
      </c>
      <c r="AG64" s="714" cm="1">
        <f t="array" ref="AG64">_xlfn.ANCHORARRAY(AG34) * $F$15</f>
        <v>2336694.96</v>
      </c>
      <c r="AH64" s="5"/>
      <c r="AI64" s="5"/>
      <c r="AJ64" s="5"/>
      <c r="AK64" s="5"/>
      <c r="AL64" s="5"/>
      <c r="AM64" s="5"/>
      <c r="AN64" s="5"/>
    </row>
    <row r="65" spans="2:40" ht="21.95" customHeight="1" x14ac:dyDescent="0.2">
      <c r="B65" s="704"/>
      <c r="C65" s="715"/>
      <c r="D65" s="719"/>
      <c r="E65" s="1339"/>
      <c r="F65" s="116" t="s">
        <v>342</v>
      </c>
      <c r="G65" s="116" t="s">
        <v>341</v>
      </c>
      <c r="H65" s="576" cm="1">
        <f t="array" ref="H65">_xlfn.ANCHORARRAY(H35) * $F$15</f>
        <v>1711996</v>
      </c>
      <c r="I65" s="576" cm="1">
        <f t="array" ref="I65">_xlfn.ANCHORARRAY(I35) * $F$15</f>
        <v>1747558.8260000001</v>
      </c>
      <c r="J65" s="576" cm="1">
        <f t="array" ref="J65">_xlfn.ANCHORARRAY(J35) * $F$15</f>
        <v>1831913.5380000002</v>
      </c>
      <c r="K65" s="576" cm="1">
        <f t="array" ref="K65">_xlfn.ANCHORARRAY(K35) * $F$15</f>
        <v>1924361.3220000002</v>
      </c>
      <c r="L65" s="576" cm="1">
        <f t="array" ref="L65">_xlfn.ANCHORARRAY(L35) * $F$15</f>
        <v>2016964.7420000001</v>
      </c>
      <c r="M65" s="576" cm="1">
        <f t="array" ref="M65">_xlfn.ANCHORARRAY(M35) * $F$15</f>
        <v>2109490.344</v>
      </c>
      <c r="N65" s="576" cm="1">
        <f t="array" ref="N65">_xlfn.ANCHORARRAY(N35) * $F$15</f>
        <v>2201938.128</v>
      </c>
      <c r="O65" s="576" cm="1">
        <f t="array" ref="O65">_xlfn.ANCHORARRAY(O35) * $F$15</f>
        <v>2294541.548</v>
      </c>
      <c r="P65" s="576" cm="1">
        <f t="array" ref="P65">_xlfn.ANCHORARRAY(P35) * $F$15</f>
        <v>2345512.338</v>
      </c>
      <c r="Q65" s="576" cm="1">
        <f t="array" ref="Q65">_xlfn.ANCHORARRAY(Q35) * $F$15</f>
        <v>2396560.946</v>
      </c>
      <c r="R65" s="576" cm="1">
        <f t="array" ref="R65">_xlfn.ANCHORARRAY(R35) * $F$15</f>
        <v>2447531.736</v>
      </c>
      <c r="S65" s="576" cm="1">
        <f t="array" ref="S65">_xlfn.ANCHORARRAY(S35) * $F$15</f>
        <v>2498580.344</v>
      </c>
      <c r="T65" s="576" cm="1">
        <f t="array" ref="T65">_xlfn.ANCHORARRAY(T35) * $F$15</f>
        <v>2549551.1340000001</v>
      </c>
      <c r="U65" s="576" cm="1">
        <f t="array" ref="U65">_xlfn.ANCHORARRAY(U35) * $F$15</f>
        <v>2592428.852</v>
      </c>
      <c r="V65" s="576" cm="1">
        <f t="array" ref="V65">_xlfn.ANCHORARRAY(V35) * $F$15</f>
        <v>2629470.2200000002</v>
      </c>
      <c r="W65" s="576" cm="1">
        <f t="array" ref="W65">_xlfn.ANCHORARRAY(W35) * $F$15</f>
        <v>2666589.406</v>
      </c>
      <c r="X65" s="576" cm="1">
        <f t="array" ref="X65">_xlfn.ANCHORARRAY(X35) * $F$15</f>
        <v>2703708.5920000002</v>
      </c>
      <c r="Y65" s="576" cm="1">
        <f t="array" ref="Y65">_xlfn.ANCHORARRAY(Y35) * $F$15</f>
        <v>2740827.7779999999</v>
      </c>
      <c r="Z65" s="576" cm="1">
        <f t="array" ref="Z65">_xlfn.ANCHORARRAY(Z35) * $F$15</f>
        <v>2777946.9640000002</v>
      </c>
      <c r="AA65" s="576" cm="1">
        <f t="array" ref="AA65">_xlfn.ANCHORARRAY(AA35) * $F$15</f>
        <v>2815066.15</v>
      </c>
      <c r="AB65" s="576" cm="1">
        <f t="array" ref="AB65">_xlfn.ANCHORARRAY(AB35) * $F$15</f>
        <v>2852185.3360000001</v>
      </c>
      <c r="AC65" s="576" cm="1">
        <f t="array" ref="AC65">_xlfn.ANCHORARRAY(AC35) * $F$15</f>
        <v>2889304.5220000003</v>
      </c>
      <c r="AD65" s="576" cm="1">
        <f t="array" ref="AD65">_xlfn.ANCHORARRAY(AD35) * $F$15</f>
        <v>2926423.7080000001</v>
      </c>
      <c r="AE65" s="576" cm="1">
        <f t="array" ref="AE65">_xlfn.ANCHORARRAY(AE35) * $F$15</f>
        <v>2963542.8940000003</v>
      </c>
      <c r="AF65" s="576" cm="1">
        <f t="array" ref="AF65">_xlfn.ANCHORARRAY(AF35) * $F$15</f>
        <v>3000584.2620000001</v>
      </c>
      <c r="AG65" s="714" cm="1">
        <f t="array" ref="AG65">_xlfn.ANCHORARRAY(AG35) * $F$15</f>
        <v>3037703.4480000003</v>
      </c>
      <c r="AH65" s="5"/>
      <c r="AI65" s="5"/>
      <c r="AJ65" s="5"/>
      <c r="AK65" s="5"/>
      <c r="AL65" s="5"/>
      <c r="AM65" s="5"/>
      <c r="AN65" s="5"/>
    </row>
    <row r="66" spans="2:40" ht="21.95" customHeight="1" x14ac:dyDescent="0.2">
      <c r="B66" s="704"/>
      <c r="C66" s="715"/>
      <c r="D66" s="719"/>
      <c r="E66" s="1339"/>
      <c r="F66" s="116" t="s">
        <v>341</v>
      </c>
      <c r="G66" s="116" t="s">
        <v>344</v>
      </c>
      <c r="H66" s="576" cm="1">
        <f t="array" ref="H66">_xlfn.ANCHORARRAY(H36) * $F$15</f>
        <v>1898759.2000000002</v>
      </c>
      <c r="I66" s="576" cm="1">
        <f t="array" ref="I66">_xlfn.ANCHORARRAY(I36) * $F$15</f>
        <v>1939947.6687999999</v>
      </c>
      <c r="J66" s="576" cm="1">
        <f t="array" ref="J66">_xlfn.ANCHORARRAY(J36) * $F$15</f>
        <v>2033571.1032</v>
      </c>
      <c r="K66" s="576" cm="1">
        <f t="array" ref="K66">_xlfn.ANCHORARRAY(K36) * $F$15</f>
        <v>2136250.1584000001</v>
      </c>
      <c r="L66" s="576" cm="1">
        <f t="array" ref="L66">_xlfn.ANCHORARRAY(L36) * $F$15</f>
        <v>2239002.2428000001</v>
      </c>
      <c r="M66" s="576" cm="1">
        <f t="array" ref="M66">_xlfn.ANCHORARRAY(M36) * $F$15</f>
        <v>2341681.298</v>
      </c>
      <c r="N66" s="576" cm="1">
        <f t="array" ref="N66">_xlfn.ANCHORARRAY(N36) * $F$15</f>
        <v>2444360.3531999998</v>
      </c>
      <c r="O66" s="576" cm="1">
        <f t="array" ref="O66">_xlfn.ANCHORARRAY(O36) * $F$15</f>
        <v>2547112.4376000003</v>
      </c>
      <c r="P66" s="576" cm="1">
        <f t="array" ref="P66">_xlfn.ANCHORARRAY(P36) * $F$15</f>
        <v>2603783.0967999999</v>
      </c>
      <c r="Q66" s="576" cm="1">
        <f t="array" ref="Q66">_xlfn.ANCHORARRAY(Q36) * $F$15</f>
        <v>2660380.7267999998</v>
      </c>
      <c r="R66" s="576" cm="1">
        <f t="array" ref="R66">_xlfn.ANCHORARRAY(R36) * $F$15</f>
        <v>2717051.3859999999</v>
      </c>
      <c r="S66" s="576" cm="1">
        <f t="array" ref="S66">_xlfn.ANCHORARRAY(S36) * $F$15</f>
        <v>2773649.0160000003</v>
      </c>
      <c r="T66" s="576" cm="1">
        <f t="array" ref="T66">_xlfn.ANCHORARRAY(T36) * $F$15</f>
        <v>2830319.6752000004</v>
      </c>
      <c r="U66" s="576" cm="1">
        <f t="array" ref="U66">_xlfn.ANCHORARRAY(U36) * $F$15</f>
        <v>2877788.6552000004</v>
      </c>
      <c r="V66" s="576" cm="1">
        <f t="array" ref="V66">_xlfn.ANCHORARRAY(V36) * $F$15</f>
        <v>2918977.1240000003</v>
      </c>
      <c r="W66" s="576" cm="1">
        <f t="array" ref="W66">_xlfn.ANCHORARRAY(W36) * $F$15</f>
        <v>2960238.622</v>
      </c>
      <c r="X66" s="576" cm="1">
        <f t="array" ref="X66">_xlfn.ANCHORARRAY(X36) * $F$15</f>
        <v>3001427.0907999999</v>
      </c>
      <c r="Y66" s="576" cm="1">
        <f t="array" ref="Y66">_xlfn.ANCHORARRAY(Y36) * $F$15</f>
        <v>3042615.5595999998</v>
      </c>
      <c r="Z66" s="576" cm="1">
        <f t="array" ref="Z66">_xlfn.ANCHORARRAY(Z36) * $F$15</f>
        <v>3083804.0283999997</v>
      </c>
      <c r="AA66" s="576" cm="1">
        <f t="array" ref="AA66">_xlfn.ANCHORARRAY(AA36) * $F$15</f>
        <v>3124992.4972000001</v>
      </c>
      <c r="AB66" s="576" cm="1">
        <f t="array" ref="AB66">_xlfn.ANCHORARRAY(AB36) * $F$15</f>
        <v>3166180.966</v>
      </c>
      <c r="AC66" s="576" cm="1">
        <f t="array" ref="AC66">_xlfn.ANCHORARRAY(AC36) * $F$15</f>
        <v>3207369.4347999999</v>
      </c>
      <c r="AD66" s="576" cm="1">
        <f t="array" ref="AD66">_xlfn.ANCHORARRAY(AD36) * $F$15</f>
        <v>3248557.9035999998</v>
      </c>
      <c r="AE66" s="576" cm="1">
        <f t="array" ref="AE66">_xlfn.ANCHORARRAY(AE36) * $F$15</f>
        <v>3289819.4016</v>
      </c>
      <c r="AF66" s="576" cm="1">
        <f t="array" ref="AF66">_xlfn.ANCHORARRAY(AF36) * $F$15</f>
        <v>3331007.8703999999</v>
      </c>
      <c r="AG66" s="714" cm="1">
        <f t="array" ref="AG66">_xlfn.ANCHORARRAY(AG36) * $F$15</f>
        <v>3372196.3392000003</v>
      </c>
      <c r="AH66" s="5"/>
      <c r="AI66" s="5"/>
      <c r="AJ66" s="5"/>
      <c r="AK66" s="5"/>
      <c r="AL66" s="5"/>
      <c r="AM66" s="5"/>
      <c r="AN66" s="5"/>
    </row>
    <row r="67" spans="2:40" ht="21.95" customHeight="1" x14ac:dyDescent="0.2">
      <c r="B67" s="704"/>
      <c r="C67" s="715"/>
      <c r="D67" s="719"/>
      <c r="E67" s="1339"/>
      <c r="F67" s="116" t="s">
        <v>344</v>
      </c>
      <c r="G67" s="116" t="s">
        <v>345</v>
      </c>
      <c r="H67" s="576" cm="1">
        <f t="array" ref="H67">_xlfn.ANCHORARRAY(H37) * $F$15</f>
        <v>778180</v>
      </c>
      <c r="I67" s="576" cm="1">
        <f t="array" ref="I67">_xlfn.ANCHORARRAY(I37) * $F$15</f>
        <v>795060.52</v>
      </c>
      <c r="J67" s="576" cm="1">
        <f t="array" ref="J67">_xlfn.ANCHORARRAY(J37) * $F$15</f>
        <v>833430.78</v>
      </c>
      <c r="K67" s="576" cm="1">
        <f t="array" ref="K67">_xlfn.ANCHORARRAY(K37) * $F$15</f>
        <v>875512.36</v>
      </c>
      <c r="L67" s="576" cm="1">
        <f t="array" ref="L67">_xlfn.ANCHORARRAY(L37) * $F$15</f>
        <v>917623.87</v>
      </c>
      <c r="M67" s="576" cm="1">
        <f t="array" ref="M67">_xlfn.ANCHORARRAY(M37) * $F$15</f>
        <v>959705.45000000007</v>
      </c>
      <c r="N67" s="576" cm="1">
        <f t="array" ref="N67">_xlfn.ANCHORARRAY(N37) * $F$15</f>
        <v>1001787.03</v>
      </c>
      <c r="O67" s="576" cm="1">
        <f t="array" ref="O67">_xlfn.ANCHORARRAY(O37) * $F$15</f>
        <v>1043898.54</v>
      </c>
      <c r="P67" s="576" cm="1">
        <f t="array" ref="P67">_xlfn.ANCHORARRAY(P37) * $F$15</f>
        <v>1067124.22</v>
      </c>
      <c r="Q67" s="576" cm="1">
        <f t="array" ref="Q67">_xlfn.ANCHORARRAY(Q37) * $F$15</f>
        <v>1090319.97</v>
      </c>
      <c r="R67" s="576" cm="1">
        <f t="array" ref="R67">_xlfn.ANCHORARRAY(R37) * $F$15</f>
        <v>1113545.6500000001</v>
      </c>
      <c r="S67" s="576" cm="1">
        <f t="array" ref="S67">_xlfn.ANCHORARRAY(S37) * $F$15</f>
        <v>1136741.4000000001</v>
      </c>
      <c r="T67" s="576" cm="1">
        <f t="array" ref="T67">_xlfn.ANCHORARRAY(T37) * $F$15</f>
        <v>1159967.08</v>
      </c>
      <c r="U67" s="576" cm="1">
        <f t="array" ref="U67">_xlfn.ANCHORARRAY(U37) * $F$15</f>
        <v>1179421.58</v>
      </c>
      <c r="V67" s="576" cm="1">
        <f t="array" ref="V67">_xlfn.ANCHORARRAY(V37) * $F$15</f>
        <v>1196302.1000000001</v>
      </c>
      <c r="W67" s="576" cm="1">
        <f t="array" ref="W67">_xlfn.ANCHORARRAY(W37) * $F$15</f>
        <v>1213212.55</v>
      </c>
      <c r="X67" s="576" cm="1">
        <f t="array" ref="X67">_xlfn.ANCHORARRAY(X37) * $F$15</f>
        <v>1230093.07</v>
      </c>
      <c r="Y67" s="576" cm="1">
        <f t="array" ref="Y67">_xlfn.ANCHORARRAY(Y37) * $F$15</f>
        <v>1246973.5900000001</v>
      </c>
      <c r="Z67" s="576" cm="1">
        <f t="array" ref="Z67">_xlfn.ANCHORARRAY(Z37) * $F$15</f>
        <v>1263854.1100000001</v>
      </c>
      <c r="AA67" s="576" cm="1">
        <f t="array" ref="AA67">_xlfn.ANCHORARRAY(AA37) * $F$15</f>
        <v>1280734.6300000001</v>
      </c>
      <c r="AB67" s="576" cm="1">
        <f t="array" ref="AB67">_xlfn.ANCHORARRAY(AB37) * $F$15</f>
        <v>1297615.1500000001</v>
      </c>
      <c r="AC67" s="576" cm="1">
        <f t="array" ref="AC67">_xlfn.ANCHORARRAY(AC37) * $F$15</f>
        <v>1314495.6700000002</v>
      </c>
      <c r="AD67" s="576" cm="1">
        <f t="array" ref="AD67">_xlfn.ANCHORARRAY(AD37) * $F$15</f>
        <v>1331376.19</v>
      </c>
      <c r="AE67" s="576" cm="1">
        <f t="array" ref="AE67">_xlfn.ANCHORARRAY(AE37) * $F$15</f>
        <v>1348286.6400000001</v>
      </c>
      <c r="AF67" s="576" cm="1">
        <f t="array" ref="AF67">_xlfn.ANCHORARRAY(AF37) * $F$15</f>
        <v>1365167.1600000001</v>
      </c>
      <c r="AG67" s="714" cm="1">
        <f t="array" ref="AG67">_xlfn.ANCHORARRAY(AG37) * $F$15</f>
        <v>1382047.6800000002</v>
      </c>
      <c r="AH67" s="5"/>
      <c r="AI67" s="5"/>
      <c r="AJ67" s="5"/>
      <c r="AK67" s="5"/>
      <c r="AL67" s="5"/>
      <c r="AM67" s="5"/>
      <c r="AN67" s="5"/>
    </row>
    <row r="68" spans="2:40" ht="21.95" customHeight="1" x14ac:dyDescent="0.2">
      <c r="B68" s="704"/>
      <c r="C68" s="715"/>
      <c r="D68" s="719"/>
      <c r="E68" s="1339"/>
      <c r="F68" s="116" t="s">
        <v>345</v>
      </c>
      <c r="G68" s="116" t="s">
        <v>323</v>
      </c>
      <c r="H68" s="576" cm="1">
        <f t="array" ref="H68">_xlfn.ANCHORARRAY(H38) * $F$15</f>
        <v>9386048</v>
      </c>
      <c r="I68" s="576" cm="1">
        <f t="array" ref="I68">_xlfn.ANCHORARRAY(I38) * $F$15</f>
        <v>9589691.7200000007</v>
      </c>
      <c r="J68" s="576" cm="1">
        <f t="array" ref="J68">_xlfn.ANCHORARRAY(J38) * $F$15</f>
        <v>10052423.886399999</v>
      </c>
      <c r="K68" s="576" cm="1">
        <f t="array" ref="K68">_xlfn.ANCHORARRAY(K38) * $F$15</f>
        <v>10560058.236000001</v>
      </c>
      <c r="L68" s="576" cm="1">
        <f t="array" ref="L68">_xlfn.ANCHORARRAY(L38) * $F$15</f>
        <v>11067927.2368</v>
      </c>
      <c r="M68" s="576" cm="1">
        <f t="array" ref="M68">_xlfn.ANCHORARRAY(M38) * $F$15</f>
        <v>11575628.629600001</v>
      </c>
      <c r="N68" s="576" cm="1">
        <f t="array" ref="N68">_xlfn.ANCHORARRAY(N38) * $F$15</f>
        <v>12083262.979199998</v>
      </c>
      <c r="O68" s="576" cm="1">
        <f t="array" ref="O68">_xlfn.ANCHORARRAY(O38) * $F$15</f>
        <v>12591182.262399998</v>
      </c>
      <c r="P68" s="576" cm="1">
        <f t="array" ref="P68">_xlfn.ANCHORARRAY(P38) * $F$15</f>
        <v>12871087.622399995</v>
      </c>
      <c r="Q68" s="576" cm="1">
        <f t="array" ref="Q68">_xlfn.ANCHORARRAY(Q38) * $F$15</f>
        <v>13150992.982399996</v>
      </c>
      <c r="R68" s="576" cm="1">
        <f t="array" ref="R68">_xlfn.ANCHORARRAY(R38) * $F$15</f>
        <v>13430898.342399999</v>
      </c>
      <c r="S68" s="576" cm="1">
        <f t="array" ref="S68">_xlfn.ANCHORARRAY(S38) * $F$15</f>
        <v>13710803.702400003</v>
      </c>
      <c r="T68" s="576" cm="1">
        <f t="array" ref="T68">_xlfn.ANCHORARRAY(T38) * $F$15</f>
        <v>13990809.627199998</v>
      </c>
      <c r="U68" s="576" cm="1">
        <f t="array" ref="U68">_xlfn.ANCHORARRAY(U38) * $F$15</f>
        <v>14225762.521599999</v>
      </c>
      <c r="V68" s="576" cm="1">
        <f t="array" ref="V68">_xlfn.ANCHORARRAY(V38) * $F$15</f>
        <v>14429406.241599999</v>
      </c>
      <c r="W68" s="576" cm="1">
        <f t="array" ref="W68">_xlfn.ANCHORARRAY(W38) * $F$15</f>
        <v>14633049.9616</v>
      </c>
      <c r="X68" s="576" cm="1">
        <f t="array" ref="X68">_xlfn.ANCHORARRAY(X38) * $F$15</f>
        <v>14836693.681600001</v>
      </c>
      <c r="Y68" s="576" cm="1">
        <f t="array" ref="Y68">_xlfn.ANCHORARRAY(Y38) * $F$15</f>
        <v>15040354.1624</v>
      </c>
      <c r="Z68" s="576" cm="1">
        <f t="array" ref="Z68">_xlfn.ANCHORARRAY(Z38) * $F$15</f>
        <v>15243997.882399997</v>
      </c>
      <c r="AA68" s="576" cm="1">
        <f t="array" ref="AA68">_xlfn.ANCHORARRAY(AA38) * $F$15</f>
        <v>15447658.3632</v>
      </c>
      <c r="AB68" s="576" cm="1">
        <f t="array" ref="AB68">_xlfn.ANCHORARRAY(AB38) * $F$15</f>
        <v>15651302.083200002</v>
      </c>
      <c r="AC68" s="576" cm="1">
        <f t="array" ref="AC68">_xlfn.ANCHORARRAY(AC38) * $F$15</f>
        <v>15854945.803200001</v>
      </c>
      <c r="AD68" s="576" cm="1">
        <f t="array" ref="AD68">_xlfn.ANCHORARRAY(AD38) * $F$15</f>
        <v>16058606.284</v>
      </c>
      <c r="AE68" s="576" cm="1">
        <f t="array" ref="AE68">_xlfn.ANCHORARRAY(AE38) * $F$15</f>
        <v>16262250.004000003</v>
      </c>
      <c r="AF68" s="576" cm="1">
        <f t="array" ref="AF68">_xlfn.ANCHORARRAY(AF38) * $F$15</f>
        <v>16465893.724000003</v>
      </c>
      <c r="AG68" s="714" cm="1">
        <f t="array" ref="AG68">_xlfn.ANCHORARRAY(AG38) * $F$15</f>
        <v>16669554.204799999</v>
      </c>
      <c r="AH68" s="5"/>
      <c r="AI68" s="5"/>
      <c r="AJ68" s="5"/>
      <c r="AK68" s="5"/>
      <c r="AL68" s="5"/>
      <c r="AM68" s="5"/>
      <c r="AN68" s="5"/>
    </row>
    <row r="69" spans="2:40" ht="21.95" customHeight="1" x14ac:dyDescent="0.2">
      <c r="B69" s="704"/>
      <c r="C69" s="715"/>
      <c r="D69" s="719"/>
      <c r="E69" s="1339"/>
      <c r="F69" s="116" t="s">
        <v>323</v>
      </c>
      <c r="G69" s="116" t="s">
        <v>347</v>
      </c>
      <c r="H69" s="576" cm="1">
        <f t="array" ref="H69">_xlfn.ANCHORARRAY(H39) * $F$15</f>
        <v>1676080</v>
      </c>
      <c r="I69" s="576" cm="1">
        <f t="array" ref="I69">_xlfn.ANCHORARRAY(I39) * $F$15</f>
        <v>1712444.9500000002</v>
      </c>
      <c r="J69" s="576" cm="1">
        <f t="array" ref="J69">_xlfn.ANCHORARRAY(J39) * $F$15</f>
        <v>1766606.2780000002</v>
      </c>
      <c r="K69" s="576" cm="1">
        <f t="array" ref="K69">_xlfn.ANCHORARRAY(K39) * $F$15</f>
        <v>1828785.8530000004</v>
      </c>
      <c r="L69" s="576" cm="1">
        <f t="array" ref="L69">_xlfn.ANCHORARRAY(L39) * $F$15</f>
        <v>1890983.3860000002</v>
      </c>
      <c r="M69" s="576" cm="1">
        <f t="array" ref="M69">_xlfn.ANCHORARRAY(M39) * $F$15</f>
        <v>1953174.9330000002</v>
      </c>
      <c r="N69" s="576" cm="1">
        <f t="array" ref="N69">_xlfn.ANCHORARRAY(N39) * $F$15</f>
        <v>2015354.5079999997</v>
      </c>
      <c r="O69" s="576" cm="1">
        <f t="array" ref="O69">_xlfn.ANCHORARRAY(O39) * $F$15</f>
        <v>2077561.0199999998</v>
      </c>
      <c r="P69" s="576" cm="1">
        <f t="array" ref="P69">_xlfn.ANCHORARRAY(P39) * $F$15</f>
        <v>2127544.1199999996</v>
      </c>
      <c r="Q69" s="576" cm="1">
        <f t="array" ref="Q69">_xlfn.ANCHORARRAY(Q39) * $F$15</f>
        <v>2177527.2199999997</v>
      </c>
      <c r="R69" s="576" cm="1">
        <f t="array" ref="R69">_xlfn.ANCHORARRAY(R39) * $F$15</f>
        <v>2227510.3200000003</v>
      </c>
      <c r="S69" s="576" cm="1">
        <f t="array" ref="S69">_xlfn.ANCHORARRAY(S39) * $F$15</f>
        <v>2277493.4200000004</v>
      </c>
      <c r="T69" s="576" cm="1">
        <f t="array" ref="T69">_xlfn.ANCHORARRAY(T39) * $F$15</f>
        <v>2327494.4779999997</v>
      </c>
      <c r="U69" s="576" cm="1">
        <f t="array" ref="U69">_xlfn.ANCHORARRAY(U39) * $F$15</f>
        <v>2369450.352</v>
      </c>
      <c r="V69" s="576" cm="1">
        <f t="array" ref="V69">_xlfn.ANCHORARRAY(V39) * $F$15</f>
        <v>2405815.3019999997</v>
      </c>
      <c r="W69" s="576" cm="1">
        <f t="array" ref="W69">_xlfn.ANCHORARRAY(W39) * $F$15</f>
        <v>2442180.2519999999</v>
      </c>
      <c r="X69" s="576" cm="1">
        <f t="array" ref="X69">_xlfn.ANCHORARRAY(X39) * $F$15</f>
        <v>2478545.2020000005</v>
      </c>
      <c r="Y69" s="576" cm="1">
        <f t="array" ref="Y69">_xlfn.ANCHORARRAY(Y39) * $F$15</f>
        <v>2514913.145</v>
      </c>
      <c r="Z69" s="576" cm="1">
        <f t="array" ref="Z69">_xlfn.ANCHORARRAY(Z39) * $F$15</f>
        <v>2551278.0949999997</v>
      </c>
      <c r="AA69" s="576" cm="1">
        <f t="array" ref="AA69">_xlfn.ANCHORARRAY(AA39) * $F$15</f>
        <v>2587646.0380000006</v>
      </c>
      <c r="AB69" s="576" cm="1">
        <f t="array" ref="AB69">_xlfn.ANCHORARRAY(AB39) * $F$15</f>
        <v>2624010.9880000008</v>
      </c>
      <c r="AC69" s="576" cm="1">
        <f t="array" ref="AC69">_xlfn.ANCHORARRAY(AC39) * $F$15</f>
        <v>2660375.9380000005</v>
      </c>
      <c r="AD69" s="576" cm="1">
        <f t="array" ref="AD69">_xlfn.ANCHORARRAY(AD39) * $F$15</f>
        <v>2696743.8810000001</v>
      </c>
      <c r="AE69" s="576" cm="1">
        <f t="array" ref="AE69">_xlfn.ANCHORARRAY(AE39) * $F$15</f>
        <v>2733108.8310000002</v>
      </c>
      <c r="AF69" s="576" cm="1">
        <f t="array" ref="AF69">_xlfn.ANCHORARRAY(AF39) * $F$15</f>
        <v>2769473.7810000009</v>
      </c>
      <c r="AG69" s="714" cm="1">
        <f t="array" ref="AG69">_xlfn.ANCHORARRAY(AG39) * $F$15</f>
        <v>2805841.7239999999</v>
      </c>
      <c r="AH69" s="5"/>
      <c r="AI69" s="5"/>
      <c r="AJ69" s="5"/>
      <c r="AK69" s="5"/>
      <c r="AL69" s="5"/>
      <c r="AM69" s="5"/>
      <c r="AN69" s="5"/>
    </row>
    <row r="70" spans="2:40" ht="21.95" customHeight="1" x14ac:dyDescent="0.2">
      <c r="B70" s="704"/>
      <c r="C70" s="715"/>
      <c r="D70" s="719"/>
      <c r="E70" s="1339"/>
      <c r="F70" s="116" t="s">
        <v>347</v>
      </c>
      <c r="G70" s="116" t="s">
        <v>348</v>
      </c>
      <c r="H70" s="576" cm="1">
        <f t="array" ref="H70">_xlfn.ANCHORARRAY(H40) * $F$15</f>
        <v>1173256</v>
      </c>
      <c r="I70" s="576" cm="1">
        <f t="array" ref="I70">_xlfn.ANCHORARRAY(I40) * $F$15</f>
        <v>1198711.4650000001</v>
      </c>
      <c r="J70" s="576" cm="1">
        <f t="array" ref="J70">_xlfn.ANCHORARRAY(J40) * $F$15</f>
        <v>1236624.3946</v>
      </c>
      <c r="K70" s="576" cm="1">
        <f t="array" ref="K70">_xlfn.ANCHORARRAY(K40) * $F$15</f>
        <v>1280150.0971000001</v>
      </c>
      <c r="L70" s="576" cm="1">
        <f t="array" ref="L70">_xlfn.ANCHORARRAY(L40) * $F$15</f>
        <v>1323688.3702</v>
      </c>
      <c r="M70" s="576" cm="1">
        <f t="array" ref="M70">_xlfn.ANCHORARRAY(M40) * $F$15</f>
        <v>1367222.4531</v>
      </c>
      <c r="N70" s="576" cm="1">
        <f t="array" ref="N70">_xlfn.ANCHORARRAY(N40) * $F$15</f>
        <v>1410748.1555999997</v>
      </c>
      <c r="O70" s="576" cm="1">
        <f t="array" ref="O70">_xlfn.ANCHORARRAY(O40) * $F$15</f>
        <v>1454292.7139999997</v>
      </c>
      <c r="P70" s="576" cm="1">
        <f t="array" ref="P70">_xlfn.ANCHORARRAY(P40) * $F$15</f>
        <v>1489280.8839999998</v>
      </c>
      <c r="Q70" s="576" cm="1">
        <f t="array" ref="Q70">_xlfn.ANCHORARRAY(Q40) * $F$15</f>
        <v>1524269.0539999998</v>
      </c>
      <c r="R70" s="576" cm="1">
        <f t="array" ref="R70">_xlfn.ANCHORARRAY(R40) * $F$15</f>
        <v>1559257.2240000002</v>
      </c>
      <c r="S70" s="576" cm="1">
        <f t="array" ref="S70">_xlfn.ANCHORARRAY(S40) * $F$15</f>
        <v>1594245.3940000001</v>
      </c>
      <c r="T70" s="576" cm="1">
        <f t="array" ref="T70">_xlfn.ANCHORARRAY(T40) * $F$15</f>
        <v>1629246.1345999998</v>
      </c>
      <c r="U70" s="576" cm="1">
        <f t="array" ref="U70">_xlfn.ANCHORARRAY(U40) * $F$15</f>
        <v>1658615.2463999996</v>
      </c>
      <c r="V70" s="576" cm="1">
        <f t="array" ref="V70">_xlfn.ANCHORARRAY(V40) * $F$15</f>
        <v>1684070.7113999997</v>
      </c>
      <c r="W70" s="576" cm="1">
        <f t="array" ref="W70">_xlfn.ANCHORARRAY(W40) * $F$15</f>
        <v>1709526.1763999998</v>
      </c>
      <c r="X70" s="576" cm="1">
        <f t="array" ref="X70">_xlfn.ANCHORARRAY(X40) * $F$15</f>
        <v>1734981.6414000003</v>
      </c>
      <c r="Y70" s="576" cm="1">
        <f t="array" ref="Y70">_xlfn.ANCHORARRAY(Y40) * $F$15</f>
        <v>1760439.2015</v>
      </c>
      <c r="Z70" s="576" cm="1">
        <f t="array" ref="Z70">_xlfn.ANCHORARRAY(Z40) * $F$15</f>
        <v>1785894.6664999998</v>
      </c>
      <c r="AA70" s="576" cm="1">
        <f t="array" ref="AA70">_xlfn.ANCHORARRAY(AA40) * $F$15</f>
        <v>1811352.2266000002</v>
      </c>
      <c r="AB70" s="576" cm="1">
        <f t="array" ref="AB70">_xlfn.ANCHORARRAY(AB40) * $F$15</f>
        <v>1836807.6916000005</v>
      </c>
      <c r="AC70" s="576" cm="1">
        <f t="array" ref="AC70">_xlfn.ANCHORARRAY(AC40) * $F$15</f>
        <v>1862263.1566000001</v>
      </c>
      <c r="AD70" s="576" cm="1">
        <f t="array" ref="AD70">_xlfn.ANCHORARRAY(AD40) * $F$15</f>
        <v>1887720.7167</v>
      </c>
      <c r="AE70" s="576" cm="1">
        <f t="array" ref="AE70">_xlfn.ANCHORARRAY(AE40) * $F$15</f>
        <v>1913176.1817000003</v>
      </c>
      <c r="AF70" s="576" cm="1">
        <f t="array" ref="AF70">_xlfn.ANCHORARRAY(AF40) * $F$15</f>
        <v>1938631.6467000006</v>
      </c>
      <c r="AG70" s="714" cm="1">
        <f t="array" ref="AG70">_xlfn.ANCHORARRAY(AG40) * $F$15</f>
        <v>1964089.2068</v>
      </c>
      <c r="AH70" s="5"/>
      <c r="AI70" s="5"/>
      <c r="AJ70" s="5"/>
      <c r="AK70" s="5"/>
      <c r="AL70" s="5"/>
      <c r="AM70" s="5"/>
      <c r="AN70" s="5"/>
    </row>
    <row r="71" spans="2:40" ht="21.95" customHeight="1" x14ac:dyDescent="0.2">
      <c r="B71" s="704"/>
      <c r="C71" s="715"/>
      <c r="D71" s="719"/>
      <c r="E71" s="1353"/>
      <c r="F71" s="254" t="s">
        <v>348</v>
      </c>
      <c r="G71" s="254" t="s">
        <v>349</v>
      </c>
      <c r="H71" s="576" cm="1">
        <f t="array" ref="H71">_xlfn.ANCHORARRAY(H41) * $F$15</f>
        <v>1915520</v>
      </c>
      <c r="I71" s="576" cm="1">
        <f t="array" ref="I71">_xlfn.ANCHORARRAY(I41) * $F$15</f>
        <v>1961273.9910000002</v>
      </c>
      <c r="J71" s="576" cm="1">
        <f t="array" ref="J71">_xlfn.ANCHORARRAY(J41) * $F$15</f>
        <v>2024830.3460000001</v>
      </c>
      <c r="K71" s="576" cm="1">
        <f t="array" ref="K71">_xlfn.ANCHORARRAY(K41) * $F$15</f>
        <v>2109238.9319999996</v>
      </c>
      <c r="L71" s="576" cm="1">
        <f t="array" ref="L71">_xlfn.ANCHORARRAY(L41) * $F$15</f>
        <v>2193671.4620000003</v>
      </c>
      <c r="M71" s="576" cm="1">
        <f t="array" ref="M71">_xlfn.ANCHORARRAY(M41) * $F$15</f>
        <v>2278109.9780000006</v>
      </c>
      <c r="N71" s="576" cm="1">
        <f t="array" ref="N71">_xlfn.ANCHORARRAY(N41) * $F$15</f>
        <v>2362518.5640000002</v>
      </c>
      <c r="O71" s="576" cm="1">
        <f t="array" ref="O71">_xlfn.ANCHORARRAY(O41) * $F$15</f>
        <v>2446975.0380000006</v>
      </c>
      <c r="P71" s="576" cm="1">
        <f t="array" ref="P71">_xlfn.ANCHORARRAY(P41) * $F$15</f>
        <v>2527582.514</v>
      </c>
      <c r="Q71" s="576" cm="1">
        <f t="array" ref="Q71">_xlfn.ANCHORARRAY(Q41) * $F$15</f>
        <v>2608192.983</v>
      </c>
      <c r="R71" s="576" cm="1">
        <f t="array" ref="R71">_xlfn.ANCHORARRAY(R41) * $F$15</f>
        <v>2688800.4589999998</v>
      </c>
      <c r="S71" s="576" cm="1">
        <f t="array" ref="S71">_xlfn.ANCHORARRAY(S41) * $F$15</f>
        <v>2769407.9350000001</v>
      </c>
      <c r="T71" s="576" cm="1">
        <f t="array" ref="T71">_xlfn.ANCHORARRAY(T41) * $F$15</f>
        <v>2850063.2990000001</v>
      </c>
      <c r="U71" s="576" cm="1">
        <f t="array" ref="U71">_xlfn.ANCHORARRAY(U41) * $F$15</f>
        <v>2909794.6</v>
      </c>
      <c r="V71" s="576" cm="1">
        <f t="array" ref="V71">_xlfn.ANCHORARRAY(V41) * $F$15</f>
        <v>2955548.591</v>
      </c>
      <c r="W71" s="576" cm="1">
        <f t="array" ref="W71">_xlfn.ANCHORARRAY(W41) * $F$15</f>
        <v>3001302.5819999999</v>
      </c>
      <c r="X71" s="576" cm="1">
        <f t="array" ref="X71">_xlfn.ANCHORARRAY(X41) * $F$15</f>
        <v>3047056.5730000003</v>
      </c>
      <c r="Y71" s="576" cm="1">
        <f t="array" ref="Y71">_xlfn.ANCHORARRAY(Y41) * $F$15</f>
        <v>3092819.5430000001</v>
      </c>
      <c r="Z71" s="576" cm="1">
        <f t="array" ref="Z71">_xlfn.ANCHORARRAY(Z41) * $F$15</f>
        <v>3138573.5339999995</v>
      </c>
      <c r="AA71" s="576" cm="1">
        <f t="array" ref="AA71">_xlfn.ANCHORARRAY(AA41) * $F$15</f>
        <v>3184336.5040000002</v>
      </c>
      <c r="AB71" s="576" cm="1">
        <f t="array" ref="AB71">_xlfn.ANCHORARRAY(AB41) * $F$15</f>
        <v>3230090.4950000001</v>
      </c>
      <c r="AC71" s="576" cm="1">
        <f t="array" ref="AC71">_xlfn.ANCHORARRAY(AC41) * $F$15</f>
        <v>3275844.486</v>
      </c>
      <c r="AD71" s="576" cm="1">
        <f t="array" ref="AD71">_xlfn.ANCHORARRAY(AD41) * $F$15</f>
        <v>3321607.4560000002</v>
      </c>
      <c r="AE71" s="576" cm="1">
        <f t="array" ref="AE71">_xlfn.ANCHORARRAY(AE41) * $F$15</f>
        <v>3367361.4470000002</v>
      </c>
      <c r="AF71" s="576" cm="1">
        <f t="array" ref="AF71">_xlfn.ANCHORARRAY(AF41) * $F$15</f>
        <v>3413115.4380000001</v>
      </c>
      <c r="AG71" s="714" cm="1">
        <f t="array" ref="AG71">_xlfn.ANCHORARRAY(AG41) * $F$15</f>
        <v>3458878.4080000003</v>
      </c>
      <c r="AH71" s="5"/>
      <c r="AI71" s="5"/>
      <c r="AJ71" s="5"/>
      <c r="AK71" s="5"/>
      <c r="AL71" s="5"/>
      <c r="AM71" s="5"/>
      <c r="AN71" s="5"/>
    </row>
    <row r="72" spans="2:40" ht="21.95" customHeight="1" x14ac:dyDescent="0.2">
      <c r="B72" s="704"/>
      <c r="C72" s="715"/>
      <c r="D72" s="719"/>
      <c r="E72" s="116" t="s">
        <v>288</v>
      </c>
      <c r="F72" s="116" t="s">
        <v>323</v>
      </c>
      <c r="G72" s="116" t="s">
        <v>348</v>
      </c>
      <c r="H72" s="576" cm="1">
        <f t="array" ref="H72">_xlfn.ANCHORARRAY(H42) * $F$15</f>
        <v>215496</v>
      </c>
      <c r="I72" s="576" cm="1">
        <f t="array" ref="I72">_xlfn.ANCHORARRAY(I42) * $F$15</f>
        <v>223574.70559999999</v>
      </c>
      <c r="J72" s="576" cm="1">
        <f t="array" ref="J72">_xlfn.ANCHORARRAY(J42) * $F$15</f>
        <v>235932.204</v>
      </c>
      <c r="K72" s="576" cm="1">
        <f t="array" ref="K72">_xlfn.ANCHORARRAY(K42) * $F$15</f>
        <v>275194.37800000008</v>
      </c>
      <c r="L72" s="576" cm="1">
        <f t="array" ref="L72">_xlfn.ANCHORARRAY(L42) * $F$15</f>
        <v>314462.538</v>
      </c>
      <c r="M72" s="576" cm="1">
        <f t="array" ref="M72">_xlfn.ANCHORARRAY(M42) * $F$15</f>
        <v>353772.59999999992</v>
      </c>
      <c r="N72" s="576" cm="1">
        <f t="array" ref="N72">_xlfn.ANCHORARRAY(N42) * $F$15</f>
        <v>393034.77400000003</v>
      </c>
      <c r="O72" s="576" cm="1">
        <f t="array" ref="O72">_xlfn.ANCHORARRAY(O42) * $F$15</f>
        <v>432335.25840000005</v>
      </c>
      <c r="P72" s="576" cm="1">
        <f t="array" ref="P72">_xlfn.ANCHORARRAY(P42) * $F$15</f>
        <v>484117.75</v>
      </c>
      <c r="Q72" s="576" cm="1">
        <f t="array" ref="Q72">_xlfn.ANCHORARRAY(Q42) * $F$15</f>
        <v>535887.07240000006</v>
      </c>
      <c r="R72" s="576" cm="1">
        <f t="array" ref="R72">_xlfn.ANCHORARRAY(R42) * $F$15</f>
        <v>587675.55000000005</v>
      </c>
      <c r="S72" s="576" cm="1">
        <f t="array" ref="S72">_xlfn.ANCHORARRAY(S42) * $F$15</f>
        <v>639458.04160000023</v>
      </c>
      <c r="T72" s="576" cm="1">
        <f t="array" ref="T72">_xlfn.ANCHORARRAY(T42) * $F$15</f>
        <v>691299.196</v>
      </c>
      <c r="U72" s="576" cm="1">
        <f t="array" ref="U72">_xlfn.ANCHORARRAY(U42) * $F$15</f>
        <v>716150.67359999998</v>
      </c>
      <c r="V72" s="576" cm="1">
        <f t="array" ref="V72">_xlfn.ANCHORARRAY(V42) * $F$15</f>
        <v>724229.37919999997</v>
      </c>
      <c r="W72" s="576" cm="1">
        <f t="array" ref="W72">_xlfn.ANCHORARRAY(W42) * $F$15</f>
        <v>732308.08479999995</v>
      </c>
      <c r="X72" s="576" cm="1">
        <f t="array" ref="X72">_xlfn.ANCHORARRAY(X42) * $F$15</f>
        <v>740386.79039999994</v>
      </c>
      <c r="Y72" s="576" cm="1">
        <f t="array" ref="Y72">_xlfn.ANCHORARRAY(Y42) * $F$15</f>
        <v>748473.87639999995</v>
      </c>
      <c r="Z72" s="576" cm="1">
        <f t="array" ref="Z72">_xlfn.ANCHORARRAY(Z42) * $F$15</f>
        <v>756552.58199999994</v>
      </c>
      <c r="AA72" s="576" cm="1">
        <f t="array" ref="AA72">_xlfn.ANCHORARRAY(AA42) * $F$15</f>
        <v>764639.66800000006</v>
      </c>
      <c r="AB72" s="576" cm="1">
        <f t="array" ref="AB72">_xlfn.ANCHORARRAY(AB42) * $F$15</f>
        <v>772718.37360000005</v>
      </c>
      <c r="AC72" s="576" cm="1">
        <f t="array" ref="AC72">_xlfn.ANCHORARRAY(AC42) * $F$15</f>
        <v>780797.07920000004</v>
      </c>
      <c r="AD72" s="576" cm="1">
        <f t="array" ref="AD72">_xlfn.ANCHORARRAY(AD42) * $F$15</f>
        <v>788884.16520000005</v>
      </c>
      <c r="AE72" s="576" cm="1">
        <f t="array" ref="AE72">_xlfn.ANCHORARRAY(AE42) * $F$15</f>
        <v>796962.87080000027</v>
      </c>
      <c r="AF72" s="576" cm="1">
        <f t="array" ref="AF72">_xlfn.ANCHORARRAY(AF42) * $F$15</f>
        <v>805041.57640000002</v>
      </c>
      <c r="AG72" s="714" cm="1">
        <f t="array" ref="AG72">_xlfn.ANCHORARRAY(AG42) * $F$15</f>
        <v>813128.66240000003</v>
      </c>
      <c r="AH72" s="5"/>
      <c r="AI72" s="5"/>
      <c r="AJ72" s="5"/>
      <c r="AK72" s="5"/>
      <c r="AL72" s="5"/>
      <c r="AM72" s="5"/>
      <c r="AN72" s="5"/>
    </row>
    <row r="73" spans="2:40" ht="21.95" customHeight="1" x14ac:dyDescent="0.2">
      <c r="B73" s="704"/>
      <c r="C73" s="715"/>
      <c r="D73" s="719"/>
      <c r="E73" s="277" t="s">
        <v>340</v>
      </c>
      <c r="F73" s="277" t="s">
        <v>335</v>
      </c>
      <c r="G73" s="277" t="s">
        <v>323</v>
      </c>
      <c r="H73" s="576" cm="1">
        <f t="array" ref="H73">_xlfn.ANCHORARRAY(H43) * $F$15</f>
        <v>0</v>
      </c>
      <c r="I73" s="576" cm="1">
        <f t="array" ref="I73">_xlfn.ANCHORARRAY(I43) * $F$15</f>
        <v>0</v>
      </c>
      <c r="J73" s="576" cm="1">
        <f t="array" ref="J73">_xlfn.ANCHORARRAY(J43) * $F$15</f>
        <v>0</v>
      </c>
      <c r="K73" s="576" cm="1">
        <f t="array" ref="K73">_xlfn.ANCHORARRAY(K43) * $F$15</f>
        <v>0</v>
      </c>
      <c r="L73" s="576" cm="1">
        <f t="array" ref="L73">_xlfn.ANCHORARRAY(L43) * $F$15</f>
        <v>0</v>
      </c>
      <c r="M73" s="576" cm="1">
        <f t="array" ref="M73">_xlfn.ANCHORARRAY(M43) * $F$15</f>
        <v>0</v>
      </c>
      <c r="N73" s="576" cm="1">
        <f t="array" ref="N73">_xlfn.ANCHORARRAY(N43) * $F$15</f>
        <v>0</v>
      </c>
      <c r="O73" s="576" cm="1">
        <f t="array" ref="O73">_xlfn.ANCHORARRAY(O43) * $F$15</f>
        <v>0</v>
      </c>
      <c r="P73" s="576" cm="1">
        <f t="array" ref="P73">_xlfn.ANCHORARRAY(P43) * $F$15</f>
        <v>0</v>
      </c>
      <c r="Q73" s="576" cm="1">
        <f t="array" ref="Q73">_xlfn.ANCHORARRAY(Q43) * $F$15</f>
        <v>0</v>
      </c>
      <c r="R73" s="576" cm="1">
        <f t="array" ref="R73">_xlfn.ANCHORARRAY(R43) * $F$15</f>
        <v>0</v>
      </c>
      <c r="S73" s="576" cm="1">
        <f t="array" ref="S73">_xlfn.ANCHORARRAY(S43) * $F$15</f>
        <v>0</v>
      </c>
      <c r="T73" s="576" cm="1">
        <f t="array" ref="T73">_xlfn.ANCHORARRAY(T43) * $F$15</f>
        <v>0</v>
      </c>
      <c r="U73" s="576" cm="1">
        <f t="array" ref="U73">_xlfn.ANCHORARRAY(U43) * $F$15</f>
        <v>0</v>
      </c>
      <c r="V73" s="576" cm="1">
        <f t="array" ref="V73">_xlfn.ANCHORARRAY(V43) * $F$15</f>
        <v>0</v>
      </c>
      <c r="W73" s="576" cm="1">
        <f t="array" ref="W73">_xlfn.ANCHORARRAY(W43) * $F$15</f>
        <v>0</v>
      </c>
      <c r="X73" s="576" cm="1">
        <f t="array" ref="X73">_xlfn.ANCHORARRAY(X43) * $F$15</f>
        <v>0</v>
      </c>
      <c r="Y73" s="576" cm="1">
        <f t="array" ref="Y73">_xlfn.ANCHORARRAY(Y43) * $F$15</f>
        <v>0</v>
      </c>
      <c r="Z73" s="576" cm="1">
        <f t="array" ref="Z73">_xlfn.ANCHORARRAY(Z43) * $F$15</f>
        <v>0</v>
      </c>
      <c r="AA73" s="576" cm="1">
        <f t="array" ref="AA73">_xlfn.ANCHORARRAY(AA43) * $F$15</f>
        <v>0</v>
      </c>
      <c r="AB73" s="576" cm="1">
        <f t="array" ref="AB73">_xlfn.ANCHORARRAY(AB43) * $F$15</f>
        <v>0</v>
      </c>
      <c r="AC73" s="576" cm="1">
        <f t="array" ref="AC73">_xlfn.ANCHORARRAY(AC43) * $F$15</f>
        <v>0</v>
      </c>
      <c r="AD73" s="576" cm="1">
        <f t="array" ref="AD73">_xlfn.ANCHORARRAY(AD43) * $F$15</f>
        <v>0</v>
      </c>
      <c r="AE73" s="576" cm="1">
        <f t="array" ref="AE73">_xlfn.ANCHORARRAY(AE43) * $F$15</f>
        <v>0</v>
      </c>
      <c r="AF73" s="576" cm="1">
        <f t="array" ref="AF73">_xlfn.ANCHORARRAY(AF43) * $F$15</f>
        <v>0</v>
      </c>
      <c r="AG73" s="714" cm="1">
        <f t="array" ref="AG73">_xlfn.ANCHORARRAY(AG43) * $F$15</f>
        <v>0</v>
      </c>
      <c r="AH73" s="5"/>
      <c r="AI73" s="5"/>
      <c r="AJ73" s="5"/>
      <c r="AK73" s="5"/>
      <c r="AL73" s="5"/>
      <c r="AM73" s="5"/>
      <c r="AN73" s="5"/>
    </row>
    <row r="74" spans="2:40" ht="21.95" customHeight="1" x14ac:dyDescent="0.2">
      <c r="B74" s="704"/>
      <c r="C74" s="715"/>
      <c r="D74" s="719"/>
      <c r="E74" s="277" t="s">
        <v>357</v>
      </c>
      <c r="F74" s="277" t="s">
        <v>338</v>
      </c>
      <c r="G74" s="277" t="s">
        <v>323</v>
      </c>
      <c r="H74" s="576" cm="1">
        <f t="array" ref="H74">_xlfn.ANCHORARRAY(H44) * $F$15</f>
        <v>399647.12727272726</v>
      </c>
      <c r="I74" s="576" cm="1">
        <f t="array" ref="I74">_xlfn.ANCHORARRAY(I44) * $F$15</f>
        <v>405823.89565090905</v>
      </c>
      <c r="J74" s="576" cm="1">
        <f t="array" ref="J74">_xlfn.ANCHORARRAY(J44) * $F$15</f>
        <v>415972.71242181817</v>
      </c>
      <c r="K74" s="576" cm="1">
        <f t="array" ref="K74">_xlfn.ANCHORARRAY(K44) * $F$15</f>
        <v>450465.58989818185</v>
      </c>
      <c r="L74" s="576" cm="1">
        <f t="array" ref="L74">_xlfn.ANCHORARRAY(L44) * $F$15</f>
        <v>484962.90789818182</v>
      </c>
      <c r="M74" s="576" cm="1">
        <f t="array" ref="M74">_xlfn.ANCHORARRAY(M44) * $F$15</f>
        <v>519500.19061090902</v>
      </c>
      <c r="N74" s="576" cm="1">
        <f t="array" ref="N74">_xlfn.ANCHORARRAY(N44) * $F$15</f>
        <v>553993.06808727258</v>
      </c>
      <c r="O74" s="576" cm="1">
        <f t="array" ref="O74">_xlfn.ANCHORARRAY(O44) * $F$15</f>
        <v>588524.80014545447</v>
      </c>
      <c r="P74" s="576" cm="1">
        <f t="array" ref="P74">_xlfn.ANCHORARRAY(P44) * $F$15</f>
        <v>629437.56466909079</v>
      </c>
      <c r="Q74" s="576" cm="1">
        <f t="array" ref="Q74">_xlfn.ANCHORARRAY(Q44) * $F$15</f>
        <v>670341.4481454544</v>
      </c>
      <c r="R74" s="576" cm="1">
        <f t="array" ref="R74">_xlfn.ANCHORARRAY(R44) * $F$15</f>
        <v>711265.31397818169</v>
      </c>
      <c r="S74" s="576" cm="1">
        <f t="array" ref="S74">_xlfn.ANCHORARRAY(S44) * $F$15</f>
        <v>752178.07850181824</v>
      </c>
      <c r="T74" s="576" cm="1">
        <f t="array" ref="T74">_xlfn.ANCHORARRAY(T44) * $F$15</f>
        <v>793148.5698327272</v>
      </c>
      <c r="U74" s="576" cm="1">
        <f t="array" ref="U74">_xlfn.ANCHORARRAY(U44) * $F$15</f>
        <v>809693.96090181812</v>
      </c>
      <c r="V74" s="576" cm="1">
        <f t="array" ref="V74">_xlfn.ANCHORARRAY(V44) * $F$15</f>
        <v>815870.72927999985</v>
      </c>
      <c r="W74" s="576" cm="1">
        <f t="array" ref="W74">_xlfn.ANCHORARRAY(W44) * $F$15</f>
        <v>822047.49765818194</v>
      </c>
      <c r="X74" s="576" cm="1">
        <f t="array" ref="X74">_xlfn.ANCHORARRAY(X44) * $F$15</f>
        <v>828224.26603636367</v>
      </c>
      <c r="Y74" s="576" cm="1">
        <f t="array" ref="Y74">_xlfn.ANCHORARRAY(Y44) * $F$15</f>
        <v>834413.2458545455</v>
      </c>
      <c r="Z74" s="576" cm="1">
        <f t="array" ref="Z74">_xlfn.ANCHORARRAY(Z44) * $F$15</f>
        <v>840590.01423272735</v>
      </c>
      <c r="AA74" s="576" cm="1">
        <f t="array" ref="AA74">_xlfn.ANCHORARRAY(AA44) * $F$15</f>
        <v>846778.99405090907</v>
      </c>
      <c r="AB74" s="576" cm="1">
        <f t="array" ref="AB74">_xlfn.ANCHORARRAY(AB44) * $F$15</f>
        <v>852955.76242909103</v>
      </c>
      <c r="AC74" s="576" cm="1">
        <f t="array" ref="AC74">_xlfn.ANCHORARRAY(AC44) * $F$15</f>
        <v>859132.53080727288</v>
      </c>
      <c r="AD74" s="576" cm="1">
        <f t="array" ref="AD74">_xlfn.ANCHORARRAY(AD44) * $F$15</f>
        <v>865321.5106254546</v>
      </c>
      <c r="AE74" s="576" cm="1">
        <f t="array" ref="AE74">_xlfn.ANCHORARRAY(AE44) * $F$15</f>
        <v>871498.27900363645</v>
      </c>
      <c r="AF74" s="576" cm="1">
        <f t="array" ref="AF74">_xlfn.ANCHORARRAY(AF44) * $F$15</f>
        <v>877675.04738181841</v>
      </c>
      <c r="AG74" s="714" cm="1">
        <f t="array" ref="AG74">_xlfn.ANCHORARRAY(AG44) * $F$15</f>
        <v>883864.02720000001</v>
      </c>
      <c r="AH74" s="5"/>
      <c r="AI74" s="5"/>
      <c r="AJ74" s="5"/>
      <c r="AK74" s="5"/>
      <c r="AL74" s="5"/>
      <c r="AM74" s="5"/>
      <c r="AN74" s="5"/>
    </row>
    <row r="75" spans="2:40" ht="21.95" customHeight="1" x14ac:dyDescent="0.2">
      <c r="B75" s="704"/>
      <c r="C75" s="715"/>
      <c r="D75" s="719"/>
      <c r="E75" s="116" t="s">
        <v>338</v>
      </c>
      <c r="F75" s="116" t="s">
        <v>282</v>
      </c>
      <c r="G75" s="116" t="s">
        <v>357</v>
      </c>
      <c r="H75" s="576" cm="1">
        <f t="array" ref="H75">_xlfn.ANCHORARRAY(H45) * $F$15</f>
        <v>1435279.5454545456</v>
      </c>
      <c r="I75" s="576" cm="1">
        <f t="array" ref="I75">_xlfn.ANCHORARRAY(I45) * $F$15</f>
        <v>1488650.4153522728</v>
      </c>
      <c r="J75" s="576" cm="1">
        <f t="array" ref="J75">_xlfn.ANCHORARRAY(J45) * $F$15</f>
        <v>1545463.0855999999</v>
      </c>
      <c r="K75" s="576" cm="1">
        <f t="array" ref="K75">_xlfn.ANCHORARRAY(K45) * $F$15</f>
        <v>1671499.2883249999</v>
      </c>
      <c r="L75" s="576" cm="1">
        <f t="array" ref="L75">_xlfn.ANCHORARRAY(L45) * $F$15</f>
        <v>1797567.0672000004</v>
      </c>
      <c r="M75" s="576" cm="1">
        <f t="array" ref="M75">_xlfn.ANCHORARRAY(M45) * $F$15</f>
        <v>1923703.7394931824</v>
      </c>
      <c r="N75" s="576" cm="1">
        <f t="array" ref="N75">_xlfn.ANCHORARRAY(N45) * $F$15</f>
        <v>2049739.9422181828</v>
      </c>
      <c r="O75" s="576" cm="1">
        <f t="array" ref="O75">_xlfn.ANCHORARRAY(O45) * $F$15</f>
        <v>2175886.6614681822</v>
      </c>
      <c r="P75" s="576" cm="1">
        <f t="array" ref="P75">_xlfn.ANCHORARRAY(P45) * $F$15</f>
        <v>2345479.292559091</v>
      </c>
      <c r="Q75" s="576" cm="1">
        <f t="array" ref="Q75">_xlfn.ANCHORARRAY(Q45) * $F$15</f>
        <v>2515079.1000477271</v>
      </c>
      <c r="R75" s="576" cm="1">
        <f t="array" ref="R75">_xlfn.ANCHORARRAY(R45) * $F$15</f>
        <v>2684671.7311386359</v>
      </c>
      <c r="S75" s="576" cm="1">
        <f t="array" ref="S75">_xlfn.ANCHORARRAY(S45) * $F$15</f>
        <v>2854264.3622295456</v>
      </c>
      <c r="T75" s="576" cm="1">
        <f t="array" ref="T75">_xlfn.ANCHORARRAY(T45) * $F$15</f>
        <v>3024014.8740704553</v>
      </c>
      <c r="U75" s="576" cm="1">
        <f t="array" ref="U75">_xlfn.ANCHORARRAY(U45) * $F$15</f>
        <v>3124305.0323090912</v>
      </c>
      <c r="V75" s="576" cm="1">
        <f t="array" ref="V75">_xlfn.ANCHORARRAY(V45) * $F$15</f>
        <v>3177675.9022068181</v>
      </c>
      <c r="W75" s="576" cm="1">
        <f t="array" ref="W75">_xlfn.ANCHORARRAY(W45) * $F$15</f>
        <v>3231046.772104545</v>
      </c>
      <c r="X75" s="576" cm="1">
        <f t="array" ref="X75">_xlfn.ANCHORARRAY(X45) * $F$15</f>
        <v>3284417.6420022724</v>
      </c>
      <c r="Y75" s="576" cm="1">
        <f t="array" ref="Y75">_xlfn.ANCHORARRAY(Y45) * $F$15</f>
        <v>3337817.2174909092</v>
      </c>
      <c r="Z75" s="576" cm="1">
        <f t="array" ref="Z75">_xlfn.ANCHORARRAY(Z45) * $F$15</f>
        <v>3391188.0873886361</v>
      </c>
      <c r="AA75" s="576" cm="1">
        <f t="array" ref="AA75">_xlfn.ANCHORARRAY(AA45) * $F$15</f>
        <v>3444587.6628772728</v>
      </c>
      <c r="AB75" s="576" cm="1">
        <f t="array" ref="AB75">_xlfn.ANCHORARRAY(AB45) * $F$15</f>
        <v>3497958.5327750011</v>
      </c>
      <c r="AC75" s="576" cm="1">
        <f t="array" ref="AC75">_xlfn.ANCHORARRAY(AC45) * $F$15</f>
        <v>3551329.4026727276</v>
      </c>
      <c r="AD75" s="576" cm="1">
        <f t="array" ref="AD75">_xlfn.ANCHORARRAY(AD45) * $F$15</f>
        <v>3604728.9781613634</v>
      </c>
      <c r="AE75" s="576" cm="1">
        <f t="array" ref="AE75">_xlfn.ANCHORARRAY(AE45) * $F$15</f>
        <v>3658099.8480590913</v>
      </c>
      <c r="AF75" s="576" cm="1">
        <f t="array" ref="AF75">_xlfn.ANCHORARRAY(AF45) * $F$15</f>
        <v>3711470.7179568182</v>
      </c>
      <c r="AG75" s="714" cm="1">
        <f t="array" ref="AG75">_xlfn.ANCHORARRAY(AG45) * $F$15</f>
        <v>3764870.2934454549</v>
      </c>
      <c r="AH75" s="5"/>
      <c r="AI75" s="5"/>
      <c r="AJ75" s="5"/>
      <c r="AK75" s="5"/>
      <c r="AL75" s="5"/>
      <c r="AM75" s="5"/>
      <c r="AN75" s="5"/>
    </row>
    <row r="76" spans="2:40" ht="21.95" customHeight="1" x14ac:dyDescent="0.2">
      <c r="B76" s="704"/>
      <c r="C76" s="715"/>
      <c r="D76" s="719"/>
      <c r="E76" s="116"/>
      <c r="F76" s="116" t="s">
        <v>357</v>
      </c>
      <c r="G76" s="116" t="s">
        <v>346</v>
      </c>
      <c r="H76" s="576" cm="1">
        <f t="array" ref="H76">_xlfn.ANCHORARRAY(H46) * $F$15</f>
        <v>209029.30606060609</v>
      </c>
      <c r="I76" s="576" cm="1">
        <f t="array" ref="I76">_xlfn.ANCHORARRAY(I46) * $F$15</f>
        <v>216467.723932197</v>
      </c>
      <c r="J76" s="576" cm="1">
        <f t="array" ref="J76">_xlfn.ANCHORARRAY(J46) * $F$15</f>
        <v>224562.93388651515</v>
      </c>
      <c r="K76" s="576" cm="1">
        <f t="array" ref="K76">_xlfn.ANCHORARRAY(K46) * $F$15</f>
        <v>240040.17880750005</v>
      </c>
      <c r="L76" s="576" cm="1">
        <f t="array" ref="L76">_xlfn.ANCHORARRAY(L46) * $F$15</f>
        <v>255523.4745768182</v>
      </c>
      <c r="M76" s="576" cm="1">
        <f t="array" ref="M76">_xlfn.ANCHORARRAY(M46) * $F$15</f>
        <v>271008.97065462125</v>
      </c>
      <c r="N76" s="576" cm="1">
        <f t="array" ref="N76">_xlfn.ANCHORARRAY(N46) * $F$15</f>
        <v>286486.21557560604</v>
      </c>
      <c r="O76" s="576" cm="1">
        <f t="array" ref="O76">_xlfn.ANCHORARRAY(O46) * $F$15</f>
        <v>301976.38730893942</v>
      </c>
      <c r="P76" s="576" cm="1">
        <f t="array" ref="P76">_xlfn.ANCHORARRAY(P46) * $F$15</f>
        <v>323228.6168869696</v>
      </c>
      <c r="Q76" s="576" cm="1">
        <f t="array" ref="Q76">_xlfn.ANCHORARRAY(Q46) * $F$15</f>
        <v>344484.97204340901</v>
      </c>
      <c r="R76" s="576" cm="1">
        <f t="array" ref="R76">_xlfn.ANCHORARRAY(R46) * $F$15</f>
        <v>365734.45123583334</v>
      </c>
      <c r="S76" s="576" cm="1">
        <f t="array" ref="S76">_xlfn.ANCHORARRAY(S46) * $F$15</f>
        <v>386986.68081386364</v>
      </c>
      <c r="T76" s="576" cm="1">
        <f t="array" ref="T76">_xlfn.ANCHORARRAY(T46) * $F$15</f>
        <v>408255.41270553024</v>
      </c>
      <c r="U76" s="576" cm="1">
        <f t="array" ref="U76">_xlfn.ANCHORARRAY(U46) * $F$15</f>
        <v>422115.98096727271</v>
      </c>
      <c r="V76" s="576" cm="1">
        <f t="array" ref="V76">_xlfn.ANCHORARRAY(V46) * $F$15</f>
        <v>429554.39883886353</v>
      </c>
      <c r="W76" s="576" cm="1">
        <f t="array" ref="W76">_xlfn.ANCHORARRAY(W46) * $F$15</f>
        <v>436992.81671045453</v>
      </c>
      <c r="X76" s="576" cm="1">
        <f t="array" ref="X76">_xlfn.ANCHORARRAY(X46) * $F$15</f>
        <v>444431.23458204546</v>
      </c>
      <c r="Y76" s="576" cm="1">
        <f t="array" ref="Y76">_xlfn.ANCHORARRAY(Y46) * $F$15</f>
        <v>451872.40283924242</v>
      </c>
      <c r="Z76" s="576" cm="1">
        <f t="array" ref="Z76">_xlfn.ANCHORARRAY(Z46) * $F$15</f>
        <v>459310.82071083318</v>
      </c>
      <c r="AA76" s="576" cm="1">
        <f t="array" ref="AA76">_xlfn.ANCHORARRAY(AA46) * $F$15</f>
        <v>466751.98896803037</v>
      </c>
      <c r="AB76" s="576" cm="1">
        <f t="array" ref="AB76">_xlfn.ANCHORARRAY(AB46) * $F$15</f>
        <v>474190.40683962125</v>
      </c>
      <c r="AC76" s="576" cm="1">
        <f t="array" ref="AC76">_xlfn.ANCHORARRAY(AC46) * $F$15</f>
        <v>481628.82471121207</v>
      </c>
      <c r="AD76" s="576" cm="1">
        <f t="array" ref="AD76">_xlfn.ANCHORARRAY(AD46) * $F$15</f>
        <v>489069.99296840915</v>
      </c>
      <c r="AE76" s="576" cm="1">
        <f t="array" ref="AE76">_xlfn.ANCHORARRAY(AE46) * $F$15</f>
        <v>496508.41084000003</v>
      </c>
      <c r="AF76" s="576" cm="1">
        <f t="array" ref="AF76">_xlfn.ANCHORARRAY(AF46) * $F$15</f>
        <v>503946.82871159096</v>
      </c>
      <c r="AG76" s="714" cm="1">
        <f t="array" ref="AG76">_xlfn.ANCHORARRAY(AG46) * $F$15</f>
        <v>511387.9969687878</v>
      </c>
      <c r="AH76" s="5"/>
      <c r="AI76" s="5"/>
      <c r="AJ76" s="5"/>
      <c r="AK76" s="5"/>
      <c r="AL76" s="5"/>
      <c r="AM76" s="5"/>
      <c r="AN76" s="5"/>
    </row>
    <row r="77" spans="2:40" ht="21.95" customHeight="1" x14ac:dyDescent="0.2">
      <c r="B77" s="704"/>
      <c r="C77" s="715"/>
      <c r="D77" s="719"/>
      <c r="E77" s="116"/>
      <c r="F77" s="116" t="s">
        <v>346</v>
      </c>
      <c r="G77" s="116" t="s">
        <v>343</v>
      </c>
      <c r="H77" s="576" cm="1">
        <f t="array" ref="H77">_xlfn.ANCHORARRAY(H47) * $F$15</f>
        <v>51697.272727272728</v>
      </c>
      <c r="I77" s="576" cm="1">
        <f t="array" ref="I77">_xlfn.ANCHORARRAY(I47) * $F$15</f>
        <v>53536.947386363638</v>
      </c>
      <c r="J77" s="576" cm="1">
        <f t="array" ref="J77">_xlfn.ANCHORARRAY(J47) * $F$15</f>
        <v>55539.060318181815</v>
      </c>
      <c r="K77" s="576" cm="1">
        <f t="array" ref="K77">_xlfn.ANCHORARRAY(K47) * $F$15</f>
        <v>59366.90325000001</v>
      </c>
      <c r="L77" s="576" cm="1">
        <f t="array" ref="L77">_xlfn.ANCHORARRAY(L47) * $F$15</f>
        <v>63196.242681818192</v>
      </c>
      <c r="M77" s="576" cm="1">
        <f t="array" ref="M77">_xlfn.ANCHORARRAY(M47) * $F$15</f>
        <v>67026.126295454553</v>
      </c>
      <c r="N77" s="576" cm="1">
        <f t="array" ref="N77">_xlfn.ANCHORARRAY(N47) * $F$15</f>
        <v>70853.969227272726</v>
      </c>
      <c r="O77" s="576" cm="1">
        <f t="array" ref="O77">_xlfn.ANCHORARRAY(O47) * $F$15</f>
        <v>74685.00922727272</v>
      </c>
      <c r="P77" s="576" cm="1">
        <f t="array" ref="P77">_xlfn.ANCHORARRAY(P47) * $F$15</f>
        <v>79941.12536363634</v>
      </c>
      <c r="Q77" s="576" cm="1">
        <f t="array" ref="Q77">_xlfn.ANCHORARRAY(Q47) * $F$15</f>
        <v>85198.261840909065</v>
      </c>
      <c r="R77" s="576" cm="1">
        <f t="array" ref="R77">_xlfn.ANCHORARRAY(R47) * $F$15</f>
        <v>90453.697750000007</v>
      </c>
      <c r="S77" s="576" cm="1">
        <f t="array" ref="S77">_xlfn.ANCHORARRAY(S47) * $F$15</f>
        <v>95709.813886363641</v>
      </c>
      <c r="T77" s="576" cm="1">
        <f t="array" ref="T77">_xlfn.ANCHORARRAY(T47) * $F$15</f>
        <v>100970.01138636362</v>
      </c>
      <c r="U77" s="576" cm="1">
        <f t="array" ref="U77">_xlfn.ANCHORARRAY(U47) * $F$15</f>
        <v>104398.01672727273</v>
      </c>
      <c r="V77" s="576" cm="1">
        <f t="array" ref="V77">_xlfn.ANCHORARRAY(V47) * $F$15</f>
        <v>106237.69138636363</v>
      </c>
      <c r="W77" s="576" cm="1">
        <f t="array" ref="W77">_xlfn.ANCHORARRAY(W47) * $F$15</f>
        <v>108077.36604545453</v>
      </c>
      <c r="X77" s="576" cm="1">
        <f t="array" ref="X77">_xlfn.ANCHORARRAY(X47) * $F$15</f>
        <v>109917.04070454545</v>
      </c>
      <c r="Y77" s="576" cm="1">
        <f t="array" ref="Y77">_xlfn.ANCHORARRAY(Y47) * $F$15</f>
        <v>111757.39559090909</v>
      </c>
      <c r="Z77" s="576" cm="1">
        <f t="array" ref="Z77">_xlfn.ANCHORARRAY(Z47) * $F$15</f>
        <v>113597.07024999996</v>
      </c>
      <c r="AA77" s="576" cm="1">
        <f t="array" ref="AA77">_xlfn.ANCHORARRAY(AA47) * $F$15</f>
        <v>115437.42513636364</v>
      </c>
      <c r="AB77" s="576" cm="1">
        <f t="array" ref="AB77">_xlfn.ANCHORARRAY(AB47) * $F$15</f>
        <v>117277.09979545453</v>
      </c>
      <c r="AC77" s="576" cm="1">
        <f t="array" ref="AC77">_xlfn.ANCHORARRAY(AC47) * $F$15</f>
        <v>119116.77445454545</v>
      </c>
      <c r="AD77" s="576" cm="1">
        <f t="array" ref="AD77">_xlfn.ANCHORARRAY(AD47) * $F$15</f>
        <v>120957.12934090909</v>
      </c>
      <c r="AE77" s="576" cm="1">
        <f t="array" ref="AE77">_xlfn.ANCHORARRAY(AE47) * $F$15</f>
        <v>122796.804</v>
      </c>
      <c r="AF77" s="576" cm="1">
        <f t="array" ref="AF77">_xlfn.ANCHORARRAY(AF47) * $F$15</f>
        <v>124636.47865909091</v>
      </c>
      <c r="AG77" s="714" cm="1">
        <f t="array" ref="AG77">_xlfn.ANCHORARRAY(AG47) * $F$15</f>
        <v>126476.83354545452</v>
      </c>
      <c r="AH77" s="5"/>
      <c r="AI77" s="5"/>
      <c r="AJ77" s="5"/>
      <c r="AK77" s="5"/>
      <c r="AL77" s="5"/>
      <c r="AM77" s="5"/>
      <c r="AN77" s="5"/>
    </row>
    <row r="78" spans="2:40" ht="21.95" customHeight="1" x14ac:dyDescent="0.2">
      <c r="B78" s="704"/>
      <c r="C78" s="715"/>
      <c r="D78" s="719"/>
      <c r="E78" s="116"/>
      <c r="F78" s="116" t="s">
        <v>343</v>
      </c>
      <c r="G78" s="116" t="s">
        <v>350</v>
      </c>
      <c r="H78" s="576" cm="1">
        <f t="array" ref="H78">_xlfn.ANCHORARRAY(H48) * $F$15</f>
        <v>132644.31818181821</v>
      </c>
      <c r="I78" s="576" cm="1">
        <f t="array" ref="I78">_xlfn.ANCHORARRAY(I48) * $F$15</f>
        <v>137212.36742613639</v>
      </c>
      <c r="J78" s="576" cm="1">
        <f t="array" ref="J78">_xlfn.ANCHORARRAY(J48) * $F$15</f>
        <v>142308.78320454544</v>
      </c>
      <c r="K78" s="576" cm="1">
        <f t="array" ref="K78">_xlfn.ANCHORARRAY(K48) * $F$15</f>
        <v>151211.64876704547</v>
      </c>
      <c r="L78" s="576" cm="1">
        <f t="array" ref="L78">_xlfn.ANCHORARRAY(L48) * $F$15</f>
        <v>160119.82010227273</v>
      </c>
      <c r="M78" s="576" cm="1">
        <f t="array" ref="M78">_xlfn.ANCHORARRAY(M48) * $F$15</f>
        <v>169024.89640340913</v>
      </c>
      <c r="N78" s="576" cm="1">
        <f t="array" ref="N78">_xlfn.ANCHORARRAY(N48) * $F$15</f>
        <v>177927.76196590916</v>
      </c>
      <c r="O78" s="576" cm="1">
        <f t="array" ref="O78">_xlfn.ANCHORARRAY(O48) * $F$15</f>
        <v>186839.69155681823</v>
      </c>
      <c r="P78" s="576" cm="1">
        <f t="array" ref="P78">_xlfn.ANCHORARRAY(P48) * $F$15</f>
        <v>198317.40440909093</v>
      </c>
      <c r="Q78" s="576" cm="1">
        <f t="array" ref="Q78">_xlfn.ANCHORARRAY(Q48) * $F$15</f>
        <v>209801.52840340915</v>
      </c>
      <c r="R78" s="576" cm="1">
        <f t="array" ref="R78">_xlfn.ANCHORARRAY(R48) * $F$15</f>
        <v>221277.03051704538</v>
      </c>
      <c r="S78" s="576" cm="1">
        <f t="array" ref="S78">_xlfn.ANCHORARRAY(S48) * $F$15</f>
        <v>232754.7433693182</v>
      </c>
      <c r="T78" s="576" cm="1">
        <f t="array" ref="T78">_xlfn.ANCHORARRAY(T48) * $F$15</f>
        <v>244242.18347159095</v>
      </c>
      <c r="U78" s="576" cm="1">
        <f t="array" ref="U78">_xlfn.ANCHORARRAY(U48) * $F$15</f>
        <v>251907.47754545457</v>
      </c>
      <c r="V78" s="576" cm="1">
        <f t="array" ref="V78">_xlfn.ANCHORARRAY(V48) * $F$15</f>
        <v>256475.52678977282</v>
      </c>
      <c r="W78" s="576" cm="1">
        <f t="array" ref="W78">_xlfn.ANCHORARRAY(W48) * $F$15</f>
        <v>261043.57603409095</v>
      </c>
      <c r="X78" s="576" cm="1">
        <f t="array" ref="X78">_xlfn.ANCHORARRAY(X48) * $F$15</f>
        <v>265611.62527840922</v>
      </c>
      <c r="Y78" s="576" cm="1">
        <f t="array" ref="Y78">_xlfn.ANCHORARRAY(Y48) * $F$15</f>
        <v>270182.327409091</v>
      </c>
      <c r="Z78" s="576" cm="1">
        <f t="array" ref="Z78">_xlfn.ANCHORARRAY(Z48) * $F$15</f>
        <v>274750.37665340916</v>
      </c>
      <c r="AA78" s="576" cm="1">
        <f t="array" ref="AA78">_xlfn.ANCHORARRAY(AA48) * $F$15</f>
        <v>279321.07878409093</v>
      </c>
      <c r="AB78" s="576" cm="1">
        <f t="array" ref="AB78">_xlfn.ANCHORARRAY(AB48) * $F$15</f>
        <v>283889.12802840915</v>
      </c>
      <c r="AC78" s="576" cm="1">
        <f t="array" ref="AC78">_xlfn.ANCHORARRAY(AC48) * $F$15</f>
        <v>288457.17727272731</v>
      </c>
      <c r="AD78" s="576" cm="1">
        <f t="array" ref="AD78">_xlfn.ANCHORARRAY(AD48) * $F$15</f>
        <v>293027.87940340914</v>
      </c>
      <c r="AE78" s="576" cm="1">
        <f t="array" ref="AE78">_xlfn.ANCHORARRAY(AE48) * $F$15</f>
        <v>297595.9286477273</v>
      </c>
      <c r="AF78" s="576" cm="1">
        <f t="array" ref="AF78">_xlfn.ANCHORARRAY(AF48) * $F$15</f>
        <v>302163.97789204551</v>
      </c>
      <c r="AG78" s="714" cm="1">
        <f t="array" ref="AG78">_xlfn.ANCHORARRAY(AG48) * $F$15</f>
        <v>306734.68002272735</v>
      </c>
      <c r="AH78" s="5"/>
      <c r="AI78" s="5"/>
      <c r="AJ78" s="5"/>
      <c r="AK78" s="5"/>
      <c r="AL78" s="5"/>
      <c r="AM78" s="5"/>
      <c r="AN78" s="5"/>
    </row>
    <row r="79" spans="2:40" ht="21.95" customHeight="1" x14ac:dyDescent="0.2">
      <c r="B79" s="705"/>
      <c r="C79" s="715"/>
      <c r="D79" s="719"/>
      <c r="E79" s="116"/>
      <c r="F79" s="116" t="s">
        <v>350</v>
      </c>
      <c r="G79" s="116" t="s">
        <v>280</v>
      </c>
      <c r="H79" s="576" cm="1">
        <f t="array" ref="H79">_xlfn.ANCHORARRAY(H49) * $F$15</f>
        <v>1101287.9545454546</v>
      </c>
      <c r="I79" s="576" cm="1">
        <f t="array" ref="I79">_xlfn.ANCHORARRAY(I49) * $F$15</f>
        <v>1139214.476220076</v>
      </c>
      <c r="J79" s="576" cm="1">
        <f t="array" ref="J79">_xlfn.ANCHORARRAY(J49) * $F$15</f>
        <v>1181527.7949136363</v>
      </c>
      <c r="K79" s="576" cm="1">
        <f t="array" ref="K79">_xlfn.ANCHORARRAY(K49) * $F$15</f>
        <v>1255444.4069428034</v>
      </c>
      <c r="L79" s="576" cm="1">
        <f t="array" ref="L79">_xlfn.ANCHORARRAY(L49) * $F$15</f>
        <v>1329405.0704901516</v>
      </c>
      <c r="M79" s="576" cm="1">
        <f t="array" ref="M79">_xlfn.ANCHORARRAY(M49) * $F$15</f>
        <v>1403340.037318561</v>
      </c>
      <c r="N79" s="576" cm="1">
        <f t="array" ref="N79">_xlfn.ANCHORARRAY(N49) * $F$15</f>
        <v>1477256.6493477277</v>
      </c>
      <c r="O79" s="576" cm="1">
        <f t="array" ref="O79">_xlfn.ANCHORARRAY(O49) * $F$15</f>
        <v>1551248.5160537881</v>
      </c>
      <c r="P79" s="576" cm="1">
        <f t="array" ref="P79">_xlfn.ANCHORARRAY(P49) * $F$15</f>
        <v>1646542.9627606065</v>
      </c>
      <c r="Q79" s="576" cm="1">
        <f t="array" ref="Q79">_xlfn.ANCHORARRAY(Q49) * $F$15</f>
        <v>1741890.6383852276</v>
      </c>
      <c r="R79" s="576" cm="1">
        <f t="array" ref="R79">_xlfn.ANCHORARRAY(R49) * $F$15</f>
        <v>1837166.7302928024</v>
      </c>
      <c r="S79" s="576" cm="1">
        <f t="array" ref="S79">_xlfn.ANCHORARRAY(S49) * $F$15</f>
        <v>1932461.1769996213</v>
      </c>
      <c r="T79" s="576" cm="1">
        <f t="array" ref="T79">_xlfn.ANCHORARRAY(T49) * $F$15</f>
        <v>2027836.3848231062</v>
      </c>
      <c r="U79" s="576" cm="1">
        <f t="array" ref="U79">_xlfn.ANCHORARRAY(U49) * $F$15</f>
        <v>2091477.9802363641</v>
      </c>
      <c r="V79" s="576" cm="1">
        <f t="array" ref="V79">_xlfn.ANCHORARRAY(V49) * $F$15</f>
        <v>2129404.5019109854</v>
      </c>
      <c r="W79" s="576" cm="1">
        <f t="array" ref="W79">_xlfn.ANCHORARRAY(W49) * $F$15</f>
        <v>2167331.0235856064</v>
      </c>
      <c r="X79" s="576" cm="1">
        <f t="array" ref="X79">_xlfn.ANCHORARRAY(X49) * $F$15</f>
        <v>2205257.5452602282</v>
      </c>
      <c r="Y79" s="576" cm="1">
        <f t="array" ref="Y79">_xlfn.ANCHORARRAY(Y49) * $F$15</f>
        <v>2243206.0926939403</v>
      </c>
      <c r="Z79" s="576" cm="1">
        <f t="array" ref="Z79">_xlfn.ANCHORARRAY(Z49) * $F$15</f>
        <v>2281132.6143685607</v>
      </c>
      <c r="AA79" s="576" cm="1">
        <f t="array" ref="AA79">_xlfn.ANCHORARRAY(AA49) * $F$15</f>
        <v>2319081.1618022728</v>
      </c>
      <c r="AB79" s="576" cm="1">
        <f t="array" ref="AB79">_xlfn.ANCHORARRAY(AB49) * $F$15</f>
        <v>2357007.6834768946</v>
      </c>
      <c r="AC79" s="576" cm="1">
        <f t="array" ref="AC79">_xlfn.ANCHORARRAY(AC49) * $F$15</f>
        <v>2394934.2051515155</v>
      </c>
      <c r="AD79" s="576" cm="1">
        <f t="array" ref="AD79">_xlfn.ANCHORARRAY(AD49) * $F$15</f>
        <v>2432882.7525852276</v>
      </c>
      <c r="AE79" s="576" cm="1">
        <f t="array" ref="AE79">_xlfn.ANCHORARRAY(AE49) * $F$15</f>
        <v>2470809.274259849</v>
      </c>
      <c r="AF79" s="576" cm="1">
        <f t="array" ref="AF79">_xlfn.ANCHORARRAY(AF49) * $F$15</f>
        <v>2508735.7959344699</v>
      </c>
      <c r="AG79" s="714" cm="1">
        <f t="array" ref="AG79">_xlfn.ANCHORARRAY(AG49) * $F$15</f>
        <v>2546684.343368182</v>
      </c>
      <c r="AH79" s="5"/>
      <c r="AI79" s="5"/>
      <c r="AJ79" s="5"/>
      <c r="AK79" s="5"/>
      <c r="AL79" s="5"/>
      <c r="AM79" s="5"/>
      <c r="AN79" s="5"/>
    </row>
    <row r="80" spans="2:40" ht="21.95" customHeight="1" thickBot="1" x14ac:dyDescent="0.25">
      <c r="B80" s="183"/>
      <c r="C80" s="116"/>
      <c r="D80" s="719"/>
      <c r="E80" s="278"/>
      <c r="F80" s="278" t="s">
        <v>280</v>
      </c>
      <c r="G80" s="278" t="s">
        <v>333</v>
      </c>
      <c r="H80" s="576" cm="1">
        <f t="array" ref="H80">_xlfn.ANCHORARRAY(H50) * $F$15</f>
        <v>27209.090909090912</v>
      </c>
      <c r="I80" s="576" cm="1">
        <f t="array" ref="I80">_xlfn.ANCHORARRAY(I50) * $F$15</f>
        <v>28146.126651515151</v>
      </c>
      <c r="J80" s="576" cm="1">
        <f t="array" ref="J80">_xlfn.ANCHORARRAY(J50) * $F$15</f>
        <v>29191.545272727268</v>
      </c>
      <c r="K80" s="576" cm="1">
        <f t="array" ref="K80">_xlfn.ANCHORARRAY(K50) * $F$15</f>
        <v>31017.774106060609</v>
      </c>
      <c r="L80" s="576" cm="1">
        <f t="array" ref="L80">_xlfn.ANCHORARRAY(L50) * $F$15</f>
        <v>32845.091303030305</v>
      </c>
      <c r="M80" s="576" cm="1">
        <f t="array" ref="M80">_xlfn.ANCHORARRAY(M50) * $F$15</f>
        <v>34671.773621212124</v>
      </c>
      <c r="N80" s="576" cm="1">
        <f t="array" ref="N80">_xlfn.ANCHORARRAY(N50) * $F$15</f>
        <v>36498.002454545465</v>
      </c>
      <c r="O80" s="576" cm="1">
        <f t="array" ref="O80">_xlfn.ANCHORARRAY(O50) * $F$15</f>
        <v>38326.090575757589</v>
      </c>
      <c r="P80" s="576" cm="1">
        <f t="array" ref="P80">_xlfn.ANCHORARRAY(P50) * $F$15</f>
        <v>40680.493212121219</v>
      </c>
      <c r="Q80" s="576" cm="1">
        <f t="array" ref="Q80">_xlfn.ANCHORARRAY(Q50) * $F$15</f>
        <v>43036.210954545466</v>
      </c>
      <c r="R80" s="576" cm="1">
        <f t="array" ref="R80">_xlfn.ANCHORARRAY(R50) * $F$15</f>
        <v>45390.160106060597</v>
      </c>
      <c r="S80" s="576" cm="1">
        <f t="array" ref="S80">_xlfn.ANCHORARRAY(S50) * $F$15</f>
        <v>47744.562742424241</v>
      </c>
      <c r="T80" s="576" cm="1">
        <f t="array" ref="T80">_xlfn.ANCHORARRAY(T50) * $F$15</f>
        <v>50100.960712121218</v>
      </c>
      <c r="U80" s="576" cm="1">
        <f t="array" ref="U80">_xlfn.ANCHORARRAY(U50) * $F$15</f>
        <v>51673.328727272732</v>
      </c>
      <c r="V80" s="576" cm="1">
        <f t="array" ref="V80">_xlfn.ANCHORARRAY(V50) * $F$15</f>
        <v>52610.364469696979</v>
      </c>
      <c r="W80" s="576" cm="1">
        <f t="array" ref="W80">_xlfn.ANCHORARRAY(W50) * $F$15</f>
        <v>53547.400212121225</v>
      </c>
      <c r="X80" s="576" cm="1">
        <f t="array" ref="X80">_xlfn.ANCHORARRAY(X50) * $F$15</f>
        <v>54484.435954545479</v>
      </c>
      <c r="Y80" s="576" cm="1">
        <f t="array" ref="Y80">_xlfn.ANCHORARRAY(Y50) * $F$15</f>
        <v>55422.015878787897</v>
      </c>
      <c r="Z80" s="576" cm="1">
        <f t="array" ref="Z80">_xlfn.ANCHORARRAY(Z50) * $F$15</f>
        <v>56359.051621212129</v>
      </c>
      <c r="AA80" s="576" cm="1">
        <f t="array" ref="AA80">_xlfn.ANCHORARRAY(AA50) * $F$15</f>
        <v>57296.631545454547</v>
      </c>
      <c r="AB80" s="576" cm="1">
        <f t="array" ref="AB80">_xlfn.ANCHORARRAY(AB50) * $F$15</f>
        <v>58233.667287878794</v>
      </c>
      <c r="AC80" s="576" cm="1">
        <f t="array" ref="AC80">_xlfn.ANCHORARRAY(AC50) * $F$15</f>
        <v>59170.703030303041</v>
      </c>
      <c r="AD80" s="576" cm="1">
        <f t="array" ref="AD80">_xlfn.ANCHORARRAY(AD50) * $F$15</f>
        <v>60108.282954545459</v>
      </c>
      <c r="AE80" s="576" cm="1">
        <f t="array" ref="AE80">_xlfn.ANCHORARRAY(AE50) * $F$15</f>
        <v>61045.318696969698</v>
      </c>
      <c r="AF80" s="576" cm="1">
        <f t="array" ref="AF80">_xlfn.ANCHORARRAY(AF50) * $F$15</f>
        <v>61982.354439393952</v>
      </c>
      <c r="AG80" s="714" cm="1">
        <f t="array" ref="AG80">_xlfn.ANCHORARRAY(AG50) * $F$15</f>
        <v>62919.934363636377</v>
      </c>
      <c r="AH80" s="5"/>
      <c r="AI80" s="5"/>
      <c r="AJ80" s="5"/>
      <c r="AK80" s="5"/>
      <c r="AL80" s="5"/>
      <c r="AM80" s="5"/>
      <c r="AN80" s="5"/>
    </row>
    <row r="81" spans="1:40" ht="21.95" customHeight="1" x14ac:dyDescent="0.2">
      <c r="B81" s="183"/>
      <c r="C81" s="116"/>
      <c r="D81" s="720"/>
      <c r="E81" s="125" t="s">
        <v>25</v>
      </c>
      <c r="F81" s="125"/>
      <c r="G81" s="125"/>
      <c r="H81" s="716">
        <f>SUM(H52:H80)</f>
        <v>33839151.132606067</v>
      </c>
      <c r="I81" s="716">
        <f t="shared" ref="I81:AG81" si="1">SUM(I52:I80)</f>
        <v>35046066.306531295</v>
      </c>
      <c r="J81" s="716">
        <f t="shared" si="1"/>
        <v>37002626.155331425</v>
      </c>
      <c r="K81" s="716">
        <f t="shared" si="1"/>
        <v>40175883.610587306</v>
      </c>
      <c r="L81" s="716">
        <f t="shared" si="1"/>
        <v>43350661.781480633</v>
      </c>
      <c r="M81" s="716">
        <f t="shared" si="1"/>
        <v>46525595.108042799</v>
      </c>
      <c r="N81" s="716">
        <f t="shared" si="1"/>
        <v>49698852.563298695</v>
      </c>
      <c r="O81" s="716">
        <f t="shared" si="1"/>
        <v>52875031.394205317</v>
      </c>
      <c r="P81" s="716">
        <f t="shared" si="1"/>
        <v>56104273.140160583</v>
      </c>
      <c r="Q81" s="716">
        <f t="shared" si="1"/>
        <v>59334059.281933591</v>
      </c>
      <c r="R81" s="716">
        <f t="shared" si="1"/>
        <v>62563201.576938376</v>
      </c>
      <c r="S81" s="716">
        <f t="shared" si="1"/>
        <v>65792478.04169371</v>
      </c>
      <c r="T81" s="716">
        <f t="shared" si="1"/>
        <v>69024519.993826091</v>
      </c>
      <c r="U81" s="716">
        <f t="shared" si="1"/>
        <v>71035425.147161812</v>
      </c>
      <c r="V81" s="716">
        <f t="shared" si="1"/>
        <v>72244922.681487039</v>
      </c>
      <c r="W81" s="716">
        <f t="shared" si="1"/>
        <v>73454694.374612272</v>
      </c>
      <c r="X81" s="716">
        <f t="shared" si="1"/>
        <v>74664363.108537495</v>
      </c>
      <c r="Y81" s="716">
        <f t="shared" si="1"/>
        <v>75874646.645022884</v>
      </c>
      <c r="Z81" s="716">
        <f t="shared" si="1"/>
        <v>77084315.378948107</v>
      </c>
      <c r="AA81" s="716">
        <f t="shared" si="1"/>
        <v>78294598.915433481</v>
      </c>
      <c r="AB81" s="716">
        <f t="shared" si="1"/>
        <v>79504267.649358734</v>
      </c>
      <c r="AC81" s="716">
        <f t="shared" si="1"/>
        <v>80713936.383283943</v>
      </c>
      <c r="AD81" s="716">
        <f t="shared" si="1"/>
        <v>81924186.398169309</v>
      </c>
      <c r="AE81" s="716">
        <f t="shared" si="1"/>
        <v>83133958.091294572</v>
      </c>
      <c r="AF81" s="716">
        <f t="shared" si="1"/>
        <v>84343489.147219747</v>
      </c>
      <c r="AG81" s="717">
        <f t="shared" si="1"/>
        <v>85553772.683705181</v>
      </c>
      <c r="AH81" s="47"/>
      <c r="AI81" s="47"/>
      <c r="AJ81" s="47"/>
      <c r="AK81" s="47"/>
      <c r="AL81" s="47"/>
      <c r="AM81" s="47"/>
      <c r="AN81" s="47"/>
    </row>
    <row r="82" spans="1:40" ht="21.95" customHeight="1" x14ac:dyDescent="0.2">
      <c r="A82" s="9"/>
      <c r="B82" s="705"/>
      <c r="C82" s="715"/>
      <c r="D82" s="718" t="s">
        <v>476</v>
      </c>
      <c r="E82" s="1340" t="s">
        <v>331</v>
      </c>
      <c r="F82" s="220" t="s">
        <v>332</v>
      </c>
      <c r="G82" s="220" t="s">
        <v>282</v>
      </c>
      <c r="H82" s="576">
        <f>H22 * (1-$F$15)</f>
        <v>372825.59999999998</v>
      </c>
      <c r="I82" s="576">
        <f t="shared" ref="I82:AG82" si="2">I22 * (1-$F$15)</f>
        <v>389977.90775999991</v>
      </c>
      <c r="J82" s="576">
        <f t="shared" si="2"/>
        <v>414063.6066</v>
      </c>
      <c r="K82" s="576">
        <f t="shared" si="2"/>
        <v>449396.98775999999</v>
      </c>
      <c r="L82" s="576">
        <f t="shared" si="2"/>
        <v>484743.18479999999</v>
      </c>
      <c r="M82" s="576">
        <f t="shared" si="2"/>
        <v>520090.54691999988</v>
      </c>
      <c r="N82" s="576">
        <f t="shared" si="2"/>
        <v>555423.92807999975</v>
      </c>
      <c r="O82" s="576">
        <f t="shared" si="2"/>
        <v>590784.10607999982</v>
      </c>
      <c r="P82" s="576">
        <f t="shared" si="2"/>
        <v>625727.18543999991</v>
      </c>
      <c r="Q82" s="576">
        <f t="shared" si="2"/>
        <v>660677.25527999992</v>
      </c>
      <c r="R82" s="576">
        <f t="shared" si="2"/>
        <v>695620.3346399999</v>
      </c>
      <c r="S82" s="576">
        <f t="shared" si="2"/>
        <v>730563.41400000011</v>
      </c>
      <c r="T82" s="576">
        <f t="shared" si="2"/>
        <v>765534.45528000011</v>
      </c>
      <c r="U82" s="576">
        <f t="shared" si="2"/>
        <v>789215.87135999999</v>
      </c>
      <c r="V82" s="576">
        <f t="shared" si="2"/>
        <v>806368.17911999975</v>
      </c>
      <c r="W82" s="576">
        <f t="shared" si="2"/>
        <v>823520.48687999975</v>
      </c>
      <c r="X82" s="576">
        <f t="shared" si="2"/>
        <v>840672.79463999998</v>
      </c>
      <c r="Y82" s="576">
        <f t="shared" si="2"/>
        <v>857832.09288000013</v>
      </c>
      <c r="Z82" s="576">
        <f t="shared" si="2"/>
        <v>874984.40064000001</v>
      </c>
      <c r="AA82" s="576">
        <f t="shared" si="2"/>
        <v>892143.69887999981</v>
      </c>
      <c r="AB82" s="576">
        <f t="shared" si="2"/>
        <v>909296.00664000004</v>
      </c>
      <c r="AC82" s="576">
        <f t="shared" si="2"/>
        <v>926448.31439999992</v>
      </c>
      <c r="AD82" s="576">
        <f t="shared" si="2"/>
        <v>943607.61263999983</v>
      </c>
      <c r="AE82" s="576">
        <f t="shared" si="2"/>
        <v>960759.92039999983</v>
      </c>
      <c r="AF82" s="576">
        <f t="shared" si="2"/>
        <v>977912.22815999994</v>
      </c>
      <c r="AG82" s="714">
        <f t="shared" si="2"/>
        <v>995071.52639999986</v>
      </c>
      <c r="AH82" s="5"/>
      <c r="AI82" s="5"/>
      <c r="AJ82" s="5"/>
      <c r="AK82" s="5"/>
      <c r="AL82" s="5"/>
      <c r="AM82" s="5"/>
      <c r="AN82" s="5"/>
    </row>
    <row r="83" spans="1:40" ht="21.95" customHeight="1" x14ac:dyDescent="0.2">
      <c r="A83" s="9"/>
      <c r="B83" s="705"/>
      <c r="C83" s="715"/>
      <c r="D83" s="718"/>
      <c r="E83" s="1339"/>
      <c r="F83" s="116" t="s">
        <v>282</v>
      </c>
      <c r="G83" s="116" t="s">
        <v>280</v>
      </c>
      <c r="H83" s="576">
        <f t="shared" ref="H83:AG83" si="3">H23 * (1-$F$15)</f>
        <v>11988338.727272727</v>
      </c>
      <c r="I83" s="576">
        <f t="shared" si="3"/>
        <v>12652448.291509088</v>
      </c>
      <c r="J83" s="576">
        <f t="shared" si="3"/>
        <v>13422588.0516</v>
      </c>
      <c r="K83" s="576">
        <f t="shared" si="3"/>
        <v>14859634.654963633</v>
      </c>
      <c r="L83" s="576">
        <f t="shared" si="3"/>
        <v>16297214.073381821</v>
      </c>
      <c r="M83" s="576">
        <f t="shared" si="3"/>
        <v>17735059.899327274</v>
      </c>
      <c r="N83" s="576">
        <f t="shared" si="3"/>
        <v>19172106.502690911</v>
      </c>
      <c r="O83" s="576">
        <f t="shared" si="3"/>
        <v>20610529.544945452</v>
      </c>
      <c r="P83" s="576">
        <f t="shared" si="3"/>
        <v>22315626.521999996</v>
      </c>
      <c r="Q83" s="576">
        <f t="shared" si="3"/>
        <v>24021211.912854545</v>
      </c>
      <c r="R83" s="576">
        <f t="shared" si="3"/>
        <v>25726308.889909092</v>
      </c>
      <c r="S83" s="576">
        <f t="shared" si="3"/>
        <v>27431405.866963629</v>
      </c>
      <c r="T83" s="576">
        <f t="shared" si="3"/>
        <v>29138190.091690905</v>
      </c>
      <c r="U83" s="576">
        <f t="shared" si="3"/>
        <v>30175536.601636365</v>
      </c>
      <c r="V83" s="576">
        <f t="shared" si="3"/>
        <v>30839646.165872727</v>
      </c>
      <c r="W83" s="576">
        <f t="shared" si="3"/>
        <v>31503755.730109081</v>
      </c>
      <c r="X83" s="576">
        <f t="shared" si="3"/>
        <v>32167865.294345446</v>
      </c>
      <c r="Y83" s="576">
        <f t="shared" si="3"/>
        <v>32832418.87112727</v>
      </c>
      <c r="Z83" s="576">
        <f t="shared" si="3"/>
        <v>33496528.435363635</v>
      </c>
      <c r="AA83" s="576">
        <f t="shared" si="3"/>
        <v>34161082.012145445</v>
      </c>
      <c r="AB83" s="576">
        <f t="shared" si="3"/>
        <v>34825191.57638181</v>
      </c>
      <c r="AC83" s="576">
        <f t="shared" si="3"/>
        <v>35489301.140618175</v>
      </c>
      <c r="AD83" s="576">
        <f t="shared" si="3"/>
        <v>36153854.717399999</v>
      </c>
      <c r="AE83" s="576">
        <f t="shared" si="3"/>
        <v>36817964.281636365</v>
      </c>
      <c r="AF83" s="576">
        <f t="shared" si="3"/>
        <v>37482073.84587273</v>
      </c>
      <c r="AG83" s="714">
        <f t="shared" si="3"/>
        <v>38146627.422654547</v>
      </c>
      <c r="AH83" s="5"/>
      <c r="AI83" s="5"/>
      <c r="AJ83" s="5"/>
      <c r="AK83" s="5"/>
      <c r="AL83" s="5"/>
      <c r="AM83" s="5"/>
      <c r="AN83" s="5"/>
    </row>
    <row r="84" spans="1:40" ht="21.95" customHeight="1" x14ac:dyDescent="0.2">
      <c r="A84" s="9"/>
      <c r="B84" s="705"/>
      <c r="C84" s="715"/>
      <c r="D84" s="718"/>
      <c r="E84" s="1339"/>
      <c r="F84" s="116" t="s">
        <v>280</v>
      </c>
      <c r="G84" s="116" t="s">
        <v>333</v>
      </c>
      <c r="H84" s="576">
        <f t="shared" ref="H84:AG84" si="4">H24 * (1-$F$15)</f>
        <v>279619.19999999995</v>
      </c>
      <c r="I84" s="576">
        <f t="shared" si="4"/>
        <v>291295.6317599999</v>
      </c>
      <c r="J84" s="576">
        <f t="shared" si="4"/>
        <v>305747.2840799999</v>
      </c>
      <c r="K84" s="576">
        <f t="shared" si="4"/>
        <v>325204.12007999996</v>
      </c>
      <c r="L84" s="576">
        <f t="shared" si="4"/>
        <v>344667.94656000001</v>
      </c>
      <c r="M84" s="576">
        <f t="shared" si="4"/>
        <v>364129.44287999999</v>
      </c>
      <c r="N84" s="576">
        <f t="shared" si="4"/>
        <v>383586.27888</v>
      </c>
      <c r="O84" s="576">
        <f t="shared" si="4"/>
        <v>403057.09584000008</v>
      </c>
      <c r="P84" s="576">
        <f t="shared" si="4"/>
        <v>421922.07119999995</v>
      </c>
      <c r="Q84" s="576">
        <f t="shared" si="4"/>
        <v>440794.03703999985</v>
      </c>
      <c r="R84" s="576">
        <f t="shared" si="4"/>
        <v>459659.01239999995</v>
      </c>
      <c r="S84" s="576">
        <f t="shared" si="4"/>
        <v>478523.98775999993</v>
      </c>
      <c r="T84" s="576">
        <f t="shared" si="4"/>
        <v>497402.94408000004</v>
      </c>
      <c r="U84" s="576">
        <f t="shared" si="4"/>
        <v>511255.74527999992</v>
      </c>
      <c r="V84" s="576">
        <f t="shared" si="4"/>
        <v>522932.17703999998</v>
      </c>
      <c r="W84" s="576">
        <f t="shared" si="4"/>
        <v>534608.60879999993</v>
      </c>
      <c r="X84" s="576">
        <f t="shared" si="4"/>
        <v>546285.04055999988</v>
      </c>
      <c r="Y84" s="576">
        <f t="shared" si="4"/>
        <v>557966.13263999997</v>
      </c>
      <c r="Z84" s="576">
        <f t="shared" si="4"/>
        <v>569642.56439999992</v>
      </c>
      <c r="AA84" s="576">
        <f t="shared" si="4"/>
        <v>581323.65647999989</v>
      </c>
      <c r="AB84" s="576">
        <f t="shared" si="4"/>
        <v>593000.08824000007</v>
      </c>
      <c r="AC84" s="576">
        <f t="shared" si="4"/>
        <v>604676.5199999999</v>
      </c>
      <c r="AD84" s="576">
        <f t="shared" si="4"/>
        <v>616357.61207999999</v>
      </c>
      <c r="AE84" s="576">
        <f t="shared" si="4"/>
        <v>628034.04383999994</v>
      </c>
      <c r="AF84" s="576">
        <f t="shared" si="4"/>
        <v>639710.47559999977</v>
      </c>
      <c r="AG84" s="714">
        <f t="shared" si="4"/>
        <v>651391.56767999998</v>
      </c>
      <c r="AH84" s="5"/>
      <c r="AI84" s="5"/>
      <c r="AJ84" s="5"/>
      <c r="AK84" s="5"/>
      <c r="AL84" s="5"/>
      <c r="AM84" s="5"/>
      <c r="AN84" s="5"/>
    </row>
    <row r="85" spans="1:40" ht="21.95" customHeight="1" x14ac:dyDescent="0.2">
      <c r="A85" s="9"/>
      <c r="B85" s="705"/>
      <c r="C85" s="715"/>
      <c r="D85" s="718"/>
      <c r="E85" s="1340" t="s">
        <v>280</v>
      </c>
      <c r="F85" s="220" t="s">
        <v>281</v>
      </c>
      <c r="G85" s="220" t="s">
        <v>335</v>
      </c>
      <c r="H85" s="576">
        <f t="shared" ref="H85:AG85" si="5">H25 * (1-$F$15)</f>
        <v>2541100.7999999998</v>
      </c>
      <c r="I85" s="576">
        <f t="shared" si="5"/>
        <v>2818366.6610399997</v>
      </c>
      <c r="J85" s="576">
        <f t="shared" si="5"/>
        <v>3111184.0589759992</v>
      </c>
      <c r="K85" s="576">
        <f t="shared" si="5"/>
        <v>4017550.2450719997</v>
      </c>
      <c r="L85" s="576">
        <f t="shared" si="5"/>
        <v>4924373.8293119995</v>
      </c>
      <c r="M85" s="576">
        <f t="shared" si="5"/>
        <v>5831438.8181279991</v>
      </c>
      <c r="N85" s="576">
        <f t="shared" si="5"/>
        <v>6737805.0042239986</v>
      </c>
      <c r="O85" s="576">
        <f t="shared" si="5"/>
        <v>7645422.6824639998</v>
      </c>
      <c r="P85" s="576">
        <f t="shared" si="5"/>
        <v>8863372.2959039975</v>
      </c>
      <c r="Q85" s="576">
        <f t="shared" si="5"/>
        <v>10081861.893263996</v>
      </c>
      <c r="R85" s="576">
        <f t="shared" si="5"/>
        <v>11299811.506703999</v>
      </c>
      <c r="S85" s="576">
        <f t="shared" si="5"/>
        <v>12517761.120144</v>
      </c>
      <c r="T85" s="576">
        <f t="shared" si="5"/>
        <v>13737298.921584001</v>
      </c>
      <c r="U85" s="576">
        <f t="shared" si="5"/>
        <v>14340905.652863996</v>
      </c>
      <c r="V85" s="576">
        <f t="shared" si="5"/>
        <v>14618171.513904</v>
      </c>
      <c r="W85" s="576">
        <f t="shared" si="5"/>
        <v>14895437.374944</v>
      </c>
      <c r="X85" s="576">
        <f t="shared" si="5"/>
        <v>15172703.235983999</v>
      </c>
      <c r="Y85" s="576">
        <f t="shared" si="5"/>
        <v>15450413.789663998</v>
      </c>
      <c r="Z85" s="576">
        <f t="shared" si="5"/>
        <v>15727679.650703995</v>
      </c>
      <c r="AA85" s="576">
        <f t="shared" si="5"/>
        <v>16005390.204383995</v>
      </c>
      <c r="AB85" s="576">
        <f t="shared" si="5"/>
        <v>16282656.065423999</v>
      </c>
      <c r="AC85" s="576">
        <f t="shared" si="5"/>
        <v>16559921.926463999</v>
      </c>
      <c r="AD85" s="576">
        <f t="shared" si="5"/>
        <v>16837632.480144002</v>
      </c>
      <c r="AE85" s="576">
        <f t="shared" si="5"/>
        <v>17114898.341183998</v>
      </c>
      <c r="AF85" s="576">
        <f t="shared" si="5"/>
        <v>17392164.202223994</v>
      </c>
      <c r="AG85" s="714">
        <f t="shared" si="5"/>
        <v>17669874.755904</v>
      </c>
      <c r="AH85" s="5"/>
      <c r="AI85" s="5"/>
      <c r="AJ85" s="5"/>
      <c r="AK85" s="5"/>
      <c r="AL85" s="5"/>
      <c r="AM85" s="5"/>
      <c r="AN85" s="5"/>
    </row>
    <row r="86" spans="1:40" ht="21.95" customHeight="1" x14ac:dyDescent="0.2">
      <c r="A86" s="9"/>
      <c r="B86" s="705"/>
      <c r="C86" s="715"/>
      <c r="D86" s="718"/>
      <c r="E86" s="1339"/>
      <c r="F86" s="116" t="s">
        <v>335</v>
      </c>
      <c r="G86" s="116" t="s">
        <v>323</v>
      </c>
      <c r="H86" s="576">
        <f t="shared" ref="H86:AG86" si="6">H26 * (1-$F$15)</f>
        <v>294335.99999999994</v>
      </c>
      <c r="I86" s="576">
        <f t="shared" si="6"/>
        <v>333448.34879999998</v>
      </c>
      <c r="J86" s="576">
        <f t="shared" si="6"/>
        <v>372585.22560000001</v>
      </c>
      <c r="K86" s="576">
        <f t="shared" si="6"/>
        <v>505002.08639999997</v>
      </c>
      <c r="L86" s="576">
        <f t="shared" si="6"/>
        <v>637445.92799999996</v>
      </c>
      <c r="M86" s="576">
        <f t="shared" si="6"/>
        <v>770009.95680000004</v>
      </c>
      <c r="N86" s="576">
        <f t="shared" si="6"/>
        <v>902426.81759999995</v>
      </c>
      <c r="O86" s="576">
        <f t="shared" si="6"/>
        <v>1034968.7712</v>
      </c>
      <c r="P86" s="576">
        <f t="shared" si="6"/>
        <v>1238480.0399999998</v>
      </c>
      <c r="Q86" s="576">
        <f t="shared" si="6"/>
        <v>1441969.2336000002</v>
      </c>
      <c r="R86" s="576">
        <f t="shared" si="6"/>
        <v>1645478.0496</v>
      </c>
      <c r="S86" s="576">
        <f t="shared" si="6"/>
        <v>1848989.3183999995</v>
      </c>
      <c r="T86" s="576">
        <f t="shared" si="6"/>
        <v>2052699.2640000002</v>
      </c>
      <c r="U86" s="576">
        <f t="shared" si="6"/>
        <v>2162829.9840000002</v>
      </c>
      <c r="V86" s="576">
        <f t="shared" si="6"/>
        <v>2201942.3327999995</v>
      </c>
      <c r="W86" s="576">
        <f t="shared" si="6"/>
        <v>2241054.6815999998</v>
      </c>
      <c r="X86" s="576">
        <f t="shared" si="6"/>
        <v>2280167.0304</v>
      </c>
      <c r="Y86" s="576">
        <f t="shared" si="6"/>
        <v>2319303.9072000002</v>
      </c>
      <c r="Z86" s="576">
        <f t="shared" si="6"/>
        <v>2358416.2560000001</v>
      </c>
      <c r="AA86" s="576">
        <f t="shared" si="6"/>
        <v>2397553.1327999998</v>
      </c>
      <c r="AB86" s="576">
        <f t="shared" si="6"/>
        <v>2436665.4815999996</v>
      </c>
      <c r="AC86" s="576">
        <f t="shared" si="6"/>
        <v>2475777.8303999999</v>
      </c>
      <c r="AD86" s="576">
        <f t="shared" si="6"/>
        <v>2514914.7072000001</v>
      </c>
      <c r="AE86" s="576">
        <f t="shared" si="6"/>
        <v>2554027.0559999999</v>
      </c>
      <c r="AF86" s="576">
        <f t="shared" si="6"/>
        <v>2593139.4047999997</v>
      </c>
      <c r="AG86" s="714">
        <f t="shared" si="6"/>
        <v>2632276.2815999994</v>
      </c>
      <c r="AH86" s="5"/>
      <c r="AI86" s="5"/>
      <c r="AJ86" s="5"/>
      <c r="AK86" s="5"/>
      <c r="AL86" s="5"/>
      <c r="AM86" s="5"/>
      <c r="AN86" s="5"/>
    </row>
    <row r="87" spans="1:40" ht="21.95" customHeight="1" x14ac:dyDescent="0.2">
      <c r="A87" s="9"/>
      <c r="B87" s="705"/>
      <c r="C87" s="715"/>
      <c r="D87" s="718"/>
      <c r="E87" s="1353"/>
      <c r="F87" s="254" t="s">
        <v>323</v>
      </c>
      <c r="G87" s="254" t="s">
        <v>338</v>
      </c>
      <c r="H87" s="576">
        <f t="shared" ref="H87:AG87" si="7">H27 * (1-$F$15)</f>
        <v>3944102.3999999994</v>
      </c>
      <c r="I87" s="576">
        <f t="shared" si="7"/>
        <v>4090382.584512</v>
      </c>
      <c r="J87" s="576">
        <f t="shared" si="7"/>
        <v>4236754.7980799992</v>
      </c>
      <c r="K87" s="576">
        <f t="shared" si="7"/>
        <v>4521012.8315520007</v>
      </c>
      <c r="L87" s="576">
        <f t="shared" si="7"/>
        <v>4805435.2026240006</v>
      </c>
      <c r="M87" s="576">
        <f t="shared" si="7"/>
        <v>5089785.2651519999</v>
      </c>
      <c r="N87" s="576">
        <f t="shared" si="7"/>
        <v>5374043.2986240005</v>
      </c>
      <c r="O87" s="576">
        <f t="shared" si="7"/>
        <v>5658603.7132800007</v>
      </c>
      <c r="P87" s="576">
        <f t="shared" si="7"/>
        <v>6053493.8190720007</v>
      </c>
      <c r="Q87" s="576">
        <f t="shared" si="7"/>
        <v>6448594.2769919997</v>
      </c>
      <c r="R87" s="576">
        <f t="shared" si="7"/>
        <v>6843412.0742399991</v>
      </c>
      <c r="S87" s="576">
        <f t="shared" si="7"/>
        <v>7238302.1800320009</v>
      </c>
      <c r="T87" s="576">
        <f t="shared" si="7"/>
        <v>7633540.6815360012</v>
      </c>
      <c r="U87" s="576">
        <f t="shared" si="7"/>
        <v>7890334.6152959988</v>
      </c>
      <c r="V87" s="576">
        <f t="shared" si="7"/>
        <v>8036614.7998080011</v>
      </c>
      <c r="W87" s="576">
        <f t="shared" si="7"/>
        <v>8182894.9843199998</v>
      </c>
      <c r="X87" s="576">
        <f t="shared" si="7"/>
        <v>8329175.1688320003</v>
      </c>
      <c r="Y87" s="576">
        <f t="shared" si="7"/>
        <v>8475547.3824000005</v>
      </c>
      <c r="Z87" s="576">
        <f t="shared" si="7"/>
        <v>8621827.5669119973</v>
      </c>
      <c r="AA87" s="576">
        <f t="shared" si="7"/>
        <v>8768199.7804799993</v>
      </c>
      <c r="AB87" s="576">
        <f t="shared" si="7"/>
        <v>8914479.9649919998</v>
      </c>
      <c r="AC87" s="576">
        <f t="shared" si="7"/>
        <v>9060760.1495040003</v>
      </c>
      <c r="AD87" s="576">
        <f t="shared" si="7"/>
        <v>9207132.3630720004</v>
      </c>
      <c r="AE87" s="576">
        <f t="shared" si="7"/>
        <v>9353412.547584001</v>
      </c>
      <c r="AF87" s="576">
        <f t="shared" si="7"/>
        <v>9499692.7320960015</v>
      </c>
      <c r="AG87" s="714">
        <f t="shared" si="7"/>
        <v>9646064.9456640016</v>
      </c>
      <c r="AH87" s="5"/>
      <c r="AI87" s="5"/>
      <c r="AJ87" s="5"/>
      <c r="AK87" s="5"/>
      <c r="AL87" s="5"/>
      <c r="AM87" s="5"/>
      <c r="AN87" s="5"/>
    </row>
    <row r="88" spans="1:40" ht="21.95" customHeight="1" x14ac:dyDescent="0.2">
      <c r="A88" s="9"/>
      <c r="B88" s="705"/>
      <c r="C88" s="715"/>
      <c r="D88" s="718"/>
      <c r="E88" s="116" t="s">
        <v>339</v>
      </c>
      <c r="F88" s="116" t="s">
        <v>335</v>
      </c>
      <c r="G88" s="116" t="s">
        <v>323</v>
      </c>
      <c r="H88" s="576">
        <f t="shared" ref="H88:AG88" si="8">H28 * (1-$F$15)</f>
        <v>11528.159999999998</v>
      </c>
      <c r="I88" s="576">
        <f t="shared" si="8"/>
        <v>18664.091039999999</v>
      </c>
      <c r="J88" s="576">
        <f t="shared" si="8"/>
        <v>53248.571039999988</v>
      </c>
      <c r="K88" s="576">
        <f t="shared" si="8"/>
        <v>112584.01056</v>
      </c>
      <c r="L88" s="576">
        <f t="shared" si="8"/>
        <v>171965.56271999999</v>
      </c>
      <c r="M88" s="576">
        <f t="shared" si="8"/>
        <v>231324.05856</v>
      </c>
      <c r="N88" s="576">
        <f t="shared" si="8"/>
        <v>290659.49807999999</v>
      </c>
      <c r="O88" s="576">
        <f t="shared" si="8"/>
        <v>350087.16287999996</v>
      </c>
      <c r="P88" s="576">
        <f t="shared" si="8"/>
        <v>382008.63791999995</v>
      </c>
      <c r="Q88" s="576">
        <f t="shared" si="8"/>
        <v>413976.22559999989</v>
      </c>
      <c r="R88" s="576">
        <f t="shared" si="8"/>
        <v>445909.22879999998</v>
      </c>
      <c r="S88" s="576">
        <f t="shared" si="8"/>
        <v>477830.70384000003</v>
      </c>
      <c r="T88" s="576">
        <f t="shared" si="8"/>
        <v>509832.87599999993</v>
      </c>
      <c r="U88" s="576">
        <f t="shared" si="8"/>
        <v>516968.80703999993</v>
      </c>
      <c r="V88" s="576">
        <f t="shared" si="8"/>
        <v>524104.73808000004</v>
      </c>
      <c r="W88" s="576">
        <f t="shared" si="8"/>
        <v>531240.66911999998</v>
      </c>
      <c r="X88" s="576">
        <f t="shared" si="8"/>
        <v>538376.60015999991</v>
      </c>
      <c r="Y88" s="576">
        <f t="shared" si="8"/>
        <v>545547.11567999993</v>
      </c>
      <c r="Z88" s="576">
        <f t="shared" si="8"/>
        <v>552683.04671999998</v>
      </c>
      <c r="AA88" s="576">
        <f t="shared" si="8"/>
        <v>559853.56224</v>
      </c>
      <c r="AB88" s="576">
        <f t="shared" si="8"/>
        <v>566989.49327999994</v>
      </c>
      <c r="AC88" s="576">
        <f t="shared" si="8"/>
        <v>574125.42431999987</v>
      </c>
      <c r="AD88" s="576">
        <f t="shared" si="8"/>
        <v>581295.93984000001</v>
      </c>
      <c r="AE88" s="576">
        <f t="shared" si="8"/>
        <v>588431.87087999994</v>
      </c>
      <c r="AF88" s="576">
        <f t="shared" si="8"/>
        <v>595567.80191999988</v>
      </c>
      <c r="AG88" s="714">
        <f t="shared" si="8"/>
        <v>602738.3174399999</v>
      </c>
      <c r="AH88" s="5"/>
      <c r="AI88" s="5"/>
      <c r="AJ88" s="5"/>
      <c r="AK88" s="5"/>
      <c r="AL88" s="5"/>
      <c r="AM88" s="5"/>
      <c r="AN88" s="5"/>
    </row>
    <row r="89" spans="1:40" ht="21.95" customHeight="1" x14ac:dyDescent="0.2">
      <c r="A89" s="9"/>
      <c r="B89" s="705"/>
      <c r="C89" s="715"/>
      <c r="D89" s="718"/>
      <c r="E89" s="1340" t="s">
        <v>323</v>
      </c>
      <c r="F89" s="220" t="s">
        <v>282</v>
      </c>
      <c r="G89" s="220" t="s">
        <v>339</v>
      </c>
      <c r="H89" s="576">
        <f t="shared" ref="H89:AG89" si="9">H29 * (1-$F$15)</f>
        <v>33112.799999999996</v>
      </c>
      <c r="I89" s="576">
        <f t="shared" si="9"/>
        <v>33112.799999999996</v>
      </c>
      <c r="J89" s="576">
        <f t="shared" si="9"/>
        <v>387452.87280000007</v>
      </c>
      <c r="K89" s="576">
        <f t="shared" si="9"/>
        <v>741792.94560000009</v>
      </c>
      <c r="L89" s="576">
        <f t="shared" si="9"/>
        <v>1096431.0336</v>
      </c>
      <c r="M89" s="576">
        <f t="shared" si="9"/>
        <v>1450771.1063999999</v>
      </c>
      <c r="N89" s="576">
        <f t="shared" si="9"/>
        <v>1805111.1792000001</v>
      </c>
      <c r="O89" s="576">
        <f t="shared" si="9"/>
        <v>2159749.2671999997</v>
      </c>
      <c r="P89" s="576">
        <f t="shared" si="9"/>
        <v>2159749.2671999997</v>
      </c>
      <c r="Q89" s="576">
        <f t="shared" si="9"/>
        <v>2159749.2671999997</v>
      </c>
      <c r="R89" s="576">
        <f t="shared" si="9"/>
        <v>2159749.2671999997</v>
      </c>
      <c r="S89" s="576">
        <f t="shared" si="9"/>
        <v>2159749.2671999997</v>
      </c>
      <c r="T89" s="576">
        <f t="shared" si="9"/>
        <v>2159749.2671999997</v>
      </c>
      <c r="U89" s="576">
        <f t="shared" si="9"/>
        <v>2159749.2671999997</v>
      </c>
      <c r="V89" s="576">
        <f t="shared" si="9"/>
        <v>2159749.2671999997</v>
      </c>
      <c r="W89" s="576">
        <f t="shared" si="9"/>
        <v>2159749.2671999997</v>
      </c>
      <c r="X89" s="576">
        <f t="shared" si="9"/>
        <v>2159749.2671999997</v>
      </c>
      <c r="Y89" s="576">
        <f t="shared" si="9"/>
        <v>2159749.2671999997</v>
      </c>
      <c r="Z89" s="576">
        <f t="shared" si="9"/>
        <v>2159749.2671999997</v>
      </c>
      <c r="AA89" s="576">
        <f t="shared" si="9"/>
        <v>2159749.2671999997</v>
      </c>
      <c r="AB89" s="576">
        <f t="shared" si="9"/>
        <v>2159749.2671999997</v>
      </c>
      <c r="AC89" s="576">
        <f t="shared" si="9"/>
        <v>2159749.2671999997</v>
      </c>
      <c r="AD89" s="576">
        <f t="shared" si="9"/>
        <v>2159749.2671999997</v>
      </c>
      <c r="AE89" s="576">
        <f t="shared" si="9"/>
        <v>2159749.2671999997</v>
      </c>
      <c r="AF89" s="576">
        <f t="shared" si="9"/>
        <v>2159749.2671999997</v>
      </c>
      <c r="AG89" s="714">
        <f t="shared" si="9"/>
        <v>2159749.2671999997</v>
      </c>
      <c r="AH89" s="5"/>
      <c r="AI89" s="5"/>
      <c r="AJ89" s="5"/>
      <c r="AK89" s="5"/>
      <c r="AL89" s="5"/>
      <c r="AM89" s="5"/>
      <c r="AN89" s="5"/>
    </row>
    <row r="90" spans="1:40" ht="21.95" customHeight="1" x14ac:dyDescent="0.2">
      <c r="A90" s="9"/>
      <c r="B90" s="705"/>
      <c r="C90" s="715"/>
      <c r="D90" s="718"/>
      <c r="E90" s="1339"/>
      <c r="F90" s="116" t="s">
        <v>339</v>
      </c>
      <c r="G90" s="116" t="s">
        <v>288</v>
      </c>
      <c r="H90" s="576">
        <f t="shared" ref="H90:AG90" si="10">H30 * (1-$F$15)</f>
        <v>15109.248000000001</v>
      </c>
      <c r="I90" s="576">
        <f t="shared" si="10"/>
        <v>28707.571200000002</v>
      </c>
      <c r="J90" s="576">
        <f t="shared" si="10"/>
        <v>42305.894399999997</v>
      </c>
      <c r="K90" s="576">
        <f t="shared" si="10"/>
        <v>92029.055999999997</v>
      </c>
      <c r="L90" s="576">
        <f t="shared" si="10"/>
        <v>141683.5392</v>
      </c>
      <c r="M90" s="576">
        <f t="shared" si="10"/>
        <v>191475.3792</v>
      </c>
      <c r="N90" s="576">
        <f t="shared" si="10"/>
        <v>241198.54079999999</v>
      </c>
      <c r="O90" s="576">
        <f t="shared" si="10"/>
        <v>290921.70240000001</v>
      </c>
      <c r="P90" s="576">
        <f t="shared" si="10"/>
        <v>377387.80799999996</v>
      </c>
      <c r="Q90" s="576">
        <f t="shared" si="10"/>
        <v>463785.2352</v>
      </c>
      <c r="R90" s="576">
        <f t="shared" si="10"/>
        <v>550182.66240000003</v>
      </c>
      <c r="S90" s="576">
        <f t="shared" si="10"/>
        <v>636648.76800000004</v>
      </c>
      <c r="T90" s="576">
        <f t="shared" si="10"/>
        <v>723114.87359999993</v>
      </c>
      <c r="U90" s="576">
        <f t="shared" si="10"/>
        <v>773456.14080000005</v>
      </c>
      <c r="V90" s="576">
        <f t="shared" si="10"/>
        <v>786985.78559999994</v>
      </c>
      <c r="W90" s="576">
        <f t="shared" si="10"/>
        <v>800584.10880000005</v>
      </c>
      <c r="X90" s="576">
        <f t="shared" si="10"/>
        <v>814182.43199999991</v>
      </c>
      <c r="Y90" s="576">
        <f t="shared" si="10"/>
        <v>827780.75520000001</v>
      </c>
      <c r="Z90" s="576">
        <f t="shared" si="10"/>
        <v>841379.0784</v>
      </c>
      <c r="AA90" s="576">
        <f t="shared" si="10"/>
        <v>854977.40159999998</v>
      </c>
      <c r="AB90" s="576">
        <f t="shared" si="10"/>
        <v>868575.72479999997</v>
      </c>
      <c r="AC90" s="576">
        <f t="shared" si="10"/>
        <v>882174.04800000007</v>
      </c>
      <c r="AD90" s="576">
        <f t="shared" si="10"/>
        <v>895703.69279999996</v>
      </c>
      <c r="AE90" s="576">
        <f t="shared" si="10"/>
        <v>909302.01600000006</v>
      </c>
      <c r="AF90" s="576">
        <f t="shared" si="10"/>
        <v>922900.33919999993</v>
      </c>
      <c r="AG90" s="714">
        <f t="shared" si="10"/>
        <v>936498.66240000003</v>
      </c>
      <c r="AH90" s="5"/>
      <c r="AI90" s="5"/>
      <c r="AJ90" s="5"/>
      <c r="AK90" s="5"/>
      <c r="AL90" s="5"/>
      <c r="AM90" s="5"/>
      <c r="AN90" s="5"/>
    </row>
    <row r="91" spans="1:40" ht="21.95" customHeight="1" x14ac:dyDescent="0.2">
      <c r="A91" s="9"/>
      <c r="B91" s="705"/>
      <c r="C91" s="715"/>
      <c r="D91" s="718"/>
      <c r="E91" s="1339"/>
      <c r="F91" s="116" t="s">
        <v>288</v>
      </c>
      <c r="G91" s="116" t="s">
        <v>340</v>
      </c>
      <c r="H91" s="576">
        <f t="shared" ref="H91:AG91" si="11">H31 * (1-$F$15)</f>
        <v>53716.319999999992</v>
      </c>
      <c r="I91" s="576">
        <f t="shared" si="11"/>
        <v>102037.73092799999</v>
      </c>
      <c r="J91" s="576">
        <f t="shared" si="11"/>
        <v>150343.02696000002</v>
      </c>
      <c r="K91" s="576">
        <f t="shared" si="11"/>
        <v>327064.34812799993</v>
      </c>
      <c r="L91" s="576">
        <f t="shared" si="11"/>
        <v>503792.83147199999</v>
      </c>
      <c r="M91" s="576">
        <f t="shared" si="11"/>
        <v>680746.92336000002</v>
      </c>
      <c r="N91" s="576">
        <f t="shared" si="11"/>
        <v>857468.24452799989</v>
      </c>
      <c r="O91" s="576">
        <f t="shared" si="11"/>
        <v>1034296.9983359999</v>
      </c>
      <c r="P91" s="576">
        <f t="shared" si="11"/>
        <v>1341602.6934239999</v>
      </c>
      <c r="Q91" s="576">
        <f t="shared" si="11"/>
        <v>1648783.0504320001</v>
      </c>
      <c r="R91" s="576">
        <f t="shared" si="11"/>
        <v>1956065.4684479993</v>
      </c>
      <c r="S91" s="576">
        <f t="shared" si="11"/>
        <v>2263371.1635360001</v>
      </c>
      <c r="T91" s="576">
        <f t="shared" si="11"/>
        <v>2570900.6766239996</v>
      </c>
      <c r="U91" s="576">
        <f t="shared" si="11"/>
        <v>2749666.7990399995</v>
      </c>
      <c r="V91" s="576">
        <f t="shared" si="11"/>
        <v>2797988.2099679997</v>
      </c>
      <c r="W91" s="576">
        <f t="shared" si="11"/>
        <v>2846309.6208959995</v>
      </c>
      <c r="X91" s="576">
        <f t="shared" si="11"/>
        <v>2894631.0318239992</v>
      </c>
      <c r="Y91" s="576">
        <f t="shared" si="11"/>
        <v>2942936.3278559991</v>
      </c>
      <c r="Z91" s="576">
        <f t="shared" si="11"/>
        <v>2991257.7387839998</v>
      </c>
      <c r="AA91" s="576">
        <f t="shared" si="11"/>
        <v>3039563.0348159997</v>
      </c>
      <c r="AB91" s="576">
        <f t="shared" si="11"/>
        <v>3087884.4457439994</v>
      </c>
      <c r="AC91" s="576">
        <f t="shared" si="11"/>
        <v>3136205.8566719997</v>
      </c>
      <c r="AD91" s="576">
        <f t="shared" si="11"/>
        <v>3184511.152704</v>
      </c>
      <c r="AE91" s="576">
        <f t="shared" si="11"/>
        <v>3232832.5636320002</v>
      </c>
      <c r="AF91" s="576">
        <f t="shared" si="11"/>
        <v>3281153.97456</v>
      </c>
      <c r="AG91" s="714">
        <f t="shared" si="11"/>
        <v>3329459.2705919994</v>
      </c>
      <c r="AH91" s="5"/>
      <c r="AI91" s="5"/>
      <c r="AJ91" s="5"/>
      <c r="AK91" s="5"/>
      <c r="AL91" s="5"/>
      <c r="AM91" s="5"/>
      <c r="AN91" s="5"/>
    </row>
    <row r="92" spans="1:40" ht="21.95" customHeight="1" x14ac:dyDescent="0.2">
      <c r="A92" s="9"/>
      <c r="B92" s="705"/>
      <c r="C92" s="715"/>
      <c r="D92" s="718"/>
      <c r="E92" s="1353"/>
      <c r="F92" s="254" t="s">
        <v>340</v>
      </c>
      <c r="G92" s="254" t="s">
        <v>280</v>
      </c>
      <c r="H92" s="576">
        <f t="shared" ref="H92:AG92" si="12">H32 * (1-$F$15)</f>
        <v>77263.199999999997</v>
      </c>
      <c r="I92" s="576">
        <f t="shared" si="12"/>
        <v>146766.59927999997</v>
      </c>
      <c r="J92" s="576">
        <f t="shared" si="12"/>
        <v>216246.81960000002</v>
      </c>
      <c r="K92" s="576">
        <f t="shared" si="12"/>
        <v>470435.02127999993</v>
      </c>
      <c r="L92" s="576">
        <f t="shared" si="12"/>
        <v>724633.52471999999</v>
      </c>
      <c r="M92" s="576">
        <f t="shared" si="12"/>
        <v>979156.53360000008</v>
      </c>
      <c r="N92" s="576">
        <f t="shared" si="12"/>
        <v>1233344.7352800001</v>
      </c>
      <c r="O92" s="576">
        <f t="shared" si="12"/>
        <v>1487687.4633600002</v>
      </c>
      <c r="P92" s="576">
        <f t="shared" si="12"/>
        <v>1929702.5042400002</v>
      </c>
      <c r="Q92" s="576">
        <f t="shared" si="12"/>
        <v>2371537.2643200001</v>
      </c>
      <c r="R92" s="576">
        <f t="shared" si="12"/>
        <v>2813518.8244799995</v>
      </c>
      <c r="S92" s="576">
        <f t="shared" si="12"/>
        <v>3255533.8653600002</v>
      </c>
      <c r="T92" s="576">
        <f t="shared" si="12"/>
        <v>3697870.8362399996</v>
      </c>
      <c r="U92" s="576">
        <f t="shared" si="12"/>
        <v>3955000.1903999993</v>
      </c>
      <c r="V92" s="576">
        <f t="shared" si="12"/>
        <v>4024503.5896799997</v>
      </c>
      <c r="W92" s="576">
        <f t="shared" si="12"/>
        <v>4094006.9889599993</v>
      </c>
      <c r="X92" s="576">
        <f t="shared" si="12"/>
        <v>4163510.3882399993</v>
      </c>
      <c r="Y92" s="576">
        <f t="shared" si="12"/>
        <v>4232990.6085599996</v>
      </c>
      <c r="Z92" s="576">
        <f t="shared" si="12"/>
        <v>4302494.0078400001</v>
      </c>
      <c r="AA92" s="576">
        <f t="shared" si="12"/>
        <v>4371974.2281599995</v>
      </c>
      <c r="AB92" s="576">
        <f t="shared" si="12"/>
        <v>4441477.627439999</v>
      </c>
      <c r="AC92" s="576">
        <f t="shared" si="12"/>
        <v>4510981.0267200004</v>
      </c>
      <c r="AD92" s="576">
        <f t="shared" si="12"/>
        <v>4580461.2470399998</v>
      </c>
      <c r="AE92" s="576">
        <f t="shared" si="12"/>
        <v>4649964.6463200003</v>
      </c>
      <c r="AF92" s="576">
        <f t="shared" si="12"/>
        <v>4719468.0456000008</v>
      </c>
      <c r="AG92" s="714">
        <f t="shared" si="12"/>
        <v>4788948.2659200002</v>
      </c>
      <c r="AH92" s="5"/>
      <c r="AI92" s="5"/>
      <c r="AJ92" s="5"/>
      <c r="AK92" s="5"/>
      <c r="AL92" s="5"/>
      <c r="AM92" s="5"/>
      <c r="AN92" s="5"/>
    </row>
    <row r="93" spans="1:40" ht="21.95" customHeight="1" x14ac:dyDescent="0.2">
      <c r="A93" s="9"/>
      <c r="B93" s="705"/>
      <c r="C93" s="715"/>
      <c r="D93" s="718"/>
      <c r="E93" s="1340" t="s">
        <v>334</v>
      </c>
      <c r="F93" s="116" t="s">
        <v>336</v>
      </c>
      <c r="G93" s="116" t="s">
        <v>337</v>
      </c>
      <c r="H93" s="576">
        <f t="shared" ref="H93:AG93" si="13">H33 * (1-$F$15)</f>
        <v>1716959.9999999998</v>
      </c>
      <c r="I93" s="576">
        <f t="shared" si="13"/>
        <v>1763471.2199999995</v>
      </c>
      <c r="J93" s="576">
        <f t="shared" si="13"/>
        <v>1839170.7599999998</v>
      </c>
      <c r="K93" s="576">
        <f t="shared" si="13"/>
        <v>1947774.6119999997</v>
      </c>
      <c r="L93" s="576">
        <f t="shared" si="13"/>
        <v>2056427.52</v>
      </c>
      <c r="M93" s="576">
        <f t="shared" si="13"/>
        <v>2165068.1640000003</v>
      </c>
      <c r="N93" s="576">
        <f t="shared" si="13"/>
        <v>2273672.0160000003</v>
      </c>
      <c r="O93" s="576">
        <f t="shared" si="13"/>
        <v>2382367.8479999998</v>
      </c>
      <c r="P93" s="576">
        <f t="shared" si="13"/>
        <v>2479008.1679999996</v>
      </c>
      <c r="Q93" s="576">
        <f t="shared" si="13"/>
        <v>2575679.1479999996</v>
      </c>
      <c r="R93" s="576">
        <f t="shared" si="13"/>
        <v>2672319.4679999994</v>
      </c>
      <c r="S93" s="576">
        <f t="shared" si="13"/>
        <v>2768959.7879999997</v>
      </c>
      <c r="T93" s="576">
        <f t="shared" si="13"/>
        <v>2865685.9559999998</v>
      </c>
      <c r="U93" s="576">
        <f t="shared" si="13"/>
        <v>2929379.0399999996</v>
      </c>
      <c r="V93" s="576">
        <f t="shared" si="13"/>
        <v>2975890.2599999988</v>
      </c>
      <c r="W93" s="576">
        <f t="shared" si="13"/>
        <v>3022401.4799999995</v>
      </c>
      <c r="X93" s="576">
        <f t="shared" si="13"/>
        <v>3068912.6999999993</v>
      </c>
      <c r="Y93" s="576">
        <f t="shared" si="13"/>
        <v>3115448.4479999989</v>
      </c>
      <c r="Z93" s="576">
        <f t="shared" si="13"/>
        <v>3161959.6679999996</v>
      </c>
      <c r="AA93" s="576">
        <f t="shared" si="13"/>
        <v>3208495.4159999997</v>
      </c>
      <c r="AB93" s="576">
        <f t="shared" si="13"/>
        <v>3255006.6359999995</v>
      </c>
      <c r="AC93" s="576">
        <f t="shared" si="13"/>
        <v>3301517.8559999997</v>
      </c>
      <c r="AD93" s="576">
        <f t="shared" si="13"/>
        <v>3348053.6039999998</v>
      </c>
      <c r="AE93" s="576">
        <f t="shared" si="13"/>
        <v>3394564.8239999996</v>
      </c>
      <c r="AF93" s="576">
        <f t="shared" si="13"/>
        <v>3441076.0439999998</v>
      </c>
      <c r="AG93" s="714">
        <f t="shared" si="13"/>
        <v>3487611.791999999</v>
      </c>
      <c r="AH93" s="5"/>
      <c r="AI93" s="5"/>
      <c r="AJ93" s="5"/>
      <c r="AK93" s="5"/>
      <c r="AL93" s="5"/>
      <c r="AM93" s="5"/>
      <c r="AN93" s="5"/>
    </row>
    <row r="94" spans="1:40" ht="21.95" customHeight="1" x14ac:dyDescent="0.2">
      <c r="A94" s="9"/>
      <c r="B94" s="705"/>
      <c r="C94" s="715"/>
      <c r="D94" s="718"/>
      <c r="E94" s="1339"/>
      <c r="F94" s="116" t="s">
        <v>337</v>
      </c>
      <c r="G94" s="116" t="s">
        <v>386</v>
      </c>
      <c r="H94" s="576">
        <f t="shared" ref="H94:AG94" si="14">H34 * (1-$F$15)</f>
        <v>2698079.9999999995</v>
      </c>
      <c r="I94" s="576">
        <f t="shared" si="14"/>
        <v>2754126.4799999995</v>
      </c>
      <c r="J94" s="576">
        <f t="shared" si="14"/>
        <v>2887068.2399999998</v>
      </c>
      <c r="K94" s="576">
        <f t="shared" si="14"/>
        <v>3032764.5599999996</v>
      </c>
      <c r="L94" s="576">
        <f t="shared" si="14"/>
        <v>3178706.1599999997</v>
      </c>
      <c r="M94" s="576">
        <f t="shared" si="14"/>
        <v>3324525.1199999996</v>
      </c>
      <c r="N94" s="576">
        <f t="shared" si="14"/>
        <v>3470221.4399999995</v>
      </c>
      <c r="O94" s="576">
        <f t="shared" si="14"/>
        <v>3616163.0399999996</v>
      </c>
      <c r="P94" s="576">
        <f t="shared" si="14"/>
        <v>3696492.2399999998</v>
      </c>
      <c r="Q94" s="576">
        <f t="shared" si="14"/>
        <v>3776944.0799999996</v>
      </c>
      <c r="R94" s="576">
        <f t="shared" si="14"/>
        <v>3857273.28</v>
      </c>
      <c r="S94" s="576">
        <f t="shared" si="14"/>
        <v>3937725.1199999996</v>
      </c>
      <c r="T94" s="576">
        <f t="shared" si="14"/>
        <v>4018054.3199999994</v>
      </c>
      <c r="U94" s="576">
        <f t="shared" si="14"/>
        <v>4085628.9599999995</v>
      </c>
      <c r="V94" s="576">
        <f t="shared" si="14"/>
        <v>4144005.5999999996</v>
      </c>
      <c r="W94" s="576">
        <f t="shared" si="14"/>
        <v>4202504.88</v>
      </c>
      <c r="X94" s="576">
        <f t="shared" si="14"/>
        <v>4261004.1599999992</v>
      </c>
      <c r="Y94" s="576">
        <f t="shared" si="14"/>
        <v>4319503.4399999995</v>
      </c>
      <c r="Z94" s="576">
        <f t="shared" si="14"/>
        <v>4378002.72</v>
      </c>
      <c r="AA94" s="576">
        <f t="shared" si="14"/>
        <v>4436502</v>
      </c>
      <c r="AB94" s="576">
        <f t="shared" si="14"/>
        <v>4495001.2799999993</v>
      </c>
      <c r="AC94" s="576">
        <f t="shared" si="14"/>
        <v>4553500.5599999996</v>
      </c>
      <c r="AD94" s="576">
        <f t="shared" si="14"/>
        <v>4611999.84</v>
      </c>
      <c r="AE94" s="576">
        <f t="shared" si="14"/>
        <v>4670499.1199999992</v>
      </c>
      <c r="AF94" s="576">
        <f t="shared" si="14"/>
        <v>4728875.76</v>
      </c>
      <c r="AG94" s="714">
        <f t="shared" si="14"/>
        <v>4787375.0399999991</v>
      </c>
      <c r="AH94" s="5"/>
      <c r="AI94" s="5"/>
      <c r="AJ94" s="5"/>
      <c r="AK94" s="5"/>
      <c r="AL94" s="5"/>
      <c r="AM94" s="5"/>
      <c r="AN94" s="5"/>
    </row>
    <row r="95" spans="1:40" ht="21.95" customHeight="1" x14ac:dyDescent="0.2">
      <c r="A95" s="9"/>
      <c r="B95" s="705"/>
      <c r="C95" s="715"/>
      <c r="D95" s="718"/>
      <c r="E95" s="1339"/>
      <c r="F95" s="116" t="s">
        <v>342</v>
      </c>
      <c r="G95" s="116" t="s">
        <v>341</v>
      </c>
      <c r="H95" s="576">
        <f t="shared" ref="H95:AG95" si="15">H35 * (1-$F$15)</f>
        <v>3507503.9999999995</v>
      </c>
      <c r="I95" s="576">
        <f t="shared" si="15"/>
        <v>3580364.4239999996</v>
      </c>
      <c r="J95" s="576">
        <f t="shared" si="15"/>
        <v>3753188.7119999998</v>
      </c>
      <c r="K95" s="576">
        <f t="shared" si="15"/>
        <v>3942593.9279999994</v>
      </c>
      <c r="L95" s="576">
        <f t="shared" si="15"/>
        <v>4132318.0079999994</v>
      </c>
      <c r="M95" s="576">
        <f t="shared" si="15"/>
        <v>4321882.6559999995</v>
      </c>
      <c r="N95" s="576">
        <f t="shared" si="15"/>
        <v>4511287.8719999995</v>
      </c>
      <c r="O95" s="576">
        <f t="shared" si="15"/>
        <v>4701011.9519999996</v>
      </c>
      <c r="P95" s="576">
        <f t="shared" si="15"/>
        <v>4805439.9119999995</v>
      </c>
      <c r="Q95" s="576">
        <f t="shared" si="15"/>
        <v>4910027.3039999995</v>
      </c>
      <c r="R95" s="576">
        <f t="shared" si="15"/>
        <v>5014455.2639999995</v>
      </c>
      <c r="S95" s="576">
        <f t="shared" si="15"/>
        <v>5119042.6559999995</v>
      </c>
      <c r="T95" s="576">
        <f t="shared" si="15"/>
        <v>5223470.6159999995</v>
      </c>
      <c r="U95" s="576">
        <f t="shared" si="15"/>
        <v>5311317.6479999991</v>
      </c>
      <c r="V95" s="576">
        <f t="shared" si="15"/>
        <v>5387207.2799999993</v>
      </c>
      <c r="W95" s="576">
        <f t="shared" si="15"/>
        <v>5463256.3439999996</v>
      </c>
      <c r="X95" s="576">
        <f t="shared" si="15"/>
        <v>5539305.4079999998</v>
      </c>
      <c r="Y95" s="576">
        <f t="shared" si="15"/>
        <v>5615354.4719999991</v>
      </c>
      <c r="Z95" s="576">
        <f t="shared" si="15"/>
        <v>5691403.5359999994</v>
      </c>
      <c r="AA95" s="576">
        <f t="shared" si="15"/>
        <v>5767452.5999999996</v>
      </c>
      <c r="AB95" s="576">
        <f t="shared" si="15"/>
        <v>5843501.6639999989</v>
      </c>
      <c r="AC95" s="576">
        <f t="shared" si="15"/>
        <v>5919550.7279999992</v>
      </c>
      <c r="AD95" s="576">
        <f t="shared" si="15"/>
        <v>5995599.7919999994</v>
      </c>
      <c r="AE95" s="576">
        <f t="shared" si="15"/>
        <v>6071648.8559999997</v>
      </c>
      <c r="AF95" s="576">
        <f t="shared" si="15"/>
        <v>6147538.487999999</v>
      </c>
      <c r="AG95" s="714">
        <f t="shared" si="15"/>
        <v>6223587.5519999992</v>
      </c>
      <c r="AH95" s="5"/>
      <c r="AI95" s="5"/>
      <c r="AJ95" s="5"/>
      <c r="AK95" s="5"/>
      <c r="AL95" s="5"/>
      <c r="AM95" s="5"/>
      <c r="AN95" s="5"/>
    </row>
    <row r="96" spans="1:40" ht="21.95" customHeight="1" x14ac:dyDescent="0.2">
      <c r="A96" s="9"/>
      <c r="B96" s="705"/>
      <c r="C96" s="715"/>
      <c r="D96" s="718"/>
      <c r="E96" s="1339"/>
      <c r="F96" s="116" t="s">
        <v>341</v>
      </c>
      <c r="G96" s="116" t="s">
        <v>344</v>
      </c>
      <c r="H96" s="576">
        <f t="shared" ref="H96:AG96" si="16">H36 * (1-$F$15)</f>
        <v>3890140.8</v>
      </c>
      <c r="I96" s="576">
        <f t="shared" si="16"/>
        <v>3974526.9311999995</v>
      </c>
      <c r="J96" s="576">
        <f t="shared" si="16"/>
        <v>4166340.7967999992</v>
      </c>
      <c r="K96" s="576">
        <f t="shared" si="16"/>
        <v>4376707.6415999997</v>
      </c>
      <c r="L96" s="576">
        <f t="shared" si="16"/>
        <v>4587224.1071999995</v>
      </c>
      <c r="M96" s="576">
        <f t="shared" si="16"/>
        <v>4797590.9519999996</v>
      </c>
      <c r="N96" s="576">
        <f t="shared" si="16"/>
        <v>5007957.7967999987</v>
      </c>
      <c r="O96" s="576">
        <f t="shared" si="16"/>
        <v>5218474.2623999994</v>
      </c>
      <c r="P96" s="576">
        <f t="shared" si="16"/>
        <v>5334580.0031999992</v>
      </c>
      <c r="Q96" s="576">
        <f t="shared" si="16"/>
        <v>5450536.1231999993</v>
      </c>
      <c r="R96" s="576">
        <f t="shared" si="16"/>
        <v>5566641.8639999991</v>
      </c>
      <c r="S96" s="576">
        <f t="shared" si="16"/>
        <v>5682597.9839999992</v>
      </c>
      <c r="T96" s="576">
        <f t="shared" si="16"/>
        <v>5798703.7248</v>
      </c>
      <c r="U96" s="576">
        <f t="shared" si="16"/>
        <v>5895957.2447999995</v>
      </c>
      <c r="V96" s="576">
        <f t="shared" si="16"/>
        <v>5980343.3759999992</v>
      </c>
      <c r="W96" s="576">
        <f t="shared" si="16"/>
        <v>6064879.1279999996</v>
      </c>
      <c r="X96" s="576">
        <f t="shared" si="16"/>
        <v>6149265.2591999993</v>
      </c>
      <c r="Y96" s="576">
        <f t="shared" si="16"/>
        <v>6233651.390399999</v>
      </c>
      <c r="Z96" s="576">
        <f t="shared" si="16"/>
        <v>6318037.5215999987</v>
      </c>
      <c r="AA96" s="576">
        <f t="shared" si="16"/>
        <v>6402423.6527999993</v>
      </c>
      <c r="AB96" s="576">
        <f t="shared" si="16"/>
        <v>6486809.7839999991</v>
      </c>
      <c r="AC96" s="576">
        <f t="shared" si="16"/>
        <v>6571195.9151999988</v>
      </c>
      <c r="AD96" s="576">
        <f t="shared" si="16"/>
        <v>6655582.0463999985</v>
      </c>
      <c r="AE96" s="576">
        <f t="shared" si="16"/>
        <v>6740117.7983999988</v>
      </c>
      <c r="AF96" s="576">
        <f t="shared" si="16"/>
        <v>6824503.9295999985</v>
      </c>
      <c r="AG96" s="714">
        <f t="shared" si="16"/>
        <v>6908890.0607999992</v>
      </c>
      <c r="AH96" s="5"/>
      <c r="AI96" s="5"/>
      <c r="AJ96" s="5"/>
      <c r="AK96" s="5"/>
      <c r="AL96" s="5"/>
      <c r="AM96" s="5"/>
      <c r="AN96" s="5"/>
    </row>
    <row r="97" spans="1:40" ht="21.95" customHeight="1" x14ac:dyDescent="0.2">
      <c r="A97" s="9"/>
      <c r="B97" s="705"/>
      <c r="C97" s="715"/>
      <c r="D97" s="718"/>
      <c r="E97" s="1339"/>
      <c r="F97" s="116" t="s">
        <v>344</v>
      </c>
      <c r="G97" s="116" t="s">
        <v>345</v>
      </c>
      <c r="H97" s="576">
        <f t="shared" ref="H97:AG97" si="17">H37 * (1-$F$15)</f>
        <v>1594319.9999999998</v>
      </c>
      <c r="I97" s="576">
        <f t="shared" si="17"/>
        <v>1628904.4799999997</v>
      </c>
      <c r="J97" s="576">
        <f t="shared" si="17"/>
        <v>1707516.7199999997</v>
      </c>
      <c r="K97" s="576">
        <f t="shared" si="17"/>
        <v>1793732.64</v>
      </c>
      <c r="L97" s="576">
        <f t="shared" si="17"/>
        <v>1880009.88</v>
      </c>
      <c r="M97" s="576">
        <f t="shared" si="17"/>
        <v>1966225.7999999998</v>
      </c>
      <c r="N97" s="576">
        <f t="shared" si="17"/>
        <v>2052441.7199999997</v>
      </c>
      <c r="O97" s="576">
        <f t="shared" si="17"/>
        <v>2138718.96</v>
      </c>
      <c r="P97" s="576">
        <f t="shared" si="17"/>
        <v>2186303.2799999998</v>
      </c>
      <c r="Q97" s="576">
        <f t="shared" si="17"/>
        <v>2233826.2799999998</v>
      </c>
      <c r="R97" s="576">
        <f t="shared" si="17"/>
        <v>2281410.5999999996</v>
      </c>
      <c r="S97" s="576">
        <f t="shared" si="17"/>
        <v>2328933.5999999996</v>
      </c>
      <c r="T97" s="576">
        <f t="shared" si="17"/>
        <v>2376517.92</v>
      </c>
      <c r="U97" s="576">
        <f t="shared" si="17"/>
        <v>2416375.92</v>
      </c>
      <c r="V97" s="576">
        <f t="shared" si="17"/>
        <v>2450960.4</v>
      </c>
      <c r="W97" s="576">
        <f t="shared" si="17"/>
        <v>2485606.1999999997</v>
      </c>
      <c r="X97" s="576">
        <f t="shared" si="17"/>
        <v>2520190.6799999997</v>
      </c>
      <c r="Y97" s="576">
        <f t="shared" si="17"/>
        <v>2554775.1599999997</v>
      </c>
      <c r="Z97" s="576">
        <f t="shared" si="17"/>
        <v>2589359.6399999997</v>
      </c>
      <c r="AA97" s="576">
        <f t="shared" si="17"/>
        <v>2623944.1199999996</v>
      </c>
      <c r="AB97" s="576">
        <f t="shared" si="17"/>
        <v>2658528.5999999996</v>
      </c>
      <c r="AC97" s="576">
        <f t="shared" si="17"/>
        <v>2693113.0799999996</v>
      </c>
      <c r="AD97" s="576">
        <f t="shared" si="17"/>
        <v>2727697.5599999996</v>
      </c>
      <c r="AE97" s="576">
        <f t="shared" si="17"/>
        <v>2762343.36</v>
      </c>
      <c r="AF97" s="576">
        <f t="shared" si="17"/>
        <v>2796927.84</v>
      </c>
      <c r="AG97" s="714">
        <f t="shared" si="17"/>
        <v>2831512.32</v>
      </c>
      <c r="AH97" s="5"/>
      <c r="AI97" s="5"/>
      <c r="AJ97" s="5"/>
      <c r="AK97" s="5"/>
      <c r="AL97" s="5"/>
      <c r="AM97" s="5"/>
      <c r="AN97" s="5"/>
    </row>
    <row r="98" spans="1:40" ht="21.95" customHeight="1" x14ac:dyDescent="0.2">
      <c r="A98" s="9"/>
      <c r="B98" s="705"/>
      <c r="C98" s="715"/>
      <c r="D98" s="718"/>
      <c r="E98" s="1339"/>
      <c r="F98" s="116" t="s">
        <v>345</v>
      </c>
      <c r="G98" s="116" t="s">
        <v>323</v>
      </c>
      <c r="H98" s="576">
        <f t="shared" ref="H98:AG98" si="18">H38 * (1-$F$15)</f>
        <v>19229951.999999996</v>
      </c>
      <c r="I98" s="576">
        <f t="shared" si="18"/>
        <v>19647173.279999997</v>
      </c>
      <c r="J98" s="576">
        <f t="shared" si="18"/>
        <v>20595209.913599994</v>
      </c>
      <c r="K98" s="576">
        <f t="shared" si="18"/>
        <v>21635241.263999999</v>
      </c>
      <c r="L98" s="576">
        <f t="shared" si="18"/>
        <v>22675753.363199998</v>
      </c>
      <c r="M98" s="576">
        <f t="shared" si="18"/>
        <v>23715922.0704</v>
      </c>
      <c r="N98" s="576">
        <f t="shared" si="18"/>
        <v>24755953.420799993</v>
      </c>
      <c r="O98" s="576">
        <f t="shared" si="18"/>
        <v>25796568.537599992</v>
      </c>
      <c r="P98" s="576">
        <f t="shared" si="18"/>
        <v>26370033.177599985</v>
      </c>
      <c r="Q98" s="576">
        <f t="shared" si="18"/>
        <v>26943497.817599989</v>
      </c>
      <c r="R98" s="576">
        <f t="shared" si="18"/>
        <v>27516962.457599994</v>
      </c>
      <c r="S98" s="576">
        <f t="shared" si="18"/>
        <v>28090427.097600002</v>
      </c>
      <c r="T98" s="576">
        <f t="shared" si="18"/>
        <v>28664097.772799991</v>
      </c>
      <c r="U98" s="576">
        <f t="shared" si="18"/>
        <v>29145464.678399995</v>
      </c>
      <c r="V98" s="576">
        <f t="shared" si="18"/>
        <v>29562685.958399992</v>
      </c>
      <c r="W98" s="576">
        <f t="shared" si="18"/>
        <v>29979907.238399994</v>
      </c>
      <c r="X98" s="576">
        <f t="shared" si="18"/>
        <v>30397128.518399999</v>
      </c>
      <c r="Y98" s="576">
        <f t="shared" si="18"/>
        <v>30814384.137599993</v>
      </c>
      <c r="Z98" s="576">
        <f t="shared" si="18"/>
        <v>31231605.417599991</v>
      </c>
      <c r="AA98" s="576">
        <f t="shared" si="18"/>
        <v>31648861.036799997</v>
      </c>
      <c r="AB98" s="576">
        <f t="shared" si="18"/>
        <v>32066082.316800002</v>
      </c>
      <c r="AC98" s="576">
        <f t="shared" si="18"/>
        <v>32483303.596799996</v>
      </c>
      <c r="AD98" s="576">
        <f t="shared" si="18"/>
        <v>32900559.215999998</v>
      </c>
      <c r="AE98" s="576">
        <f t="shared" si="18"/>
        <v>33317780.496000003</v>
      </c>
      <c r="AF98" s="576">
        <f t="shared" si="18"/>
        <v>33735001.776000001</v>
      </c>
      <c r="AG98" s="714">
        <f t="shared" si="18"/>
        <v>34152257.395199992</v>
      </c>
      <c r="AH98" s="5"/>
      <c r="AI98" s="5"/>
      <c r="AJ98" s="5"/>
      <c r="AK98" s="5"/>
      <c r="AL98" s="5"/>
      <c r="AM98" s="5"/>
      <c r="AN98" s="5"/>
    </row>
    <row r="99" spans="1:40" ht="21.95" customHeight="1" x14ac:dyDescent="0.2">
      <c r="A99" s="9"/>
      <c r="B99" s="705"/>
      <c r="C99" s="715"/>
      <c r="D99" s="718"/>
      <c r="E99" s="1339"/>
      <c r="F99" s="116" t="s">
        <v>323</v>
      </c>
      <c r="G99" s="116" t="s">
        <v>347</v>
      </c>
      <c r="H99" s="576">
        <f t="shared" ref="H99:AG99" si="19">H39 * (1-$F$15)</f>
        <v>3433919.9999999995</v>
      </c>
      <c r="I99" s="576">
        <f t="shared" si="19"/>
        <v>3508423.8</v>
      </c>
      <c r="J99" s="576">
        <f t="shared" si="19"/>
        <v>3619388.4719999996</v>
      </c>
      <c r="K99" s="576">
        <f t="shared" si="19"/>
        <v>3746780.7720000003</v>
      </c>
      <c r="L99" s="576">
        <f t="shared" si="19"/>
        <v>3874209.8639999996</v>
      </c>
      <c r="M99" s="576">
        <f t="shared" si="19"/>
        <v>4001626.6919999998</v>
      </c>
      <c r="N99" s="576">
        <f t="shared" si="19"/>
        <v>4129018.9919999992</v>
      </c>
      <c r="O99" s="576">
        <f t="shared" si="19"/>
        <v>4256466.4799999986</v>
      </c>
      <c r="P99" s="576">
        <f t="shared" si="19"/>
        <v>4358870.879999999</v>
      </c>
      <c r="Q99" s="576">
        <f t="shared" si="19"/>
        <v>4461275.2799999993</v>
      </c>
      <c r="R99" s="576">
        <f t="shared" si="19"/>
        <v>4563679.68</v>
      </c>
      <c r="S99" s="576">
        <f t="shared" si="19"/>
        <v>4666084.08</v>
      </c>
      <c r="T99" s="576">
        <f t="shared" si="19"/>
        <v>4768525.2719999989</v>
      </c>
      <c r="U99" s="576">
        <f t="shared" si="19"/>
        <v>4854483.6479999991</v>
      </c>
      <c r="V99" s="576">
        <f t="shared" si="19"/>
        <v>4928987.4479999989</v>
      </c>
      <c r="W99" s="576">
        <f t="shared" si="19"/>
        <v>5003491.2479999987</v>
      </c>
      <c r="X99" s="576">
        <f t="shared" si="19"/>
        <v>5077995.0480000004</v>
      </c>
      <c r="Y99" s="576">
        <f t="shared" si="19"/>
        <v>5152504.9799999995</v>
      </c>
      <c r="Z99" s="576">
        <f t="shared" si="19"/>
        <v>5227008.7799999984</v>
      </c>
      <c r="AA99" s="576">
        <f t="shared" si="19"/>
        <v>5301518.7120000003</v>
      </c>
      <c r="AB99" s="576">
        <f t="shared" si="19"/>
        <v>5376022.512000001</v>
      </c>
      <c r="AC99" s="576">
        <f t="shared" si="19"/>
        <v>5450526.3119999999</v>
      </c>
      <c r="AD99" s="576">
        <f t="shared" si="19"/>
        <v>5525036.243999999</v>
      </c>
      <c r="AE99" s="576">
        <f t="shared" si="19"/>
        <v>5599540.0439999998</v>
      </c>
      <c r="AF99" s="576">
        <f t="shared" si="19"/>
        <v>5674043.8440000005</v>
      </c>
      <c r="AG99" s="714">
        <f t="shared" si="19"/>
        <v>5748553.7759999996</v>
      </c>
      <c r="AH99" s="5"/>
      <c r="AI99" s="5"/>
      <c r="AJ99" s="5"/>
      <c r="AK99" s="5"/>
      <c r="AL99" s="5"/>
      <c r="AM99" s="5"/>
      <c r="AN99" s="5"/>
    </row>
    <row r="100" spans="1:40" ht="21.95" customHeight="1" x14ac:dyDescent="0.2">
      <c r="A100" s="9"/>
      <c r="B100" s="705"/>
      <c r="C100" s="715"/>
      <c r="D100" s="718"/>
      <c r="E100" s="1339"/>
      <c r="F100" s="116" t="s">
        <v>347</v>
      </c>
      <c r="G100" s="116" t="s">
        <v>348</v>
      </c>
      <c r="H100" s="576">
        <f t="shared" ref="H100:AG100" si="20">H40 * (1-$F$15)</f>
        <v>2403743.9999999995</v>
      </c>
      <c r="I100" s="576">
        <f t="shared" si="20"/>
        <v>2455896.6599999997</v>
      </c>
      <c r="J100" s="576">
        <f t="shared" si="20"/>
        <v>2533571.9303999995</v>
      </c>
      <c r="K100" s="576">
        <f t="shared" si="20"/>
        <v>2622746.5403999998</v>
      </c>
      <c r="L100" s="576">
        <f t="shared" si="20"/>
        <v>2711946.9047999997</v>
      </c>
      <c r="M100" s="576">
        <f t="shared" si="20"/>
        <v>2801138.6843999997</v>
      </c>
      <c r="N100" s="576">
        <f t="shared" si="20"/>
        <v>2890313.2943999991</v>
      </c>
      <c r="O100" s="576">
        <f t="shared" si="20"/>
        <v>2979526.5359999989</v>
      </c>
      <c r="P100" s="576">
        <f t="shared" si="20"/>
        <v>3051209.615999999</v>
      </c>
      <c r="Q100" s="576">
        <f t="shared" si="20"/>
        <v>3122892.6959999991</v>
      </c>
      <c r="R100" s="576">
        <f t="shared" si="20"/>
        <v>3194575.7759999996</v>
      </c>
      <c r="S100" s="576">
        <f t="shared" si="20"/>
        <v>3266258.8559999997</v>
      </c>
      <c r="T100" s="576">
        <f t="shared" si="20"/>
        <v>3337967.6903999993</v>
      </c>
      <c r="U100" s="576">
        <f t="shared" si="20"/>
        <v>3398138.5535999988</v>
      </c>
      <c r="V100" s="576">
        <f t="shared" si="20"/>
        <v>3450291.213599999</v>
      </c>
      <c r="W100" s="576">
        <f t="shared" si="20"/>
        <v>3502443.8735999991</v>
      </c>
      <c r="X100" s="576">
        <f t="shared" si="20"/>
        <v>3554596.5336000002</v>
      </c>
      <c r="Y100" s="576">
        <f t="shared" si="20"/>
        <v>3606753.4859999996</v>
      </c>
      <c r="Z100" s="576">
        <f t="shared" si="20"/>
        <v>3658906.1459999988</v>
      </c>
      <c r="AA100" s="576">
        <f t="shared" si="20"/>
        <v>3711063.0983999996</v>
      </c>
      <c r="AB100" s="576">
        <f t="shared" si="20"/>
        <v>3763215.7584000002</v>
      </c>
      <c r="AC100" s="576">
        <f t="shared" si="20"/>
        <v>3815368.4183999998</v>
      </c>
      <c r="AD100" s="576">
        <f t="shared" si="20"/>
        <v>3867525.3707999992</v>
      </c>
      <c r="AE100" s="576">
        <f t="shared" si="20"/>
        <v>3919678.0307999998</v>
      </c>
      <c r="AF100" s="576">
        <f t="shared" si="20"/>
        <v>3971830.6908000004</v>
      </c>
      <c r="AG100" s="714">
        <f t="shared" si="20"/>
        <v>4023987.6431999994</v>
      </c>
      <c r="AH100" s="5"/>
      <c r="AI100" s="5"/>
      <c r="AJ100" s="5"/>
      <c r="AK100" s="5"/>
      <c r="AL100" s="5"/>
      <c r="AM100" s="5"/>
      <c r="AN100" s="5"/>
    </row>
    <row r="101" spans="1:40" ht="21.95" customHeight="1" x14ac:dyDescent="0.2">
      <c r="A101" s="9"/>
      <c r="B101" s="705"/>
      <c r="C101" s="715"/>
      <c r="D101" s="718"/>
      <c r="E101" s="1353"/>
      <c r="F101" s="254" t="s">
        <v>348</v>
      </c>
      <c r="G101" s="254" t="s">
        <v>349</v>
      </c>
      <c r="H101" s="576">
        <f t="shared" ref="H101:AG101" si="21">H41 * (1-$F$15)</f>
        <v>3924479.9999999995</v>
      </c>
      <c r="I101" s="576">
        <f t="shared" si="21"/>
        <v>4018219.8839999996</v>
      </c>
      <c r="J101" s="576">
        <f t="shared" si="21"/>
        <v>4148432.9039999996</v>
      </c>
      <c r="K101" s="576">
        <f t="shared" si="21"/>
        <v>4321367.567999999</v>
      </c>
      <c r="L101" s="576">
        <f t="shared" si="21"/>
        <v>4494351.2879999997</v>
      </c>
      <c r="M101" s="576">
        <f t="shared" si="21"/>
        <v>4667347.2719999999</v>
      </c>
      <c r="N101" s="576">
        <f t="shared" si="21"/>
        <v>4840281.9359999998</v>
      </c>
      <c r="O101" s="576">
        <f t="shared" si="21"/>
        <v>5013314.7120000003</v>
      </c>
      <c r="P101" s="576">
        <f t="shared" si="21"/>
        <v>5178461.7359999996</v>
      </c>
      <c r="Q101" s="576">
        <f t="shared" si="21"/>
        <v>5343614.8919999991</v>
      </c>
      <c r="R101" s="576">
        <f t="shared" si="21"/>
        <v>5508761.9159999993</v>
      </c>
      <c r="S101" s="576">
        <f t="shared" si="21"/>
        <v>5673908.9399999995</v>
      </c>
      <c r="T101" s="576">
        <f t="shared" si="21"/>
        <v>5839154.0759999994</v>
      </c>
      <c r="U101" s="576">
        <f t="shared" si="21"/>
        <v>5961530.3999999994</v>
      </c>
      <c r="V101" s="576">
        <f t="shared" si="21"/>
        <v>6055270.2839999991</v>
      </c>
      <c r="W101" s="576">
        <f t="shared" si="21"/>
        <v>6149010.1679999996</v>
      </c>
      <c r="X101" s="576">
        <f t="shared" si="21"/>
        <v>6242750.0519999992</v>
      </c>
      <c r="Y101" s="576">
        <f t="shared" si="21"/>
        <v>6336508.3319999995</v>
      </c>
      <c r="Z101" s="576">
        <f t="shared" si="21"/>
        <v>6430248.2159999982</v>
      </c>
      <c r="AA101" s="576">
        <f t="shared" si="21"/>
        <v>6524006.4959999993</v>
      </c>
      <c r="AB101" s="576">
        <f t="shared" si="21"/>
        <v>6617746.379999999</v>
      </c>
      <c r="AC101" s="576">
        <f t="shared" si="21"/>
        <v>6711486.2639999995</v>
      </c>
      <c r="AD101" s="576">
        <f t="shared" si="21"/>
        <v>6805244.5439999998</v>
      </c>
      <c r="AE101" s="576">
        <f t="shared" si="21"/>
        <v>6898984.4279999994</v>
      </c>
      <c r="AF101" s="576">
        <f t="shared" si="21"/>
        <v>6992724.311999999</v>
      </c>
      <c r="AG101" s="714">
        <f t="shared" si="21"/>
        <v>7086482.5919999992</v>
      </c>
      <c r="AH101" s="5"/>
      <c r="AI101" s="5"/>
      <c r="AJ101" s="5"/>
      <c r="AK101" s="5"/>
      <c r="AL101" s="5"/>
      <c r="AM101" s="5"/>
      <c r="AN101" s="5"/>
    </row>
    <row r="102" spans="1:40" ht="21.95" customHeight="1" x14ac:dyDescent="0.2">
      <c r="A102" s="9"/>
      <c r="B102" s="705"/>
      <c r="C102" s="715"/>
      <c r="D102" s="718"/>
      <c r="E102" s="116" t="s">
        <v>288</v>
      </c>
      <c r="F102" s="116" t="s">
        <v>323</v>
      </c>
      <c r="G102" s="116" t="s">
        <v>348</v>
      </c>
      <c r="H102" s="576">
        <f t="shared" ref="H102:AG102" si="22">H42 * (1-$F$15)</f>
        <v>441503.99999999994</v>
      </c>
      <c r="I102" s="576">
        <f t="shared" si="22"/>
        <v>458055.49439999991</v>
      </c>
      <c r="J102" s="576">
        <f t="shared" si="22"/>
        <v>483373.29599999997</v>
      </c>
      <c r="K102" s="576">
        <f t="shared" si="22"/>
        <v>563812.87200000009</v>
      </c>
      <c r="L102" s="576">
        <f t="shared" si="22"/>
        <v>644264.71199999994</v>
      </c>
      <c r="M102" s="576">
        <f t="shared" si="22"/>
        <v>724802.39999999979</v>
      </c>
      <c r="N102" s="576">
        <f t="shared" si="22"/>
        <v>805241.97599999991</v>
      </c>
      <c r="O102" s="576">
        <f t="shared" si="22"/>
        <v>885760.0416</v>
      </c>
      <c r="P102" s="576">
        <f t="shared" si="22"/>
        <v>991850.99999999988</v>
      </c>
      <c r="Q102" s="576">
        <f t="shared" si="22"/>
        <v>1097914.9775999999</v>
      </c>
      <c r="R102" s="576">
        <f t="shared" si="22"/>
        <v>1204018.2</v>
      </c>
      <c r="S102" s="576">
        <f t="shared" si="22"/>
        <v>1310109.1584000003</v>
      </c>
      <c r="T102" s="576">
        <f t="shared" si="22"/>
        <v>1416320.3039999998</v>
      </c>
      <c r="U102" s="576">
        <f t="shared" si="22"/>
        <v>1467235.5263999996</v>
      </c>
      <c r="V102" s="576">
        <f t="shared" si="22"/>
        <v>1483787.0207999998</v>
      </c>
      <c r="W102" s="576">
        <f t="shared" si="22"/>
        <v>1500338.5151999996</v>
      </c>
      <c r="X102" s="576">
        <f t="shared" si="22"/>
        <v>1516890.0095999998</v>
      </c>
      <c r="Y102" s="576">
        <f t="shared" si="22"/>
        <v>1533458.6735999996</v>
      </c>
      <c r="Z102" s="576">
        <f t="shared" si="22"/>
        <v>1550010.1679999996</v>
      </c>
      <c r="AA102" s="576">
        <f t="shared" si="22"/>
        <v>1566578.8319999999</v>
      </c>
      <c r="AB102" s="576">
        <f t="shared" si="22"/>
        <v>1583130.3263999999</v>
      </c>
      <c r="AC102" s="576">
        <f t="shared" si="22"/>
        <v>1599681.8207999999</v>
      </c>
      <c r="AD102" s="576">
        <f t="shared" si="22"/>
        <v>1616250.4847999997</v>
      </c>
      <c r="AE102" s="576">
        <f t="shared" si="22"/>
        <v>1632801.9792000002</v>
      </c>
      <c r="AF102" s="576">
        <f t="shared" si="22"/>
        <v>1649353.4735999997</v>
      </c>
      <c r="AG102" s="714">
        <f t="shared" si="22"/>
        <v>1665922.1375999998</v>
      </c>
      <c r="AH102" s="5"/>
      <c r="AI102" s="5"/>
      <c r="AJ102" s="5"/>
      <c r="AK102" s="5"/>
      <c r="AL102" s="5"/>
      <c r="AM102" s="5"/>
      <c r="AN102" s="5"/>
    </row>
    <row r="103" spans="1:40" ht="21.95" customHeight="1" x14ac:dyDescent="0.2">
      <c r="A103" s="9"/>
      <c r="B103" s="705"/>
      <c r="C103" s="715"/>
      <c r="D103" s="718"/>
      <c r="E103" s="277" t="s">
        <v>340</v>
      </c>
      <c r="F103" s="277" t="s">
        <v>335</v>
      </c>
      <c r="G103" s="277" t="s">
        <v>323</v>
      </c>
      <c r="H103" s="576">
        <f t="shared" ref="H103:AG103" si="23">H43 * (1-$F$15)</f>
        <v>0</v>
      </c>
      <c r="I103" s="576">
        <f t="shared" si="23"/>
        <v>0</v>
      </c>
      <c r="J103" s="576">
        <f t="shared" si="23"/>
        <v>0</v>
      </c>
      <c r="K103" s="576">
        <f t="shared" si="23"/>
        <v>0</v>
      </c>
      <c r="L103" s="576">
        <f t="shared" si="23"/>
        <v>0</v>
      </c>
      <c r="M103" s="576">
        <f t="shared" si="23"/>
        <v>0</v>
      </c>
      <c r="N103" s="576">
        <f t="shared" si="23"/>
        <v>0</v>
      </c>
      <c r="O103" s="576">
        <f t="shared" si="23"/>
        <v>0</v>
      </c>
      <c r="P103" s="576">
        <f t="shared" si="23"/>
        <v>0</v>
      </c>
      <c r="Q103" s="576">
        <f t="shared" si="23"/>
        <v>0</v>
      </c>
      <c r="R103" s="576">
        <f t="shared" si="23"/>
        <v>0</v>
      </c>
      <c r="S103" s="576">
        <f t="shared" si="23"/>
        <v>0</v>
      </c>
      <c r="T103" s="576">
        <f t="shared" si="23"/>
        <v>0</v>
      </c>
      <c r="U103" s="576">
        <f t="shared" si="23"/>
        <v>0</v>
      </c>
      <c r="V103" s="576">
        <f t="shared" si="23"/>
        <v>0</v>
      </c>
      <c r="W103" s="576">
        <f t="shared" si="23"/>
        <v>0</v>
      </c>
      <c r="X103" s="576">
        <f t="shared" si="23"/>
        <v>0</v>
      </c>
      <c r="Y103" s="576">
        <f t="shared" si="23"/>
        <v>0</v>
      </c>
      <c r="Z103" s="576">
        <f t="shared" si="23"/>
        <v>0</v>
      </c>
      <c r="AA103" s="576">
        <f t="shared" si="23"/>
        <v>0</v>
      </c>
      <c r="AB103" s="576">
        <f t="shared" si="23"/>
        <v>0</v>
      </c>
      <c r="AC103" s="576">
        <f t="shared" si="23"/>
        <v>0</v>
      </c>
      <c r="AD103" s="576">
        <f t="shared" si="23"/>
        <v>0</v>
      </c>
      <c r="AE103" s="576">
        <f t="shared" si="23"/>
        <v>0</v>
      </c>
      <c r="AF103" s="576">
        <f t="shared" si="23"/>
        <v>0</v>
      </c>
      <c r="AG103" s="714">
        <f t="shared" si="23"/>
        <v>0</v>
      </c>
      <c r="AH103" s="5"/>
      <c r="AI103" s="5"/>
      <c r="AJ103" s="5"/>
      <c r="AK103" s="5"/>
      <c r="AL103" s="5"/>
      <c r="AM103" s="5"/>
      <c r="AN103" s="5"/>
    </row>
    <row r="104" spans="1:40" ht="21.95" customHeight="1" x14ac:dyDescent="0.2">
      <c r="A104" s="9"/>
      <c r="B104" s="705"/>
      <c r="C104" s="715"/>
      <c r="D104" s="718"/>
      <c r="E104" s="277" t="s">
        <v>357</v>
      </c>
      <c r="F104" s="277" t="s">
        <v>338</v>
      </c>
      <c r="G104" s="277" t="s">
        <v>323</v>
      </c>
      <c r="H104" s="576">
        <f t="shared" ref="H104:AG104" si="24">H44 * (1-$F$15)</f>
        <v>818789.23636363621</v>
      </c>
      <c r="I104" s="576">
        <f t="shared" si="24"/>
        <v>831444.07889454521</v>
      </c>
      <c r="J104" s="576">
        <f t="shared" si="24"/>
        <v>852236.77666909073</v>
      </c>
      <c r="K104" s="576">
        <f t="shared" si="24"/>
        <v>922905.11101090896</v>
      </c>
      <c r="L104" s="576">
        <f t="shared" si="24"/>
        <v>993582.54301090899</v>
      </c>
      <c r="M104" s="576">
        <f t="shared" si="24"/>
        <v>1064341.8539345451</v>
      </c>
      <c r="N104" s="576">
        <f t="shared" si="24"/>
        <v>1135010.1882763633</v>
      </c>
      <c r="O104" s="576">
        <f t="shared" si="24"/>
        <v>1205758.1271272725</v>
      </c>
      <c r="P104" s="576">
        <f t="shared" si="24"/>
        <v>1289579.4007854541</v>
      </c>
      <c r="Q104" s="576">
        <f t="shared" si="24"/>
        <v>1373382.4791272723</v>
      </c>
      <c r="R104" s="576">
        <f t="shared" si="24"/>
        <v>1457226.4969309086</v>
      </c>
      <c r="S104" s="576">
        <f t="shared" si="24"/>
        <v>1541047.7705890909</v>
      </c>
      <c r="T104" s="576">
        <f t="shared" si="24"/>
        <v>1624987.313803636</v>
      </c>
      <c r="U104" s="576">
        <f t="shared" si="24"/>
        <v>1658885.1881890907</v>
      </c>
      <c r="V104" s="576">
        <f t="shared" si="24"/>
        <v>1671540.0307199995</v>
      </c>
      <c r="W104" s="576">
        <f t="shared" si="24"/>
        <v>1684194.8732509091</v>
      </c>
      <c r="X104" s="576">
        <f t="shared" si="24"/>
        <v>1696849.7157818181</v>
      </c>
      <c r="Y104" s="576">
        <f t="shared" si="24"/>
        <v>1709529.5768727271</v>
      </c>
      <c r="Z104" s="576">
        <f t="shared" si="24"/>
        <v>1722184.4194036361</v>
      </c>
      <c r="AA104" s="576">
        <f t="shared" si="24"/>
        <v>1734864.2804945451</v>
      </c>
      <c r="AB104" s="576">
        <f t="shared" si="24"/>
        <v>1747519.1230254546</v>
      </c>
      <c r="AC104" s="576">
        <f t="shared" si="24"/>
        <v>1760173.9655563636</v>
      </c>
      <c r="AD104" s="576">
        <f t="shared" si="24"/>
        <v>1772853.8266472726</v>
      </c>
      <c r="AE104" s="576">
        <f t="shared" si="24"/>
        <v>1785508.6691781816</v>
      </c>
      <c r="AF104" s="576">
        <f t="shared" si="24"/>
        <v>1798163.511709091</v>
      </c>
      <c r="AG104" s="714">
        <f t="shared" si="24"/>
        <v>1810843.3727999998</v>
      </c>
      <c r="AH104" s="5"/>
      <c r="AI104" s="5"/>
      <c r="AJ104" s="5"/>
      <c r="AK104" s="5"/>
      <c r="AL104" s="5"/>
      <c r="AM104" s="5"/>
      <c r="AN104" s="5"/>
    </row>
    <row r="105" spans="1:40" ht="21.95" customHeight="1" x14ac:dyDescent="0.2">
      <c r="A105" s="9"/>
      <c r="B105" s="705"/>
      <c r="C105" s="715"/>
      <c r="D105" s="718"/>
      <c r="E105" s="116" t="s">
        <v>338</v>
      </c>
      <c r="F105" s="116" t="s">
        <v>282</v>
      </c>
      <c r="G105" s="116" t="s">
        <v>357</v>
      </c>
      <c r="H105" s="576">
        <f t="shared" ref="H105:AG105" si="25">H45 * (1-$F$15)</f>
        <v>2940572.7272727275</v>
      </c>
      <c r="I105" s="576">
        <f t="shared" si="25"/>
        <v>3049917.9241363634</v>
      </c>
      <c r="J105" s="576">
        <f t="shared" si="25"/>
        <v>3166314.6143999994</v>
      </c>
      <c r="K105" s="576">
        <f t="shared" si="25"/>
        <v>3424535.1272999994</v>
      </c>
      <c r="L105" s="576">
        <f t="shared" si="25"/>
        <v>3682820.3328000004</v>
      </c>
      <c r="M105" s="576">
        <f t="shared" si="25"/>
        <v>3941246.6857909095</v>
      </c>
      <c r="N105" s="576">
        <f t="shared" si="25"/>
        <v>4199467.1986909099</v>
      </c>
      <c r="O105" s="576">
        <f t="shared" si="25"/>
        <v>4457914.1356909098</v>
      </c>
      <c r="P105" s="576">
        <f t="shared" si="25"/>
        <v>4805372.2091454538</v>
      </c>
      <c r="Q105" s="576">
        <f t="shared" si="25"/>
        <v>5152844.9854636351</v>
      </c>
      <c r="R105" s="576">
        <f t="shared" si="25"/>
        <v>5500303.0589181799</v>
      </c>
      <c r="S105" s="576">
        <f t="shared" si="25"/>
        <v>5847761.1323727267</v>
      </c>
      <c r="T105" s="576">
        <f t="shared" si="25"/>
        <v>6195542.668827273</v>
      </c>
      <c r="U105" s="576">
        <f t="shared" si="25"/>
        <v>6401015.188145454</v>
      </c>
      <c r="V105" s="576">
        <f t="shared" si="25"/>
        <v>6510360.3850090904</v>
      </c>
      <c r="W105" s="576">
        <f t="shared" si="25"/>
        <v>6619705.5818727249</v>
      </c>
      <c r="X105" s="576">
        <f t="shared" si="25"/>
        <v>6729050.7787363622</v>
      </c>
      <c r="Y105" s="576">
        <f t="shared" si="25"/>
        <v>6838454.7870545443</v>
      </c>
      <c r="Z105" s="576">
        <f t="shared" si="25"/>
        <v>6947799.9839181807</v>
      </c>
      <c r="AA105" s="576">
        <f t="shared" si="25"/>
        <v>7057203.9922363628</v>
      </c>
      <c r="AB105" s="576">
        <f t="shared" si="25"/>
        <v>7166549.189100001</v>
      </c>
      <c r="AC105" s="576">
        <f t="shared" si="25"/>
        <v>7275894.3859636355</v>
      </c>
      <c r="AD105" s="576">
        <f t="shared" si="25"/>
        <v>7385298.3942818167</v>
      </c>
      <c r="AE105" s="576">
        <f t="shared" si="25"/>
        <v>7494643.591145454</v>
      </c>
      <c r="AF105" s="576">
        <f t="shared" si="25"/>
        <v>7603988.7880090903</v>
      </c>
      <c r="AG105" s="714">
        <f t="shared" si="25"/>
        <v>7713392.7963272724</v>
      </c>
      <c r="AH105" s="5"/>
      <c r="AI105" s="5"/>
      <c r="AJ105" s="5"/>
      <c r="AK105" s="5"/>
      <c r="AL105" s="5"/>
      <c r="AM105" s="5"/>
      <c r="AN105" s="5"/>
    </row>
    <row r="106" spans="1:40" ht="21.95" customHeight="1" x14ac:dyDescent="0.2">
      <c r="A106" s="9"/>
      <c r="B106" s="705"/>
      <c r="C106" s="715"/>
      <c r="D106" s="718"/>
      <c r="E106" s="116"/>
      <c r="F106" s="116" t="s">
        <v>357</v>
      </c>
      <c r="G106" s="116" t="s">
        <v>346</v>
      </c>
      <c r="H106" s="576">
        <f t="shared" ref="H106:AG106" si="26">H46 * (1-$F$15)</f>
        <v>428255.16363636364</v>
      </c>
      <c r="I106" s="576">
        <f t="shared" si="26"/>
        <v>443494.84903181816</v>
      </c>
      <c r="J106" s="576">
        <f t="shared" si="26"/>
        <v>460080.15723090898</v>
      </c>
      <c r="K106" s="576">
        <f t="shared" si="26"/>
        <v>491789.63463000004</v>
      </c>
      <c r="L106" s="576">
        <f t="shared" si="26"/>
        <v>523511.50888909091</v>
      </c>
      <c r="M106" s="576">
        <f t="shared" si="26"/>
        <v>555237.89109727275</v>
      </c>
      <c r="N106" s="576">
        <f t="shared" si="26"/>
        <v>586947.36849636352</v>
      </c>
      <c r="O106" s="576">
        <f t="shared" si="26"/>
        <v>618683.33009636356</v>
      </c>
      <c r="P106" s="576">
        <f t="shared" si="26"/>
        <v>662224.48337818158</v>
      </c>
      <c r="Q106" s="576">
        <f t="shared" si="26"/>
        <v>705774.08906454523</v>
      </c>
      <c r="R106" s="576">
        <f t="shared" si="26"/>
        <v>749309.60740999994</v>
      </c>
      <c r="S106" s="576">
        <f t="shared" si="26"/>
        <v>792850.76069181808</v>
      </c>
      <c r="T106" s="576">
        <f t="shared" si="26"/>
        <v>836425.72359181789</v>
      </c>
      <c r="U106" s="576">
        <f t="shared" si="26"/>
        <v>864822.98539636354</v>
      </c>
      <c r="V106" s="576">
        <f t="shared" si="26"/>
        <v>880062.67079181795</v>
      </c>
      <c r="W106" s="576">
        <f t="shared" si="26"/>
        <v>895302.35618727258</v>
      </c>
      <c r="X106" s="576">
        <f t="shared" si="26"/>
        <v>910542.04158272711</v>
      </c>
      <c r="Y106" s="576">
        <f t="shared" si="26"/>
        <v>925787.3619145453</v>
      </c>
      <c r="Z106" s="576">
        <f t="shared" si="26"/>
        <v>941027.04730999947</v>
      </c>
      <c r="AA106" s="576">
        <f t="shared" si="26"/>
        <v>956272.36764181813</v>
      </c>
      <c r="AB106" s="576">
        <f t="shared" si="26"/>
        <v>971512.05303727265</v>
      </c>
      <c r="AC106" s="576">
        <f t="shared" si="26"/>
        <v>986751.73843272706</v>
      </c>
      <c r="AD106" s="576">
        <f t="shared" si="26"/>
        <v>1001997.0587645454</v>
      </c>
      <c r="AE106" s="576">
        <f t="shared" si="26"/>
        <v>1017236.7441599999</v>
      </c>
      <c r="AF106" s="576">
        <f t="shared" si="26"/>
        <v>1032476.4295554544</v>
      </c>
      <c r="AG106" s="714">
        <f t="shared" si="26"/>
        <v>1047721.7498872725</v>
      </c>
      <c r="AH106" s="5"/>
      <c r="AI106" s="5"/>
      <c r="AJ106" s="5"/>
      <c r="AK106" s="5"/>
      <c r="AL106" s="5"/>
      <c r="AM106" s="5"/>
      <c r="AN106" s="5"/>
    </row>
    <row r="107" spans="1:40" ht="21.95" customHeight="1" x14ac:dyDescent="0.2">
      <c r="A107" s="9"/>
      <c r="B107" s="705"/>
      <c r="C107" s="715"/>
      <c r="D107" s="718"/>
      <c r="E107" s="116"/>
      <c r="F107" s="116" t="s">
        <v>346</v>
      </c>
      <c r="G107" s="116" t="s">
        <v>343</v>
      </c>
      <c r="H107" s="576">
        <f t="shared" ref="H107:AG107" si="27">H47 * (1-$F$15)</f>
        <v>105916.36363636362</v>
      </c>
      <c r="I107" s="576">
        <f t="shared" si="27"/>
        <v>109685.45318181817</v>
      </c>
      <c r="J107" s="576">
        <f t="shared" si="27"/>
        <v>113787.34309090907</v>
      </c>
      <c r="K107" s="576">
        <f t="shared" si="27"/>
        <v>121629.75300000001</v>
      </c>
      <c r="L107" s="576">
        <f t="shared" si="27"/>
        <v>129475.22890909092</v>
      </c>
      <c r="M107" s="576">
        <f t="shared" si="27"/>
        <v>137321.8197272727</v>
      </c>
      <c r="N107" s="576">
        <f t="shared" si="27"/>
        <v>145164.22963636363</v>
      </c>
      <c r="O107" s="576">
        <f t="shared" si="27"/>
        <v>153013.18963636362</v>
      </c>
      <c r="P107" s="576">
        <f t="shared" si="27"/>
        <v>163781.81781818176</v>
      </c>
      <c r="Q107" s="576">
        <f t="shared" si="27"/>
        <v>174552.53645454539</v>
      </c>
      <c r="R107" s="576">
        <f t="shared" si="27"/>
        <v>185319.77099999998</v>
      </c>
      <c r="S107" s="576">
        <f t="shared" si="27"/>
        <v>196088.39918181815</v>
      </c>
      <c r="T107" s="576">
        <f t="shared" si="27"/>
        <v>206865.38918181811</v>
      </c>
      <c r="U107" s="576">
        <f t="shared" si="27"/>
        <v>213888.61963636361</v>
      </c>
      <c r="V107" s="576">
        <f t="shared" si="27"/>
        <v>217657.70918181812</v>
      </c>
      <c r="W107" s="576">
        <f t="shared" si="27"/>
        <v>221426.79872727269</v>
      </c>
      <c r="X107" s="576">
        <f t="shared" si="27"/>
        <v>225195.88827272723</v>
      </c>
      <c r="Y107" s="576">
        <f t="shared" si="27"/>
        <v>228966.37145454541</v>
      </c>
      <c r="Z107" s="576">
        <f t="shared" si="27"/>
        <v>232735.46099999989</v>
      </c>
      <c r="AA107" s="576">
        <f t="shared" si="27"/>
        <v>236505.94418181817</v>
      </c>
      <c r="AB107" s="576">
        <f t="shared" si="27"/>
        <v>240275.03372727268</v>
      </c>
      <c r="AC107" s="576">
        <f t="shared" si="27"/>
        <v>244044.12327272724</v>
      </c>
      <c r="AD107" s="576">
        <f t="shared" si="27"/>
        <v>247814.60645454543</v>
      </c>
      <c r="AE107" s="576">
        <f t="shared" si="27"/>
        <v>251583.69599999997</v>
      </c>
      <c r="AF107" s="576">
        <f t="shared" si="27"/>
        <v>255352.78554545448</v>
      </c>
      <c r="AG107" s="714">
        <f t="shared" si="27"/>
        <v>259123.26872727263</v>
      </c>
      <c r="AH107" s="5"/>
      <c r="AI107" s="5"/>
      <c r="AJ107" s="5"/>
      <c r="AK107" s="5"/>
      <c r="AL107" s="5"/>
      <c r="AM107" s="5"/>
      <c r="AN107" s="5"/>
    </row>
    <row r="108" spans="1:40" ht="21.95" customHeight="1" x14ac:dyDescent="0.2">
      <c r="B108" s="705"/>
      <c r="C108" s="715"/>
      <c r="D108" s="715"/>
      <c r="E108" s="116"/>
      <c r="F108" s="116" t="s">
        <v>343</v>
      </c>
      <c r="G108" s="116" t="s">
        <v>350</v>
      </c>
      <c r="H108" s="576">
        <f t="shared" ref="H108:AG108" si="28">H48 * (1-$F$15)</f>
        <v>271759.09090909088</v>
      </c>
      <c r="I108" s="576">
        <f t="shared" si="28"/>
        <v>281118.02106818184</v>
      </c>
      <c r="J108" s="576">
        <f t="shared" si="28"/>
        <v>291559.45827272721</v>
      </c>
      <c r="K108" s="576">
        <f t="shared" si="28"/>
        <v>309799.47552272724</v>
      </c>
      <c r="L108" s="576">
        <f t="shared" si="28"/>
        <v>328050.36313636362</v>
      </c>
      <c r="M108" s="576">
        <f t="shared" si="28"/>
        <v>346294.90970454551</v>
      </c>
      <c r="N108" s="576">
        <f t="shared" si="28"/>
        <v>364534.92695454555</v>
      </c>
      <c r="O108" s="576">
        <f t="shared" si="28"/>
        <v>382793.51440909092</v>
      </c>
      <c r="P108" s="576">
        <f t="shared" si="28"/>
        <v>406308.82854545454</v>
      </c>
      <c r="Q108" s="576">
        <f t="shared" si="28"/>
        <v>429837.27770454553</v>
      </c>
      <c r="R108" s="576">
        <f t="shared" si="28"/>
        <v>453348.06252272706</v>
      </c>
      <c r="S108" s="576">
        <f t="shared" si="28"/>
        <v>476863.37665909086</v>
      </c>
      <c r="T108" s="576">
        <f t="shared" si="28"/>
        <v>500398.61979545455</v>
      </c>
      <c r="U108" s="576">
        <f t="shared" si="28"/>
        <v>516103.12472727266</v>
      </c>
      <c r="V108" s="576">
        <f t="shared" si="28"/>
        <v>525462.05488636368</v>
      </c>
      <c r="W108" s="576">
        <f t="shared" si="28"/>
        <v>534820.98504545458</v>
      </c>
      <c r="X108" s="576">
        <f t="shared" si="28"/>
        <v>544179.9152045456</v>
      </c>
      <c r="Y108" s="576">
        <f t="shared" si="28"/>
        <v>553544.28054545471</v>
      </c>
      <c r="Z108" s="576">
        <f t="shared" si="28"/>
        <v>562903.21070454549</v>
      </c>
      <c r="AA108" s="576">
        <f t="shared" si="28"/>
        <v>572267.57604545448</v>
      </c>
      <c r="AB108" s="576">
        <f t="shared" si="28"/>
        <v>581626.5062045455</v>
      </c>
      <c r="AC108" s="576">
        <f t="shared" si="28"/>
        <v>590985.43636363628</v>
      </c>
      <c r="AD108" s="576">
        <f t="shared" si="28"/>
        <v>600349.80170454539</v>
      </c>
      <c r="AE108" s="576">
        <f t="shared" si="28"/>
        <v>609708.73186363629</v>
      </c>
      <c r="AF108" s="576">
        <f t="shared" si="28"/>
        <v>619067.66202272731</v>
      </c>
      <c r="AG108" s="714">
        <f t="shared" si="28"/>
        <v>628432.02736363641</v>
      </c>
      <c r="AH108" s="5"/>
      <c r="AI108" s="5"/>
      <c r="AJ108" s="5"/>
      <c r="AK108" s="5"/>
      <c r="AL108" s="5"/>
      <c r="AM108" s="5"/>
      <c r="AN108" s="5"/>
    </row>
    <row r="109" spans="1:40" ht="21.95" customHeight="1" x14ac:dyDescent="0.2">
      <c r="B109" s="705"/>
      <c r="C109" s="715"/>
      <c r="D109" s="715"/>
      <c r="E109" s="116"/>
      <c r="F109" s="116" t="s">
        <v>350</v>
      </c>
      <c r="G109" s="116" t="s">
        <v>280</v>
      </c>
      <c r="H109" s="576">
        <f t="shared" ref="H109:AG109" si="29">H49 * (1-$F$15)</f>
        <v>2256297.2727272725</v>
      </c>
      <c r="I109" s="576">
        <f t="shared" si="29"/>
        <v>2334000.3903045454</v>
      </c>
      <c r="J109" s="576">
        <f t="shared" si="29"/>
        <v>2420691.092018181</v>
      </c>
      <c r="K109" s="576">
        <f t="shared" si="29"/>
        <v>2572130.0044681821</v>
      </c>
      <c r="L109" s="576">
        <f t="shared" si="29"/>
        <v>2723659.1688090907</v>
      </c>
      <c r="M109" s="576">
        <f t="shared" si="29"/>
        <v>2875135.6862136368</v>
      </c>
      <c r="N109" s="576">
        <f t="shared" si="29"/>
        <v>3026574.5986636365</v>
      </c>
      <c r="O109" s="576">
        <f t="shared" si="29"/>
        <v>3178167.6914272727</v>
      </c>
      <c r="P109" s="576">
        <f t="shared" si="29"/>
        <v>3373405.0944363642</v>
      </c>
      <c r="Q109" s="576">
        <f t="shared" si="29"/>
        <v>3568751.5518136369</v>
      </c>
      <c r="R109" s="576">
        <f t="shared" si="29"/>
        <v>3763951.3498681802</v>
      </c>
      <c r="S109" s="576">
        <f t="shared" si="29"/>
        <v>3959188.7528772722</v>
      </c>
      <c r="T109" s="576">
        <f t="shared" si="29"/>
        <v>4154591.6176863634</v>
      </c>
      <c r="U109" s="576">
        <f t="shared" si="29"/>
        <v>4284979.2765818182</v>
      </c>
      <c r="V109" s="576">
        <f t="shared" si="29"/>
        <v>4362682.3941590916</v>
      </c>
      <c r="W109" s="576">
        <f t="shared" si="29"/>
        <v>4440385.5117363641</v>
      </c>
      <c r="X109" s="576">
        <f t="shared" si="29"/>
        <v>4518088.6293136375</v>
      </c>
      <c r="Y109" s="576">
        <f t="shared" si="29"/>
        <v>4595836.8728363644</v>
      </c>
      <c r="Z109" s="576">
        <f t="shared" si="29"/>
        <v>4673539.990413636</v>
      </c>
      <c r="AA109" s="576">
        <f t="shared" si="29"/>
        <v>4751288.2339363629</v>
      </c>
      <c r="AB109" s="576">
        <f t="shared" si="29"/>
        <v>4828991.3515136363</v>
      </c>
      <c r="AC109" s="576">
        <f t="shared" si="29"/>
        <v>4906694.4690909088</v>
      </c>
      <c r="AD109" s="576">
        <f t="shared" si="29"/>
        <v>4984442.7126136366</v>
      </c>
      <c r="AE109" s="576">
        <f t="shared" si="29"/>
        <v>5062145.8301909091</v>
      </c>
      <c r="AF109" s="576">
        <f t="shared" si="29"/>
        <v>5139848.9477681816</v>
      </c>
      <c r="AG109" s="714">
        <f t="shared" si="29"/>
        <v>5217597.1912909085</v>
      </c>
      <c r="AH109" s="5"/>
      <c r="AI109" s="5"/>
      <c r="AJ109" s="5"/>
      <c r="AK109" s="5"/>
      <c r="AL109" s="5"/>
      <c r="AM109" s="5"/>
      <c r="AN109" s="5"/>
    </row>
    <row r="110" spans="1:40" ht="21.95" customHeight="1" thickBot="1" x14ac:dyDescent="0.25">
      <c r="B110" s="705"/>
      <c r="C110" s="715"/>
      <c r="D110" s="715"/>
      <c r="E110" s="278"/>
      <c r="F110" s="278" t="s">
        <v>280</v>
      </c>
      <c r="G110" s="278" t="s">
        <v>333</v>
      </c>
      <c r="H110" s="576">
        <f t="shared" ref="H110:AG110" si="30">H50 * (1-$F$15)</f>
        <v>55745.454545454544</v>
      </c>
      <c r="I110" s="576">
        <f t="shared" si="30"/>
        <v>57665.235090909082</v>
      </c>
      <c r="J110" s="576">
        <f t="shared" si="30"/>
        <v>59807.068363636346</v>
      </c>
      <c r="K110" s="576">
        <f t="shared" si="30"/>
        <v>63548.610363636362</v>
      </c>
      <c r="L110" s="576">
        <f t="shared" si="30"/>
        <v>67292.382181818175</v>
      </c>
      <c r="M110" s="576">
        <f t="shared" si="30"/>
        <v>71034.853272727269</v>
      </c>
      <c r="N110" s="576">
        <f t="shared" si="30"/>
        <v>74776.395272727284</v>
      </c>
      <c r="O110" s="576">
        <f t="shared" si="30"/>
        <v>78521.74654545456</v>
      </c>
      <c r="P110" s="576">
        <f t="shared" si="30"/>
        <v>83345.400727272732</v>
      </c>
      <c r="Q110" s="576">
        <f t="shared" si="30"/>
        <v>88171.749272727291</v>
      </c>
      <c r="R110" s="576">
        <f t="shared" si="30"/>
        <v>92994.474363636327</v>
      </c>
      <c r="S110" s="576">
        <f t="shared" si="30"/>
        <v>97818.128545454529</v>
      </c>
      <c r="T110" s="576">
        <f t="shared" si="30"/>
        <v>102645.87072727272</v>
      </c>
      <c r="U110" s="576">
        <f t="shared" si="30"/>
        <v>105867.30763636364</v>
      </c>
      <c r="V110" s="576">
        <f t="shared" si="30"/>
        <v>107787.08818181818</v>
      </c>
      <c r="W110" s="576">
        <f t="shared" si="30"/>
        <v>109706.86872727274</v>
      </c>
      <c r="X110" s="576">
        <f t="shared" si="30"/>
        <v>111626.6492727273</v>
      </c>
      <c r="Y110" s="576">
        <f t="shared" si="30"/>
        <v>113547.54472727276</v>
      </c>
      <c r="Z110" s="576">
        <f t="shared" si="30"/>
        <v>115467.32527272728</v>
      </c>
      <c r="AA110" s="576">
        <f t="shared" si="30"/>
        <v>117388.22072727271</v>
      </c>
      <c r="AB110" s="576">
        <f t="shared" si="30"/>
        <v>119308.00127272727</v>
      </c>
      <c r="AC110" s="576">
        <f t="shared" si="30"/>
        <v>121227.78181818181</v>
      </c>
      <c r="AD110" s="576">
        <f t="shared" si="30"/>
        <v>123148.67727272726</v>
      </c>
      <c r="AE110" s="576">
        <f t="shared" si="30"/>
        <v>125068.45781818181</v>
      </c>
      <c r="AF110" s="576">
        <f t="shared" si="30"/>
        <v>126988.23836363637</v>
      </c>
      <c r="AG110" s="714">
        <f t="shared" si="30"/>
        <v>128909.13381818181</v>
      </c>
      <c r="AH110" s="5"/>
      <c r="AI110" s="5"/>
      <c r="AJ110" s="5"/>
      <c r="AK110" s="5"/>
      <c r="AL110" s="5"/>
      <c r="AM110" s="5"/>
      <c r="AN110" s="5"/>
    </row>
    <row r="111" spans="1:40" ht="21.95" customHeight="1" x14ac:dyDescent="0.2">
      <c r="B111" s="185"/>
      <c r="C111" s="254"/>
      <c r="D111" s="254"/>
      <c r="E111" s="721" t="s">
        <v>25</v>
      </c>
      <c r="F111" s="721"/>
      <c r="G111" s="721"/>
      <c r="H111" s="722">
        <f>SUM(H82:H110)</f>
        <v>69328992.564363629</v>
      </c>
      <c r="I111" s="722">
        <f t="shared" ref="I111:AG111" si="31">SUM(I82:I110)</f>
        <v>71801696.823137283</v>
      </c>
      <c r="J111" s="722">
        <f t="shared" si="31"/>
        <v>75810258.46458146</v>
      </c>
      <c r="K111" s="722">
        <f t="shared" si="31"/>
        <v>82311566.421691075</v>
      </c>
      <c r="L111" s="722">
        <f t="shared" si="31"/>
        <v>88815989.991326168</v>
      </c>
      <c r="M111" s="722">
        <f t="shared" si="31"/>
        <v>95320731.440868184</v>
      </c>
      <c r="N111" s="722">
        <f t="shared" si="31"/>
        <v>101822039.39797781</v>
      </c>
      <c r="O111" s="722">
        <f t="shared" si="31"/>
        <v>108329332.61251819</v>
      </c>
      <c r="P111" s="722">
        <f t="shared" si="31"/>
        <v>114945340.09203634</v>
      </c>
      <c r="Q111" s="722">
        <f t="shared" si="31"/>
        <v>121562462.91908343</v>
      </c>
      <c r="R111" s="722">
        <f t="shared" si="31"/>
        <v>128178266.64543468</v>
      </c>
      <c r="S111" s="722">
        <f t="shared" si="31"/>
        <v>134794345.2561529</v>
      </c>
      <c r="T111" s="722">
        <f t="shared" si="31"/>
        <v>141416089.74344853</v>
      </c>
      <c r="U111" s="722">
        <f t="shared" si="31"/>
        <v>145535992.98442906</v>
      </c>
      <c r="V111" s="722">
        <f t="shared" si="31"/>
        <v>148013987.93280271</v>
      </c>
      <c r="W111" s="722">
        <f t="shared" si="31"/>
        <v>150492544.57237637</v>
      </c>
      <c r="X111" s="722">
        <f t="shared" si="31"/>
        <v>152970890.27115002</v>
      </c>
      <c r="Y111" s="722">
        <f t="shared" si="31"/>
        <v>155450495.56541264</v>
      </c>
      <c r="Z111" s="722">
        <f t="shared" si="31"/>
        <v>157928841.26418635</v>
      </c>
      <c r="AA111" s="722">
        <f t="shared" si="31"/>
        <v>160408446.55844903</v>
      </c>
      <c r="AB111" s="722">
        <f t="shared" si="31"/>
        <v>162886792.25722271</v>
      </c>
      <c r="AC111" s="722">
        <f t="shared" si="31"/>
        <v>165365137.95599633</v>
      </c>
      <c r="AD111" s="722">
        <f t="shared" si="31"/>
        <v>167844674.57185909</v>
      </c>
      <c r="AE111" s="722">
        <f t="shared" si="31"/>
        <v>170323231.21143275</v>
      </c>
      <c r="AF111" s="722">
        <f t="shared" si="31"/>
        <v>172801294.83820641</v>
      </c>
      <c r="AG111" s="723">
        <f t="shared" si="31"/>
        <v>175280900.13246906</v>
      </c>
      <c r="AH111" s="47"/>
      <c r="AI111" s="47"/>
      <c r="AJ111" s="47"/>
      <c r="AK111" s="47"/>
      <c r="AL111" s="47"/>
      <c r="AM111" s="47"/>
      <c r="AN111" s="47"/>
    </row>
    <row r="112" spans="1:40" ht="21.95" customHeight="1" x14ac:dyDescent="0.2">
      <c r="C112" s="116"/>
      <c r="D112" s="116"/>
      <c r="E112" s="240"/>
      <c r="F112" s="240"/>
      <c r="G112" s="240"/>
      <c r="H112" s="724"/>
      <c r="I112" s="724"/>
      <c r="J112" s="724"/>
      <c r="K112" s="724"/>
      <c r="L112" s="724"/>
      <c r="M112" s="724"/>
      <c r="N112" s="724"/>
      <c r="O112" s="724"/>
      <c r="P112" s="724"/>
      <c r="Q112" s="724"/>
      <c r="R112" s="724"/>
      <c r="S112" s="724"/>
      <c r="T112" s="724"/>
      <c r="U112" s="724"/>
      <c r="V112" s="724"/>
      <c r="W112" s="724"/>
      <c r="X112" s="724"/>
      <c r="Y112" s="724"/>
      <c r="Z112" s="724"/>
      <c r="AA112" s="724"/>
      <c r="AB112" s="724"/>
      <c r="AC112" s="724"/>
      <c r="AD112" s="724"/>
      <c r="AE112" s="724"/>
      <c r="AF112" s="724"/>
      <c r="AG112" s="724"/>
      <c r="AH112" s="18"/>
      <c r="AI112" s="18"/>
      <c r="AJ112" s="18"/>
      <c r="AK112" s="18"/>
      <c r="AL112" s="18"/>
      <c r="AM112" s="18"/>
      <c r="AN112" s="18"/>
    </row>
    <row r="113" spans="2:40" ht="21.95" customHeight="1" x14ac:dyDescent="0.2">
      <c r="B113" s="491"/>
      <c r="C113" s="711" t="s">
        <v>2</v>
      </c>
      <c r="D113" s="711" t="s">
        <v>473</v>
      </c>
      <c r="E113" s="711" t="s">
        <v>328</v>
      </c>
      <c r="F113" s="711" t="s">
        <v>329</v>
      </c>
      <c r="G113" s="711" t="s">
        <v>330</v>
      </c>
      <c r="H113" s="712">
        <v>2023</v>
      </c>
      <c r="I113" s="712">
        <v>2024</v>
      </c>
      <c r="J113" s="712">
        <v>2025</v>
      </c>
      <c r="K113" s="712">
        <v>2026</v>
      </c>
      <c r="L113" s="712">
        <v>2027</v>
      </c>
      <c r="M113" s="712">
        <v>2028</v>
      </c>
      <c r="N113" s="712">
        <v>2029</v>
      </c>
      <c r="O113" s="712">
        <v>2030</v>
      </c>
      <c r="P113" s="712">
        <v>2031</v>
      </c>
      <c r="Q113" s="712">
        <v>2032</v>
      </c>
      <c r="R113" s="712">
        <v>2033</v>
      </c>
      <c r="S113" s="712">
        <v>2034</v>
      </c>
      <c r="T113" s="712">
        <v>2035</v>
      </c>
      <c r="U113" s="712">
        <v>2036</v>
      </c>
      <c r="V113" s="712">
        <v>2037</v>
      </c>
      <c r="W113" s="712">
        <v>2038</v>
      </c>
      <c r="X113" s="712">
        <v>2039</v>
      </c>
      <c r="Y113" s="712">
        <v>2040</v>
      </c>
      <c r="Z113" s="712">
        <v>2041</v>
      </c>
      <c r="AA113" s="712">
        <v>2042</v>
      </c>
      <c r="AB113" s="712">
        <v>2043</v>
      </c>
      <c r="AC113" s="712">
        <v>2044</v>
      </c>
      <c r="AD113" s="712">
        <v>2045</v>
      </c>
      <c r="AE113" s="712">
        <v>2046</v>
      </c>
      <c r="AF113" s="712">
        <v>2047</v>
      </c>
      <c r="AG113" s="713">
        <v>2048</v>
      </c>
      <c r="AH113" s="18"/>
      <c r="AI113" s="18"/>
      <c r="AJ113" s="18"/>
      <c r="AK113" s="18"/>
      <c r="AL113" s="18"/>
      <c r="AM113" s="18"/>
      <c r="AN113" s="18"/>
    </row>
    <row r="114" spans="2:40" ht="21.95" customHeight="1" x14ac:dyDescent="0.2">
      <c r="B114" s="182" t="s">
        <v>482</v>
      </c>
      <c r="C114" s="116" t="s">
        <v>127</v>
      </c>
      <c r="D114" s="240" t="s">
        <v>474</v>
      </c>
      <c r="E114" s="1340" t="s">
        <v>331</v>
      </c>
      <c r="F114" s="220" t="s">
        <v>332</v>
      </c>
      <c r="G114" s="220" t="s">
        <v>282</v>
      </c>
      <c r="H114" s="577">
        <f>Speed!X88</f>
        <v>71.779575441467983</v>
      </c>
      <c r="I114" s="577">
        <f>Speed!Y88</f>
        <v>71.779334299460473</v>
      </c>
      <c r="J114" s="577">
        <f>Speed!Z88</f>
        <v>71.778787878486114</v>
      </c>
      <c r="K114" s="577">
        <f>Speed!AA88</f>
        <v>71.777251043765986</v>
      </c>
      <c r="L114" s="577">
        <f>Speed!AB88</f>
        <v>71.774139096862498</v>
      </c>
      <c r="M114" s="577">
        <f>Speed!AC88</f>
        <v>71.768153206844218</v>
      </c>
      <c r="N114" s="577">
        <f>Speed!AD88</f>
        <v>71.757144515248598</v>
      </c>
      <c r="O114" s="577">
        <f>Speed!AE88</f>
        <v>71.737644035831721</v>
      </c>
      <c r="P114" s="577">
        <f>Speed!AF88</f>
        <v>71.704789610609467</v>
      </c>
      <c r="Q114" s="577">
        <f>Speed!AG88</f>
        <v>71.650582585878709</v>
      </c>
      <c r="R114" s="577">
        <f>Speed!AH88</f>
        <v>71.563581595553117</v>
      </c>
      <c r="S114" s="577">
        <f>Speed!AI88</f>
        <v>71.427366744949822</v>
      </c>
      <c r="T114" s="577">
        <f>Speed!AJ88</f>
        <v>71.21879507004229</v>
      </c>
      <c r="U114" s="577">
        <f>Speed!AK88</f>
        <v>71.021030182520875</v>
      </c>
      <c r="V114" s="577">
        <f>Speed!AL88</f>
        <v>70.841357698792024</v>
      </c>
      <c r="W114" s="577">
        <f>Speed!AM88</f>
        <v>70.625000035421792</v>
      </c>
      <c r="X114" s="577">
        <f>Speed!AN88</f>
        <v>70.365799481356788</v>
      </c>
      <c r="Y114" s="577">
        <f>Speed!AO88</f>
        <v>70.056734390169765</v>
      </c>
      <c r="Z114" s="577">
        <f>Speed!AP88</f>
        <v>69.690435805982844</v>
      </c>
      <c r="AA114" s="577">
        <f>Speed!AQ88</f>
        <v>69.25826657278931</v>
      </c>
      <c r="AB114" s="577">
        <f>Speed!AR88</f>
        <v>68.751587689021846</v>
      </c>
      <c r="AC114" s="577">
        <f>Speed!AS88</f>
        <v>68.160693295998897</v>
      </c>
      <c r="AD114" s="577">
        <f>Speed!AT88</f>
        <v>67.475339819335559</v>
      </c>
      <c r="AE114" s="577">
        <f>Speed!AU88</f>
        <v>66.685957113298798</v>
      </c>
      <c r="AF114" s="577">
        <f>Speed!AV88</f>
        <v>65.782268161745847</v>
      </c>
      <c r="AG114" s="725">
        <f>Speed!AW88</f>
        <v>64.754279024804021</v>
      </c>
      <c r="AH114" s="18"/>
      <c r="AI114" s="18"/>
      <c r="AJ114" s="18"/>
      <c r="AK114" s="18"/>
      <c r="AL114" s="18"/>
      <c r="AM114" s="18"/>
      <c r="AN114" s="18"/>
    </row>
    <row r="115" spans="2:40" ht="21.95" customHeight="1" x14ac:dyDescent="0.2">
      <c r="B115" s="705" t="s">
        <v>484</v>
      </c>
      <c r="C115" s="116"/>
      <c r="D115" s="240"/>
      <c r="E115" s="1339"/>
      <c r="F115" s="116" t="s">
        <v>282</v>
      </c>
      <c r="G115" s="116" t="s">
        <v>280</v>
      </c>
      <c r="H115" s="577">
        <f>Speed!X89</f>
        <v>71.779922361429513</v>
      </c>
      <c r="I115" s="577">
        <f>Speed!Y89</f>
        <v>71.779866883205102</v>
      </c>
      <c r="J115" s="577">
        <f>Speed!Z89</f>
        <v>71.779759647242699</v>
      </c>
      <c r="K115" s="577">
        <f>Speed!AA89</f>
        <v>71.779335392490808</v>
      </c>
      <c r="L115" s="577">
        <f>Speed!AB89</f>
        <v>71.778326554685776</v>
      </c>
      <c r="M115" s="577">
        <f>Speed!AC89</f>
        <v>71.776102456590195</v>
      </c>
      <c r="N115" s="577">
        <f>Speed!AD89</f>
        <v>71.771505557553269</v>
      </c>
      <c r="O115" s="577">
        <f>Speed!AE89</f>
        <v>71.762490509958596</v>
      </c>
      <c r="P115" s="577">
        <f>Speed!AF89</f>
        <v>71.741243527950729</v>
      </c>
      <c r="Q115" s="577">
        <f>Speed!AG89</f>
        <v>71.699100219370493</v>
      </c>
      <c r="R115" s="577">
        <f>Speed!AH89</f>
        <v>71.619568003512242</v>
      </c>
      <c r="S115" s="577">
        <f>Speed!AI89</f>
        <v>71.475824433778442</v>
      </c>
      <c r="T115" s="577">
        <f>Speed!AJ89</f>
        <v>71.225697387641787</v>
      </c>
      <c r="U115" s="577">
        <f>Speed!AK89</f>
        <v>70.996085113341579</v>
      </c>
      <c r="V115" s="577">
        <f>Speed!AL89</f>
        <v>70.808012315796518</v>
      </c>
      <c r="W115" s="577">
        <f>Speed!AM89</f>
        <v>70.581063979868489</v>
      </c>
      <c r="X115" s="577">
        <f>Speed!AN89</f>
        <v>70.30865108524344</v>
      </c>
      <c r="Y115" s="577">
        <f>Speed!AO89</f>
        <v>69.983170356830627</v>
      </c>
      <c r="Z115" s="577">
        <f>Speed!AP89</f>
        <v>69.596906083650012</v>
      </c>
      <c r="AA115" s="577">
        <f>Speed!AQ89</f>
        <v>69.140432544411851</v>
      </c>
      <c r="AB115" s="577">
        <f>Speed!AR89</f>
        <v>68.604778676433313</v>
      </c>
      <c r="AC115" s="577">
        <f>Speed!AS89</f>
        <v>67.97953153806732</v>
      </c>
      <c r="AD115" s="577">
        <f>Speed!AT89</f>
        <v>67.253666556062626</v>
      </c>
      <c r="AE115" s="577">
        <f>Speed!AU89</f>
        <v>66.417529330754277</v>
      </c>
      <c r="AF115" s="577">
        <f>Speed!AV89</f>
        <v>65.460271583763813</v>
      </c>
      <c r="AG115" s="725">
        <f>Speed!AW89</f>
        <v>64.371357524430437</v>
      </c>
      <c r="AH115" s="18"/>
      <c r="AI115" s="18"/>
      <c r="AJ115" s="18"/>
      <c r="AK115" s="18"/>
      <c r="AL115" s="18"/>
      <c r="AM115" s="18"/>
      <c r="AN115" s="18"/>
    </row>
    <row r="116" spans="2:40" ht="21.95" customHeight="1" x14ac:dyDescent="0.2">
      <c r="B116" s="705"/>
      <c r="C116" s="116"/>
      <c r="D116" s="240"/>
      <c r="E116" s="1339"/>
      <c r="F116" s="116" t="s">
        <v>280</v>
      </c>
      <c r="G116" s="116" t="s">
        <v>333</v>
      </c>
      <c r="H116" s="577">
        <f>Speed!X90</f>
        <v>71.77997609148342</v>
      </c>
      <c r="I116" s="577">
        <f>Speed!Y90</f>
        <v>71.779964006640029</v>
      </c>
      <c r="J116" s="577">
        <f>Speed!Z90</f>
        <v>71.779941587120831</v>
      </c>
      <c r="K116" s="577">
        <f>Speed!AA90</f>
        <v>71.779891746331302</v>
      </c>
      <c r="L116" s="577">
        <f>Speed!AB90</f>
        <v>71.779806406539308</v>
      </c>
      <c r="M116" s="577">
        <f>Speed!AC90</f>
        <v>71.779664695929995</v>
      </c>
      <c r="N116" s="577">
        <f>Speed!AD90</f>
        <v>71.779435699921265</v>
      </c>
      <c r="O116" s="577">
        <f>Speed!AE90</f>
        <v>71.779074144952205</v>
      </c>
      <c r="P116" s="577">
        <f>Speed!AF90</f>
        <v>71.778537161168515</v>
      </c>
      <c r="Q116" s="577">
        <f>Speed!AG90</f>
        <v>71.777734175406351</v>
      </c>
      <c r="R116" s="577">
        <f>Speed!AH90</f>
        <v>71.776554757167034</v>
      </c>
      <c r="S116" s="577">
        <f>Speed!AI90</f>
        <v>71.774849031981802</v>
      </c>
      <c r="T116" s="577">
        <f>Speed!AJ90</f>
        <v>71.772415612541664</v>
      </c>
      <c r="U116" s="577">
        <f>Speed!AK90</f>
        <v>71.770018300188895</v>
      </c>
      <c r="V116" s="577">
        <f>Speed!AL90</f>
        <v>71.767489898122705</v>
      </c>
      <c r="W116" s="577">
        <f>Speed!AM90</f>
        <v>71.764399160622403</v>
      </c>
      <c r="X116" s="577">
        <f>Speed!AN90</f>
        <v>71.760637617205063</v>
      </c>
      <c r="Y116" s="577">
        <f>Speed!AO90</f>
        <v>71.756076952093565</v>
      </c>
      <c r="Z116" s="577">
        <f>Speed!AP90</f>
        <v>71.750574141488244</v>
      </c>
      <c r="AA116" s="577">
        <f>Speed!AQ90</f>
        <v>71.743955026283516</v>
      </c>
      <c r="AB116" s="577">
        <f>Speed!AR90</f>
        <v>71.736029202085291</v>
      </c>
      <c r="AC116" s="577">
        <f>Speed!AS90</f>
        <v>71.726569339588096</v>
      </c>
      <c r="AD116" s="577">
        <f>Speed!AT90</f>
        <v>71.715312708256533</v>
      </c>
      <c r="AE116" s="577">
        <f>Speed!AU90</f>
        <v>71.70197345015616</v>
      </c>
      <c r="AF116" s="577">
        <f>Speed!AV90</f>
        <v>71.686211478832135</v>
      </c>
      <c r="AG116" s="725">
        <f>Speed!AW90</f>
        <v>71.667636866876236</v>
      </c>
      <c r="AH116" s="18"/>
      <c r="AI116" s="18"/>
      <c r="AJ116" s="18"/>
      <c r="AK116" s="18"/>
      <c r="AL116" s="18"/>
      <c r="AM116" s="18"/>
      <c r="AN116" s="18"/>
    </row>
    <row r="117" spans="2:40" ht="21.95" customHeight="1" x14ac:dyDescent="0.2">
      <c r="B117" s="705"/>
      <c r="C117" s="116"/>
      <c r="D117" s="240"/>
      <c r="E117" s="1340" t="s">
        <v>280</v>
      </c>
      <c r="F117" s="220" t="s">
        <v>281</v>
      </c>
      <c r="G117" s="220" t="s">
        <v>335</v>
      </c>
      <c r="H117" s="577">
        <f>Speed!X91</f>
        <v>59.482802914245177</v>
      </c>
      <c r="I117" s="577">
        <f>Speed!Y91</f>
        <v>59.451584673323097</v>
      </c>
      <c r="J117" s="577">
        <f>Speed!Z91</f>
        <v>59.370082037474731</v>
      </c>
      <c r="K117" s="577">
        <f>Speed!AA91</f>
        <v>57.867356676127315</v>
      </c>
      <c r="L117" s="577">
        <f>Speed!AB91</f>
        <v>48.932904278577311</v>
      </c>
      <c r="M117" s="577">
        <f>Speed!AC91</f>
        <v>27.405198644518649</v>
      </c>
      <c r="N117" s="577">
        <f>Speed!AD91</f>
        <v>10</v>
      </c>
      <c r="O117" s="577">
        <f>Speed!AE91</f>
        <v>10</v>
      </c>
      <c r="P117" s="577">
        <f>Speed!AF91</f>
        <v>10</v>
      </c>
      <c r="Q117" s="577">
        <f>Speed!AG91</f>
        <v>10</v>
      </c>
      <c r="R117" s="577">
        <f>Speed!AH91</f>
        <v>10</v>
      </c>
      <c r="S117" s="577">
        <f>Speed!AI91</f>
        <v>10</v>
      </c>
      <c r="T117" s="577">
        <f>Speed!AJ91</f>
        <v>10</v>
      </c>
      <c r="U117" s="577">
        <f>Speed!AK91</f>
        <v>10</v>
      </c>
      <c r="V117" s="577">
        <f>Speed!AL91</f>
        <v>10</v>
      </c>
      <c r="W117" s="577">
        <f>Speed!AM91</f>
        <v>10</v>
      </c>
      <c r="X117" s="577">
        <f>Speed!AN91</f>
        <v>10</v>
      </c>
      <c r="Y117" s="577">
        <f>Speed!AO91</f>
        <v>10</v>
      </c>
      <c r="Z117" s="577">
        <f>Speed!AP91</f>
        <v>10</v>
      </c>
      <c r="AA117" s="577">
        <f>Speed!AQ91</f>
        <v>10</v>
      </c>
      <c r="AB117" s="577">
        <f>Speed!AR91</f>
        <v>10</v>
      </c>
      <c r="AC117" s="577">
        <f>Speed!AS91</f>
        <v>10</v>
      </c>
      <c r="AD117" s="577">
        <f>Speed!AT91</f>
        <v>10</v>
      </c>
      <c r="AE117" s="577">
        <f>Speed!AU91</f>
        <v>10</v>
      </c>
      <c r="AF117" s="577">
        <f>Speed!AV91</f>
        <v>10</v>
      </c>
      <c r="AG117" s="725">
        <f>Speed!AW91</f>
        <v>10</v>
      </c>
      <c r="AH117" s="18"/>
      <c r="AI117" s="18"/>
      <c r="AJ117" s="18"/>
      <c r="AK117" s="18"/>
      <c r="AL117" s="18"/>
      <c r="AM117" s="18"/>
      <c r="AN117" s="18"/>
    </row>
    <row r="118" spans="2:40" ht="21.95" customHeight="1" x14ac:dyDescent="0.2">
      <c r="B118" s="705"/>
      <c r="C118" s="116"/>
      <c r="D118" s="240"/>
      <c r="E118" s="1339"/>
      <c r="F118" s="116" t="s">
        <v>335</v>
      </c>
      <c r="G118" s="116" t="s">
        <v>323</v>
      </c>
      <c r="H118" s="577">
        <f>Speed!X92</f>
        <v>49.499913467275938</v>
      </c>
      <c r="I118" s="577">
        <f>Speed!Y92</f>
        <v>49.499698678328905</v>
      </c>
      <c r="J118" s="577">
        <f>Speed!Z92</f>
        <v>49.499085896074206</v>
      </c>
      <c r="K118" s="577">
        <f>Speed!AA92</f>
        <v>49.480878972327758</v>
      </c>
      <c r="L118" s="577">
        <f>Speed!AB92</f>
        <v>49.304358526535687</v>
      </c>
      <c r="M118" s="577">
        <f>Speed!AC92</f>
        <v>48.233928748720977</v>
      </c>
      <c r="N118" s="577">
        <f>Speed!AD92</f>
        <v>43.870904494080158</v>
      </c>
      <c r="O118" s="577">
        <f>Speed!AE92</f>
        <v>32.887235062065436</v>
      </c>
      <c r="P118" s="577">
        <f>Speed!AF92</f>
        <v>12.249107915850917</v>
      </c>
      <c r="Q118" s="577">
        <f>Speed!AG92</f>
        <v>10</v>
      </c>
      <c r="R118" s="577">
        <f>Speed!AH92</f>
        <v>10</v>
      </c>
      <c r="S118" s="577">
        <f>Speed!AI92</f>
        <v>10</v>
      </c>
      <c r="T118" s="577">
        <f>Speed!AJ92</f>
        <v>10</v>
      </c>
      <c r="U118" s="577">
        <f>Speed!AK92</f>
        <v>10</v>
      </c>
      <c r="V118" s="577">
        <f>Speed!AL92</f>
        <v>10</v>
      </c>
      <c r="W118" s="577">
        <f>Speed!AM92</f>
        <v>10</v>
      </c>
      <c r="X118" s="577">
        <f>Speed!AN92</f>
        <v>10</v>
      </c>
      <c r="Y118" s="577">
        <f>Speed!AO92</f>
        <v>10</v>
      </c>
      <c r="Z118" s="577">
        <f>Speed!AP92</f>
        <v>10</v>
      </c>
      <c r="AA118" s="577">
        <f>Speed!AQ92</f>
        <v>10</v>
      </c>
      <c r="AB118" s="577">
        <f>Speed!AR92</f>
        <v>10</v>
      </c>
      <c r="AC118" s="577">
        <f>Speed!AS92</f>
        <v>10</v>
      </c>
      <c r="AD118" s="577">
        <f>Speed!AT92</f>
        <v>10</v>
      </c>
      <c r="AE118" s="577">
        <f>Speed!AU92</f>
        <v>10</v>
      </c>
      <c r="AF118" s="577">
        <f>Speed!AV92</f>
        <v>10</v>
      </c>
      <c r="AG118" s="725">
        <f>Speed!AW92</f>
        <v>10</v>
      </c>
      <c r="AH118" s="18"/>
      <c r="AI118" s="18"/>
      <c r="AJ118" s="18"/>
      <c r="AK118" s="18"/>
      <c r="AL118" s="18"/>
      <c r="AM118" s="18"/>
      <c r="AN118" s="18"/>
    </row>
    <row r="119" spans="2:40" ht="21.95" customHeight="1" x14ac:dyDescent="0.2">
      <c r="B119" s="705"/>
      <c r="C119" s="116"/>
      <c r="D119" s="240"/>
      <c r="E119" s="1353"/>
      <c r="F119" s="254" t="s">
        <v>323</v>
      </c>
      <c r="G119" s="254" t="s">
        <v>338</v>
      </c>
      <c r="H119" s="577">
        <f>Speed!X93</f>
        <v>46.22928606898175</v>
      </c>
      <c r="I119" s="577">
        <f>Speed!Y93</f>
        <v>45.898630025140719</v>
      </c>
      <c r="J119" s="577">
        <f>Speed!Z93</f>
        <v>45.449897519349484</v>
      </c>
      <c r="K119" s="577">
        <f>Speed!AA93</f>
        <v>44.119410951142108</v>
      </c>
      <c r="L119" s="577">
        <f>Speed!AB93</f>
        <v>41.957653868858038</v>
      </c>
      <c r="M119" s="577">
        <f>Speed!AC93</f>
        <v>38.729516810869946</v>
      </c>
      <c r="N119" s="577">
        <f>Speed!AD93</f>
        <v>34.364001943170187</v>
      </c>
      <c r="O119" s="577">
        <f>Speed!AE93</f>
        <v>29.083997757787802</v>
      </c>
      <c r="P119" s="577">
        <f>Speed!AF93</f>
        <v>21.27313861925975</v>
      </c>
      <c r="Q119" s="577">
        <f>Speed!AG93</f>
        <v>14.347395945200246</v>
      </c>
      <c r="R119" s="577">
        <f>Speed!AH93</f>
        <v>10</v>
      </c>
      <c r="S119" s="577">
        <f>Speed!AI93</f>
        <v>10</v>
      </c>
      <c r="T119" s="577">
        <f>Speed!AJ93</f>
        <v>10</v>
      </c>
      <c r="U119" s="577">
        <f>Speed!AK93</f>
        <v>10</v>
      </c>
      <c r="V119" s="577">
        <f>Speed!AL93</f>
        <v>10</v>
      </c>
      <c r="W119" s="577">
        <f>Speed!AM93</f>
        <v>10</v>
      </c>
      <c r="X119" s="577">
        <f>Speed!AN93</f>
        <v>10</v>
      </c>
      <c r="Y119" s="577">
        <f>Speed!AO93</f>
        <v>10</v>
      </c>
      <c r="Z119" s="577">
        <f>Speed!AP93</f>
        <v>10</v>
      </c>
      <c r="AA119" s="577">
        <f>Speed!AQ93</f>
        <v>10</v>
      </c>
      <c r="AB119" s="577">
        <f>Speed!AR93</f>
        <v>10</v>
      </c>
      <c r="AC119" s="577">
        <f>Speed!AS93</f>
        <v>10</v>
      </c>
      <c r="AD119" s="577">
        <f>Speed!AT93</f>
        <v>10</v>
      </c>
      <c r="AE119" s="577">
        <f>Speed!AU93</f>
        <v>10</v>
      </c>
      <c r="AF119" s="577">
        <f>Speed!AV93</f>
        <v>10</v>
      </c>
      <c r="AG119" s="725">
        <f>Speed!AW93</f>
        <v>10</v>
      </c>
      <c r="AH119" s="18"/>
      <c r="AI119" s="18"/>
      <c r="AJ119" s="18"/>
      <c r="AK119" s="18"/>
      <c r="AL119" s="18"/>
      <c r="AM119" s="18"/>
      <c r="AN119" s="18"/>
    </row>
    <row r="120" spans="2:40" ht="21.95" customHeight="1" x14ac:dyDescent="0.2">
      <c r="B120" s="705"/>
      <c r="C120" s="116"/>
      <c r="D120" s="240"/>
      <c r="E120" s="116" t="s">
        <v>339</v>
      </c>
      <c r="F120" s="116" t="s">
        <v>335</v>
      </c>
      <c r="G120" s="116" t="s">
        <v>323</v>
      </c>
      <c r="H120" s="577">
        <f>Speed!X94</f>
        <v>20.3</v>
      </c>
      <c r="I120" s="577">
        <f>Speed!Y94</f>
        <v>20.3</v>
      </c>
      <c r="J120" s="577">
        <f>Speed!Z94</f>
        <v>20.3</v>
      </c>
      <c r="K120" s="577">
        <f>Speed!AA94</f>
        <v>20.3</v>
      </c>
      <c r="L120" s="577">
        <f>Speed!AB94</f>
        <v>20.299999999999962</v>
      </c>
      <c r="M120" s="577">
        <f>Speed!AC94</f>
        <v>20.299999999999244</v>
      </c>
      <c r="N120" s="577">
        <f>Speed!AD94</f>
        <v>20.299999999992551</v>
      </c>
      <c r="O120" s="577">
        <f>Speed!AE94</f>
        <v>20.299999999952135</v>
      </c>
      <c r="P120" s="577">
        <f>Speed!AF94</f>
        <v>20.299999999885451</v>
      </c>
      <c r="Q120" s="577">
        <f>Speed!AG94</f>
        <v>20.299999999744138</v>
      </c>
      <c r="R120" s="577">
        <f>Speed!AH94</f>
        <v>20.299999999462074</v>
      </c>
      <c r="S120" s="577">
        <f>Speed!AI94</f>
        <v>20.299999998926015</v>
      </c>
      <c r="T120" s="577">
        <f>Speed!AJ94</f>
        <v>20.299999997946305</v>
      </c>
      <c r="U120" s="577">
        <f>Speed!AK94</f>
        <v>20.299999997640061</v>
      </c>
      <c r="V120" s="577">
        <f>Speed!AL94</f>
        <v>20.299999997293305</v>
      </c>
      <c r="W120" s="577">
        <f>Speed!AM94</f>
        <v>20.299999996901363</v>
      </c>
      <c r="X120" s="577">
        <f>Speed!AN94</f>
        <v>20.299999996459054</v>
      </c>
      <c r="Y120" s="577">
        <f>Speed!AO94</f>
        <v>20.299999995958146</v>
      </c>
      <c r="Z120" s="577">
        <f>Speed!AP94</f>
        <v>20.299999995397229</v>
      </c>
      <c r="AA120" s="577">
        <f>Speed!AQ94</f>
        <v>20.299999994763969</v>
      </c>
      <c r="AB120" s="577">
        <f>Speed!AR94</f>
        <v>20.299999994056968</v>
      </c>
      <c r="AC120" s="577">
        <f>Speed!AS94</f>
        <v>20.299999993265182</v>
      </c>
      <c r="AD120" s="577">
        <f>Speed!AT94</f>
        <v>20.29999999237516</v>
      </c>
      <c r="AE120" s="577">
        <f>Speed!AU94</f>
        <v>20.299999991385704</v>
      </c>
      <c r="AF120" s="577">
        <f>Speed!AV94</f>
        <v>20.299999990282153</v>
      </c>
      <c r="AG120" s="725">
        <f>Speed!AW94</f>
        <v>20.299999989046675</v>
      </c>
      <c r="AH120" s="18"/>
      <c r="AI120" s="18"/>
      <c r="AJ120" s="18"/>
      <c r="AK120" s="18"/>
      <c r="AL120" s="18"/>
      <c r="AM120" s="18"/>
      <c r="AN120" s="18"/>
    </row>
    <row r="121" spans="2:40" ht="21.95" customHeight="1" x14ac:dyDescent="0.2">
      <c r="B121" s="705"/>
      <c r="C121" s="116"/>
      <c r="D121" s="240"/>
      <c r="E121" s="1340" t="s">
        <v>323</v>
      </c>
      <c r="F121" s="220" t="s">
        <v>282</v>
      </c>
      <c r="G121" s="220" t="s">
        <v>339</v>
      </c>
      <c r="H121" s="577">
        <f>Speed!X95</f>
        <v>20.3</v>
      </c>
      <c r="I121" s="577">
        <f>Speed!Y95</f>
        <v>20.3</v>
      </c>
      <c r="J121" s="577">
        <f>Speed!Z95</f>
        <v>20.29999996628775</v>
      </c>
      <c r="K121" s="577">
        <f>Speed!AA95</f>
        <v>20.299977693810813</v>
      </c>
      <c r="L121" s="577">
        <f>Speed!AB95</f>
        <v>20.298889833004008</v>
      </c>
      <c r="M121" s="577">
        <f>Speed!AC95</f>
        <v>20.28175275549475</v>
      </c>
      <c r="N121" s="577">
        <f>Speed!AD95</f>
        <v>20.13886960198743</v>
      </c>
      <c r="O121" s="577">
        <f>Speed!AE95</f>
        <v>19.368399077816957</v>
      </c>
      <c r="P121" s="577">
        <f>Speed!AF95</f>
        <v>19.368399077816957</v>
      </c>
      <c r="Q121" s="577">
        <f>Speed!AG95</f>
        <v>19.368399077816957</v>
      </c>
      <c r="R121" s="577">
        <f>Speed!AH95</f>
        <v>19.368399077816957</v>
      </c>
      <c r="S121" s="577">
        <f>Speed!AI95</f>
        <v>19.368399077816957</v>
      </c>
      <c r="T121" s="577">
        <f>Speed!AJ95</f>
        <v>19.368399077816957</v>
      </c>
      <c r="U121" s="577">
        <f>Speed!AK95</f>
        <v>19.368399077816957</v>
      </c>
      <c r="V121" s="577">
        <f>Speed!AL95</f>
        <v>19.368399077816957</v>
      </c>
      <c r="W121" s="577">
        <f>Speed!AM95</f>
        <v>19.368399077816957</v>
      </c>
      <c r="X121" s="577">
        <f>Speed!AN95</f>
        <v>19.368399077816957</v>
      </c>
      <c r="Y121" s="577">
        <f>Speed!AO95</f>
        <v>19.368399077816957</v>
      </c>
      <c r="Z121" s="577">
        <f>Speed!AP95</f>
        <v>19.368399077816957</v>
      </c>
      <c r="AA121" s="577">
        <f>Speed!AQ95</f>
        <v>19.368399077816957</v>
      </c>
      <c r="AB121" s="577">
        <f>Speed!AR95</f>
        <v>19.368399077816957</v>
      </c>
      <c r="AC121" s="577">
        <f>Speed!AS95</f>
        <v>19.368399077816957</v>
      </c>
      <c r="AD121" s="577">
        <f>Speed!AT95</f>
        <v>19.368399077816957</v>
      </c>
      <c r="AE121" s="577">
        <f>Speed!AU95</f>
        <v>19.368399077816957</v>
      </c>
      <c r="AF121" s="577">
        <f>Speed!AV95</f>
        <v>19.368399077816957</v>
      </c>
      <c r="AG121" s="725">
        <f>Speed!AW95</f>
        <v>19.368399077816957</v>
      </c>
      <c r="AH121" s="18"/>
      <c r="AI121" s="18"/>
      <c r="AJ121" s="18"/>
      <c r="AK121" s="18"/>
      <c r="AL121" s="18"/>
      <c r="AM121" s="18"/>
      <c r="AN121" s="18"/>
    </row>
    <row r="122" spans="2:40" ht="21.95" customHeight="1" x14ac:dyDescent="0.2">
      <c r="B122" s="705"/>
      <c r="C122" s="116"/>
      <c r="D122" s="240"/>
      <c r="E122" s="1339"/>
      <c r="F122" s="116" t="s">
        <v>339</v>
      </c>
      <c r="G122" s="116" t="s">
        <v>288</v>
      </c>
      <c r="H122" s="577">
        <f>Speed!X96</f>
        <v>36.9</v>
      </c>
      <c r="I122" s="577">
        <f>Speed!Y96</f>
        <v>36.899999999997924</v>
      </c>
      <c r="J122" s="577">
        <f>Speed!Z96</f>
        <v>36.899999999899791</v>
      </c>
      <c r="K122" s="577">
        <f>Speed!AA96</f>
        <v>36.8999997622414</v>
      </c>
      <c r="L122" s="577">
        <f>Speed!AB96</f>
        <v>36.899982213916445</v>
      </c>
      <c r="M122" s="577">
        <f>Speed!AC96</f>
        <v>36.899638580402183</v>
      </c>
      <c r="N122" s="577">
        <f>Speed!AD96</f>
        <v>36.896364279094513</v>
      </c>
      <c r="O122" s="577">
        <f>Speed!AE96</f>
        <v>36.876320692947189</v>
      </c>
      <c r="P122" s="577">
        <f>Speed!AF96</f>
        <v>36.583029730418161</v>
      </c>
      <c r="Q122" s="577">
        <f>Speed!AG96</f>
        <v>34.547924031080704</v>
      </c>
      <c r="R122" s="577">
        <f>Speed!AH96</f>
        <v>26.821223847269618</v>
      </c>
      <c r="S122" s="577">
        <f>Speed!AI96</f>
        <v>14.097121445868714</v>
      </c>
      <c r="T122" s="577">
        <f>Speed!AJ96</f>
        <v>5.4424211466399983</v>
      </c>
      <c r="U122" s="577">
        <f>Speed!AK96</f>
        <v>5</v>
      </c>
      <c r="V122" s="577">
        <f>Speed!AL96</f>
        <v>5</v>
      </c>
      <c r="W122" s="577">
        <f>Speed!AM96</f>
        <v>5</v>
      </c>
      <c r="X122" s="577">
        <f>Speed!AN96</f>
        <v>5</v>
      </c>
      <c r="Y122" s="577">
        <f>Speed!AO96</f>
        <v>5</v>
      </c>
      <c r="Z122" s="577">
        <f>Speed!AP96</f>
        <v>5</v>
      </c>
      <c r="AA122" s="577">
        <f>Speed!AQ96</f>
        <v>5</v>
      </c>
      <c r="AB122" s="577">
        <f>Speed!AR96</f>
        <v>5</v>
      </c>
      <c r="AC122" s="577">
        <f>Speed!AS96</f>
        <v>5</v>
      </c>
      <c r="AD122" s="577">
        <f>Speed!AT96</f>
        <v>5</v>
      </c>
      <c r="AE122" s="577">
        <f>Speed!AU96</f>
        <v>5</v>
      </c>
      <c r="AF122" s="577">
        <f>Speed!AV96</f>
        <v>5</v>
      </c>
      <c r="AG122" s="725">
        <f>Speed!AW96</f>
        <v>5</v>
      </c>
      <c r="AH122" s="18"/>
      <c r="AI122" s="18"/>
      <c r="AJ122" s="18"/>
      <c r="AK122" s="18"/>
      <c r="AL122" s="18"/>
      <c r="AM122" s="18"/>
      <c r="AN122" s="18"/>
    </row>
    <row r="123" spans="2:40" ht="21.95" customHeight="1" x14ac:dyDescent="0.2">
      <c r="B123" s="705"/>
      <c r="C123" s="116"/>
      <c r="D123" s="240"/>
      <c r="E123" s="1339"/>
      <c r="F123" s="116" t="s">
        <v>288</v>
      </c>
      <c r="G123" s="116" t="s">
        <v>340</v>
      </c>
      <c r="H123" s="577">
        <f>Speed!X97</f>
        <v>41.1</v>
      </c>
      <c r="I123" s="577">
        <f>Speed!Y97</f>
        <v>41.1</v>
      </c>
      <c r="J123" s="577">
        <f>Speed!Z97</f>
        <v>41.1</v>
      </c>
      <c r="K123" s="577">
        <f>Speed!AA97</f>
        <v>41.099999999998687</v>
      </c>
      <c r="L123" s="577">
        <f>Speed!AB97</f>
        <v>41.099999999901492</v>
      </c>
      <c r="M123" s="577">
        <f>Speed!AC97</f>
        <v>41.099999998001088</v>
      </c>
      <c r="N123" s="577">
        <f>Speed!AD97</f>
        <v>41.099999979903664</v>
      </c>
      <c r="O123" s="577">
        <f>Speed!AE97</f>
        <v>41.099999868964495</v>
      </c>
      <c r="P123" s="577">
        <f>Speed!AF97</f>
        <v>41.099998233248122</v>
      </c>
      <c r="Q123" s="577">
        <f>Speed!AG97</f>
        <v>41.099986114185413</v>
      </c>
      <c r="R123" s="577">
        <f>Speed!AH97</f>
        <v>41.099923304581964</v>
      </c>
      <c r="S123" s="577">
        <f>Speed!AI97</f>
        <v>41.099670017685632</v>
      </c>
      <c r="T123" s="577">
        <f>Speed!AJ97</f>
        <v>41.098820285584843</v>
      </c>
      <c r="U123" s="577">
        <f>Speed!AK97</f>
        <v>41.097689464483068</v>
      </c>
      <c r="V123" s="577">
        <f>Speed!AL97</f>
        <v>41.097249788421735</v>
      </c>
      <c r="W123" s="577">
        <f>Speed!AM97</f>
        <v>41.096736201902331</v>
      </c>
      <c r="X123" s="577">
        <f>Speed!AN97</f>
        <v>41.096137862863728</v>
      </c>
      <c r="Y123" s="577">
        <f>Speed!AO97</f>
        <v>41.095442812800208</v>
      </c>
      <c r="Z123" s="577">
        <f>Speed!AP97</f>
        <v>41.094636873462768</v>
      </c>
      <c r="AA123" s="577">
        <f>Speed!AQ97</f>
        <v>41.093705207940218</v>
      </c>
      <c r="AB123" s="577">
        <f>Speed!AR97</f>
        <v>41.092629976360833</v>
      </c>
      <c r="AC123" s="577">
        <f>Speed!AS97</f>
        <v>41.09139222283779</v>
      </c>
      <c r="AD123" s="577">
        <f>Speed!AT97</f>
        <v>41.08997098868771</v>
      </c>
      <c r="AE123" s="577">
        <f>Speed!AU97</f>
        <v>41.088341430242401</v>
      </c>
      <c r="AF123" s="577">
        <f>Speed!AV97</f>
        <v>41.086477419898806</v>
      </c>
      <c r="AG123" s="725">
        <f>Speed!AW97</f>
        <v>41.084350227359607</v>
      </c>
      <c r="AH123" s="18"/>
      <c r="AI123" s="18"/>
      <c r="AJ123" s="18"/>
      <c r="AK123" s="18"/>
      <c r="AL123" s="18"/>
      <c r="AM123" s="18"/>
      <c r="AN123" s="18"/>
    </row>
    <row r="124" spans="2:40" ht="21.95" customHeight="1" x14ac:dyDescent="0.2">
      <c r="B124" s="705"/>
      <c r="C124" s="116"/>
      <c r="D124" s="240"/>
      <c r="E124" s="1353"/>
      <c r="F124" s="254" t="s">
        <v>340</v>
      </c>
      <c r="G124" s="254" t="s">
        <v>280</v>
      </c>
      <c r="H124" s="577">
        <f>Speed!X98</f>
        <v>41.1</v>
      </c>
      <c r="I124" s="577">
        <f>Speed!Y98</f>
        <v>41.1</v>
      </c>
      <c r="J124" s="577">
        <f>Speed!Z98</f>
        <v>41.1</v>
      </c>
      <c r="K124" s="577">
        <f>Speed!AA98</f>
        <v>41.099999999998687</v>
      </c>
      <c r="L124" s="577">
        <f>Speed!AB98</f>
        <v>41.099999999901492</v>
      </c>
      <c r="M124" s="577">
        <f>Speed!AC98</f>
        <v>41.099999998001088</v>
      </c>
      <c r="N124" s="577">
        <f>Speed!AD98</f>
        <v>41.099999979903664</v>
      </c>
      <c r="O124" s="577">
        <f>Speed!AE98</f>
        <v>41.099999868964495</v>
      </c>
      <c r="P124" s="577">
        <f>Speed!AF98</f>
        <v>41.099998233248122</v>
      </c>
      <c r="Q124" s="577">
        <f>Speed!AG98</f>
        <v>41.099986114185413</v>
      </c>
      <c r="R124" s="577">
        <f>Speed!AH98</f>
        <v>41.099923304581964</v>
      </c>
      <c r="S124" s="577">
        <f>Speed!AI98</f>
        <v>41.099670017685632</v>
      </c>
      <c r="T124" s="577">
        <f>Speed!AJ98</f>
        <v>41.098820285584843</v>
      </c>
      <c r="U124" s="577">
        <f>Speed!AK98</f>
        <v>41.097689464483068</v>
      </c>
      <c r="V124" s="577">
        <f>Speed!AL98</f>
        <v>41.097249788421735</v>
      </c>
      <c r="W124" s="577">
        <f>Speed!AM98</f>
        <v>41.096736201902331</v>
      </c>
      <c r="X124" s="577">
        <f>Speed!AN98</f>
        <v>41.096137862863728</v>
      </c>
      <c r="Y124" s="577">
        <f>Speed!AO98</f>
        <v>41.095442812800208</v>
      </c>
      <c r="Z124" s="577">
        <f>Speed!AP98</f>
        <v>41.094636873462768</v>
      </c>
      <c r="AA124" s="577">
        <f>Speed!AQ98</f>
        <v>41.093705207940218</v>
      </c>
      <c r="AB124" s="577">
        <f>Speed!AR98</f>
        <v>41.092629976360833</v>
      </c>
      <c r="AC124" s="577">
        <f>Speed!AS98</f>
        <v>41.09139222283779</v>
      </c>
      <c r="AD124" s="577">
        <f>Speed!AT98</f>
        <v>41.08997098868771</v>
      </c>
      <c r="AE124" s="577">
        <f>Speed!AU98</f>
        <v>41.088341430242401</v>
      </c>
      <c r="AF124" s="577">
        <f>Speed!AV98</f>
        <v>41.086477419898806</v>
      </c>
      <c r="AG124" s="725">
        <f>Speed!AW98</f>
        <v>41.084350227359607</v>
      </c>
      <c r="AH124" s="18"/>
      <c r="AI124" s="18"/>
      <c r="AJ124" s="18"/>
      <c r="AK124" s="18"/>
      <c r="AL124" s="18"/>
      <c r="AM124" s="18"/>
      <c r="AN124" s="18"/>
    </row>
    <row r="125" spans="2:40" ht="21.95" customHeight="1" x14ac:dyDescent="0.2">
      <c r="B125" s="705"/>
      <c r="C125" s="116"/>
      <c r="D125" s="240"/>
      <c r="E125" s="1340" t="s">
        <v>334</v>
      </c>
      <c r="F125" s="116" t="s">
        <v>336</v>
      </c>
      <c r="G125" s="116" t="s">
        <v>337</v>
      </c>
      <c r="H125" s="577">
        <f>Speed!X99</f>
        <v>50.899207421863686</v>
      </c>
      <c r="I125" s="577">
        <f>Speed!Y99</f>
        <v>50.898964566995787</v>
      </c>
      <c r="J125" s="577">
        <f>Speed!Z99</f>
        <v>50.89842364451561</v>
      </c>
      <c r="K125" s="577">
        <f>Speed!AA99</f>
        <v>50.897202241582328</v>
      </c>
      <c r="L125" s="577">
        <f>Speed!AB99</f>
        <v>50.895185623316621</v>
      </c>
      <c r="M125" s="577">
        <f>Speed!AC99</f>
        <v>50.891944470770007</v>
      </c>
      <c r="N125" s="577">
        <f>Speed!AD99</f>
        <v>50.886859463177409</v>
      </c>
      <c r="O125" s="577">
        <f>Speed!AE99</f>
        <v>50.87904168282607</v>
      </c>
      <c r="P125" s="577">
        <f>Speed!AF99</f>
        <v>50.868813942035182</v>
      </c>
      <c r="Q125" s="577">
        <f>Speed!AG99</f>
        <v>50.854293860405043</v>
      </c>
      <c r="R125" s="577">
        <f>Speed!AH99</f>
        <v>50.833966085478387</v>
      </c>
      <c r="S125" s="577">
        <f>Speed!AI99</f>
        <v>50.805852341701915</v>
      </c>
      <c r="T125" s="577">
        <f>Speed!AJ99</f>
        <v>50.767382749193061</v>
      </c>
      <c r="U125" s="577">
        <f>Speed!AK99</f>
        <v>50.734883051203873</v>
      </c>
      <c r="V125" s="577">
        <f>Speed!AL99</f>
        <v>50.706818836274948</v>
      </c>
      <c r="W125" s="577">
        <f>Speed!AM99</f>
        <v>50.674554916726294</v>
      </c>
      <c r="X125" s="577">
        <f>Speed!AN99</f>
        <v>50.63754955206317</v>
      </c>
      <c r="Y125" s="577">
        <f>Speed!AO99</f>
        <v>50.595179530930807</v>
      </c>
      <c r="Z125" s="577">
        <f>Speed!AP99</f>
        <v>50.546827841917207</v>
      </c>
      <c r="AA125" s="577">
        <f>Speed!AQ99</f>
        <v>50.49171479304573</v>
      </c>
      <c r="AB125" s="577">
        <f>Speed!AR99</f>
        <v>50.429099352276609</v>
      </c>
      <c r="AC125" s="577">
        <f>Speed!AS99</f>
        <v>50.358080269537638</v>
      </c>
      <c r="AD125" s="577">
        <f>Speed!AT99</f>
        <v>50.277659064937787</v>
      </c>
      <c r="AE125" s="577">
        <f>Speed!AU99</f>
        <v>50.186883336497175</v>
      </c>
      <c r="AF125" s="577">
        <f>Speed!AV99</f>
        <v>50.084589844482046</v>
      </c>
      <c r="AG125" s="725">
        <f>Speed!AW99</f>
        <v>49.969501486613538</v>
      </c>
      <c r="AH125" s="18"/>
      <c r="AI125" s="18"/>
      <c r="AJ125" s="18"/>
      <c r="AK125" s="18"/>
      <c r="AL125" s="18"/>
      <c r="AM125" s="18"/>
      <c r="AN125" s="18"/>
    </row>
    <row r="126" spans="2:40" ht="21.95" customHeight="1" x14ac:dyDescent="0.2">
      <c r="B126" s="705"/>
      <c r="C126" s="116"/>
      <c r="D126" s="240"/>
      <c r="E126" s="1339"/>
      <c r="F126" s="116" t="s">
        <v>337</v>
      </c>
      <c r="G126" s="116" t="s">
        <v>386</v>
      </c>
      <c r="H126" s="577">
        <f>Speed!X100</f>
        <v>48.371121965139949</v>
      </c>
      <c r="I126" s="577">
        <f>Speed!Y100</f>
        <v>48.364535072664765</v>
      </c>
      <c r="J126" s="577">
        <f>Speed!Z100</f>
        <v>48.34320120192114</v>
      </c>
      <c r="K126" s="577">
        <f>Speed!AA100</f>
        <v>48.30713938975358</v>
      </c>
      <c r="L126" s="577">
        <f>Speed!AB100</f>
        <v>48.251594923458448</v>
      </c>
      <c r="M126" s="577">
        <f>Speed!AC100</f>
        <v>48.167999964834074</v>
      </c>
      <c r="N126" s="577">
        <f>Speed!AD100</f>
        <v>48.044654995590548</v>
      </c>
      <c r="O126" s="577">
        <f>Speed!AE100</f>
        <v>47.8655143991827</v>
      </c>
      <c r="P126" s="577">
        <f>Speed!AF100</f>
        <v>47.7359861533103</v>
      </c>
      <c r="Q126" s="577">
        <f>Speed!AG100</f>
        <v>47.579165469662577</v>
      </c>
      <c r="R126" s="577">
        <f>Speed!AH100</f>
        <v>47.390904351369834</v>
      </c>
      <c r="S126" s="577">
        <f>Speed!AI100</f>
        <v>47.165443050380752</v>
      </c>
      <c r="T126" s="577">
        <f>Speed!AJ100</f>
        <v>46.897746380467972</v>
      </c>
      <c r="U126" s="577">
        <f>Speed!AK100</f>
        <v>46.635040127027501</v>
      </c>
      <c r="V126" s="577">
        <f>Speed!AL100</f>
        <v>46.377252820259699</v>
      </c>
      <c r="W126" s="577">
        <f>Speed!AM100</f>
        <v>46.087414198072722</v>
      </c>
      <c r="X126" s="577">
        <f>Speed!AN100</f>
        <v>45.763245777879462</v>
      </c>
      <c r="Y126" s="577">
        <f>Speed!AO100</f>
        <v>45.401903858524207</v>
      </c>
      <c r="Z126" s="577">
        <f>Speed!AP100</f>
        <v>45.00053047244797</v>
      </c>
      <c r="AA126" s="577">
        <f>Speed!AQ100</f>
        <v>44.556302438104353</v>
      </c>
      <c r="AB126" s="577">
        <f>Speed!AR100</f>
        <v>44.066489070471917</v>
      </c>
      <c r="AC126" s="577">
        <f>Speed!AS100</f>
        <v>43.528518293801866</v>
      </c>
      <c r="AD126" s="577">
        <f>Speed!AT100</f>
        <v>42.940050396806534</v>
      </c>
      <c r="AE126" s="577">
        <f>Speed!AU100</f>
        <v>42.29905807341062</v>
      </c>
      <c r="AF126" s="577">
        <f>Speed!AV100</f>
        <v>41.605425596846402</v>
      </c>
      <c r="AG126" s="725">
        <f>Speed!AW100</f>
        <v>40.855091930303637</v>
      </c>
      <c r="AH126" s="18"/>
      <c r="AI126" s="18"/>
      <c r="AJ126" s="18"/>
      <c r="AK126" s="18"/>
      <c r="AL126" s="18"/>
      <c r="AM126" s="18"/>
      <c r="AN126" s="18"/>
    </row>
    <row r="127" spans="2:40" ht="21.95" customHeight="1" x14ac:dyDescent="0.2">
      <c r="B127" s="705"/>
      <c r="C127" s="116"/>
      <c r="D127" s="240"/>
      <c r="E127" s="1339"/>
      <c r="F127" s="116" t="s">
        <v>342</v>
      </c>
      <c r="G127" s="116" t="s">
        <v>341</v>
      </c>
      <c r="H127" s="577">
        <f>Speed!X101</f>
        <v>43.366197288242411</v>
      </c>
      <c r="I127" s="577">
        <f>Speed!Y101</f>
        <v>43.358488835182733</v>
      </c>
      <c r="J127" s="577">
        <f>Speed!Z101</f>
        <v>43.333526812775951</v>
      </c>
      <c r="K127" s="577">
        <f>Speed!AA101</f>
        <v>43.291347420444872</v>
      </c>
      <c r="L127" s="577">
        <f>Speed!AB101</f>
        <v>43.226417852573348</v>
      </c>
      <c r="M127" s="577">
        <f>Speed!AC101</f>
        <v>43.128783956961072</v>
      </c>
      <c r="N127" s="577">
        <f>Speed!AD101</f>
        <v>42.984912260903485</v>
      </c>
      <c r="O127" s="577">
        <f>Speed!AE101</f>
        <v>42.776357356318861</v>
      </c>
      <c r="P127" s="577">
        <f>Speed!AF101</f>
        <v>42.625853682423276</v>
      </c>
      <c r="Q127" s="577">
        <f>Speed!AG101</f>
        <v>42.443965691496608</v>
      </c>
      <c r="R127" s="577">
        <f>Speed!AH101</f>
        <v>42.226084399786615</v>
      </c>
      <c r="S127" s="577">
        <f>Speed!AI101</f>
        <v>41.965826426730061</v>
      </c>
      <c r="T127" s="577">
        <f>Speed!AJ101</f>
        <v>41.657767916787712</v>
      </c>
      <c r="U127" s="577">
        <f>Speed!AK101</f>
        <v>41.356453628433549</v>
      </c>
      <c r="V127" s="577">
        <f>Speed!AL101</f>
        <v>41.061740719322401</v>
      </c>
      <c r="W127" s="577">
        <f>Speed!AM101</f>
        <v>40.731514790302739</v>
      </c>
      <c r="X127" s="577">
        <f>Speed!AN101</f>
        <v>40.363583957559435</v>
      </c>
      <c r="Y127" s="577">
        <f>Speed!AO101</f>
        <v>39.955203558392334</v>
      </c>
      <c r="Z127" s="577">
        <f>Speed!AP101</f>
        <v>39.503719347828245</v>
      </c>
      <c r="AA127" s="577">
        <f>Speed!AQ101</f>
        <v>39.006635080230723</v>
      </c>
      <c r="AB127" s="577">
        <f>Speed!AR101</f>
        <v>38.461688129134615</v>
      </c>
      <c r="AC127" s="577">
        <f>Speed!AS101</f>
        <v>37.866931671343806</v>
      </c>
      <c r="AD127" s="577">
        <f>Speed!AT101</f>
        <v>37.220821219919053</v>
      </c>
      <c r="AE127" s="577">
        <f>Speed!AU101</f>
        <v>36.522302515112216</v>
      </c>
      <c r="AF127" s="577">
        <f>Speed!AV101</f>
        <v>35.772527630820065</v>
      </c>
      <c r="AG127" s="725">
        <f>Speed!AW101</f>
        <v>34.968521196833727</v>
      </c>
      <c r="AH127" s="18"/>
      <c r="AI127" s="18"/>
      <c r="AJ127" s="18"/>
      <c r="AK127" s="18"/>
      <c r="AL127" s="18"/>
      <c r="AM127" s="18"/>
      <c r="AN127" s="18"/>
    </row>
    <row r="128" spans="2:40" ht="21.95" customHeight="1" x14ac:dyDescent="0.2">
      <c r="B128" s="705"/>
      <c r="C128" s="116"/>
      <c r="D128" s="240"/>
      <c r="E128" s="1339"/>
      <c r="F128" s="116" t="s">
        <v>341</v>
      </c>
      <c r="G128" s="116" t="s">
        <v>344</v>
      </c>
      <c r="H128" s="577">
        <f>Speed!X102</f>
        <v>46.452599766464537</v>
      </c>
      <c r="I128" s="577">
        <f>Speed!Y102</f>
        <v>46.417454679301883</v>
      </c>
      <c r="J128" s="577">
        <f>Speed!Z102</f>
        <v>46.308229731988035</v>
      </c>
      <c r="K128" s="577">
        <f>Speed!AA102</f>
        <v>46.124400868766067</v>
      </c>
      <c r="L128" s="577">
        <f>Speed!AB102</f>
        <v>45.843836900305675</v>
      </c>
      <c r="M128" s="577">
        <f>Speed!AC102</f>
        <v>45.426781038787659</v>
      </c>
      <c r="N128" s="577">
        <f>Speed!AD102</f>
        <v>44.82199598435929</v>
      </c>
      <c r="O128" s="577">
        <f>Speed!AE102</f>
        <v>43.967306727019164</v>
      </c>
      <c r="P128" s="577">
        <f>Speed!AF102</f>
        <v>43.364290570984288</v>
      </c>
      <c r="Q128" s="577">
        <f>Speed!AG102</f>
        <v>42.653751756758695</v>
      </c>
      <c r="R128" s="577">
        <f>Speed!AH102</f>
        <v>41.822726576054762</v>
      </c>
      <c r="S128" s="577">
        <f>Speed!AI102</f>
        <v>40.863582991199941</v>
      </c>
      <c r="T128" s="577">
        <f>Speed!AJ102</f>
        <v>39.76625414810453</v>
      </c>
      <c r="U128" s="577">
        <f>Speed!AK102</f>
        <v>38.738265568203708</v>
      </c>
      <c r="V128" s="577">
        <f>Speed!AL102</f>
        <v>37.765344808718105</v>
      </c>
      <c r="W128" s="577">
        <f>Speed!AM102</f>
        <v>36.716375389200039</v>
      </c>
      <c r="X128" s="577">
        <f>Speed!AN102</f>
        <v>35.597590215355304</v>
      </c>
      <c r="Y128" s="577">
        <f>Speed!AO102</f>
        <v>34.411222364917485</v>
      </c>
      <c r="Z128" s="577">
        <f>Speed!AP102</f>
        <v>33.16281408956592</v>
      </c>
      <c r="AA128" s="577">
        <f>Speed!AQ102</f>
        <v>31.859366203721898</v>
      </c>
      <c r="AB128" s="577">
        <f>Speed!AR102</f>
        <v>30.509205922991242</v>
      </c>
      <c r="AC128" s="577">
        <f>Speed!AS102</f>
        <v>29.121784715719052</v>
      </c>
      <c r="AD128" s="577">
        <f>Speed!AT102</f>
        <v>27.707415459875858</v>
      </c>
      <c r="AE128" s="577">
        <f>Speed!AU102</f>
        <v>26.274419970133621</v>
      </c>
      <c r="AF128" s="577">
        <f>Speed!AV102</f>
        <v>24.838971096787642</v>
      </c>
      <c r="AG128" s="725">
        <f>Speed!AW102</f>
        <v>23.409505721963676</v>
      </c>
      <c r="AH128" s="18"/>
      <c r="AI128" s="18"/>
      <c r="AJ128" s="18"/>
      <c r="AK128" s="18"/>
      <c r="AL128" s="18"/>
      <c r="AM128" s="18"/>
      <c r="AN128" s="18"/>
    </row>
    <row r="129" spans="2:40" ht="21.95" customHeight="1" x14ac:dyDescent="0.2">
      <c r="B129" s="705"/>
      <c r="C129" s="116"/>
      <c r="D129" s="240"/>
      <c r="E129" s="1339"/>
      <c r="F129" s="116" t="s">
        <v>344</v>
      </c>
      <c r="G129" s="116" t="s">
        <v>345</v>
      </c>
      <c r="H129" s="577">
        <f>Speed!X103</f>
        <v>56.534061146242856</v>
      </c>
      <c r="I129" s="577">
        <f>Speed!Y103</f>
        <v>56.518300097903555</v>
      </c>
      <c r="J129" s="577">
        <f>Speed!Z103</f>
        <v>56.469221089591443</v>
      </c>
      <c r="K129" s="577">
        <f>Speed!AA103</f>
        <v>56.386288993469485</v>
      </c>
      <c r="L129" s="577">
        <f>Speed!AB103</f>
        <v>56.258910070104939</v>
      </c>
      <c r="M129" s="577">
        <f>Speed!AC103</f>
        <v>56.067740736935704</v>
      </c>
      <c r="N129" s="577">
        <f>Speed!AD103</f>
        <v>55.786580925480465</v>
      </c>
      <c r="O129" s="577">
        <f>Speed!AE103</f>
        <v>55.381080877340231</v>
      </c>
      <c r="P129" s="577">
        <f>Speed!AF103</f>
        <v>55.089065167009437</v>
      </c>
      <c r="Q129" s="577">
        <f>Speed!AG103</f>
        <v>54.738499674941899</v>
      </c>
      <c r="R129" s="577">
        <f>Speed!AH103</f>
        <v>54.319316025911306</v>
      </c>
      <c r="S129" s="577">
        <f>Speed!AI103</f>
        <v>53.822760692967613</v>
      </c>
      <c r="T129" s="577">
        <f>Speed!AJ103</f>
        <v>53.237190031533011</v>
      </c>
      <c r="U129" s="577">
        <f>Speed!AK103</f>
        <v>52.6709091221636</v>
      </c>
      <c r="V129" s="577">
        <f>Speed!AL103</f>
        <v>52.118426651994042</v>
      </c>
      <c r="W129" s="577">
        <f>Speed!AM103</f>
        <v>51.503882088250144</v>
      </c>
      <c r="X129" s="577">
        <f>Speed!AN103</f>
        <v>50.82576800465052</v>
      </c>
      <c r="Y129" s="577">
        <f>Speed!AO103</f>
        <v>50.079736441704831</v>
      </c>
      <c r="Z129" s="577">
        <f>Speed!AP103</f>
        <v>49.262965466593414</v>
      </c>
      <c r="AA129" s="577">
        <f>Speed!AQ103</f>
        <v>48.3732653096584</v>
      </c>
      <c r="AB129" s="577">
        <f>Speed!AR103</f>
        <v>47.409218677915874</v>
      </c>
      <c r="AC129" s="577">
        <f>Speed!AS103</f>
        <v>46.370316063496396</v>
      </c>
      <c r="AD129" s="577">
        <f>Speed!AT103</f>
        <v>45.257078323159377</v>
      </c>
      <c r="AE129" s="577">
        <f>Speed!AU103</f>
        <v>44.068992396764294</v>
      </c>
      <c r="AF129" s="577">
        <f>Speed!AV103</f>
        <v>42.813125560104417</v>
      </c>
      <c r="AG129" s="725">
        <f>Speed!AW103</f>
        <v>41.491535440910617</v>
      </c>
      <c r="AH129" s="18"/>
      <c r="AI129" s="18"/>
      <c r="AJ129" s="18"/>
      <c r="AK129" s="18"/>
      <c r="AL129" s="18"/>
      <c r="AM129" s="18"/>
      <c r="AN129" s="18"/>
    </row>
    <row r="130" spans="2:40" ht="21.95" customHeight="1" x14ac:dyDescent="0.2">
      <c r="B130" s="705"/>
      <c r="C130" s="116"/>
      <c r="D130" s="240"/>
      <c r="E130" s="1339"/>
      <c r="F130" s="116" t="s">
        <v>345</v>
      </c>
      <c r="G130" s="116" t="s">
        <v>323</v>
      </c>
      <c r="H130" s="577">
        <f>Speed!X104</f>
        <v>69.031979009162399</v>
      </c>
      <c r="I130" s="577">
        <f>Speed!Y104</f>
        <v>69.015713239344805</v>
      </c>
      <c r="J130" s="577">
        <f>Speed!Z104</f>
        <v>68.965072010257558</v>
      </c>
      <c r="K130" s="577">
        <f>Speed!AA104</f>
        <v>68.879444602581003</v>
      </c>
      <c r="L130" s="577">
        <f>Speed!AB104</f>
        <v>68.747882829990417</v>
      </c>
      <c r="M130" s="577">
        <f>Speed!AC104</f>
        <v>68.550181456879258</v>
      </c>
      <c r="N130" s="577">
        <f>Speed!AD104</f>
        <v>68.259055238069465</v>
      </c>
      <c r="O130" s="577">
        <f>Speed!AE104</f>
        <v>67.838445792067418</v>
      </c>
      <c r="P130" s="577">
        <f>Speed!AF104</f>
        <v>67.535239641262635</v>
      </c>
      <c r="Q130" s="577">
        <f>Speed!AG104</f>
        <v>67.170136412842695</v>
      </c>
      <c r="R130" s="577">
        <f>Speed!AH104</f>
        <v>66.733221414433885</v>
      </c>
      <c r="S130" s="577">
        <f>Speed!AI104</f>
        <v>66.213697199685413</v>
      </c>
      <c r="T130" s="577">
        <f>Speed!AJ104</f>
        <v>65.599776677766329</v>
      </c>
      <c r="U130" s="577">
        <f>Speed!AK104</f>
        <v>65.003107351136819</v>
      </c>
      <c r="V130" s="577">
        <f>Speed!AL104</f>
        <v>64.419754918057706</v>
      </c>
      <c r="W130" s="577">
        <f>Speed!AM104</f>
        <v>63.769969606582123</v>
      </c>
      <c r="X130" s="577">
        <f>Speed!AN104</f>
        <v>63.049161774371164</v>
      </c>
      <c r="Y130" s="577">
        <f>Speed!AO104</f>
        <v>62.252921768864184</v>
      </c>
      <c r="Z130" s="577">
        <f>Speed!AP104</f>
        <v>61.377421072938354</v>
      </c>
      <c r="AA130" s="577">
        <f>Speed!AQ104</f>
        <v>60.419082854488032</v>
      </c>
      <c r="AB130" s="577">
        <f>Speed!AR104</f>
        <v>59.37531417028336</v>
      </c>
      <c r="AC130" s="577">
        <f>Speed!AS104</f>
        <v>58.244128563288953</v>
      </c>
      <c r="AD130" s="577">
        <f>Speed!AT104</f>
        <v>57.024504828424796</v>
      </c>
      <c r="AE130" s="577">
        <f>Speed!AU104</f>
        <v>55.716863315808716</v>
      </c>
      <c r="AF130" s="577">
        <f>Speed!AV104</f>
        <v>54.322586077380159</v>
      </c>
      <c r="AG130" s="725">
        <f>Speed!AW104</f>
        <v>52.844378683835174</v>
      </c>
      <c r="AH130" s="18"/>
      <c r="AI130" s="18"/>
      <c r="AJ130" s="18"/>
      <c r="AK130" s="18"/>
      <c r="AL130" s="18"/>
      <c r="AM130" s="18"/>
      <c r="AN130" s="18"/>
    </row>
    <row r="131" spans="2:40" ht="21.95" customHeight="1" x14ac:dyDescent="0.2">
      <c r="B131" s="705"/>
      <c r="C131" s="116"/>
      <c r="D131" s="240"/>
      <c r="E131" s="1339"/>
      <c r="F131" s="116" t="s">
        <v>323</v>
      </c>
      <c r="G131" s="116" t="s">
        <v>347</v>
      </c>
      <c r="H131" s="577">
        <f>Speed!X105</f>
        <v>69.031979009162399</v>
      </c>
      <c r="I131" s="577">
        <f>Speed!Y105</f>
        <v>69.015713239344805</v>
      </c>
      <c r="J131" s="577">
        <f>Speed!Z105</f>
        <v>68.984973636842369</v>
      </c>
      <c r="K131" s="577">
        <f>Speed!AA105</f>
        <v>68.937546322185739</v>
      </c>
      <c r="L131" s="577">
        <f>Speed!AB105</f>
        <v>68.873236674994416</v>
      </c>
      <c r="M131" s="577">
        <f>Speed!AC105</f>
        <v>68.786986624987705</v>
      </c>
      <c r="N131" s="577">
        <f>Speed!AD105</f>
        <v>68.6724936981756</v>
      </c>
      <c r="O131" s="577">
        <f>Speed!AE105</f>
        <v>68.521887457599803</v>
      </c>
      <c r="P131" s="577">
        <f>Speed!AF105</f>
        <v>68.368378896356035</v>
      </c>
      <c r="Q131" s="577">
        <f>Speed!AG105</f>
        <v>68.179685821558508</v>
      </c>
      <c r="R131" s="577">
        <f>Speed!AH105</f>
        <v>67.949129816195807</v>
      </c>
      <c r="S131" s="577">
        <f>Speed!AI105</f>
        <v>67.669107687936503</v>
      </c>
      <c r="T131" s="577">
        <f>Speed!AJ105</f>
        <v>67.33092452366904</v>
      </c>
      <c r="U131" s="577">
        <f>Speed!AK105</f>
        <v>66.995415308476183</v>
      </c>
      <c r="V131" s="577">
        <f>Speed!AL105</f>
        <v>66.661389811476312</v>
      </c>
      <c r="W131" s="577">
        <f>Speed!AM105</f>
        <v>66.282765720146159</v>
      </c>
      <c r="X131" s="577">
        <f>Speed!AN105</f>
        <v>65.855087721135263</v>
      </c>
      <c r="Y131" s="577">
        <f>Speed!AO105</f>
        <v>65.373697164363847</v>
      </c>
      <c r="Z131" s="577">
        <f>Speed!AP105</f>
        <v>64.83395244686406</v>
      </c>
      <c r="AA131" s="577">
        <f>Speed!AQ105</f>
        <v>64.231012577087114</v>
      </c>
      <c r="AB131" s="577">
        <f>Speed!AR105</f>
        <v>63.560283848454574</v>
      </c>
      <c r="AC131" s="577">
        <f>Speed!AS105</f>
        <v>62.817191551452567</v>
      </c>
      <c r="AD131" s="577">
        <f>Speed!AT105</f>
        <v>61.997424489915431</v>
      </c>
      <c r="AE131" s="577">
        <f>Speed!AU105</f>
        <v>61.097301182119963</v>
      </c>
      <c r="AF131" s="577">
        <f>Speed!AV105</f>
        <v>60.113514269711082</v>
      </c>
      <c r="AG131" s="725">
        <f>Speed!AW105</f>
        <v>59.043458092439145</v>
      </c>
      <c r="AH131" s="18"/>
      <c r="AI131" s="18"/>
      <c r="AJ131" s="18"/>
      <c r="AK131" s="18"/>
      <c r="AL131" s="18"/>
      <c r="AM131" s="18"/>
      <c r="AN131" s="18"/>
    </row>
    <row r="132" spans="2:40" ht="21.95" customHeight="1" x14ac:dyDescent="0.2">
      <c r="B132" s="705"/>
      <c r="C132" s="116"/>
      <c r="D132" s="240"/>
      <c r="E132" s="1339"/>
      <c r="F132" s="116" t="s">
        <v>347</v>
      </c>
      <c r="G132" s="116" t="s">
        <v>348</v>
      </c>
      <c r="H132" s="577">
        <f>Speed!X106</f>
        <v>59.009308891513932</v>
      </c>
      <c r="I132" s="577">
        <f>Speed!Y106</f>
        <v>58.98763684309683</v>
      </c>
      <c r="J132" s="577">
        <f>Speed!Z106</f>
        <v>58.946695852461474</v>
      </c>
      <c r="K132" s="577">
        <f>Speed!AA106</f>
        <v>58.883569031111399</v>
      </c>
      <c r="L132" s="577">
        <f>Speed!AB106</f>
        <v>58.798048779392673</v>
      </c>
      <c r="M132" s="577">
        <f>Speed!AC106</f>
        <v>58.683491272339225</v>
      </c>
      <c r="N132" s="577">
        <f>Speed!AD106</f>
        <v>58.531667940910054</v>
      </c>
      <c r="O132" s="577">
        <f>Speed!AE106</f>
        <v>58.332383417344381</v>
      </c>
      <c r="P132" s="577">
        <f>Speed!AF106</f>
        <v>58.129755938211524</v>
      </c>
      <c r="Q132" s="577">
        <f>Speed!AG106</f>
        <v>57.881371083278239</v>
      </c>
      <c r="R132" s="577">
        <f>Speed!AH106</f>
        <v>57.578901403338868</v>
      </c>
      <c r="S132" s="577">
        <f>Speed!AI106</f>
        <v>57.213038389138077</v>
      </c>
      <c r="T132" s="577">
        <f>Speed!AJ106</f>
        <v>56.773366465346214</v>
      </c>
      <c r="U132" s="577">
        <f>Speed!AK106</f>
        <v>56.339511438451034</v>
      </c>
      <c r="V132" s="577">
        <f>Speed!AL106</f>
        <v>55.909872270996004</v>
      </c>
      <c r="W132" s="577">
        <f>Speed!AM106</f>
        <v>55.425616937082935</v>
      </c>
      <c r="X132" s="577">
        <f>Speed!AN106</f>
        <v>54.88210340986582</v>
      </c>
      <c r="Y132" s="577">
        <f>Speed!AO106</f>
        <v>54.274702407509558</v>
      </c>
      <c r="Z132" s="577">
        <f>Speed!AP106</f>
        <v>53.59911730779806</v>
      </c>
      <c r="AA132" s="577">
        <f>Speed!AQ106</f>
        <v>52.851152856866712</v>
      </c>
      <c r="AB132" s="577">
        <f>Speed!AR106</f>
        <v>52.027310211362121</v>
      </c>
      <c r="AC132" s="577">
        <f>Speed!AS106</f>
        <v>51.124531623812537</v>
      </c>
      <c r="AD132" s="577">
        <f>Speed!AT106</f>
        <v>50.140523631641699</v>
      </c>
      <c r="AE132" s="577">
        <f>Speed!AU106</f>
        <v>49.074196370469394</v>
      </c>
      <c r="AF132" s="577">
        <f>Speed!AV106</f>
        <v>47.925335668159178</v>
      </c>
      <c r="AG132" s="725">
        <f>Speed!AW106</f>
        <v>46.694953842741853</v>
      </c>
      <c r="AH132" s="18"/>
      <c r="AI132" s="18"/>
      <c r="AJ132" s="18"/>
      <c r="AK132" s="18"/>
      <c r="AL132" s="18"/>
      <c r="AM132" s="18"/>
      <c r="AN132" s="18"/>
    </row>
    <row r="133" spans="2:40" ht="21.95" customHeight="1" x14ac:dyDescent="0.2">
      <c r="B133" s="705"/>
      <c r="C133" s="116"/>
      <c r="D133" s="240"/>
      <c r="E133" s="1353"/>
      <c r="F133" s="254" t="s">
        <v>348</v>
      </c>
      <c r="G133" s="254" t="s">
        <v>349</v>
      </c>
      <c r="H133" s="577">
        <f>Speed!X107</f>
        <v>58.7567414573777</v>
      </c>
      <c r="I133" s="577">
        <f>Speed!Y107</f>
        <v>58.666023625896827</v>
      </c>
      <c r="J133" s="577">
        <f>Speed!Z107</f>
        <v>58.504648398108976</v>
      </c>
      <c r="K133" s="577">
        <f>Speed!AA107</f>
        <v>58.208864672459995</v>
      </c>
      <c r="L133" s="577">
        <f>Speed!AB107</f>
        <v>57.790017706889039</v>
      </c>
      <c r="M133" s="577">
        <f>Speed!AC107</f>
        <v>57.208087548465706</v>
      </c>
      <c r="N133" s="577">
        <f>Speed!AD107</f>
        <v>56.415593968511743</v>
      </c>
      <c r="O133" s="577">
        <f>Speed!AE107</f>
        <v>55.357445162192178</v>
      </c>
      <c r="P133" s="577">
        <f>Speed!AF107</f>
        <v>54.047293024344299</v>
      </c>
      <c r="Q133" s="577">
        <f>Speed!AG107</f>
        <v>52.395204928997302</v>
      </c>
      <c r="R133" s="577">
        <f>Speed!AH107</f>
        <v>50.362455920665731</v>
      </c>
      <c r="S133" s="577">
        <f>Speed!AI107</f>
        <v>47.927490023640047</v>
      </c>
      <c r="T133" s="577">
        <f>Speed!AJ107</f>
        <v>45.092857249595966</v>
      </c>
      <c r="U133" s="577">
        <f>Speed!AK107</f>
        <v>42.757121850661385</v>
      </c>
      <c r="V133" s="577">
        <f>Speed!AL107</f>
        <v>40.849797446708081</v>
      </c>
      <c r="W133" s="577">
        <f>Speed!AM107</f>
        <v>38.857338507664856</v>
      </c>
      <c r="X133" s="577">
        <f>Speed!AN107</f>
        <v>36.798565199850039</v>
      </c>
      <c r="Y133" s="577">
        <f>Speed!AO107</f>
        <v>34.693989446626723</v>
      </c>
      <c r="Z133" s="577">
        <f>Speed!AP107</f>
        <v>32.566622166207132</v>
      </c>
      <c r="AA133" s="577">
        <f>Speed!AQ107</f>
        <v>30.4381387123425</v>
      </c>
      <c r="AB133" s="577">
        <f>Speed!AR107</f>
        <v>28.331266141812385</v>
      </c>
      <c r="AC133" s="577">
        <f>Speed!AS107</f>
        <v>26.266011663519865</v>
      </c>
      <c r="AD133" s="577">
        <f>Speed!AT107</f>
        <v>24.260248277764166</v>
      </c>
      <c r="AE133" s="577">
        <f>Speed!AU107</f>
        <v>22.330345809069733</v>
      </c>
      <c r="AF133" s="577">
        <f>Speed!AV107</f>
        <v>20.488499824138039</v>
      </c>
      <c r="AG133" s="725">
        <f>Speed!AW107</f>
        <v>18.743886289291154</v>
      </c>
      <c r="AH133" s="18"/>
      <c r="AI133" s="18"/>
      <c r="AJ133" s="18"/>
      <c r="AK133" s="18"/>
      <c r="AL133" s="18"/>
      <c r="AM133" s="18"/>
      <c r="AN133" s="18"/>
    </row>
    <row r="134" spans="2:40" ht="21.95" customHeight="1" x14ac:dyDescent="0.2">
      <c r="B134" s="705"/>
      <c r="C134" s="116"/>
      <c r="D134" s="240"/>
      <c r="E134" s="116" t="s">
        <v>288</v>
      </c>
      <c r="F134" s="116" t="s">
        <v>323</v>
      </c>
      <c r="G134" s="116" t="s">
        <v>348</v>
      </c>
      <c r="H134" s="577">
        <f>Speed!X108</f>
        <v>27.799996573650304</v>
      </c>
      <c r="I134" s="577">
        <f>Speed!Y108</f>
        <v>27.799995049304624</v>
      </c>
      <c r="J134" s="577">
        <f>Speed!Z108</f>
        <v>27.799991521642578</v>
      </c>
      <c r="K134" s="577">
        <f>Speed!AA108</f>
        <v>27.799960478396013</v>
      </c>
      <c r="L134" s="577">
        <f>Speed!AB108</f>
        <v>27.799849987857112</v>
      </c>
      <c r="M134" s="577">
        <f>Speed!AC108</f>
        <v>27.799512837411783</v>
      </c>
      <c r="N134" s="577">
        <f>Speed!AD108</f>
        <v>27.798604507295686</v>
      </c>
      <c r="O134" s="577">
        <f>Speed!AE108</f>
        <v>27.79638099138247</v>
      </c>
      <c r="P134" s="577">
        <f>Speed!AF108</f>
        <v>27.788785641371796</v>
      </c>
      <c r="Q134" s="577">
        <f>Speed!AG108</f>
        <v>27.76904800797</v>
      </c>
      <c r="R134" s="577">
        <f>Speed!AH108</f>
        <v>27.722268008909683</v>
      </c>
      <c r="S134" s="577">
        <f>Speed!AI108</f>
        <v>27.619807797087887</v>
      </c>
      <c r="T134" s="577">
        <f>Speed!AJ108</f>
        <v>27.41008874682602</v>
      </c>
      <c r="U134" s="577">
        <f>Speed!AK108</f>
        <v>27.248206252073437</v>
      </c>
      <c r="V134" s="577">
        <f>Speed!AL108</f>
        <v>27.184154150089018</v>
      </c>
      <c r="W134" s="577">
        <f>Speed!AM108</f>
        <v>27.113687845608009</v>
      </c>
      <c r="X134" s="577">
        <f>Speed!AN108</f>
        <v>27.0362899217501</v>
      </c>
      <c r="Y134" s="577">
        <f>Speed!AO108</f>
        <v>26.951325015374376</v>
      </c>
      <c r="Z134" s="577">
        <f>Speed!AP108</f>
        <v>26.858400679797352</v>
      </c>
      <c r="AA134" s="577">
        <f>Speed!AQ108</f>
        <v>26.756731449264507</v>
      </c>
      <c r="AB134" s="577">
        <f>Speed!AR108</f>
        <v>26.645914894605589</v>
      </c>
      <c r="AC134" s="577">
        <f>Speed!AS108</f>
        <v>26.525218980800844</v>
      </c>
      <c r="AD134" s="577">
        <f>Speed!AT108</f>
        <v>26.393855253156566</v>
      </c>
      <c r="AE134" s="577">
        <f>Speed!AU108</f>
        <v>26.251437332961135</v>
      </c>
      <c r="AF134" s="577">
        <f>Speed!AV108</f>
        <v>26.097169879604184</v>
      </c>
      <c r="AG134" s="725">
        <f>Speed!AW108</f>
        <v>25.930207143733867</v>
      </c>
      <c r="AH134" s="18"/>
      <c r="AI134" s="18"/>
      <c r="AJ134" s="18"/>
      <c r="AK134" s="18"/>
      <c r="AL134" s="18"/>
      <c r="AM134" s="18"/>
      <c r="AN134" s="18"/>
    </row>
    <row r="135" spans="2:40" ht="21.95" customHeight="1" x14ac:dyDescent="0.2">
      <c r="B135" s="705"/>
      <c r="C135" s="116"/>
      <c r="D135" s="240"/>
      <c r="E135" s="277" t="s">
        <v>340</v>
      </c>
      <c r="F135" s="277" t="s">
        <v>335</v>
      </c>
      <c r="G135" s="277" t="s">
        <v>323</v>
      </c>
      <c r="H135" s="577" t="e">
        <f>Speed!X109</f>
        <v>#DIV/0!</v>
      </c>
      <c r="I135" s="577" t="e">
        <f>Speed!Y109</f>
        <v>#DIV/0!</v>
      </c>
      <c r="J135" s="577" t="e">
        <f>Speed!Z109</f>
        <v>#DIV/0!</v>
      </c>
      <c r="K135" s="577" t="e">
        <f>Speed!AA109</f>
        <v>#DIV/0!</v>
      </c>
      <c r="L135" s="577" t="e">
        <f>Speed!AB109</f>
        <v>#DIV/0!</v>
      </c>
      <c r="M135" s="577" t="e">
        <f>Speed!AC109</f>
        <v>#DIV/0!</v>
      </c>
      <c r="N135" s="577" t="e">
        <f>Speed!AD109</f>
        <v>#DIV/0!</v>
      </c>
      <c r="O135" s="577" t="e">
        <f>Speed!AE109</f>
        <v>#DIV/0!</v>
      </c>
      <c r="P135" s="577" t="e">
        <f>Speed!AF109</f>
        <v>#DIV/0!</v>
      </c>
      <c r="Q135" s="577" t="e">
        <f>Speed!AG109</f>
        <v>#DIV/0!</v>
      </c>
      <c r="R135" s="577" t="e">
        <f>Speed!AH109</f>
        <v>#DIV/0!</v>
      </c>
      <c r="S135" s="577" t="e">
        <f>Speed!AI109</f>
        <v>#DIV/0!</v>
      </c>
      <c r="T135" s="577" t="e">
        <f>Speed!AJ109</f>
        <v>#DIV/0!</v>
      </c>
      <c r="U135" s="577" t="e">
        <f>Speed!AK109</f>
        <v>#DIV/0!</v>
      </c>
      <c r="V135" s="577" t="e">
        <f>Speed!AL109</f>
        <v>#DIV/0!</v>
      </c>
      <c r="W135" s="577" t="e">
        <f>Speed!AM109</f>
        <v>#DIV/0!</v>
      </c>
      <c r="X135" s="577" t="e">
        <f>Speed!AN109</f>
        <v>#DIV/0!</v>
      </c>
      <c r="Y135" s="577" t="e">
        <f>Speed!AO109</f>
        <v>#DIV/0!</v>
      </c>
      <c r="Z135" s="577" t="e">
        <f>Speed!AP109</f>
        <v>#DIV/0!</v>
      </c>
      <c r="AA135" s="577" t="e">
        <f>Speed!AQ109</f>
        <v>#DIV/0!</v>
      </c>
      <c r="AB135" s="577" t="e">
        <f>Speed!AR109</f>
        <v>#DIV/0!</v>
      </c>
      <c r="AC135" s="577" t="e">
        <f>Speed!AS109</f>
        <v>#DIV/0!</v>
      </c>
      <c r="AD135" s="577" t="e">
        <f>Speed!AT109</f>
        <v>#DIV/0!</v>
      </c>
      <c r="AE135" s="577" t="e">
        <f>Speed!AU109</f>
        <v>#DIV/0!</v>
      </c>
      <c r="AF135" s="577" t="e">
        <f>Speed!AV109</f>
        <v>#DIV/0!</v>
      </c>
      <c r="AG135" s="725" t="e">
        <f>Speed!AW109</f>
        <v>#DIV/0!</v>
      </c>
      <c r="AH135" s="18"/>
      <c r="AI135" s="18"/>
      <c r="AJ135" s="18"/>
      <c r="AK135" s="18"/>
      <c r="AL135" s="18"/>
      <c r="AM135" s="18"/>
      <c r="AN135" s="18"/>
    </row>
    <row r="136" spans="2:40" ht="21.95" customHeight="1" x14ac:dyDescent="0.2">
      <c r="B136" s="705"/>
      <c r="C136" s="116"/>
      <c r="D136" s="240"/>
      <c r="E136" s="277" t="s">
        <v>357</v>
      </c>
      <c r="F136" s="277" t="s">
        <v>338</v>
      </c>
      <c r="G136" s="277" t="s">
        <v>323</v>
      </c>
      <c r="H136" s="577">
        <f>Speed!X110</f>
        <v>31.89597447271742</v>
      </c>
      <c r="I136" s="577">
        <f>Speed!Y110</f>
        <v>31.895307298934267</v>
      </c>
      <c r="J136" s="577">
        <f>Speed!Z110</f>
        <v>31.893992728566314</v>
      </c>
      <c r="K136" s="577">
        <f>Speed!AA110</f>
        <v>31.886678735617878</v>
      </c>
      <c r="L136" s="577">
        <f>Speed!AB110</f>
        <v>31.872150555091675</v>
      </c>
      <c r="M136" s="577">
        <f>Speed!AC110</f>
        <v>31.844637796182958</v>
      </c>
      <c r="N136" s="577">
        <f>Speed!AD110</f>
        <v>31.794871534713295</v>
      </c>
      <c r="O136" s="577">
        <f>Speed!AE110</f>
        <v>31.708072383454706</v>
      </c>
      <c r="P136" s="577">
        <f>Speed!AF110</f>
        <v>31.526303036497104</v>
      </c>
      <c r="Q136" s="577">
        <f>Speed!AG110</f>
        <v>31.205750918031992</v>
      </c>
      <c r="R136" s="577">
        <f>Speed!AH110</f>
        <v>30.666059498764817</v>
      </c>
      <c r="S136" s="577">
        <f>Speed!AI110</f>
        <v>29.802150767879407</v>
      </c>
      <c r="T136" s="577">
        <f>Speed!AJ110</f>
        <v>28.491377926210241</v>
      </c>
      <c r="U136" s="577">
        <f>Speed!AK110</f>
        <v>27.809945600992162</v>
      </c>
      <c r="V136" s="577">
        <f>Speed!AL110</f>
        <v>27.531230859921973</v>
      </c>
      <c r="W136" s="577">
        <f>Speed!AM110</f>
        <v>27.238989760272183</v>
      </c>
      <c r="X136" s="577">
        <f>Speed!AN110</f>
        <v>26.933096349146528</v>
      </c>
      <c r="Y136" s="577">
        <f>Speed!AO110</f>
        <v>26.612833802275066</v>
      </c>
      <c r="Z136" s="577">
        <f>Speed!AP110</f>
        <v>26.279453570933779</v>
      </c>
      <c r="AA136" s="577">
        <f>Speed!AQ110</f>
        <v>25.931688299300308</v>
      </c>
      <c r="AB136" s="577">
        <f>Speed!AR110</f>
        <v>25.57102761410637</v>
      </c>
      <c r="AC136" s="577">
        <f>Speed!AS110</f>
        <v>25.196985391117437</v>
      </c>
      <c r="AD136" s="577">
        <f>Speed!AT110</f>
        <v>24.80904170870507</v>
      </c>
      <c r="AE136" s="577">
        <f>Speed!AU110</f>
        <v>24.40905975552349</v>
      </c>
      <c r="AF136" s="577">
        <f>Speed!AV110</f>
        <v>23.996692987019557</v>
      </c>
      <c r="AG136" s="725">
        <f>Speed!AW110</f>
        <v>23.571571402618002</v>
      </c>
      <c r="AH136" s="18"/>
      <c r="AI136" s="18"/>
      <c r="AJ136" s="18"/>
      <c r="AK136" s="18"/>
      <c r="AL136" s="18"/>
      <c r="AM136" s="18"/>
      <c r="AN136" s="18"/>
    </row>
    <row r="137" spans="2:40" ht="21.95" customHeight="1" x14ac:dyDescent="0.2">
      <c r="B137" s="705"/>
      <c r="C137" s="116"/>
      <c r="D137" s="240"/>
      <c r="E137" s="116" t="s">
        <v>338</v>
      </c>
      <c r="F137" s="116" t="s">
        <v>282</v>
      </c>
      <c r="G137" s="116" t="s">
        <v>357</v>
      </c>
      <c r="H137" s="577">
        <f>Speed!X111</f>
        <v>55.89999031092723</v>
      </c>
      <c r="I137" s="577">
        <f>Speed!Y111</f>
        <v>55.899986041316602</v>
      </c>
      <c r="J137" s="577">
        <f>Speed!Z111</f>
        <v>55.899979699649357</v>
      </c>
      <c r="K137" s="577">
        <f>Speed!AA111</f>
        <v>55.899955539028213</v>
      </c>
      <c r="L137" s="577">
        <f>Speed!AB111</f>
        <v>55.899908004274209</v>
      </c>
      <c r="M137" s="577">
        <f>Speed!AC111</f>
        <v>55.899818741734435</v>
      </c>
      <c r="N137" s="577">
        <f>Speed!AD111</f>
        <v>55.89965809746532</v>
      </c>
      <c r="O137" s="577">
        <f>Speed!AE111</f>
        <v>55.899378737402259</v>
      </c>
      <c r="P137" s="577">
        <f>Speed!AF111</f>
        <v>55.898684099223694</v>
      </c>
      <c r="Q137" s="577">
        <f>Speed!AG111</f>
        <v>55.8973550755587</v>
      </c>
      <c r="R137" s="577">
        <f>Speed!AH111</f>
        <v>55.894920864815575</v>
      </c>
      <c r="S137" s="577">
        <f>Speed!AI111</f>
        <v>55.890628988395591</v>
      </c>
      <c r="T137" s="577">
        <f>Speed!AJ111</f>
        <v>55.883303446680344</v>
      </c>
      <c r="U137" s="577">
        <f>Speed!AK111</f>
        <v>55.876864875425575</v>
      </c>
      <c r="V137" s="577">
        <f>Speed!AL111</f>
        <v>55.872596856149997</v>
      </c>
      <c r="W137" s="577">
        <f>Speed!AM111</f>
        <v>55.86763331281233</v>
      </c>
      <c r="X137" s="577">
        <f>Speed!AN111</f>
        <v>55.861875443285157</v>
      </c>
      <c r="Y137" s="577">
        <f>Speed!AO111</f>
        <v>55.855208592288065</v>
      </c>
      <c r="Z137" s="577">
        <f>Speed!AP111</f>
        <v>55.84751585001861</v>
      </c>
      <c r="AA137" s="577">
        <f>Speed!AQ111</f>
        <v>55.838650241457721</v>
      </c>
      <c r="AB137" s="577">
        <f>Speed!AR111</f>
        <v>55.828466776424733</v>
      </c>
      <c r="AC137" s="577">
        <f>Speed!AS111</f>
        <v>55.816789151831529</v>
      </c>
      <c r="AD137" s="577">
        <f>Speed!AT111</f>
        <v>55.803418818637169</v>
      </c>
      <c r="AE137" s="577">
        <f>Speed!AU111</f>
        <v>55.788158467847339</v>
      </c>
      <c r="AF137" s="577">
        <f>Speed!AV111</f>
        <v>55.770767265942659</v>
      </c>
      <c r="AG137" s="725">
        <f>Speed!AW111</f>
        <v>55.750975325021969</v>
      </c>
      <c r="AH137" s="18"/>
      <c r="AI137" s="18"/>
      <c r="AJ137" s="18"/>
      <c r="AK137" s="18"/>
      <c r="AL137" s="18"/>
      <c r="AM137" s="18"/>
      <c r="AN137" s="18"/>
    </row>
    <row r="138" spans="2:40" ht="21.95" customHeight="1" x14ac:dyDescent="0.2">
      <c r="B138" s="705"/>
      <c r="C138" s="116"/>
      <c r="D138" s="240"/>
      <c r="E138" s="116"/>
      <c r="F138" s="116" t="s">
        <v>357</v>
      </c>
      <c r="G138" s="116" t="s">
        <v>346</v>
      </c>
      <c r="H138" s="577">
        <f>Speed!X112</f>
        <v>55.899999377100173</v>
      </c>
      <c r="I138" s="577">
        <f>Speed!Y112</f>
        <v>55.899999116354792</v>
      </c>
      <c r="J138" s="577">
        <f>Speed!Z112</f>
        <v>55.899998724362867</v>
      </c>
      <c r="K138" s="577">
        <f>Speed!AA112</f>
        <v>55.899997515804188</v>
      </c>
      <c r="L138" s="577">
        <f>Speed!AB112</f>
        <v>55.899995358541901</v>
      </c>
      <c r="M138" s="577">
        <f>Speed!AC112</f>
        <v>55.899991640447503</v>
      </c>
      <c r="N138" s="577">
        <f>Speed!AD112</f>
        <v>55.899985432547204</v>
      </c>
      <c r="O138" s="577">
        <f>Speed!AE112</f>
        <v>55.899975335285816</v>
      </c>
      <c r="P138" s="577">
        <f>Speed!AF112</f>
        <v>55.899951309516432</v>
      </c>
      <c r="Q138" s="577">
        <f>Speed!AG112</f>
        <v>55.899907944758745</v>
      </c>
      <c r="R138" s="577">
        <f>Speed!AH112</f>
        <v>55.899832504230247</v>
      </c>
      <c r="S138" s="577">
        <f>Speed!AI112</f>
        <v>55.899705351444027</v>
      </c>
      <c r="T138" s="577">
        <f>Speed!AJ112</f>
        <v>55.89949689106227</v>
      </c>
      <c r="U138" s="577">
        <f>Speed!AK112</f>
        <v>55.899297479641056</v>
      </c>
      <c r="V138" s="577">
        <f>Speed!AL112</f>
        <v>55.899163392727473</v>
      </c>
      <c r="W138" s="577">
        <f>Speed!AM112</f>
        <v>55.89900669712766</v>
      </c>
      <c r="X138" s="577">
        <f>Speed!AN112</f>
        <v>55.898824065785504</v>
      </c>
      <c r="Y138" s="577">
        <f>Speed!AO112</f>
        <v>55.898611666425637</v>
      </c>
      <c r="Z138" s="577">
        <f>Speed!AP112</f>
        <v>55.898365441391256</v>
      </c>
      <c r="AA138" s="577">
        <f>Speed!AQ112</f>
        <v>55.898080477146628</v>
      </c>
      <c r="AB138" s="577">
        <f>Speed!AR112</f>
        <v>55.897751687905789</v>
      </c>
      <c r="AC138" s="577">
        <f>Speed!AS112</f>
        <v>55.897373056533787</v>
      </c>
      <c r="AD138" s="577">
        <f>Speed!AT112</f>
        <v>55.896937805232575</v>
      </c>
      <c r="AE138" s="577">
        <f>Speed!AU112</f>
        <v>55.896438894351022</v>
      </c>
      <c r="AF138" s="577">
        <f>Speed!AV112</f>
        <v>55.895867988800596</v>
      </c>
      <c r="AG138" s="725">
        <f>Speed!AW112</f>
        <v>55.895215742358523</v>
      </c>
      <c r="AH138" s="18"/>
      <c r="AI138" s="18"/>
      <c r="AJ138" s="18"/>
      <c r="AK138" s="18"/>
      <c r="AL138" s="18"/>
      <c r="AM138" s="18"/>
      <c r="AN138" s="18"/>
    </row>
    <row r="139" spans="2:40" ht="21.95" customHeight="1" x14ac:dyDescent="0.2">
      <c r="B139" s="705"/>
      <c r="C139" s="116"/>
      <c r="D139" s="240"/>
      <c r="E139" s="116"/>
      <c r="F139" s="116" t="s">
        <v>346</v>
      </c>
      <c r="G139" s="116" t="s">
        <v>343</v>
      </c>
      <c r="H139" s="577">
        <f>Speed!X113</f>
        <v>45.899998608523049</v>
      </c>
      <c r="I139" s="577">
        <f>Speed!Y113</f>
        <v>45.89999802605189</v>
      </c>
      <c r="J139" s="577">
        <f>Speed!Z113</f>
        <v>45.899997150393105</v>
      </c>
      <c r="K139" s="577">
        <f>Speed!AA113</f>
        <v>45.899994450630963</v>
      </c>
      <c r="L139" s="577">
        <f>Speed!AB113</f>
        <v>45.899989631589385</v>
      </c>
      <c r="M139" s="577">
        <f>Speed!AC113</f>
        <v>45.899981325854725</v>
      </c>
      <c r="N139" s="577">
        <f>Speed!AD113</f>
        <v>45.899967458224822</v>
      </c>
      <c r="O139" s="577">
        <f>Speed!AE113</f>
        <v>45.899944902286926</v>
      </c>
      <c r="P139" s="577">
        <f>Speed!AF113</f>
        <v>45.899891231972568</v>
      </c>
      <c r="Q139" s="577">
        <f>Speed!AG113</f>
        <v>45.899794361178913</v>
      </c>
      <c r="R139" s="577">
        <f>Speed!AH113</f>
        <v>45.899625838222953</v>
      </c>
      <c r="S139" s="577">
        <f>Speed!AI113</f>
        <v>45.899341799521196</v>
      </c>
      <c r="T139" s="577">
        <f>Speed!AJ113</f>
        <v>45.898876137648358</v>
      </c>
      <c r="U139" s="577">
        <f>Speed!AK113</f>
        <v>45.898430695068917</v>
      </c>
      <c r="V139" s="577">
        <f>Speed!AL113</f>
        <v>45.898131176579909</v>
      </c>
      <c r="W139" s="577">
        <f>Speed!AM113</f>
        <v>45.897781158759372</v>
      </c>
      <c r="X139" s="577">
        <f>Speed!AN113</f>
        <v>45.897373211396463</v>
      </c>
      <c r="Y139" s="577">
        <f>Speed!AO113</f>
        <v>45.896898776372069</v>
      </c>
      <c r="Z139" s="577">
        <f>Speed!AP113</f>
        <v>45.896348792928883</v>
      </c>
      <c r="AA139" s="577">
        <f>Speed!AQ113</f>
        <v>45.895712289599331</v>
      </c>
      <c r="AB139" s="577">
        <f>Speed!AR113</f>
        <v>45.894977911524315</v>
      </c>
      <c r="AC139" s="577">
        <f>Speed!AS113</f>
        <v>45.894132225322728</v>
      </c>
      <c r="AD139" s="577">
        <f>Speed!AT113</f>
        <v>45.893160100911004</v>
      </c>
      <c r="AE139" s="577">
        <f>Speed!AU113</f>
        <v>45.892045826232724</v>
      </c>
      <c r="AF139" s="577">
        <f>Speed!AV113</f>
        <v>45.890770799614316</v>
      </c>
      <c r="AG139" s="725">
        <f>Speed!AW113</f>
        <v>45.889314165902256</v>
      </c>
      <c r="AH139" s="18"/>
      <c r="AI139" s="18"/>
      <c r="AJ139" s="18"/>
      <c r="AK139" s="18"/>
      <c r="AL139" s="18"/>
      <c r="AM139" s="18"/>
      <c r="AN139" s="18"/>
    </row>
    <row r="140" spans="2:40" ht="21.95" customHeight="1" x14ac:dyDescent="0.2">
      <c r="B140" s="705"/>
      <c r="C140" s="116"/>
      <c r="D140" s="240"/>
      <c r="E140" s="116"/>
      <c r="F140" s="116" t="s">
        <v>343</v>
      </c>
      <c r="G140" s="116" t="s">
        <v>350</v>
      </c>
      <c r="H140" s="577">
        <f>Speed!X114</f>
        <v>45.899999869126233</v>
      </c>
      <c r="I140" s="577">
        <f>Speed!Y114</f>
        <v>45.899999816389006</v>
      </c>
      <c r="J140" s="577">
        <f>Speed!Z114</f>
        <v>45.899999735586789</v>
      </c>
      <c r="K140" s="577">
        <f>Speed!AA114</f>
        <v>45.899999514914178</v>
      </c>
      <c r="L140" s="577">
        <f>Speed!AB114</f>
        <v>45.899999140161235</v>
      </c>
      <c r="M140" s="577">
        <f>Speed!AC114</f>
        <v>45.899998522685827</v>
      </c>
      <c r="N140" s="577">
        <f>Speed!AD114</f>
        <v>45.899997531669932</v>
      </c>
      <c r="O140" s="577">
        <f>Speed!AE114</f>
        <v>45.899995976004625</v>
      </c>
      <c r="P140" s="577">
        <f>Speed!AF114</f>
        <v>45.899992695771978</v>
      </c>
      <c r="Q140" s="577">
        <f>Speed!AG114</f>
        <v>45.899987175145384</v>
      </c>
      <c r="R140" s="577">
        <f>Speed!AH114</f>
        <v>45.899978156147526</v>
      </c>
      <c r="S140" s="577">
        <f>Speed!AI114</f>
        <v>45.899963779774033</v>
      </c>
      <c r="T140" s="577">
        <f>Speed!AJ114</f>
        <v>45.899941362927734</v>
      </c>
      <c r="U140" s="577">
        <f>Speed!AK114</f>
        <v>45.899920131425979</v>
      </c>
      <c r="V140" s="577">
        <f>Speed!AL114</f>
        <v>45.899904407351293</v>
      </c>
      <c r="W140" s="577">
        <f>Speed!AM114</f>
        <v>45.899885950045132</v>
      </c>
      <c r="X140" s="577">
        <f>Speed!AN114</f>
        <v>45.899864345062973</v>
      </c>
      <c r="Y140" s="577">
        <f>Speed!AO114</f>
        <v>45.899839108182725</v>
      </c>
      <c r="Z140" s="577">
        <f>Speed!AP114</f>
        <v>45.899809740102185</v>
      </c>
      <c r="AA140" s="577">
        <f>Speed!AQ114</f>
        <v>45.899775611250405</v>
      </c>
      <c r="AB140" s="577">
        <f>Speed!AR114</f>
        <v>45.899736092819808</v>
      </c>
      <c r="AC140" s="577">
        <f>Speed!AS114</f>
        <v>45.899690417317423</v>
      </c>
      <c r="AD140" s="577">
        <f>Speed!AT114</f>
        <v>45.899637713552103</v>
      </c>
      <c r="AE140" s="577">
        <f>Speed!AU114</f>
        <v>45.899577105587056</v>
      </c>
      <c r="AF140" s="577">
        <f>Speed!AV114</f>
        <v>45.899507520307488</v>
      </c>
      <c r="AG140" s="725">
        <f>Speed!AW114</f>
        <v>45.899427745140208</v>
      </c>
      <c r="AH140" s="18"/>
      <c r="AI140" s="18"/>
      <c r="AJ140" s="18"/>
      <c r="AK140" s="18"/>
      <c r="AL140" s="18"/>
      <c r="AM140" s="18"/>
      <c r="AN140" s="18"/>
    </row>
    <row r="141" spans="2:40" ht="21.95" customHeight="1" x14ac:dyDescent="0.2">
      <c r="B141" s="705"/>
      <c r="C141" s="116"/>
      <c r="D141" s="240"/>
      <c r="E141" s="116"/>
      <c r="F141" s="116" t="s">
        <v>350</v>
      </c>
      <c r="G141" s="116" t="s">
        <v>280</v>
      </c>
      <c r="H141" s="577">
        <f>Speed!X115</f>
        <v>55.899999941413874</v>
      </c>
      <c r="I141" s="577">
        <f>Speed!Y115</f>
        <v>55.899999917805857</v>
      </c>
      <c r="J141" s="577">
        <f>Speed!Z115</f>
        <v>55.899999881634443</v>
      </c>
      <c r="K141" s="577">
        <f>Speed!AA115</f>
        <v>55.899999782849534</v>
      </c>
      <c r="L141" s="577">
        <f>Speed!AB115</f>
        <v>55.899999615089982</v>
      </c>
      <c r="M141" s="577">
        <f>Speed!AC115</f>
        <v>55.899999338674824</v>
      </c>
      <c r="N141" s="577">
        <f>Speed!AD115</f>
        <v>55.899998895042863</v>
      </c>
      <c r="O141" s="577">
        <f>Speed!AE115</f>
        <v>55.899998198643459</v>
      </c>
      <c r="P141" s="577">
        <f>Speed!AF115</f>
        <v>55.899996730234925</v>
      </c>
      <c r="Q141" s="577">
        <f>Speed!AG115</f>
        <v>55.899994258905288</v>
      </c>
      <c r="R141" s="577">
        <f>Speed!AH115</f>
        <v>55.89999022151553</v>
      </c>
      <c r="S141" s="577">
        <f>Speed!AI115</f>
        <v>55.899983785873516</v>
      </c>
      <c r="T141" s="577">
        <f>Speed!AJ115</f>
        <v>55.899973750876065</v>
      </c>
      <c r="U141" s="577">
        <f>Speed!AK115</f>
        <v>55.899964246497476</v>
      </c>
      <c r="V141" s="577">
        <f>Speed!AL115</f>
        <v>55.899957207540147</v>
      </c>
      <c r="W141" s="577">
        <f>Speed!AM115</f>
        <v>55.899948945034772</v>
      </c>
      <c r="X141" s="577">
        <f>Speed!AN115</f>
        <v>55.89993927345116</v>
      </c>
      <c r="Y141" s="577">
        <f>Speed!AO115</f>
        <v>55.899927976022013</v>
      </c>
      <c r="Z141" s="577">
        <f>Speed!AP115</f>
        <v>55.899914829228308</v>
      </c>
      <c r="AA141" s="577">
        <f>Speed!AQ115</f>
        <v>55.899899551234036</v>
      </c>
      <c r="AB141" s="577">
        <f>Speed!AR115</f>
        <v>55.89988186054309</v>
      </c>
      <c r="AC141" s="577">
        <f>Speed!AS115</f>
        <v>55.899861413573589</v>
      </c>
      <c r="AD141" s="577">
        <f>Speed!AT115</f>
        <v>55.899837820319298</v>
      </c>
      <c r="AE141" s="577">
        <f>Speed!AU115</f>
        <v>55.899810688645594</v>
      </c>
      <c r="AF141" s="577">
        <f>Speed!AV115</f>
        <v>55.899779538144408</v>
      </c>
      <c r="AG141" s="725">
        <f>Speed!AW115</f>
        <v>55.899743825971207</v>
      </c>
      <c r="AH141" s="18"/>
      <c r="AI141" s="18"/>
      <c r="AJ141" s="18"/>
      <c r="AK141" s="18"/>
      <c r="AL141" s="18"/>
      <c r="AM141" s="18"/>
      <c r="AN141" s="18"/>
    </row>
    <row r="142" spans="2:40" ht="21.95" customHeight="1" thickBot="1" x14ac:dyDescent="0.25">
      <c r="B142" s="705"/>
      <c r="C142" s="116"/>
      <c r="D142" s="240"/>
      <c r="E142" s="278"/>
      <c r="F142" s="278" t="s">
        <v>280</v>
      </c>
      <c r="G142" s="278" t="s">
        <v>333</v>
      </c>
      <c r="H142" s="577">
        <f>Speed!X116</f>
        <v>55.299903328088064</v>
      </c>
      <c r="I142" s="577">
        <f>Speed!Y116</f>
        <v>55.29986437302955</v>
      </c>
      <c r="J142" s="577">
        <f>Speed!Z116</f>
        <v>55.299804687486549</v>
      </c>
      <c r="K142" s="577">
        <f>Speed!AA116</f>
        <v>55.299641685631045</v>
      </c>
      <c r="L142" s="577">
        <f>Speed!AB116</f>
        <v>55.299364873114826</v>
      </c>
      <c r="M142" s="577">
        <f>Speed!AC116</f>
        <v>55.298908778876452</v>
      </c>
      <c r="N142" s="577">
        <f>Speed!AD116</f>
        <v>55.29817678706992</v>
      </c>
      <c r="O142" s="577">
        <f>Speed!AE116</f>
        <v>55.297027768559985</v>
      </c>
      <c r="P142" s="577">
        <f>Speed!AF116</f>
        <v>55.294605136297783</v>
      </c>
      <c r="Q142" s="577">
        <f>Speed!AG116</f>
        <v>55.290528328319198</v>
      </c>
      <c r="R142" s="577">
        <f>Speed!AH116</f>
        <v>55.283869374900981</v>
      </c>
      <c r="S142" s="577">
        <f>Speed!AI116</f>
        <v>55.273258246070228</v>
      </c>
      <c r="T142" s="577">
        <f>Speed!AJ116</f>
        <v>55.256720596808989</v>
      </c>
      <c r="U142" s="577">
        <f>Speed!AK116</f>
        <v>55.241066522952416</v>
      </c>
      <c r="V142" s="577">
        <f>Speed!AL116</f>
        <v>55.229478804071881</v>
      </c>
      <c r="W142" s="577">
        <f>Speed!AM116</f>
        <v>55.215883045019773</v>
      </c>
      <c r="X142" s="577">
        <f>Speed!AN116</f>
        <v>55.199977176523241</v>
      </c>
      <c r="Y142" s="577">
        <f>Speed!AO116</f>
        <v>55.181409038767711</v>
      </c>
      <c r="Z142" s="577">
        <f>Speed!AP116</f>
        <v>55.159817048254801</v>
      </c>
      <c r="AA142" s="577">
        <f>Speed!AQ116</f>
        <v>55.134746029102963</v>
      </c>
      <c r="AB142" s="577">
        <f>Speed!AR116</f>
        <v>55.105744242512358</v>
      </c>
      <c r="AC142" s="577">
        <f>Speed!AS116</f>
        <v>55.072261830409062</v>
      </c>
      <c r="AD142" s="577">
        <f>Speed!AT116</f>
        <v>55.03367779533442</v>
      </c>
      <c r="AE142" s="577">
        <f>Speed!AU116</f>
        <v>54.989373826227258</v>
      </c>
      <c r="AF142" s="577">
        <f>Speed!AV116</f>
        <v>54.938595245848475</v>
      </c>
      <c r="AG142" s="725">
        <f>Speed!AW116</f>
        <v>54.880495856513917</v>
      </c>
      <c r="AH142" s="18"/>
      <c r="AI142" s="18"/>
      <c r="AJ142" s="18"/>
      <c r="AK142" s="18"/>
      <c r="AL142" s="18"/>
      <c r="AM142" s="18"/>
      <c r="AN142" s="18"/>
    </row>
    <row r="143" spans="2:40" ht="21.95" customHeight="1" x14ac:dyDescent="0.2">
      <c r="B143" s="182"/>
      <c r="C143" s="116"/>
      <c r="D143" s="240" t="s">
        <v>476</v>
      </c>
      <c r="E143" s="1340" t="s">
        <v>331</v>
      </c>
      <c r="F143" s="220" t="s">
        <v>332</v>
      </c>
      <c r="G143" s="220" t="s">
        <v>282</v>
      </c>
      <c r="H143" s="726">
        <f>Speed!AX88</f>
        <v>71.779999996865541</v>
      </c>
      <c r="I143" s="726">
        <f>Speed!AY88</f>
        <v>71.779999996865541</v>
      </c>
      <c r="J143" s="726">
        <f>Speed!AZ88</f>
        <v>71.77999999508522</v>
      </c>
      <c r="K143" s="726">
        <f>Speed!BA88</f>
        <v>71.779999991051</v>
      </c>
      <c r="L143" s="726">
        <f>Speed!BB88</f>
        <v>71.779999979704201</v>
      </c>
      <c r="M143" s="726">
        <f>Speed!BC88</f>
        <v>71.779999956726542</v>
      </c>
      <c r="N143" s="726">
        <f>Speed!BD88</f>
        <v>71.779999912522939</v>
      </c>
      <c r="O143" s="726">
        <f>Speed!BE88</f>
        <v>71.779999831208556</v>
      </c>
      <c r="P143" s="726">
        <f>Speed!BF88</f>
        <v>71.779999687109338</v>
      </c>
      <c r="Q143" s="726">
        <f>Speed!BG88</f>
        <v>71.779999444153589</v>
      </c>
      <c r="R143" s="726">
        <f>Speed!BH88</f>
        <v>71.779999042810061</v>
      </c>
      <c r="S143" s="726">
        <f>Speed!BI88</f>
        <v>71.779998397392205</v>
      </c>
      <c r="T143" s="726">
        <f>Speed!BJ88</f>
        <v>71.779997383722829</v>
      </c>
      <c r="U143" s="726">
        <f>Speed!BK88</f>
        <v>71.779995824081922</v>
      </c>
      <c r="V143" s="726">
        <f>Speed!BL88</f>
        <v>71.779994336790281</v>
      </c>
      <c r="W143" s="726">
        <f>Speed!BM88</f>
        <v>71.779992978363467</v>
      </c>
      <c r="X143" s="726">
        <f>Speed!BN88</f>
        <v>71.779991333403089</v>
      </c>
      <c r="Y143" s="726">
        <f>Speed!BO88</f>
        <v>71.779989349390988</v>
      </c>
      <c r="Z143" s="726">
        <f>Speed!BP88</f>
        <v>71.779986964509021</v>
      </c>
      <c r="AA143" s="726">
        <f>Speed!BQ88</f>
        <v>71.779984110596928</v>
      </c>
      <c r="AB143" s="726">
        <f>Speed!BR88</f>
        <v>71.779980704653511</v>
      </c>
      <c r="AC143" s="726">
        <f>Speed!BS88</f>
        <v>71.779976656967719</v>
      </c>
      <c r="AD143" s="726">
        <f>Speed!BT88</f>
        <v>71.779971860501163</v>
      </c>
      <c r="AE143" s="726">
        <f>Speed!BU88</f>
        <v>71.779966192058453</v>
      </c>
      <c r="AF143" s="726">
        <f>Speed!BV88</f>
        <v>71.779959518825549</v>
      </c>
      <c r="AG143" s="727">
        <f>Speed!BW88</f>
        <v>71.779951682656474</v>
      </c>
      <c r="AH143" s="18"/>
      <c r="AI143" s="18"/>
      <c r="AJ143" s="18"/>
      <c r="AK143" s="18"/>
      <c r="AL143" s="18"/>
      <c r="AM143" s="18"/>
      <c r="AN143" s="18"/>
    </row>
    <row r="144" spans="2:40" ht="21.95" customHeight="1" x14ac:dyDescent="0.2">
      <c r="B144" s="182"/>
      <c r="C144" s="116"/>
      <c r="D144" s="240"/>
      <c r="E144" s="1339"/>
      <c r="F144" s="116" t="s">
        <v>282</v>
      </c>
      <c r="G144" s="116" t="s">
        <v>280</v>
      </c>
      <c r="H144" s="577">
        <f>Speed!AX89</f>
        <v>71.779999999426806</v>
      </c>
      <c r="I144" s="577">
        <f>Speed!AY89</f>
        <v>71.779999999426806</v>
      </c>
      <c r="J144" s="577">
        <f>Speed!AZ89</f>
        <v>71.779999999017221</v>
      </c>
      <c r="K144" s="577">
        <f>Speed!BA89</f>
        <v>71.77999999822552</v>
      </c>
      <c r="L144" s="577">
        <f>Speed!BB89</f>
        <v>71.779999995093277</v>
      </c>
      <c r="M144" s="577">
        <f>Speed!BC89</f>
        <v>71.779999987644985</v>
      </c>
      <c r="N144" s="577">
        <f>Speed!BD89</f>
        <v>71.779999971223617</v>
      </c>
      <c r="O144" s="577">
        <f>Speed!BE89</f>
        <v>71.779999937279726</v>
      </c>
      <c r="P144" s="577">
        <f>Speed!BF89</f>
        <v>71.779999870699228</v>
      </c>
      <c r="Q144" s="577">
        <f>Speed!BG89</f>
        <v>71.779999713713764</v>
      </c>
      <c r="R144" s="577">
        <f>Speed!BH89</f>
        <v>71.779999402058394</v>
      </c>
      <c r="S144" s="577">
        <f>Speed!BI89</f>
        <v>71.779998812907877</v>
      </c>
      <c r="T144" s="577">
        <f>Speed!BJ89</f>
        <v>71.779997744772913</v>
      </c>
      <c r="U144" s="577">
        <f>Speed!BK89</f>
        <v>71.779995875841664</v>
      </c>
      <c r="V144" s="577">
        <f>Speed!BL89</f>
        <v>71.779994148602313</v>
      </c>
      <c r="W144" s="577">
        <f>Speed!BM89</f>
        <v>71.77999272549485</v>
      </c>
      <c r="X144" s="577">
        <f>Speed!BN89</f>
        <v>71.779990998126749</v>
      </c>
      <c r="Y144" s="577">
        <f>Speed!BO89</f>
        <v>71.779988909988901</v>
      </c>
      <c r="Z144" s="577">
        <f>Speed!BP89</f>
        <v>71.779986393753035</v>
      </c>
      <c r="AA144" s="577">
        <f>Speed!BQ89</f>
        <v>71.779983377071929</v>
      </c>
      <c r="AB144" s="577">
        <f>Speed!BR89</f>
        <v>71.77997976861144</v>
      </c>
      <c r="AC144" s="577">
        <f>Speed!BS89</f>
        <v>71.779975472988923</v>
      </c>
      <c r="AD144" s="577">
        <f>Speed!BT89</f>
        <v>71.77997037325585</v>
      </c>
      <c r="AE144" s="577">
        <f>Speed!BU89</f>
        <v>71.779964333909859</v>
      </c>
      <c r="AF144" s="577">
        <f>Speed!BV89</f>
        <v>71.779957213467156</v>
      </c>
      <c r="AG144" s="725">
        <f>Speed!BW89</f>
        <v>71.779948838243811</v>
      </c>
      <c r="AH144" s="18"/>
      <c r="AI144" s="18"/>
      <c r="AJ144" s="18"/>
      <c r="AK144" s="18"/>
      <c r="AL144" s="18"/>
      <c r="AM144" s="18"/>
      <c r="AN144" s="18"/>
    </row>
    <row r="145" spans="2:40" ht="21.95" customHeight="1" x14ac:dyDescent="0.2">
      <c r="B145" s="182"/>
      <c r="C145" s="116"/>
      <c r="D145" s="240"/>
      <c r="E145" s="1339"/>
      <c r="F145" s="116" t="s">
        <v>280</v>
      </c>
      <c r="G145" s="116" t="s">
        <v>333</v>
      </c>
      <c r="H145" s="577">
        <f>Speed!AX90</f>
        <v>71.779999999823488</v>
      </c>
      <c r="I145" s="577">
        <f>Speed!AY90</f>
        <v>71.779999999823488</v>
      </c>
      <c r="J145" s="577">
        <f>Speed!AZ90</f>
        <v>71.779999999734272</v>
      </c>
      <c r="K145" s="577">
        <f>Speed!BA90</f>
        <v>71.779999999568759</v>
      </c>
      <c r="L145" s="577">
        <f>Speed!BB90</f>
        <v>71.779999999200783</v>
      </c>
      <c r="M145" s="577">
        <f>Speed!BC90</f>
        <v>71.77999999857073</v>
      </c>
      <c r="N145" s="577">
        <f>Speed!BD90</f>
        <v>71.779999997524499</v>
      </c>
      <c r="O145" s="577">
        <f>Speed!BE90</f>
        <v>71.779999995833847</v>
      </c>
      <c r="P145" s="577">
        <f>Speed!BF90</f>
        <v>71.779999993164495</v>
      </c>
      <c r="Q145" s="577">
        <f>Speed!BG90</f>
        <v>71.779999989199908</v>
      </c>
      <c r="R145" s="577">
        <f>Speed!BH90</f>
        <v>71.779999983271324</v>
      </c>
      <c r="S145" s="577">
        <f>Speed!BI90</f>
        <v>71.779999974563211</v>
      </c>
      <c r="T145" s="577">
        <f>Speed!BJ90</f>
        <v>71.779999961968642</v>
      </c>
      <c r="U145" s="577">
        <f>Speed!BK90</f>
        <v>71.779999943999997</v>
      </c>
      <c r="V145" s="577">
        <f>Speed!BL90</f>
        <v>71.779999926296767</v>
      </c>
      <c r="W145" s="577">
        <f>Speed!BM90</f>
        <v>71.779999907624202</v>
      </c>
      <c r="X145" s="577">
        <f>Speed!BN90</f>
        <v>71.779999884796936</v>
      </c>
      <c r="Y145" s="577">
        <f>Speed!BO90</f>
        <v>71.779999857012641</v>
      </c>
      <c r="Z145" s="577">
        <f>Speed!BP90</f>
        <v>71.779999823321802</v>
      </c>
      <c r="AA145" s="577">
        <f>Speed!BQ90</f>
        <v>71.779999782665399</v>
      </c>
      <c r="AB145" s="577">
        <f>Speed!BR90</f>
        <v>71.779999733753115</v>
      </c>
      <c r="AC145" s="577">
        <f>Speed!BS90</f>
        <v>71.779999675172974</v>
      </c>
      <c r="AD145" s="577">
        <f>Speed!BT90</f>
        <v>71.779999605237748</v>
      </c>
      <c r="AE145" s="577">
        <f>Speed!BU90</f>
        <v>71.779999521995265</v>
      </c>
      <c r="AF145" s="577">
        <f>Speed!BV90</f>
        <v>71.779999423317946</v>
      </c>
      <c r="AG145" s="725">
        <f>Speed!BW90</f>
        <v>71.779999306671286</v>
      </c>
      <c r="AH145" s="18"/>
      <c r="AI145" s="18"/>
      <c r="AJ145" s="18"/>
      <c r="AK145" s="18"/>
      <c r="AL145" s="18"/>
      <c r="AM145" s="18"/>
      <c r="AN145" s="18"/>
    </row>
    <row r="146" spans="2:40" ht="21.95" customHeight="1" x14ac:dyDescent="0.2">
      <c r="B146" s="182"/>
      <c r="C146" s="116"/>
      <c r="D146" s="240"/>
      <c r="E146" s="1340" t="s">
        <v>280</v>
      </c>
      <c r="F146" s="220" t="s">
        <v>281</v>
      </c>
      <c r="G146" s="220" t="s">
        <v>335</v>
      </c>
      <c r="H146" s="577">
        <f>Speed!AX91</f>
        <v>59.499999873000476</v>
      </c>
      <c r="I146" s="577">
        <f>Speed!AY91</f>
        <v>59.499999873000476</v>
      </c>
      <c r="J146" s="577">
        <f>Speed!AZ91</f>
        <v>59.49999964226776</v>
      </c>
      <c r="K146" s="577">
        <f>Speed!BA91</f>
        <v>59.499999038741485</v>
      </c>
      <c r="L146" s="577">
        <f>Speed!BB91</f>
        <v>59.499987606435418</v>
      </c>
      <c r="M146" s="577">
        <f>Speed!BC91</f>
        <v>59.49990513792752</v>
      </c>
      <c r="N146" s="577">
        <f>Speed!BD91</f>
        <v>59.49948555774278</v>
      </c>
      <c r="O146" s="577">
        <f>Speed!BE91</f>
        <v>59.497818518103678</v>
      </c>
      <c r="P146" s="577">
        <f>Speed!BF91</f>
        <v>59.492281341629493</v>
      </c>
      <c r="Q146" s="577">
        <f>Speed!BG91</f>
        <v>59.466168125491599</v>
      </c>
      <c r="R146" s="577">
        <f>Speed!BH91</f>
        <v>59.377511414125067</v>
      </c>
      <c r="S146" s="577">
        <f>Speed!BI91</f>
        <v>59.118493852078899</v>
      </c>
      <c r="T146" s="577">
        <f>Speed!BJ91</f>
        <v>58.450170986783746</v>
      </c>
      <c r="U146" s="577">
        <f>Speed!BK91</f>
        <v>56.910179693932385</v>
      </c>
      <c r="V146" s="577">
        <f>Speed!BL91</f>
        <v>55.609704730983857</v>
      </c>
      <c r="W146" s="577">
        <f>Speed!BM91</f>
        <v>54.852758976037464</v>
      </c>
      <c r="X146" s="577">
        <f>Speed!BN91</f>
        <v>53.981238415286349</v>
      </c>
      <c r="Y146" s="577">
        <f>Speed!BO91</f>
        <v>52.985877041502413</v>
      </c>
      <c r="Z146" s="577">
        <f>Speed!BP91</f>
        <v>51.856833281409628</v>
      </c>
      <c r="AA146" s="577">
        <f>Speed!BQ91</f>
        <v>50.59174927342967</v>
      </c>
      <c r="AB146" s="577">
        <f>Speed!BR91</f>
        <v>49.183187727463952</v>
      </c>
      <c r="AC146" s="577">
        <f>Speed!BS91</f>
        <v>47.635500619307336</v>
      </c>
      <c r="AD146" s="577">
        <f>Speed!BT91</f>
        <v>45.950114226766104</v>
      </c>
      <c r="AE146" s="577">
        <f>Speed!BU91</f>
        <v>44.131666528992497</v>
      </c>
      <c r="AF146" s="577">
        <f>Speed!BV91</f>
        <v>42.19785905879651</v>
      </c>
      <c r="AG146" s="725">
        <f>Speed!BW91</f>
        <v>40.161812588670877</v>
      </c>
      <c r="AH146" s="18"/>
      <c r="AI146" s="18"/>
      <c r="AJ146" s="18"/>
      <c r="AK146" s="18"/>
      <c r="AL146" s="18"/>
      <c r="AM146" s="18"/>
      <c r="AN146" s="18"/>
    </row>
    <row r="147" spans="2:40" ht="21.95" customHeight="1" x14ac:dyDescent="0.2">
      <c r="B147" s="182"/>
      <c r="C147" s="116"/>
      <c r="D147" s="240"/>
      <c r="E147" s="1339"/>
      <c r="F147" s="116" t="s">
        <v>335</v>
      </c>
      <c r="G147" s="116" t="s">
        <v>323</v>
      </c>
      <c r="H147" s="577">
        <f>Speed!AX92</f>
        <v>49.499999999361144</v>
      </c>
      <c r="I147" s="577">
        <f>Speed!AY92</f>
        <v>49.499999999361144</v>
      </c>
      <c r="J147" s="577">
        <f>Speed!AZ92</f>
        <v>49.49999999777539</v>
      </c>
      <c r="K147" s="577">
        <f>Speed!BA92</f>
        <v>49.499999993251222</v>
      </c>
      <c r="L147" s="577">
        <f>Speed!BB92</f>
        <v>49.49999985877853</v>
      </c>
      <c r="M147" s="577">
        <f>Speed!BC92</f>
        <v>49.499998549884872</v>
      </c>
      <c r="N147" s="577">
        <f>Speed!BD92</f>
        <v>49.499990407488873</v>
      </c>
      <c r="O147" s="577">
        <f>Speed!BE92</f>
        <v>49.499953109107075</v>
      </c>
      <c r="P147" s="577">
        <f>Speed!BF92</f>
        <v>49.499815396545571</v>
      </c>
      <c r="Q147" s="577">
        <f>Speed!BG92</f>
        <v>49.498888653843622</v>
      </c>
      <c r="R147" s="577">
        <f>Speed!BH92</f>
        <v>49.494912735808761</v>
      </c>
      <c r="S147" s="577">
        <f>Speed!BI92</f>
        <v>49.480957550393988</v>
      </c>
      <c r="T147" s="577">
        <f>Speed!BJ92</f>
        <v>49.438937168999267</v>
      </c>
      <c r="U147" s="577">
        <f>Speed!BK92</f>
        <v>49.326739540117337</v>
      </c>
      <c r="V147" s="577">
        <f>Speed!BL92</f>
        <v>49.208507225056294</v>
      </c>
      <c r="W147" s="577">
        <f>Speed!BM92</f>
        <v>49.151693417975473</v>
      </c>
      <c r="X147" s="577">
        <f>Speed!BN92</f>
        <v>49.08519986895972</v>
      </c>
      <c r="Y147" s="577">
        <f>Speed!BO92</f>
        <v>49.007627169302346</v>
      </c>
      <c r="Z147" s="577">
        <f>Speed!BP92</f>
        <v>48.91735589406246</v>
      </c>
      <c r="AA147" s="577">
        <f>Speed!BQ92</f>
        <v>48.812770425268134</v>
      </c>
      <c r="AB147" s="577">
        <f>Speed!BR92</f>
        <v>48.691830798739112</v>
      </c>
      <c r="AC147" s="577">
        <f>Speed!BS92</f>
        <v>48.552595703074807</v>
      </c>
      <c r="AD147" s="577">
        <f>Speed!BT92</f>
        <v>48.392712369543631</v>
      </c>
      <c r="AE147" s="577">
        <f>Speed!BU92</f>
        <v>48.209583889994498</v>
      </c>
      <c r="AF147" s="577">
        <f>Speed!BV92</f>
        <v>48.00077447414651</v>
      </c>
      <c r="AG147" s="725">
        <f>Speed!BW92</f>
        <v>47.763331045094297</v>
      </c>
      <c r="AH147" s="18"/>
      <c r="AI147" s="18"/>
      <c r="AJ147" s="18"/>
      <c r="AK147" s="18"/>
      <c r="AL147" s="18"/>
      <c r="AM147" s="18"/>
      <c r="AN147" s="18"/>
    </row>
    <row r="148" spans="2:40" ht="21.95" customHeight="1" x14ac:dyDescent="0.2">
      <c r="B148" s="182"/>
      <c r="C148" s="116"/>
      <c r="D148" s="240"/>
      <c r="E148" s="1353"/>
      <c r="F148" s="254" t="s">
        <v>323</v>
      </c>
      <c r="G148" s="254" t="s">
        <v>338</v>
      </c>
      <c r="H148" s="577">
        <f>Speed!AX93</f>
        <v>46.99999421510455</v>
      </c>
      <c r="I148" s="577">
        <f>Speed!AY93</f>
        <v>46.99999421510455</v>
      </c>
      <c r="J148" s="577">
        <f>Speed!AZ93</f>
        <v>46.99999167368231</v>
      </c>
      <c r="K148" s="577">
        <f>Speed!BA93</f>
        <v>46.999988165581087</v>
      </c>
      <c r="L148" s="577">
        <f>Speed!BB93</f>
        <v>46.9999773446417</v>
      </c>
      <c r="M148" s="577">
        <f>Speed!BC93</f>
        <v>46.999958299561882</v>
      </c>
      <c r="N148" s="577">
        <f>Speed!BD93</f>
        <v>46.999925901798946</v>
      </c>
      <c r="O148" s="577">
        <f>Speed!BE93</f>
        <v>46.999872407783734</v>
      </c>
      <c r="P148" s="577">
        <f>Speed!BF93</f>
        <v>46.999786250762021</v>
      </c>
      <c r="Q148" s="577">
        <f>Speed!BG93</f>
        <v>46.999580365773198</v>
      </c>
      <c r="R148" s="577">
        <f>Speed!BH93</f>
        <v>46.999210309368159</v>
      </c>
      <c r="S148" s="577">
        <f>Speed!BI93</f>
        <v>46.998569369612831</v>
      </c>
      <c r="T148" s="577">
        <f>Speed!BJ93</f>
        <v>46.997492980686296</v>
      </c>
      <c r="U148" s="577">
        <f>Speed!BK93</f>
        <v>46.995733865239238</v>
      </c>
      <c r="V148" s="577">
        <f>Speed!BL93</f>
        <v>46.994061003367463</v>
      </c>
      <c r="W148" s="577">
        <f>Speed!BM93</f>
        <v>46.99286359763483</v>
      </c>
      <c r="X148" s="577">
        <f>Speed!BN93</f>
        <v>46.99145318030326</v>
      </c>
      <c r="Y148" s="577">
        <f>Speed!BO93</f>
        <v>46.989796729191383</v>
      </c>
      <c r="Z148" s="577">
        <f>Speed!BP93</f>
        <v>46.987855515748649</v>
      </c>
      <c r="AA148" s="577">
        <f>Speed!BQ93</f>
        <v>46.985589670856733</v>
      </c>
      <c r="AB148" s="577">
        <f>Speed!BR93</f>
        <v>46.982948581088799</v>
      </c>
      <c r="AC148" s="577">
        <f>Speed!BS93</f>
        <v>46.979881854590012</v>
      </c>
      <c r="AD148" s="577">
        <f>Speed!BT93</f>
        <v>46.976327654265354</v>
      </c>
      <c r="AE148" s="577">
        <f>Speed!BU93</f>
        <v>46.972215614085755</v>
      </c>
      <c r="AF148" s="577">
        <f>Speed!BV93</f>
        <v>46.967475247116958</v>
      </c>
      <c r="AG148" s="725">
        <f>Speed!BW93</f>
        <v>46.962019713279702</v>
      </c>
      <c r="AH148" s="18"/>
      <c r="AI148" s="18"/>
      <c r="AJ148" s="18"/>
      <c r="AK148" s="18"/>
      <c r="AL148" s="18"/>
      <c r="AM148" s="18"/>
      <c r="AN148" s="18"/>
    </row>
    <row r="149" spans="2:40" ht="21.95" customHeight="1" x14ac:dyDescent="0.2">
      <c r="B149" s="182"/>
      <c r="C149" s="116"/>
      <c r="D149" s="240"/>
      <c r="E149" s="116" t="s">
        <v>339</v>
      </c>
      <c r="F149" s="116" t="s">
        <v>335</v>
      </c>
      <c r="G149" s="116" t="s">
        <v>323</v>
      </c>
      <c r="H149" s="577">
        <f>Speed!AX94</f>
        <v>20.3</v>
      </c>
      <c r="I149" s="577">
        <f>Speed!AY94</f>
        <v>20.3</v>
      </c>
      <c r="J149" s="577">
        <f>Speed!AZ94</f>
        <v>20.3</v>
      </c>
      <c r="K149" s="577">
        <f>Speed!BA94</f>
        <v>20.3</v>
      </c>
      <c r="L149" s="577">
        <f>Speed!BB94</f>
        <v>20.3</v>
      </c>
      <c r="M149" s="577">
        <f>Speed!BC94</f>
        <v>20.3</v>
      </c>
      <c r="N149" s="577">
        <f>Speed!BD94</f>
        <v>20.3</v>
      </c>
      <c r="O149" s="577">
        <f>Speed!BE94</f>
        <v>20.3</v>
      </c>
      <c r="P149" s="577">
        <f>Speed!BF94</f>
        <v>20.3</v>
      </c>
      <c r="Q149" s="577">
        <f>Speed!BG94</f>
        <v>20.3</v>
      </c>
      <c r="R149" s="577">
        <f>Speed!BH94</f>
        <v>20.3</v>
      </c>
      <c r="S149" s="577">
        <f>Speed!BI94</f>
        <v>20.299999999999997</v>
      </c>
      <c r="T149" s="577">
        <f>Speed!BJ94</f>
        <v>20.29999999999999</v>
      </c>
      <c r="U149" s="577">
        <f>Speed!BK94</f>
        <v>20.299999999999986</v>
      </c>
      <c r="V149" s="577">
        <f>Speed!BL94</f>
        <v>20.299999999999983</v>
      </c>
      <c r="W149" s="577">
        <f>Speed!BM94</f>
        <v>20.299999999999983</v>
      </c>
      <c r="X149" s="577">
        <f>Speed!BN94</f>
        <v>20.299999999999979</v>
      </c>
      <c r="Y149" s="577">
        <f>Speed!BO94</f>
        <v>20.299999999999972</v>
      </c>
      <c r="Z149" s="577">
        <f>Speed!BP94</f>
        <v>20.299999999999969</v>
      </c>
      <c r="AA149" s="577">
        <f>Speed!BQ94</f>
        <v>20.299999999999965</v>
      </c>
      <c r="AB149" s="577">
        <f>Speed!BR94</f>
        <v>20.299999999999962</v>
      </c>
      <c r="AC149" s="577">
        <f>Speed!BS94</f>
        <v>20.299999999999955</v>
      </c>
      <c r="AD149" s="577">
        <f>Speed!BT94</f>
        <v>20.299999999999951</v>
      </c>
      <c r="AE149" s="577">
        <f>Speed!BU94</f>
        <v>20.299999999999947</v>
      </c>
      <c r="AF149" s="577">
        <f>Speed!BV94</f>
        <v>20.299999999999937</v>
      </c>
      <c r="AG149" s="725">
        <f>Speed!BW94</f>
        <v>20.29999999999993</v>
      </c>
      <c r="AH149" s="18"/>
      <c r="AI149" s="18"/>
      <c r="AJ149" s="18"/>
      <c r="AK149" s="18"/>
      <c r="AL149" s="18"/>
      <c r="AM149" s="18"/>
      <c r="AN149" s="18"/>
    </row>
    <row r="150" spans="2:40" ht="21.95" customHeight="1" x14ac:dyDescent="0.2">
      <c r="B150" s="182"/>
      <c r="C150" s="116"/>
      <c r="D150" s="240"/>
      <c r="E150" s="1340" t="s">
        <v>323</v>
      </c>
      <c r="F150" s="220" t="s">
        <v>282</v>
      </c>
      <c r="G150" s="220" t="s">
        <v>339</v>
      </c>
      <c r="H150" s="577">
        <f>Speed!AX95</f>
        <v>20.3</v>
      </c>
      <c r="I150" s="577">
        <f>Speed!AY95</f>
        <v>20.3</v>
      </c>
      <c r="J150" s="577">
        <f>Speed!AZ95</f>
        <v>20.3</v>
      </c>
      <c r="K150" s="577">
        <f>Speed!BA95</f>
        <v>20.299999999999752</v>
      </c>
      <c r="L150" s="577">
        <f>Speed!BB95</f>
        <v>20.299999999835318</v>
      </c>
      <c r="M150" s="577">
        <f>Speed!BC95</f>
        <v>20.2999999918034</v>
      </c>
      <c r="N150" s="577">
        <f>Speed!BD95</f>
        <v>20.29999986516286</v>
      </c>
      <c r="O150" s="577">
        <f>Speed!BE95</f>
        <v>20.299998800887064</v>
      </c>
      <c r="P150" s="577">
        <f>Speed!BF95</f>
        <v>20.299992791353066</v>
      </c>
      <c r="Q150" s="577">
        <f>Speed!BG95</f>
        <v>20.299992791353066</v>
      </c>
      <c r="R150" s="577">
        <f>Speed!BH95</f>
        <v>20.299992791353066</v>
      </c>
      <c r="S150" s="577">
        <f>Speed!BI95</f>
        <v>20.299992791353066</v>
      </c>
      <c r="T150" s="577">
        <f>Speed!BJ95</f>
        <v>20.299992791353066</v>
      </c>
      <c r="U150" s="577">
        <f>Speed!BK95</f>
        <v>20.299992791353066</v>
      </c>
      <c r="V150" s="577">
        <f>Speed!BL95</f>
        <v>20.299992791353066</v>
      </c>
      <c r="W150" s="577">
        <f>Speed!BM95</f>
        <v>20.299992791353066</v>
      </c>
      <c r="X150" s="577">
        <f>Speed!BN95</f>
        <v>20.299992791353066</v>
      </c>
      <c r="Y150" s="577">
        <f>Speed!BO95</f>
        <v>20.299992791353066</v>
      </c>
      <c r="Z150" s="577">
        <f>Speed!BP95</f>
        <v>20.299992791353066</v>
      </c>
      <c r="AA150" s="577">
        <f>Speed!BQ95</f>
        <v>20.299992791353066</v>
      </c>
      <c r="AB150" s="577">
        <f>Speed!BR95</f>
        <v>20.299992791353066</v>
      </c>
      <c r="AC150" s="577">
        <f>Speed!BS95</f>
        <v>20.299992791353066</v>
      </c>
      <c r="AD150" s="577">
        <f>Speed!BT95</f>
        <v>20.299992791353066</v>
      </c>
      <c r="AE150" s="577">
        <f>Speed!BU95</f>
        <v>20.299992791353066</v>
      </c>
      <c r="AF150" s="577">
        <f>Speed!BV95</f>
        <v>20.299992791353066</v>
      </c>
      <c r="AG150" s="725">
        <f>Speed!BW95</f>
        <v>20.299992791353066</v>
      </c>
      <c r="AH150" s="18"/>
      <c r="AI150" s="18"/>
      <c r="AJ150" s="18"/>
      <c r="AK150" s="18"/>
      <c r="AL150" s="18"/>
      <c r="AM150" s="18"/>
      <c r="AN150" s="18"/>
    </row>
    <row r="151" spans="2:40" ht="21.95" customHeight="1" x14ac:dyDescent="0.2">
      <c r="B151" s="182"/>
      <c r="C151" s="116"/>
      <c r="D151" s="240"/>
      <c r="E151" s="1339"/>
      <c r="F151" s="116" t="s">
        <v>339</v>
      </c>
      <c r="G151" s="116" t="s">
        <v>288</v>
      </c>
      <c r="H151" s="577">
        <f>Speed!AX96</f>
        <v>36.9</v>
      </c>
      <c r="I151" s="577">
        <f>Speed!AY96</f>
        <v>36.9</v>
      </c>
      <c r="J151" s="577">
        <f>Speed!AZ96</f>
        <v>36.9</v>
      </c>
      <c r="K151" s="577">
        <f>Speed!BA96</f>
        <v>36.9</v>
      </c>
      <c r="L151" s="577">
        <f>Speed!BB96</f>
        <v>36.899999999998244</v>
      </c>
      <c r="M151" s="577">
        <f>Speed!BC96</f>
        <v>36.89999999986869</v>
      </c>
      <c r="N151" s="577">
        <f>Speed!BD96</f>
        <v>36.899999997331683</v>
      </c>
      <c r="O151" s="577">
        <f>Speed!BE96</f>
        <v>36.899999973155516</v>
      </c>
      <c r="P151" s="577">
        <f>Speed!BF96</f>
        <v>36.899999825067923</v>
      </c>
      <c r="Q151" s="577">
        <f>Speed!BG96</f>
        <v>36.899997639593053</v>
      </c>
      <c r="R151" s="577">
        <f>Speed!BH96</f>
        <v>36.89998145284833</v>
      </c>
      <c r="S151" s="577">
        <f>Speed!BI96</f>
        <v>36.899897629209484</v>
      </c>
      <c r="T151" s="577">
        <f>Speed!BJ96</f>
        <v>36.899559341552994</v>
      </c>
      <c r="U151" s="577">
        <f>Speed!BK96</f>
        <v>36.898425427475303</v>
      </c>
      <c r="V151" s="577">
        <f>Speed!BL96</f>
        <v>36.896913766013206</v>
      </c>
      <c r="W151" s="577">
        <f>Speed!BM96</f>
        <v>36.896329426407796</v>
      </c>
      <c r="X151" s="577">
        <f>Speed!BN96</f>
        <v>36.895643611191915</v>
      </c>
      <c r="Y151" s="577">
        <f>Speed!BO96</f>
        <v>36.894844570568239</v>
      </c>
      <c r="Z151" s="577">
        <f>Speed!BP96</f>
        <v>36.893915990291077</v>
      </c>
      <c r="AA151" s="577">
        <f>Speed!BQ96</f>
        <v>36.892839537743342</v>
      </c>
      <c r="AB151" s="577">
        <f>Speed!BR96</f>
        <v>36.89159465244569</v>
      </c>
      <c r="AC151" s="577">
        <f>Speed!BS96</f>
        <v>36.890158319025318</v>
      </c>
      <c r="AD151" s="577">
        <f>Speed!BT96</f>
        <v>36.888504821567807</v>
      </c>
      <c r="AE151" s="577">
        <f>Speed!BU96</f>
        <v>36.886615740492161</v>
      </c>
      <c r="AF151" s="577">
        <f>Speed!BV96</f>
        <v>36.884440106334743</v>
      </c>
      <c r="AG151" s="725">
        <f>Speed!BW96</f>
        <v>36.881951386831375</v>
      </c>
      <c r="AH151" s="18"/>
      <c r="AI151" s="18"/>
      <c r="AJ151" s="18"/>
      <c r="AK151" s="18"/>
      <c r="AL151" s="18"/>
      <c r="AM151" s="18"/>
      <c r="AN151" s="18"/>
    </row>
    <row r="152" spans="2:40" ht="21.95" customHeight="1" x14ac:dyDescent="0.2">
      <c r="B152" s="182"/>
      <c r="C152" s="116"/>
      <c r="D152" s="240"/>
      <c r="E152" s="1339"/>
      <c r="F152" s="116" t="s">
        <v>288</v>
      </c>
      <c r="G152" s="116" t="s">
        <v>340</v>
      </c>
      <c r="H152" s="577">
        <f>Speed!AX97</f>
        <v>41.1</v>
      </c>
      <c r="I152" s="577">
        <f>Speed!AY97</f>
        <v>41.1</v>
      </c>
      <c r="J152" s="577">
        <f>Speed!AZ97</f>
        <v>41.1</v>
      </c>
      <c r="K152" s="577">
        <f>Speed!BA97</f>
        <v>41.1</v>
      </c>
      <c r="L152" s="577">
        <f>Speed!BB97</f>
        <v>41.1</v>
      </c>
      <c r="M152" s="577">
        <f>Speed!BC97</f>
        <v>41.1</v>
      </c>
      <c r="N152" s="577">
        <f>Speed!BD97</f>
        <v>41.09999999999998</v>
      </c>
      <c r="O152" s="577">
        <f>Speed!BE97</f>
        <v>41.099999999999852</v>
      </c>
      <c r="P152" s="577">
        <f>Speed!BF97</f>
        <v>41.099999999999035</v>
      </c>
      <c r="Q152" s="577">
        <f>Speed!BG97</f>
        <v>41.099999999986963</v>
      </c>
      <c r="R152" s="577">
        <f>Speed!BH97</f>
        <v>41.099999999897491</v>
      </c>
      <c r="S152" s="577">
        <f>Speed!BI97</f>
        <v>41.099999999433777</v>
      </c>
      <c r="T152" s="577">
        <f>Speed!BJ97</f>
        <v>41.099999997563792</v>
      </c>
      <c r="U152" s="577">
        <f>Speed!BK97</f>
        <v>41.09999999129014</v>
      </c>
      <c r="V152" s="577">
        <f>Speed!BL97</f>
        <v>41.099999982940801</v>
      </c>
      <c r="W152" s="577">
        <f>Speed!BM97</f>
        <v>41.099999979694353</v>
      </c>
      <c r="X152" s="577">
        <f>Speed!BN97</f>
        <v>41.099999975902087</v>
      </c>
      <c r="Y152" s="577">
        <f>Speed!BO97</f>
        <v>41.099999971483896</v>
      </c>
      <c r="Z152" s="577">
        <f>Speed!BP97</f>
        <v>41.099999966351426</v>
      </c>
      <c r="AA152" s="577">
        <f>Speed!BQ97</f>
        <v>41.099999960399892</v>
      </c>
      <c r="AB152" s="577">
        <f>Speed!BR97</f>
        <v>41.099999953519628</v>
      </c>
      <c r="AC152" s="577">
        <f>Speed!BS97</f>
        <v>41.099999945578752</v>
      </c>
      <c r="AD152" s="577">
        <f>Speed!BT97</f>
        <v>41.099999936437108</v>
      </c>
      <c r="AE152" s="577">
        <f>Speed!BU97</f>
        <v>41.099999925939649</v>
      </c>
      <c r="AF152" s="577">
        <f>Speed!BV97</f>
        <v>41.099999913902579</v>
      </c>
      <c r="AG152" s="725">
        <f>Speed!BW97</f>
        <v>41.099999900132502</v>
      </c>
      <c r="AH152" s="18"/>
      <c r="AI152" s="18"/>
      <c r="AJ152" s="18"/>
      <c r="AK152" s="18"/>
      <c r="AL152" s="18"/>
      <c r="AM152" s="18"/>
      <c r="AN152" s="18"/>
    </row>
    <row r="153" spans="2:40" ht="21.95" customHeight="1" x14ac:dyDescent="0.2">
      <c r="B153" s="182"/>
      <c r="C153" s="116"/>
      <c r="D153" s="240"/>
      <c r="E153" s="1353"/>
      <c r="F153" s="254" t="s">
        <v>340</v>
      </c>
      <c r="G153" s="254" t="s">
        <v>280</v>
      </c>
      <c r="H153" s="577">
        <f>Speed!AX98</f>
        <v>41.1</v>
      </c>
      <c r="I153" s="577">
        <f>Speed!AY98</f>
        <v>41.1</v>
      </c>
      <c r="J153" s="577">
        <f>Speed!AZ98</f>
        <v>41.1</v>
      </c>
      <c r="K153" s="577">
        <f>Speed!BA98</f>
        <v>41.1</v>
      </c>
      <c r="L153" s="577">
        <f>Speed!BB98</f>
        <v>41.1</v>
      </c>
      <c r="M153" s="577">
        <f>Speed!BC98</f>
        <v>41.1</v>
      </c>
      <c r="N153" s="577">
        <f>Speed!BD98</f>
        <v>41.09999999999998</v>
      </c>
      <c r="O153" s="577">
        <f>Speed!BE98</f>
        <v>41.099999999999852</v>
      </c>
      <c r="P153" s="577">
        <f>Speed!BF98</f>
        <v>41.099999999999035</v>
      </c>
      <c r="Q153" s="577">
        <f>Speed!BG98</f>
        <v>41.099999999986963</v>
      </c>
      <c r="R153" s="577">
        <f>Speed!BH98</f>
        <v>41.099999999897491</v>
      </c>
      <c r="S153" s="577">
        <f>Speed!BI98</f>
        <v>41.099999999433777</v>
      </c>
      <c r="T153" s="577">
        <f>Speed!BJ98</f>
        <v>41.099999997563792</v>
      </c>
      <c r="U153" s="577">
        <f>Speed!BK98</f>
        <v>41.09999999129014</v>
      </c>
      <c r="V153" s="577">
        <f>Speed!BL98</f>
        <v>41.099999982940801</v>
      </c>
      <c r="W153" s="577">
        <f>Speed!BM98</f>
        <v>41.099999979694353</v>
      </c>
      <c r="X153" s="577">
        <f>Speed!BN98</f>
        <v>41.099999975902087</v>
      </c>
      <c r="Y153" s="577">
        <f>Speed!BO98</f>
        <v>41.099999971483896</v>
      </c>
      <c r="Z153" s="577">
        <f>Speed!BP98</f>
        <v>41.099999966351426</v>
      </c>
      <c r="AA153" s="577">
        <f>Speed!BQ98</f>
        <v>41.099999960399892</v>
      </c>
      <c r="AB153" s="577">
        <f>Speed!BR98</f>
        <v>41.099999953519628</v>
      </c>
      <c r="AC153" s="577">
        <f>Speed!BS98</f>
        <v>41.099999945578752</v>
      </c>
      <c r="AD153" s="577">
        <f>Speed!BT98</f>
        <v>41.099999936437108</v>
      </c>
      <c r="AE153" s="577">
        <f>Speed!BU98</f>
        <v>41.099999925939649</v>
      </c>
      <c r="AF153" s="577">
        <f>Speed!BV98</f>
        <v>41.099999913902579</v>
      </c>
      <c r="AG153" s="725">
        <f>Speed!BW98</f>
        <v>41.099999900132502</v>
      </c>
      <c r="AH153" s="18"/>
      <c r="AI153" s="18"/>
      <c r="AJ153" s="18"/>
      <c r="AK153" s="18"/>
      <c r="AL153" s="18"/>
      <c r="AM153" s="18"/>
      <c r="AN153" s="18"/>
    </row>
    <row r="154" spans="2:40" ht="21.95" customHeight="1" x14ac:dyDescent="0.2">
      <c r="B154" s="182"/>
      <c r="C154" s="116"/>
      <c r="D154" s="240"/>
      <c r="E154" s="1340" t="s">
        <v>334</v>
      </c>
      <c r="F154" s="116" t="s">
        <v>336</v>
      </c>
      <c r="G154" s="116" t="s">
        <v>337</v>
      </c>
      <c r="H154" s="577">
        <f>Speed!AX99</f>
        <v>50.899999994148452</v>
      </c>
      <c r="I154" s="577">
        <f>Speed!AY99</f>
        <v>50.899999994148452</v>
      </c>
      <c r="J154" s="577">
        <f>Speed!AZ99</f>
        <v>50.89999999235544</v>
      </c>
      <c r="K154" s="577">
        <f>Speed!BA99</f>
        <v>50.899999988361699</v>
      </c>
      <c r="L154" s="577">
        <f>Speed!BB99</f>
        <v>50.899999979343541</v>
      </c>
      <c r="M154" s="577">
        <f>Speed!BC99</f>
        <v>50.899999964453009</v>
      </c>
      <c r="N154" s="577">
        <f>Speed!BD99</f>
        <v>50.899999940518143</v>
      </c>
      <c r="O154" s="577">
        <f>Speed!BE99</f>
        <v>50.899999902960865</v>
      </c>
      <c r="P154" s="577">
        <f>Speed!BF99</f>
        <v>50.899999845204988</v>
      </c>
      <c r="Q154" s="577">
        <f>Speed!BG99</f>
        <v>50.899999769618113</v>
      </c>
      <c r="R154" s="577">
        <f>Speed!BH99</f>
        <v>50.899999662256974</v>
      </c>
      <c r="S154" s="577">
        <f>Speed!BI99</f>
        <v>50.899999511850879</v>
      </c>
      <c r="T154" s="577">
        <f>Speed!BJ99</f>
        <v>50.899999303637713</v>
      </c>
      <c r="U154" s="577">
        <f>Speed!BK99</f>
        <v>50.899999018354436</v>
      </c>
      <c r="V154" s="577">
        <f>Speed!BL99</f>
        <v>50.899998777005649</v>
      </c>
      <c r="W154" s="577">
        <f>Speed!BM99</f>
        <v>50.899998568346668</v>
      </c>
      <c r="X154" s="577">
        <f>Speed!BN99</f>
        <v>50.899998328177062</v>
      </c>
      <c r="Y154" s="577">
        <f>Speed!BO99</f>
        <v>50.899998052335768</v>
      </c>
      <c r="Z154" s="577">
        <f>Speed!BP99</f>
        <v>50.899997736010363</v>
      </c>
      <c r="AA154" s="577">
        <f>Speed!BQ99</f>
        <v>50.899997374379225</v>
      </c>
      <c r="AB154" s="577">
        <f>Speed!BR99</f>
        <v>50.89999696133399</v>
      </c>
      <c r="AC154" s="577">
        <f>Speed!BS99</f>
        <v>50.899996490966494</v>
      </c>
      <c r="AD154" s="577">
        <f>Speed!BT99</f>
        <v>50.899995956055079</v>
      </c>
      <c r="AE154" s="577">
        <f>Speed!BU99</f>
        <v>50.899995348502962</v>
      </c>
      <c r="AF154" s="577">
        <f>Speed!BV99</f>
        <v>50.899994660386994</v>
      </c>
      <c r="AG154" s="725">
        <f>Speed!BW99</f>
        <v>50.899993881972691</v>
      </c>
      <c r="AH154" s="18"/>
      <c r="AI154" s="18"/>
      <c r="AJ154" s="18"/>
      <c r="AK154" s="18"/>
      <c r="AL154" s="18"/>
      <c r="AM154" s="18"/>
      <c r="AN154" s="18"/>
    </row>
    <row r="155" spans="2:40" ht="21.95" customHeight="1" x14ac:dyDescent="0.2">
      <c r="B155" s="182"/>
      <c r="C155" s="116"/>
      <c r="D155" s="240"/>
      <c r="E155" s="1339"/>
      <c r="F155" s="116" t="s">
        <v>337</v>
      </c>
      <c r="G155" s="116" t="s">
        <v>386</v>
      </c>
      <c r="H155" s="577">
        <f>Speed!AX100</f>
        <v>48.399999786671671</v>
      </c>
      <c r="I155" s="577">
        <f>Speed!AY100</f>
        <v>48.399999786671671</v>
      </c>
      <c r="J155" s="577">
        <f>Speed!AZ100</f>
        <v>48.39999973797719</v>
      </c>
      <c r="K155" s="577">
        <f>Speed!BA100</f>
        <v>48.39999958017259</v>
      </c>
      <c r="L155" s="577">
        <f>Speed!BB100</f>
        <v>48.399999313109902</v>
      </c>
      <c r="M155" s="577">
        <f>Speed!BC100</f>
        <v>48.399998900983725</v>
      </c>
      <c r="N155" s="577">
        <f>Speed!BD100</f>
        <v>48.399998278938185</v>
      </c>
      <c r="O155" s="577">
        <f>Speed!BE100</f>
        <v>48.399997357152152</v>
      </c>
      <c r="P155" s="577">
        <f>Speed!BF100</f>
        <v>48.399996009932046</v>
      </c>
      <c r="Q155" s="577">
        <f>Speed!BG100</f>
        <v>48.399995029521023</v>
      </c>
      <c r="R155" s="577">
        <f>Speed!BH100</f>
        <v>48.399993835387384</v>
      </c>
      <c r="S155" s="577">
        <f>Speed!BI100</f>
        <v>48.399992391407636</v>
      </c>
      <c r="T155" s="577">
        <f>Speed!BJ100</f>
        <v>48.399990646930213</v>
      </c>
      <c r="U155" s="577">
        <f>Speed!BK100</f>
        <v>48.399988553881677</v>
      </c>
      <c r="V155" s="577">
        <f>Speed!BL100</f>
        <v>48.399986476490568</v>
      </c>
      <c r="W155" s="577">
        <f>Speed!BM100</f>
        <v>48.399984415118894</v>
      </c>
      <c r="X155" s="577">
        <f>Speed!BN100</f>
        <v>48.399982069912852</v>
      </c>
      <c r="Y155" s="577">
        <f>Speed!BO100</f>
        <v>48.399979411737625</v>
      </c>
      <c r="Z155" s="577">
        <f>Speed!BP100</f>
        <v>48.399976404003269</v>
      </c>
      <c r="AA155" s="577">
        <f>Speed!BQ100</f>
        <v>48.399973006430002</v>
      </c>
      <c r="AB155" s="577">
        <f>Speed!BR100</f>
        <v>48.39996917473372</v>
      </c>
      <c r="AC155" s="577">
        <f>Speed!BS100</f>
        <v>48.399964860289508</v>
      </c>
      <c r="AD155" s="577">
        <f>Speed!BT100</f>
        <v>48.399960009771895</v>
      </c>
      <c r="AE155" s="577">
        <f>Speed!BU100</f>
        <v>48.399954564770631</v>
      </c>
      <c r="AF155" s="577">
        <f>Speed!BV100</f>
        <v>48.399948461380617</v>
      </c>
      <c r="AG155" s="725">
        <f>Speed!BW100</f>
        <v>48.39994164490043</v>
      </c>
      <c r="AH155" s="18"/>
      <c r="AI155" s="18"/>
      <c r="AJ155" s="18"/>
      <c r="AK155" s="18"/>
      <c r="AL155" s="18"/>
      <c r="AM155" s="18"/>
      <c r="AN155" s="18"/>
    </row>
    <row r="156" spans="2:40" ht="21.95" customHeight="1" x14ac:dyDescent="0.2">
      <c r="B156" s="182"/>
      <c r="C156" s="116"/>
      <c r="D156" s="240"/>
      <c r="E156" s="1339"/>
      <c r="F156" s="116" t="s">
        <v>342</v>
      </c>
      <c r="G156" s="116" t="s">
        <v>341</v>
      </c>
      <c r="H156" s="577">
        <f>Speed!AX101</f>
        <v>43.399999750246479</v>
      </c>
      <c r="I156" s="577">
        <f>Speed!AY101</f>
        <v>43.399999750246479</v>
      </c>
      <c r="J156" s="577">
        <f>Speed!AZ101</f>
        <v>43.399999693237547</v>
      </c>
      <c r="K156" s="577">
        <f>Speed!BA101</f>
        <v>43.399999508488278</v>
      </c>
      <c r="L156" s="577">
        <f>Speed!BB101</f>
        <v>43.399999195825409</v>
      </c>
      <c r="M156" s="577">
        <f>Speed!BC101</f>
        <v>43.399998713329886</v>
      </c>
      <c r="N156" s="577">
        <f>Speed!BD101</f>
        <v>43.399997985071877</v>
      </c>
      <c r="O156" s="577">
        <f>Speed!BE101</f>
        <v>43.39999690589358</v>
      </c>
      <c r="P156" s="577">
        <f>Speed!BF101</f>
        <v>43.399995328639605</v>
      </c>
      <c r="Q156" s="577">
        <f>Speed!BG101</f>
        <v>43.399994180826305</v>
      </c>
      <c r="R156" s="577">
        <f>Speed!BH101</f>
        <v>43.399992782797902</v>
      </c>
      <c r="S156" s="577">
        <f>Speed!BI101</f>
        <v>43.399991092262923</v>
      </c>
      <c r="T156" s="577">
        <f>Speed!BJ101</f>
        <v>43.399989049921253</v>
      </c>
      <c r="U156" s="577">
        <f>Speed!BK101</f>
        <v>43.399986599491051</v>
      </c>
      <c r="V156" s="577">
        <f>Speed!BL101</f>
        <v>43.399984167391807</v>
      </c>
      <c r="W156" s="577">
        <f>Speed!BM101</f>
        <v>43.399981754047325</v>
      </c>
      <c r="X156" s="577">
        <f>Speed!BN101</f>
        <v>43.399979008404721</v>
      </c>
      <c r="Y156" s="577">
        <f>Speed!BO101</f>
        <v>43.399975896354505</v>
      </c>
      <c r="Z156" s="577">
        <f>Speed!BP101</f>
        <v>43.3999723750592</v>
      </c>
      <c r="AA156" s="577">
        <f>Speed!BQ101</f>
        <v>43.399968397361398</v>
      </c>
      <c r="AB156" s="577">
        <f>Speed!BR101</f>
        <v>43.399963911415703</v>
      </c>
      <c r="AC156" s="577">
        <f>Speed!BS101</f>
        <v>43.399958860294717</v>
      </c>
      <c r="AD156" s="577">
        <f>Speed!BT101</f>
        <v>43.399953181567952</v>
      </c>
      <c r="AE156" s="577">
        <f>Speed!BU101</f>
        <v>43.399946806851901</v>
      </c>
      <c r="AF156" s="577">
        <f>Speed!BV101</f>
        <v>43.399939661330095</v>
      </c>
      <c r="AG156" s="725">
        <f>Speed!BW101</f>
        <v>43.399931680961153</v>
      </c>
      <c r="AH156" s="18"/>
      <c r="AI156" s="18"/>
      <c r="AJ156" s="18"/>
      <c r="AK156" s="18"/>
      <c r="AL156" s="18"/>
      <c r="AM156" s="18"/>
      <c r="AN156" s="18"/>
    </row>
    <row r="157" spans="2:40" ht="21.95" customHeight="1" x14ac:dyDescent="0.2">
      <c r="B157" s="182"/>
      <c r="C157" s="116"/>
      <c r="D157" s="240"/>
      <c r="E157" s="1339"/>
      <c r="F157" s="116" t="s">
        <v>341</v>
      </c>
      <c r="G157" s="116" t="s">
        <v>344</v>
      </c>
      <c r="H157" s="577">
        <f>Speed!AX102</f>
        <v>46.59999890831903</v>
      </c>
      <c r="I157" s="577">
        <f>Speed!AY102</f>
        <v>46.59999890831903</v>
      </c>
      <c r="J157" s="577">
        <f>Speed!AZ102</f>
        <v>46.599998647002565</v>
      </c>
      <c r="K157" s="577">
        <f>Speed!BA102</f>
        <v>46.599997832343618</v>
      </c>
      <c r="L157" s="577">
        <f>Speed!BB102</f>
        <v>46.599996452536914</v>
      </c>
      <c r="M157" s="577">
        <f>Speed!BC102</f>
        <v>46.599994325310917</v>
      </c>
      <c r="N157" s="577">
        <f>Speed!BD102</f>
        <v>46.599991114648148</v>
      </c>
      <c r="O157" s="577">
        <f>Speed!BE102</f>
        <v>46.599986352628271</v>
      </c>
      <c r="P157" s="577">
        <f>Speed!BF102</f>
        <v>46.599979399497599</v>
      </c>
      <c r="Q157" s="577">
        <f>Speed!BG102</f>
        <v>46.59997432889088</v>
      </c>
      <c r="R157" s="577">
        <f>Speed!BH102</f>
        <v>46.599968170158853</v>
      </c>
      <c r="S157" s="577">
        <f>Speed!BI102</f>
        <v>46.599960701588763</v>
      </c>
      <c r="T157" s="577">
        <f>Speed!BJ102</f>
        <v>46.599951703970909</v>
      </c>
      <c r="U157" s="577">
        <f>Speed!BK102</f>
        <v>46.599940877717557</v>
      </c>
      <c r="V157" s="577">
        <f>Speed!BL102</f>
        <v>46.599930179147059</v>
      </c>
      <c r="W157" s="577">
        <f>Speed!BM102</f>
        <v>46.599919517213728</v>
      </c>
      <c r="X157" s="577">
        <f>Speed!BN102</f>
        <v>46.599907388870498</v>
      </c>
      <c r="Y157" s="577">
        <f>Speed!BO102</f>
        <v>46.599893665589136</v>
      </c>
      <c r="Z157" s="577">
        <f>Speed!BP102</f>
        <v>46.599878138499392</v>
      </c>
      <c r="AA157" s="577">
        <f>Speed!BQ102</f>
        <v>46.599860599845904</v>
      </c>
      <c r="AB157" s="577">
        <f>Speed!BR102</f>
        <v>46.59984082122979</v>
      </c>
      <c r="AC157" s="577">
        <f>Speed!BS102</f>
        <v>46.599818551874868</v>
      </c>
      <c r="AD157" s="577">
        <f>Speed!BT102</f>
        <v>46.599793516774199</v>
      </c>
      <c r="AE157" s="577">
        <f>Speed!BU102</f>
        <v>46.599765414710539</v>
      </c>
      <c r="AF157" s="577">
        <f>Speed!BV102</f>
        <v>46.59973385707017</v>
      </c>
      <c r="AG157" s="725">
        <f>Speed!BW102</f>
        <v>46.59969859488514</v>
      </c>
      <c r="AH157" s="18"/>
      <c r="AI157" s="18"/>
      <c r="AJ157" s="18"/>
      <c r="AK157" s="18"/>
      <c r="AL157" s="18"/>
      <c r="AM157" s="18"/>
      <c r="AN157" s="18"/>
    </row>
    <row r="158" spans="2:40" ht="21.95" customHeight="1" x14ac:dyDescent="0.2">
      <c r="B158" s="182"/>
      <c r="C158" s="116"/>
      <c r="D158" s="240"/>
      <c r="E158" s="1339"/>
      <c r="F158" s="116" t="s">
        <v>344</v>
      </c>
      <c r="G158" s="116" t="s">
        <v>345</v>
      </c>
      <c r="H158" s="577">
        <f>Speed!AX103</f>
        <v>56.59999951261819</v>
      </c>
      <c r="I158" s="577">
        <f>Speed!AY103</f>
        <v>56.59999951261819</v>
      </c>
      <c r="J158" s="577">
        <f>Speed!AZ103</f>
        <v>56.599999395953247</v>
      </c>
      <c r="K158" s="577">
        <f>Speed!BA103</f>
        <v>56.599999032248107</v>
      </c>
      <c r="L158" s="577">
        <f>Speed!BB103</f>
        <v>56.599998416232303</v>
      </c>
      <c r="M158" s="577">
        <f>Speed!BC103</f>
        <v>56.599997466530489</v>
      </c>
      <c r="N158" s="577">
        <f>Speed!BD103</f>
        <v>56.599996033127347</v>
      </c>
      <c r="O158" s="577">
        <f>Speed!BE103</f>
        <v>56.599993907119256</v>
      </c>
      <c r="P158" s="577">
        <f>Speed!BF103</f>
        <v>56.59999080288727</v>
      </c>
      <c r="Q158" s="577">
        <f>Speed!BG103</f>
        <v>56.59998853910956</v>
      </c>
      <c r="R158" s="577">
        <f>Speed!BH103</f>
        <v>56.59998578953676</v>
      </c>
      <c r="S158" s="577">
        <f>Speed!BI103</f>
        <v>56.599982455184673</v>
      </c>
      <c r="T158" s="577">
        <f>Speed!BJ103</f>
        <v>56.599978438186476</v>
      </c>
      <c r="U158" s="577">
        <f>Speed!BK103</f>
        <v>56.599973604790279</v>
      </c>
      <c r="V158" s="577">
        <f>Speed!BL103</f>
        <v>56.599968828396889</v>
      </c>
      <c r="W158" s="577">
        <f>Speed!BM103</f>
        <v>56.599964068358815</v>
      </c>
      <c r="X158" s="577">
        <f>Speed!BN103</f>
        <v>56.599958653637927</v>
      </c>
      <c r="Y158" s="577">
        <f>Speed!BO103</f>
        <v>56.599952526851844</v>
      </c>
      <c r="Z158" s="577">
        <f>Speed!BP103</f>
        <v>56.599945594749201</v>
      </c>
      <c r="AA158" s="577">
        <f>Speed!BQ103</f>
        <v>56.599937764576076</v>
      </c>
      <c r="AB158" s="577">
        <f>Speed!BR103</f>
        <v>56.599928934361898</v>
      </c>
      <c r="AC158" s="577">
        <f>Speed!BS103</f>
        <v>56.599918992145277</v>
      </c>
      <c r="AD158" s="577">
        <f>Speed!BT103</f>
        <v>56.599907815146452</v>
      </c>
      <c r="AE158" s="577">
        <f>Speed!BU103</f>
        <v>56.59989526888338</v>
      </c>
      <c r="AF158" s="577">
        <f>Speed!BV103</f>
        <v>56.599881179854783</v>
      </c>
      <c r="AG158" s="725">
        <f>Speed!BW103</f>
        <v>56.599865436903848</v>
      </c>
      <c r="AH158" s="18"/>
      <c r="AI158" s="18"/>
      <c r="AJ158" s="18"/>
      <c r="AK158" s="18"/>
      <c r="AL158" s="18"/>
      <c r="AM158" s="18"/>
      <c r="AN158" s="18"/>
    </row>
    <row r="159" spans="2:40" ht="21.95" customHeight="1" x14ac:dyDescent="0.2">
      <c r="B159" s="182"/>
      <c r="C159" s="116"/>
      <c r="D159" s="240"/>
      <c r="E159" s="1339"/>
      <c r="F159" s="116" t="s">
        <v>345</v>
      </c>
      <c r="G159" s="116" t="s">
        <v>323</v>
      </c>
      <c r="H159" s="577">
        <f>Speed!AX104</f>
        <v>69.099999497319118</v>
      </c>
      <c r="I159" s="577">
        <f>Speed!AY104</f>
        <v>69.099999497319118</v>
      </c>
      <c r="J159" s="577">
        <f>Speed!AZ104</f>
        <v>69.099999376966906</v>
      </c>
      <c r="K159" s="577">
        <f>Speed!BA104</f>
        <v>69.09999900190337</v>
      </c>
      <c r="L159" s="577">
        <f>Speed!BB104</f>
        <v>69.099998366467503</v>
      </c>
      <c r="M159" s="577">
        <f>Speed!BC104</f>
        <v>69.099997387071099</v>
      </c>
      <c r="N159" s="577">
        <f>Speed!BD104</f>
        <v>69.099995908236892</v>
      </c>
      <c r="O159" s="577">
        <f>Speed!BE104</f>
        <v>69.099993714976705</v>
      </c>
      <c r="P159" s="577">
        <f>Speed!BF104</f>
        <v>69.099990512982501</v>
      </c>
      <c r="Q159" s="577">
        <f>Speed!BG104</f>
        <v>69.099988180011607</v>
      </c>
      <c r="R159" s="577">
        <f>Speed!BH104</f>
        <v>69.099985342833421</v>
      </c>
      <c r="S159" s="577">
        <f>Speed!BI104</f>
        <v>69.099981906809262</v>
      </c>
      <c r="T159" s="577">
        <f>Speed!BJ104</f>
        <v>69.099977762106462</v>
      </c>
      <c r="U159" s="577">
        <f>Speed!BK104</f>
        <v>69.099972779696927</v>
      </c>
      <c r="V159" s="577">
        <f>Speed!BL104</f>
        <v>69.099967847111202</v>
      </c>
      <c r="W159" s="577">
        <f>Speed!BM104</f>
        <v>69.099962936278104</v>
      </c>
      <c r="X159" s="577">
        <f>Speed!BN104</f>
        <v>69.099957360417704</v>
      </c>
      <c r="Y159" s="577">
        <f>Speed!BO104</f>
        <v>69.099951040649117</v>
      </c>
      <c r="Z159" s="577">
        <f>Speed!BP104</f>
        <v>69.099943889397508</v>
      </c>
      <c r="AA159" s="577">
        <f>Speed!BQ104</f>
        <v>69.09993581211738</v>
      </c>
      <c r="AB159" s="577">
        <f>Speed!BR104</f>
        <v>69.099926702231002</v>
      </c>
      <c r="AC159" s="577">
        <f>Speed!BS104</f>
        <v>69.099916445687896</v>
      </c>
      <c r="AD159" s="577">
        <f>Speed!BT104</f>
        <v>69.099904915073296</v>
      </c>
      <c r="AE159" s="577">
        <f>Speed!BU104</f>
        <v>69.099891970471404</v>
      </c>
      <c r="AF159" s="577">
        <f>Speed!BV104</f>
        <v>69.099877462160634</v>
      </c>
      <c r="AG159" s="725">
        <f>Speed!BW104</f>
        <v>69.099861223201813</v>
      </c>
      <c r="AH159" s="18"/>
      <c r="AI159" s="18"/>
      <c r="AJ159" s="18"/>
      <c r="AK159" s="18"/>
      <c r="AL159" s="18"/>
      <c r="AM159" s="18"/>
      <c r="AN159" s="18"/>
    </row>
    <row r="160" spans="2:40" ht="21.95" customHeight="1" x14ac:dyDescent="0.2">
      <c r="B160" s="182"/>
      <c r="C160" s="116"/>
      <c r="D160" s="240"/>
      <c r="E160" s="1339"/>
      <c r="F160" s="116" t="s">
        <v>323</v>
      </c>
      <c r="G160" s="116" t="s">
        <v>347</v>
      </c>
      <c r="H160" s="577">
        <f>Speed!AX105</f>
        <v>69.099999497319118</v>
      </c>
      <c r="I160" s="577">
        <f>Speed!AY105</f>
        <v>69.099999497319118</v>
      </c>
      <c r="J160" s="577">
        <f>Speed!AZ105</f>
        <v>69.099999376966906</v>
      </c>
      <c r="K160" s="577">
        <f>Speed!BA105</f>
        <v>69.099999149366226</v>
      </c>
      <c r="L160" s="577">
        <f>Speed!BB105</f>
        <v>69.09999879780905</v>
      </c>
      <c r="M160" s="577">
        <f>Speed!BC105</f>
        <v>69.099998320337406</v>
      </c>
      <c r="N160" s="577">
        <f>Speed!BD105</f>
        <v>69.099997678566041</v>
      </c>
      <c r="O160" s="577">
        <f>Speed!BE105</f>
        <v>69.099996824154118</v>
      </c>
      <c r="P160" s="577">
        <f>Speed!BF105</f>
        <v>69.099995695895743</v>
      </c>
      <c r="Q160" s="577">
        <f>Speed!BG105</f>
        <v>69.09999454077942</v>
      </c>
      <c r="R160" s="577">
        <f>Speed!BH105</f>
        <v>69.099993113781352</v>
      </c>
      <c r="S160" s="577">
        <f>Speed!BI105</f>
        <v>69.09999135943545</v>
      </c>
      <c r="T160" s="577">
        <f>Speed!BJ105</f>
        <v>69.099989212615299</v>
      </c>
      <c r="U160" s="577">
        <f>Speed!BK105</f>
        <v>69.099986596092123</v>
      </c>
      <c r="V160" s="577">
        <f>Speed!BL105</f>
        <v>69.099983974154298</v>
      </c>
      <c r="W160" s="577">
        <f>Speed!BM105</f>
        <v>69.099981337593846</v>
      </c>
      <c r="X160" s="577">
        <f>Speed!BN105</f>
        <v>69.099978316871642</v>
      </c>
      <c r="Y160" s="577">
        <f>Speed!BO105</f>
        <v>69.099974863013941</v>
      </c>
      <c r="Z160" s="577">
        <f>Speed!BP105</f>
        <v>69.099970921322466</v>
      </c>
      <c r="AA160" s="577">
        <f>Speed!BQ105</f>
        <v>69.099966432212497</v>
      </c>
      <c r="AB160" s="577">
        <f>Speed!BR105</f>
        <v>69.099961328290092</v>
      </c>
      <c r="AC160" s="577">
        <f>Speed!BS105</f>
        <v>69.09995553675661</v>
      </c>
      <c r="AD160" s="577">
        <f>Speed!BT105</f>
        <v>69.099948975974783</v>
      </c>
      <c r="AE160" s="577">
        <f>Speed!BU105</f>
        <v>69.0999415557785</v>
      </c>
      <c r="AF160" s="577">
        <f>Speed!BV105</f>
        <v>69.099933178878601</v>
      </c>
      <c r="AG160" s="725">
        <f>Speed!BW105</f>
        <v>69.099923736448488</v>
      </c>
      <c r="AH160" s="18"/>
      <c r="AI160" s="18"/>
      <c r="AJ160" s="18"/>
      <c r="AK160" s="18"/>
      <c r="AL160" s="18"/>
      <c r="AM160" s="18"/>
      <c r="AN160" s="18"/>
    </row>
    <row r="161" spans="2:40" ht="21.95" customHeight="1" x14ac:dyDescent="0.2">
      <c r="B161" s="182"/>
      <c r="C161" s="116"/>
      <c r="D161" s="240"/>
      <c r="E161" s="1339"/>
      <c r="F161" s="116" t="s">
        <v>347</v>
      </c>
      <c r="G161" s="116" t="s">
        <v>348</v>
      </c>
      <c r="H161" s="577">
        <f>Speed!AX106</f>
        <v>59.099999329415759</v>
      </c>
      <c r="I161" s="577">
        <f>Speed!AY106</f>
        <v>59.099999329415759</v>
      </c>
      <c r="J161" s="577">
        <f>Speed!AZ106</f>
        <v>59.099999168863988</v>
      </c>
      <c r="K161" s="577">
        <f>Speed!BA106</f>
        <v>59.099998865241098</v>
      </c>
      <c r="L161" s="577">
        <f>Speed!BB106</f>
        <v>59.09999839625825</v>
      </c>
      <c r="M161" s="577">
        <f>Speed!BC106</f>
        <v>59.099997759303555</v>
      </c>
      <c r="N161" s="577">
        <f>Speed!BD106</f>
        <v>59.099996903170421</v>
      </c>
      <c r="O161" s="577">
        <f>Speed!BE106</f>
        <v>59.099995763371432</v>
      </c>
      <c r="P161" s="577">
        <f>Speed!BF106</f>
        <v>59.09999425825697</v>
      </c>
      <c r="Q161" s="577">
        <f>Speed!BG106</f>
        <v>59.099992717313626</v>
      </c>
      <c r="R161" s="577">
        <f>Speed!BH106</f>
        <v>59.099990813675781</v>
      </c>
      <c r="S161" s="577">
        <f>Speed!BI106</f>
        <v>59.099988473350855</v>
      </c>
      <c r="T161" s="577">
        <f>Speed!BJ106</f>
        <v>59.099985609459232</v>
      </c>
      <c r="U161" s="577">
        <f>Speed!BK106</f>
        <v>59.099982118976556</v>
      </c>
      <c r="V161" s="577">
        <f>Speed!BL106</f>
        <v>59.099978621270822</v>
      </c>
      <c r="W161" s="577">
        <f>Speed!BM106</f>
        <v>59.099975104058409</v>
      </c>
      <c r="X161" s="577">
        <f>Speed!BN106</f>
        <v>59.099971074368476</v>
      </c>
      <c r="Y161" s="577">
        <f>Speed!BO106</f>
        <v>59.099966466869333</v>
      </c>
      <c r="Z161" s="577">
        <f>Speed!BP106</f>
        <v>59.099961208592788</v>
      </c>
      <c r="AA161" s="577">
        <f>Speed!BQ106</f>
        <v>59.099955220052045</v>
      </c>
      <c r="AB161" s="577">
        <f>Speed!BR106</f>
        <v>59.099948411342709</v>
      </c>
      <c r="AC161" s="577">
        <f>Speed!BS106</f>
        <v>59.099940685350525</v>
      </c>
      <c r="AD161" s="577">
        <f>Speed!BT106</f>
        <v>59.099931933170431</v>
      </c>
      <c r="AE161" s="577">
        <f>Speed!BU106</f>
        <v>59.099922034519849</v>
      </c>
      <c r="AF161" s="577">
        <f>Speed!BV106</f>
        <v>59.099910859614042</v>
      </c>
      <c r="AG161" s="725">
        <f>Speed!BW106</f>
        <v>59.099898263277353</v>
      </c>
      <c r="AH161" s="18"/>
      <c r="AI161" s="18"/>
      <c r="AJ161" s="18"/>
      <c r="AK161" s="18"/>
      <c r="AL161" s="18"/>
      <c r="AM161" s="18"/>
      <c r="AN161" s="18"/>
    </row>
    <row r="162" spans="2:40" ht="21.95" customHeight="1" x14ac:dyDescent="0.2">
      <c r="B162" s="182"/>
      <c r="C162" s="116"/>
      <c r="D162" s="240"/>
      <c r="E162" s="1353"/>
      <c r="F162" s="254" t="s">
        <v>348</v>
      </c>
      <c r="G162" s="254" t="s">
        <v>349</v>
      </c>
      <c r="H162" s="577">
        <f>Speed!AX107</f>
        <v>59.099997450982599</v>
      </c>
      <c r="I162" s="577">
        <f>Speed!AY107</f>
        <v>59.099997450982599</v>
      </c>
      <c r="J162" s="577">
        <f>Speed!AZ107</f>
        <v>59.09999677233408</v>
      </c>
      <c r="K162" s="577">
        <f>Speed!BA107</f>
        <v>59.099995559904748</v>
      </c>
      <c r="L162" s="577">
        <f>Speed!BB107</f>
        <v>59.099993320197065</v>
      </c>
      <c r="M162" s="577">
        <f>Speed!BC107</f>
        <v>59.09999010942154</v>
      </c>
      <c r="N162" s="577">
        <f>Speed!BD107</f>
        <v>59.099985570453995</v>
      </c>
      <c r="O162" s="577">
        <f>Speed!BE107</f>
        <v>59.099979238532114</v>
      </c>
      <c r="P162" s="577">
        <f>Speed!BF107</f>
        <v>59.099970501421737</v>
      </c>
      <c r="Q162" s="577">
        <f>Speed!BG107</f>
        <v>59.099959209499573</v>
      </c>
      <c r="R162" s="577">
        <f>Speed!BH107</f>
        <v>59.09994416548831</v>
      </c>
      <c r="S162" s="577">
        <f>Speed!BI107</f>
        <v>59.099924300834715</v>
      </c>
      <c r="T162" s="577">
        <f>Speed!BJ107</f>
        <v>59.099898287463276</v>
      </c>
      <c r="U162" s="577">
        <f>Speed!BK107</f>
        <v>59.099864465464535</v>
      </c>
      <c r="V162" s="577">
        <f>Speed!BL107</f>
        <v>59.099833226124424</v>
      </c>
      <c r="W162" s="577">
        <f>Speed!BM107</f>
        <v>59.099805066932667</v>
      </c>
      <c r="X162" s="577">
        <f>Speed!BN107</f>
        <v>59.099772698626936</v>
      </c>
      <c r="Y162" s="577">
        <f>Speed!BO107</f>
        <v>59.099735570962729</v>
      </c>
      <c r="Z162" s="577">
        <f>Speed!BP107</f>
        <v>59.099693062844011</v>
      </c>
      <c r="AA162" s="577">
        <f>Speed!BQ107</f>
        <v>59.099644510824575</v>
      </c>
      <c r="AB162" s="577">
        <f>Speed!BR107</f>
        <v>59.099589141339081</v>
      </c>
      <c r="AC162" s="577">
        <f>Speed!BS107</f>
        <v>59.099526140789145</v>
      </c>
      <c r="AD162" s="577">
        <f>Speed!BT107</f>
        <v>59.099454575469693</v>
      </c>
      <c r="AE162" s="577">
        <f>Speed!BU107</f>
        <v>59.099373408681473</v>
      </c>
      <c r="AF162" s="577">
        <f>Speed!BV107</f>
        <v>59.099281547624898</v>
      </c>
      <c r="AG162" s="725">
        <f>Speed!BW107</f>
        <v>59.099177739097769</v>
      </c>
      <c r="AH162" s="18"/>
      <c r="AI162" s="18"/>
      <c r="AJ162" s="18"/>
      <c r="AK162" s="18"/>
      <c r="AL162" s="18"/>
      <c r="AM162" s="18"/>
      <c r="AN162" s="18"/>
    </row>
    <row r="163" spans="2:40" ht="21.95" customHeight="1" x14ac:dyDescent="0.2">
      <c r="B163" s="182"/>
      <c r="C163" s="116"/>
      <c r="D163" s="240"/>
      <c r="E163" s="116" t="s">
        <v>288</v>
      </c>
      <c r="F163" s="116" t="s">
        <v>323</v>
      </c>
      <c r="G163" s="116" t="s">
        <v>348</v>
      </c>
      <c r="H163" s="577">
        <f>Speed!AX108</f>
        <v>27.799999999974702</v>
      </c>
      <c r="I163" s="577">
        <f>Speed!AY108</f>
        <v>27.799999999974702</v>
      </c>
      <c r="J163" s="577">
        <f>Speed!AZ108</f>
        <v>27.799999999963447</v>
      </c>
      <c r="K163" s="577">
        <f>Speed!BA108</f>
        <v>27.799999999937405</v>
      </c>
      <c r="L163" s="577">
        <f>Speed!BB108</f>
        <v>27.799999999708213</v>
      </c>
      <c r="M163" s="577">
        <f>Speed!BC108</f>
        <v>27.799999998892478</v>
      </c>
      <c r="N163" s="577">
        <f>Speed!BD108</f>
        <v>27.799999996403304</v>
      </c>
      <c r="O163" s="577">
        <f>Speed!BE108</f>
        <v>27.799999989696822</v>
      </c>
      <c r="P163" s="577">
        <f>Speed!BF108</f>
        <v>27.799999973278062</v>
      </c>
      <c r="Q163" s="577">
        <f>Speed!BG108</f>
        <v>27.799999917173107</v>
      </c>
      <c r="R163" s="577">
        <f>Speed!BH108</f>
        <v>27.799999771232621</v>
      </c>
      <c r="S163" s="577">
        <f>Speed!BI108</f>
        <v>27.799999424510357</v>
      </c>
      <c r="T163" s="577">
        <f>Speed!BJ108</f>
        <v>27.799998660996209</v>
      </c>
      <c r="U163" s="577">
        <f>Speed!BK108</f>
        <v>27.799997080410687</v>
      </c>
      <c r="V163" s="577">
        <f>Speed!BL108</f>
        <v>27.799995843715422</v>
      </c>
      <c r="W163" s="577">
        <f>Speed!BM108</f>
        <v>27.79999535032492</v>
      </c>
      <c r="X163" s="577">
        <f>Speed!BN108</f>
        <v>27.799994804833148</v>
      </c>
      <c r="Y163" s="577">
        <f>Speed!BO108</f>
        <v>27.799994202405731</v>
      </c>
      <c r="Z163" s="577">
        <f>Speed!BP108</f>
        <v>27.799993537096643</v>
      </c>
      <c r="AA163" s="577">
        <f>Speed!BQ108</f>
        <v>27.799992804642809</v>
      </c>
      <c r="AB163" s="577">
        <f>Speed!BR108</f>
        <v>27.799991997431249</v>
      </c>
      <c r="AC163" s="577">
        <f>Speed!BS108</f>
        <v>27.79999111057759</v>
      </c>
      <c r="AD163" s="577">
        <f>Speed!BT108</f>
        <v>27.799990136229951</v>
      </c>
      <c r="AE163" s="577">
        <f>Speed!BU108</f>
        <v>27.799989065636435</v>
      </c>
      <c r="AF163" s="577">
        <f>Speed!BV108</f>
        <v>27.799987892848094</v>
      </c>
      <c r="AG163" s="725">
        <f>Speed!BW108</f>
        <v>27.799986608038736</v>
      </c>
      <c r="AH163" s="18"/>
      <c r="AI163" s="18"/>
      <c r="AJ163" s="18"/>
      <c r="AK163" s="18"/>
      <c r="AL163" s="18"/>
      <c r="AM163" s="18"/>
      <c r="AN163" s="18"/>
    </row>
    <row r="164" spans="2:40" ht="21.95" customHeight="1" x14ac:dyDescent="0.2">
      <c r="B164" s="182"/>
      <c r="C164" s="116"/>
      <c r="D164" s="240"/>
      <c r="E164" s="277" t="s">
        <v>340</v>
      </c>
      <c r="F164" s="277" t="s">
        <v>335</v>
      </c>
      <c r="G164" s="277" t="s">
        <v>323</v>
      </c>
      <c r="H164" s="577" t="e">
        <f>Speed!AX109</f>
        <v>#DIV/0!</v>
      </c>
      <c r="I164" s="577" t="e">
        <f>Speed!AY109</f>
        <v>#DIV/0!</v>
      </c>
      <c r="J164" s="577" t="e">
        <f>Speed!AZ109</f>
        <v>#DIV/0!</v>
      </c>
      <c r="K164" s="577" t="e">
        <f>Speed!BA109</f>
        <v>#DIV/0!</v>
      </c>
      <c r="L164" s="577" t="e">
        <f>Speed!BB109</f>
        <v>#DIV/0!</v>
      </c>
      <c r="M164" s="577" t="e">
        <f>Speed!BC109</f>
        <v>#DIV/0!</v>
      </c>
      <c r="N164" s="577" t="e">
        <f>Speed!BD109</f>
        <v>#DIV/0!</v>
      </c>
      <c r="O164" s="577" t="e">
        <f>Speed!BE109</f>
        <v>#DIV/0!</v>
      </c>
      <c r="P164" s="577" t="e">
        <f>Speed!BF109</f>
        <v>#DIV/0!</v>
      </c>
      <c r="Q164" s="577" t="e">
        <f>Speed!BG109</f>
        <v>#DIV/0!</v>
      </c>
      <c r="R164" s="577" t="e">
        <f>Speed!BH109</f>
        <v>#DIV/0!</v>
      </c>
      <c r="S164" s="577" t="e">
        <f>Speed!BI109</f>
        <v>#DIV/0!</v>
      </c>
      <c r="T164" s="577" t="e">
        <f>Speed!BJ109</f>
        <v>#DIV/0!</v>
      </c>
      <c r="U164" s="577" t="e">
        <f>Speed!BK109</f>
        <v>#DIV/0!</v>
      </c>
      <c r="V164" s="577" t="e">
        <f>Speed!BL109</f>
        <v>#DIV/0!</v>
      </c>
      <c r="W164" s="577" t="e">
        <f>Speed!BM109</f>
        <v>#DIV/0!</v>
      </c>
      <c r="X164" s="577" t="e">
        <f>Speed!BN109</f>
        <v>#DIV/0!</v>
      </c>
      <c r="Y164" s="577" t="e">
        <f>Speed!BO109</f>
        <v>#DIV/0!</v>
      </c>
      <c r="Z164" s="577" t="e">
        <f>Speed!BP109</f>
        <v>#DIV/0!</v>
      </c>
      <c r="AA164" s="577" t="e">
        <f>Speed!BQ109</f>
        <v>#DIV/0!</v>
      </c>
      <c r="AB164" s="577" t="e">
        <f>Speed!BR109</f>
        <v>#DIV/0!</v>
      </c>
      <c r="AC164" s="577" t="e">
        <f>Speed!BS109</f>
        <v>#DIV/0!</v>
      </c>
      <c r="AD164" s="577" t="e">
        <f>Speed!BT109</f>
        <v>#DIV/0!</v>
      </c>
      <c r="AE164" s="577" t="e">
        <f>Speed!BU109</f>
        <v>#DIV/0!</v>
      </c>
      <c r="AF164" s="577" t="e">
        <f>Speed!BV109</f>
        <v>#DIV/0!</v>
      </c>
      <c r="AG164" s="725" t="e">
        <f>Speed!BW109</f>
        <v>#DIV/0!</v>
      </c>
      <c r="AH164" s="18"/>
      <c r="AI164" s="18"/>
      <c r="AJ164" s="18"/>
      <c r="AK164" s="18"/>
      <c r="AL164" s="18"/>
      <c r="AM164" s="18"/>
      <c r="AN164" s="18"/>
    </row>
    <row r="165" spans="2:40" ht="21.95" customHeight="1" x14ac:dyDescent="0.2">
      <c r="B165" s="182"/>
      <c r="C165" s="116"/>
      <c r="D165" s="240"/>
      <c r="E165" s="277" t="s">
        <v>357</v>
      </c>
      <c r="F165" s="277" t="s">
        <v>338</v>
      </c>
      <c r="G165" s="277" t="s">
        <v>323</v>
      </c>
      <c r="H165" s="577">
        <f>Speed!AX110</f>
        <v>31.899999970276543</v>
      </c>
      <c r="I165" s="577">
        <f>Speed!AY110</f>
        <v>31.899999970276543</v>
      </c>
      <c r="J165" s="577">
        <f>Speed!AZ110</f>
        <v>31.899999965349579</v>
      </c>
      <c r="K165" s="577">
        <f>Speed!BA110</f>
        <v>31.899999955641103</v>
      </c>
      <c r="L165" s="577">
        <f>Speed!BB110</f>
        <v>31.899999901610549</v>
      </c>
      <c r="M165" s="577">
        <f>Speed!BC110</f>
        <v>31.899999794213187</v>
      </c>
      <c r="N165" s="577">
        <f>Speed!BD110</f>
        <v>31.8999995905608</v>
      </c>
      <c r="O165" s="577">
        <f>Speed!BE110</f>
        <v>31.899999221290255</v>
      </c>
      <c r="P165" s="577">
        <f>Speed!BF110</f>
        <v>31.89999857445812</v>
      </c>
      <c r="Q165" s="577">
        <f>Speed!BG110</f>
        <v>31.89999720836358</v>
      </c>
      <c r="R165" s="577">
        <f>Speed!BH110</f>
        <v>31.899994760462238</v>
      </c>
      <c r="S165" s="577">
        <f>Speed!BI110</f>
        <v>31.899990523488672</v>
      </c>
      <c r="T165" s="577">
        <f>Speed!BJ110</f>
        <v>31.899983421745223</v>
      </c>
      <c r="U165" s="577">
        <f>Speed!BK110</f>
        <v>31.899971824126762</v>
      </c>
      <c r="V165" s="577">
        <f>Speed!BL110</f>
        <v>31.899965362954259</v>
      </c>
      <c r="W165" s="577">
        <f>Speed!BM110</f>
        <v>31.899962628087053</v>
      </c>
      <c r="X165" s="577">
        <f>Speed!BN110</f>
        <v>31.899959700386432</v>
      </c>
      <c r="Y165" s="577">
        <f>Speed!BO110</f>
        <v>31.899956567859928</v>
      </c>
      <c r="Z165" s="577">
        <f>Speed!BP110</f>
        <v>31.899953211020478</v>
      </c>
      <c r="AA165" s="577">
        <f>Speed!BQ110</f>
        <v>31.899949629774749</v>
      </c>
      <c r="AB165" s="577">
        <f>Speed!BR110</f>
        <v>31.899945795875322</v>
      </c>
      <c r="AC165" s="577">
        <f>Speed!BS110</f>
        <v>31.899941709659025</v>
      </c>
      <c r="AD165" s="577">
        <f>Speed!BT110</f>
        <v>31.899937348265546</v>
      </c>
      <c r="AE165" s="577">
        <f>Speed!BU110</f>
        <v>31.899932685845538</v>
      </c>
      <c r="AF165" s="577">
        <f>Speed!BV110</f>
        <v>31.899927723574187</v>
      </c>
      <c r="AG165" s="725">
        <f>Speed!BW110</f>
        <v>31.899922434468724</v>
      </c>
      <c r="AH165" s="18"/>
      <c r="AI165" s="18"/>
      <c r="AJ165" s="18"/>
      <c r="AK165" s="18"/>
      <c r="AL165" s="18"/>
      <c r="AM165" s="18"/>
      <c r="AN165" s="18"/>
    </row>
    <row r="166" spans="2:40" ht="21.95" customHeight="1" x14ac:dyDescent="0.2">
      <c r="B166" s="182"/>
      <c r="C166" s="116"/>
      <c r="D166" s="240"/>
      <c r="E166" s="116" t="s">
        <v>338</v>
      </c>
      <c r="F166" s="116" t="s">
        <v>282</v>
      </c>
      <c r="G166" s="116" t="s">
        <v>357</v>
      </c>
      <c r="H166" s="577">
        <f>Speed!AX111</f>
        <v>55.899999999928468</v>
      </c>
      <c r="I166" s="577">
        <f>Speed!AY111</f>
        <v>55.899999999928468</v>
      </c>
      <c r="J166" s="577">
        <f>Speed!AZ111</f>
        <v>55.899999999896941</v>
      </c>
      <c r="K166" s="577">
        <f>Speed!BA111</f>
        <v>55.899999999850117</v>
      </c>
      <c r="L166" s="577">
        <f>Speed!BB111</f>
        <v>55.899999999671756</v>
      </c>
      <c r="M166" s="577">
        <f>Speed!BC111</f>
        <v>55.899999999320812</v>
      </c>
      <c r="N166" s="577">
        <f>Speed!BD111</f>
        <v>55.899999998661805</v>
      </c>
      <c r="O166" s="577">
        <f>Speed!BE111</f>
        <v>55.899999997475788</v>
      </c>
      <c r="P166" s="577">
        <f>Speed!BF111</f>
        <v>55.899999995413282</v>
      </c>
      <c r="Q166" s="577">
        <f>Speed!BG111</f>
        <v>55.899999990284719</v>
      </c>
      <c r="R166" s="577">
        <f>Speed!BH111</f>
        <v>55.899999980472096</v>
      </c>
      <c r="S166" s="577">
        <f>Speed!BI111</f>
        <v>55.899999962498299</v>
      </c>
      <c r="T166" s="577">
        <f>Speed!BJ111</f>
        <v>55.899999930804007</v>
      </c>
      <c r="U166" s="577">
        <f>Speed!BK111</f>
        <v>55.899999876695695</v>
      </c>
      <c r="V166" s="577">
        <f>Speed!BL111</f>
        <v>55.899999829127054</v>
      </c>
      <c r="W166" s="577">
        <f>Speed!BM111</f>
        <v>55.899999797588571</v>
      </c>
      <c r="X166" s="577">
        <f>Speed!BN111</f>
        <v>55.899999760904464</v>
      </c>
      <c r="Y166" s="577">
        <f>Speed!BO111</f>
        <v>55.899999718341554</v>
      </c>
      <c r="Z166" s="577">
        <f>Speed!BP111</f>
        <v>55.899999669048363</v>
      </c>
      <c r="AA166" s="577">
        <f>Speed!BQ111</f>
        <v>55.899999612155355</v>
      </c>
      <c r="AB166" s="577">
        <f>Speed!BR111</f>
        <v>55.899999546568758</v>
      </c>
      <c r="AC166" s="577">
        <f>Speed!BS111</f>
        <v>55.899999471207138</v>
      </c>
      <c r="AD166" s="577">
        <f>Speed!BT111</f>
        <v>55.899999384754295</v>
      </c>
      <c r="AE166" s="577">
        <f>Speed!BU111</f>
        <v>55.899999285725421</v>
      </c>
      <c r="AF166" s="577">
        <f>Speed!BV111</f>
        <v>55.899999172639902</v>
      </c>
      <c r="AG166" s="725">
        <f>Speed!BW111</f>
        <v>55.899999043688453</v>
      </c>
      <c r="AH166" s="18"/>
      <c r="AI166" s="18"/>
      <c r="AJ166" s="18"/>
      <c r="AK166" s="18"/>
      <c r="AL166" s="18"/>
      <c r="AM166" s="18"/>
      <c r="AN166" s="18"/>
    </row>
    <row r="167" spans="2:40" ht="21.95" customHeight="1" x14ac:dyDescent="0.2">
      <c r="B167" s="182"/>
      <c r="C167" s="116"/>
      <c r="D167" s="240"/>
      <c r="E167" s="116"/>
      <c r="F167" s="116" t="s">
        <v>357</v>
      </c>
      <c r="G167" s="116" t="s">
        <v>346</v>
      </c>
      <c r="H167" s="577">
        <f>Speed!AX112</f>
        <v>55.899999999995408</v>
      </c>
      <c r="I167" s="577">
        <f>Speed!AY112</f>
        <v>55.899999999995408</v>
      </c>
      <c r="J167" s="577">
        <f>Speed!AZ112</f>
        <v>55.899999999993469</v>
      </c>
      <c r="K167" s="577">
        <f>Speed!BA112</f>
        <v>55.899999999990577</v>
      </c>
      <c r="L167" s="577">
        <f>Speed!BB112</f>
        <v>55.899999999981652</v>
      </c>
      <c r="M167" s="577">
        <f>Speed!BC112</f>
        <v>55.899999999965729</v>
      </c>
      <c r="N167" s="577">
        <f>Speed!BD112</f>
        <v>55.899999999938288</v>
      </c>
      <c r="O167" s="577">
        <f>Speed!BE112</f>
        <v>55.899999999892444</v>
      </c>
      <c r="P167" s="577">
        <f>Speed!BF112</f>
        <v>55.899999999817901</v>
      </c>
      <c r="Q167" s="577">
        <f>Speed!BG112</f>
        <v>55.899999999640528</v>
      </c>
      <c r="R167" s="577">
        <f>Speed!BH112</f>
        <v>55.899999999320379</v>
      </c>
      <c r="S167" s="577">
        <f>Speed!BI112</f>
        <v>55.899999998763413</v>
      </c>
      <c r="T167" s="577">
        <f>Speed!BJ112</f>
        <v>55.899999997824658</v>
      </c>
      <c r="U167" s="577">
        <f>Speed!BK112</f>
        <v>55.899999996285608</v>
      </c>
      <c r="V167" s="577">
        <f>Speed!BL112</f>
        <v>55.899999994813363</v>
      </c>
      <c r="W167" s="577">
        <f>Speed!BM112</f>
        <v>55.899999993823393</v>
      </c>
      <c r="X167" s="577">
        <f>Speed!BN112</f>
        <v>55.899999992666508</v>
      </c>
      <c r="Y167" s="577">
        <f>Speed!BO112</f>
        <v>55.899999991318118</v>
      </c>
      <c r="Z167" s="577">
        <f>Speed!BP112</f>
        <v>55.899999989749936</v>
      </c>
      <c r="AA167" s="577">
        <f>Speed!BQ112</f>
        <v>55.899999987932013</v>
      </c>
      <c r="AB167" s="577">
        <f>Speed!BR112</f>
        <v>55.899999985828039</v>
      </c>
      <c r="AC167" s="577">
        <f>Speed!BS112</f>
        <v>55.89999998340047</v>
      </c>
      <c r="AD167" s="577">
        <f>Speed!BT112</f>
        <v>55.899999980604861</v>
      </c>
      <c r="AE167" s="577">
        <f>Speed!BU112</f>
        <v>55.899999977391154</v>
      </c>
      <c r="AF167" s="577">
        <f>Speed!BV112</f>
        <v>55.899999973707359</v>
      </c>
      <c r="AG167" s="725">
        <f>Speed!BW112</f>
        <v>55.899999969491887</v>
      </c>
      <c r="AH167" s="18"/>
      <c r="AI167" s="18"/>
      <c r="AJ167" s="18"/>
      <c r="AK167" s="18"/>
      <c r="AL167" s="18"/>
      <c r="AM167" s="18"/>
      <c r="AN167" s="18"/>
    </row>
    <row r="168" spans="2:40" ht="21.95" customHeight="1" x14ac:dyDescent="0.2">
      <c r="B168" s="182"/>
      <c r="C168" s="116"/>
      <c r="D168" s="240"/>
      <c r="E168" s="116"/>
      <c r="F168" s="116" t="s">
        <v>346</v>
      </c>
      <c r="G168" s="116" t="s">
        <v>343</v>
      </c>
      <c r="H168" s="577">
        <f>Speed!AX113</f>
        <v>45.899999999989724</v>
      </c>
      <c r="I168" s="577">
        <f>Speed!AY113</f>
        <v>45.899999999989724</v>
      </c>
      <c r="J168" s="577">
        <f>Speed!AZ113</f>
        <v>45.899999999985425</v>
      </c>
      <c r="K168" s="577">
        <f>Speed!BA113</f>
        <v>45.899999999978959</v>
      </c>
      <c r="L168" s="577">
        <f>Speed!BB113</f>
        <v>45.899999999959029</v>
      </c>
      <c r="M168" s="577">
        <f>Speed!BC113</f>
        <v>45.899999999923445</v>
      </c>
      <c r="N168" s="577">
        <f>Speed!BD113</f>
        <v>45.899999999862132</v>
      </c>
      <c r="O168" s="577">
        <f>Speed!BE113</f>
        <v>45.899999999759743</v>
      </c>
      <c r="P168" s="577">
        <f>Speed!BF113</f>
        <v>45.89999999959322</v>
      </c>
      <c r="Q168" s="577">
        <f>Speed!BG113</f>
        <v>45.899999999196986</v>
      </c>
      <c r="R168" s="577">
        <f>Speed!BH113</f>
        <v>45.899999998481803</v>
      </c>
      <c r="S168" s="577">
        <f>Speed!BI113</f>
        <v>45.899999997237607</v>
      </c>
      <c r="T168" s="577">
        <f>Speed!BJ113</f>
        <v>45.899999995140554</v>
      </c>
      <c r="U168" s="577">
        <f>Speed!BK113</f>
        <v>45.899999991702529</v>
      </c>
      <c r="V168" s="577">
        <f>Speed!BL113</f>
        <v>45.899999988413725</v>
      </c>
      <c r="W168" s="577">
        <f>Speed!BM113</f>
        <v>45.899999986202268</v>
      </c>
      <c r="X168" s="577">
        <f>Speed!BN113</f>
        <v>45.899999983617917</v>
      </c>
      <c r="Y168" s="577">
        <f>Speed!BO113</f>
        <v>45.899999980605813</v>
      </c>
      <c r="Z168" s="577">
        <f>Speed!BP113</f>
        <v>45.899999977102709</v>
      </c>
      <c r="AA168" s="577">
        <f>Speed!BQ113</f>
        <v>45.899999973041687</v>
      </c>
      <c r="AB168" s="577">
        <f>Speed!BR113</f>
        <v>45.899999968341696</v>
      </c>
      <c r="AC168" s="577">
        <f>Speed!BS113</f>
        <v>45.89999996291882</v>
      </c>
      <c r="AD168" s="577">
        <f>Speed!BT113</f>
        <v>45.899999956673796</v>
      </c>
      <c r="AE168" s="577">
        <f>Speed!BU113</f>
        <v>45.899999949494799</v>
      </c>
      <c r="AF168" s="577">
        <f>Speed!BV113</f>
        <v>45.899999941265669</v>
      </c>
      <c r="AG168" s="725">
        <f>Speed!BW113</f>
        <v>45.899999931848868</v>
      </c>
      <c r="AH168" s="18"/>
      <c r="AI168" s="18"/>
      <c r="AJ168" s="18"/>
      <c r="AK168" s="18"/>
      <c r="AL168" s="18"/>
      <c r="AM168" s="18"/>
      <c r="AN168" s="18"/>
    </row>
    <row r="169" spans="2:40" ht="21.95" customHeight="1" x14ac:dyDescent="0.2">
      <c r="B169" s="182"/>
      <c r="C169" s="116"/>
      <c r="D169" s="240"/>
      <c r="E169" s="116"/>
      <c r="F169" s="116" t="s">
        <v>343</v>
      </c>
      <c r="G169" s="116" t="s">
        <v>350</v>
      </c>
      <c r="H169" s="577">
        <f>Speed!AX114</f>
        <v>45.899999999999032</v>
      </c>
      <c r="I169" s="577">
        <f>Speed!AY114</f>
        <v>45.899999999999032</v>
      </c>
      <c r="J169" s="577">
        <f>Speed!AZ114</f>
        <v>45.899999999998641</v>
      </c>
      <c r="K169" s="577">
        <f>Speed!BA114</f>
        <v>45.899999999998045</v>
      </c>
      <c r="L169" s="577">
        <f>Speed!BB114</f>
        <v>45.899999999996425</v>
      </c>
      <c r="M169" s="577">
        <f>Speed!BC114</f>
        <v>45.899999999993646</v>
      </c>
      <c r="N169" s="577">
        <f>Speed!BD114</f>
        <v>45.899999999989092</v>
      </c>
      <c r="O169" s="577">
        <f>Speed!BE114</f>
        <v>45.899999999981773</v>
      </c>
      <c r="P169" s="577">
        <f>Speed!BF114</f>
        <v>45.899999999970291</v>
      </c>
      <c r="Q169" s="577">
        <f>Speed!BG114</f>
        <v>45.899999999946075</v>
      </c>
      <c r="R169" s="577">
        <f>Speed!BH114</f>
        <v>45.899999999905319</v>
      </c>
      <c r="S169" s="577">
        <f>Speed!BI114</f>
        <v>45.899999999838734</v>
      </c>
      <c r="T169" s="577">
        <f>Speed!BJ114</f>
        <v>45.899999999732593</v>
      </c>
      <c r="U169" s="577">
        <f>Speed!BK114</f>
        <v>45.899999999567086</v>
      </c>
      <c r="V169" s="577">
        <f>Speed!BL114</f>
        <v>45.89999999941034</v>
      </c>
      <c r="W169" s="577">
        <f>Speed!BM114</f>
        <v>45.899999999294252</v>
      </c>
      <c r="X169" s="577">
        <f>Speed!BN114</f>
        <v>45.899999999157991</v>
      </c>
      <c r="Y169" s="577">
        <f>Speed!BO114</f>
        <v>45.899999998998474</v>
      </c>
      <c r="Z169" s="577">
        <f>Speed!BP114</f>
        <v>45.899999998812156</v>
      </c>
      <c r="AA169" s="577">
        <f>Speed!BQ114</f>
        <v>45.899999998595341</v>
      </c>
      <c r="AB169" s="577">
        <f>Speed!BR114</f>
        <v>45.899999998343375</v>
      </c>
      <c r="AC169" s="577">
        <f>Speed!BS114</f>
        <v>45.899999998051612</v>
      </c>
      <c r="AD169" s="577">
        <f>Speed!BT114</f>
        <v>45.899999997714396</v>
      </c>
      <c r="AE169" s="577">
        <f>Speed!BU114</f>
        <v>45.899999997325281</v>
      </c>
      <c r="AF169" s="577">
        <f>Speed!BV114</f>
        <v>45.899999996877817</v>
      </c>
      <c r="AG169" s="725">
        <f>Speed!BW114</f>
        <v>45.89999999636408</v>
      </c>
      <c r="AH169" s="18"/>
      <c r="AI169" s="18"/>
      <c r="AJ169" s="18"/>
      <c r="AK169" s="18"/>
      <c r="AL169" s="18"/>
      <c r="AM169" s="18"/>
      <c r="AN169" s="18"/>
    </row>
    <row r="170" spans="2:40" ht="21.95" customHeight="1" x14ac:dyDescent="0.2">
      <c r="B170" s="182"/>
      <c r="C170" s="116"/>
      <c r="D170" s="240"/>
      <c r="E170" s="116"/>
      <c r="F170" s="116" t="s">
        <v>350</v>
      </c>
      <c r="G170" s="116" t="s">
        <v>280</v>
      </c>
      <c r="H170" s="577">
        <f>Speed!AX115</f>
        <v>55.899999999999565</v>
      </c>
      <c r="I170" s="577">
        <f>Speed!AY115</f>
        <v>55.899999999999565</v>
      </c>
      <c r="J170" s="577">
        <f>Speed!AZ115</f>
        <v>55.899999999999388</v>
      </c>
      <c r="K170" s="577">
        <f>Speed!BA115</f>
        <v>55.899999999999132</v>
      </c>
      <c r="L170" s="577">
        <f>Speed!BB115</f>
        <v>55.8999999999984</v>
      </c>
      <c r="M170" s="577">
        <f>Speed!BC115</f>
        <v>55.899999999997156</v>
      </c>
      <c r="N170" s="577">
        <f>Speed!BD115</f>
        <v>55.899999999995117</v>
      </c>
      <c r="O170" s="577">
        <f>Speed!BE115</f>
        <v>55.899999999991842</v>
      </c>
      <c r="P170" s="577">
        <f>Speed!BF115</f>
        <v>55.899999999986704</v>
      </c>
      <c r="Q170" s="577">
        <f>Speed!BG115</f>
        <v>55.899999999975854</v>
      </c>
      <c r="R170" s="577">
        <f>Speed!BH115</f>
        <v>55.899999999957608</v>
      </c>
      <c r="S170" s="577">
        <f>Speed!BI115</f>
        <v>55.899999999927807</v>
      </c>
      <c r="T170" s="577">
        <f>Speed!BJ115</f>
        <v>55.899999999880293</v>
      </c>
      <c r="U170" s="577">
        <f>Speed!BK115</f>
        <v>55.899999999806205</v>
      </c>
      <c r="V170" s="577">
        <f>Speed!BL115</f>
        <v>55.899999999736039</v>
      </c>
      <c r="W170" s="577">
        <f>Speed!BM115</f>
        <v>55.89999999968407</v>
      </c>
      <c r="X170" s="577">
        <f>Speed!BN115</f>
        <v>55.899999999623077</v>
      </c>
      <c r="Y170" s="577">
        <f>Speed!BO115</f>
        <v>55.899999999551667</v>
      </c>
      <c r="Z170" s="577">
        <f>Speed!BP115</f>
        <v>55.899999999468257</v>
      </c>
      <c r="AA170" s="577">
        <f>Speed!BQ115</f>
        <v>55.89999999937119</v>
      </c>
      <c r="AB170" s="577">
        <f>Speed!BR115</f>
        <v>55.899999999258398</v>
      </c>
      <c r="AC170" s="577">
        <f>Speed!BS115</f>
        <v>55.8999999991278</v>
      </c>
      <c r="AD170" s="577">
        <f>Speed!BT115</f>
        <v>55.899999998976838</v>
      </c>
      <c r="AE170" s="577">
        <f>Speed!BU115</f>
        <v>55.899999998802656</v>
      </c>
      <c r="AF170" s="577">
        <f>Speed!BV115</f>
        <v>55.899999998602347</v>
      </c>
      <c r="AG170" s="725">
        <f>Speed!BW115</f>
        <v>55.899999998372365</v>
      </c>
      <c r="AH170" s="18"/>
      <c r="AI170" s="18"/>
      <c r="AJ170" s="18"/>
      <c r="AK170" s="18"/>
      <c r="AL170" s="18"/>
      <c r="AM170" s="18"/>
      <c r="AN170" s="18"/>
    </row>
    <row r="171" spans="2:40" ht="21.95" customHeight="1" thickBot="1" x14ac:dyDescent="0.25">
      <c r="B171" s="706"/>
      <c r="C171" s="124"/>
      <c r="D171" s="124"/>
      <c r="E171" s="278"/>
      <c r="F171" s="278" t="s">
        <v>280</v>
      </c>
      <c r="G171" s="278" t="s">
        <v>333</v>
      </c>
      <c r="H171" s="577">
        <f>Speed!AX116</f>
        <v>55.299999999286285</v>
      </c>
      <c r="I171" s="577">
        <f>Speed!AY116</f>
        <v>55.299999999286285</v>
      </c>
      <c r="J171" s="577">
        <f>Speed!AZ116</f>
        <v>55.299999998998686</v>
      </c>
      <c r="K171" s="577">
        <f>Speed!BA116</f>
        <v>55.299999998558043</v>
      </c>
      <c r="L171" s="577">
        <f>Speed!BB116</f>
        <v>55.299999997354604</v>
      </c>
      <c r="M171" s="577">
        <f>Speed!BC116</f>
        <v>55.29999999531092</v>
      </c>
      <c r="N171" s="577">
        <f>Speed!BD116</f>
        <v>55.299999991943551</v>
      </c>
      <c r="O171" s="577">
        <f>Speed!BE116</f>
        <v>55.29999998653912</v>
      </c>
      <c r="P171" s="577">
        <f>Speed!BF116</f>
        <v>55.299999978055403</v>
      </c>
      <c r="Q171" s="577">
        <f>Speed!BG116</f>
        <v>55.299999960166851</v>
      </c>
      <c r="R171" s="577">
        <f>Speed!BH116</f>
        <v>55.299999930060473</v>
      </c>
      <c r="S171" s="577">
        <f>Speed!BI116</f>
        <v>55.299999880875909</v>
      </c>
      <c r="T171" s="577">
        <f>Speed!BJ116</f>
        <v>55.299999802475199</v>
      </c>
      <c r="U171" s="577">
        <f>Speed!BK116</f>
        <v>55.299999680226129</v>
      </c>
      <c r="V171" s="577">
        <f>Speed!BL116</f>
        <v>55.299999564441158</v>
      </c>
      <c r="W171" s="577">
        <f>Speed!BM116</f>
        <v>55.299999478690616</v>
      </c>
      <c r="X171" s="577">
        <f>Speed!BN116</f>
        <v>55.299999378034443</v>
      </c>
      <c r="Y171" s="577">
        <f>Speed!BO116</f>
        <v>55.299999260212431</v>
      </c>
      <c r="Z171" s="577">
        <f>Speed!BP116</f>
        <v>55.29999912258387</v>
      </c>
      <c r="AA171" s="577">
        <f>Speed!BQ116</f>
        <v>55.299998962425725</v>
      </c>
      <c r="AB171" s="577">
        <f>Speed!BR116</f>
        <v>55.299998776304577</v>
      </c>
      <c r="AC171" s="577">
        <f>Speed!BS116</f>
        <v>55.299998560791103</v>
      </c>
      <c r="AD171" s="577">
        <f>Speed!BT116</f>
        <v>55.299998311699625</v>
      </c>
      <c r="AE171" s="577">
        <f>Speed!BU116</f>
        <v>55.299998024278878</v>
      </c>
      <c r="AF171" s="577">
        <f>Speed!BV116</f>
        <v>55.299997693751649</v>
      </c>
      <c r="AG171" s="725">
        <f>Speed!BW116</f>
        <v>55.299997314265312</v>
      </c>
      <c r="AH171" s="18"/>
      <c r="AI171" s="18"/>
      <c r="AJ171" s="18"/>
      <c r="AK171" s="18"/>
      <c r="AL171" s="18"/>
      <c r="AM171" s="18"/>
      <c r="AN171" s="18"/>
    </row>
    <row r="172" spans="2:40" ht="21.95" customHeight="1" x14ac:dyDescent="0.2">
      <c r="B172" s="182" t="s">
        <v>212</v>
      </c>
      <c r="C172" s="116" t="s">
        <v>156</v>
      </c>
      <c r="D172" s="240" t="s">
        <v>474</v>
      </c>
      <c r="E172" s="1340" t="s">
        <v>331</v>
      </c>
      <c r="F172" s="220" t="s">
        <v>332</v>
      </c>
      <c r="G172" s="220" t="s">
        <v>282</v>
      </c>
      <c r="H172" s="726">
        <f>H52/H114</f>
        <v>2535.1835655309692</v>
      </c>
      <c r="I172" s="726">
        <f t="shared" ref="I172:AG172" si="32">I52/I114</f>
        <v>2651.826763200153</v>
      </c>
      <c r="J172" s="726">
        <f t="shared" si="32"/>
        <v>2815.6295282129604</v>
      </c>
      <c r="K172" s="726">
        <f t="shared" si="32"/>
        <v>3055.9616946914398</v>
      </c>
      <c r="L172" s="726">
        <f t="shared" si="32"/>
        <v>3296.4636452231953</v>
      </c>
      <c r="M172" s="726">
        <f t="shared" si="32"/>
        <v>3537.1360134956217</v>
      </c>
      <c r="N172" s="726">
        <f t="shared" si="32"/>
        <v>3778.0178719680021</v>
      </c>
      <c r="O172" s="726">
        <f t="shared" si="32"/>
        <v>4019.6317121310763</v>
      </c>
      <c r="P172" s="726">
        <f t="shared" si="32"/>
        <v>4259.3313671031374</v>
      </c>
      <c r="Q172" s="726">
        <f t="shared" si="32"/>
        <v>4500.6392213697764</v>
      </c>
      <c r="R172" s="726">
        <f t="shared" si="32"/>
        <v>4744.4379569886978</v>
      </c>
      <c r="S172" s="726">
        <f t="shared" si="32"/>
        <v>4992.2675264409336</v>
      </c>
      <c r="T172" s="726">
        <f t="shared" si="32"/>
        <v>5246.560572283187</v>
      </c>
      <c r="U172" s="726">
        <f t="shared" si="32"/>
        <v>5423.921726424147</v>
      </c>
      <c r="V172" s="726">
        <f t="shared" si="32"/>
        <v>5555.8572162530882</v>
      </c>
      <c r="W172" s="726">
        <f t="shared" si="32"/>
        <v>5691.4184484021198</v>
      </c>
      <c r="X172" s="726">
        <f t="shared" si="32"/>
        <v>5831.3611283378568</v>
      </c>
      <c r="Y172" s="726">
        <f t="shared" si="32"/>
        <v>5976.6382670379198</v>
      </c>
      <c r="Z172" s="726">
        <f t="shared" si="32"/>
        <v>6128.1826468838944</v>
      </c>
      <c r="AA172" s="726">
        <f t="shared" si="32"/>
        <v>6287.3518594686157</v>
      </c>
      <c r="AB172" s="726">
        <f t="shared" si="32"/>
        <v>6455.45893234505</v>
      </c>
      <c r="AC172" s="726">
        <f t="shared" si="32"/>
        <v>6634.248989168429</v>
      </c>
      <c r="AD172" s="726">
        <f t="shared" si="32"/>
        <v>6825.7586192699709</v>
      </c>
      <c r="AE172" s="726">
        <f t="shared" si="32"/>
        <v>7032.100346153411</v>
      </c>
      <c r="AF172" s="726">
        <f t="shared" si="32"/>
        <v>7255.9720906305129</v>
      </c>
      <c r="AG172" s="727">
        <f t="shared" si="32"/>
        <v>7500.5031468879042</v>
      </c>
      <c r="AH172" s="18"/>
      <c r="AI172" s="18"/>
      <c r="AJ172" s="18"/>
      <c r="AK172" s="18"/>
      <c r="AL172" s="18"/>
      <c r="AM172" s="18"/>
      <c r="AN172" s="18"/>
    </row>
    <row r="173" spans="2:40" ht="21.95" customHeight="1" x14ac:dyDescent="0.2">
      <c r="B173" s="705" t="s">
        <v>483</v>
      </c>
      <c r="C173" s="715"/>
      <c r="D173" s="715"/>
      <c r="E173" s="1339"/>
      <c r="F173" s="116" t="s">
        <v>282</v>
      </c>
      <c r="G173" s="116" t="s">
        <v>280</v>
      </c>
      <c r="H173" s="577">
        <f t="shared" ref="H173:AG173" si="33">H53/H115</f>
        <v>81519.328148490531</v>
      </c>
      <c r="I173" s="577">
        <f t="shared" si="33"/>
        <v>86035.26350056204</v>
      </c>
      <c r="J173" s="577">
        <f t="shared" si="33"/>
        <v>91272.265929796355</v>
      </c>
      <c r="K173" s="577">
        <f t="shared" si="33"/>
        <v>101044.63736343663</v>
      </c>
      <c r="L173" s="577">
        <f t="shared" si="33"/>
        <v>110821.65000567405</v>
      </c>
      <c r="M173" s="577">
        <f t="shared" si="33"/>
        <v>120602.79101154594</v>
      </c>
      <c r="N173" s="577">
        <f t="shared" si="33"/>
        <v>130383.41352215597</v>
      </c>
      <c r="O173" s="577">
        <f t="shared" si="33"/>
        <v>140183.28034634003</v>
      </c>
      <c r="P173" s="577">
        <f t="shared" si="33"/>
        <v>151825.51214429908</v>
      </c>
      <c r="Q173" s="577">
        <f t="shared" si="33"/>
        <v>163525.6106710993</v>
      </c>
      <c r="R173" s="577">
        <f t="shared" si="33"/>
        <v>175327.62641511642</v>
      </c>
      <c r="S173" s="577">
        <f t="shared" si="33"/>
        <v>187324.01737216217</v>
      </c>
      <c r="T173" s="577">
        <f t="shared" si="33"/>
        <v>199678.09866521356</v>
      </c>
      <c r="U173" s="577">
        <f t="shared" si="33"/>
        <v>207455.60404794052</v>
      </c>
      <c r="V173" s="577">
        <f t="shared" si="33"/>
        <v>212584.47943674948</v>
      </c>
      <c r="W173" s="577">
        <f t="shared" si="33"/>
        <v>217860.60292839562</v>
      </c>
      <c r="X173" s="577">
        <f t="shared" si="33"/>
        <v>223315.07755458064</v>
      </c>
      <c r="Y173" s="577">
        <f t="shared" si="33"/>
        <v>228988.58717653566</v>
      </c>
      <c r="Z173" s="577">
        <f t="shared" si="33"/>
        <v>234916.99476370285</v>
      </c>
      <c r="AA173" s="577">
        <f t="shared" si="33"/>
        <v>241159.3454755834</v>
      </c>
      <c r="AB173" s="577">
        <f t="shared" si="33"/>
        <v>247767.14541060696</v>
      </c>
      <c r="AC173" s="577">
        <f t="shared" si="33"/>
        <v>254814.3315810221</v>
      </c>
      <c r="AD173" s="577">
        <f t="shared" si="33"/>
        <v>262387.54301432573</v>
      </c>
      <c r="AE173" s="577">
        <f t="shared" si="33"/>
        <v>270571.23658928479</v>
      </c>
      <c r="AF173" s="577">
        <f t="shared" si="33"/>
        <v>279479.77170693915</v>
      </c>
      <c r="AG173" s="725">
        <f t="shared" si="33"/>
        <v>289246.45852504345</v>
      </c>
      <c r="AH173" s="18"/>
      <c r="AI173" s="18"/>
      <c r="AJ173" s="18"/>
      <c r="AK173" s="18"/>
      <c r="AL173" s="18"/>
      <c r="AM173" s="18"/>
      <c r="AN173" s="18"/>
    </row>
    <row r="174" spans="2:40" ht="21.95" customHeight="1" x14ac:dyDescent="0.2">
      <c r="B174" s="705"/>
      <c r="C174" s="715"/>
      <c r="D174" s="715"/>
      <c r="E174" s="1339"/>
      <c r="F174" s="116" t="s">
        <v>280</v>
      </c>
      <c r="G174" s="116" t="s">
        <v>333</v>
      </c>
      <c r="H174" s="577">
        <f t="shared" ref="H174:AG174" si="34">H54/H116</f>
        <v>1901.3770612859432</v>
      </c>
      <c r="I174" s="577">
        <f t="shared" si="34"/>
        <v>1980.7757318859558</v>
      </c>
      <c r="J174" s="577">
        <f t="shared" si="34"/>
        <v>2079.0459022437594</v>
      </c>
      <c r="K174" s="577">
        <f t="shared" si="34"/>
        <v>2211.3516551536568</v>
      </c>
      <c r="L174" s="577">
        <f t="shared" si="34"/>
        <v>2343.7062854027677</v>
      </c>
      <c r="M174" s="577">
        <f t="shared" si="34"/>
        <v>2476.04733001877</v>
      </c>
      <c r="N174" s="577">
        <f t="shared" si="34"/>
        <v>2608.3603791859482</v>
      </c>
      <c r="O174" s="577">
        <f t="shared" si="34"/>
        <v>2740.7744040097086</v>
      </c>
      <c r="P174" s="577">
        <f t="shared" si="34"/>
        <v>2869.0770520663455</v>
      </c>
      <c r="Q174" s="577">
        <f t="shared" si="34"/>
        <v>2997.4402637763669</v>
      </c>
      <c r="R174" s="577">
        <f t="shared" si="34"/>
        <v>3125.7752041602062</v>
      </c>
      <c r="S174" s="577">
        <f t="shared" si="34"/>
        <v>3254.1382237659154</v>
      </c>
      <c r="T174" s="577">
        <f t="shared" si="34"/>
        <v>3382.6367184104665</v>
      </c>
      <c r="U174" s="577">
        <f t="shared" si="34"/>
        <v>3476.9601656816526</v>
      </c>
      <c r="V174" s="577">
        <f t="shared" si="34"/>
        <v>3556.4948115410766</v>
      </c>
      <c r="W174" s="577">
        <f t="shared" si="34"/>
        <v>3636.0635531270418</v>
      </c>
      <c r="X174" s="577">
        <f t="shared" si="34"/>
        <v>3715.6738818618242</v>
      </c>
      <c r="Y174" s="577">
        <f t="shared" si="34"/>
        <v>3795.3665240342293</v>
      </c>
      <c r="Z174" s="577">
        <f t="shared" si="34"/>
        <v>3875.0884773649409</v>
      </c>
      <c r="AA174" s="577">
        <f t="shared" si="34"/>
        <v>3954.9159008037809</v>
      </c>
      <c r="AB174" s="577">
        <f t="shared" si="34"/>
        <v>4034.7998415778825</v>
      </c>
      <c r="AC174" s="577">
        <f t="shared" si="34"/>
        <v>4114.789438801492</v>
      </c>
      <c r="AD174" s="577">
        <f t="shared" si="34"/>
        <v>4194.9369536161057</v>
      </c>
      <c r="AE174" s="577">
        <f t="shared" si="34"/>
        <v>4275.2020817543125</v>
      </c>
      <c r="AF174" s="577">
        <f t="shared" si="34"/>
        <v>4355.6442788471195</v>
      </c>
      <c r="AG174" s="725">
        <f t="shared" si="34"/>
        <v>4436.3276957293938</v>
      </c>
      <c r="AH174" s="18"/>
      <c r="AI174" s="18"/>
      <c r="AJ174" s="18"/>
      <c r="AK174" s="18"/>
      <c r="AL174" s="18"/>
      <c r="AM174" s="18"/>
      <c r="AN174" s="18"/>
    </row>
    <row r="175" spans="2:40" ht="21.95" customHeight="1" x14ac:dyDescent="0.2">
      <c r="B175" s="705"/>
      <c r="C175" s="715"/>
      <c r="D175" s="715"/>
      <c r="E175" s="1340" t="s">
        <v>280</v>
      </c>
      <c r="F175" s="220" t="s">
        <v>281</v>
      </c>
      <c r="G175" s="220" t="s">
        <v>335</v>
      </c>
      <c r="H175" s="583">
        <f t="shared" ref="H175:AF175" si="35">H55/H117</f>
        <v>20851.391313689561</v>
      </c>
      <c r="I175" s="583">
        <f t="shared" si="35"/>
        <v>23138.682577072981</v>
      </c>
      <c r="J175" s="583">
        <f t="shared" si="35"/>
        <v>25577.766981448331</v>
      </c>
      <c r="K175" s="583">
        <f t="shared" si="35"/>
        <v>33886.93135584284</v>
      </c>
      <c r="L175" s="583">
        <f t="shared" si="35"/>
        <v>49119.574080549173</v>
      </c>
      <c r="M175" s="583">
        <f t="shared" si="35"/>
        <v>103859.76599886066</v>
      </c>
      <c r="N175" s="583">
        <f t="shared" si="35"/>
        <v>328869.0537776</v>
      </c>
      <c r="O175" s="583">
        <f t="shared" si="35"/>
        <v>373169.44045360002</v>
      </c>
      <c r="P175" s="583">
        <f t="shared" si="35"/>
        <v>432616.98110959993</v>
      </c>
      <c r="Q175" s="583">
        <f t="shared" si="35"/>
        <v>492090.87812359986</v>
      </c>
      <c r="R175" s="583">
        <f t="shared" si="35"/>
        <v>551538.41877960006</v>
      </c>
      <c r="S175" s="583">
        <f t="shared" si="35"/>
        <v>610985.95943560009</v>
      </c>
      <c r="T175" s="583">
        <f t="shared" si="35"/>
        <v>670511.01879160013</v>
      </c>
      <c r="U175" s="583">
        <f t="shared" si="35"/>
        <v>699972.77591359988</v>
      </c>
      <c r="V175" s="583">
        <f t="shared" si="35"/>
        <v>713505.99055960006</v>
      </c>
      <c r="W175" s="583">
        <f t="shared" si="35"/>
        <v>727039.20520560001</v>
      </c>
      <c r="X175" s="583">
        <f t="shared" si="35"/>
        <v>740572.41985160008</v>
      </c>
      <c r="Y175" s="583">
        <f t="shared" si="35"/>
        <v>754127.33973359992</v>
      </c>
      <c r="Z175" s="583">
        <f t="shared" si="35"/>
        <v>767660.55437959987</v>
      </c>
      <c r="AA175" s="583">
        <f t="shared" si="35"/>
        <v>781215.47426159994</v>
      </c>
      <c r="AB175" s="583">
        <f t="shared" si="35"/>
        <v>794748.68890760012</v>
      </c>
      <c r="AC175" s="583">
        <f t="shared" si="35"/>
        <v>808281.90355360007</v>
      </c>
      <c r="AD175" s="583">
        <f t="shared" si="35"/>
        <v>821836.82343560015</v>
      </c>
      <c r="AE175" s="583">
        <f t="shared" si="35"/>
        <v>835370.0380816001</v>
      </c>
      <c r="AF175" s="583">
        <f t="shared" si="35"/>
        <v>848903.25272759981</v>
      </c>
      <c r="AG175" s="728">
        <f>AG55/AG117</f>
        <v>862458.17260960001</v>
      </c>
      <c r="AH175" s="18"/>
      <c r="AI175" s="18"/>
      <c r="AJ175" s="18"/>
      <c r="AK175" s="18"/>
      <c r="AL175" s="18"/>
      <c r="AM175" s="18"/>
      <c r="AN175" s="18"/>
    </row>
    <row r="176" spans="2:40" ht="21.95" customHeight="1" x14ac:dyDescent="0.2">
      <c r="B176" s="705"/>
      <c r="C176" s="715"/>
      <c r="D176" s="715"/>
      <c r="E176" s="1339"/>
      <c r="F176" s="116" t="s">
        <v>335</v>
      </c>
      <c r="G176" s="116" t="s">
        <v>323</v>
      </c>
      <c r="H176" s="577">
        <f t="shared" ref="H176:AG176" si="36">H56/H118</f>
        <v>2902.3081039318445</v>
      </c>
      <c r="I176" s="577">
        <f t="shared" si="36"/>
        <v>3287.99074632053</v>
      </c>
      <c r="J176" s="577">
        <f t="shared" si="36"/>
        <v>3673.9481367760609</v>
      </c>
      <c r="K176" s="577">
        <f t="shared" si="36"/>
        <v>4981.5023241169456</v>
      </c>
      <c r="L176" s="577">
        <f t="shared" si="36"/>
        <v>6310.4831154541234</v>
      </c>
      <c r="M176" s="577">
        <f t="shared" si="36"/>
        <v>7791.9879833542727</v>
      </c>
      <c r="N176" s="577">
        <f t="shared" si="36"/>
        <v>10040.144772019372</v>
      </c>
      <c r="O176" s="577">
        <f t="shared" si="36"/>
        <v>15360.468213476928</v>
      </c>
      <c r="P176" s="577">
        <f t="shared" si="36"/>
        <v>49350.223228726216</v>
      </c>
      <c r="Q176" s="577">
        <f t="shared" si="36"/>
        <v>70381.831640000019</v>
      </c>
      <c r="R176" s="577">
        <f t="shared" si="36"/>
        <v>80315.000040000014</v>
      </c>
      <c r="S176" s="577">
        <f t="shared" si="36"/>
        <v>90248.288159999996</v>
      </c>
      <c r="T176" s="577">
        <f t="shared" si="36"/>
        <v>100191.27360000001</v>
      </c>
      <c r="U176" s="577">
        <f t="shared" si="36"/>
        <v>105566.70160000003</v>
      </c>
      <c r="V176" s="577">
        <f t="shared" si="36"/>
        <v>107475.75671999999</v>
      </c>
      <c r="W176" s="577">
        <f t="shared" si="36"/>
        <v>109384.81184000001</v>
      </c>
      <c r="X176" s="577">
        <f t="shared" si="36"/>
        <v>111293.86696000004</v>
      </c>
      <c r="Y176" s="577">
        <f t="shared" si="36"/>
        <v>113204.11928000003</v>
      </c>
      <c r="Z176" s="577">
        <f t="shared" si="36"/>
        <v>115113.17440000002</v>
      </c>
      <c r="AA176" s="577">
        <f t="shared" si="36"/>
        <v>117023.42672000002</v>
      </c>
      <c r="AB176" s="577">
        <f t="shared" si="36"/>
        <v>118932.48183999999</v>
      </c>
      <c r="AC176" s="577">
        <f t="shared" si="36"/>
        <v>120841.53696000001</v>
      </c>
      <c r="AD176" s="577">
        <f t="shared" si="36"/>
        <v>122751.78928000003</v>
      </c>
      <c r="AE176" s="577">
        <f t="shared" si="36"/>
        <v>124660.84440000002</v>
      </c>
      <c r="AF176" s="577">
        <f t="shared" si="36"/>
        <v>126569.89952000001</v>
      </c>
      <c r="AG176" s="725">
        <f t="shared" si="36"/>
        <v>128480.15183999999</v>
      </c>
      <c r="AH176" s="18"/>
      <c r="AI176" s="18"/>
      <c r="AJ176" s="18"/>
      <c r="AK176" s="18"/>
      <c r="AL176" s="18"/>
      <c r="AM176" s="18"/>
      <c r="AN176" s="18"/>
    </row>
    <row r="177" spans="2:40" ht="21.95" customHeight="1" x14ac:dyDescent="0.2">
      <c r="B177" s="705"/>
      <c r="C177" s="715"/>
      <c r="D177" s="715"/>
      <c r="E177" s="1353"/>
      <c r="F177" s="254" t="s">
        <v>323</v>
      </c>
      <c r="G177" s="254" t="s">
        <v>338</v>
      </c>
      <c r="H177" s="587">
        <f t="shared" ref="H177:AG177" si="37">H57/H119</f>
        <v>41642.382214759615</v>
      </c>
      <c r="I177" s="587">
        <f t="shared" si="37"/>
        <v>43497.948858047195</v>
      </c>
      <c r="J177" s="587">
        <f t="shared" si="37"/>
        <v>45499.329036762094</v>
      </c>
      <c r="K177" s="587">
        <f t="shared" si="37"/>
        <v>50016.189855564618</v>
      </c>
      <c r="L177" s="587">
        <f t="shared" si="37"/>
        <v>55901.839666895517</v>
      </c>
      <c r="M177" s="587">
        <f t="shared" si="37"/>
        <v>64144.873352789917</v>
      </c>
      <c r="N177" s="587">
        <f t="shared" si="37"/>
        <v>76331.183652994994</v>
      </c>
      <c r="O177" s="587">
        <f t="shared" si="37"/>
        <v>94964.163789362094</v>
      </c>
      <c r="P177" s="587">
        <f t="shared" si="37"/>
        <v>138892.59877491533</v>
      </c>
      <c r="Q177" s="587">
        <f t="shared" si="37"/>
        <v>219379.75163088529</v>
      </c>
      <c r="R177" s="587">
        <f t="shared" si="37"/>
        <v>334023.68457599997</v>
      </c>
      <c r="S177" s="587">
        <f t="shared" si="37"/>
        <v>353298.08259680012</v>
      </c>
      <c r="T177" s="587">
        <f t="shared" si="37"/>
        <v>372589.48564640008</v>
      </c>
      <c r="U177" s="587">
        <f t="shared" si="37"/>
        <v>385123.47527039994</v>
      </c>
      <c r="V177" s="587">
        <f t="shared" si="37"/>
        <v>392263.34141920012</v>
      </c>
      <c r="W177" s="587">
        <f t="shared" si="37"/>
        <v>399403.20756800001</v>
      </c>
      <c r="X177" s="587">
        <f t="shared" si="37"/>
        <v>406543.07371680008</v>
      </c>
      <c r="Y177" s="587">
        <f t="shared" si="37"/>
        <v>413687.43176000012</v>
      </c>
      <c r="Z177" s="587">
        <f t="shared" si="37"/>
        <v>420827.29790880001</v>
      </c>
      <c r="AA177" s="587">
        <f t="shared" si="37"/>
        <v>427971.65595200006</v>
      </c>
      <c r="AB177" s="587">
        <f t="shared" si="37"/>
        <v>435111.52210080001</v>
      </c>
      <c r="AC177" s="587">
        <f t="shared" si="37"/>
        <v>442251.38824960002</v>
      </c>
      <c r="AD177" s="587">
        <f t="shared" si="37"/>
        <v>449395.74629280006</v>
      </c>
      <c r="AE177" s="587">
        <f t="shared" si="37"/>
        <v>456535.61244160013</v>
      </c>
      <c r="AF177" s="587">
        <f t="shared" si="37"/>
        <v>463675.47859040013</v>
      </c>
      <c r="AG177" s="729">
        <f t="shared" si="37"/>
        <v>470819.83663360012</v>
      </c>
      <c r="AH177" s="18"/>
      <c r="AI177" s="18"/>
      <c r="AJ177" s="18"/>
      <c r="AK177" s="18"/>
      <c r="AL177" s="18"/>
      <c r="AM177" s="18"/>
      <c r="AN177" s="18"/>
    </row>
    <row r="178" spans="2:40" ht="21.95" customHeight="1" x14ac:dyDescent="0.2">
      <c r="B178" s="705"/>
      <c r="C178" s="715"/>
      <c r="D178" s="715"/>
      <c r="E178" s="116" t="s">
        <v>339</v>
      </c>
      <c r="F178" s="116" t="s">
        <v>335</v>
      </c>
      <c r="G178" s="116" t="s">
        <v>323</v>
      </c>
      <c r="H178" s="577">
        <f t="shared" ref="H178:AG178" si="38">H58/H120</f>
        <v>277.18423645320195</v>
      </c>
      <c r="I178" s="577">
        <f t="shared" si="38"/>
        <v>448.76127881773397</v>
      </c>
      <c r="J178" s="577">
        <f t="shared" si="38"/>
        <v>1280.3139881773398</v>
      </c>
      <c r="K178" s="577">
        <f t="shared" si="38"/>
        <v>2706.981253201971</v>
      </c>
      <c r="L178" s="577">
        <f t="shared" si="38"/>
        <v>4134.7572551724215</v>
      </c>
      <c r="M178" s="577">
        <f t="shared" si="38"/>
        <v>5561.978888670159</v>
      </c>
      <c r="N178" s="577">
        <f t="shared" si="38"/>
        <v>6988.6461536971474</v>
      </c>
      <c r="O178" s="577">
        <f t="shared" si="38"/>
        <v>8417.5308926306843</v>
      </c>
      <c r="P178" s="577">
        <f t="shared" si="38"/>
        <v>9185.0540434015838</v>
      </c>
      <c r="Q178" s="577">
        <f t="shared" si="38"/>
        <v>9953.6859311599383</v>
      </c>
      <c r="R178" s="577">
        <f t="shared" si="38"/>
        <v>10721.486266293959</v>
      </c>
      <c r="S178" s="577">
        <f t="shared" si="38"/>
        <v>11489.009417356603</v>
      </c>
      <c r="T178" s="577">
        <f t="shared" si="38"/>
        <v>12258.472858383013</v>
      </c>
      <c r="U178" s="577">
        <f t="shared" si="38"/>
        <v>12430.049900952421</v>
      </c>
      <c r="V178" s="577">
        <f t="shared" si="38"/>
        <v>12601.626943552159</v>
      </c>
      <c r="W178" s="577">
        <f t="shared" si="38"/>
        <v>12773.203986186183</v>
      </c>
      <c r="X178" s="577">
        <f t="shared" si="38"/>
        <v>12944.781028858954</v>
      </c>
      <c r="Y178" s="577">
        <f t="shared" si="38"/>
        <v>13117.18962428659</v>
      </c>
      <c r="Z178" s="577">
        <f t="shared" si="38"/>
        <v>13288.766667052472</v>
      </c>
      <c r="AA178" s="577">
        <f t="shared" si="38"/>
        <v>13461.175262585379</v>
      </c>
      <c r="AB178" s="577">
        <f t="shared" si="38"/>
        <v>13632.752305468959</v>
      </c>
      <c r="AC178" s="577">
        <f t="shared" si="38"/>
        <v>13804.32934842215</v>
      </c>
      <c r="AD178" s="577">
        <f t="shared" si="38"/>
        <v>13976.737944166031</v>
      </c>
      <c r="AE178" s="577">
        <f t="shared" si="38"/>
        <v>14148.314987284619</v>
      </c>
      <c r="AF178" s="577">
        <f t="shared" si="38"/>
        <v>14319.892030500419</v>
      </c>
      <c r="AG178" s="725">
        <f t="shared" si="38"/>
        <v>14492.300626538861</v>
      </c>
      <c r="AH178" s="18"/>
      <c r="AI178" s="18"/>
      <c r="AJ178" s="18"/>
      <c r="AK178" s="18"/>
      <c r="AL178" s="18"/>
      <c r="AM178" s="18"/>
      <c r="AN178" s="18"/>
    </row>
    <row r="179" spans="2:40" ht="21.95" customHeight="1" x14ac:dyDescent="0.2">
      <c r="B179" s="705"/>
      <c r="C179" s="715"/>
      <c r="D179" s="715"/>
      <c r="E179" s="1340" t="s">
        <v>323</v>
      </c>
      <c r="F179" s="220" t="s">
        <v>282</v>
      </c>
      <c r="G179" s="220" t="s">
        <v>339</v>
      </c>
      <c r="H179" s="583">
        <f t="shared" ref="H179:AG179" si="39">H59/H121</f>
        <v>796.16748768472905</v>
      </c>
      <c r="I179" s="583">
        <f t="shared" si="39"/>
        <v>796.16748768472905</v>
      </c>
      <c r="J179" s="583">
        <f t="shared" si="39"/>
        <v>9315.9557888700438</v>
      </c>
      <c r="K179" s="583">
        <f t="shared" si="39"/>
        <v>17835.763657532934</v>
      </c>
      <c r="L179" s="583">
        <f t="shared" si="39"/>
        <v>26364.13965506024</v>
      </c>
      <c r="M179" s="583">
        <f t="shared" si="39"/>
        <v>34913.869483403359</v>
      </c>
      <c r="N179" s="583">
        <f t="shared" si="39"/>
        <v>43749.534517719461</v>
      </c>
      <c r="O179" s="583">
        <f t="shared" si="39"/>
        <v>54426.972955516794</v>
      </c>
      <c r="P179" s="583">
        <f t="shared" si="39"/>
        <v>54426.972955516794</v>
      </c>
      <c r="Q179" s="583">
        <f t="shared" si="39"/>
        <v>54426.972955516794</v>
      </c>
      <c r="R179" s="583">
        <f t="shared" si="39"/>
        <v>54426.972955516794</v>
      </c>
      <c r="S179" s="583">
        <f t="shared" si="39"/>
        <v>54426.972955516794</v>
      </c>
      <c r="T179" s="583">
        <f t="shared" si="39"/>
        <v>54426.972955516794</v>
      </c>
      <c r="U179" s="583">
        <f t="shared" si="39"/>
        <v>54426.972955516794</v>
      </c>
      <c r="V179" s="583">
        <f t="shared" si="39"/>
        <v>54426.972955516794</v>
      </c>
      <c r="W179" s="583">
        <f t="shared" si="39"/>
        <v>54426.972955516794</v>
      </c>
      <c r="X179" s="583">
        <f t="shared" si="39"/>
        <v>54426.972955516794</v>
      </c>
      <c r="Y179" s="583">
        <f t="shared" si="39"/>
        <v>54426.972955516794</v>
      </c>
      <c r="Z179" s="583">
        <f t="shared" si="39"/>
        <v>54426.972955516794</v>
      </c>
      <c r="AA179" s="583">
        <f t="shared" si="39"/>
        <v>54426.972955516794</v>
      </c>
      <c r="AB179" s="583">
        <f t="shared" si="39"/>
        <v>54426.972955516794</v>
      </c>
      <c r="AC179" s="583">
        <f t="shared" si="39"/>
        <v>54426.972955516794</v>
      </c>
      <c r="AD179" s="583">
        <f t="shared" si="39"/>
        <v>54426.972955516794</v>
      </c>
      <c r="AE179" s="583">
        <f t="shared" si="39"/>
        <v>54426.972955516794</v>
      </c>
      <c r="AF179" s="583">
        <f t="shared" si="39"/>
        <v>54426.972955516794</v>
      </c>
      <c r="AG179" s="728">
        <f t="shared" si="39"/>
        <v>54426.972955516794</v>
      </c>
      <c r="AH179" s="18"/>
      <c r="AI179" s="18"/>
      <c r="AJ179" s="18"/>
      <c r="AK179" s="18"/>
      <c r="AL179" s="18"/>
      <c r="AM179" s="18"/>
      <c r="AN179" s="18"/>
    </row>
    <row r="180" spans="2:40" ht="21.95" customHeight="1" x14ac:dyDescent="0.2">
      <c r="B180" s="705"/>
      <c r="C180" s="715"/>
      <c r="D180" s="715"/>
      <c r="E180" s="1339"/>
      <c r="F180" s="116" t="s">
        <v>339</v>
      </c>
      <c r="G180" s="116" t="s">
        <v>288</v>
      </c>
      <c r="H180" s="577">
        <f t="shared" ref="H180:AG180" si="40">H60/H122</f>
        <v>199.85777777777781</v>
      </c>
      <c r="I180" s="577">
        <f t="shared" si="40"/>
        <v>379.7297777777992</v>
      </c>
      <c r="J180" s="577">
        <f t="shared" si="40"/>
        <v>559.60177777929755</v>
      </c>
      <c r="K180" s="577">
        <f t="shared" si="40"/>
        <v>1217.3155633991123</v>
      </c>
      <c r="L180" s="577">
        <f t="shared" si="40"/>
        <v>1874.1217922299945</v>
      </c>
      <c r="M180" s="577">
        <f t="shared" si="40"/>
        <v>2532.7679184813678</v>
      </c>
      <c r="N180" s="577">
        <f t="shared" si="40"/>
        <v>3190.7712724612443</v>
      </c>
      <c r="O180" s="577">
        <f t="shared" si="40"/>
        <v>3850.6416836525091</v>
      </c>
      <c r="P180" s="577">
        <f t="shared" si="40"/>
        <v>5035.1540962404179</v>
      </c>
      <c r="Q180" s="577">
        <f t="shared" si="40"/>
        <v>6552.3868987423739</v>
      </c>
      <c r="R180" s="577">
        <f t="shared" si="40"/>
        <v>10012.27755784669</v>
      </c>
      <c r="S180" s="577">
        <f t="shared" si="40"/>
        <v>22043.169110319803</v>
      </c>
      <c r="T180" s="577">
        <f t="shared" si="40"/>
        <v>64851.454323394479</v>
      </c>
      <c r="U180" s="577">
        <f t="shared" si="40"/>
        <v>75504.051840000015</v>
      </c>
      <c r="V180" s="577">
        <f t="shared" si="40"/>
        <v>76824.802880000003</v>
      </c>
      <c r="W180" s="577">
        <f t="shared" si="40"/>
        <v>78152.25824000001</v>
      </c>
      <c r="X180" s="577">
        <f t="shared" si="40"/>
        <v>79479.713600000003</v>
      </c>
      <c r="Y180" s="577">
        <f t="shared" si="40"/>
        <v>80807.16896000001</v>
      </c>
      <c r="Z180" s="577">
        <f t="shared" si="40"/>
        <v>82134.624320000017</v>
      </c>
      <c r="AA180" s="577">
        <f t="shared" si="40"/>
        <v>83462.079679999995</v>
      </c>
      <c r="AB180" s="577">
        <f t="shared" si="40"/>
        <v>84789.535040000017</v>
      </c>
      <c r="AC180" s="577">
        <f t="shared" si="40"/>
        <v>86116.990400000024</v>
      </c>
      <c r="AD180" s="577">
        <f t="shared" si="40"/>
        <v>87437.741440000013</v>
      </c>
      <c r="AE180" s="577">
        <f t="shared" si="40"/>
        <v>88765.19680000002</v>
      </c>
      <c r="AF180" s="577">
        <f t="shared" si="40"/>
        <v>90092.652160000012</v>
      </c>
      <c r="AG180" s="725">
        <f t="shared" si="40"/>
        <v>91420.10752000002</v>
      </c>
      <c r="AH180" s="18"/>
      <c r="AI180" s="18"/>
      <c r="AJ180" s="18"/>
      <c r="AK180" s="18"/>
      <c r="AL180" s="18"/>
      <c r="AM180" s="18"/>
      <c r="AN180" s="18"/>
    </row>
    <row r="181" spans="2:40" ht="21.95" customHeight="1" x14ac:dyDescent="0.2">
      <c r="B181" s="705"/>
      <c r="C181" s="715"/>
      <c r="D181" s="715"/>
      <c r="E181" s="1339"/>
      <c r="F181" s="116" t="s">
        <v>288</v>
      </c>
      <c r="G181" s="116" t="s">
        <v>340</v>
      </c>
      <c r="H181" s="577">
        <f t="shared" ref="H181:AG181" si="41">H61/H123</f>
        <v>637.92408759124089</v>
      </c>
      <c r="I181" s="577">
        <f t="shared" si="41"/>
        <v>1211.7793326520682</v>
      </c>
      <c r="J181" s="577">
        <f t="shared" si="41"/>
        <v>1785.4432004866185</v>
      </c>
      <c r="K181" s="577">
        <f t="shared" si="41"/>
        <v>3884.1496562531652</v>
      </c>
      <c r="L181" s="577">
        <f t="shared" si="41"/>
        <v>5982.9411685788173</v>
      </c>
      <c r="M181" s="577">
        <f t="shared" si="41"/>
        <v>8084.411962436985</v>
      </c>
      <c r="N181" s="577">
        <f t="shared" si="41"/>
        <v>10183.118422789375</v>
      </c>
      <c r="O181" s="577">
        <f t="shared" si="41"/>
        <v>12283.100760912954</v>
      </c>
      <c r="P181" s="577">
        <f t="shared" si="41"/>
        <v>15932.601319341931</v>
      </c>
      <c r="Q181" s="577">
        <f t="shared" si="41"/>
        <v>19580.618673013152</v>
      </c>
      <c r="R181" s="577">
        <f t="shared" si="41"/>
        <v>23229.87888509177</v>
      </c>
      <c r="S181" s="577">
        <f t="shared" si="41"/>
        <v>26879.551258893764</v>
      </c>
      <c r="T181" s="577">
        <f t="shared" si="41"/>
        <v>30532.369765273503</v>
      </c>
      <c r="U181" s="577">
        <f t="shared" si="41"/>
        <v>32656.319332011404</v>
      </c>
      <c r="V181" s="577">
        <f t="shared" si="41"/>
        <v>33230.562350591943</v>
      </c>
      <c r="W181" s="577">
        <f t="shared" si="41"/>
        <v>33804.87845260305</v>
      </c>
      <c r="X181" s="577">
        <f t="shared" si="41"/>
        <v>34379.279809471293</v>
      </c>
      <c r="Y181" s="577">
        <f t="shared" si="41"/>
        <v>34953.588751611809</v>
      </c>
      <c r="Z181" s="577">
        <f t="shared" si="41"/>
        <v>35528.204391041116</v>
      </c>
      <c r="AA181" s="577">
        <f t="shared" si="41"/>
        <v>36102.761619493394</v>
      </c>
      <c r="AB181" s="577">
        <f t="shared" si="41"/>
        <v>36677.664452799181</v>
      </c>
      <c r="AC181" s="577">
        <f t="shared" si="41"/>
        <v>37252.744711755709</v>
      </c>
      <c r="AD181" s="577">
        <f t="shared" si="41"/>
        <v>37827.837107111118</v>
      </c>
      <c r="AE181" s="577">
        <f t="shared" si="41"/>
        <v>38403.355427400886</v>
      </c>
      <c r="AF181" s="577">
        <f t="shared" si="41"/>
        <v>38979.141825002545</v>
      </c>
      <c r="AG181" s="725">
        <f t="shared" si="41"/>
        <v>39555.042404584252</v>
      </c>
      <c r="AH181" s="18"/>
      <c r="AI181" s="18"/>
      <c r="AJ181" s="18"/>
      <c r="AK181" s="18"/>
      <c r="AL181" s="18"/>
      <c r="AM181" s="18"/>
      <c r="AN181" s="18"/>
    </row>
    <row r="182" spans="2:40" ht="21.95" customHeight="1" x14ac:dyDescent="0.2">
      <c r="B182" s="705"/>
      <c r="C182" s="715"/>
      <c r="D182" s="715"/>
      <c r="E182" s="1353"/>
      <c r="F182" s="254" t="s">
        <v>340</v>
      </c>
      <c r="G182" s="254" t="s">
        <v>280</v>
      </c>
      <c r="H182" s="587">
        <f t="shared" ref="H182:AG182" si="42">H62/H124</f>
        <v>917.56204379562053</v>
      </c>
      <c r="I182" s="587">
        <f t="shared" si="42"/>
        <v>1742.9702729927005</v>
      </c>
      <c r="J182" s="587">
        <f t="shared" si="42"/>
        <v>2568.1032335766427</v>
      </c>
      <c r="K182" s="587">
        <f t="shared" si="42"/>
        <v>5586.790601460033</v>
      </c>
      <c r="L182" s="587">
        <f t="shared" si="42"/>
        <v>8605.6003109695321</v>
      </c>
      <c r="M182" s="587">
        <f t="shared" si="42"/>
        <v>11628.263781587446</v>
      </c>
      <c r="N182" s="587">
        <f t="shared" si="42"/>
        <v>14646.951156066913</v>
      </c>
      <c r="O182" s="587">
        <f t="shared" si="42"/>
        <v>17667.473697203564</v>
      </c>
      <c r="P182" s="587">
        <f t="shared" si="42"/>
        <v>22916.755322341134</v>
      </c>
      <c r="Q182" s="587">
        <f t="shared" si="42"/>
        <v>28163.903570772341</v>
      </c>
      <c r="R182" s="587">
        <f t="shared" si="42"/>
        <v>33412.839492255291</v>
      </c>
      <c r="S182" s="587">
        <f t="shared" si="42"/>
        <v>38662.368249093779</v>
      </c>
      <c r="T182" s="587">
        <f t="shared" si="42"/>
        <v>43916.422265119421</v>
      </c>
      <c r="U182" s="587">
        <f t="shared" si="42"/>
        <v>46971.418217276674</v>
      </c>
      <c r="V182" s="587">
        <f t="shared" si="42"/>
        <v>47797.384202906222</v>
      </c>
      <c r="W182" s="587">
        <f t="shared" si="42"/>
        <v>48623.455308538636</v>
      </c>
      <c r="X182" s="587">
        <f t="shared" si="42"/>
        <v>49449.64904102037</v>
      </c>
      <c r="Y182" s="587">
        <f t="shared" si="42"/>
        <v>50275.709848208775</v>
      </c>
      <c r="Z182" s="587">
        <f t="shared" si="42"/>
        <v>51102.211795333111</v>
      </c>
      <c r="AA182" s="587">
        <f t="shared" si="42"/>
        <v>51928.629726668594</v>
      </c>
      <c r="AB182" s="587">
        <f t="shared" si="42"/>
        <v>52755.544760875542</v>
      </c>
      <c r="AC182" s="587">
        <f t="shared" si="42"/>
        <v>53582.714996360955</v>
      </c>
      <c r="AD182" s="587">
        <f t="shared" si="42"/>
        <v>54409.902688310503</v>
      </c>
      <c r="AE182" s="587">
        <f t="shared" si="42"/>
        <v>55237.703012014979</v>
      </c>
      <c r="AF182" s="587">
        <f t="shared" si="42"/>
        <v>56065.888926373525</v>
      </c>
      <c r="AG182" s="729">
        <f t="shared" si="42"/>
        <v>56894.239075086945</v>
      </c>
      <c r="AH182" s="18"/>
      <c r="AI182" s="18"/>
      <c r="AJ182" s="18"/>
      <c r="AK182" s="18"/>
      <c r="AL182" s="18"/>
      <c r="AM182" s="18"/>
      <c r="AN182" s="18"/>
    </row>
    <row r="183" spans="2:40" ht="21.95" customHeight="1" x14ac:dyDescent="0.2">
      <c r="B183" s="705"/>
      <c r="C183" s="715"/>
      <c r="D183" s="715"/>
      <c r="E183" s="1340" t="s">
        <v>334</v>
      </c>
      <c r="F183" s="116" t="s">
        <v>336</v>
      </c>
      <c r="G183" s="116" t="s">
        <v>337</v>
      </c>
      <c r="H183" s="577">
        <f t="shared" ref="H183:AG183" si="43">H63/H125</f>
        <v>16464.696454979003</v>
      </c>
      <c r="I183" s="577">
        <f t="shared" si="43"/>
        <v>16910.79400774544</v>
      </c>
      <c r="J183" s="577">
        <f t="shared" si="43"/>
        <v>17636.901611524223</v>
      </c>
      <c r="K183" s="577">
        <f t="shared" si="43"/>
        <v>18678.816735103199</v>
      </c>
      <c r="L183" s="577">
        <f t="shared" si="43"/>
        <v>19721.56045227508</v>
      </c>
      <c r="M183" s="577">
        <f t="shared" si="43"/>
        <v>20764.7688055416</v>
      </c>
      <c r="N183" s="577">
        <f t="shared" si="43"/>
        <v>21808.547348123295</v>
      </c>
      <c r="O183" s="577">
        <f t="shared" si="43"/>
        <v>22854.644339586768</v>
      </c>
      <c r="P183" s="577">
        <f t="shared" si="43"/>
        <v>23786.520428386266</v>
      </c>
      <c r="Q183" s="577">
        <f t="shared" si="43"/>
        <v>24721.15197294742</v>
      </c>
      <c r="R183" s="577">
        <f t="shared" si="43"/>
        <v>25658.954188361258</v>
      </c>
      <c r="S183" s="577">
        <f t="shared" si="43"/>
        <v>26601.582784404211</v>
      </c>
      <c r="T183" s="577">
        <f t="shared" si="43"/>
        <v>27551.699403338505</v>
      </c>
      <c r="U183" s="577">
        <f t="shared" si="43"/>
        <v>28182.108127793788</v>
      </c>
      <c r="V183" s="577">
        <f t="shared" si="43"/>
        <v>28645.414923187585</v>
      </c>
      <c r="W183" s="577">
        <f t="shared" si="43"/>
        <v>29111.647303547801</v>
      </c>
      <c r="X183" s="577">
        <f t="shared" si="43"/>
        <v>29581.243331293244</v>
      </c>
      <c r="Y183" s="577">
        <f t="shared" si="43"/>
        <v>30054.949228322748</v>
      </c>
      <c r="Z183" s="577">
        <f t="shared" si="43"/>
        <v>30532.825162178615</v>
      </c>
      <c r="AA183" s="577">
        <f t="shared" si="43"/>
        <v>31016.006099592672</v>
      </c>
      <c r="AB183" s="577">
        <f t="shared" si="43"/>
        <v>31504.691922051472</v>
      </c>
      <c r="AC183" s="577">
        <f t="shared" si="43"/>
        <v>31999.931994524293</v>
      </c>
      <c r="AD183" s="577">
        <f t="shared" si="43"/>
        <v>32502.886001301984</v>
      </c>
      <c r="AE183" s="577">
        <f t="shared" si="43"/>
        <v>33014.023104221764</v>
      </c>
      <c r="AF183" s="577">
        <f t="shared" si="43"/>
        <v>33534.722680474202</v>
      </c>
      <c r="AG183" s="725">
        <f t="shared" si="43"/>
        <v>34066.513720494688</v>
      </c>
      <c r="AH183" s="18"/>
      <c r="AI183" s="18"/>
      <c r="AJ183" s="18"/>
      <c r="AK183" s="18"/>
      <c r="AL183" s="18"/>
      <c r="AM183" s="18"/>
      <c r="AN183" s="18"/>
    </row>
    <row r="184" spans="2:40" ht="21.95" customHeight="1" x14ac:dyDescent="0.2">
      <c r="B184" s="705"/>
      <c r="C184" s="715"/>
      <c r="D184" s="715"/>
      <c r="E184" s="1339"/>
      <c r="F184" s="116" t="s">
        <v>337</v>
      </c>
      <c r="G184" s="116" t="s">
        <v>386</v>
      </c>
      <c r="H184" s="577">
        <f t="shared" ref="H184:AG184" si="44">H64/H126</f>
        <v>27225.335003580785</v>
      </c>
      <c r="I184" s="577">
        <f t="shared" si="44"/>
        <v>27794.664375048935</v>
      </c>
      <c r="J184" s="577">
        <f t="shared" si="44"/>
        <v>29149.171444277472</v>
      </c>
      <c r="K184" s="577">
        <f t="shared" si="44"/>
        <v>30643.046942953151</v>
      </c>
      <c r="L184" s="577">
        <f t="shared" si="44"/>
        <v>32154.61255656241</v>
      </c>
      <c r="M184" s="577">
        <f t="shared" si="44"/>
        <v>33688.026930424159</v>
      </c>
      <c r="N184" s="577">
        <f t="shared" si="44"/>
        <v>35254.672141062387</v>
      </c>
      <c r="O184" s="577">
        <f t="shared" si="44"/>
        <v>36874.814407721853</v>
      </c>
      <c r="P184" s="577">
        <f t="shared" si="44"/>
        <v>37796.228912197366</v>
      </c>
      <c r="Q184" s="577">
        <f t="shared" si="44"/>
        <v>38746.127675893302</v>
      </c>
      <c r="R184" s="577">
        <f t="shared" si="44"/>
        <v>39727.385365786547</v>
      </c>
      <c r="S184" s="577">
        <f t="shared" si="44"/>
        <v>40749.853191180497</v>
      </c>
      <c r="T184" s="577">
        <f t="shared" si="44"/>
        <v>41818.495159434788</v>
      </c>
      <c r="U184" s="577">
        <f t="shared" si="44"/>
        <v>42761.323557739757</v>
      </c>
      <c r="V184" s="577">
        <f t="shared" si="44"/>
        <v>43613.394002423658</v>
      </c>
      <c r="W184" s="577">
        <f t="shared" si="44"/>
        <v>44507.218634231336</v>
      </c>
      <c r="X184" s="577">
        <f t="shared" si="44"/>
        <v>45446.423317405941</v>
      </c>
      <c r="Y184" s="577">
        <f t="shared" si="44"/>
        <v>46437.018733172823</v>
      </c>
      <c r="Z184" s="577">
        <f t="shared" si="44"/>
        <v>47485.713114167134</v>
      </c>
      <c r="AA184" s="577">
        <f t="shared" si="44"/>
        <v>48599.982079036461</v>
      </c>
      <c r="AB184" s="577">
        <f t="shared" si="44"/>
        <v>49788.144376361233</v>
      </c>
      <c r="AC184" s="577">
        <f t="shared" si="44"/>
        <v>51059.443948875996</v>
      </c>
      <c r="AD184" s="577">
        <f t="shared" si="44"/>
        <v>52424.138751532875</v>
      </c>
      <c r="AE184" s="577">
        <f t="shared" si="44"/>
        <v>53893.596780420914</v>
      </c>
      <c r="AF184" s="577">
        <f t="shared" si="44"/>
        <v>55476.940973173274</v>
      </c>
      <c r="AG184" s="725">
        <f t="shared" si="44"/>
        <v>57194.705717129778</v>
      </c>
      <c r="AH184" s="18"/>
      <c r="AI184" s="18"/>
      <c r="AJ184" s="18"/>
      <c r="AK184" s="18"/>
      <c r="AL184" s="18"/>
      <c r="AM184" s="18"/>
      <c r="AN184" s="18"/>
    </row>
    <row r="185" spans="2:40" ht="21.95" customHeight="1" x14ac:dyDescent="0.2">
      <c r="B185" s="705"/>
      <c r="C185" s="715"/>
      <c r="D185" s="715"/>
      <c r="E185" s="1339"/>
      <c r="F185" s="116" t="s">
        <v>342</v>
      </c>
      <c r="G185" s="116" t="s">
        <v>341</v>
      </c>
      <c r="H185" s="577">
        <f t="shared" ref="H185:AG185" si="45">H65/H127</f>
        <v>39477.660183595624</v>
      </c>
      <c r="I185" s="577">
        <f t="shared" si="45"/>
        <v>40304.883148555775</v>
      </c>
      <c r="J185" s="577">
        <f t="shared" si="45"/>
        <v>42274.73904708583</v>
      </c>
      <c r="K185" s="577">
        <f t="shared" si="45"/>
        <v>44451.407421225165</v>
      </c>
      <c r="L185" s="577">
        <f t="shared" si="45"/>
        <v>46660.464646388144</v>
      </c>
      <c r="M185" s="577">
        <f t="shared" si="45"/>
        <v>48911.426440984178</v>
      </c>
      <c r="N185" s="577">
        <f t="shared" si="45"/>
        <v>51225.837443496464</v>
      </c>
      <c r="O185" s="577">
        <f t="shared" si="45"/>
        <v>53640.414701207686</v>
      </c>
      <c r="P185" s="577">
        <f t="shared" si="45"/>
        <v>55025.580378397666</v>
      </c>
      <c r="Q185" s="577">
        <f t="shared" si="45"/>
        <v>56464.114673434873</v>
      </c>
      <c r="R185" s="577">
        <f t="shared" si="45"/>
        <v>57962.554918124697</v>
      </c>
      <c r="S185" s="577">
        <f t="shared" si="45"/>
        <v>59538.452039360614</v>
      </c>
      <c r="T185" s="577">
        <f t="shared" si="45"/>
        <v>61202.298190646783</v>
      </c>
      <c r="U185" s="577">
        <f t="shared" si="45"/>
        <v>62684.98927136352</v>
      </c>
      <c r="V185" s="577">
        <f t="shared" si="45"/>
        <v>64036.988543027153</v>
      </c>
      <c r="W185" s="577">
        <f t="shared" si="45"/>
        <v>65467.474502933415</v>
      </c>
      <c r="X185" s="577">
        <f t="shared" si="45"/>
        <v>66983.858391832429</v>
      </c>
      <c r="Y185" s="577">
        <f t="shared" si="45"/>
        <v>68597.517567253308</v>
      </c>
      <c r="Z185" s="577">
        <f t="shared" si="45"/>
        <v>70321.149751503603</v>
      </c>
      <c r="AA185" s="577">
        <f t="shared" si="45"/>
        <v>72168.905218556698</v>
      </c>
      <c r="AB185" s="577">
        <f t="shared" si="45"/>
        <v>74156.530166430166</v>
      </c>
      <c r="AC185" s="577">
        <f t="shared" si="45"/>
        <v>76301.522052987231</v>
      </c>
      <c r="AD185" s="577">
        <f t="shared" si="45"/>
        <v>78623.297715792971</v>
      </c>
      <c r="AE185" s="577">
        <f t="shared" si="45"/>
        <v>81143.375141086581</v>
      </c>
      <c r="AF185" s="577">
        <f t="shared" si="45"/>
        <v>83879.570741174757</v>
      </c>
      <c r="AG185" s="725">
        <f t="shared" si="45"/>
        <v>86869.657166830759</v>
      </c>
      <c r="AH185" s="18"/>
      <c r="AI185" s="18"/>
      <c r="AJ185" s="18"/>
      <c r="AK185" s="18"/>
      <c r="AL185" s="18"/>
      <c r="AM185" s="18"/>
      <c r="AN185" s="18"/>
    </row>
    <row r="186" spans="2:40" ht="21.95" customHeight="1" x14ac:dyDescent="0.2">
      <c r="B186" s="705"/>
      <c r="C186" s="715"/>
      <c r="D186" s="715"/>
      <c r="E186" s="1339"/>
      <c r="F186" s="116" t="s">
        <v>341</v>
      </c>
      <c r="G186" s="116" t="s">
        <v>344</v>
      </c>
      <c r="H186" s="577">
        <f t="shared" ref="H186:AG186" si="46">H66/H128</f>
        <v>40875.197718659634</v>
      </c>
      <c r="I186" s="577">
        <f t="shared" si="46"/>
        <v>41793.495188460787</v>
      </c>
      <c r="J186" s="577">
        <f t="shared" si="46"/>
        <v>43913.816506686351</v>
      </c>
      <c r="K186" s="577">
        <f t="shared" si="46"/>
        <v>46314.968176564405</v>
      </c>
      <c r="L186" s="577">
        <f t="shared" si="46"/>
        <v>48839.765477506771</v>
      </c>
      <c r="M186" s="577">
        <f t="shared" si="46"/>
        <v>51548.475248566596</v>
      </c>
      <c r="N186" s="577">
        <f t="shared" si="46"/>
        <v>54534.839413509457</v>
      </c>
      <c r="O186" s="577">
        <f t="shared" si="46"/>
        <v>57931.964161787677</v>
      </c>
      <c r="P186" s="577">
        <f t="shared" si="46"/>
        <v>60044.406642322225</v>
      </c>
      <c r="Q186" s="577">
        <f t="shared" si="46"/>
        <v>62371.552729319985</v>
      </c>
      <c r="R186" s="577">
        <f t="shared" si="46"/>
        <v>64965.907496705964</v>
      </c>
      <c r="S186" s="577">
        <f t="shared" si="46"/>
        <v>67875.815407506278</v>
      </c>
      <c r="T186" s="577">
        <f t="shared" si="46"/>
        <v>71173.907018217564</v>
      </c>
      <c r="U186" s="577">
        <f t="shared" si="46"/>
        <v>74288.009878327735</v>
      </c>
      <c r="V186" s="577">
        <f t="shared" si="46"/>
        <v>77292.479091205241</v>
      </c>
      <c r="W186" s="577">
        <f t="shared" si="46"/>
        <v>80624.478604463264</v>
      </c>
      <c r="X186" s="577">
        <f t="shared" si="46"/>
        <v>84315.457103759531</v>
      </c>
      <c r="Y186" s="577">
        <f t="shared" si="46"/>
        <v>88419.281574314853</v>
      </c>
      <c r="Z186" s="577">
        <f t="shared" si="46"/>
        <v>92989.817452502102</v>
      </c>
      <c r="AA186" s="577">
        <f t="shared" si="46"/>
        <v>98087.089279099659</v>
      </c>
      <c r="AB186" s="577">
        <f t="shared" si="46"/>
        <v>103777.88835251256</v>
      </c>
      <c r="AC186" s="577">
        <f t="shared" si="46"/>
        <v>110136.43106388187</v>
      </c>
      <c r="AD186" s="577">
        <f t="shared" si="46"/>
        <v>117245.07138907841</v>
      </c>
      <c r="AE186" s="577">
        <f t="shared" si="46"/>
        <v>125209.97248805373</v>
      </c>
      <c r="AF186" s="577">
        <f t="shared" si="46"/>
        <v>134104.10026326697</v>
      </c>
      <c r="AG186" s="725">
        <f t="shared" si="46"/>
        <v>144052.43661492944</v>
      </c>
      <c r="AH186" s="18"/>
      <c r="AI186" s="18"/>
      <c r="AJ186" s="18"/>
      <c r="AK186" s="18"/>
      <c r="AL186" s="18"/>
      <c r="AM186" s="18"/>
      <c r="AN186" s="18"/>
    </row>
    <row r="187" spans="2:40" ht="21.95" customHeight="1" x14ac:dyDescent="0.2">
      <c r="B187" s="705"/>
      <c r="C187" s="715"/>
      <c r="D187" s="715"/>
      <c r="E187" s="1339"/>
      <c r="F187" s="116" t="s">
        <v>344</v>
      </c>
      <c r="G187" s="116" t="s">
        <v>345</v>
      </c>
      <c r="H187" s="577">
        <f t="shared" ref="H187:AG187" si="47">H67/H129</f>
        <v>13764.799206393407</v>
      </c>
      <c r="I187" s="577">
        <f t="shared" si="47"/>
        <v>14067.311271265417</v>
      </c>
      <c r="J187" s="577">
        <f t="shared" si="47"/>
        <v>14759.027376660952</v>
      </c>
      <c r="K187" s="577">
        <f t="shared" si="47"/>
        <v>15527.043464438661</v>
      </c>
      <c r="L187" s="577">
        <f t="shared" si="47"/>
        <v>16310.729604546857</v>
      </c>
      <c r="M187" s="577">
        <f t="shared" si="47"/>
        <v>17116.89177031126</v>
      </c>
      <c r="N187" s="577">
        <f t="shared" si="47"/>
        <v>17957.491091597527</v>
      </c>
      <c r="O187" s="577">
        <f t="shared" si="47"/>
        <v>18849.371002925342</v>
      </c>
      <c r="P187" s="577">
        <f t="shared" si="47"/>
        <v>19370.889971809804</v>
      </c>
      <c r="Q187" s="577">
        <f t="shared" si="47"/>
        <v>19918.70395562056</v>
      </c>
      <c r="R187" s="577">
        <f t="shared" si="47"/>
        <v>20499.993951853492</v>
      </c>
      <c r="S187" s="577">
        <f t="shared" si="47"/>
        <v>21120.08721523132</v>
      </c>
      <c r="T187" s="577">
        <f t="shared" si="47"/>
        <v>21788.660883734436</v>
      </c>
      <c r="U187" s="577">
        <f t="shared" si="47"/>
        <v>22392.276868897003</v>
      </c>
      <c r="V187" s="577">
        <f t="shared" si="47"/>
        <v>22953.534418603362</v>
      </c>
      <c r="W187" s="577">
        <f t="shared" si="47"/>
        <v>23555.749601965959</v>
      </c>
      <c r="X187" s="577">
        <f t="shared" si="47"/>
        <v>24202.154109849307</v>
      </c>
      <c r="Y187" s="577">
        <f t="shared" si="47"/>
        <v>24899.763429297116</v>
      </c>
      <c r="Z187" s="577">
        <f t="shared" si="47"/>
        <v>25655.258428505582</v>
      </c>
      <c r="AA187" s="577">
        <f t="shared" si="47"/>
        <v>26476.083882315124</v>
      </c>
      <c r="AB187" s="577">
        <f t="shared" si="47"/>
        <v>27370.523838741392</v>
      </c>
      <c r="AC187" s="577">
        <f t="shared" si="47"/>
        <v>28347.783271522629</v>
      </c>
      <c r="AD187" s="577">
        <f t="shared" si="47"/>
        <v>29418.076449683136</v>
      </c>
      <c r="AE187" s="577">
        <f t="shared" si="47"/>
        <v>30594.905094744037</v>
      </c>
      <c r="AF187" s="577">
        <f t="shared" si="47"/>
        <v>31886.650230277432</v>
      </c>
      <c r="AG187" s="725">
        <f t="shared" si="47"/>
        <v>33309.147644541066</v>
      </c>
      <c r="AH187" s="18"/>
      <c r="AI187" s="18"/>
      <c r="AJ187" s="18"/>
      <c r="AK187" s="18"/>
      <c r="AL187" s="18"/>
      <c r="AM187" s="18"/>
      <c r="AN187" s="18"/>
    </row>
    <row r="188" spans="2:40" ht="21.95" customHeight="1" x14ac:dyDescent="0.2">
      <c r="B188" s="705"/>
      <c r="C188" s="715"/>
      <c r="D188" s="715"/>
      <c r="E188" s="1339"/>
      <c r="F188" s="116" t="s">
        <v>345</v>
      </c>
      <c r="G188" s="116" t="s">
        <v>323</v>
      </c>
      <c r="H188" s="577">
        <f t="shared" ref="H188:AG188" si="48">H68/H130</f>
        <v>135966.66551822625</v>
      </c>
      <c r="I188" s="577">
        <f t="shared" si="48"/>
        <v>138949.39673727902</v>
      </c>
      <c r="J188" s="577">
        <f t="shared" si="48"/>
        <v>145761.0873647003</v>
      </c>
      <c r="K188" s="577">
        <f t="shared" si="48"/>
        <v>153312.18619617473</v>
      </c>
      <c r="L188" s="577">
        <f t="shared" si="48"/>
        <v>160992.9903466315</v>
      </c>
      <c r="M188" s="577">
        <f t="shared" si="48"/>
        <v>168863.57386058159</v>
      </c>
      <c r="N188" s="577">
        <f t="shared" si="48"/>
        <v>177020.65956021196</v>
      </c>
      <c r="O188" s="577">
        <f t="shared" si="48"/>
        <v>185605.4058342287</v>
      </c>
      <c r="P188" s="577">
        <f t="shared" si="48"/>
        <v>190583.28201349903</v>
      </c>
      <c r="Q188" s="577">
        <f t="shared" si="48"/>
        <v>195786.30749788939</v>
      </c>
      <c r="R188" s="577">
        <f t="shared" si="48"/>
        <v>201262.55046178543</v>
      </c>
      <c r="S188" s="577">
        <f t="shared" si="48"/>
        <v>207068.99451712152</v>
      </c>
      <c r="T188" s="577">
        <f t="shared" si="48"/>
        <v>213275.2630534776</v>
      </c>
      <c r="U188" s="577">
        <f t="shared" si="48"/>
        <v>218847.42285864291</v>
      </c>
      <c r="V188" s="577">
        <f t="shared" si="48"/>
        <v>223990.39331885515</v>
      </c>
      <c r="W188" s="577">
        <f t="shared" si="48"/>
        <v>229466.15863040375</v>
      </c>
      <c r="X188" s="577">
        <f t="shared" si="48"/>
        <v>235319.44381266879</v>
      </c>
      <c r="Y188" s="577">
        <f t="shared" si="48"/>
        <v>241600.77527353002</v>
      </c>
      <c r="Z188" s="577">
        <f t="shared" si="48"/>
        <v>248364.91361024551</v>
      </c>
      <c r="AA188" s="577">
        <f t="shared" si="48"/>
        <v>255675.15482490516</v>
      </c>
      <c r="AB188" s="577">
        <f t="shared" si="48"/>
        <v>263599.4824096997</v>
      </c>
      <c r="AC188" s="577">
        <f t="shared" si="48"/>
        <v>272215.34932867571</v>
      </c>
      <c r="AD188" s="577">
        <f t="shared" si="48"/>
        <v>281608.86854374449</v>
      </c>
      <c r="AE188" s="577">
        <f t="shared" si="48"/>
        <v>291873.03513164324</v>
      </c>
      <c r="AF188" s="577">
        <f t="shared" si="48"/>
        <v>303113.2152019614</v>
      </c>
      <c r="AG188" s="725">
        <f t="shared" si="48"/>
        <v>315446.11971943063</v>
      </c>
      <c r="AH188" s="18"/>
      <c r="AI188" s="18"/>
      <c r="AJ188" s="18"/>
      <c r="AK188" s="18"/>
      <c r="AL188" s="18"/>
      <c r="AM188" s="18"/>
      <c r="AN188" s="18"/>
    </row>
    <row r="189" spans="2:40" ht="21.95" customHeight="1" x14ac:dyDescent="0.2">
      <c r="B189" s="705"/>
      <c r="C189" s="715"/>
      <c r="D189" s="715"/>
      <c r="E189" s="1339"/>
      <c r="F189" s="116" t="s">
        <v>323</v>
      </c>
      <c r="G189" s="116" t="s">
        <v>347</v>
      </c>
      <c r="H189" s="577">
        <f t="shared" ref="H189:AG189" si="49">H69/H131</f>
        <v>24279.761699683262</v>
      </c>
      <c r="I189" s="577">
        <f t="shared" si="49"/>
        <v>24812.39227451411</v>
      </c>
      <c r="J189" s="577">
        <f t="shared" si="49"/>
        <v>25608.56640027068</v>
      </c>
      <c r="K189" s="577">
        <f t="shared" si="49"/>
        <v>26528.154112898181</v>
      </c>
      <c r="L189" s="577">
        <f t="shared" si="49"/>
        <v>27455.997093956139</v>
      </c>
      <c r="M189" s="577">
        <f t="shared" si="49"/>
        <v>28394.541305440551</v>
      </c>
      <c r="N189" s="577">
        <f t="shared" si="49"/>
        <v>29347.332526728107</v>
      </c>
      <c r="O189" s="577">
        <f t="shared" si="49"/>
        <v>30319.670065795544</v>
      </c>
      <c r="P189" s="577">
        <f t="shared" si="49"/>
        <v>31118.832336587631</v>
      </c>
      <c r="Q189" s="577">
        <f t="shared" si="49"/>
        <v>31938.064744080453</v>
      </c>
      <c r="R189" s="577">
        <f t="shared" si="49"/>
        <v>32782.028644450264</v>
      </c>
      <c r="S189" s="577">
        <f t="shared" si="49"/>
        <v>33656.324101433558</v>
      </c>
      <c r="T189" s="577">
        <f t="shared" si="49"/>
        <v>34567.986322270219</v>
      </c>
      <c r="U189" s="577">
        <f t="shared" si="49"/>
        <v>35367.350752137507</v>
      </c>
      <c r="V189" s="577">
        <f t="shared" si="49"/>
        <v>36090.086162377287</v>
      </c>
      <c r="W189" s="577">
        <f t="shared" si="49"/>
        <v>36844.875518791414</v>
      </c>
      <c r="X189" s="577">
        <f t="shared" si="49"/>
        <v>37636.351081870118</v>
      </c>
      <c r="Y189" s="577">
        <f t="shared" si="49"/>
        <v>38469.801374044298</v>
      </c>
      <c r="Z189" s="577">
        <f t="shared" si="49"/>
        <v>39350.957310383783</v>
      </c>
      <c r="AA189" s="577">
        <f t="shared" si="49"/>
        <v>40286.552152582473</v>
      </c>
      <c r="AB189" s="577">
        <f t="shared" si="49"/>
        <v>41283.814815181977</v>
      </c>
      <c r="AC189" s="577">
        <f t="shared" si="49"/>
        <v>42351.080528981125</v>
      </c>
      <c r="AD189" s="577">
        <f t="shared" si="49"/>
        <v>43497.675962953195</v>
      </c>
      <c r="AE189" s="577">
        <f t="shared" si="49"/>
        <v>44733.708005417437</v>
      </c>
      <c r="AF189" s="577">
        <f t="shared" si="49"/>
        <v>46070.734919509334</v>
      </c>
      <c r="AG189" s="725">
        <f t="shared" si="49"/>
        <v>47521.636005925342</v>
      </c>
      <c r="AH189" s="18"/>
      <c r="AI189" s="18"/>
      <c r="AJ189" s="18"/>
      <c r="AK189" s="18"/>
      <c r="AL189" s="18"/>
      <c r="AM189" s="18"/>
      <c r="AN189" s="18"/>
    </row>
    <row r="190" spans="2:40" ht="21.95" customHeight="1" x14ac:dyDescent="0.2">
      <c r="B190" s="705"/>
      <c r="C190" s="715"/>
      <c r="D190" s="715"/>
      <c r="E190" s="1339"/>
      <c r="F190" s="116" t="s">
        <v>347</v>
      </c>
      <c r="G190" s="116" t="s">
        <v>348</v>
      </c>
      <c r="H190" s="577">
        <f>H70/H132</f>
        <v>19882.557888569419</v>
      </c>
      <c r="I190" s="577">
        <f t="shared" ref="I190:AG190" si="50">I70/I132</f>
        <v>20321.401723355903</v>
      </c>
      <c r="J190" s="577">
        <f t="shared" si="50"/>
        <v>20978.68891065862</v>
      </c>
      <c r="K190" s="577">
        <f t="shared" si="50"/>
        <v>21740.361838862504</v>
      </c>
      <c r="L190" s="577">
        <f t="shared" si="50"/>
        <v>22512.454030003824</v>
      </c>
      <c r="M190" s="577">
        <f t="shared" si="50"/>
        <v>23298.246635582291</v>
      </c>
      <c r="N190" s="577">
        <f t="shared" si="50"/>
        <v>24102.305730022996</v>
      </c>
      <c r="O190" s="577">
        <f t="shared" si="50"/>
        <v>24931.13822548839</v>
      </c>
      <c r="P190" s="577">
        <f t="shared" si="50"/>
        <v>25619.940424023403</v>
      </c>
      <c r="Q190" s="577">
        <f t="shared" si="50"/>
        <v>26334.36329293099</v>
      </c>
      <c r="R190" s="577">
        <f t="shared" si="50"/>
        <v>27080.357318342001</v>
      </c>
      <c r="S190" s="577">
        <f t="shared" si="50"/>
        <v>27865.071299948097</v>
      </c>
      <c r="T190" s="577">
        <f t="shared" si="50"/>
        <v>28697.367023223331</v>
      </c>
      <c r="U190" s="577">
        <f t="shared" si="50"/>
        <v>29439.645535655371</v>
      </c>
      <c r="V190" s="577">
        <f t="shared" si="50"/>
        <v>30121.16899922939</v>
      </c>
      <c r="W190" s="577">
        <f t="shared" si="50"/>
        <v>30843.61114718108</v>
      </c>
      <c r="X190" s="577">
        <f t="shared" si="50"/>
        <v>31612.8853233441</v>
      </c>
      <c r="Y190" s="577">
        <f t="shared" si="50"/>
        <v>32435.722784477617</v>
      </c>
      <c r="Z190" s="577">
        <f t="shared" si="50"/>
        <v>33319.479054931609</v>
      </c>
      <c r="AA190" s="577">
        <f t="shared" si="50"/>
        <v>34272.709840513147</v>
      </c>
      <c r="AB190" s="577">
        <f t="shared" si="50"/>
        <v>35304.682947050846</v>
      </c>
      <c r="AC190" s="577">
        <f t="shared" si="50"/>
        <v>36426.01892772362</v>
      </c>
      <c r="AD190" s="577">
        <f t="shared" si="50"/>
        <v>37648.603962897869</v>
      </c>
      <c r="AE190" s="577">
        <f t="shared" si="50"/>
        <v>38985.379755525901</v>
      </c>
      <c r="AF190" s="577">
        <f t="shared" si="50"/>
        <v>40451.081242775654</v>
      </c>
      <c r="AG190" s="725">
        <f t="shared" si="50"/>
        <v>42062.129741355195</v>
      </c>
      <c r="AH190" s="18"/>
      <c r="AI190" s="18"/>
      <c r="AJ190" s="18"/>
      <c r="AK190" s="18"/>
      <c r="AL190" s="18"/>
      <c r="AM190" s="18"/>
      <c r="AN190" s="18"/>
    </row>
    <row r="191" spans="2:40" ht="21.95" customHeight="1" x14ac:dyDescent="0.2">
      <c r="B191" s="705"/>
      <c r="C191" s="715"/>
      <c r="D191" s="715"/>
      <c r="E191" s="1353"/>
      <c r="F191" s="254" t="s">
        <v>348</v>
      </c>
      <c r="G191" s="254" t="s">
        <v>349</v>
      </c>
      <c r="H191" s="577">
        <f t="shared" ref="H191:AG191" si="51">H71/H133</f>
        <v>32600.854854919471</v>
      </c>
      <c r="I191" s="577">
        <f t="shared" si="51"/>
        <v>33431.173101260589</v>
      </c>
      <c r="J191" s="577">
        <f t="shared" si="51"/>
        <v>34609.734464542955</v>
      </c>
      <c r="K191" s="577">
        <f t="shared" si="51"/>
        <v>36235.699560000714</v>
      </c>
      <c r="L191" s="577">
        <f t="shared" si="51"/>
        <v>37959.349192905625</v>
      </c>
      <c r="M191" s="577">
        <f t="shared" si="51"/>
        <v>39821.467132073332</v>
      </c>
      <c r="N191" s="577">
        <f t="shared" si="51"/>
        <v>41877.048486250722</v>
      </c>
      <c r="O191" s="577">
        <f t="shared" si="51"/>
        <v>44203.178647977533</v>
      </c>
      <c r="P191" s="577">
        <f t="shared" si="51"/>
        <v>46766.125971591428</v>
      </c>
      <c r="Q191" s="577">
        <f t="shared" si="51"/>
        <v>49779.230495127551</v>
      </c>
      <c r="R191" s="577">
        <f t="shared" si="51"/>
        <v>53388.986097810164</v>
      </c>
      <c r="S191" s="577">
        <f t="shared" si="51"/>
        <v>57783.287496048724</v>
      </c>
      <c r="T191" s="577">
        <f t="shared" si="51"/>
        <v>63204.318218835797</v>
      </c>
      <c r="U191" s="577">
        <f t="shared" si="51"/>
        <v>68054.033434782992</v>
      </c>
      <c r="V191" s="577">
        <f t="shared" si="51"/>
        <v>72351.60945059167</v>
      </c>
      <c r="W191" s="577">
        <f t="shared" si="51"/>
        <v>77239.015775822467</v>
      </c>
      <c r="X191" s="577">
        <f t="shared" si="51"/>
        <v>82803.678797031404</v>
      </c>
      <c r="Y191" s="577">
        <f t="shared" si="51"/>
        <v>89145.68754792519</v>
      </c>
      <c r="Z191" s="577">
        <f t="shared" si="51"/>
        <v>96373.93518989977</v>
      </c>
      <c r="AA191" s="577">
        <f t="shared" si="51"/>
        <v>104616.66313087565</v>
      </c>
      <c r="AB191" s="577">
        <f t="shared" si="51"/>
        <v>114011.51218698648</v>
      </c>
      <c r="AC191" s="577">
        <f t="shared" si="51"/>
        <v>124718.00165038872</v>
      </c>
      <c r="AD191" s="577">
        <f t="shared" si="51"/>
        <v>136915.64150414872</v>
      </c>
      <c r="AE191" s="577">
        <f t="shared" si="51"/>
        <v>150797.55037346116</v>
      </c>
      <c r="AF191" s="577">
        <f t="shared" si="51"/>
        <v>166586.88861050332</v>
      </c>
      <c r="AG191" s="725">
        <f t="shared" si="51"/>
        <v>184533.68499019026</v>
      </c>
      <c r="AH191" s="18"/>
      <c r="AI191" s="18"/>
      <c r="AJ191" s="18"/>
      <c r="AK191" s="18"/>
      <c r="AL191" s="18"/>
      <c r="AM191" s="18"/>
      <c r="AN191" s="18"/>
    </row>
    <row r="192" spans="2:40" ht="21.95" customHeight="1" x14ac:dyDescent="0.2">
      <c r="B192" s="705"/>
      <c r="C192" s="715"/>
      <c r="D192" s="715"/>
      <c r="E192" s="116" t="s">
        <v>288</v>
      </c>
      <c r="F192" s="116" t="s">
        <v>323</v>
      </c>
      <c r="G192" s="116" t="s">
        <v>348</v>
      </c>
      <c r="H192" s="593">
        <f t="shared" ref="H192:AG192" si="52">H72/H134</f>
        <v>7751.6556316504648</v>
      </c>
      <c r="I192" s="593">
        <f t="shared" si="52"/>
        <v>8042.2570293080817</v>
      </c>
      <c r="J192" s="593">
        <f t="shared" si="52"/>
        <v>8486.7725163270061</v>
      </c>
      <c r="K192" s="593">
        <f t="shared" si="52"/>
        <v>9899.0924182737581</v>
      </c>
      <c r="L192" s="593">
        <f t="shared" si="52"/>
        <v>11311.663125425363</v>
      </c>
      <c r="M192" s="593">
        <f t="shared" si="52"/>
        <v>12725.85609931635</v>
      </c>
      <c r="N192" s="593">
        <f t="shared" si="52"/>
        <v>14138.651236857911</v>
      </c>
      <c r="O192" s="593">
        <f t="shared" si="52"/>
        <v>15553.652777101959</v>
      </c>
      <c r="P192" s="593">
        <f t="shared" si="52"/>
        <v>17421.335219458029</v>
      </c>
      <c r="Q192" s="593">
        <f t="shared" si="52"/>
        <v>19297.999421737288</v>
      </c>
      <c r="R192" s="593">
        <f t="shared" si="52"/>
        <v>21198.682222216685</v>
      </c>
      <c r="S192" s="593">
        <f t="shared" si="52"/>
        <v>23152.153928725817</v>
      </c>
      <c r="T192" s="593">
        <f t="shared" si="52"/>
        <v>25220.611373615116</v>
      </c>
      <c r="U192" s="593">
        <f t="shared" si="52"/>
        <v>26282.488725124975</v>
      </c>
      <c r="V192" s="593">
        <f t="shared" si="52"/>
        <v>26641.600661966095</v>
      </c>
      <c r="W192" s="593">
        <f t="shared" si="52"/>
        <v>27008.796773420934</v>
      </c>
      <c r="X192" s="593">
        <f t="shared" si="52"/>
        <v>27384.925688504882</v>
      </c>
      <c r="Y192" s="593">
        <f t="shared" si="52"/>
        <v>27771.320184556167</v>
      </c>
      <c r="Z192" s="593">
        <f t="shared" si="52"/>
        <v>28168.19180782689</v>
      </c>
      <c r="AA192" s="593">
        <f t="shared" si="52"/>
        <v>28577.469166960549</v>
      </c>
      <c r="AB192" s="593">
        <f t="shared" si="52"/>
        <v>28999.506177828232</v>
      </c>
      <c r="AC192" s="593">
        <f t="shared" si="52"/>
        <v>29436.027644678332</v>
      </c>
      <c r="AD192" s="593">
        <f t="shared" si="52"/>
        <v>29888.932769897405</v>
      </c>
      <c r="AE192" s="593">
        <f t="shared" si="52"/>
        <v>30358.82800212767</v>
      </c>
      <c r="AF192" s="593">
        <f t="shared" si="52"/>
        <v>30847.849790377732</v>
      </c>
      <c r="AG192" s="730">
        <f t="shared" si="52"/>
        <v>31358.35583158832</v>
      </c>
      <c r="AH192" s="18"/>
      <c r="AI192" s="18"/>
      <c r="AJ192" s="18"/>
      <c r="AK192" s="18"/>
      <c r="AL192" s="18"/>
      <c r="AM192" s="18"/>
      <c r="AN192" s="18"/>
    </row>
    <row r="193" spans="2:40" ht="21.95" customHeight="1" x14ac:dyDescent="0.2">
      <c r="B193" s="705"/>
      <c r="C193" s="715"/>
      <c r="D193" s="715"/>
      <c r="E193" s="277" t="s">
        <v>340</v>
      </c>
      <c r="F193" s="277" t="s">
        <v>335</v>
      </c>
      <c r="G193" s="277" t="s">
        <v>323</v>
      </c>
      <c r="H193" s="577" t="e">
        <f t="shared" ref="H193:AG193" si="53">H73/H135</f>
        <v>#DIV/0!</v>
      </c>
      <c r="I193" s="577" t="e">
        <f t="shared" si="53"/>
        <v>#DIV/0!</v>
      </c>
      <c r="J193" s="577" t="e">
        <f t="shared" si="53"/>
        <v>#DIV/0!</v>
      </c>
      <c r="K193" s="577" t="e">
        <f t="shared" si="53"/>
        <v>#DIV/0!</v>
      </c>
      <c r="L193" s="577" t="e">
        <f t="shared" si="53"/>
        <v>#DIV/0!</v>
      </c>
      <c r="M193" s="577" t="e">
        <f t="shared" si="53"/>
        <v>#DIV/0!</v>
      </c>
      <c r="N193" s="577" t="e">
        <f t="shared" si="53"/>
        <v>#DIV/0!</v>
      </c>
      <c r="O193" s="577" t="e">
        <f t="shared" si="53"/>
        <v>#DIV/0!</v>
      </c>
      <c r="P193" s="577" t="e">
        <f t="shared" si="53"/>
        <v>#DIV/0!</v>
      </c>
      <c r="Q193" s="577" t="e">
        <f t="shared" si="53"/>
        <v>#DIV/0!</v>
      </c>
      <c r="R193" s="577" t="e">
        <f t="shared" si="53"/>
        <v>#DIV/0!</v>
      </c>
      <c r="S193" s="577" t="e">
        <f t="shared" si="53"/>
        <v>#DIV/0!</v>
      </c>
      <c r="T193" s="577" t="e">
        <f t="shared" si="53"/>
        <v>#DIV/0!</v>
      </c>
      <c r="U193" s="577" t="e">
        <f t="shared" si="53"/>
        <v>#DIV/0!</v>
      </c>
      <c r="V193" s="577" t="e">
        <f t="shared" si="53"/>
        <v>#DIV/0!</v>
      </c>
      <c r="W193" s="577" t="e">
        <f t="shared" si="53"/>
        <v>#DIV/0!</v>
      </c>
      <c r="X193" s="577" t="e">
        <f t="shared" si="53"/>
        <v>#DIV/0!</v>
      </c>
      <c r="Y193" s="577" t="e">
        <f t="shared" si="53"/>
        <v>#DIV/0!</v>
      </c>
      <c r="Z193" s="577" t="e">
        <f t="shared" si="53"/>
        <v>#DIV/0!</v>
      </c>
      <c r="AA193" s="577" t="e">
        <f t="shared" si="53"/>
        <v>#DIV/0!</v>
      </c>
      <c r="AB193" s="577" t="e">
        <f t="shared" si="53"/>
        <v>#DIV/0!</v>
      </c>
      <c r="AC193" s="577" t="e">
        <f t="shared" si="53"/>
        <v>#DIV/0!</v>
      </c>
      <c r="AD193" s="577" t="e">
        <f t="shared" si="53"/>
        <v>#DIV/0!</v>
      </c>
      <c r="AE193" s="577" t="e">
        <f t="shared" si="53"/>
        <v>#DIV/0!</v>
      </c>
      <c r="AF193" s="577" t="e">
        <f t="shared" si="53"/>
        <v>#DIV/0!</v>
      </c>
      <c r="AG193" s="725" t="e">
        <f t="shared" si="53"/>
        <v>#DIV/0!</v>
      </c>
      <c r="AH193" s="18"/>
      <c r="AI193" s="18"/>
      <c r="AJ193" s="18"/>
      <c r="AK193" s="18"/>
      <c r="AL193" s="18"/>
      <c r="AM193" s="18"/>
      <c r="AN193" s="18"/>
    </row>
    <row r="194" spans="2:40" ht="21.95" customHeight="1" x14ac:dyDescent="0.2">
      <c r="B194" s="705"/>
      <c r="C194" s="715"/>
      <c r="D194" s="715"/>
      <c r="E194" s="277" t="s">
        <v>357</v>
      </c>
      <c r="F194" s="277" t="s">
        <v>338</v>
      </c>
      <c r="G194" s="277" t="s">
        <v>323</v>
      </c>
      <c r="H194" s="593">
        <f t="shared" ref="H194:AG194" si="54">H74/H136</f>
        <v>12529.704261412986</v>
      </c>
      <c r="I194" s="593">
        <f t="shared" si="54"/>
        <v>12723.623944029818</v>
      </c>
      <c r="J194" s="593">
        <f t="shared" si="54"/>
        <v>13042.353021208481</v>
      </c>
      <c r="K194" s="593">
        <f t="shared" si="54"/>
        <v>14127.077756612052</v>
      </c>
      <c r="L194" s="593">
        <f t="shared" si="54"/>
        <v>15215.882814682158</v>
      </c>
      <c r="M194" s="593">
        <f t="shared" si="54"/>
        <v>16313.584533003501</v>
      </c>
      <c r="N194" s="593">
        <f t="shared" si="54"/>
        <v>17423.97567112133</v>
      </c>
      <c r="O194" s="593">
        <f t="shared" si="54"/>
        <v>18560.724632776702</v>
      </c>
      <c r="P194" s="593">
        <f t="shared" si="54"/>
        <v>19965.473399795999</v>
      </c>
      <c r="Q194" s="593">
        <f t="shared" si="54"/>
        <v>21481.343291697653</v>
      </c>
      <c r="R194" s="593">
        <f t="shared" si="54"/>
        <v>23193.89336627454</v>
      </c>
      <c r="S194" s="593">
        <f t="shared" si="54"/>
        <v>25239.053528730939</v>
      </c>
      <c r="T194" s="593">
        <f t="shared" si="54"/>
        <v>27838.19623911841</v>
      </c>
      <c r="U194" s="593">
        <f t="shared" si="54"/>
        <v>29115.265902315576</v>
      </c>
      <c r="V194" s="593">
        <f t="shared" si="54"/>
        <v>29634.371722467629</v>
      </c>
      <c r="W194" s="593">
        <f t="shared" si="54"/>
        <v>30179.074367035839</v>
      </c>
      <c r="X194" s="593">
        <f t="shared" si="54"/>
        <v>30751.171543728167</v>
      </c>
      <c r="Y194" s="593">
        <f t="shared" si="54"/>
        <v>31353.791635042395</v>
      </c>
      <c r="Z194" s="593">
        <f t="shared" si="54"/>
        <v>31986.586477675341</v>
      </c>
      <c r="AA194" s="593">
        <f t="shared" si="54"/>
        <v>32654.217661321996</v>
      </c>
      <c r="AB194" s="593">
        <f t="shared" si="54"/>
        <v>33356.334962406996</v>
      </c>
      <c r="AC194" s="593">
        <f t="shared" si="54"/>
        <v>34096.639636507403</v>
      </c>
      <c r="AD194" s="593">
        <f t="shared" si="54"/>
        <v>34879.279932921716</v>
      </c>
      <c r="AE194" s="593">
        <f t="shared" si="54"/>
        <v>35703.885677383638</v>
      </c>
      <c r="AF194" s="593">
        <f t="shared" si="54"/>
        <v>36574.833367938489</v>
      </c>
      <c r="AG194" s="730">
        <f t="shared" si="54"/>
        <v>37497.034546531453</v>
      </c>
      <c r="AH194" s="18"/>
      <c r="AI194" s="18"/>
      <c r="AJ194" s="18"/>
      <c r="AK194" s="18"/>
      <c r="AL194" s="18"/>
      <c r="AM194" s="18"/>
      <c r="AN194" s="18"/>
    </row>
    <row r="195" spans="2:40" ht="21.95" customHeight="1" x14ac:dyDescent="0.2">
      <c r="B195" s="705"/>
      <c r="C195" s="715"/>
      <c r="D195" s="715"/>
      <c r="E195" s="116" t="s">
        <v>338</v>
      </c>
      <c r="F195" s="116" t="s">
        <v>282</v>
      </c>
      <c r="G195" s="116" t="s">
        <v>357</v>
      </c>
      <c r="H195" s="577">
        <f t="shared" ref="H195:AG195" si="55">H75/H137</f>
        <v>25675.846050620508</v>
      </c>
      <c r="I195" s="577">
        <f t="shared" si="55"/>
        <v>26630.604420043805</v>
      </c>
      <c r="J195" s="577">
        <f t="shared" si="55"/>
        <v>27646.934648344675</v>
      </c>
      <c r="K195" s="577">
        <f t="shared" si="55"/>
        <v>29901.621069411998</v>
      </c>
      <c r="L195" s="577">
        <f t="shared" si="55"/>
        <v>32156.887754852032</v>
      </c>
      <c r="M195" s="577">
        <f t="shared" si="55"/>
        <v>34413.416408038509</v>
      </c>
      <c r="N195" s="577">
        <f t="shared" si="55"/>
        <v>36668.20177404851</v>
      </c>
      <c r="O195" s="577">
        <f t="shared" si="55"/>
        <v>38925.059823827651</v>
      </c>
      <c r="P195" s="577">
        <f t="shared" si="55"/>
        <v>41959.472398236016</v>
      </c>
      <c r="Q195" s="577">
        <f t="shared" si="55"/>
        <v>44994.599416161887</v>
      </c>
      <c r="R195" s="577">
        <f t="shared" si="55"/>
        <v>48030.69204859664</v>
      </c>
      <c r="S195" s="577">
        <f t="shared" si="55"/>
        <v>51068.746476661916</v>
      </c>
      <c r="T195" s="577">
        <f t="shared" si="55"/>
        <v>54113.029967094619</v>
      </c>
      <c r="U195" s="577">
        <f t="shared" si="55"/>
        <v>55914.107551927955</v>
      </c>
      <c r="V195" s="577">
        <f t="shared" si="55"/>
        <v>56873.603179535152</v>
      </c>
      <c r="W195" s="577">
        <f t="shared" si="55"/>
        <v>57833.965401995243</v>
      </c>
      <c r="X195" s="577">
        <f t="shared" si="55"/>
        <v>58795.334312340456</v>
      </c>
      <c r="Y195" s="577">
        <f t="shared" si="55"/>
        <v>59758.387831923021</v>
      </c>
      <c r="Z195" s="577">
        <f t="shared" si="55"/>
        <v>60722.272705841511</v>
      </c>
      <c r="AA195" s="577">
        <f t="shared" si="55"/>
        <v>61688.232935111657</v>
      </c>
      <c r="AB195" s="577">
        <f t="shared" si="55"/>
        <v>62655.464761072755</v>
      </c>
      <c r="AC195" s="577">
        <f t="shared" si="55"/>
        <v>63624.752635134282</v>
      </c>
      <c r="AD195" s="577">
        <f t="shared" si="55"/>
        <v>64596.919946371811</v>
      </c>
      <c r="AE195" s="577">
        <f t="shared" si="55"/>
        <v>65571.260076049686</v>
      </c>
      <c r="AF195" s="577">
        <f t="shared" si="55"/>
        <v>66548.675944490533</v>
      </c>
      <c r="AG195" s="725">
        <f t="shared" si="55"/>
        <v>67530.124298215072</v>
      </c>
      <c r="AH195" s="18"/>
      <c r="AI195" s="18"/>
      <c r="AJ195" s="18"/>
      <c r="AK195" s="18"/>
      <c r="AL195" s="18"/>
      <c r="AM195" s="18"/>
      <c r="AN195" s="18"/>
    </row>
    <row r="196" spans="2:40" ht="21.95" customHeight="1" x14ac:dyDescent="0.2">
      <c r="B196" s="705"/>
      <c r="C196" s="715"/>
      <c r="D196" s="715"/>
      <c r="E196" s="116"/>
      <c r="F196" s="116" t="s">
        <v>357</v>
      </c>
      <c r="G196" s="116" t="s">
        <v>346</v>
      </c>
      <c r="H196" s="577">
        <f t="shared" ref="H196:AG196" si="56">H76/H138</f>
        <v>3739.3436205696348</v>
      </c>
      <c r="I196" s="577">
        <f t="shared" si="56"/>
        <v>3872.4101494460406</v>
      </c>
      <c r="J196" s="577">
        <f t="shared" si="56"/>
        <v>4017.2261003763497</v>
      </c>
      <c r="K196" s="577">
        <f t="shared" si="56"/>
        <v>4294.0999906061761</v>
      </c>
      <c r="L196" s="577">
        <f t="shared" si="56"/>
        <v>4571.0822145492803</v>
      </c>
      <c r="M196" s="577">
        <f t="shared" si="56"/>
        <v>4848.1039567549333</v>
      </c>
      <c r="N196" s="577">
        <f t="shared" si="56"/>
        <v>5124.978358380793</v>
      </c>
      <c r="O196" s="577">
        <f t="shared" si="56"/>
        <v>5402.084446329307</v>
      </c>
      <c r="P196" s="577">
        <f t="shared" si="56"/>
        <v>5782.2700971108543</v>
      </c>
      <c r="Q196" s="577">
        <f t="shared" si="56"/>
        <v>6162.5320096025025</v>
      </c>
      <c r="R196" s="577">
        <f t="shared" si="56"/>
        <v>6542.6752612927103</v>
      </c>
      <c r="S196" s="577">
        <f t="shared" si="56"/>
        <v>6922.8751454209023</v>
      </c>
      <c r="T196" s="577">
        <f t="shared" si="56"/>
        <v>7303.3825957529489</v>
      </c>
      <c r="U196" s="577">
        <f t="shared" si="56"/>
        <v>7551.3646861306352</v>
      </c>
      <c r="V196" s="577">
        <f t="shared" si="56"/>
        <v>7684.4513006566558</v>
      </c>
      <c r="W196" s="577">
        <f t="shared" si="56"/>
        <v>7817.541715511542</v>
      </c>
      <c r="X196" s="577">
        <f t="shared" si="56"/>
        <v>7950.6365654313022</v>
      </c>
      <c r="Y196" s="577">
        <f t="shared" si="56"/>
        <v>8083.7857930316077</v>
      </c>
      <c r="Z196" s="577">
        <f t="shared" si="56"/>
        <v>8216.8918014680567</v>
      </c>
      <c r="AA196" s="577">
        <f t="shared" si="56"/>
        <v>8350.0539729420088</v>
      </c>
      <c r="AB196" s="577">
        <f t="shared" si="56"/>
        <v>8483.1749492747222</v>
      </c>
      <c r="AC196" s="577">
        <f t="shared" si="56"/>
        <v>8616.3051745580196</v>
      </c>
      <c r="AD196" s="577">
        <f t="shared" si="56"/>
        <v>8749.4952706090244</v>
      </c>
      <c r="AE196" s="577">
        <f t="shared" si="56"/>
        <v>8882.6483522222716</v>
      </c>
      <c r="AF196" s="577">
        <f t="shared" si="56"/>
        <v>9015.8154232896559</v>
      </c>
      <c r="AG196" s="725">
        <f t="shared" si="56"/>
        <v>9149.0477347106407</v>
      </c>
      <c r="AH196" s="18"/>
      <c r="AI196" s="18"/>
      <c r="AJ196" s="18"/>
      <c r="AK196" s="18"/>
      <c r="AL196" s="18"/>
      <c r="AM196" s="18"/>
      <c r="AN196" s="18"/>
    </row>
    <row r="197" spans="2:40" ht="21.95" customHeight="1" x14ac:dyDescent="0.2">
      <c r="B197" s="705"/>
      <c r="C197" s="715"/>
      <c r="D197" s="715"/>
      <c r="E197" s="116"/>
      <c r="F197" s="116" t="s">
        <v>346</v>
      </c>
      <c r="G197" s="116" t="s">
        <v>343</v>
      </c>
      <c r="H197" s="577">
        <f t="shared" ref="H197:AG197" si="57">H77/H139</f>
        <v>1126.3022722112501</v>
      </c>
      <c r="I197" s="577">
        <f t="shared" si="57"/>
        <v>1166.3823461599536</v>
      </c>
      <c r="J197" s="577">
        <f t="shared" si="57"/>
        <v>1210.0013892420504</v>
      </c>
      <c r="K197" s="577">
        <f t="shared" si="57"/>
        <v>1293.3967413406501</v>
      </c>
      <c r="L197" s="577">
        <f t="shared" si="57"/>
        <v>1376.8247703116069</v>
      </c>
      <c r="M197" s="577">
        <f t="shared" si="57"/>
        <v>1460.2647835436005</v>
      </c>
      <c r="N197" s="577">
        <f t="shared" si="57"/>
        <v>1543.6605546999444</v>
      </c>
      <c r="O197" s="577">
        <f t="shared" si="57"/>
        <v>1627.1263372159647</v>
      </c>
      <c r="P197" s="577">
        <f t="shared" si="57"/>
        <v>1741.6408452826922</v>
      </c>
      <c r="Q197" s="577">
        <f t="shared" si="57"/>
        <v>1856.1795978974576</v>
      </c>
      <c r="R197" s="577">
        <f t="shared" si="57"/>
        <v>1970.6848606742806</v>
      </c>
      <c r="S197" s="577">
        <f t="shared" si="57"/>
        <v>2085.2110320972415</v>
      </c>
      <c r="T197" s="577">
        <f t="shared" si="57"/>
        <v>2199.8362461764809</v>
      </c>
      <c r="U197" s="577">
        <f t="shared" si="57"/>
        <v>2274.5443612408449</v>
      </c>
      <c r="V197" s="577">
        <f t="shared" si="57"/>
        <v>2314.6408941497975</v>
      </c>
      <c r="W197" s="577">
        <f t="shared" si="57"/>
        <v>2354.7405411956061</v>
      </c>
      <c r="X197" s="577">
        <f t="shared" si="57"/>
        <v>2394.8438225055697</v>
      </c>
      <c r="Y197" s="577">
        <f t="shared" si="57"/>
        <v>2434.9661648259839</v>
      </c>
      <c r="Z197" s="577">
        <f t="shared" si="57"/>
        <v>2475.0785898572726</v>
      </c>
      <c r="AA197" s="577">
        <f t="shared" si="57"/>
        <v>2515.2115388897346</v>
      </c>
      <c r="AB197" s="577">
        <f t="shared" si="57"/>
        <v>2555.336229195701</v>
      </c>
      <c r="AC197" s="577">
        <f t="shared" si="57"/>
        <v>2595.4684984504643</v>
      </c>
      <c r="AD197" s="577">
        <f t="shared" si="57"/>
        <v>2635.6243299643256</v>
      </c>
      <c r="AE197" s="577">
        <f t="shared" si="57"/>
        <v>2675.77532858226</v>
      </c>
      <c r="AF197" s="577">
        <f t="shared" si="57"/>
        <v>2715.9377907014455</v>
      </c>
      <c r="AG197" s="725">
        <f t="shared" si="57"/>
        <v>2756.128215126655</v>
      </c>
      <c r="AH197" s="18"/>
      <c r="AI197" s="18"/>
      <c r="AJ197" s="18"/>
      <c r="AK197" s="18"/>
      <c r="AL197" s="18"/>
      <c r="AM197" s="18"/>
      <c r="AN197" s="18"/>
    </row>
    <row r="198" spans="2:40" ht="21.95" customHeight="1" x14ac:dyDescent="0.2">
      <c r="B198" s="705"/>
      <c r="C198" s="715"/>
      <c r="D198" s="715"/>
      <c r="E198" s="116"/>
      <c r="F198" s="116" t="s">
        <v>343</v>
      </c>
      <c r="G198" s="116" t="s">
        <v>350</v>
      </c>
      <c r="H198" s="577">
        <f t="shared" ref="H198:AG198" si="58">H78/H140</f>
        <v>2889.854434858918</v>
      </c>
      <c r="I198" s="577">
        <f t="shared" si="58"/>
        <v>2989.3762086060724</v>
      </c>
      <c r="J198" s="577">
        <f t="shared" si="58"/>
        <v>3100.4092380029324</v>
      </c>
      <c r="K198" s="577">
        <f t="shared" si="58"/>
        <v>3294.3714676492018</v>
      </c>
      <c r="L198" s="577">
        <f t="shared" si="58"/>
        <v>3488.4493050496008</v>
      </c>
      <c r="M198" s="577">
        <f t="shared" si="58"/>
        <v>3682.4597351537927</v>
      </c>
      <c r="N198" s="577">
        <f t="shared" si="58"/>
        <v>3876.4220377820966</v>
      </c>
      <c r="O198" s="577">
        <f t="shared" si="58"/>
        <v>4070.5818722618924</v>
      </c>
      <c r="P198" s="577">
        <f t="shared" si="58"/>
        <v>4320.6413064932512</v>
      </c>
      <c r="Q198" s="577">
        <f t="shared" si="58"/>
        <v>4570.8406758992651</v>
      </c>
      <c r="R198" s="577">
        <f t="shared" si="58"/>
        <v>4820.8526323102196</v>
      </c>
      <c r="S198" s="577">
        <f t="shared" si="58"/>
        <v>5070.9134431143566</v>
      </c>
      <c r="T198" s="577">
        <f t="shared" si="58"/>
        <v>5321.1872655867792</v>
      </c>
      <c r="U198" s="577">
        <f t="shared" si="58"/>
        <v>5488.1898884391048</v>
      </c>
      <c r="V198" s="577">
        <f t="shared" si="58"/>
        <v>5587.7137458416119</v>
      </c>
      <c r="W198" s="577">
        <f t="shared" si="58"/>
        <v>5687.238010094321</v>
      </c>
      <c r="X198" s="577">
        <f t="shared" si="58"/>
        <v>5786.7627512275776</v>
      </c>
      <c r="Y198" s="577">
        <f t="shared" si="58"/>
        <v>5886.3458491061392</v>
      </c>
      <c r="Z198" s="577">
        <f t="shared" si="58"/>
        <v>5985.8717979251796</v>
      </c>
      <c r="AA198" s="577">
        <f t="shared" si="58"/>
        <v>6085.4563026584183</v>
      </c>
      <c r="AB198" s="577">
        <f t="shared" si="58"/>
        <v>6184.9838843151547</v>
      </c>
      <c r="AC198" s="577">
        <f t="shared" si="58"/>
        <v>6284.5124803694916</v>
      </c>
      <c r="AD198" s="577">
        <f t="shared" si="58"/>
        <v>6384.100049593445</v>
      </c>
      <c r="AE198" s="577">
        <f t="shared" si="58"/>
        <v>6483.6311664296991</v>
      </c>
      <c r="AF198" s="577">
        <f t="shared" si="58"/>
        <v>6583.1638336938149</v>
      </c>
      <c r="AG198" s="725">
        <f t="shared" si="58"/>
        <v>6682.756084147567</v>
      </c>
      <c r="AH198" s="18"/>
      <c r="AI198" s="18"/>
      <c r="AJ198" s="18"/>
      <c r="AK198" s="18"/>
      <c r="AL198" s="18"/>
      <c r="AM198" s="18"/>
      <c r="AN198" s="18"/>
    </row>
    <row r="199" spans="2:40" ht="21.95" customHeight="1" x14ac:dyDescent="0.2">
      <c r="B199" s="705"/>
      <c r="C199" s="715"/>
      <c r="D199" s="715"/>
      <c r="E199" s="116"/>
      <c r="F199" s="116" t="s">
        <v>350</v>
      </c>
      <c r="G199" s="116" t="s">
        <v>280</v>
      </c>
      <c r="H199" s="577">
        <f t="shared" ref="H199:AG199" si="59">H79/H141</f>
        <v>19701.036774591448</v>
      </c>
      <c r="I199" s="577">
        <f t="shared" si="59"/>
        <v>20379.507654653884</v>
      </c>
      <c r="J199" s="577">
        <f t="shared" si="59"/>
        <v>21136.454336591494</v>
      </c>
      <c r="K199" s="577">
        <f t="shared" si="59"/>
        <v>22458.755130943337</v>
      </c>
      <c r="L199" s="577">
        <f t="shared" si="59"/>
        <v>23781.844000787507</v>
      </c>
      <c r="M199" s="577">
        <f t="shared" si="59"/>
        <v>25104.473236507714</v>
      </c>
      <c r="N199" s="577">
        <f t="shared" si="59"/>
        <v>26426.774213742046</v>
      </c>
      <c r="O199" s="577">
        <f t="shared" si="59"/>
        <v>27750.421574994481</v>
      </c>
      <c r="P199" s="577">
        <f t="shared" si="59"/>
        <v>29455.153113989938</v>
      </c>
      <c r="Q199" s="577">
        <f t="shared" si="59"/>
        <v>31160.837518471326</v>
      </c>
      <c r="R199" s="577">
        <f t="shared" si="59"/>
        <v>32865.24242692424</v>
      </c>
      <c r="S199" s="577">
        <f t="shared" si="59"/>
        <v>34569.977415413377</v>
      </c>
      <c r="T199" s="577">
        <f t="shared" si="59"/>
        <v>36276.159875501304</v>
      </c>
      <c r="U199" s="577">
        <f t="shared" si="59"/>
        <v>37414.656850472136</v>
      </c>
      <c r="V199" s="577">
        <f t="shared" si="59"/>
        <v>38093.132951875632</v>
      </c>
      <c r="W199" s="577">
        <f t="shared" si="59"/>
        <v>38771.610072787305</v>
      </c>
      <c r="X199" s="577">
        <f t="shared" si="59"/>
        <v>39450.088388693155</v>
      </c>
      <c r="Y199" s="577">
        <f t="shared" si="59"/>
        <v>40128.962127753584</v>
      </c>
      <c r="Z199" s="577">
        <f t="shared" si="59"/>
        <v>40807.443469946542</v>
      </c>
      <c r="AA199" s="577">
        <f t="shared" si="59"/>
        <v>41486.320734382738</v>
      </c>
      <c r="AB199" s="577">
        <f t="shared" si="59"/>
        <v>42164.806168232484</v>
      </c>
      <c r="AC199" s="577">
        <f t="shared" si="59"/>
        <v>42843.294144016938</v>
      </c>
      <c r="AD199" s="577">
        <f t="shared" si="59"/>
        <v>43522.179087626755</v>
      </c>
      <c r="AE199" s="577">
        <f t="shared" si="59"/>
        <v>44200.673380128661</v>
      </c>
      <c r="AF199" s="577">
        <f t="shared" si="59"/>
        <v>44879.171557780122</v>
      </c>
      <c r="AG199" s="725">
        <f t="shared" si="59"/>
        <v>45558.068231879515</v>
      </c>
      <c r="AH199" s="18"/>
      <c r="AI199" s="18"/>
      <c r="AJ199" s="18"/>
      <c r="AK199" s="18"/>
      <c r="AL199" s="18"/>
      <c r="AM199" s="18"/>
      <c r="AN199" s="18"/>
    </row>
    <row r="200" spans="2:40" ht="21.95" customHeight="1" thickBot="1" x14ac:dyDescent="0.25">
      <c r="B200" s="705"/>
      <c r="C200" s="715"/>
      <c r="D200" s="715"/>
      <c r="E200" s="116"/>
      <c r="F200" s="116" t="s">
        <v>280</v>
      </c>
      <c r="G200" s="116" t="s">
        <v>333</v>
      </c>
      <c r="H200" s="577">
        <f>H80/H142</f>
        <v>492.027820512858</v>
      </c>
      <c r="I200" s="577">
        <f t="shared" ref="I200:AG200" si="60">I80/I142</f>
        <v>508.97279714201932</v>
      </c>
      <c r="J200" s="577">
        <f>J80/J142</f>
        <v>527.87790911190757</v>
      </c>
      <c r="K200" s="577">
        <f t="shared" si="60"/>
        <v>560.90370860613029</v>
      </c>
      <c r="L200" s="577">
        <f t="shared" si="60"/>
        <v>593.95060645621936</v>
      </c>
      <c r="M200" s="577">
        <f t="shared" si="60"/>
        <v>626.98838705577396</v>
      </c>
      <c r="N200" s="577">
        <f t="shared" si="60"/>
        <v>660.02180496988103</v>
      </c>
      <c r="O200" s="577">
        <f t="shared" si="60"/>
        <v>693.09494781830756</v>
      </c>
      <c r="P200" s="577">
        <f t="shared" si="60"/>
        <v>735.70456126499721</v>
      </c>
      <c r="Q200" s="577">
        <f t="shared" si="60"/>
        <v>778.36497960361851</v>
      </c>
      <c r="R200" s="577">
        <f t="shared" si="60"/>
        <v>821.03804634680375</v>
      </c>
      <c r="S200" s="577">
        <f t="shared" si="60"/>
        <v>863.79135693197065</v>
      </c>
      <c r="T200" s="577">
        <f t="shared" si="60"/>
        <v>906.69442867759494</v>
      </c>
      <c r="U200" s="577">
        <f t="shared" si="60"/>
        <v>935.41511740731323</v>
      </c>
      <c r="V200" s="577">
        <f t="shared" si="60"/>
        <v>952.57760183350115</v>
      </c>
      <c r="W200" s="577">
        <f t="shared" si="60"/>
        <v>969.78255637896496</v>
      </c>
      <c r="X200" s="577">
        <f t="shared" si="60"/>
        <v>987.03729134362607</v>
      </c>
      <c r="Y200" s="577">
        <f t="shared" si="60"/>
        <v>1004.3602880791092</v>
      </c>
      <c r="Z200" s="577">
        <f t="shared" si="60"/>
        <v>1021.7410904736724</v>
      </c>
      <c r="AA200" s="577">
        <f t="shared" si="60"/>
        <v>1039.2109454029303</v>
      </c>
      <c r="AB200" s="577">
        <f t="shared" si="60"/>
        <v>1056.7621958175703</v>
      </c>
      <c r="AC200" s="577">
        <f t="shared" si="60"/>
        <v>1074.4193367709288</v>
      </c>
      <c r="AD200" s="577">
        <f t="shared" si="60"/>
        <v>1092.2090865539292</v>
      </c>
      <c r="AE200" s="577">
        <f t="shared" si="60"/>
        <v>1110.1293659003995</v>
      </c>
      <c r="AF200" s="577">
        <f t="shared" si="60"/>
        <v>1128.2114907020261</v>
      </c>
      <c r="AG200" s="725">
        <f t="shared" si="60"/>
        <v>1146.4899028635186</v>
      </c>
      <c r="AH200" s="18"/>
      <c r="AI200" s="18"/>
      <c r="AJ200" s="18"/>
      <c r="AK200" s="18"/>
      <c r="AL200" s="18"/>
      <c r="AM200" s="18"/>
      <c r="AN200" s="18"/>
    </row>
    <row r="201" spans="2:40" ht="21.95" customHeight="1" thickBot="1" x14ac:dyDescent="0.25">
      <c r="B201" s="707"/>
      <c r="C201" s="731"/>
      <c r="D201" s="731"/>
      <c r="E201" s="732" t="s">
        <v>25</v>
      </c>
      <c r="F201" s="732"/>
      <c r="G201" s="732"/>
      <c r="H201" s="733">
        <f>SUM(H172:H192,H194:H200)</f>
        <v>578623.9654360261</v>
      </c>
      <c r="I201" s="733">
        <f t="shared" ref="I201:AG201" si="61">SUM(I172:I192,I194:I200)</f>
        <v>599870.54270388954</v>
      </c>
      <c r="J201" s="733">
        <f t="shared" si="61"/>
        <v>640287.16578974156</v>
      </c>
      <c r="K201" s="733">
        <f t="shared" si="61"/>
        <v>705688.57771231746</v>
      </c>
      <c r="L201" s="733">
        <f t="shared" si="61"/>
        <v>779859.78497409995</v>
      </c>
      <c r="M201" s="733">
        <f t="shared" si="61"/>
        <v>896716.45899352443</v>
      </c>
      <c r="N201" s="733">
        <f t="shared" si="61"/>
        <v>1189760.6148912641</v>
      </c>
      <c r="O201" s="733">
        <f t="shared" si="61"/>
        <v>1314876.8267078819</v>
      </c>
      <c r="P201" s="733">
        <f t="shared" si="61"/>
        <v>1498803.759433998</v>
      </c>
      <c r="Q201" s="733">
        <f t="shared" si="61"/>
        <v>1707916.0335282506</v>
      </c>
      <c r="R201" s="733">
        <f t="shared" si="61"/>
        <v>1943650.8774367254</v>
      </c>
      <c r="S201" s="733">
        <f t="shared" si="61"/>
        <v>2094836.0146852809</v>
      </c>
      <c r="T201" s="733">
        <f t="shared" si="61"/>
        <v>2280043.8594262972</v>
      </c>
      <c r="U201" s="733">
        <f t="shared" si="61"/>
        <v>2376001.4443382029</v>
      </c>
      <c r="V201" s="733">
        <f t="shared" si="61"/>
        <v>2426700.4304637378</v>
      </c>
      <c r="W201" s="733">
        <f t="shared" si="61"/>
        <v>2479079.0576441297</v>
      </c>
      <c r="X201" s="733">
        <f t="shared" si="61"/>
        <v>2533354.1651608772</v>
      </c>
      <c r="Y201" s="733">
        <f t="shared" si="61"/>
        <v>2589842.5502674878</v>
      </c>
      <c r="Z201" s="733">
        <f t="shared" si="61"/>
        <v>2648780.199520627</v>
      </c>
      <c r="AA201" s="733">
        <f t="shared" si="61"/>
        <v>2710589.1091788667</v>
      </c>
      <c r="AB201" s="733">
        <f t="shared" si="61"/>
        <v>2775586.2068907497</v>
      </c>
      <c r="AC201" s="733">
        <f t="shared" si="61"/>
        <v>2844248.9335022951</v>
      </c>
      <c r="AD201" s="733">
        <f t="shared" si="61"/>
        <v>2917104.7904853881</v>
      </c>
      <c r="AE201" s="733">
        <f t="shared" si="61"/>
        <v>2994658.9543460091</v>
      </c>
      <c r="AF201" s="733">
        <f t="shared" si="61"/>
        <v>3077522.1308738999</v>
      </c>
      <c r="AG201" s="734">
        <f t="shared" si="61"/>
        <v>3166464.1491984781</v>
      </c>
      <c r="AH201" s="18"/>
      <c r="AI201" s="18"/>
      <c r="AJ201" s="18"/>
      <c r="AK201" s="18"/>
      <c r="AL201" s="18"/>
      <c r="AM201" s="18"/>
      <c r="AN201" s="18"/>
    </row>
    <row r="202" spans="2:40" ht="21.95" customHeight="1" x14ac:dyDescent="0.2">
      <c r="B202" s="182" t="s">
        <v>212</v>
      </c>
      <c r="C202" s="116" t="s">
        <v>156</v>
      </c>
      <c r="D202" s="240" t="s">
        <v>476</v>
      </c>
      <c r="E202" s="1340" t="s">
        <v>331</v>
      </c>
      <c r="F202" s="220" t="s">
        <v>332</v>
      </c>
      <c r="G202" s="220" t="s">
        <v>282</v>
      </c>
      <c r="H202" s="726">
        <f>H82/H143</f>
        <v>5194.0039010348337</v>
      </c>
      <c r="I202" s="726">
        <f t="shared" ref="I202:AF202" si="62">I82/I143</f>
        <v>5432.9605430068168</v>
      </c>
      <c r="J202" s="726">
        <f t="shared" si="62"/>
        <v>5768.509426418932</v>
      </c>
      <c r="K202" s="726">
        <f t="shared" si="62"/>
        <v>6260.7549152413967</v>
      </c>
      <c r="L202" s="726">
        <f t="shared" si="62"/>
        <v>6753.1789486912949</v>
      </c>
      <c r="M202" s="726">
        <f t="shared" si="62"/>
        <v>7245.619214733113</v>
      </c>
      <c r="N202" s="726">
        <f t="shared" si="62"/>
        <v>7737.8647082318948</v>
      </c>
      <c r="O202" s="726">
        <f t="shared" si="62"/>
        <v>8230.4835256232236</v>
      </c>
      <c r="P202" s="726">
        <f t="shared" si="62"/>
        <v>8717.2915598712607</v>
      </c>
      <c r="Q202" s="726">
        <f t="shared" si="62"/>
        <v>9204.1969963237643</v>
      </c>
      <c r="R202" s="726">
        <f t="shared" si="62"/>
        <v>9691.0050698820341</v>
      </c>
      <c r="S202" s="726">
        <f t="shared" si="62"/>
        <v>10177.81318349182</v>
      </c>
      <c r="T202" s="726">
        <f t="shared" si="62"/>
        <v>10665.010910875239</v>
      </c>
      <c r="U202" s="726">
        <f t="shared" si="62"/>
        <v>10994.927797073247</v>
      </c>
      <c r="V202" s="726">
        <f t="shared" si="62"/>
        <v>11233.884685704161</v>
      </c>
      <c r="W202" s="726">
        <f t="shared" si="62"/>
        <v>11472.841563640613</v>
      </c>
      <c r="X202" s="726">
        <f t="shared" si="62"/>
        <v>11711.798497373038</v>
      </c>
      <c r="Y202" s="726">
        <f t="shared" si="62"/>
        <v>11950.852886094477</v>
      </c>
      <c r="Z202" s="726">
        <f t="shared" si="62"/>
        <v>12189.809968517106</v>
      </c>
      <c r="AA202" s="726">
        <f t="shared" si="62"/>
        <v>12428.864535626053</v>
      </c>
      <c r="AB202" s="726">
        <f t="shared" si="62"/>
        <v>12667.821831568843</v>
      </c>
      <c r="AC202" s="726">
        <f t="shared" si="62"/>
        <v>12906.779265580453</v>
      </c>
      <c r="AD202" s="726">
        <f t="shared" si="62"/>
        <v>13145.834251284306</v>
      </c>
      <c r="AE202" s="726">
        <f t="shared" si="62"/>
        <v>13384.792043915671</v>
      </c>
      <c r="AF202" s="726">
        <f t="shared" si="62"/>
        <v>13623.750064995862</v>
      </c>
      <c r="AG202" s="727">
        <f>AG82/AG143</f>
        <v>13862.805742740975</v>
      </c>
      <c r="AH202" s="18"/>
      <c r="AI202" s="18"/>
      <c r="AJ202" s="18"/>
      <c r="AK202" s="18"/>
      <c r="AL202" s="18"/>
      <c r="AM202" s="18"/>
      <c r="AN202" s="18"/>
    </row>
    <row r="203" spans="2:40" ht="21.95" customHeight="1" x14ac:dyDescent="0.2">
      <c r="B203" s="705" t="s">
        <v>483</v>
      </c>
      <c r="C203" s="715"/>
      <c r="D203" s="715"/>
      <c r="E203" s="1339"/>
      <c r="F203" s="116" t="s">
        <v>282</v>
      </c>
      <c r="G203" s="116" t="s">
        <v>280</v>
      </c>
      <c r="H203" s="577">
        <f>H83/H144</f>
        <v>167015.02824419696</v>
      </c>
      <c r="I203" s="577">
        <f t="shared" ref="I203:AG203" si="63">I83/I144</f>
        <v>176267.04223474677</v>
      </c>
      <c r="J203" s="577">
        <f t="shared" si="63"/>
        <v>186996.21136505678</v>
      </c>
      <c r="K203" s="577">
        <f t="shared" si="63"/>
        <v>207016.36466050404</v>
      </c>
      <c r="L203" s="577">
        <f t="shared" si="63"/>
        <v>227043.94085394067</v>
      </c>
      <c r="M203" s="577">
        <f t="shared" si="63"/>
        <v>247075.22850905397</v>
      </c>
      <c r="N203" s="577">
        <f t="shared" si="63"/>
        <v>267095.38186649414</v>
      </c>
      <c r="O203" s="577">
        <f t="shared" si="63"/>
        <v>287134.71110273921</v>
      </c>
      <c r="P203" s="577">
        <f t="shared" si="63"/>
        <v>310889.19702142949</v>
      </c>
      <c r="Q203" s="577">
        <f t="shared" si="63"/>
        <v>334650.4877216547</v>
      </c>
      <c r="R203" s="577">
        <f t="shared" si="63"/>
        <v>358404.97498208884</v>
      </c>
      <c r="S203" s="577">
        <f t="shared" si="63"/>
        <v>382159.46392619278</v>
      </c>
      <c r="T203" s="577">
        <f t="shared" si="63"/>
        <v>405937.46178840991</v>
      </c>
      <c r="U203" s="577">
        <f t="shared" si="63"/>
        <v>420389.22172454832</v>
      </c>
      <c r="V203" s="577">
        <f t="shared" si="63"/>
        <v>429641.24658504489</v>
      </c>
      <c r="W203" s="577">
        <f t="shared" si="63"/>
        <v>438893.27003121248</v>
      </c>
      <c r="X203" s="577">
        <f t="shared" si="63"/>
        <v>448145.29574383667</v>
      </c>
      <c r="Y203" s="577">
        <f t="shared" si="63"/>
        <v>457403.50994340028</v>
      </c>
      <c r="Z203" s="577">
        <f t="shared" si="63"/>
        <v>466655.54172184708</v>
      </c>
      <c r="AA203" s="577">
        <f t="shared" si="63"/>
        <v>475913.76321016578</v>
      </c>
      <c r="AB203" s="577">
        <f t="shared" si="63"/>
        <v>485165.8037330691</v>
      </c>
      <c r="AC203" s="577">
        <f t="shared" si="63"/>
        <v>494417.84991934046</v>
      </c>
      <c r="AD203" s="577">
        <f t="shared" si="63"/>
        <v>503676.08859964629</v>
      </c>
      <c r="AE203" s="577">
        <f t="shared" si="63"/>
        <v>512928.14956503181</v>
      </c>
      <c r="AF203" s="577">
        <f t="shared" si="63"/>
        <v>522180.21995199029</v>
      </c>
      <c r="AG203" s="725">
        <f t="shared" si="63"/>
        <v>531438.48721065558</v>
      </c>
      <c r="AH203" s="18"/>
      <c r="AI203" s="18"/>
      <c r="AJ203" s="18"/>
      <c r="AK203" s="18"/>
      <c r="AL203" s="18"/>
      <c r="AM203" s="18"/>
      <c r="AN203" s="18"/>
    </row>
    <row r="204" spans="2:40" ht="21.95" customHeight="1" x14ac:dyDescent="0.2">
      <c r="B204" s="705"/>
      <c r="C204" s="715"/>
      <c r="D204" s="715"/>
      <c r="E204" s="1339"/>
      <c r="F204" s="116" t="s">
        <v>280</v>
      </c>
      <c r="G204" s="116" t="s">
        <v>333</v>
      </c>
      <c r="H204" s="577">
        <f t="shared" ref="H204:AG204" si="64">H84/H145</f>
        <v>3895.5029256155972</v>
      </c>
      <c r="I204" s="577">
        <f t="shared" si="64"/>
        <v>4058.1726352844275</v>
      </c>
      <c r="J204" s="577">
        <f t="shared" si="64"/>
        <v>4259.5052114952878</v>
      </c>
      <c r="K204" s="577">
        <f t="shared" si="64"/>
        <v>4530.5672900801583</v>
      </c>
      <c r="L204" s="577">
        <f t="shared" si="64"/>
        <v>4801.7267562529623</v>
      </c>
      <c r="M204" s="577">
        <f t="shared" si="64"/>
        <v>5072.8537599226865</v>
      </c>
      <c r="N204" s="577">
        <f t="shared" si="64"/>
        <v>5343.9158385793935</v>
      </c>
      <c r="O204" s="577">
        <f t="shared" si="64"/>
        <v>5615.1726924407039</v>
      </c>
      <c r="P204" s="577">
        <f t="shared" si="64"/>
        <v>5877.9892900554332</v>
      </c>
      <c r="Q204" s="577">
        <f t="shared" si="64"/>
        <v>6140.9032753736719</v>
      </c>
      <c r="R204" s="577">
        <f t="shared" si="64"/>
        <v>6403.7198733230107</v>
      </c>
      <c r="S204" s="577">
        <f t="shared" si="64"/>
        <v>6666.5364715739097</v>
      </c>
      <c r="T204" s="577">
        <f t="shared" si="64"/>
        <v>6929.547845410144</v>
      </c>
      <c r="U204" s="577">
        <f t="shared" si="64"/>
        <v>7122.5375547347739</v>
      </c>
      <c r="V204" s="577">
        <f t="shared" si="64"/>
        <v>7285.2072663268782</v>
      </c>
      <c r="W204" s="577">
        <f t="shared" si="64"/>
        <v>7447.8769780997982</v>
      </c>
      <c r="X204" s="577">
        <f t="shared" si="64"/>
        <v>7610.5466903978568</v>
      </c>
      <c r="Y204" s="577">
        <f t="shared" si="64"/>
        <v>7773.2813283850783</v>
      </c>
      <c r="Z204" s="577">
        <f t="shared" si="64"/>
        <v>7935.9510421023888</v>
      </c>
      <c r="AA204" s="577">
        <f t="shared" si="64"/>
        <v>8098.6856818072511</v>
      </c>
      <c r="AB204" s="577">
        <f t="shared" si="64"/>
        <v>8261.3553975976629</v>
      </c>
      <c r="AC204" s="577">
        <f t="shared" si="64"/>
        <v>8424.0251147443705</v>
      </c>
      <c r="AD204" s="577">
        <f t="shared" si="64"/>
        <v>8586.7597585640651</v>
      </c>
      <c r="AE204" s="577">
        <f t="shared" si="64"/>
        <v>8749.4294792737346</v>
      </c>
      <c r="AF204" s="577">
        <f t="shared" si="64"/>
        <v>8912.0992022770606</v>
      </c>
      <c r="AG204" s="725">
        <f t="shared" si="64"/>
        <v>9074.8338530487999</v>
      </c>
      <c r="AH204" s="18"/>
      <c r="AI204" s="18"/>
      <c r="AJ204" s="18"/>
      <c r="AK204" s="18"/>
      <c r="AL204" s="18"/>
      <c r="AM204" s="18"/>
      <c r="AN204" s="18"/>
    </row>
    <row r="205" spans="2:40" ht="21.95" customHeight="1" x14ac:dyDescent="0.2">
      <c r="B205" s="705"/>
      <c r="C205" s="715"/>
      <c r="D205" s="715"/>
      <c r="E205" s="1340" t="s">
        <v>280</v>
      </c>
      <c r="F205" s="220" t="s">
        <v>281</v>
      </c>
      <c r="G205" s="220" t="s">
        <v>335</v>
      </c>
      <c r="H205" s="583">
        <f t="shared" ref="H205:AG205" si="65">H85/H146</f>
        <v>42707.576561745242</v>
      </c>
      <c r="I205" s="583">
        <f t="shared" si="65"/>
        <v>47367.507009338668</v>
      </c>
      <c r="J205" s="583">
        <f t="shared" si="65"/>
        <v>52288.808028258682</v>
      </c>
      <c r="K205" s="583">
        <f t="shared" si="65"/>
        <v>67521.853949209355</v>
      </c>
      <c r="L205" s="583">
        <f t="shared" si="65"/>
        <v>82762.602605641339</v>
      </c>
      <c r="M205" s="583">
        <f t="shared" si="65"/>
        <v>98007.5313500091</v>
      </c>
      <c r="N205" s="583">
        <f t="shared" si="65"/>
        <v>113241.39933420307</v>
      </c>
      <c r="O205" s="583">
        <f t="shared" si="65"/>
        <v>128499.21010360558</v>
      </c>
      <c r="P205" s="583">
        <f t="shared" si="65"/>
        <v>148983.56721280896</v>
      </c>
      <c r="Q205" s="583">
        <f t="shared" si="65"/>
        <v>169539.4576625186</v>
      </c>
      <c r="R205" s="583">
        <f t="shared" si="65"/>
        <v>190304.56544219423</v>
      </c>
      <c r="S205" s="583">
        <f t="shared" si="65"/>
        <v>211740.18998969835</v>
      </c>
      <c r="T205" s="583">
        <f t="shared" si="65"/>
        <v>235025.81240848999</v>
      </c>
      <c r="U205" s="583">
        <f t="shared" si="65"/>
        <v>251991.92358890033</v>
      </c>
      <c r="V205" s="583">
        <f t="shared" si="65"/>
        <v>262870.87091399799</v>
      </c>
      <c r="W205" s="583">
        <f t="shared" si="65"/>
        <v>271553.11151169444</v>
      </c>
      <c r="X205" s="583">
        <f t="shared" si="65"/>
        <v>281073.64116506465</v>
      </c>
      <c r="Y205" s="583">
        <f t="shared" si="65"/>
        <v>291594.94288566941</v>
      </c>
      <c r="Z205" s="583">
        <f t="shared" si="65"/>
        <v>303290.39888253791</v>
      </c>
      <c r="AA205" s="583">
        <f t="shared" si="65"/>
        <v>316363.64494694164</v>
      </c>
      <c r="AB205" s="583">
        <f t="shared" si="65"/>
        <v>331061.42195683147</v>
      </c>
      <c r="AC205" s="583">
        <f t="shared" si="65"/>
        <v>347638.24692023976</v>
      </c>
      <c r="AD205" s="583">
        <f t="shared" si="65"/>
        <v>366432.87537979661</v>
      </c>
      <c r="AE205" s="583">
        <f t="shared" si="65"/>
        <v>387814.45812702965</v>
      </c>
      <c r="AF205" s="583">
        <f t="shared" si="65"/>
        <v>412157.50254036754</v>
      </c>
      <c r="AG205" s="728">
        <f t="shared" si="65"/>
        <v>439967.06366008095</v>
      </c>
      <c r="AH205" s="18"/>
      <c r="AI205" s="18"/>
      <c r="AJ205" s="18"/>
      <c r="AK205" s="18"/>
      <c r="AL205" s="18"/>
      <c r="AM205" s="18"/>
      <c r="AN205" s="18"/>
    </row>
    <row r="206" spans="2:40" ht="21.95" customHeight="1" x14ac:dyDescent="0.2">
      <c r="B206" s="705"/>
      <c r="C206" s="715"/>
      <c r="D206" s="715"/>
      <c r="E206" s="1339"/>
      <c r="F206" s="116" t="s">
        <v>335</v>
      </c>
      <c r="G206" s="116" t="s">
        <v>323</v>
      </c>
      <c r="H206" s="577">
        <f t="shared" ref="H206:AG206" si="66">H86/H147</f>
        <v>5946.1818182585594</v>
      </c>
      <c r="I206" s="577">
        <f t="shared" si="66"/>
        <v>6736.3302788748188</v>
      </c>
      <c r="J206" s="577">
        <f t="shared" si="66"/>
        <v>7526.9742548837294</v>
      </c>
      <c r="K206" s="577">
        <f t="shared" si="66"/>
        <v>10202.062352906089</v>
      </c>
      <c r="L206" s="577">
        <f t="shared" si="66"/>
        <v>12877.695551891051</v>
      </c>
      <c r="M206" s="577">
        <f t="shared" si="66"/>
        <v>15555.757158740178</v>
      </c>
      <c r="N206" s="577">
        <f t="shared" si="66"/>
        <v>18230.848332921523</v>
      </c>
      <c r="O206" s="577">
        <f t="shared" si="66"/>
        <v>20908.479830652301</v>
      </c>
      <c r="P206" s="577">
        <f t="shared" si="66"/>
        <v>25019.89209613152</v>
      </c>
      <c r="Q206" s="577">
        <f t="shared" si="66"/>
        <v>29131.345628464536</v>
      </c>
      <c r="R206" s="577">
        <f t="shared" si="66"/>
        <v>33245.397529704576</v>
      </c>
      <c r="S206" s="577">
        <f t="shared" si="66"/>
        <v>37367.694764534266</v>
      </c>
      <c r="T206" s="577">
        <f t="shared" si="66"/>
        <v>41519.890627566871</v>
      </c>
      <c r="U206" s="577">
        <f t="shared" si="66"/>
        <v>43847.008826540725</v>
      </c>
      <c r="V206" s="577">
        <f t="shared" si="66"/>
        <v>44747.18817885215</v>
      </c>
      <c r="W206" s="577">
        <f t="shared" si="66"/>
        <v>45594.658612116385</v>
      </c>
      <c r="X206" s="577">
        <f t="shared" si="66"/>
        <v>46453.249380408895</v>
      </c>
      <c r="Y206" s="577">
        <f t="shared" si="66"/>
        <v>47325.366298345863</v>
      </c>
      <c r="Z206" s="577">
        <f t="shared" si="66"/>
        <v>48212.259491446923</v>
      </c>
      <c r="AA206" s="577">
        <f t="shared" si="66"/>
        <v>49117.333679526135</v>
      </c>
      <c r="AB206" s="577">
        <f t="shared" si="66"/>
        <v>50042.593215926019</v>
      </c>
      <c r="AC206" s="577">
        <f t="shared" si="66"/>
        <v>50991.667789312662</v>
      </c>
      <c r="AD206" s="577">
        <f t="shared" si="66"/>
        <v>51968.872668166114</v>
      </c>
      <c r="AE206" s="577">
        <f t="shared" si="66"/>
        <v>52977.579350774424</v>
      </c>
      <c r="AF206" s="577">
        <f t="shared" si="66"/>
        <v>54022.865947645892</v>
      </c>
      <c r="AG206" s="725">
        <f t="shared" si="66"/>
        <v>55110.81878093502</v>
      </c>
      <c r="AH206" s="18"/>
      <c r="AI206" s="18"/>
      <c r="AJ206" s="18"/>
      <c r="AK206" s="18"/>
      <c r="AL206" s="18"/>
      <c r="AM206" s="18"/>
      <c r="AN206" s="18"/>
    </row>
    <row r="207" spans="2:40" ht="21.95" customHeight="1" x14ac:dyDescent="0.2">
      <c r="B207" s="705"/>
      <c r="C207" s="715"/>
      <c r="D207" s="715"/>
      <c r="E207" s="1353"/>
      <c r="F207" s="254" t="s">
        <v>323</v>
      </c>
      <c r="G207" s="254" t="s">
        <v>338</v>
      </c>
      <c r="H207" s="587">
        <f t="shared" ref="H207:AG207" si="67">H87/H148</f>
        <v>83917.082669181895</v>
      </c>
      <c r="I207" s="587">
        <f t="shared" si="67"/>
        <v>87029.427403577414</v>
      </c>
      <c r="J207" s="587">
        <f t="shared" si="67"/>
        <v>90143.73507756117</v>
      </c>
      <c r="K207" s="587">
        <f t="shared" si="67"/>
        <v>96191.786594168065</v>
      </c>
      <c r="L207" s="587">
        <f t="shared" si="67"/>
        <v>102243.35146773962</v>
      </c>
      <c r="M207" s="587">
        <f t="shared" si="67"/>
        <v>108293.39959647252</v>
      </c>
      <c r="N207" s="587">
        <f t="shared" si="67"/>
        <v>114341.52704522257</v>
      </c>
      <c r="O207" s="587">
        <f t="shared" si="67"/>
        <v>120396.15052961014</v>
      </c>
      <c r="P207" s="587">
        <f t="shared" si="67"/>
        <v>128798.3265875779</v>
      </c>
      <c r="Q207" s="587">
        <f t="shared" si="67"/>
        <v>137205.35857567147</v>
      </c>
      <c r="R207" s="587">
        <f t="shared" si="67"/>
        <v>145606.9586955577</v>
      </c>
      <c r="S207" s="587">
        <f t="shared" si="67"/>
        <v>154011.11729822063</v>
      </c>
      <c r="T207" s="587">
        <f t="shared" si="67"/>
        <v>162424.42303620363</v>
      </c>
      <c r="U207" s="587">
        <f t="shared" si="67"/>
        <v>167894.69950446175</v>
      </c>
      <c r="V207" s="587">
        <f t="shared" si="67"/>
        <v>171013.4137850338</v>
      </c>
      <c r="W207" s="587">
        <f t="shared" si="67"/>
        <v>174130.58830345143</v>
      </c>
      <c r="X207" s="587">
        <f t="shared" si="67"/>
        <v>177248.72514313352</v>
      </c>
      <c r="Y207" s="587">
        <f t="shared" si="67"/>
        <v>180369.95203971062</v>
      </c>
      <c r="Z207" s="587">
        <f t="shared" si="67"/>
        <v>183490.55244758443</v>
      </c>
      <c r="AA207" s="587">
        <f t="shared" si="67"/>
        <v>186614.6587049978</v>
      </c>
      <c r="AB207" s="587">
        <f t="shared" si="67"/>
        <v>189738.62293053666</v>
      </c>
      <c r="AC207" s="587">
        <f t="shared" si="67"/>
        <v>192864.68572970133</v>
      </c>
      <c r="AD207" s="587">
        <f t="shared" si="67"/>
        <v>195995.14953221363</v>
      </c>
      <c r="AE207" s="587">
        <f t="shared" si="67"/>
        <v>199126.49265748396</v>
      </c>
      <c r="AF207" s="587">
        <f t="shared" si="67"/>
        <v>202261.08987365951</v>
      </c>
      <c r="AG207" s="729">
        <f t="shared" si="67"/>
        <v>205401.40744705519</v>
      </c>
      <c r="AH207" s="18"/>
      <c r="AI207" s="18"/>
      <c r="AJ207" s="18"/>
      <c r="AK207" s="18"/>
      <c r="AL207" s="18"/>
      <c r="AM207" s="18"/>
      <c r="AN207" s="18"/>
    </row>
    <row r="208" spans="2:40" ht="21.95" customHeight="1" x14ac:dyDescent="0.2">
      <c r="B208" s="705"/>
      <c r="C208" s="715"/>
      <c r="D208" s="715"/>
      <c r="E208" s="116" t="s">
        <v>339</v>
      </c>
      <c r="F208" s="116" t="s">
        <v>335</v>
      </c>
      <c r="G208" s="116" t="s">
        <v>323</v>
      </c>
      <c r="H208" s="577">
        <f t="shared" ref="H208:AG208" si="68">H88/H149</f>
        <v>567.88965517241365</v>
      </c>
      <c r="I208" s="577">
        <f t="shared" si="68"/>
        <v>919.4133517241379</v>
      </c>
      <c r="J208" s="577">
        <f t="shared" si="68"/>
        <v>2623.0823172413784</v>
      </c>
      <c r="K208" s="577">
        <f t="shared" si="68"/>
        <v>5546.0103724137925</v>
      </c>
      <c r="L208" s="577">
        <f t="shared" si="68"/>
        <v>8471.2099862068953</v>
      </c>
      <c r="M208" s="577">
        <f t="shared" si="68"/>
        <v>11395.273820689656</v>
      </c>
      <c r="N208" s="577">
        <f t="shared" si="68"/>
        <v>14318.201875862069</v>
      </c>
      <c r="O208" s="577">
        <f t="shared" si="68"/>
        <v>17245.673048275861</v>
      </c>
      <c r="P208" s="577">
        <f t="shared" si="68"/>
        <v>18818.159503448274</v>
      </c>
      <c r="Q208" s="577">
        <f t="shared" si="68"/>
        <v>20392.917517241374</v>
      </c>
      <c r="R208" s="577">
        <f t="shared" si="68"/>
        <v>21965.971862068964</v>
      </c>
      <c r="S208" s="577">
        <f t="shared" si="68"/>
        <v>23538.458317241384</v>
      </c>
      <c r="T208" s="577">
        <f t="shared" si="68"/>
        <v>25114.920000000009</v>
      </c>
      <c r="U208" s="577">
        <f t="shared" si="68"/>
        <v>25466.443696551738</v>
      </c>
      <c r="V208" s="577">
        <f t="shared" si="68"/>
        <v>25817.96739310347</v>
      </c>
      <c r="W208" s="577">
        <f t="shared" si="68"/>
        <v>26169.491089655192</v>
      </c>
      <c r="X208" s="577">
        <f t="shared" si="68"/>
        <v>26521.014786206921</v>
      </c>
      <c r="Y208" s="577">
        <f t="shared" si="68"/>
        <v>26874.242151724171</v>
      </c>
      <c r="Z208" s="577">
        <f t="shared" si="68"/>
        <v>27225.765848275903</v>
      </c>
      <c r="AA208" s="577">
        <f t="shared" si="68"/>
        <v>27578.99321379315</v>
      </c>
      <c r="AB208" s="577">
        <f t="shared" si="68"/>
        <v>27930.516910344879</v>
      </c>
      <c r="AC208" s="577">
        <f t="shared" si="68"/>
        <v>28282.040606896608</v>
      </c>
      <c r="AD208" s="577">
        <f t="shared" si="68"/>
        <v>28635.267972413862</v>
      </c>
      <c r="AE208" s="577">
        <f t="shared" si="68"/>
        <v>28986.79166896559</v>
      </c>
      <c r="AF208" s="577">
        <f t="shared" si="68"/>
        <v>29338.315365517326</v>
      </c>
      <c r="AG208" s="725">
        <f t="shared" si="68"/>
        <v>29691.54273103458</v>
      </c>
      <c r="AH208" s="18"/>
      <c r="AI208" s="18"/>
      <c r="AJ208" s="18"/>
      <c r="AK208" s="18"/>
      <c r="AL208" s="18"/>
      <c r="AM208" s="18"/>
      <c r="AN208" s="18"/>
    </row>
    <row r="209" spans="2:40" ht="21.95" customHeight="1" x14ac:dyDescent="0.2">
      <c r="B209" s="705"/>
      <c r="C209" s="715"/>
      <c r="D209" s="715"/>
      <c r="E209" s="1340" t="s">
        <v>323</v>
      </c>
      <c r="F209" s="220" t="s">
        <v>282</v>
      </c>
      <c r="G209" s="220" t="s">
        <v>339</v>
      </c>
      <c r="H209" s="583">
        <f t="shared" ref="H209:AG209" si="69">H89/H150</f>
        <v>1631.1724137931033</v>
      </c>
      <c r="I209" s="583">
        <f t="shared" si="69"/>
        <v>1631.1724137931033</v>
      </c>
      <c r="J209" s="583">
        <f t="shared" si="69"/>
        <v>19086.348413793105</v>
      </c>
      <c r="K209" s="583">
        <f t="shared" si="69"/>
        <v>36541.524413793552</v>
      </c>
      <c r="L209" s="583">
        <f t="shared" si="69"/>
        <v>54011.380965955403</v>
      </c>
      <c r="M209" s="583">
        <f t="shared" si="69"/>
        <v>71466.556994373532</v>
      </c>
      <c r="N209" s="583">
        <f t="shared" si="69"/>
        <v>88921.73355615529</v>
      </c>
      <c r="O209" s="583">
        <f t="shared" si="69"/>
        <v>106391.59580175066</v>
      </c>
      <c r="P209" s="583">
        <f t="shared" si="69"/>
        <v>106391.62729752106</v>
      </c>
      <c r="Q209" s="583">
        <f t="shared" si="69"/>
        <v>106391.62729752106</v>
      </c>
      <c r="R209" s="583">
        <f t="shared" si="69"/>
        <v>106391.62729752106</v>
      </c>
      <c r="S209" s="583">
        <f t="shared" si="69"/>
        <v>106391.62729752106</v>
      </c>
      <c r="T209" s="583">
        <f t="shared" si="69"/>
        <v>106391.62729752106</v>
      </c>
      <c r="U209" s="583">
        <f t="shared" si="69"/>
        <v>106391.62729752106</v>
      </c>
      <c r="V209" s="583">
        <f t="shared" si="69"/>
        <v>106391.62729752106</v>
      </c>
      <c r="W209" s="583">
        <f t="shared" si="69"/>
        <v>106391.62729752106</v>
      </c>
      <c r="X209" s="583">
        <f t="shared" si="69"/>
        <v>106391.62729752106</v>
      </c>
      <c r="Y209" s="583">
        <f t="shared" si="69"/>
        <v>106391.62729752106</v>
      </c>
      <c r="Z209" s="583">
        <f t="shared" si="69"/>
        <v>106391.62729752106</v>
      </c>
      <c r="AA209" s="583">
        <f t="shared" si="69"/>
        <v>106391.62729752106</v>
      </c>
      <c r="AB209" s="583">
        <f t="shared" si="69"/>
        <v>106391.62729752106</v>
      </c>
      <c r="AC209" s="583">
        <f t="shared" si="69"/>
        <v>106391.62729752106</v>
      </c>
      <c r="AD209" s="583">
        <f t="shared" si="69"/>
        <v>106391.62729752106</v>
      </c>
      <c r="AE209" s="583">
        <f t="shared" si="69"/>
        <v>106391.62729752106</v>
      </c>
      <c r="AF209" s="583">
        <f t="shared" si="69"/>
        <v>106391.62729752106</v>
      </c>
      <c r="AG209" s="728">
        <f t="shared" si="69"/>
        <v>106391.62729752106</v>
      </c>
      <c r="AH209" s="18"/>
      <c r="AI209" s="18"/>
      <c r="AJ209" s="18"/>
      <c r="AK209" s="18"/>
      <c r="AL209" s="18"/>
      <c r="AM209" s="18"/>
      <c r="AN209" s="18"/>
    </row>
    <row r="210" spans="2:40" ht="21.95" customHeight="1" x14ac:dyDescent="0.2">
      <c r="B210" s="705"/>
      <c r="C210" s="715"/>
      <c r="D210" s="715"/>
      <c r="E210" s="1339"/>
      <c r="F210" s="116" t="s">
        <v>339</v>
      </c>
      <c r="G210" s="116" t="s">
        <v>288</v>
      </c>
      <c r="H210" s="577">
        <f t="shared" ref="H210:AG210" si="70">H90/H151</f>
        <v>409.4647154471545</v>
      </c>
      <c r="I210" s="577">
        <f t="shared" si="70"/>
        <v>777.98295934959356</v>
      </c>
      <c r="J210" s="577">
        <f t="shared" si="70"/>
        <v>1146.5012032520324</v>
      </c>
      <c r="K210" s="577">
        <f t="shared" si="70"/>
        <v>2494.0123577235772</v>
      </c>
      <c r="L210" s="577">
        <f t="shared" si="70"/>
        <v>3839.6623089432724</v>
      </c>
      <c r="M210" s="577">
        <f t="shared" si="70"/>
        <v>5189.0346666851319</v>
      </c>
      <c r="N210" s="577">
        <f t="shared" si="70"/>
        <v>6536.5458216108827</v>
      </c>
      <c r="O210" s="577">
        <f t="shared" si="70"/>
        <v>7884.0569813453512</v>
      </c>
      <c r="P210" s="577">
        <f t="shared" si="70"/>
        <v>10227.311918403384</v>
      </c>
      <c r="Q210" s="577">
        <f t="shared" si="70"/>
        <v>12568.706364966445</v>
      </c>
      <c r="R210" s="577">
        <f t="shared" si="70"/>
        <v>14910.106746341769</v>
      </c>
      <c r="S210" s="577">
        <f t="shared" si="70"/>
        <v>17253.402012043443</v>
      </c>
      <c r="T210" s="577">
        <f t="shared" si="70"/>
        <v>19596.843065431745</v>
      </c>
      <c r="U210" s="577">
        <f t="shared" si="70"/>
        <v>20961.76549105722</v>
      </c>
      <c r="V210" s="577">
        <f t="shared" si="70"/>
        <v>21329.312001290331</v>
      </c>
      <c r="W210" s="577">
        <f t="shared" si="70"/>
        <v>21698.204706156983</v>
      </c>
      <c r="X210" s="577">
        <f t="shared" si="70"/>
        <v>22067.169787845251</v>
      </c>
      <c r="Y210" s="577">
        <f t="shared" si="70"/>
        <v>22436.217439992615</v>
      </c>
      <c r="Z210" s="577">
        <f t="shared" si="70"/>
        <v>22805.36115009899</v>
      </c>
      <c r="AA210" s="577">
        <f t="shared" si="70"/>
        <v>23174.616329689467</v>
      </c>
      <c r="AB210" s="577">
        <f t="shared" si="70"/>
        <v>23544.000550337249</v>
      </c>
      <c r="AC210" s="577">
        <f t="shared" si="70"/>
        <v>23913.533804083392</v>
      </c>
      <c r="AD210" s="577">
        <f t="shared" si="70"/>
        <v>24281.377007080642</v>
      </c>
      <c r="AE210" s="577">
        <f t="shared" si="70"/>
        <v>24651.272493990735</v>
      </c>
      <c r="AF210" s="577">
        <f t="shared" si="70"/>
        <v>25021.400258194397</v>
      </c>
      <c r="AG210" s="725">
        <f t="shared" si="70"/>
        <v>25391.787234294086</v>
      </c>
      <c r="AH210" s="18"/>
      <c r="AI210" s="18"/>
      <c r="AJ210" s="18"/>
      <c r="AK210" s="18"/>
      <c r="AL210" s="18"/>
      <c r="AM210" s="18"/>
      <c r="AN210" s="18"/>
    </row>
    <row r="211" spans="2:40" ht="21.95" customHeight="1" x14ac:dyDescent="0.2">
      <c r="B211" s="705"/>
      <c r="C211" s="715"/>
      <c r="D211" s="715"/>
      <c r="E211" s="1339"/>
      <c r="F211" s="116" t="s">
        <v>288</v>
      </c>
      <c r="G211" s="116" t="s">
        <v>340</v>
      </c>
      <c r="H211" s="577">
        <f t="shared" ref="H211:AG211" si="71">H91/H152</f>
        <v>1306.9664233576641</v>
      </c>
      <c r="I211" s="577">
        <f t="shared" si="71"/>
        <v>2482.6698522627735</v>
      </c>
      <c r="J211" s="577">
        <f t="shared" si="71"/>
        <v>3657.9811912408763</v>
      </c>
      <c r="K211" s="577">
        <f t="shared" si="71"/>
        <v>7957.7700274452536</v>
      </c>
      <c r="L211" s="577">
        <f t="shared" si="71"/>
        <v>12257.733125839415</v>
      </c>
      <c r="M211" s="577">
        <f t="shared" si="71"/>
        <v>16563.185483211677</v>
      </c>
      <c r="N211" s="577">
        <f t="shared" si="71"/>
        <v>20862.974319416066</v>
      </c>
      <c r="O211" s="577">
        <f t="shared" si="71"/>
        <v>25165.377088467241</v>
      </c>
      <c r="P211" s="577">
        <f t="shared" si="71"/>
        <v>32642.401299854781</v>
      </c>
      <c r="Q211" s="577">
        <f t="shared" si="71"/>
        <v>40116.375922932435</v>
      </c>
      <c r="R211" s="577">
        <f t="shared" si="71"/>
        <v>47592.833782308466</v>
      </c>
      <c r="S211" s="577">
        <f t="shared" si="71"/>
        <v>55069.857994335325</v>
      </c>
      <c r="T211" s="577">
        <f t="shared" si="71"/>
        <v>62552.327902101948</v>
      </c>
      <c r="U211" s="577">
        <f t="shared" si="71"/>
        <v>66901.868603958763</v>
      </c>
      <c r="V211" s="577">
        <f t="shared" si="71"/>
        <v>68077.572046942791</v>
      </c>
      <c r="W211" s="577">
        <f t="shared" si="71"/>
        <v>69253.275481806137</v>
      </c>
      <c r="X211" s="577">
        <f t="shared" si="71"/>
        <v>70428.978917790533</v>
      </c>
      <c r="Y211" s="577">
        <f t="shared" si="71"/>
        <v>71604.290265155098</v>
      </c>
      <c r="Z211" s="577">
        <f t="shared" si="71"/>
        <v>72779.993703964545</v>
      </c>
      <c r="AA211" s="577">
        <f t="shared" si="71"/>
        <v>73955.305054614058</v>
      </c>
      <c r="AB211" s="577">
        <f t="shared" si="71"/>
        <v>75131.008497229122</v>
      </c>
      <c r="AC211" s="577">
        <f t="shared" si="71"/>
        <v>76306.711942206966</v>
      </c>
      <c r="AD211" s="577">
        <f t="shared" si="71"/>
        <v>77482.023299975219</v>
      </c>
      <c r="AE211" s="577">
        <f t="shared" si="71"/>
        <v>78657.726750788788</v>
      </c>
      <c r="AF211" s="577">
        <f t="shared" si="71"/>
        <v>79833.430205193494</v>
      </c>
      <c r="AG211" s="725">
        <f t="shared" si="71"/>
        <v>81008.741573774692</v>
      </c>
      <c r="AH211" s="18"/>
      <c r="AI211" s="18"/>
      <c r="AJ211" s="18"/>
      <c r="AK211" s="18"/>
      <c r="AL211" s="18"/>
      <c r="AM211" s="18"/>
      <c r="AN211" s="18"/>
    </row>
    <row r="212" spans="2:40" ht="21.95" customHeight="1" x14ac:dyDescent="0.2">
      <c r="B212" s="705"/>
      <c r="C212" s="715"/>
      <c r="D212" s="715"/>
      <c r="E212" s="1353"/>
      <c r="F212" s="254" t="s">
        <v>340</v>
      </c>
      <c r="G212" s="254" t="s">
        <v>280</v>
      </c>
      <c r="H212" s="587">
        <f t="shared" ref="H212:AG212" si="72">H92/H153</f>
        <v>1879.8832116788319</v>
      </c>
      <c r="I212" s="587">
        <f t="shared" si="72"/>
        <v>3570.9634861313857</v>
      </c>
      <c r="J212" s="587">
        <f t="shared" si="72"/>
        <v>5261.4797956204384</v>
      </c>
      <c r="K212" s="587">
        <f t="shared" si="72"/>
        <v>11446.107573722626</v>
      </c>
      <c r="L212" s="587">
        <f t="shared" si="72"/>
        <v>17630.986002919708</v>
      </c>
      <c r="M212" s="587">
        <f t="shared" si="72"/>
        <v>23823.75994160584</v>
      </c>
      <c r="N212" s="587">
        <f t="shared" si="72"/>
        <v>30008.387719708047</v>
      </c>
      <c r="O212" s="587">
        <f t="shared" si="72"/>
        <v>36196.775264233707</v>
      </c>
      <c r="P212" s="587">
        <f t="shared" si="72"/>
        <v>46951.399129928112</v>
      </c>
      <c r="Q212" s="587">
        <f t="shared" si="72"/>
        <v>57701.63660147816</v>
      </c>
      <c r="R212" s="587">
        <f t="shared" si="72"/>
        <v>68455.445851265613</v>
      </c>
      <c r="S212" s="587">
        <f t="shared" si="72"/>
        <v>79210.069717879582</v>
      </c>
      <c r="T212" s="587">
        <f t="shared" si="72"/>
        <v>89972.526434530198</v>
      </c>
      <c r="U212" s="587">
        <f t="shared" si="72"/>
        <v>96228.715115283165</v>
      </c>
      <c r="V212" s="587">
        <f t="shared" si="72"/>
        <v>97919.795409986211</v>
      </c>
      <c r="W212" s="587">
        <f t="shared" si="72"/>
        <v>99610.875693008828</v>
      </c>
      <c r="X212" s="587">
        <f t="shared" si="72"/>
        <v>101301.95597764391</v>
      </c>
      <c r="Y212" s="587">
        <f t="shared" si="72"/>
        <v>102992.47229919571</v>
      </c>
      <c r="Z212" s="587">
        <f t="shared" si="72"/>
        <v>104683.55258789421</v>
      </c>
      <c r="AA212" s="587">
        <f t="shared" si="72"/>
        <v>106374.0689141709</v>
      </c>
      <c r="AB212" s="587">
        <f t="shared" si="72"/>
        <v>108065.14920834324</v>
      </c>
      <c r="AC212" s="587">
        <f t="shared" si="72"/>
        <v>109756.22950591415</v>
      </c>
      <c r="AD212" s="587">
        <f t="shared" si="72"/>
        <v>111446.7458424301</v>
      </c>
      <c r="AE212" s="587">
        <f t="shared" si="72"/>
        <v>113137.82614839483</v>
      </c>
      <c r="AF212" s="587">
        <f t="shared" si="72"/>
        <v>114828.90645952491</v>
      </c>
      <c r="AG212" s="729">
        <f t="shared" si="72"/>
        <v>116519.42281159376</v>
      </c>
      <c r="AH212" s="18"/>
      <c r="AI212" s="18"/>
      <c r="AJ212" s="18"/>
      <c r="AK212" s="18"/>
      <c r="AL212" s="18"/>
      <c r="AM212" s="18"/>
      <c r="AN212" s="18"/>
    </row>
    <row r="213" spans="2:40" ht="21.95" customHeight="1" x14ac:dyDescent="0.2">
      <c r="B213" s="705"/>
      <c r="C213" s="715"/>
      <c r="D213" s="715"/>
      <c r="E213" s="1340" t="s">
        <v>334</v>
      </c>
      <c r="F213" s="116" t="s">
        <v>336</v>
      </c>
      <c r="G213" s="116" t="s">
        <v>337</v>
      </c>
      <c r="H213" s="577">
        <f t="shared" ref="H213:AG213" si="73">H93/H154</f>
        <v>33732.02357951639</v>
      </c>
      <c r="I213" s="577">
        <f t="shared" si="73"/>
        <v>34645.800003982928</v>
      </c>
      <c r="J213" s="577">
        <f t="shared" si="73"/>
        <v>36133.020830574082</v>
      </c>
      <c r="K213" s="577">
        <f t="shared" si="73"/>
        <v>38266.691796568935</v>
      </c>
      <c r="L213" s="577">
        <f t="shared" si="73"/>
        <v>40401.32653898916</v>
      </c>
      <c r="M213" s="577">
        <f t="shared" si="73"/>
        <v>42535.720344047491</v>
      </c>
      <c r="N213" s="577">
        <f t="shared" si="73"/>
        <v>44669.391329214515</v>
      </c>
      <c r="O213" s="577">
        <f t="shared" si="73"/>
        <v>46804.86940160911</v>
      </c>
      <c r="P213" s="577">
        <f t="shared" si="73"/>
        <v>48703.500501749673</v>
      </c>
      <c r="Q213" s="577">
        <f t="shared" si="73"/>
        <v>50602.733981492202</v>
      </c>
      <c r="R213" s="577">
        <f t="shared" si="73"/>
        <v>52501.365142081915</v>
      </c>
      <c r="S213" s="577">
        <f t="shared" si="73"/>
        <v>54399.996356685857</v>
      </c>
      <c r="T213" s="577">
        <f t="shared" si="73"/>
        <v>56300.314247650596</v>
      </c>
      <c r="U213" s="577">
        <f t="shared" si="73"/>
        <v>57551.652190477871</v>
      </c>
      <c r="V213" s="577">
        <f t="shared" si="73"/>
        <v>58465.428909683462</v>
      </c>
      <c r="W213" s="577">
        <f t="shared" si="73"/>
        <v>59379.205599419198</v>
      </c>
      <c r="X213" s="577">
        <f t="shared" si="73"/>
        <v>60292.982333972301</v>
      </c>
      <c r="Y213" s="577">
        <f t="shared" si="73"/>
        <v>61207.241006113029</v>
      </c>
      <c r="Z213" s="577">
        <f t="shared" si="73"/>
        <v>62121.017851499812</v>
      </c>
      <c r="AA213" s="577">
        <f t="shared" si="73"/>
        <v>63035.276650426946</v>
      </c>
      <c r="AB213" s="577">
        <f t="shared" si="73"/>
        <v>63949.05364086081</v>
      </c>
      <c r="AC213" s="577">
        <f t="shared" si="73"/>
        <v>64862.830719171827</v>
      </c>
      <c r="AD213" s="577">
        <f t="shared" si="73"/>
        <v>65777.089783868912</v>
      </c>
      <c r="AE213" s="577">
        <f t="shared" si="73"/>
        <v>66690.867076863855</v>
      </c>
      <c r="AF213" s="577">
        <f t="shared" si="73"/>
        <v>67604.6444986766</v>
      </c>
      <c r="AG213" s="725">
        <f t="shared" si="73"/>
        <v>68518.903952859022</v>
      </c>
      <c r="AH213" s="18"/>
      <c r="AI213" s="18"/>
      <c r="AJ213" s="18"/>
      <c r="AK213" s="18"/>
      <c r="AL213" s="18"/>
      <c r="AM213" s="18"/>
      <c r="AN213" s="18"/>
    </row>
    <row r="214" spans="2:40" ht="21.95" customHeight="1" x14ac:dyDescent="0.2">
      <c r="B214" s="705"/>
      <c r="C214" s="715"/>
      <c r="D214" s="715"/>
      <c r="E214" s="1339"/>
      <c r="F214" s="116" t="s">
        <v>337</v>
      </c>
      <c r="G214" s="116" t="s">
        <v>386</v>
      </c>
      <c r="H214" s="577">
        <f t="shared" ref="H214:AG214" si="74">H94/H155</f>
        <v>55745.454791158765</v>
      </c>
      <c r="I214" s="577">
        <f t="shared" si="74"/>
        <v>56903.439920229655</v>
      </c>
      <c r="J214" s="577">
        <f t="shared" si="74"/>
        <v>59650.170570861672</v>
      </c>
      <c r="K214" s="577">
        <f t="shared" si="74"/>
        <v>62660.425336912471</v>
      </c>
      <c r="L214" s="577">
        <f t="shared" si="74"/>
        <v>65675.748039504557</v>
      </c>
      <c r="M214" s="577">
        <f t="shared" si="74"/>
        <v>68688.537096897096</v>
      </c>
      <c r="N214" s="577">
        <f t="shared" si="74"/>
        <v>71698.792632191195</v>
      </c>
      <c r="O214" s="577">
        <f t="shared" si="74"/>
        <v>74714.116476405819</v>
      </c>
      <c r="P214" s="577">
        <f t="shared" si="74"/>
        <v>76373.812907783125</v>
      </c>
      <c r="Q214" s="577">
        <f t="shared" si="74"/>
        <v>78036.042724721265</v>
      </c>
      <c r="R214" s="577">
        <f t="shared" si="74"/>
        <v>79695.739076309052</v>
      </c>
      <c r="S214" s="577">
        <f t="shared" si="74"/>
        <v>81357.969814455108</v>
      </c>
      <c r="T214" s="577">
        <f t="shared" si="74"/>
        <v>83017.667282438735</v>
      </c>
      <c r="U214" s="577">
        <f t="shared" si="74"/>
        <v>84413.841450636712</v>
      </c>
      <c r="V214" s="577">
        <f t="shared" si="74"/>
        <v>85619.974336415908</v>
      </c>
      <c r="W214" s="577">
        <f t="shared" si="74"/>
        <v>86828.641182108462</v>
      </c>
      <c r="X214" s="577">
        <f t="shared" si="74"/>
        <v>88037.308647037513</v>
      </c>
      <c r="Y214" s="577">
        <f t="shared" si="74"/>
        <v>89245.976806189792</v>
      </c>
      <c r="Z214" s="577">
        <f t="shared" si="74"/>
        <v>90454.645751395146</v>
      </c>
      <c r="AA214" s="577">
        <f t="shared" si="74"/>
        <v>91663.315585126562</v>
      </c>
      <c r="AB214" s="577">
        <f t="shared" si="74"/>
        <v>92871.986421564274</v>
      </c>
      <c r="AC214" s="577">
        <f t="shared" si="74"/>
        <v>94080.658387749965</v>
      </c>
      <c r="AD214" s="577">
        <f t="shared" si="74"/>
        <v>95289.331624836937</v>
      </c>
      <c r="AE214" s="577">
        <f t="shared" si="74"/>
        <v>96498.006289443147</v>
      </c>
      <c r="AF214" s="577">
        <f t="shared" si="74"/>
        <v>97704.148668118389</v>
      </c>
      <c r="AG214" s="725">
        <f t="shared" si="74"/>
        <v>98912.826695616735</v>
      </c>
      <c r="AH214" s="18"/>
      <c r="AI214" s="18"/>
      <c r="AJ214" s="18"/>
      <c r="AK214" s="18"/>
      <c r="AL214" s="18"/>
      <c r="AM214" s="18"/>
      <c r="AN214" s="18"/>
    </row>
    <row r="215" spans="2:40" ht="21.95" customHeight="1" x14ac:dyDescent="0.2">
      <c r="B215" s="705"/>
      <c r="C215" s="715"/>
      <c r="D215" s="715"/>
      <c r="E215" s="1339"/>
      <c r="F215" s="116" t="s">
        <v>342</v>
      </c>
      <c r="G215" s="116" t="s">
        <v>341</v>
      </c>
      <c r="H215" s="577">
        <f t="shared" ref="H215:AG215" si="75">H95/H156</f>
        <v>80818.064981211879</v>
      </c>
      <c r="I215" s="577">
        <f t="shared" si="75"/>
        <v>82496.876603776152</v>
      </c>
      <c r="J215" s="577">
        <f t="shared" si="75"/>
        <v>86479.003191901182</v>
      </c>
      <c r="K215" s="577">
        <f t="shared" si="75"/>
        <v>90843.179093329192</v>
      </c>
      <c r="L215" s="577">
        <f t="shared" si="75"/>
        <v>95214.702409429578</v>
      </c>
      <c r="M215" s="577">
        <f t="shared" si="75"/>
        <v>99582.55262972106</v>
      </c>
      <c r="N215" s="577">
        <f t="shared" si="75"/>
        <v>103946.72998721634</v>
      </c>
      <c r="O215" s="577">
        <f t="shared" si="75"/>
        <v>108318.25546424444</v>
      </c>
      <c r="P215" s="577">
        <f t="shared" si="75"/>
        <v>110724.43385331186</v>
      </c>
      <c r="Q215" s="577">
        <f t="shared" si="75"/>
        <v>113134.28484672935</v>
      </c>
      <c r="R215" s="577">
        <f t="shared" si="75"/>
        <v>115540.46308476664</v>
      </c>
      <c r="S215" s="577">
        <f t="shared" si="75"/>
        <v>117950.31582189864</v>
      </c>
      <c r="T215" s="577">
        <f t="shared" si="75"/>
        <v>120356.49617311315</v>
      </c>
      <c r="U215" s="577">
        <f t="shared" si="75"/>
        <v>122380.62875490115</v>
      </c>
      <c r="V215" s="577">
        <f t="shared" si="75"/>
        <v>124129.24528317293</v>
      </c>
      <c r="W215" s="577">
        <f t="shared" si="75"/>
        <v>125881.53550296173</v>
      </c>
      <c r="X215" s="577">
        <f t="shared" si="75"/>
        <v>127633.82689487645</v>
      </c>
      <c r="Y215" s="577">
        <f t="shared" si="75"/>
        <v>129386.11960085618</v>
      </c>
      <c r="Z215" s="577">
        <f t="shared" si="75"/>
        <v>131138.41379472159</v>
      </c>
      <c r="AA215" s="577">
        <f t="shared" si="75"/>
        <v>132890.70967043942</v>
      </c>
      <c r="AB215" s="577">
        <f t="shared" si="75"/>
        <v>134643.00744413648</v>
      </c>
      <c r="AC215" s="577">
        <f t="shared" si="75"/>
        <v>136395.30735628447</v>
      </c>
      <c r="AD215" s="577">
        <f t="shared" si="75"/>
        <v>138147.60967406625</v>
      </c>
      <c r="AE215" s="577">
        <f t="shared" si="75"/>
        <v>139899.91469393735</v>
      </c>
      <c r="AF215" s="577">
        <f t="shared" si="75"/>
        <v>141648.54919089979</v>
      </c>
      <c r="AG215" s="725">
        <f t="shared" si="75"/>
        <v>143400.8605762434</v>
      </c>
      <c r="AH215" s="18"/>
      <c r="AI215" s="18"/>
      <c r="AJ215" s="18"/>
      <c r="AK215" s="18"/>
      <c r="AL215" s="18"/>
      <c r="AM215" s="18"/>
      <c r="AN215" s="18"/>
    </row>
    <row r="216" spans="2:40" ht="21.95" customHeight="1" x14ac:dyDescent="0.2">
      <c r="B216" s="705"/>
      <c r="C216" s="715"/>
      <c r="D216" s="715"/>
      <c r="E216" s="1339"/>
      <c r="F216" s="116" t="s">
        <v>341</v>
      </c>
      <c r="G216" s="116" t="s">
        <v>344</v>
      </c>
      <c r="H216" s="577">
        <f t="shared" ref="H216:AG216" si="76">H96/H157</f>
        <v>83479.418264654334</v>
      </c>
      <c r="I216" s="577">
        <f t="shared" si="76"/>
        <v>85290.279491626061</v>
      </c>
      <c r="J216" s="577">
        <f t="shared" si="76"/>
        <v>89406.457462804872</v>
      </c>
      <c r="K216" s="577">
        <f t="shared" si="76"/>
        <v>93920.769210041937</v>
      </c>
      <c r="L216" s="577">
        <f t="shared" si="76"/>
        <v>98438.293055927265</v>
      </c>
      <c r="M216" s="577">
        <f t="shared" si="76"/>
        <v>102952.60807347727</v>
      </c>
      <c r="N216" s="577">
        <f t="shared" si="76"/>
        <v>107466.92600174782</v>
      </c>
      <c r="O216" s="577">
        <f t="shared" si="76"/>
        <v>111984.45902775836</v>
      </c>
      <c r="P216" s="577">
        <f t="shared" si="76"/>
        <v>114476.01634041735</v>
      </c>
      <c r="Q216" s="577">
        <f t="shared" si="76"/>
        <v>116964.35892285022</v>
      </c>
      <c r="R216" s="577">
        <f t="shared" si="76"/>
        <v>119455.91558503898</v>
      </c>
      <c r="S216" s="577">
        <f t="shared" si="76"/>
        <v>121944.26558403211</v>
      </c>
      <c r="T216" s="577">
        <f t="shared" si="76"/>
        <v>124435.83121365932</v>
      </c>
      <c r="U216" s="577">
        <f t="shared" si="76"/>
        <v>126522.84817853144</v>
      </c>
      <c r="V216" s="577">
        <f t="shared" si="76"/>
        <v>128333.74112384691</v>
      </c>
      <c r="W216" s="577">
        <f t="shared" si="76"/>
        <v>130147.84555067032</v>
      </c>
      <c r="X216" s="577">
        <f t="shared" si="76"/>
        <v>131958.74420704608</v>
      </c>
      <c r="Y216" s="577">
        <f t="shared" si="76"/>
        <v>133769.64838447963</v>
      </c>
      <c r="Z216" s="577">
        <f t="shared" si="76"/>
        <v>135580.55887661708</v>
      </c>
      <c r="AA216" s="577">
        <f t="shared" si="76"/>
        <v>137391.47650628746</v>
      </c>
      <c r="AB216" s="577">
        <f t="shared" si="76"/>
        <v>139202.40219028306</v>
      </c>
      <c r="AC216" s="577">
        <f t="shared" si="76"/>
        <v>141013.33694861818</v>
      </c>
      <c r="AD216" s="577">
        <f t="shared" si="76"/>
        <v>142824.28191455905</v>
      </c>
      <c r="AE216" s="577">
        <f t="shared" si="76"/>
        <v>144638.44910842169</v>
      </c>
      <c r="AF216" s="577">
        <f t="shared" si="76"/>
        <v>146449.41858535048</v>
      </c>
      <c r="AG216" s="725">
        <f t="shared" si="76"/>
        <v>148260.40230136446</v>
      </c>
      <c r="AH216" s="18"/>
      <c r="AI216" s="18"/>
      <c r="AJ216" s="18"/>
      <c r="AK216" s="18"/>
      <c r="AL216" s="18"/>
      <c r="AM216" s="18"/>
      <c r="AN216" s="18"/>
    </row>
    <row r="217" spans="2:40" ht="21.95" customHeight="1" x14ac:dyDescent="0.2">
      <c r="B217" s="705"/>
      <c r="C217" s="715"/>
      <c r="D217" s="715"/>
      <c r="E217" s="1339"/>
      <c r="F217" s="116" t="s">
        <v>344</v>
      </c>
      <c r="G217" s="116" t="s">
        <v>345</v>
      </c>
      <c r="H217" s="577">
        <f t="shared" ref="H217:AG217" si="77">H97/H158</f>
        <v>28168.198122414615</v>
      </c>
      <c r="I217" s="577">
        <f t="shared" si="77"/>
        <v>28779.231343223917</v>
      </c>
      <c r="J217" s="577">
        <f t="shared" si="77"/>
        <v>30168.140251289169</v>
      </c>
      <c r="K217" s="577">
        <f t="shared" si="77"/>
        <v>31691.389941155521</v>
      </c>
      <c r="L217" s="577">
        <f t="shared" si="77"/>
        <v>33215.723190918536</v>
      </c>
      <c r="M217" s="577">
        <f t="shared" si="77"/>
        <v>34738.973286398046</v>
      </c>
      <c r="N217" s="577">
        <f t="shared" si="77"/>
        <v>36262.22374289087</v>
      </c>
      <c r="O217" s="577">
        <f t="shared" si="77"/>
        <v>37786.558131254285</v>
      </c>
      <c r="P217" s="577">
        <f t="shared" si="77"/>
        <v>38627.272707762924</v>
      </c>
      <c r="Q217" s="577">
        <f t="shared" si="77"/>
        <v>39466.903397983318</v>
      </c>
      <c r="R217" s="577">
        <f t="shared" si="77"/>
        <v>40307.617893814873</v>
      </c>
      <c r="S217" s="577">
        <f t="shared" si="77"/>
        <v>41147.249503902713</v>
      </c>
      <c r="T217" s="577">
        <f t="shared" si="77"/>
        <v>41987.965111955367</v>
      </c>
      <c r="U217" s="577">
        <f t="shared" si="77"/>
        <v>42692.173972948505</v>
      </c>
      <c r="V217" s="577">
        <f t="shared" si="77"/>
        <v>43303.211127747534</v>
      </c>
      <c r="W217" s="577">
        <f t="shared" si="77"/>
        <v>43915.33176590006</v>
      </c>
      <c r="X217" s="577">
        <f t="shared" si="77"/>
        <v>44526.36962903534</v>
      </c>
      <c r="Y217" s="577">
        <f t="shared" si="77"/>
        <v>45137.408176941084</v>
      </c>
      <c r="Z217" s="577">
        <f t="shared" si="77"/>
        <v>45748.447508052297</v>
      </c>
      <c r="AA217" s="577">
        <f t="shared" si="77"/>
        <v>46359.487724423518</v>
      </c>
      <c r="AB217" s="577">
        <f t="shared" si="77"/>
        <v>46970.528939763441</v>
      </c>
      <c r="AC217" s="577">
        <f t="shared" si="77"/>
        <v>47581.571280583274</v>
      </c>
      <c r="AD217" s="577">
        <f t="shared" si="77"/>
        <v>48192.614887440723</v>
      </c>
      <c r="AE217" s="577">
        <f t="shared" si="77"/>
        <v>48804.74331051702</v>
      </c>
      <c r="AF217" s="577">
        <f t="shared" si="77"/>
        <v>49415.789957444147</v>
      </c>
      <c r="AG217" s="725">
        <f t="shared" si="77"/>
        <v>50026.838370428653</v>
      </c>
      <c r="AH217" s="18"/>
      <c r="AI217" s="18"/>
      <c r="AJ217" s="18"/>
      <c r="AK217" s="18"/>
      <c r="AL217" s="18"/>
      <c r="AM217" s="18"/>
      <c r="AN217" s="18"/>
    </row>
    <row r="218" spans="2:40" ht="21.95" customHeight="1" x14ac:dyDescent="0.2">
      <c r="B218" s="705"/>
      <c r="C218" s="715"/>
      <c r="D218" s="715"/>
      <c r="E218" s="1339"/>
      <c r="F218" s="116" t="s">
        <v>345</v>
      </c>
      <c r="G218" s="116" t="s">
        <v>323</v>
      </c>
      <c r="H218" s="577">
        <f t="shared" ref="H218:AG218" si="78">H98/H159</f>
        <v>278291.63733562781</v>
      </c>
      <c r="I218" s="577">
        <f t="shared" si="78"/>
        <v>284329.5719671062</v>
      </c>
      <c r="J218" s="577">
        <f t="shared" si="78"/>
        <v>298049.35020686837</v>
      </c>
      <c r="K218" s="577">
        <f t="shared" si="78"/>
        <v>313100.45696822734</v>
      </c>
      <c r="L218" s="577">
        <f t="shared" si="78"/>
        <v>328158.52242051531</v>
      </c>
      <c r="M218" s="577">
        <f t="shared" si="78"/>
        <v>343211.62036450882</v>
      </c>
      <c r="N218" s="577">
        <f t="shared" si="78"/>
        <v>358262.73352715239</v>
      </c>
      <c r="O218" s="577">
        <f t="shared" si="78"/>
        <v>373322.29933342023</v>
      </c>
      <c r="P218" s="577">
        <f t="shared" si="78"/>
        <v>381621.37189650675</v>
      </c>
      <c r="Q218" s="577">
        <f t="shared" si="78"/>
        <v>389920.44032496482</v>
      </c>
      <c r="R218" s="577">
        <f t="shared" si="78"/>
        <v>398219.51221953286</v>
      </c>
      <c r="S218" s="577">
        <f t="shared" si="78"/>
        <v>406518.58831864485</v>
      </c>
      <c r="T218" s="577">
        <f t="shared" si="78"/>
        <v>414820.65119446412</v>
      </c>
      <c r="U218" s="577">
        <f t="shared" si="78"/>
        <v>421786.91982008371</v>
      </c>
      <c r="V218" s="577">
        <f t="shared" si="78"/>
        <v>427824.88732570218</v>
      </c>
      <c r="W218" s="577">
        <f t="shared" si="78"/>
        <v>433862.85555676138</v>
      </c>
      <c r="X218" s="577">
        <f t="shared" si="78"/>
        <v>439900.8288797047</v>
      </c>
      <c r="Y218" s="577">
        <f t="shared" si="78"/>
        <v>445939.30492762511</v>
      </c>
      <c r="Z218" s="577">
        <f t="shared" si="78"/>
        <v>451977.29056900257</v>
      </c>
      <c r="AA218" s="577">
        <f t="shared" si="78"/>
        <v>458015.78054794727</v>
      </c>
      <c r="AB218" s="577">
        <f t="shared" si="78"/>
        <v>464053.7819233996</v>
      </c>
      <c r="AC218" s="577">
        <f t="shared" si="78"/>
        <v>470091.79269169841</v>
      </c>
      <c r="AD218" s="577">
        <f t="shared" si="78"/>
        <v>476130.31098141416</v>
      </c>
      <c r="AE218" s="577">
        <f t="shared" si="78"/>
        <v>482168.34420287888</v>
      </c>
      <c r="AF218" s="577">
        <f t="shared" si="78"/>
        <v>488206.39073453378</v>
      </c>
      <c r="AG218" s="725">
        <f t="shared" si="78"/>
        <v>494244.94913070265</v>
      </c>
      <c r="AH218" s="18"/>
      <c r="AI218" s="18"/>
      <c r="AJ218" s="18"/>
      <c r="AK218" s="18"/>
      <c r="AL218" s="18"/>
      <c r="AM218" s="18"/>
      <c r="AN218" s="18"/>
    </row>
    <row r="219" spans="2:40" ht="21.95" customHeight="1" x14ac:dyDescent="0.2">
      <c r="B219" s="705"/>
      <c r="C219" s="715"/>
      <c r="D219" s="715"/>
      <c r="E219" s="1339"/>
      <c r="F219" s="116" t="s">
        <v>323</v>
      </c>
      <c r="G219" s="116" t="s">
        <v>347</v>
      </c>
      <c r="H219" s="577">
        <f t="shared" ref="H219:AG219" si="79">H99/H160</f>
        <v>49694.935238504971</v>
      </c>
      <c r="I219" s="577">
        <f t="shared" si="79"/>
        <v>50773.137851268963</v>
      </c>
      <c r="J219" s="577">
        <f t="shared" si="79"/>
        <v>52378.994278347993</v>
      </c>
      <c r="K219" s="577">
        <f t="shared" si="79"/>
        <v>54222.587816549421</v>
      </c>
      <c r="L219" s="577">
        <f t="shared" si="79"/>
        <v>56066.713913211228</v>
      </c>
      <c r="M219" s="577">
        <f t="shared" si="79"/>
        <v>57910.662652248531</v>
      </c>
      <c r="N219" s="577">
        <f t="shared" si="79"/>
        <v>59754.256595015337</v>
      </c>
      <c r="O219" s="577">
        <f t="shared" si="79"/>
        <v>61598.649430214413</v>
      </c>
      <c r="P219" s="577">
        <f t="shared" si="79"/>
        <v>63080.624479096718</v>
      </c>
      <c r="Q219" s="577">
        <f t="shared" si="79"/>
        <v>64562.599601468479</v>
      </c>
      <c r="R219" s="577">
        <f t="shared" si="79"/>
        <v>66044.575033247238</v>
      </c>
      <c r="S219" s="577">
        <f t="shared" si="79"/>
        <v>67526.550846129117</v>
      </c>
      <c r="T219" s="577">
        <f t="shared" si="79"/>
        <v>69009.05957202999</v>
      </c>
      <c r="U219" s="577">
        <f t="shared" si="79"/>
        <v>70253.033135530874</v>
      </c>
      <c r="V219" s="577">
        <f t="shared" si="79"/>
        <v>71331.238656200047</v>
      </c>
      <c r="W219" s="577">
        <f t="shared" si="79"/>
        <v>72409.444274015303</v>
      </c>
      <c r="X219" s="577">
        <f t="shared" si="79"/>
        <v>73487.650382665073</v>
      </c>
      <c r="Y219" s="577">
        <f t="shared" si="79"/>
        <v>74565.945793967287</v>
      </c>
      <c r="Z219" s="577">
        <f t="shared" si="79"/>
        <v>75644.15310610614</v>
      </c>
      <c r="AA219" s="577">
        <f t="shared" si="79"/>
        <v>76722.449890056363</v>
      </c>
      <c r="AB219" s="577">
        <f t="shared" si="79"/>
        <v>77800.658765332963</v>
      </c>
      <c r="AC219" s="577">
        <f t="shared" si="79"/>
        <v>78878.868584809432</v>
      </c>
      <c r="AD219" s="577">
        <f t="shared" si="79"/>
        <v>79957.168216158709</v>
      </c>
      <c r="AE219" s="577">
        <f t="shared" si="79"/>
        <v>81035.380319098651</v>
      </c>
      <c r="AF219" s="577">
        <f t="shared" si="79"/>
        <v>82113.593790483646</v>
      </c>
      <c r="AG219" s="725">
        <f t="shared" si="79"/>
        <v>83191.897547171684</v>
      </c>
      <c r="AH219" s="18"/>
      <c r="AI219" s="18"/>
      <c r="AJ219" s="18"/>
      <c r="AK219" s="18"/>
      <c r="AL219" s="18"/>
      <c r="AM219" s="18"/>
      <c r="AN219" s="18"/>
    </row>
    <row r="220" spans="2:40" ht="21.95" customHeight="1" x14ac:dyDescent="0.2">
      <c r="B220" s="705"/>
      <c r="C220" s="715"/>
      <c r="D220" s="715"/>
      <c r="E220" s="1339"/>
      <c r="F220" s="116" t="s">
        <v>347</v>
      </c>
      <c r="G220" s="116" t="s">
        <v>348</v>
      </c>
      <c r="H220" s="577">
        <f t="shared" ref="H220:AG220" si="80">H100/H161</f>
        <v>40672.48777113924</v>
      </c>
      <c r="I220" s="577">
        <f t="shared" si="80"/>
        <v>41554.935496888065</v>
      </c>
      <c r="J220" s="577">
        <f t="shared" si="80"/>
        <v>42869.238003894534</v>
      </c>
      <c r="K220" s="577">
        <f t="shared" si="80"/>
        <v>44378.114902850437</v>
      </c>
      <c r="L220" s="577">
        <f t="shared" si="80"/>
        <v>45887.427722361812</v>
      </c>
      <c r="M220" s="577">
        <f t="shared" si="80"/>
        <v>47396.595441647762</v>
      </c>
      <c r="N220" s="577">
        <f t="shared" si="80"/>
        <v>48905.472857054381</v>
      </c>
      <c r="O220" s="577">
        <f t="shared" si="80"/>
        <v>50415.004223175063</v>
      </c>
      <c r="P220" s="577">
        <f t="shared" si="80"/>
        <v>51627.917300071633</v>
      </c>
      <c r="Q220" s="577">
        <f t="shared" si="80"/>
        <v>52840.830470781642</v>
      </c>
      <c r="R220" s="577">
        <f t="shared" si="80"/>
        <v>54053.744036467302</v>
      </c>
      <c r="S220" s="577">
        <f t="shared" si="80"/>
        <v>55266.658088652737</v>
      </c>
      <c r="T220" s="577">
        <f t="shared" si="80"/>
        <v>56480.008514007859</v>
      </c>
      <c r="U220" s="577">
        <f t="shared" si="80"/>
        <v>57498.131670481205</v>
      </c>
      <c r="V220" s="577">
        <f t="shared" si="80"/>
        <v>58380.583108336286</v>
      </c>
      <c r="W220" s="577">
        <f t="shared" si="80"/>
        <v>59263.034670203873</v>
      </c>
      <c r="X220" s="577">
        <f t="shared" si="80"/>
        <v>60145.486858649594</v>
      </c>
      <c r="Y220" s="577">
        <f t="shared" si="80"/>
        <v>61028.012393575525</v>
      </c>
      <c r="Z220" s="577">
        <f t="shared" si="80"/>
        <v>61910.466118343495</v>
      </c>
      <c r="AA220" s="577">
        <f t="shared" si="80"/>
        <v>62792.993405532594</v>
      </c>
      <c r="AB220" s="577">
        <f t="shared" si="80"/>
        <v>63675.44912573474</v>
      </c>
      <c r="AC220" s="577">
        <f t="shared" si="80"/>
        <v>64557.906051261729</v>
      </c>
      <c r="AD220" s="577">
        <f t="shared" si="80"/>
        <v>65440.436973317592</v>
      </c>
      <c r="AE220" s="577">
        <f t="shared" si="80"/>
        <v>66322.896813815474</v>
      </c>
      <c r="AF220" s="577">
        <f t="shared" si="80"/>
        <v>67205.358401211284</v>
      </c>
      <c r="AG220" s="725">
        <f t="shared" si="80"/>
        <v>68087.894589496558</v>
      </c>
      <c r="AH220" s="18"/>
      <c r="AI220" s="18"/>
      <c r="AJ220" s="18"/>
      <c r="AK220" s="18"/>
      <c r="AL220" s="18"/>
      <c r="AM220" s="18"/>
      <c r="AN220" s="18"/>
    </row>
    <row r="221" spans="2:40" ht="21.95" customHeight="1" x14ac:dyDescent="0.2">
      <c r="B221" s="705"/>
      <c r="C221" s="715"/>
      <c r="D221" s="715"/>
      <c r="E221" s="1353"/>
      <c r="F221" s="254" t="s">
        <v>348</v>
      </c>
      <c r="G221" s="254" t="s">
        <v>349</v>
      </c>
      <c r="H221" s="577">
        <f t="shared" ref="H221:AG221" si="81">H101/H162</f>
        <v>66404.063777751493</v>
      </c>
      <c r="I221" s="577">
        <f t="shared" si="81"/>
        <v>67990.187094892884</v>
      </c>
      <c r="J221" s="577">
        <f t="shared" si="81"/>
        <v>70193.453985804037</v>
      </c>
      <c r="K221" s="577">
        <f t="shared" si="81"/>
        <v>73119.592092351144</v>
      </c>
      <c r="L221" s="577">
        <f t="shared" si="81"/>
        <v>76046.561691642055</v>
      </c>
      <c r="M221" s="577">
        <f t="shared" si="81"/>
        <v>78973.740323112943</v>
      </c>
      <c r="N221" s="577">
        <f t="shared" si="81"/>
        <v>81899.88354954547</v>
      </c>
      <c r="O221" s="577">
        <f t="shared" si="81"/>
        <v>84827.689900970552</v>
      </c>
      <c r="P221" s="577">
        <f t="shared" si="81"/>
        <v>87622.069724644345</v>
      </c>
      <c r="Q221" s="577">
        <f t="shared" si="81"/>
        <v>90416.558039537194</v>
      </c>
      <c r="R221" s="577">
        <f t="shared" si="81"/>
        <v>93210.949583550813</v>
      </c>
      <c r="S221" s="577">
        <f t="shared" si="81"/>
        <v>96005.35038113175</v>
      </c>
      <c r="T221" s="577">
        <f t="shared" si="81"/>
        <v>98801.423440666826</v>
      </c>
      <c r="U221" s="577">
        <f t="shared" si="81"/>
        <v>100872.15011269046</v>
      </c>
      <c r="V221" s="577">
        <f t="shared" si="81"/>
        <v>102458.33115690306</v>
      </c>
      <c r="W221" s="577">
        <f t="shared" si="81"/>
        <v>104044.50845541745</v>
      </c>
      <c r="X221" s="577">
        <f t="shared" si="81"/>
        <v>105630.69478852728</v>
      </c>
      <c r="Y221" s="577">
        <f t="shared" si="81"/>
        <v>107217.20276381903</v>
      </c>
      <c r="Z221" s="577">
        <f t="shared" si="81"/>
        <v>108803.41136733748</v>
      </c>
      <c r="AA221" s="577">
        <f t="shared" si="81"/>
        <v>110389.94481269807</v>
      </c>
      <c r="AB221" s="577">
        <f t="shared" si="81"/>
        <v>111976.18251073435</v>
      </c>
      <c r="AC221" s="577">
        <f t="shared" si="81"/>
        <v>113562.43784445312</v>
      </c>
      <c r="AD221" s="577">
        <f t="shared" si="81"/>
        <v>115149.02451950277</v>
      </c>
      <c r="AE221" s="577">
        <f t="shared" si="81"/>
        <v>116735.32272994565</v>
      </c>
      <c r="AF221" s="577">
        <f t="shared" si="81"/>
        <v>118321.64670842813</v>
      </c>
      <c r="AG221" s="725">
        <f t="shared" si="81"/>
        <v>119908.31113225204</v>
      </c>
      <c r="AH221" s="18"/>
      <c r="AI221" s="18"/>
      <c r="AJ221" s="18"/>
      <c r="AK221" s="18"/>
      <c r="AL221" s="18"/>
      <c r="AM221" s="18"/>
      <c r="AN221" s="18"/>
    </row>
    <row r="222" spans="2:40" ht="21.95" customHeight="1" x14ac:dyDescent="0.2">
      <c r="B222" s="705"/>
      <c r="C222" s="715"/>
      <c r="D222" s="715"/>
      <c r="E222" s="116" t="s">
        <v>288</v>
      </c>
      <c r="F222" s="116" t="s">
        <v>323</v>
      </c>
      <c r="G222" s="116" t="s">
        <v>348</v>
      </c>
      <c r="H222" s="593">
        <f t="shared" ref="H222:AG222" si="82">H102/H163</f>
        <v>15881.438848935313</v>
      </c>
      <c r="I222" s="593">
        <f t="shared" si="82"/>
        <v>16476.816345338731</v>
      </c>
      <c r="J222" s="593">
        <f t="shared" si="82"/>
        <v>17387.528633116388</v>
      </c>
      <c r="K222" s="593">
        <f t="shared" si="82"/>
        <v>20281.038561196747</v>
      </c>
      <c r="L222" s="593">
        <f t="shared" si="82"/>
        <v>23174.98964053101</v>
      </c>
      <c r="M222" s="593">
        <f t="shared" si="82"/>
        <v>26072.028778017091</v>
      </c>
      <c r="N222" s="593">
        <f t="shared" si="82"/>
        <v>28965.538708783457</v>
      </c>
      <c r="O222" s="593">
        <f t="shared" si="82"/>
        <v>31861.87201180858</v>
      </c>
      <c r="P222" s="593">
        <f t="shared" si="82"/>
        <v>35678.093559474379</v>
      </c>
      <c r="Q222" s="593">
        <f t="shared" si="82"/>
        <v>39493.344635651469</v>
      </c>
      <c r="R222" s="593">
        <f t="shared" si="82"/>
        <v>43310.007550644492</v>
      </c>
      <c r="S222" s="593">
        <f t="shared" si="82"/>
        <v>47126.229694987676</v>
      </c>
      <c r="T222" s="593">
        <f t="shared" si="82"/>
        <v>50946.775979062084</v>
      </c>
      <c r="U222" s="593">
        <f t="shared" si="82"/>
        <v>52778.261888160036</v>
      </c>
      <c r="V222" s="593">
        <f t="shared" si="82"/>
        <v>53373.64182144044</v>
      </c>
      <c r="W222" s="593">
        <f t="shared" si="82"/>
        <v>53969.020364690958</v>
      </c>
      <c r="X222" s="593">
        <f t="shared" si="82"/>
        <v>54564.399031336579</v>
      </c>
      <c r="Y222" s="593">
        <f t="shared" si="82"/>
        <v>55160.39544595655</v>
      </c>
      <c r="Z222" s="593">
        <f t="shared" si="82"/>
        <v>55755.774400869828</v>
      </c>
      <c r="AA222" s="593">
        <f t="shared" si="82"/>
        <v>56351.771132054731</v>
      </c>
      <c r="AB222" s="593">
        <f t="shared" si="82"/>
        <v>56947.150436096636</v>
      </c>
      <c r="AC222" s="593">
        <f t="shared" si="82"/>
        <v>57542.52993956313</v>
      </c>
      <c r="AD222" s="593">
        <f t="shared" si="82"/>
        <v>58138.527275721717</v>
      </c>
      <c r="AE222" s="593">
        <f t="shared" si="82"/>
        <v>58733.90724524804</v>
      </c>
      <c r="AF222" s="593">
        <f t="shared" si="82"/>
        <v>59329.287478730061</v>
      </c>
      <c r="AG222" s="730">
        <f t="shared" si="82"/>
        <v>59925.285615723144</v>
      </c>
      <c r="AH222" s="18"/>
      <c r="AI222" s="18"/>
      <c r="AJ222" s="18"/>
      <c r="AK222" s="18"/>
      <c r="AL222" s="18"/>
      <c r="AM222" s="18"/>
      <c r="AN222" s="18"/>
    </row>
    <row r="223" spans="2:40" ht="21.95" customHeight="1" x14ac:dyDescent="0.2">
      <c r="B223" s="705"/>
      <c r="C223" s="715"/>
      <c r="D223" s="715"/>
      <c r="E223" s="277" t="s">
        <v>340</v>
      </c>
      <c r="F223" s="277" t="s">
        <v>335</v>
      </c>
      <c r="G223" s="277" t="s">
        <v>323</v>
      </c>
      <c r="H223" s="577" t="e">
        <f>H103/H164</f>
        <v>#DIV/0!</v>
      </c>
      <c r="I223" s="577" t="e">
        <f t="shared" ref="I223:AG223" si="83">I103/I164</f>
        <v>#DIV/0!</v>
      </c>
      <c r="J223" s="577" t="e">
        <f t="shared" si="83"/>
        <v>#DIV/0!</v>
      </c>
      <c r="K223" s="577" t="e">
        <f t="shared" si="83"/>
        <v>#DIV/0!</v>
      </c>
      <c r="L223" s="577" t="e">
        <f t="shared" si="83"/>
        <v>#DIV/0!</v>
      </c>
      <c r="M223" s="577" t="e">
        <f t="shared" si="83"/>
        <v>#DIV/0!</v>
      </c>
      <c r="N223" s="577" t="e">
        <f t="shared" si="83"/>
        <v>#DIV/0!</v>
      </c>
      <c r="O223" s="577" t="e">
        <f t="shared" si="83"/>
        <v>#DIV/0!</v>
      </c>
      <c r="P223" s="577" t="e">
        <f t="shared" si="83"/>
        <v>#DIV/0!</v>
      </c>
      <c r="Q223" s="577" t="e">
        <f t="shared" si="83"/>
        <v>#DIV/0!</v>
      </c>
      <c r="R223" s="577" t="e">
        <f t="shared" si="83"/>
        <v>#DIV/0!</v>
      </c>
      <c r="S223" s="577" t="e">
        <f t="shared" si="83"/>
        <v>#DIV/0!</v>
      </c>
      <c r="T223" s="577" t="e">
        <f t="shared" si="83"/>
        <v>#DIV/0!</v>
      </c>
      <c r="U223" s="577" t="e">
        <f t="shared" si="83"/>
        <v>#DIV/0!</v>
      </c>
      <c r="V223" s="577" t="e">
        <f t="shared" si="83"/>
        <v>#DIV/0!</v>
      </c>
      <c r="W223" s="577" t="e">
        <f t="shared" si="83"/>
        <v>#DIV/0!</v>
      </c>
      <c r="X223" s="577" t="e">
        <f t="shared" si="83"/>
        <v>#DIV/0!</v>
      </c>
      <c r="Y223" s="577" t="e">
        <f t="shared" si="83"/>
        <v>#DIV/0!</v>
      </c>
      <c r="Z223" s="577" t="e">
        <f t="shared" si="83"/>
        <v>#DIV/0!</v>
      </c>
      <c r="AA223" s="577" t="e">
        <f t="shared" si="83"/>
        <v>#DIV/0!</v>
      </c>
      <c r="AB223" s="577" t="e">
        <f t="shared" si="83"/>
        <v>#DIV/0!</v>
      </c>
      <c r="AC223" s="577" t="e">
        <f t="shared" si="83"/>
        <v>#DIV/0!</v>
      </c>
      <c r="AD223" s="577" t="e">
        <f t="shared" si="83"/>
        <v>#DIV/0!</v>
      </c>
      <c r="AE223" s="577" t="e">
        <f t="shared" si="83"/>
        <v>#DIV/0!</v>
      </c>
      <c r="AF223" s="577" t="e">
        <f t="shared" si="83"/>
        <v>#DIV/0!</v>
      </c>
      <c r="AG223" s="725" t="e">
        <f t="shared" si="83"/>
        <v>#DIV/0!</v>
      </c>
      <c r="AH223" s="18"/>
      <c r="AI223" s="18"/>
      <c r="AJ223" s="18"/>
      <c r="AK223" s="18"/>
      <c r="AL223" s="18"/>
      <c r="AM223" s="18"/>
      <c r="AN223" s="18"/>
    </row>
    <row r="224" spans="2:40" ht="21.95" customHeight="1" x14ac:dyDescent="0.2">
      <c r="B224" s="705"/>
      <c r="C224" s="715"/>
      <c r="D224" s="715"/>
      <c r="E224" s="277" t="s">
        <v>357</v>
      </c>
      <c r="F224" s="277" t="s">
        <v>338</v>
      </c>
      <c r="G224" s="277" t="s">
        <v>323</v>
      </c>
      <c r="H224" s="593">
        <f>H104/H165</f>
        <v>25667.374204594336</v>
      </c>
      <c r="I224" s="593">
        <f t="shared" ref="I224:AG224" si="84">I104/I165</f>
        <v>26064.077732578673</v>
      </c>
      <c r="J224" s="593">
        <f t="shared" si="84"/>
        <v>26715.886444978289</v>
      </c>
      <c r="K224" s="593">
        <f t="shared" si="84"/>
        <v>28931.194742766922</v>
      </c>
      <c r="L224" s="593">
        <f t="shared" si="84"/>
        <v>31146.788278226471</v>
      </c>
      <c r="M224" s="593">
        <f t="shared" si="84"/>
        <v>33364.948614439236</v>
      </c>
      <c r="N224" s="593">
        <f t="shared" si="84"/>
        <v>35580.257142455026</v>
      </c>
      <c r="O224" s="593">
        <f t="shared" si="84"/>
        <v>37798.061334200356</v>
      </c>
      <c r="P224" s="593">
        <f t="shared" si="84"/>
        <v>40425.688351534976</v>
      </c>
      <c r="Q224" s="593">
        <f t="shared" si="84"/>
        <v>43052.746060027777</v>
      </c>
      <c r="R224" s="593">
        <f t="shared" si="84"/>
        <v>45681.088911557963</v>
      </c>
      <c r="S224" s="593">
        <f t="shared" si="84"/>
        <v>48308.721893016962</v>
      </c>
      <c r="T224" s="593">
        <f t="shared" si="84"/>
        <v>50940.067658340311</v>
      </c>
      <c r="U224" s="593">
        <f t="shared" si="84"/>
        <v>52002.716407869477</v>
      </c>
      <c r="V224" s="593">
        <f t="shared" si="84"/>
        <v>52399.43089910609</v>
      </c>
      <c r="W224" s="593">
        <f t="shared" si="84"/>
        <v>52796.139383812981</v>
      </c>
      <c r="X224" s="593">
        <f t="shared" si="84"/>
        <v>53192.848258089267</v>
      </c>
      <c r="Y224" s="593">
        <f t="shared" si="84"/>
        <v>53590.341831221318</v>
      </c>
      <c r="Z224" s="593">
        <f t="shared" si="84"/>
        <v>53987.051580021536</v>
      </c>
      <c r="AA224" s="593">
        <f t="shared" si="84"/>
        <v>54384.546077002546</v>
      </c>
      <c r="AB224" s="593">
        <f t="shared" si="84"/>
        <v>54781.256814906868</v>
      </c>
      <c r="AC224" s="593">
        <f t="shared" si="84"/>
        <v>55177.968084606189</v>
      </c>
      <c r="AD224" s="593">
        <f t="shared" si="84"/>
        <v>55575.464217758585</v>
      </c>
      <c r="AE224" s="593">
        <f t="shared" si="84"/>
        <v>55972.176705264261</v>
      </c>
      <c r="AF224" s="593">
        <f t="shared" si="84"/>
        <v>56368.889838588577</v>
      </c>
      <c r="AG224" s="730">
        <f t="shared" si="84"/>
        <v>56766.387959719141</v>
      </c>
      <c r="AH224" s="18"/>
      <c r="AI224" s="18"/>
      <c r="AJ224" s="18"/>
      <c r="AK224" s="18"/>
      <c r="AL224" s="18"/>
      <c r="AM224" s="18"/>
      <c r="AN224" s="18"/>
    </row>
    <row r="225" spans="2:40" ht="21.95" customHeight="1" x14ac:dyDescent="0.2">
      <c r="B225" s="705"/>
      <c r="C225" s="715"/>
      <c r="D225" s="715"/>
      <c r="E225" s="116" t="s">
        <v>338</v>
      </c>
      <c r="F225" s="116" t="s">
        <v>282</v>
      </c>
      <c r="G225" s="116" t="s">
        <v>357</v>
      </c>
      <c r="H225" s="577">
        <f t="shared" ref="H225:AG225" si="85">H105/H166</f>
        <v>52604.163278649205</v>
      </c>
      <c r="I225" s="577">
        <f t="shared" si="85"/>
        <v>54560.249090165766</v>
      </c>
      <c r="J225" s="577">
        <f t="shared" si="85"/>
        <v>56642.479685256476</v>
      </c>
      <c r="K225" s="577">
        <f t="shared" si="85"/>
        <v>61261.809075298414</v>
      </c>
      <c r="L225" s="577">
        <f t="shared" si="85"/>
        <v>65882.295757095271</v>
      </c>
      <c r="M225" s="577">
        <f t="shared" si="85"/>
        <v>70505.30743897667</v>
      </c>
      <c r="N225" s="577">
        <f t="shared" si="85"/>
        <v>75124.636829900555</v>
      </c>
      <c r="O225" s="577">
        <f t="shared" si="85"/>
        <v>79748.016742257794</v>
      </c>
      <c r="P225" s="577">
        <f t="shared" si="85"/>
        <v>85963.724678707425</v>
      </c>
      <c r="Q225" s="577">
        <f t="shared" si="85"/>
        <v>92179.695641488128</v>
      </c>
      <c r="R225" s="577">
        <f t="shared" si="85"/>
        <v>98395.403592837858</v>
      </c>
      <c r="S225" s="577">
        <f t="shared" si="85"/>
        <v>104611.1115616426</v>
      </c>
      <c r="T225" s="577">
        <f t="shared" si="85"/>
        <v>110832.60601961441</v>
      </c>
      <c r="U225" s="577">
        <f t="shared" si="85"/>
        <v>114508.32204409344</v>
      </c>
      <c r="V225" s="577">
        <f t="shared" si="85"/>
        <v>116464.40795902874</v>
      </c>
      <c r="W225" s="577">
        <f t="shared" si="85"/>
        <v>118420.49384333428</v>
      </c>
      <c r="X225" s="577">
        <f t="shared" si="85"/>
        <v>120376.57974092782</v>
      </c>
      <c r="Y225" s="577">
        <f t="shared" si="85"/>
        <v>122333.71773722486</v>
      </c>
      <c r="Z225" s="577">
        <f t="shared" si="85"/>
        <v>124289.8036681949</v>
      </c>
      <c r="AA225" s="577">
        <f t="shared" si="85"/>
        <v>126246.94170305121</v>
      </c>
      <c r="AB225" s="577">
        <f t="shared" si="85"/>
        <v>128203.02767855562</v>
      </c>
      <c r="AC225" s="577">
        <f t="shared" si="85"/>
        <v>130159.11368141048</v>
      </c>
      <c r="AD225" s="577">
        <f t="shared" si="85"/>
        <v>132116.25179902994</v>
      </c>
      <c r="AE225" s="577">
        <f t="shared" si="85"/>
        <v>134072.33786958706</v>
      </c>
      <c r="AF225" s="577">
        <f t="shared" si="85"/>
        <v>136028.4239812805</v>
      </c>
      <c r="AG225" s="725">
        <f t="shared" si="85"/>
        <v>137985.56222333558</v>
      </c>
      <c r="AH225" s="18"/>
      <c r="AI225" s="18"/>
      <c r="AJ225" s="18"/>
      <c r="AK225" s="18"/>
      <c r="AL225" s="18"/>
      <c r="AM225" s="18"/>
      <c r="AN225" s="18"/>
    </row>
    <row r="226" spans="2:40" ht="21.95" customHeight="1" x14ac:dyDescent="0.2">
      <c r="B226" s="705"/>
      <c r="C226" s="715"/>
      <c r="D226" s="715"/>
      <c r="E226" s="116"/>
      <c r="F226" s="116" t="s">
        <v>357</v>
      </c>
      <c r="G226" s="116" t="s">
        <v>346</v>
      </c>
      <c r="H226" s="577">
        <f t="shared" ref="H226:AG226" si="86">H106/H167</f>
        <v>7661.0941616529308</v>
      </c>
      <c r="I226" s="577">
        <f t="shared" si="86"/>
        <v>7933.7182295501716</v>
      </c>
      <c r="J226" s="577">
        <f t="shared" si="86"/>
        <v>8230.4142617345751</v>
      </c>
      <c r="K226" s="577">
        <f t="shared" si="86"/>
        <v>8797.6678824701776</v>
      </c>
      <c r="L226" s="577">
        <f t="shared" si="86"/>
        <v>9365.1432717220523</v>
      </c>
      <c r="M226" s="577">
        <f t="shared" si="86"/>
        <v>9932.6993040717916</v>
      </c>
      <c r="N226" s="577">
        <f t="shared" si="86"/>
        <v>10499.952924812371</v>
      </c>
      <c r="O226" s="577">
        <f t="shared" si="86"/>
        <v>11067.680323748729</v>
      </c>
      <c r="P226" s="577">
        <f t="shared" si="86"/>
        <v>11846.591831490856</v>
      </c>
      <c r="Q226" s="577">
        <f t="shared" si="86"/>
        <v>12625.654545064112</v>
      </c>
      <c r="R226" s="577">
        <f t="shared" si="86"/>
        <v>13404.465249000177</v>
      </c>
      <c r="S226" s="577">
        <f t="shared" si="86"/>
        <v>14183.376756875798</v>
      </c>
      <c r="T226" s="577">
        <f t="shared" si="86"/>
        <v>14962.893088092438</v>
      </c>
      <c r="U226" s="577">
        <f t="shared" si="86"/>
        <v>15470.89419416509</v>
      </c>
      <c r="V226" s="577">
        <f t="shared" si="86"/>
        <v>15743.518262495059</v>
      </c>
      <c r="W226" s="577">
        <f t="shared" si="86"/>
        <v>16016.142330701217</v>
      </c>
      <c r="X226" s="577">
        <f t="shared" si="86"/>
        <v>16288.766398965665</v>
      </c>
      <c r="Y226" s="577">
        <f t="shared" si="86"/>
        <v>16561.491271168699</v>
      </c>
      <c r="Z226" s="577">
        <f t="shared" si="86"/>
        <v>16834.115339580505</v>
      </c>
      <c r="AA226" s="577">
        <f t="shared" si="86"/>
        <v>17106.840211954619</v>
      </c>
      <c r="AB226" s="577">
        <f t="shared" si="86"/>
        <v>17379.464280564825</v>
      </c>
      <c r="AC226" s="577">
        <f t="shared" si="86"/>
        <v>17652.088349297737</v>
      </c>
      <c r="AD226" s="577">
        <f t="shared" si="86"/>
        <v>17924.813222042925</v>
      </c>
      <c r="AE226" s="577">
        <f t="shared" si="86"/>
        <v>18197.437291080911</v>
      </c>
      <c r="AF226" s="577">
        <f t="shared" si="86"/>
        <v>18470.061360305564</v>
      </c>
      <c r="AG226" s="725">
        <f t="shared" si="86"/>
        <v>18742.786233615017</v>
      </c>
      <c r="AH226" s="18"/>
      <c r="AI226" s="18"/>
      <c r="AJ226" s="18"/>
      <c r="AK226" s="18"/>
      <c r="AL226" s="18"/>
      <c r="AM226" s="18"/>
      <c r="AN226" s="18"/>
    </row>
    <row r="227" spans="2:40" ht="21.95" customHeight="1" x14ac:dyDescent="0.2">
      <c r="B227" s="705"/>
      <c r="C227" s="715"/>
      <c r="D227" s="715"/>
      <c r="E227" s="116"/>
      <c r="F227" s="116" t="s">
        <v>346</v>
      </c>
      <c r="G227" s="116" t="s">
        <v>343</v>
      </c>
      <c r="H227" s="577">
        <f t="shared" ref="H227:AG227" si="87">H107/H168</f>
        <v>2307.5460487230357</v>
      </c>
      <c r="I227" s="577">
        <f t="shared" si="87"/>
        <v>2389.6612893647653</v>
      </c>
      <c r="J227" s="577">
        <f t="shared" si="87"/>
        <v>2479.0270825913985</v>
      </c>
      <c r="K227" s="577">
        <f t="shared" si="87"/>
        <v>2649.8856862757248</v>
      </c>
      <c r="L227" s="577">
        <f t="shared" si="87"/>
        <v>2820.8110873465466</v>
      </c>
      <c r="M227" s="577">
        <f t="shared" si="87"/>
        <v>2991.760778376944</v>
      </c>
      <c r="N227" s="577">
        <f t="shared" si="87"/>
        <v>3162.6193820653521</v>
      </c>
      <c r="O227" s="577">
        <f t="shared" si="87"/>
        <v>3333.6206892628443</v>
      </c>
      <c r="P227" s="577">
        <f t="shared" si="87"/>
        <v>3568.2313250464758</v>
      </c>
      <c r="Q227" s="577">
        <f t="shared" si="87"/>
        <v>3802.8875045228574</v>
      </c>
      <c r="R227" s="577">
        <f t="shared" si="87"/>
        <v>4037.4677779113213</v>
      </c>
      <c r="S227" s="577">
        <f t="shared" si="87"/>
        <v>4272.0784138043418</v>
      </c>
      <c r="T227" s="577">
        <f t="shared" si="87"/>
        <v>4506.8712244818953</v>
      </c>
      <c r="U227" s="577">
        <f t="shared" si="87"/>
        <v>4659.8827815910427</v>
      </c>
      <c r="V227" s="577">
        <f t="shared" si="87"/>
        <v>4741.9980225873687</v>
      </c>
      <c r="W227" s="577">
        <f t="shared" si="87"/>
        <v>4824.1132634822334</v>
      </c>
      <c r="X227" s="577">
        <f t="shared" si="87"/>
        <v>4906.2285044248683</v>
      </c>
      <c r="Y227" s="577">
        <f t="shared" si="87"/>
        <v>4988.374107871261</v>
      </c>
      <c r="Z227" s="577">
        <f t="shared" si="87"/>
        <v>5070.4893489346487</v>
      </c>
      <c r="AA227" s="577">
        <f t="shared" si="87"/>
        <v>5152.6349525212308</v>
      </c>
      <c r="AB227" s="577">
        <f t="shared" si="87"/>
        <v>5234.7501937471889</v>
      </c>
      <c r="AC227" s="577">
        <f t="shared" si="87"/>
        <v>5316.8654350737015</v>
      </c>
      <c r="AD227" s="577">
        <f t="shared" si="87"/>
        <v>5399.0110389643587</v>
      </c>
      <c r="AE227" s="577">
        <f t="shared" si="87"/>
        <v>5481.1262805408578</v>
      </c>
      <c r="AF227" s="577">
        <f t="shared" si="87"/>
        <v>5563.2415222703212</v>
      </c>
      <c r="AG227" s="725">
        <f t="shared" si="87"/>
        <v>5645.3871266233582</v>
      </c>
      <c r="AH227" s="18"/>
      <c r="AI227" s="18"/>
      <c r="AJ227" s="18"/>
      <c r="AK227" s="18"/>
      <c r="AL227" s="18"/>
      <c r="AM227" s="18"/>
      <c r="AN227" s="18"/>
    </row>
    <row r="228" spans="2:40" ht="21.95" customHeight="1" x14ac:dyDescent="0.2">
      <c r="B228" s="705"/>
      <c r="C228" s="715"/>
      <c r="D228" s="715"/>
      <c r="E228" s="116"/>
      <c r="F228" s="116" t="s">
        <v>343</v>
      </c>
      <c r="G228" s="116" t="s">
        <v>350</v>
      </c>
      <c r="H228" s="577">
        <f t="shared" ref="H228:AG228" si="88">H108/H169</f>
        <v>5920.6773618539564</v>
      </c>
      <c r="I228" s="577">
        <f t="shared" si="88"/>
        <v>6124.5756224006054</v>
      </c>
      <c r="J228" s="577">
        <f t="shared" si="88"/>
        <v>6352.0579144386893</v>
      </c>
      <c r="K228" s="577">
        <f t="shared" si="88"/>
        <v>6749.4439111708152</v>
      </c>
      <c r="L228" s="577">
        <f t="shared" si="88"/>
        <v>7147.0667349975856</v>
      </c>
      <c r="M228" s="577">
        <f t="shared" si="88"/>
        <v>7544.5514096861316</v>
      </c>
      <c r="N228" s="577">
        <f t="shared" si="88"/>
        <v>7941.9374064190015</v>
      </c>
      <c r="O228" s="577">
        <f t="shared" si="88"/>
        <v>8339.7279827721777</v>
      </c>
      <c r="P228" s="577">
        <f t="shared" si="88"/>
        <v>8852.0441948958069</v>
      </c>
      <c r="Q228" s="577">
        <f t="shared" si="88"/>
        <v>9364.6465730947821</v>
      </c>
      <c r="R228" s="577">
        <f t="shared" si="88"/>
        <v>9876.8641072693299</v>
      </c>
      <c r="S228" s="577">
        <f t="shared" si="88"/>
        <v>10389.180319406672</v>
      </c>
      <c r="T228" s="577">
        <f t="shared" si="88"/>
        <v>10901.930714561433</v>
      </c>
      <c r="U228" s="577">
        <f t="shared" si="88"/>
        <v>11244.0767915499</v>
      </c>
      <c r="V228" s="577">
        <f t="shared" si="88"/>
        <v>11447.975052137563</v>
      </c>
      <c r="W228" s="577">
        <f t="shared" si="88"/>
        <v>11651.873312716294</v>
      </c>
      <c r="X228" s="577">
        <f t="shared" si="88"/>
        <v>11855.77157330127</v>
      </c>
      <c r="Y228" s="577">
        <f t="shared" si="88"/>
        <v>12059.788247440803</v>
      </c>
      <c r="Z228" s="577">
        <f t="shared" si="88"/>
        <v>12263.686508041674</v>
      </c>
      <c r="AA228" s="577">
        <f t="shared" si="88"/>
        <v>12467.703182199724</v>
      </c>
      <c r="AB228" s="577">
        <f t="shared" si="88"/>
        <v>12671.60144282217</v>
      </c>
      <c r="AC228" s="577">
        <f t="shared" si="88"/>
        <v>12875.499703458012</v>
      </c>
      <c r="AD228" s="577">
        <f t="shared" si="88"/>
        <v>13079.516377656644</v>
      </c>
      <c r="AE228" s="577">
        <f t="shared" si="88"/>
        <v>13283.41463832605</v>
      </c>
      <c r="AF228" s="577">
        <f t="shared" si="88"/>
        <v>13487.31289901606</v>
      </c>
      <c r="AG228" s="725">
        <f t="shared" si="88"/>
        <v>13691.329573277058</v>
      </c>
      <c r="AH228" s="18"/>
      <c r="AI228" s="18"/>
      <c r="AJ228" s="18"/>
      <c r="AK228" s="18"/>
      <c r="AL228" s="18"/>
      <c r="AM228" s="18"/>
      <c r="AN228" s="18"/>
    </row>
    <row r="229" spans="2:40" ht="21.95" customHeight="1" x14ac:dyDescent="0.2">
      <c r="B229" s="705"/>
      <c r="C229" s="715"/>
      <c r="D229" s="715"/>
      <c r="E229" s="116"/>
      <c r="F229" s="116" t="s">
        <v>350</v>
      </c>
      <c r="G229" s="116" t="s">
        <v>280</v>
      </c>
      <c r="H229" s="577">
        <f t="shared" ref="H229:AG229" si="89">H109/H170</f>
        <v>40363.099691006981</v>
      </c>
      <c r="I229" s="577">
        <f t="shared" si="89"/>
        <v>41753.13757253244</v>
      </c>
      <c r="J229" s="577">
        <f t="shared" si="89"/>
        <v>43303.955134493874</v>
      </c>
      <c r="K229" s="577">
        <f t="shared" si="89"/>
        <v>46013.059113921685</v>
      </c>
      <c r="L229" s="577">
        <f t="shared" si="89"/>
        <v>48723.777617337546</v>
      </c>
      <c r="M229" s="577">
        <f t="shared" si="89"/>
        <v>51433.554315094509</v>
      </c>
      <c r="N229" s="577">
        <f t="shared" si="89"/>
        <v>54142.658294524168</v>
      </c>
      <c r="O229" s="577">
        <f t="shared" si="89"/>
        <v>56854.520419100831</v>
      </c>
      <c r="P229" s="577">
        <f t="shared" si="89"/>
        <v>60347.139435369703</v>
      </c>
      <c r="Q229" s="577">
        <f t="shared" si="89"/>
        <v>63841.709334797466</v>
      </c>
      <c r="R229" s="577">
        <f t="shared" si="89"/>
        <v>67333.655632755545</v>
      </c>
      <c r="S229" s="577">
        <f t="shared" si="89"/>
        <v>70826.274649058774</v>
      </c>
      <c r="T229" s="577">
        <f t="shared" si="89"/>
        <v>74321.853626033277</v>
      </c>
      <c r="U229" s="577">
        <f t="shared" si="89"/>
        <v>76654.369885450331</v>
      </c>
      <c r="V229" s="577">
        <f t="shared" si="89"/>
        <v>78044.407767078577</v>
      </c>
      <c r="W229" s="577">
        <f t="shared" si="89"/>
        <v>79434.445648684428</v>
      </c>
      <c r="X229" s="577">
        <f t="shared" si="89"/>
        <v>80824.483530305937</v>
      </c>
      <c r="Y229" s="577">
        <f t="shared" si="89"/>
        <v>82215.328673939614</v>
      </c>
      <c r="Z229" s="577">
        <f t="shared" si="89"/>
        <v>83605.366555600936</v>
      </c>
      <c r="AA229" s="577">
        <f t="shared" si="89"/>
        <v>84996.211699281033</v>
      </c>
      <c r="AB229" s="577">
        <f t="shared" si="89"/>
        <v>86386.249580996431</v>
      </c>
      <c r="AC229" s="577">
        <f t="shared" si="89"/>
        <v>87776.287462745386</v>
      </c>
      <c r="AD229" s="577">
        <f t="shared" si="89"/>
        <v>89167.132606527171</v>
      </c>
      <c r="AE229" s="577">
        <f t="shared" si="89"/>
        <v>90557.170488360236</v>
      </c>
      <c r="AF229" s="577">
        <f t="shared" si="89"/>
        <v>91947.208370244931</v>
      </c>
      <c r="AG229" s="725">
        <f t="shared" si="89"/>
        <v>93338.05351418299</v>
      </c>
      <c r="AH229" s="18"/>
      <c r="AI229" s="18"/>
      <c r="AJ229" s="18"/>
      <c r="AK229" s="18"/>
      <c r="AL229" s="18"/>
      <c r="AM229" s="18"/>
      <c r="AN229" s="18"/>
    </row>
    <row r="230" spans="2:40" ht="21.95" customHeight="1" thickBot="1" x14ac:dyDescent="0.25">
      <c r="B230" s="705"/>
      <c r="C230" s="715"/>
      <c r="D230" s="715"/>
      <c r="E230" s="116"/>
      <c r="F230" s="116" t="s">
        <v>280</v>
      </c>
      <c r="G230" s="116" t="s">
        <v>333</v>
      </c>
      <c r="H230" s="735">
        <f t="shared" ref="H230:AF230" si="90">H110/H171</f>
        <v>1008.0552359163473</v>
      </c>
      <c r="I230" s="735">
        <f t="shared" si="90"/>
        <v>1042.7709781492463</v>
      </c>
      <c r="J230" s="735">
        <f t="shared" si="90"/>
        <v>1081.5021404108368</v>
      </c>
      <c r="K230" s="735">
        <f t="shared" si="90"/>
        <v>1149.1611277629911</v>
      </c>
      <c r="L230" s="735">
        <f t="shared" si="90"/>
        <v>1216.8604373424457</v>
      </c>
      <c r="M230" s="735">
        <f t="shared" si="90"/>
        <v>1284.5362256555256</v>
      </c>
      <c r="N230" s="735">
        <f t="shared" si="90"/>
        <v>1352.1952130853738</v>
      </c>
      <c r="O230" s="735">
        <f t="shared" si="90"/>
        <v>1419.9230843502346</v>
      </c>
      <c r="P230" s="735">
        <f t="shared" si="90"/>
        <v>1507.1501041653985</v>
      </c>
      <c r="Q230" s="735">
        <f t="shared" si="90"/>
        <v>1594.4258469482513</v>
      </c>
      <c r="R230" s="735">
        <f t="shared" si="90"/>
        <v>1681.6360665687009</v>
      </c>
      <c r="S230" s="735">
        <f t="shared" si="90"/>
        <v>1768.8630878149861</v>
      </c>
      <c r="T230" s="735">
        <f t="shared" si="90"/>
        <v>1856.1640342479413</v>
      </c>
      <c r="U230" s="735">
        <f t="shared" si="90"/>
        <v>1914.417870678923</v>
      </c>
      <c r="V230" s="735">
        <f t="shared" si="90"/>
        <v>1949.1336171931384</v>
      </c>
      <c r="W230" s="735">
        <f t="shared" si="90"/>
        <v>1983.8493627752628</v>
      </c>
      <c r="X230" s="735">
        <f t="shared" si="90"/>
        <v>2018.5651090091369</v>
      </c>
      <c r="Y230" s="735">
        <f t="shared" si="90"/>
        <v>2053.3010171117421</v>
      </c>
      <c r="Z230" s="735">
        <f t="shared" si="90"/>
        <v>2088.0167650051876</v>
      </c>
      <c r="AA230" s="735">
        <f t="shared" si="90"/>
        <v>2122.7526750413431</v>
      </c>
      <c r="AB230" s="735">
        <f t="shared" si="90"/>
        <v>2157.4684251864651</v>
      </c>
      <c r="AC230" s="735">
        <f t="shared" si="90"/>
        <v>2192.18417673043</v>
      </c>
      <c r="AD230" s="735">
        <f t="shared" si="90"/>
        <v>2226.9200910024824</v>
      </c>
      <c r="AE230" s="735">
        <f t="shared" si="90"/>
        <v>2261.6358460496117</v>
      </c>
      <c r="AF230" s="735">
        <f t="shared" si="90"/>
        <v>2296.3516032476214</v>
      </c>
      <c r="AG230" s="736">
        <f>AG110/AG171</f>
        <v>2331.0875240300984</v>
      </c>
      <c r="AH230" s="18"/>
      <c r="AI230" s="18"/>
      <c r="AJ230" s="18"/>
      <c r="AK230" s="18"/>
      <c r="AL230" s="18"/>
      <c r="AM230" s="18"/>
      <c r="AN230" s="18"/>
    </row>
    <row r="231" spans="2:40" ht="21.95" customHeight="1" thickBot="1" x14ac:dyDescent="0.25">
      <c r="B231" s="707"/>
      <c r="C231" s="731"/>
      <c r="D231" s="731"/>
      <c r="E231" s="732" t="s">
        <v>25</v>
      </c>
      <c r="F231" s="732"/>
      <c r="G231" s="732"/>
      <c r="H231" s="733">
        <f>SUM(H202:H222,H224:H230)</f>
        <v>1182890.4852327937</v>
      </c>
      <c r="I231" s="733">
        <f t="shared" ref="I231" si="91">SUM(I202:I222,I224:I230)</f>
        <v>1225382.1088011651</v>
      </c>
      <c r="J231" s="733">
        <f t="shared" ref="J231" si="92">SUM(J202:J222,J224:J230)</f>
        <v>1306279.8163641884</v>
      </c>
      <c r="K231" s="733">
        <f t="shared" ref="K231" si="93">SUM(K202:K222,K224:K230)</f>
        <v>1433745.2817660579</v>
      </c>
      <c r="L231" s="733">
        <f t="shared" ref="L231" si="94">SUM(L202:L222,L224:L230)</f>
        <v>1561276.2203811202</v>
      </c>
      <c r="M231" s="733">
        <f t="shared" ref="M231" si="95">SUM(M202:M222,M224:M230)</f>
        <v>1688808.5975718745</v>
      </c>
      <c r="N231" s="733">
        <f t="shared" ref="N231" si="96">SUM(N202:N222,N224:N230)</f>
        <v>1816274.9865424782</v>
      </c>
      <c r="O231" s="733">
        <f t="shared" ref="O231" si="97">SUM(O202:O222,O224:O230)</f>
        <v>1943863.0099452978</v>
      </c>
      <c r="P231" s="733">
        <f t="shared" ref="P231" si="98">SUM(P202:P222,P224:P230)</f>
        <v>2064362.8461090594</v>
      </c>
      <c r="Q231" s="733">
        <f t="shared" ref="Q231" si="99">SUM(Q202:Q222,Q224:Q230)</f>
        <v>2184942.8760162694</v>
      </c>
      <c r="R231" s="733">
        <f t="shared" ref="R231" si="100">SUM(R202:R222,R224:R230)</f>
        <v>2305723.0776756112</v>
      </c>
      <c r="S231" s="733">
        <f t="shared" ref="S231" si="101">SUM(S202:S222,S224:S230)</f>
        <v>2427189.0120648732</v>
      </c>
      <c r="T231" s="733">
        <f t="shared" ref="T231" si="102">SUM(T202:T222,T224:T230)</f>
        <v>2550608.9704109607</v>
      </c>
      <c r="U231" s="733">
        <f t="shared" ref="U231" si="103">SUM(U202:U222,U224:U230)</f>
        <v>2631395.0603504716</v>
      </c>
      <c r="V231" s="733">
        <f t="shared" ref="V231" si="104">SUM(V202:V222,V224:V230)</f>
        <v>2680339.2399928784</v>
      </c>
      <c r="W231" s="733">
        <f t="shared" ref="W231" si="105">SUM(W202:W222,W224:W230)</f>
        <v>2727044.3013360193</v>
      </c>
      <c r="X231" s="733">
        <f t="shared" ref="X231" si="106">SUM(X202:X222,X224:X230)</f>
        <v>2774595.538155097</v>
      </c>
      <c r="Y231" s="733">
        <f t="shared" ref="Y231" si="107">SUM(Y202:Y222,Y224:Y230)</f>
        <v>2823176.353020696</v>
      </c>
      <c r="Z231" s="733">
        <f t="shared" ref="Z231" si="108">SUM(Z202:Z222,Z224:Z230)</f>
        <v>2872933.5232511158</v>
      </c>
      <c r="AA231" s="733">
        <f t="shared" ref="AA231" si="109">SUM(AA202:AA222,AA224:AA230)</f>
        <v>2924102.3979948983</v>
      </c>
      <c r="AB231" s="733">
        <f t="shared" ref="AB231" si="110">SUM(AB202:AB222,AB224:AB230)</f>
        <v>2976903.941343992</v>
      </c>
      <c r="AC231" s="733">
        <f t="shared" ref="AC231" si="111">SUM(AC202:AC222,AC224:AC230)</f>
        <v>3031610.6445930563</v>
      </c>
      <c r="AD231" s="733">
        <f t="shared" ref="AD231" si="112">SUM(AD202:AD222,AD224:AD230)</f>
        <v>3088578.1268129605</v>
      </c>
      <c r="AE231" s="733">
        <f t="shared" ref="AE231" si="113">SUM(AE202:AE222,AE224:AE230)</f>
        <v>3148159.2764925491</v>
      </c>
      <c r="AF231" s="733">
        <f t="shared" ref="AF231" si="114">SUM(AF202:AF222,AF224:AF230)</f>
        <v>3210731.5247557173</v>
      </c>
      <c r="AG231" s="734">
        <f>SUM(AG202:AG222,AG224:AG230)</f>
        <v>3276837.3024093769</v>
      </c>
      <c r="AH231" s="18"/>
      <c r="AI231" s="18"/>
      <c r="AJ231" s="18"/>
      <c r="AK231" s="18"/>
      <c r="AL231" s="18"/>
      <c r="AM231" s="18"/>
      <c r="AN231" s="18"/>
    </row>
    <row r="232" spans="2:40" ht="21.95" customHeight="1" x14ac:dyDescent="0.2">
      <c r="B232" s="182" t="s">
        <v>212</v>
      </c>
      <c r="C232" s="116" t="s">
        <v>156</v>
      </c>
      <c r="D232" s="240" t="s">
        <v>23</v>
      </c>
      <c r="E232" s="1340" t="s">
        <v>331</v>
      </c>
      <c r="F232" s="220" t="s">
        <v>332</v>
      </c>
      <c r="G232" s="220" t="s">
        <v>282</v>
      </c>
      <c r="H232" s="726">
        <f>H172+H202</f>
        <v>7729.1874665658033</v>
      </c>
      <c r="I232" s="726">
        <f t="shared" ref="I232:AG232" si="115">I172+I202</f>
        <v>8084.7873062069702</v>
      </c>
      <c r="J232" s="726">
        <f t="shared" si="115"/>
        <v>8584.1389546318933</v>
      </c>
      <c r="K232" s="726">
        <f t="shared" si="115"/>
        <v>9316.7166099328369</v>
      </c>
      <c r="L232" s="726">
        <f t="shared" si="115"/>
        <v>10049.64259391449</v>
      </c>
      <c r="M232" s="726">
        <f t="shared" si="115"/>
        <v>10782.755228228734</v>
      </c>
      <c r="N232" s="726">
        <f t="shared" si="115"/>
        <v>11515.882580199897</v>
      </c>
      <c r="O232" s="726">
        <f t="shared" si="115"/>
        <v>12250.1152377543</v>
      </c>
      <c r="P232" s="726">
        <f t="shared" si="115"/>
        <v>12976.622926974398</v>
      </c>
      <c r="Q232" s="726">
        <f t="shared" si="115"/>
        <v>13704.836217693541</v>
      </c>
      <c r="R232" s="726">
        <f t="shared" si="115"/>
        <v>14435.443026870733</v>
      </c>
      <c r="S232" s="726">
        <f t="shared" si="115"/>
        <v>15170.080709932754</v>
      </c>
      <c r="T232" s="726">
        <f t="shared" si="115"/>
        <v>15911.571483158426</v>
      </c>
      <c r="U232" s="726">
        <f t="shared" si="115"/>
        <v>16418.849523497396</v>
      </c>
      <c r="V232" s="726">
        <f t="shared" si="115"/>
        <v>16789.741901957248</v>
      </c>
      <c r="W232" s="726">
        <f t="shared" si="115"/>
        <v>17164.260012042734</v>
      </c>
      <c r="X232" s="726">
        <f t="shared" si="115"/>
        <v>17543.159625710894</v>
      </c>
      <c r="Y232" s="726">
        <f t="shared" si="115"/>
        <v>17927.491153132396</v>
      </c>
      <c r="Z232" s="726">
        <f t="shared" si="115"/>
        <v>18317.992615400999</v>
      </c>
      <c r="AA232" s="726">
        <f t="shared" si="115"/>
        <v>18716.216395094671</v>
      </c>
      <c r="AB232" s="726">
        <f t="shared" si="115"/>
        <v>19123.280763913892</v>
      </c>
      <c r="AC232" s="726">
        <f t="shared" si="115"/>
        <v>19541.028254748882</v>
      </c>
      <c r="AD232" s="726">
        <f t="shared" si="115"/>
        <v>19971.592870554276</v>
      </c>
      <c r="AE232" s="726">
        <f t="shared" si="115"/>
        <v>20416.892390069082</v>
      </c>
      <c r="AF232" s="726">
        <f t="shared" si="115"/>
        <v>20879.722155626376</v>
      </c>
      <c r="AG232" s="727">
        <f t="shared" si="115"/>
        <v>21363.308889628879</v>
      </c>
      <c r="AH232" s="18"/>
      <c r="AI232" s="18"/>
      <c r="AJ232" s="18"/>
      <c r="AK232" s="18"/>
      <c r="AL232" s="18"/>
      <c r="AM232" s="18"/>
      <c r="AN232" s="18"/>
    </row>
    <row r="233" spans="2:40" ht="21.95" customHeight="1" x14ac:dyDescent="0.2">
      <c r="B233" s="705" t="s">
        <v>483</v>
      </c>
      <c r="C233" s="715"/>
      <c r="D233" s="715"/>
      <c r="E233" s="1339"/>
      <c r="F233" s="116" t="s">
        <v>282</v>
      </c>
      <c r="G233" s="116" t="s">
        <v>280</v>
      </c>
      <c r="H233" s="577">
        <f>H173+H203</f>
        <v>248534.35639268748</v>
      </c>
      <c r="I233" s="577">
        <f t="shared" ref="I233:AG233" si="116">I173+I203</f>
        <v>262302.30573530879</v>
      </c>
      <c r="J233" s="577">
        <f t="shared" si="116"/>
        <v>278268.47729485313</v>
      </c>
      <c r="K233" s="577">
        <f t="shared" si="116"/>
        <v>308061.00202394067</v>
      </c>
      <c r="L233" s="577">
        <f t="shared" si="116"/>
        <v>337865.59085961472</v>
      </c>
      <c r="M233" s="577">
        <f t="shared" si="116"/>
        <v>367678.01952059992</v>
      </c>
      <c r="N233" s="577">
        <f t="shared" si="116"/>
        <v>397478.79538865009</v>
      </c>
      <c r="O233" s="577">
        <f t="shared" si="116"/>
        <v>427317.99144907924</v>
      </c>
      <c r="P233" s="577">
        <f t="shared" si="116"/>
        <v>462714.70916572853</v>
      </c>
      <c r="Q233" s="577">
        <f t="shared" si="116"/>
        <v>498176.09839275398</v>
      </c>
      <c r="R233" s="577">
        <f t="shared" si="116"/>
        <v>533732.60139720526</v>
      </c>
      <c r="S233" s="577">
        <f t="shared" si="116"/>
        <v>569483.48129835492</v>
      </c>
      <c r="T233" s="577">
        <f t="shared" si="116"/>
        <v>605615.56045362353</v>
      </c>
      <c r="U233" s="577">
        <f t="shared" si="116"/>
        <v>627844.82577248884</v>
      </c>
      <c r="V233" s="577">
        <f t="shared" si="116"/>
        <v>642225.72602179437</v>
      </c>
      <c r="W233" s="577">
        <f t="shared" si="116"/>
        <v>656753.8729596081</v>
      </c>
      <c r="X233" s="577">
        <f t="shared" si="116"/>
        <v>671460.37329841731</v>
      </c>
      <c r="Y233" s="577">
        <f t="shared" si="116"/>
        <v>686392.0971199359</v>
      </c>
      <c r="Z233" s="577">
        <f t="shared" si="116"/>
        <v>701572.53648554999</v>
      </c>
      <c r="AA233" s="577">
        <f t="shared" si="116"/>
        <v>717073.10868574912</v>
      </c>
      <c r="AB233" s="577">
        <f t="shared" si="116"/>
        <v>732932.94914367609</v>
      </c>
      <c r="AC233" s="577">
        <f t="shared" si="116"/>
        <v>749232.18150036258</v>
      </c>
      <c r="AD233" s="577">
        <f t="shared" si="116"/>
        <v>766063.63161397201</v>
      </c>
      <c r="AE233" s="577">
        <f t="shared" si="116"/>
        <v>783499.3861543166</v>
      </c>
      <c r="AF233" s="577">
        <f t="shared" si="116"/>
        <v>801659.9916589295</v>
      </c>
      <c r="AG233" s="725">
        <f t="shared" si="116"/>
        <v>820684.94573569903</v>
      </c>
      <c r="AH233" s="18"/>
      <c r="AI233" s="18"/>
      <c r="AJ233" s="18"/>
      <c r="AK233" s="18"/>
      <c r="AL233" s="18"/>
      <c r="AM233" s="18"/>
      <c r="AN233" s="18"/>
    </row>
    <row r="234" spans="2:40" ht="21.95" customHeight="1" x14ac:dyDescent="0.2">
      <c r="B234" s="705"/>
      <c r="C234" s="715"/>
      <c r="D234" s="715"/>
      <c r="E234" s="1339"/>
      <c r="F234" s="116" t="s">
        <v>280</v>
      </c>
      <c r="G234" s="116" t="s">
        <v>333</v>
      </c>
      <c r="H234" s="577">
        <f t="shared" ref="H234:AG234" si="117">H174+H204</f>
        <v>5796.8799869015402</v>
      </c>
      <c r="I234" s="577">
        <f t="shared" si="117"/>
        <v>6038.9483671703838</v>
      </c>
      <c r="J234" s="577">
        <f t="shared" si="117"/>
        <v>6338.5511137390477</v>
      </c>
      <c r="K234" s="577">
        <f t="shared" si="117"/>
        <v>6741.9189452338151</v>
      </c>
      <c r="L234" s="577">
        <f t="shared" si="117"/>
        <v>7145.4330416557295</v>
      </c>
      <c r="M234" s="577">
        <f t="shared" si="117"/>
        <v>7548.901089941457</v>
      </c>
      <c r="N234" s="577">
        <f t="shared" si="117"/>
        <v>7952.2762177653422</v>
      </c>
      <c r="O234" s="577">
        <f t="shared" si="117"/>
        <v>8355.9470964504126</v>
      </c>
      <c r="P234" s="577">
        <f t="shared" si="117"/>
        <v>8747.0663421217796</v>
      </c>
      <c r="Q234" s="577">
        <f t="shared" si="117"/>
        <v>9138.3435391500389</v>
      </c>
      <c r="R234" s="577">
        <f t="shared" si="117"/>
        <v>9529.4950774832178</v>
      </c>
      <c r="S234" s="577">
        <f t="shared" si="117"/>
        <v>9920.6746953398251</v>
      </c>
      <c r="T234" s="577">
        <f t="shared" si="117"/>
        <v>10312.18456382061</v>
      </c>
      <c r="U234" s="577">
        <f t="shared" si="117"/>
        <v>10599.497720416426</v>
      </c>
      <c r="V234" s="577">
        <f t="shared" si="117"/>
        <v>10841.702077867954</v>
      </c>
      <c r="W234" s="577">
        <f t="shared" si="117"/>
        <v>11083.940531226839</v>
      </c>
      <c r="X234" s="577">
        <f t="shared" si="117"/>
        <v>11326.220572259681</v>
      </c>
      <c r="Y234" s="577">
        <f t="shared" si="117"/>
        <v>11568.647852419308</v>
      </c>
      <c r="Z234" s="577">
        <f t="shared" si="117"/>
        <v>11811.039519467329</v>
      </c>
      <c r="AA234" s="577">
        <f t="shared" si="117"/>
        <v>12053.601582611032</v>
      </c>
      <c r="AB234" s="577">
        <f t="shared" si="117"/>
        <v>12296.155239175545</v>
      </c>
      <c r="AC234" s="577">
        <f t="shared" si="117"/>
        <v>12538.814553545863</v>
      </c>
      <c r="AD234" s="577">
        <f t="shared" si="117"/>
        <v>12781.696712180172</v>
      </c>
      <c r="AE234" s="577">
        <f t="shared" si="117"/>
        <v>13024.631561028047</v>
      </c>
      <c r="AF234" s="577">
        <f t="shared" si="117"/>
        <v>13267.74348112418</v>
      </c>
      <c r="AG234" s="725">
        <f t="shared" si="117"/>
        <v>13511.161548778193</v>
      </c>
      <c r="AH234" s="18"/>
      <c r="AI234" s="18"/>
      <c r="AJ234" s="18"/>
      <c r="AK234" s="18"/>
      <c r="AL234" s="18"/>
      <c r="AM234" s="18"/>
      <c r="AN234" s="18"/>
    </row>
    <row r="235" spans="2:40" ht="21.95" customHeight="1" x14ac:dyDescent="0.2">
      <c r="B235" s="705"/>
      <c r="C235" s="715"/>
      <c r="D235" s="715"/>
      <c r="E235" s="1340" t="s">
        <v>280</v>
      </c>
      <c r="F235" s="220" t="s">
        <v>281</v>
      </c>
      <c r="G235" s="220" t="s">
        <v>335</v>
      </c>
      <c r="H235" s="583">
        <f t="shared" ref="H235:AF235" si="118">H175+H205</f>
        <v>63558.967875434799</v>
      </c>
      <c r="I235" s="583">
        <f t="shared" si="118"/>
        <v>70506.189586411652</v>
      </c>
      <c r="J235" s="583">
        <f t="shared" si="118"/>
        <v>77866.575009707012</v>
      </c>
      <c r="K235" s="583">
        <f t="shared" si="118"/>
        <v>101408.7853050522</v>
      </c>
      <c r="L235" s="583">
        <f t="shared" si="118"/>
        <v>131882.17668619051</v>
      </c>
      <c r="M235" s="583">
        <f t="shared" si="118"/>
        <v>201867.29734886976</v>
      </c>
      <c r="N235" s="583">
        <f t="shared" si="118"/>
        <v>442110.45311180304</v>
      </c>
      <c r="O235" s="583">
        <f t="shared" si="118"/>
        <v>501668.6505572056</v>
      </c>
      <c r="P235" s="583">
        <f t="shared" si="118"/>
        <v>581600.54832240893</v>
      </c>
      <c r="Q235" s="583">
        <f t="shared" si="118"/>
        <v>661630.3357861184</v>
      </c>
      <c r="R235" s="583">
        <f t="shared" si="118"/>
        <v>741842.98422179429</v>
      </c>
      <c r="S235" s="583">
        <f t="shared" si="118"/>
        <v>822726.14942529844</v>
      </c>
      <c r="T235" s="583">
        <f t="shared" si="118"/>
        <v>905536.83120009012</v>
      </c>
      <c r="U235" s="583">
        <f t="shared" si="118"/>
        <v>951964.69950250024</v>
      </c>
      <c r="V235" s="583">
        <f t="shared" si="118"/>
        <v>976376.86147359805</v>
      </c>
      <c r="W235" s="583">
        <f t="shared" si="118"/>
        <v>998592.31671729451</v>
      </c>
      <c r="X235" s="583">
        <f t="shared" si="118"/>
        <v>1021646.0610166647</v>
      </c>
      <c r="Y235" s="583">
        <f t="shared" si="118"/>
        <v>1045722.2826192693</v>
      </c>
      <c r="Z235" s="583">
        <f t="shared" si="118"/>
        <v>1070950.9532621377</v>
      </c>
      <c r="AA235" s="583">
        <f t="shared" si="118"/>
        <v>1097579.1192085417</v>
      </c>
      <c r="AB235" s="583">
        <f t="shared" si="118"/>
        <v>1125810.1108644316</v>
      </c>
      <c r="AC235" s="583">
        <f t="shared" si="118"/>
        <v>1155920.1504738398</v>
      </c>
      <c r="AD235" s="583">
        <f t="shared" si="118"/>
        <v>1188269.6988153968</v>
      </c>
      <c r="AE235" s="583">
        <f t="shared" si="118"/>
        <v>1223184.4962086298</v>
      </c>
      <c r="AF235" s="583">
        <f t="shared" si="118"/>
        <v>1261060.7552679675</v>
      </c>
      <c r="AG235" s="728">
        <f>AG175+AG205</f>
        <v>1302425.236269681</v>
      </c>
      <c r="AH235" s="18"/>
      <c r="AI235" s="18"/>
      <c r="AJ235" s="18"/>
      <c r="AK235" s="18"/>
      <c r="AL235" s="18"/>
      <c r="AM235" s="18"/>
      <c r="AN235" s="18"/>
    </row>
    <row r="236" spans="2:40" ht="21.95" customHeight="1" x14ac:dyDescent="0.2">
      <c r="B236" s="705"/>
      <c r="C236" s="715"/>
      <c r="D236" s="715"/>
      <c r="E236" s="1339"/>
      <c r="F236" s="116" t="s">
        <v>335</v>
      </c>
      <c r="G236" s="116" t="s">
        <v>323</v>
      </c>
      <c r="H236" s="577">
        <f t="shared" ref="H236:AG236" si="119">H176+H206</f>
        <v>8848.4899221904034</v>
      </c>
      <c r="I236" s="577">
        <f t="shared" si="119"/>
        <v>10024.32102519535</v>
      </c>
      <c r="J236" s="577">
        <f t="shared" si="119"/>
        <v>11200.922391659791</v>
      </c>
      <c r="K236" s="577">
        <f t="shared" si="119"/>
        <v>15183.564677023034</v>
      </c>
      <c r="L236" s="577">
        <f t="shared" si="119"/>
        <v>19188.178667345175</v>
      </c>
      <c r="M236" s="577">
        <f t="shared" si="119"/>
        <v>23347.745142094449</v>
      </c>
      <c r="N236" s="577">
        <f t="shared" si="119"/>
        <v>28270.993104940895</v>
      </c>
      <c r="O236" s="577">
        <f t="shared" si="119"/>
        <v>36268.948044129225</v>
      </c>
      <c r="P236" s="577">
        <f t="shared" si="119"/>
        <v>74370.115324857732</v>
      </c>
      <c r="Q236" s="577">
        <f t="shared" si="119"/>
        <v>99513.177268464555</v>
      </c>
      <c r="R236" s="577">
        <f t="shared" si="119"/>
        <v>113560.3975697046</v>
      </c>
      <c r="S236" s="577">
        <f t="shared" si="119"/>
        <v>127615.98292453427</v>
      </c>
      <c r="T236" s="577">
        <f t="shared" si="119"/>
        <v>141711.16422756689</v>
      </c>
      <c r="U236" s="577">
        <f t="shared" si="119"/>
        <v>149413.71042654075</v>
      </c>
      <c r="V236" s="577">
        <f t="shared" si="119"/>
        <v>152222.94489885215</v>
      </c>
      <c r="W236" s="577">
        <f t="shared" si="119"/>
        <v>154979.47045211639</v>
      </c>
      <c r="X236" s="577">
        <f t="shared" si="119"/>
        <v>157747.11634040895</v>
      </c>
      <c r="Y236" s="577">
        <f t="shared" si="119"/>
        <v>160529.48557834589</v>
      </c>
      <c r="Z236" s="577">
        <f t="shared" si="119"/>
        <v>163325.43389144694</v>
      </c>
      <c r="AA236" s="577">
        <f t="shared" si="119"/>
        <v>166140.76039952616</v>
      </c>
      <c r="AB236" s="577">
        <f t="shared" si="119"/>
        <v>168975.07505592602</v>
      </c>
      <c r="AC236" s="577">
        <f t="shared" si="119"/>
        <v>171833.20474931266</v>
      </c>
      <c r="AD236" s="577">
        <f t="shared" si="119"/>
        <v>174720.66194816615</v>
      </c>
      <c r="AE236" s="577">
        <f t="shared" si="119"/>
        <v>177638.42375077444</v>
      </c>
      <c r="AF236" s="577">
        <f t="shared" si="119"/>
        <v>180592.76546764589</v>
      </c>
      <c r="AG236" s="725">
        <f t="shared" si="119"/>
        <v>183590.97062093503</v>
      </c>
      <c r="AH236" s="18"/>
      <c r="AI236" s="18"/>
      <c r="AJ236" s="18"/>
      <c r="AK236" s="18"/>
      <c r="AL236" s="18"/>
      <c r="AM236" s="18"/>
      <c r="AN236" s="18"/>
    </row>
    <row r="237" spans="2:40" ht="21.95" customHeight="1" x14ac:dyDescent="0.2">
      <c r="B237" s="705"/>
      <c r="C237" s="715"/>
      <c r="D237" s="715"/>
      <c r="E237" s="1353"/>
      <c r="F237" s="254" t="s">
        <v>323</v>
      </c>
      <c r="G237" s="254" t="s">
        <v>338</v>
      </c>
      <c r="H237" s="587">
        <f t="shared" ref="H237:AG237" si="120">H177+H207</f>
        <v>125559.46488394152</v>
      </c>
      <c r="I237" s="587">
        <f t="shared" si="120"/>
        <v>130527.37626162461</v>
      </c>
      <c r="J237" s="587">
        <f t="shared" si="120"/>
        <v>135643.06411432326</v>
      </c>
      <c r="K237" s="587">
        <f t="shared" si="120"/>
        <v>146207.97644973267</v>
      </c>
      <c r="L237" s="587">
        <f t="shared" si="120"/>
        <v>158145.19113463513</v>
      </c>
      <c r="M237" s="587">
        <f t="shared" si="120"/>
        <v>172438.27294926243</v>
      </c>
      <c r="N237" s="587">
        <f t="shared" si="120"/>
        <v>190672.71069821756</v>
      </c>
      <c r="O237" s="587">
        <f t="shared" si="120"/>
        <v>215360.31431897223</v>
      </c>
      <c r="P237" s="587">
        <f t="shared" si="120"/>
        <v>267690.92536249326</v>
      </c>
      <c r="Q237" s="587">
        <f t="shared" si="120"/>
        <v>356585.11020655674</v>
      </c>
      <c r="R237" s="587">
        <f t="shared" si="120"/>
        <v>479630.64327155764</v>
      </c>
      <c r="S237" s="587">
        <f t="shared" si="120"/>
        <v>507309.19989502075</v>
      </c>
      <c r="T237" s="587">
        <f t="shared" si="120"/>
        <v>535013.90868260374</v>
      </c>
      <c r="U237" s="587">
        <f t="shared" si="120"/>
        <v>553018.17477486166</v>
      </c>
      <c r="V237" s="587">
        <f t="shared" si="120"/>
        <v>563276.75520423392</v>
      </c>
      <c r="W237" s="587">
        <f t="shared" si="120"/>
        <v>573533.7958714515</v>
      </c>
      <c r="X237" s="587">
        <f t="shared" si="120"/>
        <v>583791.79885993362</v>
      </c>
      <c r="Y237" s="587">
        <f t="shared" si="120"/>
        <v>594057.38379971078</v>
      </c>
      <c r="Z237" s="587">
        <f t="shared" si="120"/>
        <v>604317.85035638441</v>
      </c>
      <c r="AA237" s="587">
        <f t="shared" si="120"/>
        <v>614586.3146569978</v>
      </c>
      <c r="AB237" s="587">
        <f t="shared" si="120"/>
        <v>624850.14503133669</v>
      </c>
      <c r="AC237" s="587">
        <f t="shared" si="120"/>
        <v>635116.07397930138</v>
      </c>
      <c r="AD237" s="587">
        <f t="shared" si="120"/>
        <v>645390.89582501375</v>
      </c>
      <c r="AE237" s="587">
        <f t="shared" si="120"/>
        <v>655662.10509908409</v>
      </c>
      <c r="AF237" s="587">
        <f t="shared" si="120"/>
        <v>665936.56846405962</v>
      </c>
      <c r="AG237" s="729">
        <f t="shared" si="120"/>
        <v>676221.24408065528</v>
      </c>
      <c r="AH237" s="18"/>
      <c r="AI237" s="18"/>
      <c r="AJ237" s="18"/>
      <c r="AK237" s="18"/>
      <c r="AL237" s="18"/>
      <c r="AM237" s="18"/>
      <c r="AN237" s="18"/>
    </row>
    <row r="238" spans="2:40" ht="21.95" customHeight="1" x14ac:dyDescent="0.2">
      <c r="B238" s="705"/>
      <c r="C238" s="715"/>
      <c r="D238" s="715"/>
      <c r="E238" s="116" t="s">
        <v>339</v>
      </c>
      <c r="F238" s="116" t="s">
        <v>335</v>
      </c>
      <c r="G238" s="116" t="s">
        <v>323</v>
      </c>
      <c r="H238" s="577">
        <f t="shared" ref="H238:AG238" si="121">H178+H208</f>
        <v>845.0738916256156</v>
      </c>
      <c r="I238" s="577">
        <f t="shared" si="121"/>
        <v>1368.1746305418719</v>
      </c>
      <c r="J238" s="577">
        <f t="shared" si="121"/>
        <v>3903.3963054187179</v>
      </c>
      <c r="K238" s="577">
        <f t="shared" si="121"/>
        <v>8252.991625615763</v>
      </c>
      <c r="L238" s="577">
        <f t="shared" si="121"/>
        <v>12605.967241379316</v>
      </c>
      <c r="M238" s="577">
        <f t="shared" si="121"/>
        <v>16957.252709359815</v>
      </c>
      <c r="N238" s="577">
        <f t="shared" si="121"/>
        <v>21306.848029559216</v>
      </c>
      <c r="O238" s="577">
        <f t="shared" si="121"/>
        <v>25663.203940906547</v>
      </c>
      <c r="P238" s="577">
        <f t="shared" si="121"/>
        <v>28003.21354684986</v>
      </c>
      <c r="Q238" s="577">
        <f t="shared" si="121"/>
        <v>30346.603448401314</v>
      </c>
      <c r="R238" s="577">
        <f t="shared" si="121"/>
        <v>32687.458128362923</v>
      </c>
      <c r="S238" s="577">
        <f t="shared" si="121"/>
        <v>35027.467734597987</v>
      </c>
      <c r="T238" s="577">
        <f t="shared" si="121"/>
        <v>37373.39285838302</v>
      </c>
      <c r="U238" s="577">
        <f t="shared" si="121"/>
        <v>37896.493597504159</v>
      </c>
      <c r="V238" s="577">
        <f t="shared" si="121"/>
        <v>38419.594336655631</v>
      </c>
      <c r="W238" s="577">
        <f t="shared" si="121"/>
        <v>38942.695075841373</v>
      </c>
      <c r="X238" s="577">
        <f t="shared" si="121"/>
        <v>39465.795815065874</v>
      </c>
      <c r="Y238" s="577">
        <f t="shared" si="121"/>
        <v>39991.431776010759</v>
      </c>
      <c r="Z238" s="577">
        <f t="shared" si="121"/>
        <v>40514.532515328377</v>
      </c>
      <c r="AA238" s="577">
        <f t="shared" si="121"/>
        <v>41040.168476378531</v>
      </c>
      <c r="AB238" s="577">
        <f t="shared" si="121"/>
        <v>41563.269215813838</v>
      </c>
      <c r="AC238" s="577">
        <f t="shared" si="121"/>
        <v>42086.369955318762</v>
      </c>
      <c r="AD238" s="577">
        <f t="shared" si="121"/>
        <v>42612.005916579888</v>
      </c>
      <c r="AE238" s="577">
        <f t="shared" si="121"/>
        <v>43135.106656250209</v>
      </c>
      <c r="AF238" s="577">
        <f t="shared" si="121"/>
        <v>43658.207396017744</v>
      </c>
      <c r="AG238" s="725">
        <f t="shared" si="121"/>
        <v>44183.843357573438</v>
      </c>
      <c r="AH238" s="18"/>
      <c r="AI238" s="18"/>
      <c r="AJ238" s="18"/>
      <c r="AK238" s="18"/>
      <c r="AL238" s="18"/>
      <c r="AM238" s="18"/>
      <c r="AN238" s="18"/>
    </row>
    <row r="239" spans="2:40" ht="21.95" customHeight="1" x14ac:dyDescent="0.2">
      <c r="B239" s="705"/>
      <c r="C239" s="715"/>
      <c r="D239" s="715"/>
      <c r="E239" s="1340" t="s">
        <v>323</v>
      </c>
      <c r="F239" s="220" t="s">
        <v>282</v>
      </c>
      <c r="G239" s="220" t="s">
        <v>339</v>
      </c>
      <c r="H239" s="583">
        <f t="shared" ref="H239:AG239" si="122">H179+H209</f>
        <v>2427.3399014778324</v>
      </c>
      <c r="I239" s="583">
        <f t="shared" si="122"/>
        <v>2427.3399014778324</v>
      </c>
      <c r="J239" s="583">
        <f t="shared" si="122"/>
        <v>28402.304202663148</v>
      </c>
      <c r="K239" s="583">
        <f t="shared" si="122"/>
        <v>54377.288071326489</v>
      </c>
      <c r="L239" s="583">
        <f t="shared" si="122"/>
        <v>80375.520621015647</v>
      </c>
      <c r="M239" s="583">
        <f t="shared" si="122"/>
        <v>106380.4264777769</v>
      </c>
      <c r="N239" s="583">
        <f t="shared" si="122"/>
        <v>132671.26807387476</v>
      </c>
      <c r="O239" s="583">
        <f t="shared" si="122"/>
        <v>160818.56875726747</v>
      </c>
      <c r="P239" s="583">
        <f t="shared" si="122"/>
        <v>160818.60025303785</v>
      </c>
      <c r="Q239" s="583">
        <f t="shared" si="122"/>
        <v>160818.60025303785</v>
      </c>
      <c r="R239" s="583">
        <f t="shared" si="122"/>
        <v>160818.60025303785</v>
      </c>
      <c r="S239" s="583">
        <f t="shared" si="122"/>
        <v>160818.60025303785</v>
      </c>
      <c r="T239" s="583">
        <f t="shared" si="122"/>
        <v>160818.60025303785</v>
      </c>
      <c r="U239" s="583">
        <f t="shared" si="122"/>
        <v>160818.60025303785</v>
      </c>
      <c r="V239" s="583">
        <f t="shared" si="122"/>
        <v>160818.60025303785</v>
      </c>
      <c r="W239" s="583">
        <f t="shared" si="122"/>
        <v>160818.60025303785</v>
      </c>
      <c r="X239" s="583">
        <f t="shared" si="122"/>
        <v>160818.60025303785</v>
      </c>
      <c r="Y239" s="583">
        <f t="shared" si="122"/>
        <v>160818.60025303785</v>
      </c>
      <c r="Z239" s="583">
        <f t="shared" si="122"/>
        <v>160818.60025303785</v>
      </c>
      <c r="AA239" s="583">
        <f t="shared" si="122"/>
        <v>160818.60025303785</v>
      </c>
      <c r="AB239" s="583">
        <f t="shared" si="122"/>
        <v>160818.60025303785</v>
      </c>
      <c r="AC239" s="583">
        <f t="shared" si="122"/>
        <v>160818.60025303785</v>
      </c>
      <c r="AD239" s="583">
        <f t="shared" si="122"/>
        <v>160818.60025303785</v>
      </c>
      <c r="AE239" s="583">
        <f t="shared" si="122"/>
        <v>160818.60025303785</v>
      </c>
      <c r="AF239" s="583">
        <f t="shared" si="122"/>
        <v>160818.60025303785</v>
      </c>
      <c r="AG239" s="728">
        <f t="shared" si="122"/>
        <v>160818.60025303785</v>
      </c>
      <c r="AH239" s="18"/>
      <c r="AI239" s="18"/>
      <c r="AJ239" s="18"/>
      <c r="AK239" s="18"/>
      <c r="AL239" s="18"/>
      <c r="AM239" s="18"/>
      <c r="AN239" s="18"/>
    </row>
    <row r="240" spans="2:40" ht="21.95" customHeight="1" x14ac:dyDescent="0.2">
      <c r="B240" s="705"/>
      <c r="C240" s="715"/>
      <c r="D240" s="715"/>
      <c r="E240" s="1339"/>
      <c r="F240" s="116" t="s">
        <v>339</v>
      </c>
      <c r="G240" s="116" t="s">
        <v>288</v>
      </c>
      <c r="H240" s="577">
        <f t="shared" ref="H240:AG240" si="123">H180+H210</f>
        <v>609.32249322493226</v>
      </c>
      <c r="I240" s="577">
        <f t="shared" si="123"/>
        <v>1157.7127371273928</v>
      </c>
      <c r="J240" s="577">
        <f t="shared" si="123"/>
        <v>1706.1029810313298</v>
      </c>
      <c r="K240" s="577">
        <f t="shared" si="123"/>
        <v>3711.3279211226895</v>
      </c>
      <c r="L240" s="577">
        <f t="shared" si="123"/>
        <v>5713.7841011732671</v>
      </c>
      <c r="M240" s="577">
        <f t="shared" si="123"/>
        <v>7721.8025851664997</v>
      </c>
      <c r="N240" s="577">
        <f t="shared" si="123"/>
        <v>9727.3170940721266</v>
      </c>
      <c r="O240" s="577">
        <f t="shared" si="123"/>
        <v>11734.698664997861</v>
      </c>
      <c r="P240" s="577">
        <f t="shared" si="123"/>
        <v>15262.466014643802</v>
      </c>
      <c r="Q240" s="577">
        <f t="shared" si="123"/>
        <v>19121.093263708819</v>
      </c>
      <c r="R240" s="577">
        <f t="shared" si="123"/>
        <v>24922.384304188461</v>
      </c>
      <c r="S240" s="577">
        <f t="shared" si="123"/>
        <v>39296.571122363246</v>
      </c>
      <c r="T240" s="577">
        <f t="shared" si="123"/>
        <v>84448.29738882622</v>
      </c>
      <c r="U240" s="577">
        <f t="shared" si="123"/>
        <v>96465.817331057231</v>
      </c>
      <c r="V240" s="577">
        <f t="shared" si="123"/>
        <v>98154.114881290327</v>
      </c>
      <c r="W240" s="577">
        <f t="shared" si="123"/>
        <v>99850.462946157</v>
      </c>
      <c r="X240" s="577">
        <f t="shared" si="123"/>
        <v>101546.88338784526</v>
      </c>
      <c r="Y240" s="577">
        <f t="shared" si="123"/>
        <v>103243.38639999263</v>
      </c>
      <c r="Z240" s="577">
        <f t="shared" si="123"/>
        <v>104939.98547009901</v>
      </c>
      <c r="AA240" s="577">
        <f t="shared" si="123"/>
        <v>106636.69600968946</v>
      </c>
      <c r="AB240" s="577">
        <f t="shared" si="123"/>
        <v>108333.53559033727</v>
      </c>
      <c r="AC240" s="577">
        <f t="shared" si="123"/>
        <v>110030.52420408341</v>
      </c>
      <c r="AD240" s="577">
        <f t="shared" si="123"/>
        <v>111719.11844708066</v>
      </c>
      <c r="AE240" s="577">
        <f t="shared" si="123"/>
        <v>113416.46929399075</v>
      </c>
      <c r="AF240" s="577">
        <f t="shared" si="123"/>
        <v>115114.05241819441</v>
      </c>
      <c r="AG240" s="725">
        <f t="shared" si="123"/>
        <v>116811.8947542941</v>
      </c>
      <c r="AH240" s="18"/>
      <c r="AI240" s="18"/>
      <c r="AJ240" s="18"/>
      <c r="AK240" s="18"/>
      <c r="AL240" s="18"/>
      <c r="AM240" s="18"/>
      <c r="AN240" s="18"/>
    </row>
    <row r="241" spans="2:40" ht="21.95" customHeight="1" x14ac:dyDescent="0.2">
      <c r="B241" s="705"/>
      <c r="C241" s="715"/>
      <c r="D241" s="715"/>
      <c r="E241" s="1339"/>
      <c r="F241" s="116" t="s">
        <v>288</v>
      </c>
      <c r="G241" s="116" t="s">
        <v>340</v>
      </c>
      <c r="H241" s="577">
        <f t="shared" ref="H241:AG241" si="124">H181+H211</f>
        <v>1944.8905109489051</v>
      </c>
      <c r="I241" s="577">
        <f t="shared" si="124"/>
        <v>3694.4491849148417</v>
      </c>
      <c r="J241" s="577">
        <f t="shared" si="124"/>
        <v>5443.4243917274944</v>
      </c>
      <c r="K241" s="577">
        <f t="shared" si="124"/>
        <v>11841.919683698419</v>
      </c>
      <c r="L241" s="577">
        <f t="shared" si="124"/>
        <v>18240.674294418233</v>
      </c>
      <c r="M241" s="577">
        <f t="shared" si="124"/>
        <v>24647.597445648662</v>
      </c>
      <c r="N241" s="577">
        <f t="shared" si="124"/>
        <v>31046.092742205441</v>
      </c>
      <c r="O241" s="577">
        <f t="shared" si="124"/>
        <v>37448.477849380193</v>
      </c>
      <c r="P241" s="577">
        <f t="shared" si="124"/>
        <v>48575.002619196712</v>
      </c>
      <c r="Q241" s="577">
        <f t="shared" si="124"/>
        <v>59696.994595945587</v>
      </c>
      <c r="R241" s="577">
        <f t="shared" si="124"/>
        <v>70822.712667400236</v>
      </c>
      <c r="S241" s="577">
        <f t="shared" si="124"/>
        <v>81949.409253229096</v>
      </c>
      <c r="T241" s="577">
        <f t="shared" si="124"/>
        <v>93084.697667375454</v>
      </c>
      <c r="U241" s="577">
        <f t="shared" si="124"/>
        <v>99558.187935970171</v>
      </c>
      <c r="V241" s="577">
        <f t="shared" si="124"/>
        <v>101308.13439753474</v>
      </c>
      <c r="W241" s="577">
        <f t="shared" si="124"/>
        <v>103058.15393440919</v>
      </c>
      <c r="X241" s="577">
        <f t="shared" si="124"/>
        <v>104808.25872726183</v>
      </c>
      <c r="Y241" s="577">
        <f t="shared" si="124"/>
        <v>106557.87901676691</v>
      </c>
      <c r="Z241" s="577">
        <f t="shared" si="124"/>
        <v>108308.19809500566</v>
      </c>
      <c r="AA241" s="577">
        <f t="shared" si="124"/>
        <v>110058.06667410745</v>
      </c>
      <c r="AB241" s="577">
        <f t="shared" si="124"/>
        <v>111808.6729500283</v>
      </c>
      <c r="AC241" s="577">
        <f t="shared" si="124"/>
        <v>113559.45665396267</v>
      </c>
      <c r="AD241" s="577">
        <f t="shared" si="124"/>
        <v>115309.86040708634</v>
      </c>
      <c r="AE241" s="577">
        <f t="shared" si="124"/>
        <v>117061.08217818968</v>
      </c>
      <c r="AF241" s="577">
        <f t="shared" si="124"/>
        <v>118812.57203019604</v>
      </c>
      <c r="AG241" s="725">
        <f t="shared" si="124"/>
        <v>120563.78397835894</v>
      </c>
      <c r="AH241" s="18"/>
      <c r="AI241" s="18"/>
      <c r="AJ241" s="18"/>
      <c r="AK241" s="18"/>
      <c r="AL241" s="18"/>
      <c r="AM241" s="18"/>
      <c r="AN241" s="18"/>
    </row>
    <row r="242" spans="2:40" ht="21.95" customHeight="1" x14ac:dyDescent="0.2">
      <c r="B242" s="705"/>
      <c r="C242" s="715"/>
      <c r="D242" s="715"/>
      <c r="E242" s="1353"/>
      <c r="F242" s="254" t="s">
        <v>340</v>
      </c>
      <c r="G242" s="254" t="s">
        <v>280</v>
      </c>
      <c r="H242" s="587">
        <f t="shared" ref="H242:AG242" si="125">H182+H212</f>
        <v>2797.4452554744526</v>
      </c>
      <c r="I242" s="587">
        <f t="shared" si="125"/>
        <v>5313.9337591240865</v>
      </c>
      <c r="J242" s="587">
        <f t="shared" si="125"/>
        <v>7829.5830291970815</v>
      </c>
      <c r="K242" s="587">
        <f t="shared" si="125"/>
        <v>17032.898175182658</v>
      </c>
      <c r="L242" s="587">
        <f t="shared" si="125"/>
        <v>26236.586313889238</v>
      </c>
      <c r="M242" s="587">
        <f t="shared" si="125"/>
        <v>35452.023723193284</v>
      </c>
      <c r="N242" s="587">
        <f t="shared" si="125"/>
        <v>44655.338875774964</v>
      </c>
      <c r="O242" s="587">
        <f t="shared" si="125"/>
        <v>53864.248961437275</v>
      </c>
      <c r="P242" s="587">
        <f t="shared" si="125"/>
        <v>69868.154452269242</v>
      </c>
      <c r="Q242" s="587">
        <f t="shared" si="125"/>
        <v>85865.540172250505</v>
      </c>
      <c r="R242" s="587">
        <f t="shared" si="125"/>
        <v>101868.2853435209</v>
      </c>
      <c r="S242" s="587">
        <f t="shared" si="125"/>
        <v>117872.43796697336</v>
      </c>
      <c r="T242" s="587">
        <f t="shared" si="125"/>
        <v>133888.94869964963</v>
      </c>
      <c r="U242" s="587">
        <f t="shared" si="125"/>
        <v>143200.13333255984</v>
      </c>
      <c r="V242" s="587">
        <f t="shared" si="125"/>
        <v>145717.17961289245</v>
      </c>
      <c r="W242" s="587">
        <f t="shared" si="125"/>
        <v>148234.33100154746</v>
      </c>
      <c r="X242" s="587">
        <f t="shared" si="125"/>
        <v>150751.60501866427</v>
      </c>
      <c r="Y242" s="587">
        <f t="shared" si="125"/>
        <v>153268.18214740447</v>
      </c>
      <c r="Z242" s="587">
        <f t="shared" si="125"/>
        <v>155785.76438322733</v>
      </c>
      <c r="AA242" s="587">
        <f t="shared" si="125"/>
        <v>158302.69864083949</v>
      </c>
      <c r="AB242" s="587">
        <f t="shared" si="125"/>
        <v>160820.69396921879</v>
      </c>
      <c r="AC242" s="587">
        <f t="shared" si="125"/>
        <v>163338.94450227509</v>
      </c>
      <c r="AD242" s="587">
        <f t="shared" si="125"/>
        <v>165856.64853074061</v>
      </c>
      <c r="AE242" s="587">
        <f t="shared" si="125"/>
        <v>168375.52916040982</v>
      </c>
      <c r="AF242" s="587">
        <f t="shared" si="125"/>
        <v>170894.79538589844</v>
      </c>
      <c r="AG242" s="729">
        <f t="shared" si="125"/>
        <v>173413.6618866807</v>
      </c>
      <c r="AH242" s="18"/>
      <c r="AI242" s="18"/>
      <c r="AJ242" s="18"/>
      <c r="AK242" s="18"/>
      <c r="AL242" s="18"/>
      <c r="AM242" s="18"/>
      <c r="AN242" s="18"/>
    </row>
    <row r="243" spans="2:40" ht="21.95" customHeight="1" x14ac:dyDescent="0.2">
      <c r="B243" s="705"/>
      <c r="C243" s="715"/>
      <c r="D243" s="715"/>
      <c r="E243" s="1340" t="s">
        <v>334</v>
      </c>
      <c r="F243" s="116" t="s">
        <v>336</v>
      </c>
      <c r="G243" s="116" t="s">
        <v>337</v>
      </c>
      <c r="H243" s="577">
        <f t="shared" ref="H243:AG243" si="126">H183+H213</f>
        <v>50196.720034495389</v>
      </c>
      <c r="I243" s="577">
        <f t="shared" si="126"/>
        <v>51556.594011728368</v>
      </c>
      <c r="J243" s="577">
        <f t="shared" si="126"/>
        <v>53769.922442098308</v>
      </c>
      <c r="K243" s="577">
        <f t="shared" si="126"/>
        <v>56945.508531672138</v>
      </c>
      <c r="L243" s="577">
        <f t="shared" si="126"/>
        <v>60122.88699126424</v>
      </c>
      <c r="M243" s="577">
        <f t="shared" si="126"/>
        <v>63300.489149589092</v>
      </c>
      <c r="N243" s="577">
        <f t="shared" si="126"/>
        <v>66477.938677337806</v>
      </c>
      <c r="O243" s="577">
        <f t="shared" si="126"/>
        <v>69659.513741195871</v>
      </c>
      <c r="P243" s="577">
        <f t="shared" si="126"/>
        <v>72490.020930135943</v>
      </c>
      <c r="Q243" s="577">
        <f t="shared" si="126"/>
        <v>75323.885954439625</v>
      </c>
      <c r="R243" s="577">
        <f t="shared" si="126"/>
        <v>78160.319330443177</v>
      </c>
      <c r="S243" s="577">
        <f t="shared" si="126"/>
        <v>81001.579141090071</v>
      </c>
      <c r="T243" s="577">
        <f t="shared" si="126"/>
        <v>83852.013650989102</v>
      </c>
      <c r="U243" s="577">
        <f t="shared" si="126"/>
        <v>85733.760318271656</v>
      </c>
      <c r="V243" s="577">
        <f t="shared" si="126"/>
        <v>87110.843832871047</v>
      </c>
      <c r="W243" s="577">
        <f t="shared" si="126"/>
        <v>88490.852902967003</v>
      </c>
      <c r="X243" s="577">
        <f t="shared" si="126"/>
        <v>89874.225665265549</v>
      </c>
      <c r="Y243" s="577">
        <f t="shared" si="126"/>
        <v>91262.19023443578</v>
      </c>
      <c r="Z243" s="577">
        <f t="shared" si="126"/>
        <v>92653.84301367843</v>
      </c>
      <c r="AA243" s="577">
        <f t="shared" si="126"/>
        <v>94051.282750019614</v>
      </c>
      <c r="AB243" s="577">
        <f t="shared" si="126"/>
        <v>95453.745562912285</v>
      </c>
      <c r="AC243" s="577">
        <f t="shared" si="126"/>
        <v>96862.762713696124</v>
      </c>
      <c r="AD243" s="577">
        <f t="shared" si="126"/>
        <v>98279.9757851709</v>
      </c>
      <c r="AE243" s="577">
        <f t="shared" si="126"/>
        <v>99704.890181085619</v>
      </c>
      <c r="AF243" s="577">
        <f t="shared" si="126"/>
        <v>101139.36717915081</v>
      </c>
      <c r="AG243" s="725">
        <f t="shared" si="126"/>
        <v>102585.41767335372</v>
      </c>
      <c r="AH243" s="18"/>
      <c r="AI243" s="18"/>
      <c r="AJ243" s="18"/>
      <c r="AK243" s="18"/>
      <c r="AL243" s="18"/>
      <c r="AM243" s="18"/>
      <c r="AN243" s="18"/>
    </row>
    <row r="244" spans="2:40" ht="21.95" customHeight="1" x14ac:dyDescent="0.2">
      <c r="B244" s="705"/>
      <c r="C244" s="715"/>
      <c r="D244" s="715"/>
      <c r="E244" s="1339"/>
      <c r="F244" s="116" t="s">
        <v>337</v>
      </c>
      <c r="G244" s="116" t="s">
        <v>386</v>
      </c>
      <c r="H244" s="577">
        <f t="shared" ref="H244:AG244" si="127">H184+H214</f>
        <v>82970.789794739554</v>
      </c>
      <c r="I244" s="577">
        <f t="shared" si="127"/>
        <v>84698.104295278594</v>
      </c>
      <c r="J244" s="577">
        <f t="shared" si="127"/>
        <v>88799.342015139147</v>
      </c>
      <c r="K244" s="577">
        <f t="shared" si="127"/>
        <v>93303.472279865615</v>
      </c>
      <c r="L244" s="577">
        <f t="shared" si="127"/>
        <v>97830.360596066967</v>
      </c>
      <c r="M244" s="577">
        <f t="shared" si="127"/>
        <v>102376.56402732126</v>
      </c>
      <c r="N244" s="577">
        <f t="shared" si="127"/>
        <v>106953.46477325358</v>
      </c>
      <c r="O244" s="577">
        <f t="shared" si="127"/>
        <v>111588.93088412768</v>
      </c>
      <c r="P244" s="577">
        <f t="shared" si="127"/>
        <v>114170.04181998048</v>
      </c>
      <c r="Q244" s="577">
        <f t="shared" si="127"/>
        <v>116782.17040061456</v>
      </c>
      <c r="R244" s="577">
        <f t="shared" si="127"/>
        <v>119423.12444209561</v>
      </c>
      <c r="S244" s="577">
        <f t="shared" si="127"/>
        <v>122107.82300563561</v>
      </c>
      <c r="T244" s="577">
        <f t="shared" si="127"/>
        <v>124836.16244187352</v>
      </c>
      <c r="U244" s="577">
        <f t="shared" si="127"/>
        <v>127175.16500837647</v>
      </c>
      <c r="V244" s="577">
        <f t="shared" si="127"/>
        <v>129233.36833883956</v>
      </c>
      <c r="W244" s="577">
        <f t="shared" si="127"/>
        <v>131335.8598163398</v>
      </c>
      <c r="X244" s="577">
        <f t="shared" si="127"/>
        <v>133483.73196444346</v>
      </c>
      <c r="Y244" s="577">
        <f t="shared" si="127"/>
        <v>135682.9955393626</v>
      </c>
      <c r="Z244" s="577">
        <f t="shared" si="127"/>
        <v>137940.35886556227</v>
      </c>
      <c r="AA244" s="577">
        <f t="shared" si="127"/>
        <v>140263.29766416302</v>
      </c>
      <c r="AB244" s="577">
        <f t="shared" si="127"/>
        <v>142660.13079792552</v>
      </c>
      <c r="AC244" s="577">
        <f t="shared" si="127"/>
        <v>145140.10233662598</v>
      </c>
      <c r="AD244" s="577">
        <f t="shared" si="127"/>
        <v>147713.47037636981</v>
      </c>
      <c r="AE244" s="577">
        <f t="shared" si="127"/>
        <v>150391.60306986407</v>
      </c>
      <c r="AF244" s="577">
        <f t="shared" si="127"/>
        <v>153181.08964129165</v>
      </c>
      <c r="AG244" s="725">
        <f t="shared" si="127"/>
        <v>156107.53241274651</v>
      </c>
      <c r="AH244" s="18"/>
      <c r="AI244" s="18"/>
      <c r="AJ244" s="18"/>
      <c r="AK244" s="18"/>
      <c r="AL244" s="18"/>
      <c r="AM244" s="18"/>
      <c r="AN244" s="18"/>
    </row>
    <row r="245" spans="2:40" ht="21.95" customHeight="1" x14ac:dyDescent="0.2">
      <c r="B245" s="705"/>
      <c r="C245" s="715"/>
      <c r="D245" s="715"/>
      <c r="E245" s="1339"/>
      <c r="F245" s="116" t="s">
        <v>342</v>
      </c>
      <c r="G245" s="116" t="s">
        <v>341</v>
      </c>
      <c r="H245" s="577">
        <f t="shared" ref="H245:AG245" si="128">H185+H215</f>
        <v>120295.7251648075</v>
      </c>
      <c r="I245" s="577">
        <f t="shared" si="128"/>
        <v>122801.75975233193</v>
      </c>
      <c r="J245" s="577">
        <f t="shared" si="128"/>
        <v>128753.742238987</v>
      </c>
      <c r="K245" s="577">
        <f t="shared" si="128"/>
        <v>135294.58651455436</v>
      </c>
      <c r="L245" s="577">
        <f t="shared" si="128"/>
        <v>141875.16705581773</v>
      </c>
      <c r="M245" s="577">
        <f t="shared" si="128"/>
        <v>148493.97907070525</v>
      </c>
      <c r="N245" s="577">
        <f t="shared" si="128"/>
        <v>155172.56743071281</v>
      </c>
      <c r="O245" s="577">
        <f t="shared" si="128"/>
        <v>161958.67016545212</v>
      </c>
      <c r="P245" s="577">
        <f t="shared" si="128"/>
        <v>165750.01423170953</v>
      </c>
      <c r="Q245" s="577">
        <f t="shared" si="128"/>
        <v>169598.39952016424</v>
      </c>
      <c r="R245" s="577">
        <f t="shared" si="128"/>
        <v>173503.01800289133</v>
      </c>
      <c r="S245" s="577">
        <f t="shared" si="128"/>
        <v>177488.76786125926</v>
      </c>
      <c r="T245" s="577">
        <f t="shared" si="128"/>
        <v>181558.79436375992</v>
      </c>
      <c r="U245" s="577">
        <f t="shared" si="128"/>
        <v>185065.61802626465</v>
      </c>
      <c r="V245" s="577">
        <f t="shared" si="128"/>
        <v>188166.23382620007</v>
      </c>
      <c r="W245" s="577">
        <f t="shared" si="128"/>
        <v>191349.01000589516</v>
      </c>
      <c r="X245" s="577">
        <f t="shared" si="128"/>
        <v>194617.68528670887</v>
      </c>
      <c r="Y245" s="577">
        <f t="shared" si="128"/>
        <v>197983.63716810948</v>
      </c>
      <c r="Z245" s="577">
        <f t="shared" si="128"/>
        <v>201459.5635462252</v>
      </c>
      <c r="AA245" s="577">
        <f t="shared" si="128"/>
        <v>205059.61488899612</v>
      </c>
      <c r="AB245" s="577">
        <f t="shared" si="128"/>
        <v>208799.53761056665</v>
      </c>
      <c r="AC245" s="577">
        <f t="shared" si="128"/>
        <v>212696.82940927171</v>
      </c>
      <c r="AD245" s="577">
        <f t="shared" si="128"/>
        <v>216770.9073898592</v>
      </c>
      <c r="AE245" s="577">
        <f t="shared" si="128"/>
        <v>221043.28983502393</v>
      </c>
      <c r="AF245" s="577">
        <f t="shared" si="128"/>
        <v>225528.11993207457</v>
      </c>
      <c r="AG245" s="725">
        <f t="shared" si="128"/>
        <v>230270.51774307416</v>
      </c>
      <c r="AH245" s="18"/>
      <c r="AI245" s="18"/>
      <c r="AJ245" s="18"/>
      <c r="AK245" s="18"/>
      <c r="AL245" s="18"/>
      <c r="AM245" s="18"/>
      <c r="AN245" s="18"/>
    </row>
    <row r="246" spans="2:40" ht="21.95" customHeight="1" x14ac:dyDescent="0.2">
      <c r="B246" s="705"/>
      <c r="C246" s="715"/>
      <c r="D246" s="715"/>
      <c r="E246" s="1339"/>
      <c r="F246" s="116" t="s">
        <v>341</v>
      </c>
      <c r="G246" s="116" t="s">
        <v>344</v>
      </c>
      <c r="H246" s="577">
        <f t="shared" ref="H246:AG246" si="129">H186+H216</f>
        <v>124354.61598331397</v>
      </c>
      <c r="I246" s="577">
        <f t="shared" si="129"/>
        <v>127083.77468008685</v>
      </c>
      <c r="J246" s="577">
        <f t="shared" si="129"/>
        <v>133320.27396949122</v>
      </c>
      <c r="K246" s="577">
        <f t="shared" si="129"/>
        <v>140235.73738660634</v>
      </c>
      <c r="L246" s="577">
        <f t="shared" si="129"/>
        <v>147278.05853343403</v>
      </c>
      <c r="M246" s="577">
        <f t="shared" si="129"/>
        <v>154501.08332204388</v>
      </c>
      <c r="N246" s="577">
        <f t="shared" si="129"/>
        <v>162001.76541525728</v>
      </c>
      <c r="O246" s="577">
        <f t="shared" si="129"/>
        <v>169916.42318954604</v>
      </c>
      <c r="P246" s="577">
        <f t="shared" si="129"/>
        <v>174520.42298273958</v>
      </c>
      <c r="Q246" s="577">
        <f t="shared" si="129"/>
        <v>179335.91165217021</v>
      </c>
      <c r="R246" s="577">
        <f t="shared" si="129"/>
        <v>184421.82308174495</v>
      </c>
      <c r="S246" s="577">
        <f t="shared" si="129"/>
        <v>189820.08099153839</v>
      </c>
      <c r="T246" s="577">
        <f t="shared" si="129"/>
        <v>195609.73823187687</v>
      </c>
      <c r="U246" s="577">
        <f t="shared" si="129"/>
        <v>200810.85805685917</v>
      </c>
      <c r="V246" s="577">
        <f t="shared" si="129"/>
        <v>205626.22021505213</v>
      </c>
      <c r="W246" s="577">
        <f t="shared" si="129"/>
        <v>210772.32415513357</v>
      </c>
      <c r="X246" s="577">
        <f t="shared" si="129"/>
        <v>216274.20131080563</v>
      </c>
      <c r="Y246" s="577">
        <f t="shared" si="129"/>
        <v>222188.9299587945</v>
      </c>
      <c r="Z246" s="577">
        <f t="shared" si="129"/>
        <v>228570.3763291192</v>
      </c>
      <c r="AA246" s="577">
        <f t="shared" si="129"/>
        <v>235478.56578538712</v>
      </c>
      <c r="AB246" s="577">
        <f t="shared" si="129"/>
        <v>242980.29054279561</v>
      </c>
      <c r="AC246" s="577">
        <f t="shared" si="129"/>
        <v>251149.76801250005</v>
      </c>
      <c r="AD246" s="577">
        <f t="shared" si="129"/>
        <v>260069.35330363747</v>
      </c>
      <c r="AE246" s="577">
        <f t="shared" si="129"/>
        <v>269848.42159647541</v>
      </c>
      <c r="AF246" s="577">
        <f t="shared" si="129"/>
        <v>280553.51884861744</v>
      </c>
      <c r="AG246" s="725">
        <f t="shared" si="129"/>
        <v>292312.83891629393</v>
      </c>
      <c r="AH246" s="18"/>
      <c r="AI246" s="18"/>
      <c r="AJ246" s="18"/>
      <c r="AK246" s="18"/>
      <c r="AL246" s="18"/>
      <c r="AM246" s="18"/>
      <c r="AN246" s="18"/>
    </row>
    <row r="247" spans="2:40" ht="21.95" customHeight="1" x14ac:dyDescent="0.2">
      <c r="B247" s="705"/>
      <c r="C247" s="715"/>
      <c r="D247" s="715"/>
      <c r="E247" s="1339"/>
      <c r="F247" s="116" t="s">
        <v>344</v>
      </c>
      <c r="G247" s="116" t="s">
        <v>345</v>
      </c>
      <c r="H247" s="577">
        <f t="shared" ref="H247:AG247" si="130">H187+H217</f>
        <v>41932.997328808022</v>
      </c>
      <c r="I247" s="577">
        <f t="shared" si="130"/>
        <v>42846.542614489335</v>
      </c>
      <c r="J247" s="577">
        <f t="shared" si="130"/>
        <v>44927.167627950119</v>
      </c>
      <c r="K247" s="577">
        <f t="shared" si="130"/>
        <v>47218.43340559418</v>
      </c>
      <c r="L247" s="577">
        <f t="shared" si="130"/>
        <v>49526.452795465389</v>
      </c>
      <c r="M247" s="577">
        <f t="shared" si="130"/>
        <v>51855.865056709306</v>
      </c>
      <c r="N247" s="577">
        <f t="shared" si="130"/>
        <v>54219.714834488397</v>
      </c>
      <c r="O247" s="577">
        <f t="shared" si="130"/>
        <v>56635.929134179627</v>
      </c>
      <c r="P247" s="577">
        <f t="shared" si="130"/>
        <v>57998.162679572728</v>
      </c>
      <c r="Q247" s="577">
        <f t="shared" si="130"/>
        <v>59385.607353603875</v>
      </c>
      <c r="R247" s="577">
        <f t="shared" si="130"/>
        <v>60807.611845668362</v>
      </c>
      <c r="S247" s="577">
        <f t="shared" si="130"/>
        <v>62267.336719134037</v>
      </c>
      <c r="T247" s="577">
        <f t="shared" si="130"/>
        <v>63776.625995689799</v>
      </c>
      <c r="U247" s="577">
        <f t="shared" si="130"/>
        <v>65084.450841845508</v>
      </c>
      <c r="V247" s="577">
        <f t="shared" si="130"/>
        <v>66256.745546350896</v>
      </c>
      <c r="W247" s="577">
        <f t="shared" si="130"/>
        <v>67471.08136786602</v>
      </c>
      <c r="X247" s="577">
        <f t="shared" si="130"/>
        <v>68728.523738884644</v>
      </c>
      <c r="Y247" s="577">
        <f t="shared" si="130"/>
        <v>70037.171606238204</v>
      </c>
      <c r="Z247" s="577">
        <f t="shared" si="130"/>
        <v>71403.705936557875</v>
      </c>
      <c r="AA247" s="577">
        <f t="shared" si="130"/>
        <v>72835.571606738638</v>
      </c>
      <c r="AB247" s="577">
        <f t="shared" si="130"/>
        <v>74341.052778504833</v>
      </c>
      <c r="AC247" s="577">
        <f t="shared" si="130"/>
        <v>75929.354552105899</v>
      </c>
      <c r="AD247" s="577">
        <f t="shared" si="130"/>
        <v>77610.691337123862</v>
      </c>
      <c r="AE247" s="577">
        <f t="shared" si="130"/>
        <v>79399.648405261061</v>
      </c>
      <c r="AF247" s="577">
        <f t="shared" si="130"/>
        <v>81302.440187721571</v>
      </c>
      <c r="AG247" s="725">
        <f t="shared" si="130"/>
        <v>83335.98601496972</v>
      </c>
      <c r="AH247" s="18"/>
      <c r="AI247" s="18"/>
      <c r="AJ247" s="18"/>
      <c r="AK247" s="18"/>
      <c r="AL247" s="18"/>
      <c r="AM247" s="18"/>
      <c r="AN247" s="18"/>
    </row>
    <row r="248" spans="2:40" ht="21.95" customHeight="1" x14ac:dyDescent="0.2">
      <c r="B248" s="705"/>
      <c r="C248" s="715"/>
      <c r="D248" s="715"/>
      <c r="E248" s="1339"/>
      <c r="F248" s="116" t="s">
        <v>345</v>
      </c>
      <c r="G248" s="116" t="s">
        <v>323</v>
      </c>
      <c r="H248" s="577">
        <f t="shared" ref="H248:AG248" si="131">H188+H218</f>
        <v>414258.30285385402</v>
      </c>
      <c r="I248" s="577">
        <f t="shared" si="131"/>
        <v>423278.96870438522</v>
      </c>
      <c r="J248" s="577">
        <f t="shared" si="131"/>
        <v>443810.43757156865</v>
      </c>
      <c r="K248" s="577">
        <f t="shared" si="131"/>
        <v>466412.64316440211</v>
      </c>
      <c r="L248" s="577">
        <f t="shared" si="131"/>
        <v>489151.51276714681</v>
      </c>
      <c r="M248" s="577">
        <f t="shared" si="131"/>
        <v>512075.19422509044</v>
      </c>
      <c r="N248" s="577">
        <f t="shared" si="131"/>
        <v>535283.39308736438</v>
      </c>
      <c r="O248" s="577">
        <f t="shared" si="131"/>
        <v>558927.70516764896</v>
      </c>
      <c r="P248" s="577">
        <f t="shared" si="131"/>
        <v>572204.65391000581</v>
      </c>
      <c r="Q248" s="577">
        <f t="shared" si="131"/>
        <v>585706.7478228542</v>
      </c>
      <c r="R248" s="577">
        <f t="shared" si="131"/>
        <v>599482.06268131826</v>
      </c>
      <c r="S248" s="577">
        <f t="shared" si="131"/>
        <v>613587.58283576637</v>
      </c>
      <c r="T248" s="577">
        <f t="shared" si="131"/>
        <v>628095.91424794169</v>
      </c>
      <c r="U248" s="577">
        <f t="shared" si="131"/>
        <v>640634.34267872665</v>
      </c>
      <c r="V248" s="577">
        <f t="shared" si="131"/>
        <v>651815.28064455732</v>
      </c>
      <c r="W248" s="577">
        <f t="shared" si="131"/>
        <v>663329.01418716507</v>
      </c>
      <c r="X248" s="577">
        <f t="shared" si="131"/>
        <v>675220.27269237349</v>
      </c>
      <c r="Y248" s="577">
        <f t="shared" si="131"/>
        <v>687540.08020115516</v>
      </c>
      <c r="Z248" s="577">
        <f t="shared" si="131"/>
        <v>700342.20417924807</v>
      </c>
      <c r="AA248" s="577">
        <f t="shared" si="131"/>
        <v>713690.93537285249</v>
      </c>
      <c r="AB248" s="577">
        <f t="shared" si="131"/>
        <v>727653.26433309936</v>
      </c>
      <c r="AC248" s="577">
        <f t="shared" si="131"/>
        <v>742307.14202037407</v>
      </c>
      <c r="AD248" s="577">
        <f t="shared" si="131"/>
        <v>757739.1795251586</v>
      </c>
      <c r="AE248" s="577">
        <f t="shared" si="131"/>
        <v>774041.37933452218</v>
      </c>
      <c r="AF248" s="577">
        <f t="shared" si="131"/>
        <v>791319.60593649512</v>
      </c>
      <c r="AG248" s="725">
        <f t="shared" si="131"/>
        <v>809691.06885013334</v>
      </c>
      <c r="AH248" s="18"/>
      <c r="AI248" s="18"/>
      <c r="AJ248" s="18"/>
      <c r="AK248" s="18"/>
      <c r="AL248" s="18"/>
      <c r="AM248" s="18"/>
      <c r="AN248" s="18"/>
    </row>
    <row r="249" spans="2:40" ht="21.95" customHeight="1" x14ac:dyDescent="0.2">
      <c r="B249" s="705"/>
      <c r="C249" s="715"/>
      <c r="D249" s="715"/>
      <c r="E249" s="1339"/>
      <c r="F249" s="116" t="s">
        <v>323</v>
      </c>
      <c r="G249" s="116" t="s">
        <v>347</v>
      </c>
      <c r="H249" s="577">
        <f t="shared" ref="H249:AG249" si="132">H189+H219</f>
        <v>73974.696938188237</v>
      </c>
      <c r="I249" s="577">
        <f t="shared" si="132"/>
        <v>75585.530125783072</v>
      </c>
      <c r="J249" s="577">
        <f t="shared" si="132"/>
        <v>77987.560678618669</v>
      </c>
      <c r="K249" s="577">
        <f t="shared" si="132"/>
        <v>80750.741929447599</v>
      </c>
      <c r="L249" s="577">
        <f t="shared" si="132"/>
        <v>83522.711007167367</v>
      </c>
      <c r="M249" s="577">
        <f t="shared" si="132"/>
        <v>86305.203957689082</v>
      </c>
      <c r="N249" s="577">
        <f t="shared" si="132"/>
        <v>89101.58912174344</v>
      </c>
      <c r="O249" s="577">
        <f t="shared" si="132"/>
        <v>91918.319496009964</v>
      </c>
      <c r="P249" s="577">
        <f t="shared" si="132"/>
        <v>94199.456815684345</v>
      </c>
      <c r="Q249" s="577">
        <f t="shared" si="132"/>
        <v>96500.664345548925</v>
      </c>
      <c r="R249" s="577">
        <f t="shared" si="132"/>
        <v>98826.603677697509</v>
      </c>
      <c r="S249" s="577">
        <f t="shared" si="132"/>
        <v>101182.87494756267</v>
      </c>
      <c r="T249" s="577">
        <f t="shared" si="132"/>
        <v>103577.04589430022</v>
      </c>
      <c r="U249" s="577">
        <f t="shared" si="132"/>
        <v>105620.38388766837</v>
      </c>
      <c r="V249" s="577">
        <f t="shared" si="132"/>
        <v>107421.32481857733</v>
      </c>
      <c r="W249" s="577">
        <f t="shared" si="132"/>
        <v>109254.31979280672</v>
      </c>
      <c r="X249" s="577">
        <f t="shared" si="132"/>
        <v>111124.00146453519</v>
      </c>
      <c r="Y249" s="577">
        <f t="shared" si="132"/>
        <v>113035.74716801159</v>
      </c>
      <c r="Z249" s="577">
        <f t="shared" si="132"/>
        <v>114995.11041648992</v>
      </c>
      <c r="AA249" s="577">
        <f t="shared" si="132"/>
        <v>117009.00204263884</v>
      </c>
      <c r="AB249" s="577">
        <f t="shared" si="132"/>
        <v>119084.47358051494</v>
      </c>
      <c r="AC249" s="577">
        <f t="shared" si="132"/>
        <v>121229.94911379056</v>
      </c>
      <c r="AD249" s="577">
        <f t="shared" si="132"/>
        <v>123454.84417911191</v>
      </c>
      <c r="AE249" s="577">
        <f t="shared" si="132"/>
        <v>125769.08832451608</v>
      </c>
      <c r="AF249" s="577">
        <f t="shared" si="132"/>
        <v>128184.32870999299</v>
      </c>
      <c r="AG249" s="725">
        <f t="shared" si="132"/>
        <v>130713.53355309702</v>
      </c>
      <c r="AH249" s="18"/>
      <c r="AI249" s="18"/>
      <c r="AJ249" s="18"/>
      <c r="AK249" s="18"/>
      <c r="AL249" s="18"/>
      <c r="AM249" s="18"/>
      <c r="AN249" s="18"/>
    </row>
    <row r="250" spans="2:40" ht="21.95" customHeight="1" x14ac:dyDescent="0.2">
      <c r="B250" s="705"/>
      <c r="C250" s="715"/>
      <c r="D250" s="715"/>
      <c r="E250" s="1339"/>
      <c r="F250" s="116" t="s">
        <v>347</v>
      </c>
      <c r="G250" s="116" t="s">
        <v>348</v>
      </c>
      <c r="H250" s="577">
        <f t="shared" ref="H250:AG250" si="133">H190+H220</f>
        <v>60555.04565970866</v>
      </c>
      <c r="I250" s="577">
        <f t="shared" si="133"/>
        <v>61876.337220243964</v>
      </c>
      <c r="J250" s="577">
        <f t="shared" si="133"/>
        <v>63847.926914553158</v>
      </c>
      <c r="K250" s="577">
        <f t="shared" si="133"/>
        <v>66118.476741712948</v>
      </c>
      <c r="L250" s="577">
        <f t="shared" si="133"/>
        <v>68399.881752365633</v>
      </c>
      <c r="M250" s="577">
        <f t="shared" si="133"/>
        <v>70694.842077230045</v>
      </c>
      <c r="N250" s="577">
        <f t="shared" si="133"/>
        <v>73007.778587077381</v>
      </c>
      <c r="O250" s="577">
        <f t="shared" si="133"/>
        <v>75346.14244866345</v>
      </c>
      <c r="P250" s="577">
        <f t="shared" si="133"/>
        <v>77247.85772409504</v>
      </c>
      <c r="Q250" s="577">
        <f t="shared" si="133"/>
        <v>79175.193763712625</v>
      </c>
      <c r="R250" s="577">
        <f t="shared" si="133"/>
        <v>81134.101354809303</v>
      </c>
      <c r="S250" s="577">
        <f t="shared" si="133"/>
        <v>83131.729388600826</v>
      </c>
      <c r="T250" s="577">
        <f t="shared" si="133"/>
        <v>85177.375537231186</v>
      </c>
      <c r="U250" s="577">
        <f t="shared" si="133"/>
        <v>86937.777206136583</v>
      </c>
      <c r="V250" s="577">
        <f t="shared" si="133"/>
        <v>88501.75210756567</v>
      </c>
      <c r="W250" s="577">
        <f t="shared" si="133"/>
        <v>90106.645817384953</v>
      </c>
      <c r="X250" s="577">
        <f t="shared" si="133"/>
        <v>91758.372181993691</v>
      </c>
      <c r="Y250" s="577">
        <f t="shared" si="133"/>
        <v>93463.735178053146</v>
      </c>
      <c r="Z250" s="577">
        <f t="shared" si="133"/>
        <v>95229.945173275104</v>
      </c>
      <c r="AA250" s="577">
        <f t="shared" si="133"/>
        <v>97065.703246045741</v>
      </c>
      <c r="AB250" s="577">
        <f t="shared" si="133"/>
        <v>98980.132072785578</v>
      </c>
      <c r="AC250" s="577">
        <f t="shared" si="133"/>
        <v>100983.92497898535</v>
      </c>
      <c r="AD250" s="577">
        <f t="shared" si="133"/>
        <v>103089.04093621546</v>
      </c>
      <c r="AE250" s="577">
        <f t="shared" si="133"/>
        <v>105308.27656934137</v>
      </c>
      <c r="AF250" s="577">
        <f t="shared" si="133"/>
        <v>107656.43964398693</v>
      </c>
      <c r="AG250" s="725">
        <f t="shared" si="133"/>
        <v>110150.02433085175</v>
      </c>
      <c r="AH250" s="18"/>
      <c r="AI250" s="18"/>
      <c r="AJ250" s="18"/>
      <c r="AK250" s="18"/>
      <c r="AL250" s="18"/>
      <c r="AM250" s="18"/>
      <c r="AN250" s="18"/>
    </row>
    <row r="251" spans="2:40" ht="21.95" customHeight="1" x14ac:dyDescent="0.2">
      <c r="B251" s="705"/>
      <c r="C251" s="715"/>
      <c r="D251" s="715"/>
      <c r="E251" s="1353"/>
      <c r="F251" s="254" t="s">
        <v>348</v>
      </c>
      <c r="G251" s="254" t="s">
        <v>349</v>
      </c>
      <c r="H251" s="577">
        <f t="shared" ref="H251:AG251" si="134">H191+H221</f>
        <v>99004.918632670961</v>
      </c>
      <c r="I251" s="577">
        <f t="shared" si="134"/>
        <v>101421.36019615347</v>
      </c>
      <c r="J251" s="577">
        <f t="shared" si="134"/>
        <v>104803.18845034699</v>
      </c>
      <c r="K251" s="577">
        <f t="shared" si="134"/>
        <v>109355.29165235185</v>
      </c>
      <c r="L251" s="577">
        <f t="shared" si="134"/>
        <v>114005.91088454769</v>
      </c>
      <c r="M251" s="577">
        <f t="shared" si="134"/>
        <v>118795.20745518628</v>
      </c>
      <c r="N251" s="577">
        <f t="shared" si="134"/>
        <v>123776.9320357962</v>
      </c>
      <c r="O251" s="577">
        <f t="shared" si="134"/>
        <v>129030.86854894808</v>
      </c>
      <c r="P251" s="577">
        <f t="shared" si="134"/>
        <v>134388.19569623578</v>
      </c>
      <c r="Q251" s="577">
        <f t="shared" si="134"/>
        <v>140195.78853466475</v>
      </c>
      <c r="R251" s="577">
        <f t="shared" si="134"/>
        <v>146599.93568136098</v>
      </c>
      <c r="S251" s="577">
        <f t="shared" si="134"/>
        <v>153788.63787718047</v>
      </c>
      <c r="T251" s="577">
        <f t="shared" si="134"/>
        <v>162005.74165950262</v>
      </c>
      <c r="U251" s="577">
        <f t="shared" si="134"/>
        <v>168926.18354747345</v>
      </c>
      <c r="V251" s="577">
        <f t="shared" si="134"/>
        <v>174809.94060749473</v>
      </c>
      <c r="W251" s="577">
        <f t="shared" si="134"/>
        <v>181283.52423123992</v>
      </c>
      <c r="X251" s="577">
        <f t="shared" si="134"/>
        <v>188434.37358555867</v>
      </c>
      <c r="Y251" s="577">
        <f t="shared" si="134"/>
        <v>196362.89031174424</v>
      </c>
      <c r="Z251" s="577">
        <f t="shared" si="134"/>
        <v>205177.34655723727</v>
      </c>
      <c r="AA251" s="577">
        <f t="shared" si="134"/>
        <v>215006.60794357373</v>
      </c>
      <c r="AB251" s="577">
        <f t="shared" si="134"/>
        <v>225987.69469772081</v>
      </c>
      <c r="AC251" s="577">
        <f t="shared" si="134"/>
        <v>238280.43949484185</v>
      </c>
      <c r="AD251" s="577">
        <f t="shared" si="134"/>
        <v>252064.66602365149</v>
      </c>
      <c r="AE251" s="577">
        <f t="shared" si="134"/>
        <v>267532.8731034068</v>
      </c>
      <c r="AF251" s="577">
        <f t="shared" si="134"/>
        <v>284908.53531893145</v>
      </c>
      <c r="AG251" s="725">
        <f t="shared" si="134"/>
        <v>304441.9961224423</v>
      </c>
      <c r="AH251" s="18"/>
      <c r="AI251" s="18"/>
      <c r="AJ251" s="18"/>
      <c r="AK251" s="18"/>
      <c r="AL251" s="18"/>
      <c r="AM251" s="18"/>
      <c r="AN251" s="18"/>
    </row>
    <row r="252" spans="2:40" ht="21.95" customHeight="1" x14ac:dyDescent="0.2">
      <c r="B252" s="705"/>
      <c r="C252" s="715"/>
      <c r="D252" s="715"/>
      <c r="E252" s="116" t="s">
        <v>288</v>
      </c>
      <c r="F252" s="116" t="s">
        <v>323</v>
      </c>
      <c r="G252" s="116" t="s">
        <v>348</v>
      </c>
      <c r="H252" s="593">
        <f t="shared" ref="H252:AG252" si="135">H192+H222</f>
        <v>23633.09448058578</v>
      </c>
      <c r="I252" s="593">
        <f t="shared" si="135"/>
        <v>24519.073374646814</v>
      </c>
      <c r="J252" s="593">
        <f t="shared" si="135"/>
        <v>25874.301149443396</v>
      </c>
      <c r="K252" s="593">
        <f t="shared" si="135"/>
        <v>30180.130979470505</v>
      </c>
      <c r="L252" s="593">
        <f t="shared" si="135"/>
        <v>34486.652765956373</v>
      </c>
      <c r="M252" s="593">
        <f t="shared" si="135"/>
        <v>38797.884877333439</v>
      </c>
      <c r="N252" s="593">
        <f t="shared" si="135"/>
        <v>43104.189945641367</v>
      </c>
      <c r="O252" s="593">
        <f t="shared" si="135"/>
        <v>47415.524788910538</v>
      </c>
      <c r="P252" s="593">
        <f t="shared" si="135"/>
        <v>53099.428778932408</v>
      </c>
      <c r="Q252" s="593">
        <f t="shared" si="135"/>
        <v>58791.344057388756</v>
      </c>
      <c r="R252" s="593">
        <f t="shared" si="135"/>
        <v>64508.68977286118</v>
      </c>
      <c r="S252" s="593">
        <f t="shared" si="135"/>
        <v>70278.383623713496</v>
      </c>
      <c r="T252" s="593">
        <f t="shared" si="135"/>
        <v>76167.387352677208</v>
      </c>
      <c r="U252" s="593">
        <f t="shared" si="135"/>
        <v>79060.75061328501</v>
      </c>
      <c r="V252" s="593">
        <f t="shared" si="135"/>
        <v>80015.242483406531</v>
      </c>
      <c r="W252" s="593">
        <f t="shared" si="135"/>
        <v>80977.817138111888</v>
      </c>
      <c r="X252" s="593">
        <f t="shared" si="135"/>
        <v>81949.324719841461</v>
      </c>
      <c r="Y252" s="593">
        <f t="shared" si="135"/>
        <v>82931.715630512714</v>
      </c>
      <c r="Z252" s="593">
        <f t="shared" si="135"/>
        <v>83923.966208696715</v>
      </c>
      <c r="AA252" s="593">
        <f t="shared" si="135"/>
        <v>84929.240299015277</v>
      </c>
      <c r="AB252" s="593">
        <f t="shared" si="135"/>
        <v>85946.656613924861</v>
      </c>
      <c r="AC252" s="593">
        <f t="shared" si="135"/>
        <v>86978.557584241469</v>
      </c>
      <c r="AD252" s="593">
        <f t="shared" si="135"/>
        <v>88027.460045619126</v>
      </c>
      <c r="AE252" s="593">
        <f t="shared" si="135"/>
        <v>89092.735247375706</v>
      </c>
      <c r="AF252" s="593">
        <f t="shared" si="135"/>
        <v>90177.1372691078</v>
      </c>
      <c r="AG252" s="730">
        <f t="shared" si="135"/>
        <v>91283.641447311471</v>
      </c>
      <c r="AH252" s="18"/>
      <c r="AI252" s="18"/>
      <c r="AJ252" s="18"/>
      <c r="AK252" s="18"/>
      <c r="AL252" s="18"/>
      <c r="AM252" s="18"/>
      <c r="AN252" s="18"/>
    </row>
    <row r="253" spans="2:40" ht="21.95" customHeight="1" x14ac:dyDescent="0.2">
      <c r="B253" s="705"/>
      <c r="C253" s="715"/>
      <c r="D253" s="715"/>
      <c r="E253" s="277" t="s">
        <v>340</v>
      </c>
      <c r="F253" s="277" t="s">
        <v>335</v>
      </c>
      <c r="G253" s="277" t="s">
        <v>323</v>
      </c>
      <c r="H253" s="577" t="e">
        <f t="shared" ref="H253:AG253" si="136">H193+H223</f>
        <v>#DIV/0!</v>
      </c>
      <c r="I253" s="577" t="e">
        <f t="shared" si="136"/>
        <v>#DIV/0!</v>
      </c>
      <c r="J253" s="577" t="e">
        <f t="shared" si="136"/>
        <v>#DIV/0!</v>
      </c>
      <c r="K253" s="577" t="e">
        <f t="shared" si="136"/>
        <v>#DIV/0!</v>
      </c>
      <c r="L253" s="577" t="e">
        <f t="shared" si="136"/>
        <v>#DIV/0!</v>
      </c>
      <c r="M253" s="577" t="e">
        <f t="shared" si="136"/>
        <v>#DIV/0!</v>
      </c>
      <c r="N253" s="577" t="e">
        <f t="shared" si="136"/>
        <v>#DIV/0!</v>
      </c>
      <c r="O253" s="577" t="e">
        <f t="shared" si="136"/>
        <v>#DIV/0!</v>
      </c>
      <c r="P253" s="577" t="e">
        <f t="shared" si="136"/>
        <v>#DIV/0!</v>
      </c>
      <c r="Q253" s="577" t="e">
        <f t="shared" si="136"/>
        <v>#DIV/0!</v>
      </c>
      <c r="R253" s="577" t="e">
        <f t="shared" si="136"/>
        <v>#DIV/0!</v>
      </c>
      <c r="S253" s="577" t="e">
        <f t="shared" si="136"/>
        <v>#DIV/0!</v>
      </c>
      <c r="T253" s="577" t="e">
        <f t="shared" si="136"/>
        <v>#DIV/0!</v>
      </c>
      <c r="U253" s="577" t="e">
        <f t="shared" si="136"/>
        <v>#DIV/0!</v>
      </c>
      <c r="V253" s="577" t="e">
        <f t="shared" si="136"/>
        <v>#DIV/0!</v>
      </c>
      <c r="W253" s="577" t="e">
        <f t="shared" si="136"/>
        <v>#DIV/0!</v>
      </c>
      <c r="X253" s="577" t="e">
        <f t="shared" si="136"/>
        <v>#DIV/0!</v>
      </c>
      <c r="Y253" s="577" t="e">
        <f t="shared" si="136"/>
        <v>#DIV/0!</v>
      </c>
      <c r="Z253" s="577" t="e">
        <f t="shared" si="136"/>
        <v>#DIV/0!</v>
      </c>
      <c r="AA253" s="577" t="e">
        <f t="shared" si="136"/>
        <v>#DIV/0!</v>
      </c>
      <c r="AB253" s="577" t="e">
        <f t="shared" si="136"/>
        <v>#DIV/0!</v>
      </c>
      <c r="AC253" s="577" t="e">
        <f t="shared" si="136"/>
        <v>#DIV/0!</v>
      </c>
      <c r="AD253" s="577" t="e">
        <f t="shared" si="136"/>
        <v>#DIV/0!</v>
      </c>
      <c r="AE253" s="577" t="e">
        <f t="shared" si="136"/>
        <v>#DIV/0!</v>
      </c>
      <c r="AF253" s="577" t="e">
        <f t="shared" si="136"/>
        <v>#DIV/0!</v>
      </c>
      <c r="AG253" s="725" t="e">
        <f t="shared" si="136"/>
        <v>#DIV/0!</v>
      </c>
      <c r="AH253" s="18"/>
      <c r="AI253" s="18"/>
      <c r="AJ253" s="18"/>
      <c r="AK253" s="18"/>
      <c r="AL253" s="18"/>
      <c r="AM253" s="18"/>
      <c r="AN253" s="18"/>
    </row>
    <row r="254" spans="2:40" ht="21.95" customHeight="1" x14ac:dyDescent="0.2">
      <c r="B254" s="705"/>
      <c r="C254" s="715"/>
      <c r="D254" s="715"/>
      <c r="E254" s="277" t="s">
        <v>357</v>
      </c>
      <c r="F254" s="277" t="s">
        <v>338</v>
      </c>
      <c r="G254" s="277" t="s">
        <v>323</v>
      </c>
      <c r="H254" s="593">
        <f t="shared" ref="H254:AG254" si="137">H194+H224</f>
        <v>38197.078466007326</v>
      </c>
      <c r="I254" s="593">
        <f t="shared" si="137"/>
        <v>38787.701676608493</v>
      </c>
      <c r="J254" s="593">
        <f t="shared" si="137"/>
        <v>39758.239466186773</v>
      </c>
      <c r="K254" s="593">
        <f t="shared" si="137"/>
        <v>43058.272499378974</v>
      </c>
      <c r="L254" s="593">
        <f t="shared" si="137"/>
        <v>46362.671092908626</v>
      </c>
      <c r="M254" s="593">
        <f t="shared" si="137"/>
        <v>49678.533147442737</v>
      </c>
      <c r="N254" s="593">
        <f t="shared" si="137"/>
        <v>53004.232813576353</v>
      </c>
      <c r="O254" s="593">
        <f t="shared" si="137"/>
        <v>56358.785966977055</v>
      </c>
      <c r="P254" s="593">
        <f t="shared" si="137"/>
        <v>60391.161751330976</v>
      </c>
      <c r="Q254" s="593">
        <f t="shared" si="137"/>
        <v>64534.08935172543</v>
      </c>
      <c r="R254" s="593">
        <f t="shared" si="137"/>
        <v>68874.982277832503</v>
      </c>
      <c r="S254" s="593">
        <f t="shared" si="137"/>
        <v>73547.775421747909</v>
      </c>
      <c r="T254" s="593">
        <f t="shared" si="137"/>
        <v>78778.263897458717</v>
      </c>
      <c r="U254" s="593">
        <f t="shared" si="137"/>
        <v>81117.982310185049</v>
      </c>
      <c r="V254" s="593">
        <f t="shared" si="137"/>
        <v>82033.802621573719</v>
      </c>
      <c r="W254" s="593">
        <f t="shared" si="137"/>
        <v>82975.213750848823</v>
      </c>
      <c r="X254" s="593">
        <f t="shared" si="137"/>
        <v>83944.019801817427</v>
      </c>
      <c r="Y254" s="593">
        <f t="shared" si="137"/>
        <v>84944.133466263709</v>
      </c>
      <c r="Z254" s="593">
        <f t="shared" si="137"/>
        <v>85973.63805769688</v>
      </c>
      <c r="AA254" s="593">
        <f t="shared" si="137"/>
        <v>87038.763738324546</v>
      </c>
      <c r="AB254" s="593">
        <f t="shared" si="137"/>
        <v>88137.591777313864</v>
      </c>
      <c r="AC254" s="593">
        <f t="shared" si="137"/>
        <v>89274.6077211136</v>
      </c>
      <c r="AD254" s="593">
        <f t="shared" si="137"/>
        <v>90454.744150680301</v>
      </c>
      <c r="AE254" s="593">
        <f t="shared" si="137"/>
        <v>91676.062382647899</v>
      </c>
      <c r="AF254" s="593">
        <f t="shared" si="137"/>
        <v>92943.723206527065</v>
      </c>
      <c r="AG254" s="730">
        <f t="shared" si="137"/>
        <v>94263.422506250587</v>
      </c>
      <c r="AH254" s="18"/>
      <c r="AI254" s="18"/>
      <c r="AJ254" s="18"/>
      <c r="AK254" s="18"/>
      <c r="AL254" s="18"/>
      <c r="AM254" s="18"/>
      <c r="AN254" s="18"/>
    </row>
    <row r="255" spans="2:40" ht="21.95" customHeight="1" x14ac:dyDescent="0.2">
      <c r="B255" s="705"/>
      <c r="C255" s="715"/>
      <c r="D255" s="715"/>
      <c r="E255" s="116" t="s">
        <v>338</v>
      </c>
      <c r="F255" s="116" t="s">
        <v>282</v>
      </c>
      <c r="G255" s="116" t="s">
        <v>357</v>
      </c>
      <c r="H255" s="577">
        <f t="shared" ref="H255:AG255" si="138">H195+H225</f>
        <v>78280.009329269713</v>
      </c>
      <c r="I255" s="577">
        <f t="shared" si="138"/>
        <v>81190.853510209563</v>
      </c>
      <c r="J255" s="577">
        <f t="shared" si="138"/>
        <v>84289.414333601148</v>
      </c>
      <c r="K255" s="577">
        <f t="shared" si="138"/>
        <v>91163.430144710408</v>
      </c>
      <c r="L255" s="577">
        <f t="shared" si="138"/>
        <v>98039.183511947311</v>
      </c>
      <c r="M255" s="577">
        <f t="shared" si="138"/>
        <v>104918.72384701518</v>
      </c>
      <c r="N255" s="577">
        <f t="shared" si="138"/>
        <v>111792.83860394906</v>
      </c>
      <c r="O255" s="577">
        <f t="shared" si="138"/>
        <v>118673.07656608545</v>
      </c>
      <c r="P255" s="577">
        <f t="shared" si="138"/>
        <v>127923.19707694344</v>
      </c>
      <c r="Q255" s="577">
        <f t="shared" si="138"/>
        <v>137174.29505765002</v>
      </c>
      <c r="R255" s="577">
        <f t="shared" si="138"/>
        <v>146426.09564143448</v>
      </c>
      <c r="S255" s="577">
        <f t="shared" si="138"/>
        <v>155679.85803830452</v>
      </c>
      <c r="T255" s="577">
        <f t="shared" si="138"/>
        <v>164945.63598670904</v>
      </c>
      <c r="U255" s="577">
        <f t="shared" si="138"/>
        <v>170422.42959602139</v>
      </c>
      <c r="V255" s="577">
        <f t="shared" si="138"/>
        <v>173338.01113856389</v>
      </c>
      <c r="W255" s="577">
        <f t="shared" si="138"/>
        <v>176254.45924532952</v>
      </c>
      <c r="X255" s="577">
        <f t="shared" si="138"/>
        <v>179171.91405326826</v>
      </c>
      <c r="Y255" s="577">
        <f t="shared" si="138"/>
        <v>182092.10556914788</v>
      </c>
      <c r="Z255" s="577">
        <f t="shared" si="138"/>
        <v>185012.07637403641</v>
      </c>
      <c r="AA255" s="577">
        <f t="shared" si="138"/>
        <v>187935.17463816286</v>
      </c>
      <c r="AB255" s="577">
        <f t="shared" si="138"/>
        <v>190858.49243962837</v>
      </c>
      <c r="AC255" s="577">
        <f t="shared" si="138"/>
        <v>193783.86631654477</v>
      </c>
      <c r="AD255" s="577">
        <f t="shared" si="138"/>
        <v>196713.17174540175</v>
      </c>
      <c r="AE255" s="577">
        <f t="shared" si="138"/>
        <v>199643.59794563675</v>
      </c>
      <c r="AF255" s="577">
        <f t="shared" si="138"/>
        <v>202577.09992577104</v>
      </c>
      <c r="AG255" s="725">
        <f t="shared" si="138"/>
        <v>205515.68652155064</v>
      </c>
      <c r="AH255" s="18"/>
      <c r="AI255" s="18"/>
      <c r="AJ255" s="18"/>
      <c r="AK255" s="18"/>
      <c r="AL255" s="18"/>
      <c r="AM255" s="18"/>
      <c r="AN255" s="18"/>
    </row>
    <row r="256" spans="2:40" ht="21.95" customHeight="1" x14ac:dyDescent="0.2">
      <c r="B256" s="705"/>
      <c r="C256" s="715"/>
      <c r="D256" s="715"/>
      <c r="E256" s="116"/>
      <c r="F256" s="116" t="s">
        <v>357</v>
      </c>
      <c r="G256" s="116" t="s">
        <v>346</v>
      </c>
      <c r="H256" s="577">
        <f t="shared" ref="H256:AG256" si="139">H196+H226</f>
        <v>11400.437782222565</v>
      </c>
      <c r="I256" s="577">
        <f t="shared" si="139"/>
        <v>11806.128378996213</v>
      </c>
      <c r="J256" s="577">
        <f t="shared" si="139"/>
        <v>12247.640362110924</v>
      </c>
      <c r="K256" s="577">
        <f t="shared" si="139"/>
        <v>13091.767873076355</v>
      </c>
      <c r="L256" s="577">
        <f t="shared" si="139"/>
        <v>13936.225486271333</v>
      </c>
      <c r="M256" s="577">
        <f t="shared" si="139"/>
        <v>14780.803260826724</v>
      </c>
      <c r="N256" s="577">
        <f t="shared" si="139"/>
        <v>15624.931283193164</v>
      </c>
      <c r="O256" s="577">
        <f t="shared" si="139"/>
        <v>16469.764770078036</v>
      </c>
      <c r="P256" s="577">
        <f t="shared" si="139"/>
        <v>17628.861928601709</v>
      </c>
      <c r="Q256" s="577">
        <f t="shared" si="139"/>
        <v>18788.186554666616</v>
      </c>
      <c r="R256" s="577">
        <f t="shared" si="139"/>
        <v>19947.140510292887</v>
      </c>
      <c r="S256" s="577">
        <f t="shared" si="139"/>
        <v>21106.251902296699</v>
      </c>
      <c r="T256" s="577">
        <f t="shared" si="139"/>
        <v>22266.275683845386</v>
      </c>
      <c r="U256" s="577">
        <f t="shared" si="139"/>
        <v>23022.258880295725</v>
      </c>
      <c r="V256" s="577">
        <f t="shared" si="139"/>
        <v>23427.969563151717</v>
      </c>
      <c r="W256" s="577">
        <f t="shared" si="139"/>
        <v>23833.684046212758</v>
      </c>
      <c r="X256" s="577">
        <f t="shared" si="139"/>
        <v>24239.402964396966</v>
      </c>
      <c r="Y256" s="577">
        <f t="shared" si="139"/>
        <v>24645.277064200309</v>
      </c>
      <c r="Z256" s="577">
        <f t="shared" si="139"/>
        <v>25051.007141048562</v>
      </c>
      <c r="AA256" s="577">
        <f t="shared" si="139"/>
        <v>25456.894184896628</v>
      </c>
      <c r="AB256" s="577">
        <f t="shared" si="139"/>
        <v>25862.639229839548</v>
      </c>
      <c r="AC256" s="577">
        <f t="shared" si="139"/>
        <v>26268.393523855757</v>
      </c>
      <c r="AD256" s="577">
        <f t="shared" si="139"/>
        <v>26674.308492651951</v>
      </c>
      <c r="AE256" s="577">
        <f t="shared" si="139"/>
        <v>27080.08564330318</v>
      </c>
      <c r="AF256" s="577">
        <f t="shared" si="139"/>
        <v>27485.87678359522</v>
      </c>
      <c r="AG256" s="725">
        <f t="shared" si="139"/>
        <v>27891.833968325656</v>
      </c>
      <c r="AH256" s="18"/>
      <c r="AI256" s="18"/>
      <c r="AJ256" s="18"/>
      <c r="AK256" s="18"/>
      <c r="AL256" s="18"/>
      <c r="AM256" s="18"/>
      <c r="AN256" s="18"/>
    </row>
    <row r="257" spans="1:40" ht="21.95" customHeight="1" x14ac:dyDescent="0.2">
      <c r="B257" s="705"/>
      <c r="C257" s="715"/>
      <c r="D257" s="715"/>
      <c r="E257" s="116"/>
      <c r="F257" s="116" t="s">
        <v>346</v>
      </c>
      <c r="G257" s="116" t="s">
        <v>343</v>
      </c>
      <c r="H257" s="577">
        <f t="shared" ref="H257:AG257" si="140">H197+H227</f>
        <v>3433.8483209342858</v>
      </c>
      <c r="I257" s="577">
        <f t="shared" si="140"/>
        <v>3556.0436355247189</v>
      </c>
      <c r="J257" s="577">
        <f t="shared" si="140"/>
        <v>3689.0284718334487</v>
      </c>
      <c r="K257" s="577">
        <f t="shared" si="140"/>
        <v>3943.2824276163747</v>
      </c>
      <c r="L257" s="577">
        <f t="shared" si="140"/>
        <v>4197.6358576581533</v>
      </c>
      <c r="M257" s="577">
        <f t="shared" si="140"/>
        <v>4452.0255619205445</v>
      </c>
      <c r="N257" s="577">
        <f t="shared" si="140"/>
        <v>4706.279936765297</v>
      </c>
      <c r="O257" s="577">
        <f t="shared" si="140"/>
        <v>4960.7470264788089</v>
      </c>
      <c r="P257" s="577">
        <f t="shared" si="140"/>
        <v>5309.8721703291685</v>
      </c>
      <c r="Q257" s="577">
        <f t="shared" si="140"/>
        <v>5659.0671024203148</v>
      </c>
      <c r="R257" s="577">
        <f t="shared" si="140"/>
        <v>6008.1526385856014</v>
      </c>
      <c r="S257" s="577">
        <f t="shared" si="140"/>
        <v>6357.2894459015833</v>
      </c>
      <c r="T257" s="577">
        <f t="shared" si="140"/>
        <v>6706.7074706583762</v>
      </c>
      <c r="U257" s="577">
        <f t="shared" si="140"/>
        <v>6934.427142831888</v>
      </c>
      <c r="V257" s="577">
        <f t="shared" si="140"/>
        <v>7056.6389167371663</v>
      </c>
      <c r="W257" s="577">
        <f t="shared" si="140"/>
        <v>7178.8538046778394</v>
      </c>
      <c r="X257" s="577">
        <f t="shared" si="140"/>
        <v>7301.0723269304381</v>
      </c>
      <c r="Y257" s="577">
        <f t="shared" si="140"/>
        <v>7423.3402726972454</v>
      </c>
      <c r="Z257" s="577">
        <f t="shared" si="140"/>
        <v>7545.5679387919208</v>
      </c>
      <c r="AA257" s="577">
        <f t="shared" si="140"/>
        <v>7667.8464914109654</v>
      </c>
      <c r="AB257" s="577">
        <f t="shared" si="140"/>
        <v>7790.0864229428898</v>
      </c>
      <c r="AC257" s="577">
        <f t="shared" si="140"/>
        <v>7912.3339335241653</v>
      </c>
      <c r="AD257" s="577">
        <f t="shared" si="140"/>
        <v>8034.6353689286843</v>
      </c>
      <c r="AE257" s="577">
        <f t="shared" si="140"/>
        <v>8156.9016091231179</v>
      </c>
      <c r="AF257" s="577">
        <f t="shared" si="140"/>
        <v>8279.1793129717662</v>
      </c>
      <c r="AG257" s="725">
        <f t="shared" si="140"/>
        <v>8401.5153417500132</v>
      </c>
      <c r="AH257" s="18"/>
      <c r="AI257" s="18"/>
      <c r="AJ257" s="18"/>
      <c r="AK257" s="18"/>
      <c r="AL257" s="18"/>
      <c r="AM257" s="18"/>
      <c r="AN257" s="18"/>
    </row>
    <row r="258" spans="1:40" ht="21.95" customHeight="1" x14ac:dyDescent="0.2">
      <c r="B258" s="705"/>
      <c r="C258" s="715"/>
      <c r="D258" s="715"/>
      <c r="E258" s="116"/>
      <c r="F258" s="116" t="s">
        <v>343</v>
      </c>
      <c r="G258" s="116" t="s">
        <v>350</v>
      </c>
      <c r="H258" s="577">
        <f t="shared" ref="H258:AG258" si="141">H198+H228</f>
        <v>8810.531796712874</v>
      </c>
      <c r="I258" s="577">
        <f t="shared" si="141"/>
        <v>9113.9518310066778</v>
      </c>
      <c r="J258" s="577">
        <f t="shared" si="141"/>
        <v>9452.4671524416226</v>
      </c>
      <c r="K258" s="577">
        <f t="shared" si="141"/>
        <v>10043.815378820018</v>
      </c>
      <c r="L258" s="577">
        <f t="shared" si="141"/>
        <v>10635.516040047187</v>
      </c>
      <c r="M258" s="577">
        <f t="shared" si="141"/>
        <v>11227.011144839924</v>
      </c>
      <c r="N258" s="577">
        <f t="shared" si="141"/>
        <v>11818.359444201098</v>
      </c>
      <c r="O258" s="577">
        <f t="shared" si="141"/>
        <v>12410.309855034069</v>
      </c>
      <c r="P258" s="577">
        <f t="shared" si="141"/>
        <v>13172.685501389058</v>
      </c>
      <c r="Q258" s="577">
        <f t="shared" si="141"/>
        <v>13935.487248994046</v>
      </c>
      <c r="R258" s="577">
        <f t="shared" si="141"/>
        <v>14697.71673957955</v>
      </c>
      <c r="S258" s="577">
        <f t="shared" si="141"/>
        <v>15460.093762521028</v>
      </c>
      <c r="T258" s="577">
        <f t="shared" si="141"/>
        <v>16223.117980148212</v>
      </c>
      <c r="U258" s="577">
        <f t="shared" si="141"/>
        <v>16732.266679989007</v>
      </c>
      <c r="V258" s="577">
        <f t="shared" si="141"/>
        <v>17035.688797979175</v>
      </c>
      <c r="W258" s="577">
        <f t="shared" si="141"/>
        <v>17339.111322810615</v>
      </c>
      <c r="X258" s="577">
        <f t="shared" si="141"/>
        <v>17642.534324528846</v>
      </c>
      <c r="Y258" s="577">
        <f t="shared" si="141"/>
        <v>17946.134096546943</v>
      </c>
      <c r="Z258" s="577">
        <f t="shared" si="141"/>
        <v>18249.558305966853</v>
      </c>
      <c r="AA258" s="577">
        <f t="shared" si="141"/>
        <v>18553.159484858144</v>
      </c>
      <c r="AB258" s="577">
        <f t="shared" si="141"/>
        <v>18856.585327137323</v>
      </c>
      <c r="AC258" s="577">
        <f t="shared" si="141"/>
        <v>19160.012183827504</v>
      </c>
      <c r="AD258" s="577">
        <f t="shared" si="141"/>
        <v>19463.61642725009</v>
      </c>
      <c r="AE258" s="577">
        <f t="shared" si="141"/>
        <v>19767.045804755748</v>
      </c>
      <c r="AF258" s="577">
        <f t="shared" si="141"/>
        <v>20070.476732709874</v>
      </c>
      <c r="AG258" s="725">
        <f t="shared" si="141"/>
        <v>20374.085657424625</v>
      </c>
      <c r="AH258" s="18"/>
      <c r="AI258" s="18"/>
      <c r="AJ258" s="18"/>
      <c r="AK258" s="18"/>
      <c r="AL258" s="18"/>
      <c r="AM258" s="18"/>
      <c r="AN258" s="18"/>
    </row>
    <row r="259" spans="1:40" ht="21.95" customHeight="1" x14ac:dyDescent="0.2">
      <c r="B259" s="705"/>
      <c r="C259" s="715"/>
      <c r="D259" s="715"/>
      <c r="E259" s="116"/>
      <c r="F259" s="116" t="s">
        <v>350</v>
      </c>
      <c r="G259" s="116" t="s">
        <v>280</v>
      </c>
      <c r="H259" s="577">
        <f t="shared" ref="H259:AG259" si="142">H199+H229</f>
        <v>60064.136465598429</v>
      </c>
      <c r="I259" s="577">
        <f t="shared" si="142"/>
        <v>62132.645227186324</v>
      </c>
      <c r="J259" s="577">
        <f t="shared" si="142"/>
        <v>64440.409471085368</v>
      </c>
      <c r="K259" s="577">
        <f t="shared" si="142"/>
        <v>68471.814244865018</v>
      </c>
      <c r="L259" s="577">
        <f t="shared" si="142"/>
        <v>72505.621618125049</v>
      </c>
      <c r="M259" s="577">
        <f t="shared" si="142"/>
        <v>76538.027551602223</v>
      </c>
      <c r="N259" s="577">
        <f t="shared" si="142"/>
        <v>80569.432508266211</v>
      </c>
      <c r="O259" s="577">
        <f t="shared" si="142"/>
        <v>84604.941994095308</v>
      </c>
      <c r="P259" s="577">
        <f t="shared" si="142"/>
        <v>89802.292549359641</v>
      </c>
      <c r="Q259" s="577">
        <f t="shared" si="142"/>
        <v>95002.546853268796</v>
      </c>
      <c r="R259" s="577">
        <f t="shared" si="142"/>
        <v>100198.89805967978</v>
      </c>
      <c r="S259" s="577">
        <f t="shared" si="142"/>
        <v>105396.25206447215</v>
      </c>
      <c r="T259" s="577">
        <f t="shared" si="142"/>
        <v>110598.01350153459</v>
      </c>
      <c r="U259" s="577">
        <f t="shared" si="142"/>
        <v>114069.02673592247</v>
      </c>
      <c r="V259" s="577">
        <f t="shared" si="142"/>
        <v>116137.5407189542</v>
      </c>
      <c r="W259" s="577">
        <f t="shared" si="142"/>
        <v>118206.05572147173</v>
      </c>
      <c r="X259" s="577">
        <f t="shared" si="142"/>
        <v>120274.57191899909</v>
      </c>
      <c r="Y259" s="577">
        <f t="shared" si="142"/>
        <v>122344.29080169319</v>
      </c>
      <c r="Z259" s="577">
        <f t="shared" si="142"/>
        <v>124412.81002554749</v>
      </c>
      <c r="AA259" s="577">
        <f t="shared" si="142"/>
        <v>126482.53243366377</v>
      </c>
      <c r="AB259" s="577">
        <f t="shared" si="142"/>
        <v>128551.05574922892</v>
      </c>
      <c r="AC259" s="577">
        <f t="shared" si="142"/>
        <v>130619.58160676232</v>
      </c>
      <c r="AD259" s="577">
        <f t="shared" si="142"/>
        <v>132689.31169415393</v>
      </c>
      <c r="AE259" s="577">
        <f t="shared" si="142"/>
        <v>134757.84386848891</v>
      </c>
      <c r="AF259" s="577">
        <f t="shared" si="142"/>
        <v>136826.37992802507</v>
      </c>
      <c r="AG259" s="725">
        <f t="shared" si="142"/>
        <v>138896.1217460625</v>
      </c>
      <c r="AH259" s="18"/>
      <c r="AI259" s="18"/>
      <c r="AJ259" s="18"/>
      <c r="AK259" s="18"/>
      <c r="AL259" s="18"/>
      <c r="AM259" s="18"/>
      <c r="AN259" s="18"/>
    </row>
    <row r="260" spans="1:40" ht="21.95" customHeight="1" thickBot="1" x14ac:dyDescent="0.25">
      <c r="B260" s="705"/>
      <c r="C260" s="715"/>
      <c r="D260" s="715"/>
      <c r="E260" s="116"/>
      <c r="F260" s="116" t="s">
        <v>280</v>
      </c>
      <c r="G260" s="116" t="s">
        <v>333</v>
      </c>
      <c r="H260" s="577">
        <f>H200+H230</f>
        <v>1500.0830564292053</v>
      </c>
      <c r="I260" s="577">
        <f t="shared" ref="I260:AG260" si="143">I200+I230</f>
        <v>1551.7437752912656</v>
      </c>
      <c r="J260" s="577">
        <f t="shared" si="143"/>
        <v>1609.3800495227442</v>
      </c>
      <c r="K260" s="577">
        <f t="shared" si="143"/>
        <v>1710.0648363691214</v>
      </c>
      <c r="L260" s="577">
        <f t="shared" si="143"/>
        <v>1810.8110437986652</v>
      </c>
      <c r="M260" s="577">
        <f t="shared" si="143"/>
        <v>1911.5246127112996</v>
      </c>
      <c r="N260" s="577">
        <f t="shared" si="143"/>
        <v>2012.2170180552548</v>
      </c>
      <c r="O260" s="577">
        <f t="shared" si="143"/>
        <v>2113.018032168542</v>
      </c>
      <c r="P260" s="577">
        <f t="shared" si="143"/>
        <v>2242.8546654303955</v>
      </c>
      <c r="Q260" s="577">
        <f t="shared" si="143"/>
        <v>2372.7908265518699</v>
      </c>
      <c r="R260" s="577">
        <f t="shared" si="143"/>
        <v>2502.6741129155048</v>
      </c>
      <c r="S260" s="577">
        <f t="shared" si="143"/>
        <v>2632.6544447469569</v>
      </c>
      <c r="T260" s="577">
        <f t="shared" si="143"/>
        <v>2762.8584629255365</v>
      </c>
      <c r="U260" s="577">
        <f t="shared" si="143"/>
        <v>2849.8329880862361</v>
      </c>
      <c r="V260" s="577">
        <f t="shared" si="143"/>
        <v>2901.7112190266398</v>
      </c>
      <c r="W260" s="577">
        <f t="shared" si="143"/>
        <v>2953.6319191542279</v>
      </c>
      <c r="X260" s="577">
        <f t="shared" si="143"/>
        <v>3005.6024003527627</v>
      </c>
      <c r="Y260" s="577">
        <f t="shared" si="143"/>
        <v>3057.6613051908512</v>
      </c>
      <c r="Z260" s="577">
        <f t="shared" si="143"/>
        <v>3109.7578554788602</v>
      </c>
      <c r="AA260" s="577">
        <f t="shared" si="143"/>
        <v>3161.9636204442731</v>
      </c>
      <c r="AB260" s="577">
        <f t="shared" si="143"/>
        <v>3214.2306210040351</v>
      </c>
      <c r="AC260" s="577">
        <f t="shared" si="143"/>
        <v>3266.603513501359</v>
      </c>
      <c r="AD260" s="577">
        <f t="shared" si="143"/>
        <v>3319.1291775564114</v>
      </c>
      <c r="AE260" s="577">
        <f t="shared" si="143"/>
        <v>3371.7652119500112</v>
      </c>
      <c r="AF260" s="577">
        <f t="shared" si="143"/>
        <v>3424.5630939496477</v>
      </c>
      <c r="AG260" s="725">
        <f t="shared" si="143"/>
        <v>3477.577426893617</v>
      </c>
      <c r="AH260" s="18"/>
      <c r="AI260" s="18"/>
      <c r="AJ260" s="18"/>
      <c r="AK260" s="18"/>
      <c r="AL260" s="18"/>
      <c r="AM260" s="18"/>
      <c r="AN260" s="18"/>
    </row>
    <row r="261" spans="1:40" ht="21.95" customHeight="1" x14ac:dyDescent="0.2">
      <c r="B261" s="708"/>
      <c r="C261" s="737"/>
      <c r="D261" s="737"/>
      <c r="E261" s="738" t="s">
        <v>181</v>
      </c>
      <c r="F261" s="738"/>
      <c r="G261" s="738"/>
      <c r="H261" s="739">
        <f>SUM(H232:H252,H254:H260)</f>
        <v>1761514.4506688197</v>
      </c>
      <c r="I261" s="739">
        <f t="shared" ref="I261" si="144">SUM(I232:I252,I254:I260)</f>
        <v>1825252.6515050547</v>
      </c>
      <c r="J261" s="739">
        <f t="shared" ref="J261" si="145">SUM(J232:J252,J254:J260)</f>
        <v>1946566.9821539309</v>
      </c>
      <c r="K261" s="739">
        <f t="shared" ref="K261" si="146">SUM(K232:K252,K254:K260)</f>
        <v>2139433.8594783749</v>
      </c>
      <c r="L261" s="739">
        <f t="shared" ref="L261" si="147">SUM(L232:L252,L254:L260)</f>
        <v>2341136.0053552203</v>
      </c>
      <c r="M261" s="739">
        <f t="shared" ref="M261" si="148">SUM(M232:M252,M254:M260)</f>
        <v>2585525.0565653979</v>
      </c>
      <c r="N261" s="739">
        <f t="shared" ref="N261" si="149">SUM(N232:N252,N254:N260)</f>
        <v>3006035.6014337423</v>
      </c>
      <c r="O261" s="739">
        <f t="shared" ref="O261" si="150">SUM(O232:O252,O254:O260)</f>
        <v>3258739.83665318</v>
      </c>
      <c r="P261" s="739">
        <f t="shared" ref="P261" si="151">SUM(P232:P252,P254:P260)</f>
        <v>3563166.6055430574</v>
      </c>
      <c r="Q261" s="739">
        <f t="shared" ref="Q261" si="152">SUM(Q232:Q252,Q254:Q260)</f>
        <v>3892858.9095445196</v>
      </c>
      <c r="R261" s="739">
        <f t="shared" ref="R261" si="153">SUM(R232:R252,R254:R260)</f>
        <v>4249373.9551123362</v>
      </c>
      <c r="S261" s="739">
        <f t="shared" ref="S261" si="154">SUM(S232:S252,S254:S260)</f>
        <v>4522025.0267501539</v>
      </c>
      <c r="T261" s="739">
        <f t="shared" ref="T261" si="155">SUM(T232:T252,T254:T260)</f>
        <v>4830652.829837258</v>
      </c>
      <c r="U261" s="739">
        <f t="shared" ref="U261" si="156">SUM(U232:U252,U254:U260)</f>
        <v>5007396.5046886746</v>
      </c>
      <c r="V261" s="739">
        <f t="shared" ref="V261" si="157">SUM(V232:V252,V254:V260)</f>
        <v>5107039.6704566162</v>
      </c>
      <c r="W261" s="739">
        <f t="shared" ref="W261" si="158">SUM(W232:W252,W254:W260)</f>
        <v>5206123.358980149</v>
      </c>
      <c r="X261" s="739">
        <f t="shared" ref="X261" si="159">SUM(X232:X252,X254:X260)</f>
        <v>5307949.703315977</v>
      </c>
      <c r="Y261" s="739">
        <f t="shared" ref="Y261" si="160">SUM(Y232:Y252,Y254:Y260)</f>
        <v>5413018.9032881837</v>
      </c>
      <c r="Z261" s="739">
        <f t="shared" ref="Z261" si="161">SUM(Z232:Z252,Z254:Z260)</f>
        <v>5521713.7227717414</v>
      </c>
      <c r="AA261" s="739">
        <f t="shared" ref="AA261" si="162">SUM(AA232:AA252,AA254:AA260)</f>
        <v>5634691.5071737655</v>
      </c>
      <c r="AB261" s="739">
        <f t="shared" ref="AB261" si="163">SUM(AB232:AB252,AB254:AB260)</f>
        <v>5752490.1482347418</v>
      </c>
      <c r="AC261" s="739">
        <f t="shared" ref="AC261" si="164">SUM(AC232:AC252,AC254:AC260)</f>
        <v>5875859.5780953523</v>
      </c>
      <c r="AD261" s="739">
        <f t="shared" ref="AD261" si="165">SUM(AD232:AD252,AD254:AD260)</f>
        <v>6005682.9172983486</v>
      </c>
      <c r="AE261" s="739">
        <f t="shared" ref="AE261" si="166">SUM(AE232:AE252,AE254:AE260)</f>
        <v>6142818.2308385586</v>
      </c>
      <c r="AF261" s="739">
        <f t="shared" ref="AF261" si="167">SUM(AF232:AF252,AF254:AF260)</f>
        <v>6288253.6556296153</v>
      </c>
      <c r="AG261" s="740">
        <f t="shared" ref="AG261" si="168">SUM(AG232:AG252,AG254:AG260)</f>
        <v>6443301.4516078532</v>
      </c>
      <c r="AH261" s="18"/>
      <c r="AI261" s="18"/>
      <c r="AJ261" s="18"/>
      <c r="AK261" s="18"/>
      <c r="AL261" s="18"/>
      <c r="AM261" s="18"/>
      <c r="AN261" s="18"/>
    </row>
    <row r="262" spans="1:40" ht="21.75" customHeight="1" x14ac:dyDescent="0.2">
      <c r="C262" s="116"/>
      <c r="D262" s="116"/>
      <c r="E262" s="240"/>
      <c r="F262" s="240"/>
      <c r="G262" s="240"/>
      <c r="H262" s="741"/>
      <c r="I262" s="741"/>
      <c r="J262" s="741"/>
      <c r="K262" s="741"/>
      <c r="L262" s="741"/>
      <c r="M262" s="741"/>
      <c r="N262" s="741"/>
      <c r="O262" s="741"/>
      <c r="P262" s="741"/>
      <c r="Q262" s="741"/>
      <c r="R262" s="741"/>
      <c r="S262" s="741"/>
      <c r="T262" s="741"/>
      <c r="U262" s="741"/>
      <c r="V262" s="741"/>
      <c r="W262" s="741"/>
      <c r="X262" s="741"/>
      <c r="Y262" s="741"/>
      <c r="Z262" s="741"/>
      <c r="AA262" s="741"/>
      <c r="AB262" s="741"/>
      <c r="AC262" s="741"/>
      <c r="AD262" s="741"/>
      <c r="AE262" s="741"/>
      <c r="AF262" s="741"/>
      <c r="AG262" s="741"/>
      <c r="AH262" s="18"/>
      <c r="AI262" s="18"/>
      <c r="AJ262" s="18"/>
      <c r="AK262" s="18"/>
      <c r="AL262" s="18"/>
      <c r="AM262" s="18"/>
      <c r="AN262" s="18"/>
    </row>
    <row r="263" spans="1:40" ht="21.75" customHeight="1" x14ac:dyDescent="0.2">
      <c r="C263" s="116"/>
      <c r="D263" s="116"/>
      <c r="E263" s="240"/>
      <c r="F263" s="240"/>
      <c r="G263" s="240"/>
      <c r="H263" s="741"/>
      <c r="I263" s="741"/>
      <c r="J263" s="741"/>
      <c r="K263" s="741"/>
      <c r="L263" s="741"/>
      <c r="M263" s="741"/>
      <c r="N263" s="741"/>
      <c r="O263" s="741"/>
      <c r="P263" s="741"/>
      <c r="Q263" s="741"/>
      <c r="R263" s="741"/>
      <c r="S263" s="741"/>
      <c r="T263" s="741"/>
      <c r="U263" s="741"/>
      <c r="V263" s="741"/>
      <c r="W263" s="741"/>
      <c r="X263" s="741"/>
      <c r="Y263" s="741"/>
      <c r="Z263" s="741"/>
      <c r="AA263" s="741"/>
      <c r="AB263" s="741"/>
      <c r="AC263" s="741"/>
      <c r="AD263" s="741"/>
      <c r="AE263" s="741"/>
      <c r="AF263" s="741"/>
      <c r="AG263" s="741"/>
      <c r="AH263" s="18"/>
      <c r="AI263" s="18"/>
      <c r="AJ263" s="18"/>
      <c r="AK263" s="18"/>
      <c r="AL263" s="18"/>
      <c r="AM263" s="18"/>
      <c r="AN263" s="18"/>
    </row>
    <row r="264" spans="1:40" ht="21.95" customHeight="1" x14ac:dyDescent="0.2">
      <c r="A264" s="551"/>
      <c r="B264" s="552" t="s">
        <v>485</v>
      </c>
      <c r="C264" s="116"/>
      <c r="D264" s="116"/>
      <c r="E264" s="228"/>
      <c r="F264" s="228"/>
      <c r="G264" s="228"/>
      <c r="H264" s="228"/>
      <c r="I264" s="228"/>
      <c r="J264" s="228"/>
      <c r="K264" s="228"/>
      <c r="L264" s="228"/>
      <c r="M264" s="228"/>
      <c r="N264" s="228"/>
      <c r="O264" s="228"/>
      <c r="P264" s="228"/>
      <c r="Q264" s="228"/>
      <c r="R264" s="228"/>
      <c r="S264" s="228"/>
      <c r="T264" s="228"/>
      <c r="U264" s="228"/>
      <c r="V264" s="228"/>
      <c r="W264" s="228"/>
      <c r="X264" s="228"/>
      <c r="Y264" s="228"/>
      <c r="Z264" s="228"/>
      <c r="AA264" s="228"/>
      <c r="AB264" s="116"/>
      <c r="AC264" s="116"/>
      <c r="AD264" s="116"/>
      <c r="AE264" s="116"/>
      <c r="AF264" s="116"/>
      <c r="AG264" s="116"/>
    </row>
    <row r="265" spans="1:40" ht="21.75" customHeight="1" x14ac:dyDescent="0.2">
      <c r="C265" s="116"/>
      <c r="D265" s="116"/>
      <c r="E265" s="240"/>
      <c r="F265" s="240"/>
      <c r="G265" s="240"/>
      <c r="H265" s="741"/>
      <c r="I265" s="741"/>
      <c r="J265" s="741"/>
      <c r="K265" s="741"/>
      <c r="L265" s="741"/>
      <c r="M265" s="741"/>
      <c r="N265" s="741"/>
      <c r="O265" s="741"/>
      <c r="P265" s="741"/>
      <c r="Q265" s="741"/>
      <c r="R265" s="741"/>
      <c r="S265" s="741"/>
      <c r="T265" s="741"/>
      <c r="U265" s="741"/>
      <c r="V265" s="741"/>
      <c r="W265" s="741"/>
      <c r="X265" s="741"/>
      <c r="Y265" s="741"/>
      <c r="Z265" s="741"/>
      <c r="AA265" s="741"/>
      <c r="AB265" s="741"/>
      <c r="AC265" s="741"/>
      <c r="AD265" s="741"/>
      <c r="AE265" s="741"/>
      <c r="AF265" s="741"/>
      <c r="AG265" s="741"/>
      <c r="AH265" s="18"/>
      <c r="AI265" s="18"/>
      <c r="AJ265" s="18"/>
      <c r="AK265" s="18"/>
      <c r="AL265" s="18"/>
      <c r="AM265" s="18"/>
      <c r="AN265" s="18"/>
    </row>
    <row r="266" spans="1:40" ht="21.95" customHeight="1" x14ac:dyDescent="0.2">
      <c r="B266" s="50" t="s">
        <v>64</v>
      </c>
      <c r="C266" s="228"/>
      <c r="D266" s="228"/>
      <c r="E266" s="228"/>
      <c r="F266" s="228"/>
      <c r="G266" s="228"/>
      <c r="H266" s="742"/>
      <c r="I266" s="116"/>
      <c r="J266" s="228"/>
      <c r="K266" s="228"/>
      <c r="L266" s="228"/>
      <c r="M266" s="743"/>
      <c r="N266" s="228"/>
      <c r="O266" s="228"/>
      <c r="P266" s="116"/>
      <c r="Q266" s="228"/>
      <c r="R266" s="116"/>
      <c r="S266" s="116"/>
      <c r="T266" s="116"/>
      <c r="U266" s="228"/>
      <c r="V266" s="228"/>
      <c r="W266" s="228"/>
      <c r="X266" s="228"/>
      <c r="Y266" s="228"/>
      <c r="Z266" s="228"/>
      <c r="AA266" s="228"/>
      <c r="AB266" s="228"/>
      <c r="AC266" s="228"/>
      <c r="AD266" s="228"/>
      <c r="AE266" s="116"/>
      <c r="AF266" s="116"/>
      <c r="AG266" s="116"/>
    </row>
    <row r="267" spans="1:40" s="7" customFormat="1" ht="21.95" customHeight="1" x14ac:dyDescent="0.2">
      <c r="B267" s="491"/>
      <c r="C267" s="711" t="s">
        <v>2</v>
      </c>
      <c r="D267" s="711" t="s">
        <v>473</v>
      </c>
      <c r="E267" s="711" t="s">
        <v>328</v>
      </c>
      <c r="F267" s="711" t="s">
        <v>329</v>
      </c>
      <c r="G267" s="711" t="s">
        <v>330</v>
      </c>
      <c r="H267" s="712">
        <v>2023</v>
      </c>
      <c r="I267" s="712">
        <v>2024</v>
      </c>
      <c r="J267" s="712">
        <v>2025</v>
      </c>
      <c r="K267" s="712">
        <v>2026</v>
      </c>
      <c r="L267" s="712">
        <v>2027</v>
      </c>
      <c r="M267" s="712">
        <v>2028</v>
      </c>
      <c r="N267" s="712">
        <v>2029</v>
      </c>
      <c r="O267" s="712">
        <v>2030</v>
      </c>
      <c r="P267" s="712">
        <v>2031</v>
      </c>
      <c r="Q267" s="712">
        <v>2032</v>
      </c>
      <c r="R267" s="712">
        <v>2033</v>
      </c>
      <c r="S267" s="712">
        <v>2034</v>
      </c>
      <c r="T267" s="712">
        <v>2035</v>
      </c>
      <c r="U267" s="712">
        <v>2036</v>
      </c>
      <c r="V267" s="712">
        <v>2037</v>
      </c>
      <c r="W267" s="712">
        <v>2038</v>
      </c>
      <c r="X267" s="712">
        <v>2039</v>
      </c>
      <c r="Y267" s="712">
        <v>2040</v>
      </c>
      <c r="Z267" s="712">
        <v>2041</v>
      </c>
      <c r="AA267" s="712">
        <v>2042</v>
      </c>
      <c r="AB267" s="712">
        <v>2043</v>
      </c>
      <c r="AC267" s="712">
        <v>2044</v>
      </c>
      <c r="AD267" s="712">
        <v>2045</v>
      </c>
      <c r="AE267" s="712">
        <v>2046</v>
      </c>
      <c r="AF267" s="712">
        <v>2047</v>
      </c>
      <c r="AG267" s="713">
        <v>2048</v>
      </c>
      <c r="AH267" s="32"/>
      <c r="AI267" s="32"/>
      <c r="AJ267" s="32"/>
      <c r="AK267" s="32"/>
      <c r="AL267" s="32"/>
      <c r="AM267" s="32"/>
      <c r="AN267" s="32"/>
    </row>
    <row r="268" spans="1:40" ht="21.95" customHeight="1" x14ac:dyDescent="0.2">
      <c r="B268" s="703" t="s">
        <v>480</v>
      </c>
      <c r="C268" s="579" t="s">
        <v>105</v>
      </c>
      <c r="D268" s="579"/>
      <c r="E268" s="1340" t="s">
        <v>331</v>
      </c>
      <c r="F268" s="220" t="s">
        <v>332</v>
      </c>
      <c r="G268" s="220" t="s">
        <v>282</v>
      </c>
      <c r="H268" s="576">
        <f>'Traffic Data'!J36*annualizationFactor*'Traffic Data'!$H36</f>
        <v>554800</v>
      </c>
      <c r="I268" s="576">
        <f>'Traffic Data'!K36*annualizationFactor*'Traffic Data'!$H36</f>
        <v>580027.79625000001</v>
      </c>
      <c r="J268" s="576">
        <f>'Traffic Data'!L36*annualizationFactor*'Traffic Data'!$H36</f>
        <v>615571.40500000014</v>
      </c>
      <c r="K268" s="576">
        <f>'Traffic Data'!M36*annualizationFactor*'Traffic Data'!$H36</f>
        <v>667854.37000000011</v>
      </c>
      <c r="L268" s="576">
        <f>'Traffic Data'!N36*annualizationFactor*'Traffic Data'!$H36</f>
        <v>720156.40625</v>
      </c>
      <c r="M268" s="576">
        <f>'Traffic Data'!O36*annualizationFactor*'Traffic Data'!$H36</f>
        <v>772458.44249999989</v>
      </c>
      <c r="N268" s="576">
        <f>'Traffic Data'!P36*annualizationFactor*'Traffic Data'!$H36</f>
        <v>824741.40749999997</v>
      </c>
      <c r="O268" s="576">
        <f>'Traffic Data'!Q36*annualizationFactor*'Traffic Data'!$H36</f>
        <v>877062.51499999978</v>
      </c>
      <c r="P268" s="576">
        <f>'Traffic Data'!R36*annualizationFactor*'Traffic Data'!$H36</f>
        <v>928764.67374999996</v>
      </c>
      <c r="Q268" s="576">
        <f>'Traffic Data'!S36*annualizationFactor*'Traffic Data'!$H36</f>
        <v>980477.23499999999</v>
      </c>
      <c r="R268" s="576">
        <f>'Traffic Data'!T36*annualizationFactor*'Traffic Data'!$H36</f>
        <v>1032179.3937500002</v>
      </c>
      <c r="S268" s="576">
        <f>'Traffic Data'!U36*annualizationFactor*'Traffic Data'!$H36</f>
        <v>1083881.5525000002</v>
      </c>
      <c r="T268" s="576">
        <f>'Traffic Data'!V36*annualizationFactor*'Traffic Data'!$H36</f>
        <v>1135621.85375</v>
      </c>
      <c r="U268" s="576">
        <f>'Traffic Data'!W36*annualizationFactor*'Traffic Data'!$H36</f>
        <v>1170565.5850000002</v>
      </c>
      <c r="V268" s="576">
        <f>'Traffic Data'!X36*annualizationFactor*'Traffic Data'!$H36</f>
        <v>1195793.3812500001</v>
      </c>
      <c r="W268" s="576">
        <f>'Traffic Data'!Y36*annualizationFactor*'Traffic Data'!$H36</f>
        <v>1221021.1774999998</v>
      </c>
      <c r="X268" s="576">
        <f>'Traffic Data'!Z36*annualizationFactor*'Traffic Data'!$H36</f>
        <v>1246248.9737500001</v>
      </c>
      <c r="Y268" s="576">
        <f>'Traffic Data'!AA36*annualizationFactor*'Traffic Data'!$H36</f>
        <v>1271485.43875</v>
      </c>
      <c r="Z268" s="576">
        <f>'Traffic Data'!AB36*annualizationFactor*'Traffic Data'!$H36</f>
        <v>1296713.2350000001</v>
      </c>
      <c r="AA268" s="576">
        <f>'Traffic Data'!AC36*annualizationFactor*'Traffic Data'!$H36</f>
        <v>1321949.7</v>
      </c>
      <c r="AB268" s="576">
        <f>'Traffic Data'!AD36*annualizationFactor*'Traffic Data'!$H36</f>
        <v>1347177.4962500001</v>
      </c>
      <c r="AC268" s="576">
        <f>'Traffic Data'!AE36*annualizationFactor*'Traffic Data'!$H36</f>
        <v>1372405.2925</v>
      </c>
      <c r="AD268" s="576">
        <f>'Traffic Data'!AF36*annualizationFactor*'Traffic Data'!$H36</f>
        <v>1397641.7574999998</v>
      </c>
      <c r="AE268" s="576">
        <f>'Traffic Data'!AG36*annualizationFactor*'Traffic Data'!$H36</f>
        <v>1422869.5537499997</v>
      </c>
      <c r="AF268" s="576">
        <f>'Traffic Data'!AH36*annualizationFactor*'Traffic Data'!$H36</f>
        <v>1448097.35</v>
      </c>
      <c r="AG268" s="714">
        <f>'Traffic Data'!AI36*annualizationFactor*'Traffic Data'!$H36</f>
        <v>1473333.8149999999</v>
      </c>
      <c r="AH268" s="5"/>
      <c r="AI268" s="5"/>
      <c r="AJ268" s="5"/>
      <c r="AK268" s="5"/>
      <c r="AL268" s="5"/>
      <c r="AM268" s="5"/>
      <c r="AN268" s="5"/>
    </row>
    <row r="269" spans="1:40" ht="21.95" customHeight="1" x14ac:dyDescent="0.2">
      <c r="B269" s="704" t="s">
        <v>640</v>
      </c>
      <c r="C269" s="579"/>
      <c r="D269" s="579"/>
      <c r="E269" s="1339"/>
      <c r="F269" s="116" t="s">
        <v>282</v>
      </c>
      <c r="G269" s="116" t="s">
        <v>280</v>
      </c>
      <c r="H269" s="576">
        <f>'Traffic Data'!J37*annualizationFactor*'Traffic Data'!$H37</f>
        <v>17839789.772727273</v>
      </c>
      <c r="I269" s="576">
        <f>'Traffic Data'!K37*annualizationFactor*'Traffic Data'!$H37</f>
        <v>18781466.37954545</v>
      </c>
      <c r="J269" s="576">
        <f>'Traffic Data'!L37*annualizationFactor*'Traffic Data'!$H37</f>
        <v>20195038.462500002</v>
      </c>
      <c r="K269" s="576">
        <f>'Traffic Data'!M37*annualizationFactor*'Traffic Data'!$H37</f>
        <v>22530465.16363636</v>
      </c>
      <c r="L269" s="576">
        <f>'Traffic Data'!N37*annualizationFactor*'Traffic Data'!$H37</f>
        <v>24866949.037500001</v>
      </c>
      <c r="M269" s="576">
        <f>'Traffic Data'!O37*annualizationFactor*'Traffic Data'!$H37</f>
        <v>27203300.764772724</v>
      </c>
      <c r="N269" s="576">
        <f>'Traffic Data'!P37*annualizationFactor*'Traffic Data'!$H37</f>
        <v>29538727.465909094</v>
      </c>
      <c r="O269" s="576">
        <f>'Traffic Data'!Q37*annualizationFactor*'Traffic Data'!$H37</f>
        <v>31876268.512500003</v>
      </c>
      <c r="P269" s="576">
        <f>'Traffic Data'!R37*annualizationFactor*'Traffic Data'!$H37</f>
        <v>34234556.573863633</v>
      </c>
      <c r="Q269" s="576">
        <f>'Traffic Data'!S37*annualizationFactor*'Traffic Data'!$H37</f>
        <v>36593637.514772721</v>
      </c>
      <c r="R269" s="576">
        <f>'Traffic Data'!T37*annualizationFactor*'Traffic Data'!$H37</f>
        <v>38951925.576136358</v>
      </c>
      <c r="S269" s="576">
        <f>'Traffic Data'!U37*annualizationFactor*'Traffic Data'!$H37</f>
        <v>41310213.637500003</v>
      </c>
      <c r="T269" s="576">
        <f>'Traffic Data'!V37*annualizationFactor*'Traffic Data'!$H37</f>
        <v>43670616.044318184</v>
      </c>
      <c r="U269" s="576">
        <f>'Traffic Data'!W37*annualizationFactor*'Traffic Data'!$H37</f>
        <v>45105992.314772733</v>
      </c>
      <c r="V269" s="576">
        <f>'Traffic Data'!X37*annualizationFactor*'Traffic Data'!$H37</f>
        <v>46047668.921590902</v>
      </c>
      <c r="W269" s="576">
        <f>'Traffic Data'!Y37*annualizationFactor*'Traffic Data'!$H37</f>
        <v>46989345.528409094</v>
      </c>
      <c r="X269" s="576">
        <f>'Traffic Data'!Z37*annualizationFactor*'Traffic Data'!$H37</f>
        <v>47931022.135227278</v>
      </c>
      <c r="Y269" s="576">
        <f>'Traffic Data'!AA37*annualizationFactor*'Traffic Data'!$H37</f>
        <v>48873227.328409091</v>
      </c>
      <c r="Z269" s="576">
        <f>'Traffic Data'!AB37*annualizationFactor*'Traffic Data'!$H37</f>
        <v>49814903.935227267</v>
      </c>
      <c r="AA269" s="576">
        <f>'Traffic Data'!AC37*annualizationFactor*'Traffic Data'!$H37</f>
        <v>50757109.128409103</v>
      </c>
      <c r="AB269" s="576">
        <f>'Traffic Data'!AD37*annualizationFactor*'Traffic Data'!$H37</f>
        <v>51698785.735227279</v>
      </c>
      <c r="AC269" s="576">
        <f>'Traffic Data'!AE37*annualizationFactor*'Traffic Data'!$H37</f>
        <v>52640462.342045456</v>
      </c>
      <c r="AD269" s="576">
        <f>'Traffic Data'!AF37*annualizationFactor*'Traffic Data'!$H37</f>
        <v>53582667.535227291</v>
      </c>
      <c r="AE269" s="576">
        <f>'Traffic Data'!AG37*annualizationFactor*'Traffic Data'!$H37</f>
        <v>54524344.142045453</v>
      </c>
      <c r="AF269" s="576">
        <f>'Traffic Data'!AH37*annualizationFactor*'Traffic Data'!$H37</f>
        <v>55466020.748863637</v>
      </c>
      <c r="AG269" s="714">
        <f>'Traffic Data'!AI37*annualizationFactor*'Traffic Data'!$H37</f>
        <v>56408225.942045458</v>
      </c>
      <c r="AH269" s="5"/>
      <c r="AI269" s="5"/>
      <c r="AJ269" s="5"/>
      <c r="AK269" s="5"/>
      <c r="AL269" s="5"/>
      <c r="AM269" s="5"/>
      <c r="AN269" s="5"/>
    </row>
    <row r="270" spans="1:40" ht="21.95" customHeight="1" x14ac:dyDescent="0.2">
      <c r="B270" s="703"/>
      <c r="C270" s="579"/>
      <c r="D270" s="579"/>
      <c r="E270" s="1339"/>
      <c r="F270" s="116" t="s">
        <v>280</v>
      </c>
      <c r="G270" s="116" t="s">
        <v>333</v>
      </c>
      <c r="H270" s="576">
        <f>'Traffic Data'!J38*annualizationFactor*'Traffic Data'!$H38</f>
        <v>416100</v>
      </c>
      <c r="I270" s="576">
        <f>'Traffic Data'!K38*annualizationFactor*'Traffic Data'!$H38</f>
        <v>433475.6424999999</v>
      </c>
      <c r="J270" s="576">
        <f>'Traffic Data'!L38*annualizationFactor*'Traffic Data'!$H38</f>
        <v>454981.0774999999</v>
      </c>
      <c r="K270" s="576">
        <f>'Traffic Data'!M38*annualizationFactor*'Traffic Data'!$H38</f>
        <v>483934.70250000001</v>
      </c>
      <c r="L270" s="576">
        <f>'Traffic Data'!N38*annualizationFactor*'Traffic Data'!$H38</f>
        <v>512898.7300000001</v>
      </c>
      <c r="M270" s="576">
        <f>'Traffic Data'!O38*annualizationFactor*'Traffic Data'!$H38</f>
        <v>541859.29</v>
      </c>
      <c r="N270" s="576">
        <f>'Traffic Data'!P38*annualizationFactor*'Traffic Data'!$H38</f>
        <v>570812.91500000004</v>
      </c>
      <c r="O270" s="576">
        <f>'Traffic Data'!Q38*annualizationFactor*'Traffic Data'!$H38</f>
        <v>599787.3450000002</v>
      </c>
      <c r="P270" s="576">
        <f>'Traffic Data'!R38*annualizationFactor*'Traffic Data'!$H38</f>
        <v>627860.22499999998</v>
      </c>
      <c r="Q270" s="576">
        <f>'Traffic Data'!S38*annualizationFactor*'Traffic Data'!$H38</f>
        <v>655943.50749999983</v>
      </c>
      <c r="R270" s="576">
        <f>'Traffic Data'!T38*annualizationFactor*'Traffic Data'!$H38</f>
        <v>684016.38749999995</v>
      </c>
      <c r="S270" s="576">
        <f>'Traffic Data'!U38*annualizationFactor*'Traffic Data'!$H38</f>
        <v>712089.26749999996</v>
      </c>
      <c r="T270" s="576">
        <f>'Traffic Data'!V38*annualizationFactor*'Traffic Data'!$H38</f>
        <v>740182.95250000013</v>
      </c>
      <c r="U270" s="576">
        <f>'Traffic Data'!W38*annualizationFactor*'Traffic Data'!$H38</f>
        <v>760797.24</v>
      </c>
      <c r="V270" s="576">
        <f>'Traffic Data'!X38*annualizationFactor*'Traffic Data'!$H38</f>
        <v>778172.88250000007</v>
      </c>
      <c r="W270" s="576">
        <f>'Traffic Data'!Y38*annualizationFactor*'Traffic Data'!$H38</f>
        <v>795548.52499999991</v>
      </c>
      <c r="X270" s="576">
        <f>'Traffic Data'!Z38*annualizationFactor*'Traffic Data'!$H38</f>
        <v>812924.16749999998</v>
      </c>
      <c r="Y270" s="576">
        <f>'Traffic Data'!AA38*annualizationFactor*'Traffic Data'!$H38</f>
        <v>830306.745</v>
      </c>
      <c r="Z270" s="576">
        <f>'Traffic Data'!AB38*annualizationFactor*'Traffic Data'!$H38</f>
        <v>847682.38749999995</v>
      </c>
      <c r="AA270" s="576">
        <f>'Traffic Data'!AC38*annualizationFactor*'Traffic Data'!$H38</f>
        <v>865064.96499999997</v>
      </c>
      <c r="AB270" s="576">
        <f>'Traffic Data'!AD38*annualizationFactor*'Traffic Data'!$H38</f>
        <v>882440.60750000016</v>
      </c>
      <c r="AC270" s="576">
        <f>'Traffic Data'!AE38*annualizationFactor*'Traffic Data'!$H38</f>
        <v>899816.24999999988</v>
      </c>
      <c r="AD270" s="576">
        <f>'Traffic Data'!AF38*annualizationFactor*'Traffic Data'!$H38</f>
        <v>917198.82750000001</v>
      </c>
      <c r="AE270" s="576">
        <f>'Traffic Data'!AG38*annualizationFactor*'Traffic Data'!$H38</f>
        <v>934574.47</v>
      </c>
      <c r="AF270" s="576">
        <f>'Traffic Data'!AH38*annualizationFactor*'Traffic Data'!$H38</f>
        <v>951950.11249999981</v>
      </c>
      <c r="AG270" s="714">
        <f>'Traffic Data'!AI38*annualizationFactor*'Traffic Data'!$H38</f>
        <v>969332.69000000006</v>
      </c>
      <c r="AH270" s="5"/>
      <c r="AI270" s="5"/>
      <c r="AJ270" s="5"/>
      <c r="AK270" s="5"/>
      <c r="AL270" s="5"/>
      <c r="AM270" s="5"/>
      <c r="AN270" s="5"/>
    </row>
    <row r="271" spans="1:40" ht="21.95" customHeight="1" x14ac:dyDescent="0.2">
      <c r="B271" s="703"/>
      <c r="C271" s="579"/>
      <c r="D271" s="579"/>
      <c r="E271" s="1340" t="s">
        <v>280</v>
      </c>
      <c r="F271" s="220" t="s">
        <v>281</v>
      </c>
      <c r="G271" s="220" t="s">
        <v>335</v>
      </c>
      <c r="H271" s="576">
        <f>'Traffic Data'!J39*annualizationFactor*'Traffic Data'!$H39</f>
        <v>3781400</v>
      </c>
      <c r="I271" s="576">
        <f>'Traffic Data'!K39*annualizationFactor*'Traffic Data'!$H39</f>
        <v>4163907.517</v>
      </c>
      <c r="J271" s="576">
        <f>'Traffic Data'!L39*annualizationFactor*'Traffic Data'!$H39</f>
        <v>5019090.0339999991</v>
      </c>
      <c r="K271" s="576">
        <f>'Traffic Data'!M39*annualizationFactor*'Traffic Data'!$H39</f>
        <v>6736790.9840000002</v>
      </c>
      <c r="L271" s="576">
        <f>'Traffic Data'!N39*annualizationFactor*'Traffic Data'!$H39</f>
        <v>8455550.7259999979</v>
      </c>
      <c r="M271" s="576">
        <f>'Traffic Data'!O39*annualizationFactor*'Traffic Data'!$H39</f>
        <v>10174121.397999998</v>
      </c>
      <c r="N271" s="576">
        <f>'Traffic Data'!P39*annualizationFactor*'Traffic Data'!$H39</f>
        <v>11891822.347999997</v>
      </c>
      <c r="O271" s="576">
        <f>'Traffic Data'!Q39*annualizationFactor*'Traffic Data'!$H39</f>
        <v>13611640.881999999</v>
      </c>
      <c r="P271" s="576">
        <f>'Traffic Data'!R39*annualizationFactor*'Traffic Data'!$H39</f>
        <v>15299204.073999995</v>
      </c>
      <c r="Q271" s="576">
        <f>'Traffic Data'!S39*annualizationFactor*'Traffic Data'!$H39</f>
        <v>16987618.080999997</v>
      </c>
      <c r="R271" s="576">
        <f>'Traffic Data'!T39*annualizationFactor*'Traffic Data'!$H39</f>
        <v>18675181.272999998</v>
      </c>
      <c r="S271" s="576">
        <f>'Traffic Data'!U39*annualizationFactor*'Traffic Data'!$H39</f>
        <v>20362744.465</v>
      </c>
      <c r="T271" s="576">
        <f>'Traffic Data'!V39*annualizationFactor*'Traffic Data'!$H39</f>
        <v>22052425.241</v>
      </c>
      <c r="U271" s="576">
        <f>'Traffic Data'!W39*annualizationFactor*'Traffic Data'!$H39</f>
        <v>22876411.207999997</v>
      </c>
      <c r="V271" s="576">
        <f>'Traffic Data'!X39*annualizationFactor*'Traffic Data'!$H39</f>
        <v>23258918.724999994</v>
      </c>
      <c r="W271" s="576">
        <f>'Traffic Data'!Y39*annualizationFactor*'Traffic Data'!$H39</f>
        <v>23641426.241999995</v>
      </c>
      <c r="X271" s="576">
        <f>'Traffic Data'!Z39*annualizationFactor*'Traffic Data'!$H39</f>
        <v>24023933.758999996</v>
      </c>
      <c r="Y271" s="576">
        <f>'Traffic Data'!AA39*annualizationFactor*'Traffic Data'!$H39</f>
        <v>24407027.392999995</v>
      </c>
      <c r="Z271" s="576">
        <f>'Traffic Data'!AB39*annualizationFactor*'Traffic Data'!$H39</f>
        <v>24789534.91</v>
      </c>
      <c r="AA271" s="576">
        <f>'Traffic Data'!AC39*annualizationFactor*'Traffic Data'!$H39</f>
        <v>25172628.543999996</v>
      </c>
      <c r="AB271" s="576">
        <f>'Traffic Data'!AD39*annualizationFactor*'Traffic Data'!$H39</f>
        <v>25555136.060999993</v>
      </c>
      <c r="AC271" s="576">
        <f>'Traffic Data'!AE39*annualizationFactor*'Traffic Data'!$H39</f>
        <v>25937643.577999998</v>
      </c>
      <c r="AD271" s="576">
        <f>'Traffic Data'!AF39*annualizationFactor*'Traffic Data'!$H39</f>
        <v>26320737.212000001</v>
      </c>
      <c r="AE271" s="576">
        <f>'Traffic Data'!AG39*annualizationFactor*'Traffic Data'!$H39</f>
        <v>26703244.728999998</v>
      </c>
      <c r="AF271" s="576">
        <f>'Traffic Data'!AH39*annualizationFactor*'Traffic Data'!$H39</f>
        <v>27085752.245999996</v>
      </c>
      <c r="AG271" s="714">
        <f>'Traffic Data'!AI39*annualizationFactor*'Traffic Data'!$H39</f>
        <v>27468845.879999995</v>
      </c>
      <c r="AH271" s="5"/>
      <c r="AI271" s="5"/>
      <c r="AJ271" s="5"/>
      <c r="AK271" s="5"/>
      <c r="AL271" s="5"/>
      <c r="AM271" s="5"/>
      <c r="AN271" s="5"/>
    </row>
    <row r="272" spans="1:40" ht="21.95" customHeight="1" x14ac:dyDescent="0.2">
      <c r="B272" s="703"/>
      <c r="C272" s="579"/>
      <c r="D272" s="579"/>
      <c r="E272" s="1339"/>
      <c r="F272" s="116" t="s">
        <v>335</v>
      </c>
      <c r="G272" s="116" t="s">
        <v>323</v>
      </c>
      <c r="H272" s="576">
        <f>'Traffic Data'!J40*annualizationFactor*'Traffic Data'!$H40</f>
        <v>438000</v>
      </c>
      <c r="I272" s="576">
        <f>'Traffic Data'!K40*annualizationFactor*'Traffic Data'!$H40</f>
        <v>483712.60000000009</v>
      </c>
      <c r="J272" s="576">
        <f>'Traffic Data'!L40*annualizationFactor*'Traffic Data'!$H40</f>
        <v>546817.44999999995</v>
      </c>
      <c r="K272" s="576">
        <f>'Traffic Data'!M40*annualizationFactor*'Traffic Data'!$H40</f>
        <v>662704.94999999995</v>
      </c>
      <c r="L272" s="576">
        <f>'Traffic Data'!N40*annualizationFactor*'Traffic Data'!$H40</f>
        <v>778625.3</v>
      </c>
      <c r="M272" s="576">
        <f>'Traffic Data'!O40*annualizationFactor*'Traffic Data'!$H40</f>
        <v>894567.55000000016</v>
      </c>
      <c r="N272" s="576">
        <f>'Traffic Data'!P40*annualizationFactor*'Traffic Data'!$H40</f>
        <v>1010455.0499999999</v>
      </c>
      <c r="O272" s="576">
        <f>'Traffic Data'!Q40*annualizationFactor*'Traffic Data'!$H40</f>
        <v>1126448.4000000001</v>
      </c>
      <c r="P272" s="576">
        <f>'Traffic Data'!R40*annualizationFactor*'Traffic Data'!$H40</f>
        <v>1293231.5</v>
      </c>
      <c r="Q272" s="576">
        <f>'Traffic Data'!S40*annualizationFactor*'Traffic Data'!$H40</f>
        <v>1460051.0999999999</v>
      </c>
      <c r="R272" s="576">
        <f>'Traffic Data'!T40*annualizationFactor*'Traffic Data'!$H40</f>
        <v>1626801.3499999999</v>
      </c>
      <c r="S272" s="576">
        <f>'Traffic Data'!U40*annualizationFactor*'Traffic Data'!$H40</f>
        <v>1793584.4500000002</v>
      </c>
      <c r="T272" s="576">
        <f>'Traffic Data'!V40*annualizationFactor*'Traffic Data'!$H40</f>
        <v>1960473.4000000004</v>
      </c>
      <c r="U272" s="576">
        <f>'Traffic Data'!W40*annualizationFactor*'Traffic Data'!$H40</f>
        <v>2074368</v>
      </c>
      <c r="V272" s="576">
        <f>'Traffic Data'!X40*annualizationFactor*'Traffic Data'!$H40</f>
        <v>2120080.6</v>
      </c>
      <c r="W272" s="576">
        <f>'Traffic Data'!Y40*annualizationFactor*'Traffic Data'!$H40</f>
        <v>2165793.2000000002</v>
      </c>
      <c r="X272" s="576">
        <f>'Traffic Data'!Z40*annualizationFactor*'Traffic Data'!$H40</f>
        <v>2211505.7999999998</v>
      </c>
      <c r="Y272" s="576">
        <f>'Traffic Data'!AA40*annualizationFactor*'Traffic Data'!$H40</f>
        <v>2257251.2500000005</v>
      </c>
      <c r="Z272" s="576">
        <f>'Traffic Data'!AB40*annualizationFactor*'Traffic Data'!$H40</f>
        <v>2302963.85</v>
      </c>
      <c r="AA272" s="576">
        <f>'Traffic Data'!AC40*annualizationFactor*'Traffic Data'!$H40</f>
        <v>2348709.3000000003</v>
      </c>
      <c r="AB272" s="576">
        <f>'Traffic Data'!AD40*annualizationFactor*'Traffic Data'!$H40</f>
        <v>2394421.9000000004</v>
      </c>
      <c r="AC272" s="576">
        <f>'Traffic Data'!AE40*annualizationFactor*'Traffic Data'!$H40</f>
        <v>2440134.5</v>
      </c>
      <c r="AD272" s="576">
        <f>'Traffic Data'!AF40*annualizationFactor*'Traffic Data'!$H40</f>
        <v>2485879.9500000002</v>
      </c>
      <c r="AE272" s="576">
        <f>'Traffic Data'!AG40*annualizationFactor*'Traffic Data'!$H40</f>
        <v>2531592.5499999998</v>
      </c>
      <c r="AF272" s="576">
        <f>'Traffic Data'!AH40*annualizationFactor*'Traffic Data'!$H40</f>
        <v>2577305.1500000004</v>
      </c>
      <c r="AG272" s="714">
        <f>'Traffic Data'!AI40*annualizationFactor*'Traffic Data'!$H40</f>
        <v>2623050.5999999996</v>
      </c>
      <c r="AH272" s="5"/>
      <c r="AI272" s="5"/>
      <c r="AJ272" s="5"/>
      <c r="AK272" s="5"/>
      <c r="AL272" s="5"/>
      <c r="AM272" s="5"/>
      <c r="AN272" s="5"/>
    </row>
    <row r="273" spans="2:40" ht="21.95" customHeight="1" x14ac:dyDescent="0.2">
      <c r="B273" s="703"/>
      <c r="C273" s="579"/>
      <c r="D273" s="579"/>
      <c r="E273" s="1353"/>
      <c r="F273" s="254" t="s">
        <v>323</v>
      </c>
      <c r="G273" s="254" t="s">
        <v>338</v>
      </c>
      <c r="H273" s="576">
        <f>'Traffic Data'!J41*annualizationFactor*'Traffic Data'!$H41</f>
        <v>5869200</v>
      </c>
      <c r="I273" s="576">
        <f>'Traffic Data'!K41*annualizationFactor*'Traffic Data'!$H41</f>
        <v>6033557.1639999999</v>
      </c>
      <c r="J273" s="576">
        <f>'Traffic Data'!L41*annualizationFactor*'Traffic Data'!$H41</f>
        <v>6267777.3720000004</v>
      </c>
      <c r="K273" s="576">
        <f>'Traffic Data'!M41*annualizationFactor*'Traffic Data'!$H41</f>
        <v>6596511.2640000014</v>
      </c>
      <c r="L273" s="576">
        <f>'Traffic Data'!N41*annualizationFactor*'Traffic Data'!$H41</f>
        <v>6925382.1039999984</v>
      </c>
      <c r="M273" s="576">
        <f>'Traffic Data'!O41*annualizationFactor*'Traffic Data'!$H41</f>
        <v>7254223.5980000021</v>
      </c>
      <c r="N273" s="576">
        <f>'Traffic Data'!P41*annualizationFactor*'Traffic Data'!$H41</f>
        <v>7582957.4900000021</v>
      </c>
      <c r="O273" s="576">
        <f>'Traffic Data'!Q41*annualizationFactor*'Traffic Data'!$H41</f>
        <v>7911955.4960000012</v>
      </c>
      <c r="P273" s="576">
        <f>'Traffic Data'!R41*annualizationFactor*'Traffic Data'!$H41</f>
        <v>8244073.959999999</v>
      </c>
      <c r="Q273" s="576">
        <f>'Traffic Data'!S41*annualizationFactor*'Traffic Data'!$H41</f>
        <v>8576290.2440000009</v>
      </c>
      <c r="R273" s="576">
        <f>'Traffic Data'!T41*annualizationFactor*'Traffic Data'!$H41</f>
        <v>8908379.3619999997</v>
      </c>
      <c r="S273" s="576">
        <f>'Traffic Data'!U41*annualizationFactor*'Traffic Data'!$H41</f>
        <v>9240497.8260000013</v>
      </c>
      <c r="T273" s="576">
        <f>'Traffic Data'!V41*annualizationFactor*'Traffic Data'!$H41</f>
        <v>9572880.404000001</v>
      </c>
      <c r="U273" s="576">
        <f>'Traffic Data'!W41*annualizationFactor*'Traffic Data'!$H41</f>
        <v>9810328.6720000021</v>
      </c>
      <c r="V273" s="576">
        <f>'Traffic Data'!X41*annualizationFactor*'Traffic Data'!$H41</f>
        <v>9974685.8359999992</v>
      </c>
      <c r="W273" s="576">
        <f>'Traffic Data'!Y41*annualizationFactor*'Traffic Data'!$H41</f>
        <v>10139043</v>
      </c>
      <c r="X273" s="576">
        <f>'Traffic Data'!Z41*annualizationFactor*'Traffic Data'!$H41</f>
        <v>10303400.163999999</v>
      </c>
      <c r="Y273" s="576">
        <f>'Traffic Data'!AA41*annualizationFactor*'Traffic Data'!$H41</f>
        <v>10467835.584000001</v>
      </c>
      <c r="Z273" s="576">
        <f>'Traffic Data'!AB41*annualizationFactor*'Traffic Data'!$H41</f>
        <v>10632192.748000002</v>
      </c>
      <c r="AA273" s="576">
        <f>'Traffic Data'!AC41*annualizationFactor*'Traffic Data'!$H41</f>
        <v>10796628.168000001</v>
      </c>
      <c r="AB273" s="576">
        <f>'Traffic Data'!AD41*annualizationFactor*'Traffic Data'!$H41</f>
        <v>10960985.332</v>
      </c>
      <c r="AC273" s="576">
        <f>'Traffic Data'!AE41*annualizationFactor*'Traffic Data'!$H41</f>
        <v>11125342.496000001</v>
      </c>
      <c r="AD273" s="576">
        <f>'Traffic Data'!AF41*annualizationFactor*'Traffic Data'!$H41</f>
        <v>11289777.915999999</v>
      </c>
      <c r="AE273" s="576">
        <f>'Traffic Data'!AG41*annualizationFactor*'Traffic Data'!$H41</f>
        <v>11454135.079999998</v>
      </c>
      <c r="AF273" s="576">
        <f>'Traffic Data'!AH41*annualizationFactor*'Traffic Data'!$H41</f>
        <v>11618492.244000001</v>
      </c>
      <c r="AG273" s="714">
        <f>'Traffic Data'!AI41*annualizationFactor*'Traffic Data'!$H41</f>
        <v>11782927.664000001</v>
      </c>
      <c r="AH273" s="5"/>
      <c r="AI273" s="5"/>
      <c r="AJ273" s="5"/>
      <c r="AK273" s="5"/>
      <c r="AL273" s="5"/>
      <c r="AM273" s="5"/>
      <c r="AN273" s="5"/>
    </row>
    <row r="274" spans="2:40" ht="21.95" customHeight="1" x14ac:dyDescent="0.2">
      <c r="B274" s="703"/>
      <c r="C274" s="579"/>
      <c r="D274" s="579"/>
      <c r="E274" s="116" t="s">
        <v>339</v>
      </c>
      <c r="F274" s="116" t="s">
        <v>335</v>
      </c>
      <c r="G274" s="116" t="s">
        <v>323</v>
      </c>
      <c r="H274" s="576">
        <f>'Traffic Data'!J42*annualizationFactor*'Traffic Data'!$H42</f>
        <v>17155</v>
      </c>
      <c r="I274" s="576">
        <f>'Traffic Data'!K42*annualizationFactor*'Traffic Data'!$H42</f>
        <v>130017.74500000001</v>
      </c>
      <c r="J274" s="576">
        <f>'Traffic Data'!L42*annualizationFactor*'Traffic Data'!$H42</f>
        <v>753258.8949999999</v>
      </c>
      <c r="K274" s="576">
        <f>'Traffic Data'!M42*annualizationFactor*'Traffic Data'!$H42</f>
        <v>1734936.6149999998</v>
      </c>
      <c r="L274" s="576">
        <f>'Traffic Data'!N42*annualizationFactor*'Traffic Data'!$H42</f>
        <v>2717231.915</v>
      </c>
      <c r="M274" s="576">
        <f>'Traffic Data'!O42*annualizationFactor*'Traffic Data'!$H42</f>
        <v>3699578.6800000006</v>
      </c>
      <c r="N274" s="576">
        <f>'Traffic Data'!P42*annualizationFactor*'Traffic Data'!$H42</f>
        <v>4681256.4000000004</v>
      </c>
      <c r="O274" s="576">
        <f>'Traffic Data'!Q42*annualizationFactor*'Traffic Data'!$H42</f>
        <v>5664237.9000000004</v>
      </c>
      <c r="P274" s="576">
        <f>'Traffic Data'!R42*annualizationFactor*'Traffic Data'!$H42</f>
        <v>6216182.8699999992</v>
      </c>
      <c r="Q274" s="576">
        <f>'Traffic Data'!S42*annualizationFactor*'Traffic Data'!$H42</f>
        <v>6768333.7000000002</v>
      </c>
      <c r="R274" s="576">
        <f>'Traffic Data'!T42*annualizationFactor*'Traffic Data'!$H42</f>
        <v>7320433.0650000004</v>
      </c>
      <c r="S274" s="576">
        <f>'Traffic Data'!U42*annualizationFactor*'Traffic Data'!$H42</f>
        <v>7872378.0349999992</v>
      </c>
      <c r="T274" s="576">
        <f>'Traffic Data'!V42*annualizationFactor*'Traffic Data'!$H42</f>
        <v>8425626.785000002</v>
      </c>
      <c r="U274" s="576">
        <f>'Traffic Data'!W42*annualizationFactor*'Traffic Data'!$H42</f>
        <v>8618603.3800000027</v>
      </c>
      <c r="V274" s="576">
        <f>'Traffic Data'!X42*annualizationFactor*'Traffic Data'!$H42</f>
        <v>8731466.125</v>
      </c>
      <c r="W274" s="576">
        <f>'Traffic Data'!Y42*annualizationFactor*'Traffic Data'!$H42</f>
        <v>8844328.870000001</v>
      </c>
      <c r="X274" s="576">
        <f>'Traffic Data'!Z42*annualizationFactor*'Traffic Data'!$H42</f>
        <v>8957191.6150000021</v>
      </c>
      <c r="Y274" s="576">
        <f>'Traffic Data'!AA42*annualizationFactor*'Traffic Data'!$H42</f>
        <v>9070500.3900000006</v>
      </c>
      <c r="Z274" s="576">
        <f>'Traffic Data'!AB42*annualizationFactor*'Traffic Data'!$H42</f>
        <v>9183363.1350000016</v>
      </c>
      <c r="AA274" s="576">
        <f>'Traffic Data'!AC42*annualizationFactor*'Traffic Data'!$H42</f>
        <v>9296671.9100000039</v>
      </c>
      <c r="AB274" s="576">
        <f>'Traffic Data'!AD42*annualizationFactor*'Traffic Data'!$H42</f>
        <v>9409534.6550000012</v>
      </c>
      <c r="AC274" s="576">
        <f>'Traffic Data'!AE42*annualizationFactor*'Traffic Data'!$H42</f>
        <v>9522397.4000000022</v>
      </c>
      <c r="AD274" s="576">
        <f>'Traffic Data'!AF42*annualizationFactor*'Traffic Data'!$H42</f>
        <v>9635706.1750000045</v>
      </c>
      <c r="AE274" s="576">
        <f>'Traffic Data'!AG42*annualizationFactor*'Traffic Data'!$H42</f>
        <v>9748568.9199999999</v>
      </c>
      <c r="AF274" s="576">
        <f>'Traffic Data'!AH42*annualizationFactor*'Traffic Data'!$H42</f>
        <v>9861431.665000001</v>
      </c>
      <c r="AG274" s="714">
        <f>'Traffic Data'!AI42*annualizationFactor*'Traffic Data'!$H42</f>
        <v>9974740.4400000032</v>
      </c>
      <c r="AH274" s="5"/>
      <c r="AI274" s="5"/>
      <c r="AJ274" s="5"/>
      <c r="AK274" s="5"/>
      <c r="AL274" s="5"/>
      <c r="AM274" s="5"/>
      <c r="AN274" s="5"/>
    </row>
    <row r="275" spans="2:40" ht="21.95" customHeight="1" x14ac:dyDescent="0.2">
      <c r="B275" s="703"/>
      <c r="C275" s="579"/>
      <c r="D275" s="579"/>
      <c r="E275" s="1340" t="s">
        <v>323</v>
      </c>
      <c r="F275" s="220" t="s">
        <v>282</v>
      </c>
      <c r="G275" s="220" t="s">
        <v>339</v>
      </c>
      <c r="H275" s="576">
        <f>'Traffic Data'!J43*annualizationFactor*'Traffic Data'!$H43</f>
        <v>49275</v>
      </c>
      <c r="I275" s="576">
        <f>'Traffic Data'!K43*annualizationFactor*'Traffic Data'!$H43</f>
        <v>109513.68749999999</v>
      </c>
      <c r="J275" s="576">
        <f>'Traffic Data'!L43*annualizationFactor*'Traffic Data'!$H43</f>
        <v>462864.71250000002</v>
      </c>
      <c r="K275" s="576">
        <f>'Traffic Data'!M43*annualizationFactor*'Traffic Data'!$H43</f>
        <v>1040490.9</v>
      </c>
      <c r="L275" s="576">
        <f>'Traffic Data'!N43*annualizationFactor*'Traffic Data'!$H43</f>
        <v>1618437.3750000005</v>
      </c>
      <c r="M275" s="576">
        <f>'Traffic Data'!O43*annualizationFactor*'Traffic Data'!$H43</f>
        <v>2196408.4874999993</v>
      </c>
      <c r="N275" s="576">
        <f>'Traffic Data'!P43*annualizationFactor*'Traffic Data'!$H43</f>
        <v>2774034.6750000003</v>
      </c>
      <c r="O275" s="576">
        <f>'Traffic Data'!Q43*annualizationFactor*'Traffic Data'!$H43</f>
        <v>3352326.0750000002</v>
      </c>
      <c r="P275" s="576">
        <f>'Traffic Data'!R43*annualizationFactor*'Traffic Data'!$H43</f>
        <v>3798264.8250000007</v>
      </c>
      <c r="Q275" s="576">
        <f>'Traffic Data'!S43*annualizationFactor*'Traffic Data'!$H43</f>
        <v>4244277.4875000007</v>
      </c>
      <c r="R275" s="576">
        <f>'Traffic Data'!T43*annualizationFactor*'Traffic Data'!$H43</f>
        <v>4690216.2374999998</v>
      </c>
      <c r="S275" s="576">
        <f>'Traffic Data'!U43*annualizationFactor*'Traffic Data'!$H43</f>
        <v>5136154.9874999998</v>
      </c>
      <c r="T275" s="576">
        <f>'Traffic Data'!V43*annualizationFactor*'Traffic Data'!$H43</f>
        <v>5582685.0375000006</v>
      </c>
      <c r="U275" s="576">
        <f>'Traffic Data'!W43*annualizationFactor*'Traffic Data'!$H43</f>
        <v>5804003.7000000002</v>
      </c>
      <c r="V275" s="576">
        <f>'Traffic Data'!X43*annualizationFactor*'Traffic Data'!$H43</f>
        <v>5864242.3875000002</v>
      </c>
      <c r="W275" s="576">
        <f>'Traffic Data'!Y43*annualizationFactor*'Traffic Data'!$H43</f>
        <v>5924481.0750000002</v>
      </c>
      <c r="X275" s="576">
        <f>'Traffic Data'!Z43*annualizationFactor*'Traffic Data'!$H43</f>
        <v>5984719.7625000002</v>
      </c>
      <c r="Y275" s="576">
        <f>'Traffic Data'!AA43*annualizationFactor*'Traffic Data'!$H43</f>
        <v>6045130.9125000015</v>
      </c>
      <c r="Z275" s="576">
        <f>'Traffic Data'!AB43*annualizationFactor*'Traffic Data'!$H43</f>
        <v>6105369.6000000006</v>
      </c>
      <c r="AA275" s="576">
        <f>'Traffic Data'!AC43*annualizationFactor*'Traffic Data'!$H43</f>
        <v>6165780.7499999991</v>
      </c>
      <c r="AB275" s="576">
        <f>'Traffic Data'!AD43*annualizationFactor*'Traffic Data'!$H43</f>
        <v>6226019.4374999991</v>
      </c>
      <c r="AC275" s="576">
        <f>'Traffic Data'!AE43*annualizationFactor*'Traffic Data'!$H43</f>
        <v>6286258.1249999991</v>
      </c>
      <c r="AD275" s="576">
        <f>'Traffic Data'!AF43*annualizationFactor*'Traffic Data'!$H43</f>
        <v>6346669.2749999994</v>
      </c>
      <c r="AE275" s="576">
        <f>'Traffic Data'!AG43*annualizationFactor*'Traffic Data'!$H43</f>
        <v>6406907.9624999994</v>
      </c>
      <c r="AF275" s="576">
        <f>'Traffic Data'!AH43*annualizationFactor*'Traffic Data'!$H43</f>
        <v>6467146.6499999994</v>
      </c>
      <c r="AG275" s="714">
        <f>'Traffic Data'!AI43*annualizationFactor*'Traffic Data'!$H43</f>
        <v>6527557.8000000007</v>
      </c>
      <c r="AH275" s="5"/>
      <c r="AI275" s="5"/>
      <c r="AJ275" s="5"/>
      <c r="AK275" s="5"/>
      <c r="AL275" s="5"/>
      <c r="AM275" s="5"/>
      <c r="AN275" s="5"/>
    </row>
    <row r="276" spans="2:40" ht="21.95" customHeight="1" x14ac:dyDescent="0.2">
      <c r="B276" s="703"/>
      <c r="C276" s="579"/>
      <c r="D276" s="579"/>
      <c r="E276" s="1339"/>
      <c r="F276" s="116" t="s">
        <v>339</v>
      </c>
      <c r="G276" s="116" t="s">
        <v>288</v>
      </c>
      <c r="H276" s="576">
        <f>'Traffic Data'!J44*annualizationFactor*'Traffic Data'!$H44</f>
        <v>0</v>
      </c>
      <c r="I276" s="576">
        <f>'Traffic Data'!K44*annualizationFactor*'Traffic Data'!$H44</f>
        <v>33521.600000000006</v>
      </c>
      <c r="J276" s="576">
        <f>'Traffic Data'!L44*annualizationFactor*'Traffic Data'!$H44</f>
        <v>96001.57</v>
      </c>
      <c r="K276" s="576">
        <f>'Traffic Data'!M44*annualizationFactor*'Traffic Data'!$H44</f>
        <v>215805.52000000002</v>
      </c>
      <c r="L276" s="576">
        <f>'Traffic Data'!N44*annualizationFactor*'Traffic Data'!$H44</f>
        <v>335675.90000000008</v>
      </c>
      <c r="M276" s="576">
        <f>'Traffic Data'!O44*annualizationFactor*'Traffic Data'!$H44</f>
        <v>455551.3899999999</v>
      </c>
      <c r="N276" s="576">
        <f>'Traffic Data'!P44*annualizationFactor*'Traffic Data'!$H44</f>
        <v>575355.34000000008</v>
      </c>
      <c r="O276" s="576">
        <f>'Traffic Data'!Q44*annualizationFactor*'Traffic Data'!$H44</f>
        <v>695297.26</v>
      </c>
      <c r="P276" s="576">
        <f>'Traffic Data'!R44*annualizationFactor*'Traffic Data'!$H44</f>
        <v>787788.26000000024</v>
      </c>
      <c r="Q276" s="576">
        <f>'Traffic Data'!S44*annualizationFactor*'Traffic Data'!$H44</f>
        <v>880294.5900000002</v>
      </c>
      <c r="R276" s="576">
        <f>'Traffic Data'!T44*annualizationFactor*'Traffic Data'!$H44</f>
        <v>972785.59</v>
      </c>
      <c r="S276" s="576">
        <f>'Traffic Data'!U44*annualizationFactor*'Traffic Data'!$H44</f>
        <v>1065276.5900000001</v>
      </c>
      <c r="T276" s="576">
        <f>'Traffic Data'!V44*annualizationFactor*'Traffic Data'!$H44</f>
        <v>1157890.2300000002</v>
      </c>
      <c r="U276" s="576">
        <f>'Traffic Data'!W44*annualizationFactor*'Traffic Data'!$H44</f>
        <v>1203793.3600000001</v>
      </c>
      <c r="V276" s="576">
        <f>'Traffic Data'!X44*annualizationFactor*'Traffic Data'!$H44</f>
        <v>1216287.31</v>
      </c>
      <c r="W276" s="576">
        <f>'Traffic Data'!Y44*annualizationFactor*'Traffic Data'!$H44</f>
        <v>1228781.26</v>
      </c>
      <c r="X276" s="576">
        <f>'Traffic Data'!Z44*annualizationFactor*'Traffic Data'!$H44</f>
        <v>1241275.2100000002</v>
      </c>
      <c r="Y276" s="576">
        <f>'Traffic Data'!AA44*annualizationFactor*'Traffic Data'!$H44</f>
        <v>1253804.9300000004</v>
      </c>
      <c r="Z276" s="576">
        <f>'Traffic Data'!AB44*annualizationFactor*'Traffic Data'!$H44</f>
        <v>1266298.8800000001</v>
      </c>
      <c r="AA276" s="576">
        <f>'Traffic Data'!AC44*annualizationFactor*'Traffic Data'!$H44</f>
        <v>1278828.5999999999</v>
      </c>
      <c r="AB276" s="576">
        <f>'Traffic Data'!AD44*annualizationFactor*'Traffic Data'!$H44</f>
        <v>1291322.5499999998</v>
      </c>
      <c r="AC276" s="576">
        <f>'Traffic Data'!AE44*annualizationFactor*'Traffic Data'!$H44</f>
        <v>1303816.4999999998</v>
      </c>
      <c r="AD276" s="576">
        <f>'Traffic Data'!AF44*annualizationFactor*'Traffic Data'!$H44</f>
        <v>1316346.22</v>
      </c>
      <c r="AE276" s="576">
        <f>'Traffic Data'!AG44*annualizationFactor*'Traffic Data'!$H44</f>
        <v>1328840.17</v>
      </c>
      <c r="AF276" s="576">
        <f>'Traffic Data'!AH44*annualizationFactor*'Traffic Data'!$H44</f>
        <v>1341334.1199999999</v>
      </c>
      <c r="AG276" s="714">
        <f>'Traffic Data'!AI44*annualizationFactor*'Traffic Data'!$H44</f>
        <v>1353863.84</v>
      </c>
      <c r="AH276" s="5"/>
      <c r="AI276" s="5"/>
      <c r="AJ276" s="5"/>
      <c r="AK276" s="5"/>
      <c r="AL276" s="5"/>
      <c r="AM276" s="5"/>
      <c r="AN276" s="5"/>
    </row>
    <row r="277" spans="2:40" ht="21.95" customHeight="1" x14ac:dyDescent="0.2">
      <c r="B277" s="703"/>
      <c r="C277" s="579"/>
      <c r="D277" s="579"/>
      <c r="E277" s="1339"/>
      <c r="F277" s="116" t="s">
        <v>288</v>
      </c>
      <c r="G277" s="116" t="s">
        <v>340</v>
      </c>
      <c r="H277" s="576">
        <f>'Traffic Data'!J45*annualizationFactor*'Traffic Data'!$H45</f>
        <v>0</v>
      </c>
      <c r="I277" s="576">
        <f>'Traffic Data'!K45*annualizationFactor*'Traffic Data'!$H45</f>
        <v>87395.599999999991</v>
      </c>
      <c r="J277" s="576">
        <f>'Traffic Data'!L45*annualizationFactor*'Traffic Data'!$H45</f>
        <v>250289.8075</v>
      </c>
      <c r="K277" s="576">
        <f>'Traffic Data'!M45*annualizationFactor*'Traffic Data'!$H45</f>
        <v>562635.81999999995</v>
      </c>
      <c r="L277" s="576">
        <f>'Traffic Data'!N45*annualizationFactor*'Traffic Data'!$H45</f>
        <v>875155.02500000014</v>
      </c>
      <c r="M277" s="576">
        <f>'Traffic Data'!O45*annualizationFactor*'Traffic Data'!$H45</f>
        <v>1187687.5524999995</v>
      </c>
      <c r="N277" s="576">
        <f>'Traffic Data'!P45*annualizationFactor*'Traffic Data'!$H45</f>
        <v>1500033.5649999999</v>
      </c>
      <c r="O277" s="576">
        <f>'Traffic Data'!Q45*annualizationFactor*'Traffic Data'!$H45</f>
        <v>1812739.2849999999</v>
      </c>
      <c r="P277" s="576">
        <f>'Traffic Data'!R45*annualizationFactor*'Traffic Data'!$H45</f>
        <v>2053876.5350000004</v>
      </c>
      <c r="Q277" s="576">
        <f>'Traffic Data'!S45*annualizationFactor*'Traffic Data'!$H45</f>
        <v>2295053.7525000004</v>
      </c>
      <c r="R277" s="576">
        <f>'Traffic Data'!T45*annualizationFactor*'Traffic Data'!$H45</f>
        <v>2536191.0024999995</v>
      </c>
      <c r="S277" s="576">
        <f>'Traffic Data'!U45*annualizationFactor*'Traffic Data'!$H45</f>
        <v>2777328.2524999995</v>
      </c>
      <c r="T277" s="576">
        <f>'Traffic Data'!V45*annualizationFactor*'Traffic Data'!$H45</f>
        <v>3018785.2424999997</v>
      </c>
      <c r="U277" s="576">
        <f>'Traffic Data'!W45*annualizationFactor*'Traffic Data'!$H45</f>
        <v>3138461.26</v>
      </c>
      <c r="V277" s="576">
        <f>'Traffic Data'!X45*annualizationFactor*'Traffic Data'!$H45</f>
        <v>3171034.7725</v>
      </c>
      <c r="W277" s="576">
        <f>'Traffic Data'!Y45*annualizationFactor*'Traffic Data'!$H45</f>
        <v>3203608.2850000001</v>
      </c>
      <c r="X277" s="576">
        <f>'Traffic Data'!Z45*annualizationFactor*'Traffic Data'!$H45</f>
        <v>3236181.7974999999</v>
      </c>
      <c r="Y277" s="576">
        <f>'Traffic Data'!AA45*annualizationFactor*'Traffic Data'!$H45</f>
        <v>3268848.5675000008</v>
      </c>
      <c r="Z277" s="576">
        <f>'Traffic Data'!AB45*annualizationFactor*'Traffic Data'!$H45</f>
        <v>3301422.08</v>
      </c>
      <c r="AA277" s="576">
        <f>'Traffic Data'!AC45*annualizationFactor*'Traffic Data'!$H45</f>
        <v>3334088.8499999992</v>
      </c>
      <c r="AB277" s="576">
        <f>'Traffic Data'!AD45*annualizationFactor*'Traffic Data'!$H45</f>
        <v>3366662.3624999993</v>
      </c>
      <c r="AC277" s="576">
        <f>'Traffic Data'!AE45*annualizationFactor*'Traffic Data'!$H45</f>
        <v>3399235.8749999991</v>
      </c>
      <c r="AD277" s="576">
        <f>'Traffic Data'!AF45*annualizationFactor*'Traffic Data'!$H45</f>
        <v>3431902.6449999991</v>
      </c>
      <c r="AE277" s="576">
        <f>'Traffic Data'!AG45*annualizationFactor*'Traffic Data'!$H45</f>
        <v>3464476.1574999993</v>
      </c>
      <c r="AF277" s="576">
        <f>'Traffic Data'!AH45*annualizationFactor*'Traffic Data'!$H45</f>
        <v>3497049.6699999995</v>
      </c>
      <c r="AG277" s="714">
        <f>'Traffic Data'!AI45*annualizationFactor*'Traffic Data'!$H45</f>
        <v>3529716.44</v>
      </c>
      <c r="AH277" s="5"/>
      <c r="AI277" s="5"/>
      <c r="AJ277" s="5"/>
      <c r="AK277" s="5"/>
      <c r="AL277" s="5"/>
      <c r="AM277" s="5"/>
      <c r="AN277" s="5"/>
    </row>
    <row r="278" spans="2:40" ht="21.95" customHeight="1" x14ac:dyDescent="0.2">
      <c r="B278" s="703"/>
      <c r="C278" s="579"/>
      <c r="D278" s="579"/>
      <c r="E278" s="1353"/>
      <c r="F278" s="254" t="s">
        <v>340</v>
      </c>
      <c r="G278" s="254" t="s">
        <v>280</v>
      </c>
      <c r="H278" s="576">
        <f>'Traffic Data'!J46*annualizationFactor*'Traffic Data'!$H46</f>
        <v>114975</v>
      </c>
      <c r="I278" s="576">
        <f>'Traffic Data'!K46*annualizationFactor*'Traffic Data'!$H46</f>
        <v>171393.23250000001</v>
      </c>
      <c r="J278" s="576">
        <f>'Traffic Data'!L46*annualizationFactor*'Traffic Data'!$H46</f>
        <v>241309.53000000003</v>
      </c>
      <c r="K278" s="576">
        <f>'Traffic Data'!M46*annualizationFactor*'Traffic Data'!$H46</f>
        <v>418056.76500000001</v>
      </c>
      <c r="L278" s="576">
        <f>'Traffic Data'!N46*annualizationFactor*'Traffic Data'!$H46</f>
        <v>594823.16249999998</v>
      </c>
      <c r="M278" s="576">
        <f>'Traffic Data'!O46*annualizationFactor*'Traffic Data'!$H46</f>
        <v>771677.70750000002</v>
      </c>
      <c r="N278" s="576">
        <f>'Traffic Data'!P46*annualizationFactor*'Traffic Data'!$H46</f>
        <v>948424.9425</v>
      </c>
      <c r="O278" s="576">
        <f>'Traffic Data'!Q46*annualizationFactor*'Traffic Data'!$H46</f>
        <v>1125114.69</v>
      </c>
      <c r="P278" s="576">
        <f>'Traffic Data'!R46*annualizationFactor*'Traffic Data'!$H46</f>
        <v>1574862.3975</v>
      </c>
      <c r="Q278" s="576">
        <f>'Traffic Data'!S46*annualizationFactor*'Traffic Data'!$H46</f>
        <v>2024433.81</v>
      </c>
      <c r="R278" s="576">
        <f>'Traffic Data'!T46*annualizationFactor*'Traffic Data'!$H46</f>
        <v>2473970.73</v>
      </c>
      <c r="S278" s="576">
        <f>'Traffic Data'!U46*annualizationFactor*'Traffic Data'!$H46</f>
        <v>2923718.4375</v>
      </c>
      <c r="T278" s="576">
        <f>'Traffic Data'!V46*annualizationFactor*'Traffic Data'!$H46</f>
        <v>3373408.6575000007</v>
      </c>
      <c r="U278" s="576">
        <f>'Traffic Data'!W46*annualizationFactor*'Traffic Data'!$H46</f>
        <v>3716191.2900000005</v>
      </c>
      <c r="V278" s="576">
        <f>'Traffic Data'!X46*annualizationFactor*'Traffic Data'!$H46</f>
        <v>3772609.5225</v>
      </c>
      <c r="W278" s="576">
        <f>'Traffic Data'!Y46*annualizationFactor*'Traffic Data'!$H46</f>
        <v>3829027.7550000004</v>
      </c>
      <c r="X278" s="576">
        <f>'Traffic Data'!Z46*annualizationFactor*'Traffic Data'!$H46</f>
        <v>3885445.9875000003</v>
      </c>
      <c r="Y278" s="576">
        <f>'Traffic Data'!AA46*annualizationFactor*'Traffic Data'!$H46</f>
        <v>3941691.7575000003</v>
      </c>
      <c r="Z278" s="576">
        <f>'Traffic Data'!AB46*annualizationFactor*'Traffic Data'!$H46</f>
        <v>3998109.9900000007</v>
      </c>
      <c r="AA278" s="576">
        <f>'Traffic Data'!AC46*annualizationFactor*'Traffic Data'!$H46</f>
        <v>4054355.7600000002</v>
      </c>
      <c r="AB278" s="576">
        <f>'Traffic Data'!AD46*annualizationFactor*'Traffic Data'!$H46</f>
        <v>4110773.9925000002</v>
      </c>
      <c r="AC278" s="576">
        <f>'Traffic Data'!AE46*annualizationFactor*'Traffic Data'!$H46</f>
        <v>4167192.2250000006</v>
      </c>
      <c r="AD278" s="576">
        <f>'Traffic Data'!AF46*annualizationFactor*'Traffic Data'!$H46</f>
        <v>4223437.9950000001</v>
      </c>
      <c r="AE278" s="576">
        <f>'Traffic Data'!AG46*annualizationFactor*'Traffic Data'!$H46</f>
        <v>4279856.2275</v>
      </c>
      <c r="AF278" s="576">
        <f>'Traffic Data'!AH46*annualizationFactor*'Traffic Data'!$H46</f>
        <v>4336274.46</v>
      </c>
      <c r="AG278" s="714">
        <f>'Traffic Data'!AI46*annualizationFactor*'Traffic Data'!$H46</f>
        <v>4392520.2300000004</v>
      </c>
      <c r="AH278" s="5"/>
      <c r="AI278" s="5"/>
      <c r="AJ278" s="5"/>
      <c r="AK278" s="5"/>
      <c r="AL278" s="5"/>
      <c r="AM278" s="5"/>
      <c r="AN278" s="5"/>
    </row>
    <row r="279" spans="2:40" ht="21.95" customHeight="1" x14ac:dyDescent="0.2">
      <c r="B279" s="703"/>
      <c r="C279" s="579"/>
      <c r="D279" s="579"/>
      <c r="E279" s="1340" t="s">
        <v>334</v>
      </c>
      <c r="F279" s="116" t="s">
        <v>336</v>
      </c>
      <c r="G279" s="116" t="s">
        <v>337</v>
      </c>
      <c r="H279" s="576">
        <f>'Traffic Data'!J47*annualizationFactor*'Traffic Data'!$H47</f>
        <v>2555000</v>
      </c>
      <c r="I279" s="576">
        <f>'Traffic Data'!K47*annualizationFactor*'Traffic Data'!$H47</f>
        <v>2625773.5</v>
      </c>
      <c r="J279" s="576">
        <f>'Traffic Data'!L47*annualizationFactor*'Traffic Data'!$H47</f>
        <v>2739991.125</v>
      </c>
      <c r="K279" s="576">
        <f>'Traffic Data'!M47*annualizationFactor*'Traffic Data'!$H47</f>
        <v>2903164.375</v>
      </c>
      <c r="L279" s="576">
        <f>'Traffic Data'!N47*annualizationFactor*'Traffic Data'!$H47</f>
        <v>3066410.6250000005</v>
      </c>
      <c r="M279" s="576">
        <f>'Traffic Data'!O47*annualizationFactor*'Traffic Data'!$H47</f>
        <v>3229647.7500000009</v>
      </c>
      <c r="N279" s="576">
        <f>'Traffic Data'!P47*annualizationFactor*'Traffic Data'!$H47</f>
        <v>3392821.0000000014</v>
      </c>
      <c r="O279" s="576">
        <f>'Traffic Data'!Q47*annualizationFactor*'Traffic Data'!$H47</f>
        <v>3556140.25</v>
      </c>
      <c r="P279" s="576">
        <f>'Traffic Data'!R47*annualizationFactor*'Traffic Data'!$H47</f>
        <v>3701510.6249999995</v>
      </c>
      <c r="Q279" s="576">
        <f>'Traffic Data'!S47*annualizationFactor*'Traffic Data'!$H47</f>
        <v>3846926.625</v>
      </c>
      <c r="R279" s="576">
        <f>'Traffic Data'!T47*annualizationFactor*'Traffic Data'!$H47</f>
        <v>3992296.9999999995</v>
      </c>
      <c r="S279" s="576">
        <f>'Traffic Data'!U47*annualizationFactor*'Traffic Data'!$H47</f>
        <v>4137667.3749999995</v>
      </c>
      <c r="T279" s="576">
        <f>'Traffic Data'!V47*annualizationFactor*'Traffic Data'!$H47</f>
        <v>4283183.75</v>
      </c>
      <c r="U279" s="576">
        <f>'Traffic Data'!W47*annualizationFactor*'Traffic Data'!$H47</f>
        <v>4379525.5</v>
      </c>
      <c r="V279" s="576">
        <f>'Traffic Data'!X47*annualizationFactor*'Traffic Data'!$H47</f>
        <v>4450299</v>
      </c>
      <c r="W279" s="576">
        <f>'Traffic Data'!Y47*annualizationFactor*'Traffic Data'!$H47</f>
        <v>4521072.5</v>
      </c>
      <c r="X279" s="576">
        <f>'Traffic Data'!Z47*annualizationFactor*'Traffic Data'!$H47</f>
        <v>4591846</v>
      </c>
      <c r="Y279" s="576">
        <f>'Traffic Data'!AA47*annualizationFactor*'Traffic Data'!$H47</f>
        <v>4662665.125</v>
      </c>
      <c r="Z279" s="576">
        <f>'Traffic Data'!AB47*annualizationFactor*'Traffic Data'!$H47</f>
        <v>4733438.6250000009</v>
      </c>
      <c r="AA279" s="576">
        <f>'Traffic Data'!AC47*annualizationFactor*'Traffic Data'!$H47</f>
        <v>4804257.7499999991</v>
      </c>
      <c r="AB279" s="576">
        <f>'Traffic Data'!AD47*annualizationFactor*'Traffic Data'!$H47</f>
        <v>4875031.2499999991</v>
      </c>
      <c r="AC279" s="576">
        <f>'Traffic Data'!AE47*annualizationFactor*'Traffic Data'!$H47</f>
        <v>4945804.75</v>
      </c>
      <c r="AD279" s="576">
        <f>'Traffic Data'!AF47*annualizationFactor*'Traffic Data'!$H47</f>
        <v>5016623.875</v>
      </c>
      <c r="AE279" s="576">
        <f>'Traffic Data'!AG47*annualizationFactor*'Traffic Data'!$H47</f>
        <v>5087397.3749999991</v>
      </c>
      <c r="AF279" s="576">
        <f>'Traffic Data'!AH47*annualizationFactor*'Traffic Data'!$H47</f>
        <v>5158170.8749999991</v>
      </c>
      <c r="AG279" s="714">
        <f>'Traffic Data'!AI47*annualizationFactor*'Traffic Data'!$H47</f>
        <v>5228989.9999999991</v>
      </c>
      <c r="AH279" s="5"/>
      <c r="AI279" s="5"/>
      <c r="AJ279" s="5"/>
      <c r="AK279" s="5"/>
      <c r="AL279" s="5"/>
      <c r="AM279" s="5"/>
      <c r="AN279" s="5"/>
    </row>
    <row r="280" spans="2:40" ht="21.95" customHeight="1" x14ac:dyDescent="0.2">
      <c r="B280" s="703"/>
      <c r="C280" s="579"/>
      <c r="D280" s="579"/>
      <c r="E280" s="1339"/>
      <c r="F280" s="116" t="s">
        <v>337</v>
      </c>
      <c r="G280" s="116" t="s">
        <v>386</v>
      </c>
      <c r="H280" s="576">
        <f>'Traffic Data'!J48*annualizationFactor*'Traffic Data'!$H48</f>
        <v>4015000</v>
      </c>
      <c r="I280" s="576">
        <f>'Traffic Data'!K48*annualizationFactor*'Traffic Data'!$H48</f>
        <v>4023030</v>
      </c>
      <c r="J280" s="576">
        <f>'Traffic Data'!L48*annualizationFactor*'Traffic Data'!$H48</f>
        <v>4031060</v>
      </c>
      <c r="K280" s="576">
        <f>'Traffic Data'!M48*annualizationFactor*'Traffic Data'!$H48</f>
        <v>4039090</v>
      </c>
      <c r="L280" s="576">
        <f>'Traffic Data'!N48*annualizationFactor*'Traffic Data'!$H48</f>
        <v>4047120</v>
      </c>
      <c r="M280" s="576">
        <f>'Traffic Data'!O48*annualizationFactor*'Traffic Data'!$H48</f>
        <v>4055150</v>
      </c>
      <c r="N280" s="576">
        <f>'Traffic Data'!P48*annualizationFactor*'Traffic Data'!$H48</f>
        <v>4063180</v>
      </c>
      <c r="O280" s="576">
        <f>'Traffic Data'!Q48*annualizationFactor*'Traffic Data'!$H48</f>
        <v>4071210</v>
      </c>
      <c r="P280" s="576">
        <f>'Traffic Data'!R48*annualizationFactor*'Traffic Data'!$H48</f>
        <v>4079240</v>
      </c>
      <c r="Q280" s="576">
        <f>'Traffic Data'!S48*annualizationFactor*'Traffic Data'!$H48</f>
        <v>4079240</v>
      </c>
      <c r="R280" s="576">
        <f>'Traffic Data'!T48*annualizationFactor*'Traffic Data'!$H48</f>
        <v>4175579.9249999998</v>
      </c>
      <c r="S280" s="576">
        <f>'Traffic Data'!U48*annualizationFactor*'Traffic Data'!$H48</f>
        <v>4281849.6749999989</v>
      </c>
      <c r="T280" s="576">
        <f>'Traffic Data'!V48*annualizationFactor*'Traffic Data'!$H48</f>
        <v>4388185.1249999991</v>
      </c>
      <c r="U280" s="576">
        <f>'Traffic Data'!W48*annualizationFactor*'Traffic Data'!$H48</f>
        <v>4473907.1999999993</v>
      </c>
      <c r="V280" s="576">
        <f>'Traffic Data'!X48*annualizationFactor*'Traffic Data'!$H48</f>
        <v>4544288.3249999993</v>
      </c>
      <c r="W280" s="576">
        <f>'Traffic Data'!Y48*annualizationFactor*'Traffic Data'!$H48</f>
        <v>4614669.4499999983</v>
      </c>
      <c r="X280" s="576">
        <f>'Traffic Data'!Z48*annualizationFactor*'Traffic Data'!$H48</f>
        <v>4685050.5749999993</v>
      </c>
      <c r="Y280" s="576">
        <f>'Traffic Data'!AA48*annualizationFactor*'Traffic Data'!$H48</f>
        <v>4755448.1249999991</v>
      </c>
      <c r="Z280" s="576">
        <f>'Traffic Data'!AB48*annualizationFactor*'Traffic Data'!$H48</f>
        <v>4825829.2499999991</v>
      </c>
      <c r="AA280" s="576">
        <f>'Traffic Data'!AC48*annualizationFactor*'Traffic Data'!$H48</f>
        <v>4896226.7999999989</v>
      </c>
      <c r="AB280" s="576">
        <f>'Traffic Data'!AD48*annualizationFactor*'Traffic Data'!$H48</f>
        <v>4966607.9249999998</v>
      </c>
      <c r="AC280" s="576">
        <f>'Traffic Data'!AE48*annualizationFactor*'Traffic Data'!$H48</f>
        <v>5036989.0499999989</v>
      </c>
      <c r="AD280" s="576">
        <f>'Traffic Data'!AF48*annualizationFactor*'Traffic Data'!$H48</f>
        <v>5107386.5999999996</v>
      </c>
      <c r="AE280" s="576">
        <f>'Traffic Data'!AG48*annualizationFactor*'Traffic Data'!$H48</f>
        <v>5177767.7249999987</v>
      </c>
      <c r="AF280" s="576">
        <f>'Traffic Data'!AH48*annualizationFactor*'Traffic Data'!$H48</f>
        <v>5248148.8499999996</v>
      </c>
      <c r="AG280" s="714">
        <f>'Traffic Data'!AI48*annualizationFactor*'Traffic Data'!$H48</f>
        <v>5318546.3999999994</v>
      </c>
      <c r="AH280" s="5"/>
      <c r="AI280" s="5"/>
      <c r="AJ280" s="5"/>
      <c r="AK280" s="5"/>
      <c r="AL280" s="5"/>
      <c r="AM280" s="5"/>
      <c r="AN280" s="5"/>
    </row>
    <row r="281" spans="2:40" ht="21.95" customHeight="1" x14ac:dyDescent="0.2">
      <c r="B281" s="703"/>
      <c r="C281" s="579"/>
      <c r="D281" s="579"/>
      <c r="E281" s="1339"/>
      <c r="F281" s="116" t="s">
        <v>342</v>
      </c>
      <c r="G281" s="116" t="s">
        <v>341</v>
      </c>
      <c r="H281" s="576">
        <f>'Traffic Data'!J49*annualizationFactor*'Traffic Data'!$H49</f>
        <v>5219500</v>
      </c>
      <c r="I281" s="576">
        <f>'Traffic Data'!K49*annualizationFactor*'Traffic Data'!$H49</f>
        <v>5229939</v>
      </c>
      <c r="J281" s="576">
        <f>'Traffic Data'!L49*annualizationFactor*'Traffic Data'!$H49</f>
        <v>5240378</v>
      </c>
      <c r="K281" s="576">
        <f>'Traffic Data'!M49*annualizationFactor*'Traffic Data'!$H49</f>
        <v>5250817</v>
      </c>
      <c r="L281" s="576">
        <f>'Traffic Data'!N49*annualizationFactor*'Traffic Data'!$H49</f>
        <v>5261256</v>
      </c>
      <c r="M281" s="576">
        <f>'Traffic Data'!O49*annualizationFactor*'Traffic Data'!$H49</f>
        <v>5271695</v>
      </c>
      <c r="N281" s="576">
        <f>'Traffic Data'!P49*annualizationFactor*'Traffic Data'!$H49</f>
        <v>5282134</v>
      </c>
      <c r="O281" s="576">
        <f>'Traffic Data'!Q49*annualizationFactor*'Traffic Data'!$H49</f>
        <v>5292573</v>
      </c>
      <c r="P281" s="576">
        <f>'Traffic Data'!R49*annualizationFactor*'Traffic Data'!$H49</f>
        <v>5303012</v>
      </c>
      <c r="Q281" s="576">
        <f>'Traffic Data'!S49*annualizationFactor*'Traffic Data'!$H49</f>
        <v>5303012</v>
      </c>
      <c r="R281" s="576">
        <f>'Traffic Data'!T49*annualizationFactor*'Traffic Data'!$H49</f>
        <v>5428253.9024999999</v>
      </c>
      <c r="S281" s="576">
        <f>'Traffic Data'!U49*annualizationFactor*'Traffic Data'!$H49</f>
        <v>5566404.5774999987</v>
      </c>
      <c r="T281" s="576">
        <f>'Traffic Data'!V49*annualizationFactor*'Traffic Data'!$H49</f>
        <v>5704640.6624999987</v>
      </c>
      <c r="U281" s="576">
        <f>'Traffic Data'!W49*annualizationFactor*'Traffic Data'!$H49</f>
        <v>5816079.3599999994</v>
      </c>
      <c r="V281" s="576">
        <f>'Traffic Data'!X49*annualizationFactor*'Traffic Data'!$H49</f>
        <v>5907574.8224999988</v>
      </c>
      <c r="W281" s="576">
        <f>'Traffic Data'!Y49*annualizationFactor*'Traffic Data'!$H49</f>
        <v>5999070.2849999983</v>
      </c>
      <c r="X281" s="576">
        <f>'Traffic Data'!Z49*annualizationFactor*'Traffic Data'!$H49</f>
        <v>6090565.7474999996</v>
      </c>
      <c r="Y281" s="576">
        <f>'Traffic Data'!AA49*annualizationFactor*'Traffic Data'!$H49</f>
        <v>6182082.5624999991</v>
      </c>
      <c r="Z281" s="576">
        <f>'Traffic Data'!AB49*annualizationFactor*'Traffic Data'!$H49</f>
        <v>6273578.0249999994</v>
      </c>
      <c r="AA281" s="576">
        <f>'Traffic Data'!AC49*annualizationFactor*'Traffic Data'!$H49</f>
        <v>6365094.8399999989</v>
      </c>
      <c r="AB281" s="576">
        <f>'Traffic Data'!AD49*annualizationFactor*'Traffic Data'!$H49</f>
        <v>6456590.3025000002</v>
      </c>
      <c r="AC281" s="576">
        <f>'Traffic Data'!AE49*annualizationFactor*'Traffic Data'!$H49</f>
        <v>6548085.7649999987</v>
      </c>
      <c r="AD281" s="576">
        <f>'Traffic Data'!AF49*annualizationFactor*'Traffic Data'!$H49</f>
        <v>6639602.5800000001</v>
      </c>
      <c r="AE281" s="576">
        <f>'Traffic Data'!AG49*annualizationFactor*'Traffic Data'!$H49</f>
        <v>6731098.0424999986</v>
      </c>
      <c r="AF281" s="576">
        <f>'Traffic Data'!AH49*annualizationFactor*'Traffic Data'!$H49</f>
        <v>6822593.5049999999</v>
      </c>
      <c r="AG281" s="714">
        <f>'Traffic Data'!AI49*annualizationFactor*'Traffic Data'!$H49</f>
        <v>6914110.3199999994</v>
      </c>
      <c r="AH281" s="5"/>
      <c r="AI281" s="5"/>
      <c r="AJ281" s="5"/>
      <c r="AK281" s="5"/>
      <c r="AL281" s="5"/>
      <c r="AM281" s="5"/>
      <c r="AN281" s="5"/>
    </row>
    <row r="282" spans="2:40" ht="21.95" customHeight="1" x14ac:dyDescent="0.2">
      <c r="B282" s="703"/>
      <c r="C282" s="579"/>
      <c r="D282" s="579"/>
      <c r="E282" s="1339"/>
      <c r="F282" s="116" t="s">
        <v>341</v>
      </c>
      <c r="G282" s="116" t="s">
        <v>344</v>
      </c>
      <c r="H282" s="576">
        <f>'Traffic Data'!J50*annualizationFactor*'Traffic Data'!$H50</f>
        <v>5788900</v>
      </c>
      <c r="I282" s="576">
        <f>'Traffic Data'!K50*annualizationFactor*'Traffic Data'!$H50</f>
        <v>5800477.7999999998</v>
      </c>
      <c r="J282" s="576">
        <f>'Traffic Data'!L50*annualizationFactor*'Traffic Data'!$H50</f>
        <v>5812055.5999999996</v>
      </c>
      <c r="K282" s="576">
        <f>'Traffic Data'!M50*annualizationFactor*'Traffic Data'!$H50</f>
        <v>5823633.3999999994</v>
      </c>
      <c r="L282" s="576">
        <f>'Traffic Data'!N50*annualizationFactor*'Traffic Data'!$H50</f>
        <v>5835211.2000000002</v>
      </c>
      <c r="M282" s="576">
        <f>'Traffic Data'!O50*annualizationFactor*'Traffic Data'!$H50</f>
        <v>5846789</v>
      </c>
      <c r="N282" s="576">
        <f>'Traffic Data'!P50*annualizationFactor*'Traffic Data'!$H50</f>
        <v>5858366.7999999998</v>
      </c>
      <c r="O282" s="576">
        <f>'Traffic Data'!Q50*annualizationFactor*'Traffic Data'!$H50</f>
        <v>5869944.5999999996</v>
      </c>
      <c r="P282" s="576">
        <f>'Traffic Data'!R50*annualizationFactor*'Traffic Data'!$H50</f>
        <v>5881522.3999999994</v>
      </c>
      <c r="Q282" s="576">
        <f>'Traffic Data'!S50*annualizationFactor*'Traffic Data'!$H50</f>
        <v>5881522.3999999994</v>
      </c>
      <c r="R282" s="576">
        <f>'Traffic Data'!T50*annualizationFactor*'Traffic Data'!$H50</f>
        <v>5909280.7098599989</v>
      </c>
      <c r="S282" s="576">
        <f>'Traffic Data'!U50*annualizationFactor*'Traffic Data'!$H50</f>
        <v>6007435.0940249981</v>
      </c>
      <c r="T282" s="576">
        <f>'Traffic Data'!V50*annualizationFactor*'Traffic Data'!$H50</f>
        <v>6103087.8718499979</v>
      </c>
      <c r="U282" s="576">
        <f>'Traffic Data'!W50*annualizationFactor*'Traffic Data'!$H50</f>
        <v>6167728.4659199985</v>
      </c>
      <c r="V282" s="576">
        <f>'Traffic Data'!X50*annualizationFactor*'Traffic Data'!$H50</f>
        <v>6209315.5672799991</v>
      </c>
      <c r="W282" s="576">
        <f>'Traffic Data'!Y50*annualizationFactor*'Traffic Data'!$H50</f>
        <v>6305484.3364799991</v>
      </c>
      <c r="X282" s="576">
        <f>'Traffic Data'!Z50*annualizationFactor*'Traffic Data'!$H50</f>
        <v>6401653.1056799991</v>
      </c>
      <c r="Y282" s="576">
        <f>'Traffic Data'!AA50*annualizationFactor*'Traffic Data'!$H50</f>
        <v>6497844.317999999</v>
      </c>
      <c r="Z282" s="576">
        <f>'Traffic Data'!AB50*annualizationFactor*'Traffic Data'!$H50</f>
        <v>6594013.0871999981</v>
      </c>
      <c r="AA282" s="576">
        <f>'Traffic Data'!AC50*annualizationFactor*'Traffic Data'!$H50</f>
        <v>6690204.2995199999</v>
      </c>
      <c r="AB282" s="576">
        <f>'Traffic Data'!AD50*annualizationFactor*'Traffic Data'!$H50</f>
        <v>6786373.0687199999</v>
      </c>
      <c r="AC282" s="576">
        <f>'Traffic Data'!AE50*annualizationFactor*'Traffic Data'!$H50</f>
        <v>6882541.8379199989</v>
      </c>
      <c r="AD282" s="576">
        <f>'Traffic Data'!AF50*annualizationFactor*'Traffic Data'!$H50</f>
        <v>6978733.0502399998</v>
      </c>
      <c r="AE282" s="576">
        <f>'Traffic Data'!AG50*annualizationFactor*'Traffic Data'!$H50</f>
        <v>7074901.8194399979</v>
      </c>
      <c r="AF282" s="576">
        <f>'Traffic Data'!AH50*annualizationFactor*'Traffic Data'!$H50</f>
        <v>7171070.5886399988</v>
      </c>
      <c r="AG282" s="714">
        <f>'Traffic Data'!AI50*annualizationFactor*'Traffic Data'!$H50</f>
        <v>7267261.8009599987</v>
      </c>
      <c r="AH282" s="5"/>
      <c r="AI282" s="5"/>
      <c r="AJ282" s="5"/>
      <c r="AK282" s="5"/>
      <c r="AL282" s="5"/>
      <c r="AM282" s="5"/>
      <c r="AN282" s="5"/>
    </row>
    <row r="283" spans="2:40" ht="21.95" customHeight="1" x14ac:dyDescent="0.2">
      <c r="B283" s="703"/>
      <c r="C283" s="579"/>
      <c r="D283" s="579"/>
      <c r="E283" s="1339"/>
      <c r="F283" s="116" t="s">
        <v>344</v>
      </c>
      <c r="G283" s="116" t="s">
        <v>345</v>
      </c>
      <c r="H283" s="576">
        <f>'Traffic Data'!J51*annualizationFactor*'Traffic Data'!$H51</f>
        <v>2372500</v>
      </c>
      <c r="I283" s="576">
        <f>'Traffic Data'!K51*annualizationFactor*'Traffic Data'!$H51</f>
        <v>2377245</v>
      </c>
      <c r="J283" s="576">
        <f>'Traffic Data'!L51*annualizationFactor*'Traffic Data'!$H51</f>
        <v>2381990</v>
      </c>
      <c r="K283" s="576">
        <f>'Traffic Data'!M51*annualizationFactor*'Traffic Data'!$H51</f>
        <v>2386735</v>
      </c>
      <c r="L283" s="576">
        <f>'Traffic Data'!N51*annualizationFactor*'Traffic Data'!$H51</f>
        <v>2391480</v>
      </c>
      <c r="M283" s="576">
        <f>'Traffic Data'!O51*annualizationFactor*'Traffic Data'!$H51</f>
        <v>2396225</v>
      </c>
      <c r="N283" s="576">
        <f>'Traffic Data'!P51*annualizationFactor*'Traffic Data'!$H51</f>
        <v>2400970</v>
      </c>
      <c r="O283" s="576">
        <f>'Traffic Data'!Q51*annualizationFactor*'Traffic Data'!$H51</f>
        <v>2405715</v>
      </c>
      <c r="P283" s="576">
        <f>'Traffic Data'!R51*annualizationFactor*'Traffic Data'!$H51</f>
        <v>2410460</v>
      </c>
      <c r="Q283" s="576">
        <f>'Traffic Data'!S51*annualizationFactor*'Traffic Data'!$H51</f>
        <v>2410460</v>
      </c>
      <c r="R283" s="576">
        <f>'Traffic Data'!T51*annualizationFactor*'Traffic Data'!$H51</f>
        <v>2421836.3564999998</v>
      </c>
      <c r="S283" s="576">
        <f>'Traffic Data'!U51*annualizationFactor*'Traffic Data'!$H51</f>
        <v>2462063.5631249994</v>
      </c>
      <c r="T283" s="576">
        <f>'Traffic Data'!V51*annualizationFactor*'Traffic Data'!$H51</f>
        <v>2501265.5212499993</v>
      </c>
      <c r="U283" s="576">
        <f>'Traffic Data'!W51*annualizationFactor*'Traffic Data'!$H51</f>
        <v>2527757.5679999995</v>
      </c>
      <c r="V283" s="576">
        <f>'Traffic Data'!X51*annualizationFactor*'Traffic Data'!$H51</f>
        <v>2544801.4619999998</v>
      </c>
      <c r="W283" s="576">
        <f>'Traffic Data'!Y51*annualizationFactor*'Traffic Data'!$H51</f>
        <v>2584214.8919999995</v>
      </c>
      <c r="X283" s="576">
        <f>'Traffic Data'!Z51*annualizationFactor*'Traffic Data'!$H51</f>
        <v>2623628.3219999997</v>
      </c>
      <c r="Y283" s="576">
        <f>'Traffic Data'!AA51*annualizationFactor*'Traffic Data'!$H51</f>
        <v>2663050.9499999997</v>
      </c>
      <c r="Z283" s="576">
        <f>'Traffic Data'!AB51*annualizationFactor*'Traffic Data'!$H51</f>
        <v>2702464.3799999994</v>
      </c>
      <c r="AA283" s="576">
        <f>'Traffic Data'!AC51*annualizationFactor*'Traffic Data'!$H51</f>
        <v>2741887.0079999999</v>
      </c>
      <c r="AB283" s="576">
        <f>'Traffic Data'!AD51*annualizationFactor*'Traffic Data'!$H51</f>
        <v>2781300.4380000001</v>
      </c>
      <c r="AC283" s="576">
        <f>'Traffic Data'!AE51*annualizationFactor*'Traffic Data'!$H51</f>
        <v>2820713.8679999998</v>
      </c>
      <c r="AD283" s="576">
        <f>'Traffic Data'!AF51*annualizationFactor*'Traffic Data'!$H51</f>
        <v>2860136.4959999998</v>
      </c>
      <c r="AE283" s="576">
        <f>'Traffic Data'!AG51*annualizationFactor*'Traffic Data'!$H51</f>
        <v>2899549.925999999</v>
      </c>
      <c r="AF283" s="576">
        <f>'Traffic Data'!AH51*annualizationFactor*'Traffic Data'!$H51</f>
        <v>2938963.3559999997</v>
      </c>
      <c r="AG283" s="714">
        <f>'Traffic Data'!AI51*annualizationFactor*'Traffic Data'!$H51</f>
        <v>2978385.9839999997</v>
      </c>
      <c r="AH283" s="5"/>
      <c r="AI283" s="5"/>
      <c r="AJ283" s="5"/>
      <c r="AK283" s="5"/>
      <c r="AL283" s="5"/>
      <c r="AM283" s="5"/>
      <c r="AN283" s="5"/>
    </row>
    <row r="284" spans="2:40" ht="21.95" customHeight="1" x14ac:dyDescent="0.2">
      <c r="B284" s="703"/>
      <c r="C284" s="579"/>
      <c r="D284" s="579"/>
      <c r="E284" s="1339"/>
      <c r="F284" s="116" t="s">
        <v>345</v>
      </c>
      <c r="G284" s="116" t="s">
        <v>323</v>
      </c>
      <c r="H284" s="576">
        <f>'Traffic Data'!J52*annualizationFactor*'Traffic Data'!$H52</f>
        <v>28616000</v>
      </c>
      <c r="I284" s="576">
        <f>'Traffic Data'!K52*annualizationFactor*'Traffic Data'!$H52</f>
        <v>29272890.5</v>
      </c>
      <c r="J284" s="576">
        <f>'Traffic Data'!L52*annualizationFactor*'Traffic Data'!$H52</f>
        <v>30233723.799999997</v>
      </c>
      <c r="K284" s="576">
        <f>'Traffic Data'!M52*annualizationFactor*'Traffic Data'!$H52</f>
        <v>31386028.799999997</v>
      </c>
      <c r="L284" s="576">
        <f>'Traffic Data'!N52*annualizationFactor*'Traffic Data'!$H52</f>
        <v>32538640.399999999</v>
      </c>
      <c r="M284" s="576">
        <f>'Traffic Data'!O52*annualizationFactor*'Traffic Data'!$H52</f>
        <v>33691354.20000001</v>
      </c>
      <c r="N284" s="576">
        <f>'Traffic Data'!P52*annualizationFactor*'Traffic Data'!$H52</f>
        <v>34843659.200000003</v>
      </c>
      <c r="O284" s="576">
        <f>'Traffic Data'!Q52*annualizationFactor*'Traffic Data'!$H52</f>
        <v>35996577.400000006</v>
      </c>
      <c r="P284" s="576">
        <f>'Traffic Data'!R52*annualizationFactor*'Traffic Data'!$H52</f>
        <v>36988428.399999991</v>
      </c>
      <c r="Q284" s="576">
        <f>'Traffic Data'!S52*annualizationFactor*'Traffic Data'!$H52</f>
        <v>37980228.299999997</v>
      </c>
      <c r="R284" s="576">
        <f>'Traffic Data'!T52*annualizationFactor*'Traffic Data'!$H52</f>
        <v>38972079.299999997</v>
      </c>
      <c r="S284" s="576">
        <f>'Traffic Data'!U52*annualizationFactor*'Traffic Data'!$H52</f>
        <v>39963930.29999999</v>
      </c>
      <c r="T284" s="576">
        <f>'Traffic Data'!V52*annualizationFactor*'Traffic Data'!$H52</f>
        <v>40956394.499999993</v>
      </c>
      <c r="U284" s="576">
        <f>'Traffic Data'!W52*annualizationFactor*'Traffic Data'!$H52</f>
        <v>41756467.199999996</v>
      </c>
      <c r="V284" s="576">
        <f>'Traffic Data'!X52*annualizationFactor*'Traffic Data'!$H52</f>
        <v>42413357.699999988</v>
      </c>
      <c r="W284" s="576">
        <f>'Traffic Data'!Y52*annualizationFactor*'Traffic Data'!$H52</f>
        <v>43070248.199999988</v>
      </c>
      <c r="X284" s="576">
        <f>'Traffic Data'!Z52*annualizationFactor*'Traffic Data'!$H52</f>
        <v>43727138.699999988</v>
      </c>
      <c r="Y284" s="576">
        <f>'Traffic Data'!AA52*annualizationFactor*'Traffic Data'!$H52</f>
        <v>44384182.499999993</v>
      </c>
      <c r="Z284" s="576">
        <f>'Traffic Data'!AB52*annualizationFactor*'Traffic Data'!$H52</f>
        <v>45041072.999999993</v>
      </c>
      <c r="AA284" s="576">
        <f>'Traffic Data'!AC52*annualizationFactor*'Traffic Data'!$H52</f>
        <v>45698116.79999999</v>
      </c>
      <c r="AB284" s="576">
        <f>'Traffic Data'!AD52*annualizationFactor*'Traffic Data'!$H52</f>
        <v>46355007.29999999</v>
      </c>
      <c r="AC284" s="576">
        <f>'Traffic Data'!AE52*annualizationFactor*'Traffic Data'!$H52</f>
        <v>47011897.79999999</v>
      </c>
      <c r="AD284" s="576">
        <f>'Traffic Data'!AF52*annualizationFactor*'Traffic Data'!$H52</f>
        <v>47668941.599999994</v>
      </c>
      <c r="AE284" s="576">
        <f>'Traffic Data'!AG52*annualizationFactor*'Traffic Data'!$H52</f>
        <v>48325832.099999987</v>
      </c>
      <c r="AF284" s="576">
        <f>'Traffic Data'!AH52*annualizationFactor*'Traffic Data'!$H52</f>
        <v>48982722.599999994</v>
      </c>
      <c r="AG284" s="714">
        <f>'Traffic Data'!AI52*annualizationFactor*'Traffic Data'!$H52</f>
        <v>49639766.399999999</v>
      </c>
      <c r="AH284" s="5"/>
      <c r="AI284" s="5"/>
      <c r="AJ284" s="5"/>
      <c r="AK284" s="5"/>
      <c r="AL284" s="5"/>
      <c r="AM284" s="5"/>
      <c r="AN284" s="5"/>
    </row>
    <row r="285" spans="2:40" ht="21.95" customHeight="1" x14ac:dyDescent="0.2">
      <c r="B285" s="703"/>
      <c r="C285" s="579"/>
      <c r="D285" s="579"/>
      <c r="E285" s="1339"/>
      <c r="F285" s="116" t="s">
        <v>323</v>
      </c>
      <c r="G285" s="116" t="s">
        <v>347</v>
      </c>
      <c r="H285" s="576">
        <f>'Traffic Data'!J53*annualizationFactor*'Traffic Data'!$H53</f>
        <v>5110000</v>
      </c>
      <c r="I285" s="576">
        <f>'Traffic Data'!K53*annualizationFactor*'Traffic Data'!$H53</f>
        <v>5222912.75</v>
      </c>
      <c r="J285" s="576">
        <f>'Traffic Data'!L53*annualizationFactor*'Traffic Data'!$H53</f>
        <v>5390091.875</v>
      </c>
      <c r="K285" s="576">
        <f>'Traffic Data'!M53*annualizationFactor*'Traffic Data'!$H53</f>
        <v>5602257.25</v>
      </c>
      <c r="L285" s="576">
        <f>'Traffic Data'!N53*annualizationFactor*'Traffic Data'!$H53</f>
        <v>5814486.5000000009</v>
      </c>
      <c r="M285" s="576">
        <f>'Traffic Data'!O53*annualizationFactor*'Traffic Data'!$H53</f>
        <v>6026702.9749999996</v>
      </c>
      <c r="N285" s="576">
        <f>'Traffic Data'!P53*annualizationFactor*'Traffic Data'!$H53</f>
        <v>6238868.3499999987</v>
      </c>
      <c r="O285" s="576">
        <f>'Traffic Data'!Q53*annualizationFactor*'Traffic Data'!$H53</f>
        <v>6451148.6999999993</v>
      </c>
      <c r="P285" s="576">
        <f>'Traffic Data'!R53*annualizationFactor*'Traffic Data'!$H53</f>
        <v>6639780.7000000002</v>
      </c>
      <c r="Q285" s="576">
        <f>'Traffic Data'!S53*annualizationFactor*'Traffic Data'!$H53</f>
        <v>6828430.9499999993</v>
      </c>
      <c r="R285" s="576">
        <f>'Traffic Data'!T53*annualizationFactor*'Traffic Data'!$H53</f>
        <v>7017062.9499999993</v>
      </c>
      <c r="S285" s="576">
        <f>'Traffic Data'!U53*annualizationFactor*'Traffic Data'!$H53</f>
        <v>7205694.9500000002</v>
      </c>
      <c r="T285" s="576">
        <f>'Traffic Data'!V53*annualizationFactor*'Traffic Data'!$H53</f>
        <v>7394414.5499999998</v>
      </c>
      <c r="U285" s="576">
        <f>'Traffic Data'!W53*annualizationFactor*'Traffic Data'!$H53</f>
        <v>7538009.1999999993</v>
      </c>
      <c r="V285" s="576">
        <f>'Traffic Data'!X53*annualizationFactor*'Traffic Data'!$H53</f>
        <v>7650921.9500000002</v>
      </c>
      <c r="W285" s="576">
        <f>'Traffic Data'!Y53*annualizationFactor*'Traffic Data'!$H53</f>
        <v>7763834.7000000011</v>
      </c>
      <c r="X285" s="576">
        <f>'Traffic Data'!Z53*annualizationFactor*'Traffic Data'!$H53</f>
        <v>7876747.450000002</v>
      </c>
      <c r="Y285" s="576">
        <f>'Traffic Data'!AA53*annualizationFactor*'Traffic Data'!$H53</f>
        <v>7989678.4500000011</v>
      </c>
      <c r="Z285" s="576">
        <f>'Traffic Data'!AB53*annualizationFactor*'Traffic Data'!$H53</f>
        <v>8102591.1999999993</v>
      </c>
      <c r="AA285" s="576">
        <f>'Traffic Data'!AC53*annualizationFactor*'Traffic Data'!$H53</f>
        <v>8215522.2000000011</v>
      </c>
      <c r="AB285" s="576">
        <f>'Traffic Data'!AD53*annualizationFactor*'Traffic Data'!$H53</f>
        <v>8328434.950000002</v>
      </c>
      <c r="AC285" s="576">
        <f>'Traffic Data'!AE53*annualizationFactor*'Traffic Data'!$H53</f>
        <v>8441347.7000000011</v>
      </c>
      <c r="AD285" s="576">
        <f>'Traffic Data'!AF53*annualizationFactor*'Traffic Data'!$H53</f>
        <v>8554278.7000000011</v>
      </c>
      <c r="AE285" s="576">
        <f>'Traffic Data'!AG53*annualizationFactor*'Traffic Data'!$H53</f>
        <v>8667191.450000003</v>
      </c>
      <c r="AF285" s="576">
        <f>'Traffic Data'!AH53*annualizationFactor*'Traffic Data'!$H53</f>
        <v>8780104.2000000011</v>
      </c>
      <c r="AG285" s="714">
        <f>'Traffic Data'!AI53*annualizationFactor*'Traffic Data'!$H53</f>
        <v>8893035.2000000011</v>
      </c>
      <c r="AH285" s="5"/>
      <c r="AI285" s="5"/>
      <c r="AJ285" s="5"/>
      <c r="AK285" s="5"/>
      <c r="AL285" s="5"/>
      <c r="AM285" s="5"/>
      <c r="AN285" s="5"/>
    </row>
    <row r="286" spans="2:40" ht="21.95" customHeight="1" x14ac:dyDescent="0.2">
      <c r="B286" s="703"/>
      <c r="C286" s="579"/>
      <c r="D286" s="579"/>
      <c r="E286" s="1339"/>
      <c r="F286" s="116" t="s">
        <v>347</v>
      </c>
      <c r="G286" s="116" t="s">
        <v>348</v>
      </c>
      <c r="H286" s="576">
        <f>'Traffic Data'!J54*annualizationFactor*'Traffic Data'!$H54</f>
        <v>3577000</v>
      </c>
      <c r="I286" s="576">
        <f>'Traffic Data'!K54*annualizationFactor*'Traffic Data'!$H54</f>
        <v>3656038.9249999998</v>
      </c>
      <c r="J286" s="576">
        <f>'Traffic Data'!L54*annualizationFactor*'Traffic Data'!$H54</f>
        <v>3773064.3124999995</v>
      </c>
      <c r="K286" s="576">
        <f>'Traffic Data'!M54*annualizationFactor*'Traffic Data'!$H54</f>
        <v>3921580.0749999997</v>
      </c>
      <c r="L286" s="576">
        <f>'Traffic Data'!N54*annualizationFactor*'Traffic Data'!$H54</f>
        <v>4070140.5500000003</v>
      </c>
      <c r="M286" s="576">
        <f>'Traffic Data'!O54*annualizationFactor*'Traffic Data'!$H54</f>
        <v>4218692.0824999996</v>
      </c>
      <c r="N286" s="576">
        <f>'Traffic Data'!P54*annualizationFactor*'Traffic Data'!$H54</f>
        <v>4367207.8449999988</v>
      </c>
      <c r="O286" s="576">
        <f>'Traffic Data'!Q54*annualizationFactor*'Traffic Data'!$H54</f>
        <v>4515804.0899999989</v>
      </c>
      <c r="P286" s="576">
        <f>'Traffic Data'!R54*annualizationFactor*'Traffic Data'!$H54</f>
        <v>4647846.49</v>
      </c>
      <c r="Q286" s="576">
        <f>'Traffic Data'!S54*annualizationFactor*'Traffic Data'!$H54</f>
        <v>4779901.6649999991</v>
      </c>
      <c r="R286" s="576">
        <f>'Traffic Data'!T54*annualizationFactor*'Traffic Data'!$H54</f>
        <v>4911944.0649999995</v>
      </c>
      <c r="S286" s="576">
        <f>'Traffic Data'!U54*annualizationFactor*'Traffic Data'!$H54</f>
        <v>5043986.4649999999</v>
      </c>
      <c r="T286" s="576">
        <f>'Traffic Data'!V54*annualizationFactor*'Traffic Data'!$H54</f>
        <v>5176090.1849999996</v>
      </c>
      <c r="U286" s="576">
        <f>'Traffic Data'!W54*annualizationFactor*'Traffic Data'!$H54</f>
        <v>5276606.4399999995</v>
      </c>
      <c r="V286" s="576">
        <f>'Traffic Data'!X54*annualizationFactor*'Traffic Data'!$H54</f>
        <v>5355645.3650000002</v>
      </c>
      <c r="W286" s="576">
        <f>'Traffic Data'!Y54*annualizationFactor*'Traffic Data'!$H54</f>
        <v>5434684.29</v>
      </c>
      <c r="X286" s="576">
        <f>'Traffic Data'!Z54*annualizationFactor*'Traffic Data'!$H54</f>
        <v>5513723.2150000008</v>
      </c>
      <c r="Y286" s="576">
        <f>'Traffic Data'!AA54*annualizationFactor*'Traffic Data'!$H54</f>
        <v>5592774.915</v>
      </c>
      <c r="Z286" s="576">
        <f>'Traffic Data'!AB54*annualizationFactor*'Traffic Data'!$H54</f>
        <v>5671813.8399999989</v>
      </c>
      <c r="AA286" s="576">
        <f>'Traffic Data'!AC54*annualizationFactor*'Traffic Data'!$H54</f>
        <v>5750865.54</v>
      </c>
      <c r="AB286" s="576">
        <f>'Traffic Data'!AD54*annualizationFactor*'Traffic Data'!$H54</f>
        <v>5829904.4650000008</v>
      </c>
      <c r="AC286" s="576">
        <f>'Traffic Data'!AE54*annualizationFactor*'Traffic Data'!$H54</f>
        <v>5908943.3900000006</v>
      </c>
      <c r="AD286" s="576">
        <f>'Traffic Data'!AF54*annualizationFactor*'Traffic Data'!$H54</f>
        <v>5987995.0900000008</v>
      </c>
      <c r="AE286" s="576">
        <f>'Traffic Data'!AG54*annualizationFactor*'Traffic Data'!$H54</f>
        <v>6067034.0150000015</v>
      </c>
      <c r="AF286" s="576">
        <f>'Traffic Data'!AH54*annualizationFactor*'Traffic Data'!$H54</f>
        <v>6146072.9400000004</v>
      </c>
      <c r="AG286" s="714">
        <f>'Traffic Data'!AI54*annualizationFactor*'Traffic Data'!$H54</f>
        <v>6225124.6400000006</v>
      </c>
      <c r="AH286" s="5"/>
      <c r="AI286" s="5"/>
      <c r="AJ286" s="5"/>
      <c r="AK286" s="5"/>
      <c r="AL286" s="5"/>
      <c r="AM286" s="5"/>
      <c r="AN286" s="5"/>
    </row>
    <row r="287" spans="2:40" ht="21.95" customHeight="1" x14ac:dyDescent="0.2">
      <c r="B287" s="703"/>
      <c r="C287" s="579"/>
      <c r="D287" s="579"/>
      <c r="E287" s="1353"/>
      <c r="F287" s="254" t="s">
        <v>348</v>
      </c>
      <c r="G287" s="254" t="s">
        <v>349</v>
      </c>
      <c r="H287" s="576">
        <f>'Traffic Data'!J55*annualizationFactor*'Traffic Data'!$H55</f>
        <v>5840000</v>
      </c>
      <c r="I287" s="576">
        <f>'Traffic Data'!K55*annualizationFactor*'Traffic Data'!$H55</f>
        <v>5979493.875</v>
      </c>
      <c r="J287" s="576">
        <f>'Traffic Data'!L55*annualizationFactor*'Traffic Data'!$H55</f>
        <v>6173263.25</v>
      </c>
      <c r="K287" s="576">
        <f>'Traffic Data'!M55*annualizationFactor*'Traffic Data'!$H55</f>
        <v>6430606.4999999991</v>
      </c>
      <c r="L287" s="576">
        <f>'Traffic Data'!N55*annualizationFactor*'Traffic Data'!$H55</f>
        <v>6688022.7500000009</v>
      </c>
      <c r="M287" s="576">
        <f>'Traffic Data'!O55*annualizationFactor*'Traffic Data'!$H55</f>
        <v>6945457.2500000009</v>
      </c>
      <c r="N287" s="576">
        <f>'Traffic Data'!P55*annualizationFactor*'Traffic Data'!$H55</f>
        <v>7202800.5</v>
      </c>
      <c r="O287" s="576">
        <f>'Traffic Data'!Q55*annualizationFactor*'Traffic Data'!$H55</f>
        <v>7460289.7500000019</v>
      </c>
      <c r="P287" s="576">
        <f>'Traffic Data'!R55*annualizationFactor*'Traffic Data'!$H55</f>
        <v>7706044.25</v>
      </c>
      <c r="Q287" s="576">
        <f>'Traffic Data'!S55*annualizationFactor*'Traffic Data'!$H55</f>
        <v>7951807.8749999991</v>
      </c>
      <c r="R287" s="576">
        <f>'Traffic Data'!T55*annualizationFactor*'Traffic Data'!$H55</f>
        <v>8197562.3749999991</v>
      </c>
      <c r="S287" s="576">
        <f>'Traffic Data'!U55*annualizationFactor*'Traffic Data'!$H55</f>
        <v>8443316.875</v>
      </c>
      <c r="T287" s="576">
        <f>'Traffic Data'!V55*annualizationFactor*'Traffic Data'!$H55</f>
        <v>8689217.375</v>
      </c>
      <c r="U287" s="576">
        <f>'Traffic Data'!W55*annualizationFactor*'Traffic Data'!$H55</f>
        <v>8871325</v>
      </c>
      <c r="V287" s="576">
        <f>'Traffic Data'!X55*annualizationFactor*'Traffic Data'!$H55</f>
        <v>9010818.875</v>
      </c>
      <c r="W287" s="576">
        <f>'Traffic Data'!Y55*annualizationFactor*'Traffic Data'!$H55</f>
        <v>9150312.75</v>
      </c>
      <c r="X287" s="576">
        <f>'Traffic Data'!Z55*annualizationFactor*'Traffic Data'!$H55</f>
        <v>9289806.625</v>
      </c>
      <c r="Y287" s="576">
        <f>'Traffic Data'!AA55*annualizationFactor*'Traffic Data'!$H55</f>
        <v>9429327.875</v>
      </c>
      <c r="Z287" s="576">
        <f>'Traffic Data'!AB55*annualizationFactor*'Traffic Data'!$H55</f>
        <v>9568821.7499999981</v>
      </c>
      <c r="AA287" s="576">
        <f>'Traffic Data'!AC55*annualizationFactor*'Traffic Data'!$H55</f>
        <v>9708343</v>
      </c>
      <c r="AB287" s="576">
        <f>'Traffic Data'!AD55*annualizationFactor*'Traffic Data'!$H55</f>
        <v>9847836.875</v>
      </c>
      <c r="AC287" s="576">
        <f>'Traffic Data'!AE55*annualizationFactor*'Traffic Data'!$H55</f>
        <v>9987330.75</v>
      </c>
      <c r="AD287" s="576">
        <f>'Traffic Data'!AF55*annualizationFactor*'Traffic Data'!$H55</f>
        <v>10126852</v>
      </c>
      <c r="AE287" s="576">
        <f>'Traffic Data'!AG55*annualizationFactor*'Traffic Data'!$H55</f>
        <v>10266345.875</v>
      </c>
      <c r="AF287" s="576">
        <f>'Traffic Data'!AH55*annualizationFactor*'Traffic Data'!$H55</f>
        <v>10405839.75</v>
      </c>
      <c r="AG287" s="714">
        <f>'Traffic Data'!AI55*annualizationFactor*'Traffic Data'!$H55</f>
        <v>10545361</v>
      </c>
      <c r="AH287" s="5"/>
      <c r="AI287" s="5"/>
      <c r="AJ287" s="5"/>
      <c r="AK287" s="5"/>
      <c r="AL287" s="5"/>
      <c r="AM287" s="5"/>
      <c r="AN287" s="5"/>
    </row>
    <row r="288" spans="2:40" ht="21.95" customHeight="1" x14ac:dyDescent="0.2">
      <c r="B288" s="703"/>
      <c r="C288" s="579"/>
      <c r="D288" s="579"/>
      <c r="E288" s="116" t="s">
        <v>288</v>
      </c>
      <c r="F288" s="116" t="s">
        <v>323</v>
      </c>
      <c r="G288" s="116" t="s">
        <v>348</v>
      </c>
      <c r="H288" s="576">
        <f>'Traffic Data'!J56*annualizationFactor*'Traffic Data'!$H56</f>
        <v>657000</v>
      </c>
      <c r="I288" s="576">
        <f>'Traffic Data'!K56*annualizationFactor*'Traffic Data'!$H56</f>
        <v>697398.20000000007</v>
      </c>
      <c r="J288" s="576">
        <f>'Traffic Data'!L56*annualizationFactor*'Traffic Data'!$H56</f>
        <v>750859.75</v>
      </c>
      <c r="K288" s="576">
        <f>'Traffic Data'!M56*annualizationFactor*'Traffic Data'!$H56</f>
        <v>821906.99999999988</v>
      </c>
      <c r="L288" s="576">
        <f>'Traffic Data'!N56*annualizationFactor*'Traffic Data'!$H56</f>
        <v>892976.14999999991</v>
      </c>
      <c r="M288" s="576">
        <f>'Traffic Data'!O56*annualizationFactor*'Traffic Data'!$H56</f>
        <v>964198.60000000009</v>
      </c>
      <c r="N288" s="576">
        <f>'Traffic Data'!P56*annualizationFactor*'Traffic Data'!$H56</f>
        <v>1035245.8499999999</v>
      </c>
      <c r="O288" s="576">
        <f>'Traffic Data'!Q56*annualizationFactor*'Traffic Data'!$H56</f>
        <v>1106369.7499999998</v>
      </c>
      <c r="P288" s="576">
        <f>'Traffic Data'!R56*annualizationFactor*'Traffic Data'!$H56</f>
        <v>1171222.95</v>
      </c>
      <c r="Q288" s="576">
        <f>'Traffic Data'!S56*annualizationFactor*'Traffic Data'!$H56</f>
        <v>1236021.4000000001</v>
      </c>
      <c r="R288" s="576">
        <f>'Traffic Data'!T56*annualizationFactor*'Traffic Data'!$H56</f>
        <v>1300878.25</v>
      </c>
      <c r="S288" s="576">
        <f>'Traffic Data'!U56*annualizationFactor*'Traffic Data'!$H56</f>
        <v>1365731.45</v>
      </c>
      <c r="T288" s="576">
        <f>'Traffic Data'!V56*annualizationFactor*'Traffic Data'!$H56</f>
        <v>1430814.6</v>
      </c>
      <c r="U288" s="576">
        <f>'Traffic Data'!W56*annualizationFactor*'Traffic Data'!$H56</f>
        <v>1478031</v>
      </c>
      <c r="V288" s="576">
        <f>'Traffic Data'!X56*annualizationFactor*'Traffic Data'!$H56</f>
        <v>1518429.2</v>
      </c>
      <c r="W288" s="576">
        <f>'Traffic Data'!Y56*annualizationFactor*'Traffic Data'!$H56</f>
        <v>1558827.3999999997</v>
      </c>
      <c r="X288" s="576">
        <f>'Traffic Data'!Z56*annualizationFactor*'Traffic Data'!$H56</f>
        <v>1599225.5999999999</v>
      </c>
      <c r="Y288" s="576">
        <f>'Traffic Data'!AA56*annualizationFactor*'Traffic Data'!$H56</f>
        <v>1639667.5999999999</v>
      </c>
      <c r="Z288" s="576">
        <f>'Traffic Data'!AB56*annualizationFactor*'Traffic Data'!$H56</f>
        <v>1680065.7999999996</v>
      </c>
      <c r="AA288" s="576">
        <f>'Traffic Data'!AC56*annualizationFactor*'Traffic Data'!$H56</f>
        <v>1720562.55</v>
      </c>
      <c r="AB288" s="576">
        <f>'Traffic Data'!AD56*annualizationFactor*'Traffic Data'!$H56</f>
        <v>1760960.7499999998</v>
      </c>
      <c r="AC288" s="576">
        <f>'Traffic Data'!AE56*annualizationFactor*'Traffic Data'!$H56</f>
        <v>1801358.95</v>
      </c>
      <c r="AD288" s="576">
        <f>'Traffic Data'!AF56*annualizationFactor*'Traffic Data'!$H56</f>
        <v>1841800.9499999995</v>
      </c>
      <c r="AE288" s="576">
        <f>'Traffic Data'!AG56*annualizationFactor*'Traffic Data'!$H56</f>
        <v>1882199.15</v>
      </c>
      <c r="AF288" s="576">
        <f>'Traffic Data'!AH56*annualizationFactor*'Traffic Data'!$H56</f>
        <v>1922597.3499999999</v>
      </c>
      <c r="AG288" s="714">
        <f>'Traffic Data'!AI56*annualizationFactor*'Traffic Data'!$H56</f>
        <v>1963094.0999999996</v>
      </c>
      <c r="AH288" s="5"/>
      <c r="AI288" s="5"/>
      <c r="AJ288" s="5"/>
      <c r="AK288" s="5"/>
      <c r="AL288" s="5"/>
      <c r="AM288" s="5"/>
      <c r="AN288" s="5"/>
    </row>
    <row r="289" spans="2:40" ht="21.95" customHeight="1" x14ac:dyDescent="0.2">
      <c r="B289" s="703"/>
      <c r="C289" s="579"/>
      <c r="D289" s="579"/>
      <c r="E289" s="277" t="s">
        <v>340</v>
      </c>
      <c r="F289" s="277" t="s">
        <v>335</v>
      </c>
      <c r="G289" s="277" t="s">
        <v>323</v>
      </c>
      <c r="H289" s="576">
        <f>'Traffic Data'!J57*annualizationFactor*'Traffic Data'!$H57</f>
        <v>0</v>
      </c>
      <c r="I289" s="576">
        <f>'Traffic Data'!K57*annualizationFactor*'Traffic Data'!$H57</f>
        <v>0</v>
      </c>
      <c r="J289" s="576">
        <f>'Traffic Data'!L57*annualizationFactor*'Traffic Data'!$H57</f>
        <v>0</v>
      </c>
      <c r="K289" s="576">
        <f>'Traffic Data'!M57*annualizationFactor*'Traffic Data'!$H57</f>
        <v>0</v>
      </c>
      <c r="L289" s="576">
        <f>'Traffic Data'!N57*annualizationFactor*'Traffic Data'!$H57</f>
        <v>0</v>
      </c>
      <c r="M289" s="576">
        <f>'Traffic Data'!O57*annualizationFactor*'Traffic Data'!$H57</f>
        <v>0</v>
      </c>
      <c r="N289" s="576">
        <f>'Traffic Data'!P57*annualizationFactor*'Traffic Data'!$H57</f>
        <v>0</v>
      </c>
      <c r="O289" s="576">
        <f>'Traffic Data'!Q57*annualizationFactor*'Traffic Data'!$H57</f>
        <v>0</v>
      </c>
      <c r="P289" s="576">
        <f>'Traffic Data'!R57*annualizationFactor*'Traffic Data'!$H57</f>
        <v>0</v>
      </c>
      <c r="Q289" s="576">
        <f>'Traffic Data'!S57*annualizationFactor*'Traffic Data'!$H57</f>
        <v>0</v>
      </c>
      <c r="R289" s="576">
        <f>'Traffic Data'!T57*annualizationFactor*'Traffic Data'!$H57</f>
        <v>0</v>
      </c>
      <c r="S289" s="576">
        <f>'Traffic Data'!U57*annualizationFactor*'Traffic Data'!$H57</f>
        <v>0</v>
      </c>
      <c r="T289" s="576">
        <f>'Traffic Data'!V57*annualizationFactor*'Traffic Data'!$H57</f>
        <v>0</v>
      </c>
      <c r="U289" s="576">
        <f>'Traffic Data'!W57*annualizationFactor*'Traffic Data'!$H57</f>
        <v>0</v>
      </c>
      <c r="V289" s="576">
        <f>'Traffic Data'!X57*annualizationFactor*'Traffic Data'!$H57</f>
        <v>0</v>
      </c>
      <c r="W289" s="576">
        <f>'Traffic Data'!Y57*annualizationFactor*'Traffic Data'!$H57</f>
        <v>0</v>
      </c>
      <c r="X289" s="576">
        <f>'Traffic Data'!Z57*annualizationFactor*'Traffic Data'!$H57</f>
        <v>0</v>
      </c>
      <c r="Y289" s="576">
        <f>'Traffic Data'!AA57*annualizationFactor*'Traffic Data'!$H57</f>
        <v>0</v>
      </c>
      <c r="Z289" s="576">
        <f>'Traffic Data'!AB57*annualizationFactor*'Traffic Data'!$H57</f>
        <v>0</v>
      </c>
      <c r="AA289" s="576">
        <f>'Traffic Data'!AC57*annualizationFactor*'Traffic Data'!$H57</f>
        <v>0</v>
      </c>
      <c r="AB289" s="576">
        <f>'Traffic Data'!AD57*annualizationFactor*'Traffic Data'!$H57</f>
        <v>0</v>
      </c>
      <c r="AC289" s="576">
        <f>'Traffic Data'!AE57*annualizationFactor*'Traffic Data'!$H57</f>
        <v>0</v>
      </c>
      <c r="AD289" s="576">
        <f>'Traffic Data'!AF57*annualizationFactor*'Traffic Data'!$H57</f>
        <v>0</v>
      </c>
      <c r="AE289" s="576">
        <f>'Traffic Data'!AG57*annualizationFactor*'Traffic Data'!$H57</f>
        <v>0</v>
      </c>
      <c r="AF289" s="576">
        <f>'Traffic Data'!AH57*annualizationFactor*'Traffic Data'!$H57</f>
        <v>0</v>
      </c>
      <c r="AG289" s="714">
        <f>'Traffic Data'!AI57*annualizationFactor*'Traffic Data'!$H57</f>
        <v>0</v>
      </c>
      <c r="AH289" s="5"/>
      <c r="AI289" s="5"/>
      <c r="AJ289" s="5"/>
      <c r="AK289" s="5"/>
      <c r="AL289" s="5"/>
      <c r="AM289" s="5"/>
      <c r="AN289" s="5"/>
    </row>
    <row r="290" spans="2:40" ht="21.95" customHeight="1" x14ac:dyDescent="0.2">
      <c r="B290" s="703"/>
      <c r="C290" s="579"/>
      <c r="D290" s="579"/>
      <c r="E290" s="277" t="s">
        <v>357</v>
      </c>
      <c r="F290" s="277" t="s">
        <v>338</v>
      </c>
      <c r="G290" s="277" t="s">
        <v>323</v>
      </c>
      <c r="H290" s="576">
        <f>'Traffic Data'!J58*annualizationFactor*'Traffic Data'!$H58</f>
        <v>1218436.3636363635</v>
      </c>
      <c r="I290" s="576">
        <f>'Traffic Data'!K58*annualizationFactor*'Traffic Data'!$H58</f>
        <v>1235166.1718181816</v>
      </c>
      <c r="J290" s="576">
        <f>'Traffic Data'!L58*annualizationFactor*'Traffic Data'!$H58</f>
        <v>1264083.7281818183</v>
      </c>
      <c r="K290" s="576">
        <f>'Traffic Data'!M58*annualizationFactor*'Traffic Data'!$H58</f>
        <v>1303784.4463636365</v>
      </c>
      <c r="L290" s="576">
        <f>'Traffic Data'!N58*annualizationFactor*'Traffic Data'!$H58</f>
        <v>1343502.0872727274</v>
      </c>
      <c r="M290" s="576">
        <f>'Traffic Data'!O58*annualizationFactor*'Traffic Data'!$H58</f>
        <v>1383277.2654545454</v>
      </c>
      <c r="N290" s="576">
        <f>'Traffic Data'!P58*annualizationFactor*'Traffic Data'!$H58</f>
        <v>1422977.9836363636</v>
      </c>
      <c r="O290" s="576">
        <f>'Traffic Data'!Q58*annualizationFactor*'Traffic Data'!$H58</f>
        <v>1462817.4681818183</v>
      </c>
      <c r="P290" s="576">
        <f>'Traffic Data'!R58*annualizationFactor*'Traffic Data'!$H58</f>
        <v>1490445.5127272729</v>
      </c>
      <c r="Q290" s="576">
        <f>'Traffic Data'!S58*annualizationFactor*'Traffic Data'!$H58</f>
        <v>1518076.9418181817</v>
      </c>
      <c r="R290" s="576">
        <f>'Traffic Data'!T58*annualizationFactor*'Traffic Data'!$H58</f>
        <v>1545711.7554545454</v>
      </c>
      <c r="S290" s="576">
        <f>'Traffic Data'!U58*annualizationFactor*'Traffic Data'!$H58</f>
        <v>1573339.8000000003</v>
      </c>
      <c r="T290" s="576">
        <f>'Traffic Data'!V58*annualizationFactor*'Traffic Data'!$H58</f>
        <v>1601164.148181818</v>
      </c>
      <c r="U290" s="576">
        <f>'Traffic Data'!W58*annualizationFactor*'Traffic Data'!$H58</f>
        <v>1617893.9563636363</v>
      </c>
      <c r="V290" s="576">
        <f>'Traffic Data'!X58*annualizationFactor*'Traffic Data'!$H58</f>
        <v>1634623.7645454542</v>
      </c>
      <c r="W290" s="576">
        <f>'Traffic Data'!Y58*annualizationFactor*'Traffic Data'!$H58</f>
        <v>1651353.572727273</v>
      </c>
      <c r="X290" s="576">
        <f>'Traffic Data'!Z58*annualizationFactor*'Traffic Data'!$H58</f>
        <v>1668083.3809090904</v>
      </c>
      <c r="Y290" s="576">
        <f>'Traffic Data'!AA58*annualizationFactor*'Traffic Data'!$H58</f>
        <v>1684928.2636363637</v>
      </c>
      <c r="Z290" s="576">
        <f>'Traffic Data'!AB58*annualizationFactor*'Traffic Data'!$H58</f>
        <v>1701658.0718181818</v>
      </c>
      <c r="AA290" s="576">
        <f>'Traffic Data'!AC58*annualizationFactor*'Traffic Data'!$H58</f>
        <v>1718452.1863636365</v>
      </c>
      <c r="AB290" s="576">
        <f>'Traffic Data'!AD58*annualizationFactor*'Traffic Data'!$H58</f>
        <v>1735181.9945454544</v>
      </c>
      <c r="AC290" s="576">
        <f>'Traffic Data'!AE58*annualizationFactor*'Traffic Data'!$H58</f>
        <v>1751911.802727273</v>
      </c>
      <c r="AD290" s="576">
        <f>'Traffic Data'!AF58*annualizationFactor*'Traffic Data'!$H58</f>
        <v>1768756.6854545455</v>
      </c>
      <c r="AE290" s="576">
        <f>'Traffic Data'!AG58*annualizationFactor*'Traffic Data'!$H58</f>
        <v>1785486.4936363639</v>
      </c>
      <c r="AF290" s="576">
        <f>'Traffic Data'!AH58*annualizationFactor*'Traffic Data'!$H58</f>
        <v>1802216.3018181818</v>
      </c>
      <c r="AG290" s="714">
        <f>'Traffic Data'!AI58*annualizationFactor*'Traffic Data'!$H58</f>
        <v>1819010.4163636363</v>
      </c>
      <c r="AH290" s="5"/>
      <c r="AI290" s="5"/>
      <c r="AJ290" s="5"/>
      <c r="AK290" s="5"/>
      <c r="AL290" s="5"/>
      <c r="AM290" s="5"/>
      <c r="AN290" s="5"/>
    </row>
    <row r="291" spans="2:40" ht="21.95" customHeight="1" x14ac:dyDescent="0.2">
      <c r="B291" s="703"/>
      <c r="C291" s="579"/>
      <c r="D291" s="579"/>
      <c r="E291" s="116" t="s">
        <v>338</v>
      </c>
      <c r="F291" s="116" t="s">
        <v>282</v>
      </c>
      <c r="G291" s="116" t="s">
        <v>357</v>
      </c>
      <c r="H291" s="576">
        <f>'Traffic Data'!J59*annualizationFactor*'Traffic Data'!$H59</f>
        <v>4375852.2727272734</v>
      </c>
      <c r="I291" s="576">
        <f>'Traffic Data'!K59*annualizationFactor*'Traffic Data'!$H59</f>
        <v>4501994.9661931833</v>
      </c>
      <c r="J291" s="576">
        <f>'Traffic Data'!L59*annualizationFactor*'Traffic Data'!$H59</f>
        <v>4638530.3088068189</v>
      </c>
      <c r="K291" s="576">
        <f>'Traffic Data'!M59*annualizationFactor*'Traffic Data'!$H59</f>
        <v>4819668.7136363639</v>
      </c>
      <c r="L291" s="576">
        <f>'Traffic Data'!N59*annualizationFactor*'Traffic Data'!$H59</f>
        <v>5000837.7494318178</v>
      </c>
      <c r="M291" s="576">
        <f>'Traffic Data'!O59*annualizationFactor*'Traffic Data'!$H59</f>
        <v>5182081.1747159092</v>
      </c>
      <c r="N291" s="576">
        <f>'Traffic Data'!P59*annualizationFactor*'Traffic Data'!$H59</f>
        <v>5363219.579545456</v>
      </c>
      <c r="O291" s="576">
        <f>'Traffic Data'!Q59*annualizationFactor*'Traffic Data'!$H59</f>
        <v>5544406.1187500013</v>
      </c>
      <c r="P291" s="576">
        <f>'Traffic Data'!R59*annualizationFactor*'Traffic Data'!$H59</f>
        <v>5743778.7000000011</v>
      </c>
      <c r="Q291" s="576">
        <f>'Traffic Data'!S59*annualizationFactor*'Traffic Data'!$H59</f>
        <v>5943085.6434659092</v>
      </c>
      <c r="R291" s="576">
        <f>'Traffic Data'!T59*annualizationFactor*'Traffic Data'!$H59</f>
        <v>6142458.224715909</v>
      </c>
      <c r="S291" s="576">
        <f>'Traffic Data'!U59*annualizationFactor*'Traffic Data'!$H59</f>
        <v>6341830.8059659088</v>
      </c>
      <c r="T291" s="576">
        <f>'Traffic Data'!V59*annualizationFactor*'Traffic Data'!$H59</f>
        <v>6541317.1593750017</v>
      </c>
      <c r="U291" s="576">
        <f>'Traffic Data'!W59*annualizationFactor*'Traffic Data'!$H59</f>
        <v>6696069.1750000007</v>
      </c>
      <c r="V291" s="576">
        <f>'Traffic Data'!X59*annualizationFactor*'Traffic Data'!$H59</f>
        <v>6822211.8684659088</v>
      </c>
      <c r="W291" s="576">
        <f>'Traffic Data'!Y59*annualizationFactor*'Traffic Data'!$H59</f>
        <v>6948354.5619318197</v>
      </c>
      <c r="X291" s="576">
        <f>'Traffic Data'!Z59*annualizationFactor*'Traffic Data'!$H59</f>
        <v>7074497.2553977277</v>
      </c>
      <c r="Y291" s="576">
        <f>'Traffic Data'!AA59*annualizationFactor*'Traffic Data'!$H59</f>
        <v>7200626.8213068182</v>
      </c>
      <c r="Z291" s="576">
        <f>'Traffic Data'!AB59*annualizationFactor*'Traffic Data'!$H59</f>
        <v>7326769.5147727262</v>
      </c>
      <c r="AA291" s="576">
        <f>'Traffic Data'!AC59*annualizationFactor*'Traffic Data'!$H59</f>
        <v>7452899.0806818157</v>
      </c>
      <c r="AB291" s="576">
        <f>'Traffic Data'!AD59*annualizationFactor*'Traffic Data'!$H59</f>
        <v>7579041.7741477294</v>
      </c>
      <c r="AC291" s="576">
        <f>'Traffic Data'!AE59*annualizationFactor*'Traffic Data'!$H59</f>
        <v>7705184.4676136374</v>
      </c>
      <c r="AD291" s="576">
        <f>'Traffic Data'!AF59*annualizationFactor*'Traffic Data'!$H59</f>
        <v>7831314.0335227288</v>
      </c>
      <c r="AE291" s="576">
        <f>'Traffic Data'!AG59*annualizationFactor*'Traffic Data'!$H59</f>
        <v>7957456.7269886369</v>
      </c>
      <c r="AF291" s="576">
        <f>'Traffic Data'!AH59*annualizationFactor*'Traffic Data'!$H59</f>
        <v>8083599.4204545459</v>
      </c>
      <c r="AG291" s="714">
        <f>'Traffic Data'!AI59*annualizationFactor*'Traffic Data'!$H59</f>
        <v>8209728.9863636373</v>
      </c>
      <c r="AH291" s="5"/>
      <c r="AI291" s="5"/>
      <c r="AJ291" s="5"/>
      <c r="AK291" s="5"/>
      <c r="AL291" s="5"/>
      <c r="AM291" s="5"/>
      <c r="AN291" s="5"/>
    </row>
    <row r="292" spans="2:40" ht="21.95" customHeight="1" x14ac:dyDescent="0.2">
      <c r="B292" s="703"/>
      <c r="C292" s="579"/>
      <c r="D292" s="579"/>
      <c r="E292" s="116"/>
      <c r="F292" s="116" t="s">
        <v>357</v>
      </c>
      <c r="G292" s="116" t="s">
        <v>346</v>
      </c>
      <c r="H292" s="576">
        <f>'Traffic Data'!J60*annualizationFactor*'Traffic Data'!$H60</f>
        <v>637284.46969696973</v>
      </c>
      <c r="I292" s="576">
        <f>'Traffic Data'!K60*annualizationFactor*'Traffic Data'!$H60</f>
        <v>655371.60918560601</v>
      </c>
      <c r="J292" s="576">
        <f>'Traffic Data'!L60*annualizationFactor*'Traffic Data'!$H60</f>
        <v>675443.55438446964</v>
      </c>
      <c r="K292" s="576">
        <f>'Traffic Data'!M60*annualizationFactor*'Traffic Data'!$H60</f>
        <v>703616.55913825752</v>
      </c>
      <c r="L292" s="576">
        <f>'Traffic Data'!N60*annualizationFactor*'Traffic Data'!$H60</f>
        <v>731794.59508522728</v>
      </c>
      <c r="M292" s="576">
        <f>'Traffic Data'!O60*annualizationFactor*'Traffic Data'!$H60</f>
        <v>759978.50075757562</v>
      </c>
      <c r="N292" s="576">
        <f>'Traffic Data'!P60*annualizationFactor*'Traffic Data'!$H60</f>
        <v>788151.50551136374</v>
      </c>
      <c r="O292" s="576">
        <f>'Traffic Data'!Q60*annualizationFactor*'Traffic Data'!$H60</f>
        <v>816326.1873295455</v>
      </c>
      <c r="P292" s="576">
        <f>'Traffic Data'!R60*annualizationFactor*'Traffic Data'!$H60</f>
        <v>847993.35574810626</v>
      </c>
      <c r="Q292" s="576">
        <f>'Traffic Data'!S60*annualizationFactor*'Traffic Data'!$H60</f>
        <v>879649.62324810599</v>
      </c>
      <c r="R292" s="576">
        <f>'Traffic Data'!T60*annualizationFactor*'Traffic Data'!$H60</f>
        <v>911316.79166666651</v>
      </c>
      <c r="S292" s="576">
        <f>'Traffic Data'!U60*annualizationFactor*'Traffic Data'!$H60</f>
        <v>942983.96008522704</v>
      </c>
      <c r="T292" s="576">
        <f>'Traffic Data'!V60*annualizationFactor*'Traffic Data'!$H60</f>
        <v>974656.15969696979</v>
      </c>
      <c r="U292" s="576">
        <f>'Traffic Data'!W60*annualizationFactor*'Traffic Data'!$H60</f>
        <v>998225.62268939381</v>
      </c>
      <c r="V292" s="576">
        <f>'Traffic Data'!X60*annualizationFactor*'Traffic Data'!$H60</f>
        <v>1016312.7621780302</v>
      </c>
      <c r="W292" s="576">
        <f>'Traffic Data'!Y60*annualizationFactor*'Traffic Data'!$H60</f>
        <v>1034399.9016666666</v>
      </c>
      <c r="X292" s="576">
        <f>'Traffic Data'!Z60*annualizationFactor*'Traffic Data'!$H60</f>
        <v>1052487.0411553029</v>
      </c>
      <c r="Y292" s="576">
        <f>'Traffic Data'!AA60*annualizationFactor*'Traffic Data'!$H60</f>
        <v>1070564.9567897725</v>
      </c>
      <c r="Z292" s="576">
        <f>'Traffic Data'!AB60*annualizationFactor*'Traffic Data'!$H60</f>
        <v>1088652.096278409</v>
      </c>
      <c r="AA292" s="576">
        <f>'Traffic Data'!AC60*annualizationFactor*'Traffic Data'!$H60</f>
        <v>1106730.0119128788</v>
      </c>
      <c r="AB292" s="576">
        <f>'Traffic Data'!AD60*annualizationFactor*'Traffic Data'!$H60</f>
        <v>1124817.1514015151</v>
      </c>
      <c r="AC292" s="576">
        <f>'Traffic Data'!AE60*annualizationFactor*'Traffic Data'!$H60</f>
        <v>1142904.2908901514</v>
      </c>
      <c r="AD292" s="576">
        <f>'Traffic Data'!AF60*annualizationFactor*'Traffic Data'!$H60</f>
        <v>1160982.206524621</v>
      </c>
      <c r="AE292" s="576">
        <f>'Traffic Data'!AG60*annualizationFactor*'Traffic Data'!$H60</f>
        <v>1179069.3460132575</v>
      </c>
      <c r="AF292" s="576">
        <f>'Traffic Data'!AH60*annualizationFactor*'Traffic Data'!$H60</f>
        <v>1197156.4855018938</v>
      </c>
      <c r="AG292" s="714">
        <f>'Traffic Data'!AI60*annualizationFactor*'Traffic Data'!$H60</f>
        <v>1215234.4011363634</v>
      </c>
      <c r="AH292" s="5"/>
      <c r="AI292" s="5"/>
      <c r="AJ292" s="5"/>
      <c r="AK292" s="5"/>
      <c r="AL292" s="5"/>
      <c r="AM292" s="5"/>
      <c r="AN292" s="5"/>
    </row>
    <row r="293" spans="2:40" ht="21.95" customHeight="1" x14ac:dyDescent="0.2">
      <c r="B293" s="703"/>
      <c r="C293" s="579"/>
      <c r="D293" s="579"/>
      <c r="E293" s="116"/>
      <c r="F293" s="116" t="s">
        <v>346</v>
      </c>
      <c r="G293" s="116" t="s">
        <v>343</v>
      </c>
      <c r="H293" s="576">
        <f>'Traffic Data'!J61*annualizationFactor*'Traffic Data'!$H61</f>
        <v>157613.63636363635</v>
      </c>
      <c r="I293" s="576">
        <f>'Traffic Data'!K61*annualizationFactor*'Traffic Data'!$H61</f>
        <v>162086.96022727274</v>
      </c>
      <c r="J293" s="576">
        <f>'Traffic Data'!L61*annualizationFactor*'Traffic Data'!$H61</f>
        <v>167051.16761363635</v>
      </c>
      <c r="K293" s="576">
        <f>'Traffic Data'!M61*annualizationFactor*'Traffic Data'!$H61</f>
        <v>174018.93465909088</v>
      </c>
      <c r="L293" s="576">
        <f>'Traffic Data'!N61*annualizationFactor*'Traffic Data'!$H61</f>
        <v>180987.94602272726</v>
      </c>
      <c r="M293" s="576">
        <f>'Traffic Data'!O61*annualizationFactor*'Traffic Data'!$H61</f>
        <v>187958.40909090906</v>
      </c>
      <c r="N293" s="576">
        <f>'Traffic Data'!P61*annualizationFactor*'Traffic Data'!$H61</f>
        <v>194926.17613636365</v>
      </c>
      <c r="O293" s="576">
        <f>'Traffic Data'!Q61*annualizationFactor*'Traffic Data'!$H61</f>
        <v>201894.35795454547</v>
      </c>
      <c r="P293" s="576">
        <f>'Traffic Data'!R61*annualizationFactor*'Traffic Data'!$H61</f>
        <v>209726.30397727276</v>
      </c>
      <c r="Q293" s="576">
        <f>'Traffic Data'!S61*annualizationFactor*'Traffic Data'!$H61</f>
        <v>217555.55397727271</v>
      </c>
      <c r="R293" s="576">
        <f>'Traffic Data'!T61*annualizationFactor*'Traffic Data'!$H61</f>
        <v>225387.49999999997</v>
      </c>
      <c r="S293" s="576">
        <f>'Traffic Data'!U61*annualizationFactor*'Traffic Data'!$H61</f>
        <v>233219.44602272721</v>
      </c>
      <c r="T293" s="576">
        <f>'Traffic Data'!V61*annualizationFactor*'Traffic Data'!$H61</f>
        <v>241052.63636363638</v>
      </c>
      <c r="U293" s="576">
        <f>'Traffic Data'!W61*annualizationFactor*'Traffic Data'!$H61</f>
        <v>246881.85227272724</v>
      </c>
      <c r="V293" s="576">
        <f>'Traffic Data'!X61*annualizationFactor*'Traffic Data'!$H61</f>
        <v>251355.17613636362</v>
      </c>
      <c r="W293" s="576">
        <f>'Traffic Data'!Y61*annualizationFactor*'Traffic Data'!$H61</f>
        <v>255828.49999999997</v>
      </c>
      <c r="X293" s="576">
        <f>'Traffic Data'!Z61*annualizationFactor*'Traffic Data'!$H61</f>
        <v>260301.82386363632</v>
      </c>
      <c r="Y293" s="576">
        <f>'Traffic Data'!AA61*annualizationFactor*'Traffic Data'!$H61</f>
        <v>264772.86647727265</v>
      </c>
      <c r="Z293" s="576">
        <f>'Traffic Data'!AB61*annualizationFactor*'Traffic Data'!$H61</f>
        <v>269246.19034090906</v>
      </c>
      <c r="AA293" s="576">
        <f>'Traffic Data'!AC61*annualizationFactor*'Traffic Data'!$H61</f>
        <v>273717.23295454541</v>
      </c>
      <c r="AB293" s="576">
        <f>'Traffic Data'!AD61*annualizationFactor*'Traffic Data'!$H61</f>
        <v>278190.55681818182</v>
      </c>
      <c r="AC293" s="576">
        <f>'Traffic Data'!AE61*annualizationFactor*'Traffic Data'!$H61</f>
        <v>282663.88068181818</v>
      </c>
      <c r="AD293" s="576">
        <f>'Traffic Data'!AF61*annualizationFactor*'Traffic Data'!$H61</f>
        <v>287134.92329545453</v>
      </c>
      <c r="AE293" s="576">
        <f>'Traffic Data'!AG61*annualizationFactor*'Traffic Data'!$H61</f>
        <v>291608.24715909088</v>
      </c>
      <c r="AF293" s="576">
        <f>'Traffic Data'!AH61*annualizationFactor*'Traffic Data'!$H61</f>
        <v>296081.57102272724</v>
      </c>
      <c r="AG293" s="714">
        <f>'Traffic Data'!AI61*annualizationFactor*'Traffic Data'!$H61</f>
        <v>300552.61363636359</v>
      </c>
      <c r="AH293" s="5"/>
      <c r="AI293" s="5"/>
      <c r="AJ293" s="5"/>
      <c r="AK293" s="5"/>
      <c r="AL293" s="5"/>
      <c r="AM293" s="5"/>
      <c r="AN293" s="5"/>
    </row>
    <row r="294" spans="2:40" ht="21.95" customHeight="1" x14ac:dyDescent="0.2">
      <c r="B294" s="703"/>
      <c r="C294" s="579"/>
      <c r="D294" s="579"/>
      <c r="E294" s="116"/>
      <c r="F294" s="116" t="s">
        <v>343</v>
      </c>
      <c r="G294" s="116" t="s">
        <v>350</v>
      </c>
      <c r="H294" s="576">
        <f>'Traffic Data'!J62*annualizationFactor*'Traffic Data'!$H62</f>
        <v>404403.40909090912</v>
      </c>
      <c r="I294" s="576">
        <f>'Traffic Data'!K62*annualizationFactor*'Traffic Data'!$H62</f>
        <v>415870.94176136365</v>
      </c>
      <c r="J294" s="576">
        <f>'Traffic Data'!L62*annualizationFactor*'Traffic Data'!$H62</f>
        <v>428937.88991477271</v>
      </c>
      <c r="K294" s="576">
        <f>'Traffic Data'!M62*annualizationFactor*'Traffic Data'!$H62</f>
        <v>445634.35866477276</v>
      </c>
      <c r="L294" s="576">
        <f>'Traffic Data'!N62*annualizationFactor*'Traffic Data'!$H62</f>
        <v>462336.21946022724</v>
      </c>
      <c r="M294" s="576">
        <f>'Traffic Data'!O62*annualizationFactor*'Traffic Data'!$H62</f>
        <v>479035.38423295476</v>
      </c>
      <c r="N294" s="576">
        <f>'Traffic Data'!P62*annualizationFactor*'Traffic Data'!$H62</f>
        <v>495731.85298295465</v>
      </c>
      <c r="O294" s="576">
        <f>'Traffic Data'!Q62*annualizationFactor*'Traffic Data'!$H62</f>
        <v>512431.69176136376</v>
      </c>
      <c r="P294" s="576">
        <f>'Traffic Data'!R62*annualizationFactor*'Traffic Data'!$H62</f>
        <v>531306.546875</v>
      </c>
      <c r="Q294" s="576">
        <f>'Traffic Data'!S62*annualizationFactor*'Traffic Data'!$H62</f>
        <v>550180.72798295459</v>
      </c>
      <c r="R294" s="576">
        <f>'Traffic Data'!T62*annualizationFactor*'Traffic Data'!$H62</f>
        <v>569052.88707386365</v>
      </c>
      <c r="S294" s="576">
        <f>'Traffic Data'!U62*annualizationFactor*'Traffic Data'!$H62</f>
        <v>587927.74218750012</v>
      </c>
      <c r="T294" s="576">
        <f>'Traffic Data'!V62*annualizationFactor*'Traffic Data'!$H62</f>
        <v>606805.96732954541</v>
      </c>
      <c r="U294" s="576">
        <f>'Traffic Data'!W62*annualizationFactor*'Traffic Data'!$H62</f>
        <v>622050.62784090906</v>
      </c>
      <c r="V294" s="576">
        <f>'Traffic Data'!X62*annualizationFactor*'Traffic Data'!$H62</f>
        <v>633518.16051136376</v>
      </c>
      <c r="W294" s="576">
        <f>'Traffic Data'!Y62*annualizationFactor*'Traffic Data'!$H62</f>
        <v>644985.69318181835</v>
      </c>
      <c r="X294" s="576">
        <f>'Traffic Data'!Z62*annualizationFactor*'Traffic Data'!$H62</f>
        <v>656453.22585227282</v>
      </c>
      <c r="Y294" s="576">
        <f>'Traffic Data'!AA62*annualizationFactor*'Traffic Data'!$H62</f>
        <v>667917.38849431835</v>
      </c>
      <c r="Z294" s="576">
        <f>'Traffic Data'!AB62*annualizationFactor*'Traffic Data'!$H62</f>
        <v>679384.92116477259</v>
      </c>
      <c r="AA294" s="576">
        <f>'Traffic Data'!AC62*annualizationFactor*'Traffic Data'!$H62</f>
        <v>690849.083806818</v>
      </c>
      <c r="AB294" s="576">
        <f>'Traffic Data'!AD62*annualizationFactor*'Traffic Data'!$H62</f>
        <v>702316.61647727259</v>
      </c>
      <c r="AC294" s="576">
        <f>'Traffic Data'!AE62*annualizationFactor*'Traffic Data'!$H62</f>
        <v>713784.14914772718</v>
      </c>
      <c r="AD294" s="576">
        <f>'Traffic Data'!AF62*annualizationFactor*'Traffic Data'!$H62</f>
        <v>725248.31178977247</v>
      </c>
      <c r="AE294" s="576">
        <f>'Traffic Data'!AG62*annualizationFactor*'Traffic Data'!$H62</f>
        <v>736715.84446022718</v>
      </c>
      <c r="AF294" s="576">
        <f>'Traffic Data'!AH62*annualizationFactor*'Traffic Data'!$H62</f>
        <v>748183.37713068165</v>
      </c>
      <c r="AG294" s="714">
        <f>'Traffic Data'!AI62*annualizationFactor*'Traffic Data'!$H62</f>
        <v>759647.53977272718</v>
      </c>
      <c r="AH294" s="5"/>
      <c r="AI294" s="5"/>
      <c r="AJ294" s="5"/>
      <c r="AK294" s="5"/>
      <c r="AL294" s="5"/>
      <c r="AM294" s="5"/>
      <c r="AN294" s="5"/>
    </row>
    <row r="295" spans="2:40" ht="21.95" customHeight="1" x14ac:dyDescent="0.2">
      <c r="B295" s="703"/>
      <c r="C295" s="579"/>
      <c r="D295" s="579"/>
      <c r="E295" s="116"/>
      <c r="F295" s="116" t="s">
        <v>350</v>
      </c>
      <c r="G295" s="116" t="s">
        <v>280</v>
      </c>
      <c r="H295" s="576">
        <f>'Traffic Data'!J63*annualizationFactor*'Traffic Data'!$H63</f>
        <v>3357585.2272727275</v>
      </c>
      <c r="I295" s="576">
        <f>'Traffic Data'!K63*annualizationFactor*'Traffic Data'!$H63</f>
        <v>3452795.1523674247</v>
      </c>
      <c r="J295" s="576">
        <f>'Traffic Data'!L63*annualizationFactor*'Traffic Data'!$H63</f>
        <v>3561284.327035985</v>
      </c>
      <c r="K295" s="576">
        <f>'Traffic Data'!M63*annualizationFactor*'Traffic Data'!$H63</f>
        <v>3699907.8291193186</v>
      </c>
      <c r="L295" s="576">
        <f>'Traffic Data'!N63*annualizationFactor*'Traffic Data'!$H63</f>
        <v>3838576.0990056815</v>
      </c>
      <c r="M295" s="576">
        <f>'Traffic Data'!O63*annualizationFactor*'Traffic Data'!$H63</f>
        <v>3977221.984990532</v>
      </c>
      <c r="N295" s="576">
        <f>'Traffic Data'!P63*annualizationFactor*'Traffic Data'!$H63</f>
        <v>4115845.4870738643</v>
      </c>
      <c r="O295" s="576">
        <f>'Traffic Data'!Q63*annualizationFactor*'Traffic Data'!$H63</f>
        <v>4254496.9690340925</v>
      </c>
      <c r="P295" s="576">
        <f>'Traffic Data'!R63*annualizationFactor*'Traffic Data'!$H63</f>
        <v>4411206.6635416662</v>
      </c>
      <c r="Q295" s="576">
        <f>'Traffic Data'!S63*annualizationFactor*'Traffic Data'!$H63</f>
        <v>4567910.7620738642</v>
      </c>
      <c r="R295" s="576">
        <f>'Traffic Data'!T63*annualizationFactor*'Traffic Data'!$H63</f>
        <v>4724598.0726799248</v>
      </c>
      <c r="S295" s="576">
        <f>'Traffic Data'!U63*annualizationFactor*'Traffic Data'!$H63</f>
        <v>4881307.7671875013</v>
      </c>
      <c r="T295" s="576">
        <f>'Traffic Data'!V63*annualizationFactor*'Traffic Data'!$H63</f>
        <v>5038045.4415719695</v>
      </c>
      <c r="U295" s="576">
        <f>'Traffic Data'!W63*annualizationFactor*'Traffic Data'!$H63</f>
        <v>5164615.2126893941</v>
      </c>
      <c r="V295" s="576">
        <f>'Traffic Data'!X63*annualizationFactor*'Traffic Data'!$H63</f>
        <v>5259825.1377840918</v>
      </c>
      <c r="W295" s="576">
        <f>'Traffic Data'!Y63*annualizationFactor*'Traffic Data'!$H63</f>
        <v>5355035.0628787894</v>
      </c>
      <c r="X295" s="576">
        <f>'Traffic Data'!Z63*annualizationFactor*'Traffic Data'!$H63</f>
        <v>5450244.9879734861</v>
      </c>
      <c r="Y295" s="576">
        <f>'Traffic Data'!AA63*annualizationFactor*'Traffic Data'!$H63</f>
        <v>5545426.9331912892</v>
      </c>
      <c r="Z295" s="576">
        <f>'Traffic Data'!AB63*annualizationFactor*'Traffic Data'!$H63</f>
        <v>5640636.8582859831</v>
      </c>
      <c r="AA295" s="576">
        <f>'Traffic Data'!AC63*annualizationFactor*'Traffic Data'!$H63</f>
        <v>5735818.8035037862</v>
      </c>
      <c r="AB295" s="576">
        <f>'Traffic Data'!AD63*annualizationFactor*'Traffic Data'!$H63</f>
        <v>5831028.7285984838</v>
      </c>
      <c r="AC295" s="576">
        <f>'Traffic Data'!AE63*annualizationFactor*'Traffic Data'!$H63</f>
        <v>5926238.6536931805</v>
      </c>
      <c r="AD295" s="576">
        <f>'Traffic Data'!AF63*annualizationFactor*'Traffic Data'!$H63</f>
        <v>6021420.5989109837</v>
      </c>
      <c r="AE295" s="576">
        <f>'Traffic Data'!AG63*annualizationFactor*'Traffic Data'!$H63</f>
        <v>6116630.5240056813</v>
      </c>
      <c r="AF295" s="576">
        <f>'Traffic Data'!AH63*annualizationFactor*'Traffic Data'!$H63</f>
        <v>6211840.449100378</v>
      </c>
      <c r="AG295" s="714">
        <f>'Traffic Data'!AI63*annualizationFactor*'Traffic Data'!$H63</f>
        <v>6307022.3943181811</v>
      </c>
      <c r="AH295" s="5"/>
      <c r="AI295" s="5"/>
      <c r="AJ295" s="5"/>
      <c r="AK295" s="5"/>
      <c r="AL295" s="5"/>
      <c r="AM295" s="5"/>
      <c r="AN295" s="5"/>
    </row>
    <row r="296" spans="2:40" ht="21.95" customHeight="1" thickBot="1" x14ac:dyDescent="0.25">
      <c r="B296" s="705"/>
      <c r="C296" s="715"/>
      <c r="D296" s="579"/>
      <c r="E296" s="278"/>
      <c r="F296" s="278" t="s">
        <v>280</v>
      </c>
      <c r="G296" s="278" t="s">
        <v>333</v>
      </c>
      <c r="H296" s="576">
        <f>'Traffic Data'!J64*annualizationFactor*'Traffic Data'!$H64</f>
        <v>82954.545454545456</v>
      </c>
      <c r="I296" s="576">
        <f>'Traffic Data'!K64*annualizationFactor*'Traffic Data'!$H64</f>
        <v>85306.859848484863</v>
      </c>
      <c r="J296" s="576">
        <f>'Traffic Data'!L64*annualizationFactor*'Traffic Data'!$H64</f>
        <v>87987.259469696961</v>
      </c>
      <c r="K296" s="576">
        <f>'Traffic Data'!M64*annualizationFactor*'Traffic Data'!$H64</f>
        <v>91412.176136363647</v>
      </c>
      <c r="L296" s="576">
        <f>'Traffic Data'!N64*annualizationFactor*'Traffic Data'!$H64</f>
        <v>94838.198863636368</v>
      </c>
      <c r="M296" s="576">
        <f>'Traffic Data'!O64*annualizationFactor*'Traffic Data'!$H64</f>
        <v>98263.668560606107</v>
      </c>
      <c r="N296" s="576">
        <f>'Traffic Data'!P64*annualizationFactor*'Traffic Data'!$H64</f>
        <v>101688.58522727275</v>
      </c>
      <c r="O296" s="576">
        <f>'Traffic Data'!Q64*annualizationFactor*'Traffic Data'!$H64</f>
        <v>105114.19318181822</v>
      </c>
      <c r="P296" s="576">
        <f>'Traffic Data'!R64*annualizationFactor*'Traffic Data'!$H64</f>
        <v>108985.95833333333</v>
      </c>
      <c r="Q296" s="576">
        <f>'Traffic Data'!S64*annualizationFactor*'Traffic Data'!$H64</f>
        <v>112857.58522727274</v>
      </c>
      <c r="R296" s="576">
        <f>'Traffic Data'!T64*annualizationFactor*'Traffic Data'!$H64</f>
        <v>116728.79734848486</v>
      </c>
      <c r="S296" s="576">
        <f>'Traffic Data'!U64*annualizationFactor*'Traffic Data'!$H64</f>
        <v>120600.56250000004</v>
      </c>
      <c r="T296" s="576">
        <f>'Traffic Data'!V64*annualizationFactor*'Traffic Data'!$H64</f>
        <v>124473.01893939395</v>
      </c>
      <c r="U296" s="576">
        <f>'Traffic Data'!W64*annualizationFactor*'Traffic Data'!$H64</f>
        <v>127600.1287878788</v>
      </c>
      <c r="V296" s="576">
        <f>'Traffic Data'!X64*annualizationFactor*'Traffic Data'!$H64</f>
        <v>129952.44318181821</v>
      </c>
      <c r="W296" s="576">
        <f>'Traffic Data'!Y64*annualizationFactor*'Traffic Data'!$H64</f>
        <v>132304.75757575763</v>
      </c>
      <c r="X296" s="576">
        <f>'Traffic Data'!Z64*annualizationFactor*'Traffic Data'!$H64</f>
        <v>134657.07196969702</v>
      </c>
      <c r="Y296" s="576">
        <f>'Traffic Data'!AA64*annualizationFactor*'Traffic Data'!$H64</f>
        <v>137008.6950757576</v>
      </c>
      <c r="Z296" s="576">
        <f>'Traffic Data'!AB64*annualizationFactor*'Traffic Data'!$H64</f>
        <v>139361.00946969696</v>
      </c>
      <c r="AA296" s="576">
        <f>'Traffic Data'!AC64*annualizationFactor*'Traffic Data'!$H64</f>
        <v>141712.63257575754</v>
      </c>
      <c r="AB296" s="576">
        <f>'Traffic Data'!AD64*annualizationFactor*'Traffic Data'!$H64</f>
        <v>144064.94696969693</v>
      </c>
      <c r="AC296" s="576">
        <f>'Traffic Data'!AE64*annualizationFactor*'Traffic Data'!$H64</f>
        <v>146417.26136363635</v>
      </c>
      <c r="AD296" s="576">
        <f>'Traffic Data'!AF64*annualizationFactor*'Traffic Data'!$H64</f>
        <v>148768.88446969693</v>
      </c>
      <c r="AE296" s="576">
        <f>'Traffic Data'!AG64*annualizationFactor*'Traffic Data'!$H64</f>
        <v>151121.19886363635</v>
      </c>
      <c r="AF296" s="576">
        <f>'Traffic Data'!AH64*annualizationFactor*'Traffic Data'!$H64</f>
        <v>153473.51325757575</v>
      </c>
      <c r="AG296" s="714">
        <f>'Traffic Data'!AI64*annualizationFactor*'Traffic Data'!$H64</f>
        <v>155825.13636363632</v>
      </c>
      <c r="AH296" s="5"/>
      <c r="AI296" s="5"/>
      <c r="AJ296" s="5"/>
      <c r="AK296" s="5"/>
      <c r="AL296" s="5"/>
      <c r="AM296" s="5"/>
      <c r="AN296" s="5"/>
    </row>
    <row r="297" spans="2:40" ht="21.95" customHeight="1" x14ac:dyDescent="0.2">
      <c r="B297" s="184"/>
      <c r="C297" s="124"/>
      <c r="D297" s="124"/>
      <c r="E297" s="125" t="s">
        <v>25</v>
      </c>
      <c r="F297" s="125"/>
      <c r="G297" s="125"/>
      <c r="H297" s="716">
        <f>SUM(H268:H296)</f>
        <v>103065724.6969697</v>
      </c>
      <c r="I297" s="716">
        <f t="shared" ref="I297" si="169">SUM(I268:I296)</f>
        <v>106401781.17569697</v>
      </c>
      <c r="J297" s="716">
        <f t="shared" ref="J297" si="170">SUM(J268:J296)</f>
        <v>112252796.26390719</v>
      </c>
      <c r="K297" s="716">
        <f t="shared" ref="K297" si="171">SUM(K268:K296)</f>
        <v>121454049.47185417</v>
      </c>
      <c r="L297" s="716">
        <f>SUM(L268:L296)</f>
        <v>130659502.75139208</v>
      </c>
      <c r="M297" s="716">
        <f t="shared" ref="M297" si="172">SUM(M268:M296)</f>
        <v>139865163.10607576</v>
      </c>
      <c r="N297" s="716">
        <f t="shared" ref="N297" si="173">SUM(N268:N296)</f>
        <v>149066416.31402275</v>
      </c>
      <c r="O297" s="716">
        <f t="shared" ref="O297" si="174">SUM(O268:O296)</f>
        <v>158276137.88669318</v>
      </c>
      <c r="P297" s="716">
        <f t="shared" ref="P297" si="175">SUM(P268:P296)</f>
        <v>166931176.75031626</v>
      </c>
      <c r="Q297" s="716">
        <f t="shared" ref="Q297" si="176">SUM(Q268:Q296)</f>
        <v>175553279.0750663</v>
      </c>
      <c r="R297" s="716">
        <f t="shared" ref="R297" si="177">SUM(R268:R296)</f>
        <v>184434108.83018577</v>
      </c>
      <c r="S297" s="716">
        <f t="shared" ref="S297" si="178">SUM(S268:S296)</f>
        <v>193437157.90959883</v>
      </c>
      <c r="T297" s="716">
        <f t="shared" ref="T297" si="179">SUM(T268:T296)</f>
        <v>202445404.52012652</v>
      </c>
      <c r="U297" s="716">
        <f t="shared" ref="U297" si="180">SUM(U268:U296)</f>
        <v>208038289.5193367</v>
      </c>
      <c r="V297" s="716">
        <f t="shared" ref="V297" si="181">SUM(V268:V296)</f>
        <v>211484212.04342389</v>
      </c>
      <c r="W297" s="716">
        <f t="shared" ref="W297" si="182">SUM(W268:W296)</f>
        <v>215007085.77135116</v>
      </c>
      <c r="X297" s="716">
        <f t="shared" ref="X297" si="183">SUM(X268:X296)</f>
        <v>218529959.49927846</v>
      </c>
      <c r="Y297" s="716">
        <f t="shared" ref="Y297" si="184">SUM(Y268:Y296)</f>
        <v>222055078.64213064</v>
      </c>
      <c r="Z297" s="716">
        <f t="shared" ref="Z297" si="185">SUM(Z268:Z296)</f>
        <v>225577952.37005791</v>
      </c>
      <c r="AA297" s="716">
        <f t="shared" ref="AA297" si="186">SUM(AA268:AA296)</f>
        <v>229103075.49472827</v>
      </c>
      <c r="AB297" s="716">
        <f t="shared" ref="AB297" si="187">SUM(AB268:AB296)</f>
        <v>232625949.22265559</v>
      </c>
      <c r="AC297" s="716">
        <f t="shared" ref="AC297" si="188">SUM(AC268:AC296)</f>
        <v>236148822.9505828</v>
      </c>
      <c r="AD297" s="716">
        <f t="shared" ref="AD297" si="189">SUM(AD268:AD296)</f>
        <v>239673942.09343508</v>
      </c>
      <c r="AE297" s="716">
        <f t="shared" ref="AE297" si="190">SUM(AE268:AE296)</f>
        <v>243196815.82136238</v>
      </c>
      <c r="AF297" s="716">
        <f t="shared" ref="AF297" si="191">SUM(AF268:AF296)</f>
        <v>246719689.54928958</v>
      </c>
      <c r="AG297" s="717">
        <f>SUM(AG268:AG296)</f>
        <v>250244812.67396</v>
      </c>
      <c r="AH297" s="47"/>
      <c r="AI297" s="47"/>
      <c r="AJ297" s="47"/>
      <c r="AK297" s="47"/>
      <c r="AL297" s="47"/>
      <c r="AM297" s="47"/>
      <c r="AN297" s="47"/>
    </row>
    <row r="298" spans="2:40" ht="21.95" customHeight="1" x14ac:dyDescent="0.2">
      <c r="B298" s="703" t="s">
        <v>481</v>
      </c>
      <c r="C298" s="579" t="s">
        <v>65</v>
      </c>
      <c r="D298" s="718" t="s">
        <v>474</v>
      </c>
      <c r="E298" s="1340" t="s">
        <v>331</v>
      </c>
      <c r="F298" s="220" t="s">
        <v>332</v>
      </c>
      <c r="G298" s="220" t="s">
        <v>282</v>
      </c>
      <c r="H298" s="576" cm="1">
        <f t="array" ref="H298">_xlfn.ANCHORARRAY(H268) * $F$15</f>
        <v>181974.39999999999</v>
      </c>
      <c r="I298" s="576" cm="1">
        <f t="array" ref="I298">_xlfn.ANCHORARRAY(I268) * $F$15</f>
        <v>190249.11717000001</v>
      </c>
      <c r="J298" s="576" cm="1">
        <f t="array" ref="J298">_xlfn.ANCHORARRAY(J268) * $F$15</f>
        <v>201907.42084000006</v>
      </c>
      <c r="K298" s="576" cm="1">
        <f t="array" ref="K298">_xlfn.ANCHORARRAY(K268) * $F$15</f>
        <v>219056.23336000004</v>
      </c>
      <c r="L298" s="576" cm="1">
        <f t="array" ref="L298">_xlfn.ANCHORARRAY(L268) * $F$15</f>
        <v>236211.30125000002</v>
      </c>
      <c r="M298" s="576" cm="1">
        <f t="array" ref="M298">_xlfn.ANCHORARRAY(M268) * $F$15</f>
        <v>253366.36913999997</v>
      </c>
      <c r="N298" s="576" cm="1">
        <f t="array" ref="N298">_xlfn.ANCHORARRAY(N268) * $F$15</f>
        <v>270515.18166</v>
      </c>
      <c r="O298" s="576" cm="1">
        <f t="array" ref="O298">_xlfn.ANCHORARRAY(O268) * $F$15</f>
        <v>287676.50491999992</v>
      </c>
      <c r="P298" s="576" cm="1">
        <f t="array" ref="P298">_xlfn.ANCHORARRAY(P268) * $F$15</f>
        <v>304634.81299000001</v>
      </c>
      <c r="Q298" s="576" cm="1">
        <f t="array" ref="Q298">_xlfn.ANCHORARRAY(Q268) * $F$15</f>
        <v>321596.53308000002</v>
      </c>
      <c r="R298" s="576" cm="1">
        <f t="array" ref="R298">_xlfn.ANCHORARRAY(R268) * $F$15</f>
        <v>338554.84115000005</v>
      </c>
      <c r="S298" s="576" cm="1">
        <f t="array" ref="S298">_xlfn.ANCHORARRAY(S268) * $F$15</f>
        <v>355513.14922000008</v>
      </c>
      <c r="T298" s="576" cm="1">
        <f t="array" ref="T298">_xlfn.ANCHORARRAY(T268) * $F$15</f>
        <v>372483.96803000005</v>
      </c>
      <c r="U298" s="576" cm="1">
        <f t="array" ref="U298">_xlfn.ANCHORARRAY(U268) * $F$15</f>
        <v>383945.51188000006</v>
      </c>
      <c r="V298" s="576" cm="1">
        <f t="array" ref="V298">_xlfn.ANCHORARRAY(V268) * $F$15</f>
        <v>392220.22905000002</v>
      </c>
      <c r="W298" s="576" cm="1">
        <f t="array" ref="W298">_xlfn.ANCHORARRAY(W268) * $F$15</f>
        <v>400494.94621999993</v>
      </c>
      <c r="X298" s="576" cm="1">
        <f t="array" ref="X298">_xlfn.ANCHORARRAY(X268) * $F$15</f>
        <v>408769.66339000006</v>
      </c>
      <c r="Y298" s="576" cm="1">
        <f t="array" ref="Y298">_xlfn.ANCHORARRAY(Y268) * $F$15</f>
        <v>417047.22391</v>
      </c>
      <c r="Z298" s="576" cm="1">
        <f t="array" ref="Z298">_xlfn.ANCHORARRAY(Z268) * $F$15</f>
        <v>425321.94108000008</v>
      </c>
      <c r="AA298" s="576" cm="1">
        <f t="array" ref="AA298">_xlfn.ANCHORARRAY(AA268) * $F$15</f>
        <v>433599.50160000002</v>
      </c>
      <c r="AB298" s="576" cm="1">
        <f t="array" ref="AB298">_xlfn.ANCHORARRAY(AB268) * $F$15</f>
        <v>441874.21877000004</v>
      </c>
      <c r="AC298" s="576" cm="1">
        <f t="array" ref="AC298">_xlfn.ANCHORARRAY(AC268) * $F$15</f>
        <v>450148.93594</v>
      </c>
      <c r="AD298" s="576" cm="1">
        <f t="array" ref="AD298">_xlfn.ANCHORARRAY(AD268) * $F$15</f>
        <v>458426.49645999994</v>
      </c>
      <c r="AE298" s="576" cm="1">
        <f t="array" ref="AE298">_xlfn.ANCHORARRAY(AE268) * $F$15</f>
        <v>466701.21362999995</v>
      </c>
      <c r="AF298" s="576" cm="1">
        <f t="array" ref="AF298">_xlfn.ANCHORARRAY(AF268) * $F$15</f>
        <v>474975.93080000003</v>
      </c>
      <c r="AG298" s="714" cm="1">
        <f t="array" ref="AG298">_xlfn.ANCHORARRAY(AG268) * $F$15</f>
        <v>483253.49132000003</v>
      </c>
      <c r="AH298" s="5"/>
      <c r="AI298" s="5"/>
      <c r="AJ298" s="5"/>
      <c r="AK298" s="5"/>
      <c r="AL298" s="5"/>
      <c r="AM298" s="5"/>
      <c r="AN298" s="5"/>
    </row>
    <row r="299" spans="2:40" ht="21.95" customHeight="1" x14ac:dyDescent="0.2">
      <c r="B299" s="704" t="s">
        <v>475</v>
      </c>
      <c r="C299" s="715"/>
      <c r="D299" s="719"/>
      <c r="E299" s="1339"/>
      <c r="F299" s="116" t="s">
        <v>282</v>
      </c>
      <c r="G299" s="116" t="s">
        <v>280</v>
      </c>
      <c r="H299" s="576" cm="1">
        <f t="array" ref="H299">_xlfn.ANCHORARRAY(H269) * $F$15</f>
        <v>5851451.0454545459</v>
      </c>
      <c r="I299" s="576" cm="1">
        <f t="array" ref="I299">_xlfn.ANCHORARRAY(I269) * $F$15</f>
        <v>6160320.9724909076</v>
      </c>
      <c r="J299" s="576" cm="1">
        <f t="array" ref="J299">_xlfn.ANCHORARRAY(J269) * $F$15</f>
        <v>6623972.6157000009</v>
      </c>
      <c r="K299" s="576" cm="1">
        <f t="array" ref="K299">_xlfn.ANCHORARRAY(K269) * $F$15</f>
        <v>7389992.5736727268</v>
      </c>
      <c r="L299" s="576" cm="1">
        <f t="array" ref="L299">_xlfn.ANCHORARRAY(L269) * $F$15</f>
        <v>8156359.2843000004</v>
      </c>
      <c r="M299" s="576" cm="1">
        <f t="array" ref="M299">_xlfn.ANCHORARRAY(M269) * $F$15</f>
        <v>8922682.6508454531</v>
      </c>
      <c r="N299" s="576" cm="1">
        <f t="array" ref="N299">_xlfn.ANCHORARRAY(N269) * $F$15</f>
        <v>9688702.6088181827</v>
      </c>
      <c r="O299" s="576" cm="1">
        <f t="array" ref="O299">_xlfn.ANCHORARRAY(O269) * $F$15</f>
        <v>10455416.072100002</v>
      </c>
      <c r="P299" s="576" cm="1">
        <f t="array" ref="P299">_xlfn.ANCHORARRAY(P269) * $F$15</f>
        <v>11228934.556227272</v>
      </c>
      <c r="Q299" s="576" cm="1">
        <f t="array" ref="Q299">_xlfn.ANCHORARRAY(Q269) * $F$15</f>
        <v>12002713.104845453</v>
      </c>
      <c r="R299" s="576" cm="1">
        <f t="array" ref="R299">_xlfn.ANCHORARRAY(R269) * $F$15</f>
        <v>12776231.588972727</v>
      </c>
      <c r="S299" s="576" cm="1">
        <f t="array" ref="S299">_xlfn.ANCHORARRAY(S269) * $F$15</f>
        <v>13549750.073100001</v>
      </c>
      <c r="T299" s="576" cm="1">
        <f t="array" ref="T299">_xlfn.ANCHORARRAY(T269) * $F$15</f>
        <v>14323962.062536364</v>
      </c>
      <c r="U299" s="576" cm="1">
        <f t="array" ref="U299">_xlfn.ANCHORARRAY(U269) * $F$15</f>
        <v>14794765.479245458</v>
      </c>
      <c r="V299" s="576" cm="1">
        <f t="array" ref="V299">_xlfn.ANCHORARRAY(V269) * $F$15</f>
        <v>15103635.406281816</v>
      </c>
      <c r="W299" s="576" cm="1">
        <f t="array" ref="W299">_xlfn.ANCHORARRAY(W269) * $F$15</f>
        <v>15412505.333318183</v>
      </c>
      <c r="X299" s="576" cm="1">
        <f t="array" ref="X299">_xlfn.ANCHORARRAY(X269) * $F$15</f>
        <v>15721375.260354549</v>
      </c>
      <c r="Y299" s="576" cm="1">
        <f t="array" ref="Y299">_xlfn.ANCHORARRAY(Y269) * $F$15</f>
        <v>16030418.563718183</v>
      </c>
      <c r="Z299" s="576" cm="1">
        <f t="array" ref="Z299">_xlfn.ANCHORARRAY(Z269) * $F$15</f>
        <v>16339288.490754545</v>
      </c>
      <c r="AA299" s="576" cm="1">
        <f t="array" ref="AA299">_xlfn.ANCHORARRAY(AA269) * $F$15</f>
        <v>16648331.794118186</v>
      </c>
      <c r="AB299" s="576" cm="1">
        <f t="array" ref="AB299">_xlfn.ANCHORARRAY(AB269) * $F$15</f>
        <v>16957201.721154548</v>
      </c>
      <c r="AC299" s="576" cm="1">
        <f t="array" ref="AC299">_xlfn.ANCHORARRAY(AC269) * $F$15</f>
        <v>17266071.648190912</v>
      </c>
      <c r="AD299" s="576" cm="1">
        <f t="array" ref="AD299">_xlfn.ANCHORARRAY(AD269) * $F$15</f>
        <v>17575114.951554552</v>
      </c>
      <c r="AE299" s="576" cm="1">
        <f t="array" ref="AE299">_xlfn.ANCHORARRAY(AE269) * $F$15</f>
        <v>17883984.878590908</v>
      </c>
      <c r="AF299" s="576" cm="1">
        <f t="array" ref="AF299">_xlfn.ANCHORARRAY(AF269) * $F$15</f>
        <v>18192854.805627275</v>
      </c>
      <c r="AG299" s="714" cm="1">
        <f t="array" ref="AG299">_xlfn.ANCHORARRAY(AG269) * $F$15</f>
        <v>18501898.108990911</v>
      </c>
      <c r="AH299" s="5"/>
      <c r="AI299" s="5"/>
      <c r="AJ299" s="5"/>
      <c r="AK299" s="5"/>
      <c r="AL299" s="5"/>
      <c r="AM299" s="5"/>
      <c r="AN299" s="5"/>
    </row>
    <row r="300" spans="2:40" ht="21.95" customHeight="1" x14ac:dyDescent="0.2">
      <c r="B300" s="704"/>
      <c r="C300" s="715"/>
      <c r="D300" s="719"/>
      <c r="E300" s="1339"/>
      <c r="F300" s="116" t="s">
        <v>280</v>
      </c>
      <c r="G300" s="116" t="s">
        <v>333</v>
      </c>
      <c r="H300" s="576" cm="1">
        <f t="array" ref="H300">_xlfn.ANCHORARRAY(H270) * $F$15</f>
        <v>136480.80000000002</v>
      </c>
      <c r="I300" s="576" cm="1">
        <f t="array" ref="I300">_xlfn.ANCHORARRAY(I270) * $F$15</f>
        <v>142180.01073999997</v>
      </c>
      <c r="J300" s="576" cm="1">
        <f t="array" ref="J300">_xlfn.ANCHORARRAY(J270) * $F$15</f>
        <v>149233.79341999997</v>
      </c>
      <c r="K300" s="576" cm="1">
        <f t="array" ref="K300">_xlfn.ANCHORARRAY(K270) * $F$15</f>
        <v>158730.58242000002</v>
      </c>
      <c r="L300" s="576" cm="1">
        <f t="array" ref="L300">_xlfn.ANCHORARRAY(L270) * $F$15</f>
        <v>168230.78344000003</v>
      </c>
      <c r="M300" s="576" cm="1">
        <f t="array" ref="M300">_xlfn.ANCHORARRAY(M270) * $F$15</f>
        <v>177729.84712000002</v>
      </c>
      <c r="N300" s="576" cm="1">
        <f t="array" ref="N300">_xlfn.ANCHORARRAY(N270) * $F$15</f>
        <v>187226.63612000001</v>
      </c>
      <c r="O300" s="576" cm="1">
        <f t="array" ref="O300">_xlfn.ANCHORARRAY(O270) * $F$15</f>
        <v>196730.24916000006</v>
      </c>
      <c r="P300" s="576" cm="1">
        <f t="array" ref="P300">_xlfn.ANCHORARRAY(P270) * $F$15</f>
        <v>205938.1538</v>
      </c>
      <c r="Q300" s="576" cm="1">
        <f t="array" ref="Q300">_xlfn.ANCHORARRAY(Q270) * $F$15</f>
        <v>215149.47045999995</v>
      </c>
      <c r="R300" s="576" cm="1">
        <f t="array" ref="R300">_xlfn.ANCHORARRAY(R270) * $F$15</f>
        <v>224357.3751</v>
      </c>
      <c r="S300" s="576" cm="1">
        <f t="array" ref="S300">_xlfn.ANCHORARRAY(S270) * $F$15</f>
        <v>233565.27974</v>
      </c>
      <c r="T300" s="576" cm="1">
        <f t="array" ref="T300">_xlfn.ANCHORARRAY(T270) * $F$15</f>
        <v>242780.00842000006</v>
      </c>
      <c r="U300" s="576" cm="1">
        <f t="array" ref="U300">_xlfn.ANCHORARRAY(U270) * $F$15</f>
        <v>249541.49472000002</v>
      </c>
      <c r="V300" s="576" cm="1">
        <f t="array" ref="V300">_xlfn.ANCHORARRAY(V270) * $F$15</f>
        <v>255240.70546000003</v>
      </c>
      <c r="W300" s="576" cm="1">
        <f t="array" ref="W300">_xlfn.ANCHORARRAY(W270) * $F$15</f>
        <v>260939.91619999998</v>
      </c>
      <c r="X300" s="576" cm="1">
        <f t="array" ref="X300">_xlfn.ANCHORARRAY(X270) * $F$15</f>
        <v>266639.12693999999</v>
      </c>
      <c r="Y300" s="576" cm="1">
        <f t="array" ref="Y300">_xlfn.ANCHORARRAY(Y270) * $F$15</f>
        <v>272340.61236000003</v>
      </c>
      <c r="Z300" s="576" cm="1">
        <f t="array" ref="Z300">_xlfn.ANCHORARRAY(Z270) * $F$15</f>
        <v>278039.82309999998</v>
      </c>
      <c r="AA300" s="576" cm="1">
        <f t="array" ref="AA300">_xlfn.ANCHORARRAY(AA270) * $F$15</f>
        <v>283741.30852000002</v>
      </c>
      <c r="AB300" s="576" cm="1">
        <f t="array" ref="AB300">_xlfn.ANCHORARRAY(AB270) * $F$15</f>
        <v>289440.51926000009</v>
      </c>
      <c r="AC300" s="576" cm="1">
        <f t="array" ref="AC300">_xlfn.ANCHORARRAY(AC270) * $F$15</f>
        <v>295139.73</v>
      </c>
      <c r="AD300" s="576" cm="1">
        <f t="array" ref="AD300">_xlfn.ANCHORARRAY(AD270) * $F$15</f>
        <v>300841.21542000002</v>
      </c>
      <c r="AE300" s="576" cm="1">
        <f t="array" ref="AE300">_xlfn.ANCHORARRAY(AE270) * $F$15</f>
        <v>306540.42616000003</v>
      </c>
      <c r="AF300" s="576" cm="1">
        <f t="array" ref="AF300">_xlfn.ANCHORARRAY(AF270) * $F$15</f>
        <v>312239.63689999992</v>
      </c>
      <c r="AG300" s="714" cm="1">
        <f t="array" ref="AG300">_xlfn.ANCHORARRAY(AG270) * $F$15</f>
        <v>317941.12232000002</v>
      </c>
      <c r="AH300" s="5"/>
      <c r="AI300" s="5"/>
      <c r="AJ300" s="5"/>
      <c r="AK300" s="5"/>
      <c r="AL300" s="5"/>
      <c r="AM300" s="5"/>
      <c r="AN300" s="5"/>
    </row>
    <row r="301" spans="2:40" ht="21.95" customHeight="1" x14ac:dyDescent="0.2">
      <c r="B301" s="704"/>
      <c r="C301" s="715"/>
      <c r="D301" s="719"/>
      <c r="E301" s="1340" t="s">
        <v>280</v>
      </c>
      <c r="F301" s="220" t="s">
        <v>281</v>
      </c>
      <c r="G301" s="220" t="s">
        <v>335</v>
      </c>
      <c r="H301" s="576" cm="1">
        <f t="array" ref="H301">_xlfn.ANCHORARRAY(H271) * $F$15</f>
        <v>1240299.2</v>
      </c>
      <c r="I301" s="576" cm="1">
        <f t="array" ref="I301">_xlfn.ANCHORARRAY(I271) * $F$15</f>
        <v>1365761.665576</v>
      </c>
      <c r="J301" s="576" cm="1">
        <f t="array" ref="J301">_xlfn.ANCHORARRAY(J271) * $F$15</f>
        <v>1646261.5311519997</v>
      </c>
      <c r="K301" s="576" cm="1">
        <f t="array" ref="K301">_xlfn.ANCHORARRAY(K271) * $F$15</f>
        <v>2209667.4427519999</v>
      </c>
      <c r="L301" s="576" cm="1">
        <f t="array" ref="L301">_xlfn.ANCHORARRAY(L271) * $F$15</f>
        <v>2773420.6381279994</v>
      </c>
      <c r="M301" s="576" cm="1">
        <f t="array" ref="M301">_xlfn.ANCHORARRAY(M271) * $F$15</f>
        <v>3337111.8185439995</v>
      </c>
      <c r="N301" s="576" cm="1">
        <f t="array" ref="N301">_xlfn.ANCHORARRAY(N271) * $F$15</f>
        <v>3900517.7301439992</v>
      </c>
      <c r="O301" s="576" cm="1">
        <f t="array" ref="O301">_xlfn.ANCHORARRAY(O271) * $F$15</f>
        <v>4464618.2092960002</v>
      </c>
      <c r="P301" s="576" cm="1">
        <f t="array" ref="P301">_xlfn.ANCHORARRAY(P271) * $F$15</f>
        <v>5018138.936271999</v>
      </c>
      <c r="Q301" s="576" cm="1">
        <f t="array" ref="Q301">_xlfn.ANCHORARRAY(Q271) * $F$15</f>
        <v>5571938.7305679992</v>
      </c>
      <c r="R301" s="576" cm="1">
        <f t="array" ref="R301">_xlfn.ANCHORARRAY(R271) * $F$15</f>
        <v>6125459.4575439999</v>
      </c>
      <c r="S301" s="576" cm="1">
        <f t="array" ref="S301">_xlfn.ANCHORARRAY(S271) * $F$15</f>
        <v>6678980.1845200006</v>
      </c>
      <c r="T301" s="576" cm="1">
        <f t="array" ref="T301">_xlfn.ANCHORARRAY(T271) * $F$15</f>
        <v>7233195.4790480006</v>
      </c>
      <c r="U301" s="576" cm="1">
        <f t="array" ref="U301">_xlfn.ANCHORARRAY(U271) * $F$15</f>
        <v>7503462.8762239991</v>
      </c>
      <c r="V301" s="576" cm="1">
        <f t="array" ref="V301">_xlfn.ANCHORARRAY(V271) * $F$15</f>
        <v>7628925.3417999987</v>
      </c>
      <c r="W301" s="576" cm="1">
        <f t="array" ref="W301">_xlfn.ANCHORARRAY(W271) * $F$15</f>
        <v>7754387.8073759982</v>
      </c>
      <c r="X301" s="576" cm="1">
        <f t="array" ref="X301">_xlfn.ANCHORARRAY(X271) * $F$15</f>
        <v>7879850.2729519987</v>
      </c>
      <c r="Y301" s="576" cm="1">
        <f t="array" ref="Y301">_xlfn.ANCHORARRAY(Y271) * $F$15</f>
        <v>8005504.9849039987</v>
      </c>
      <c r="Z301" s="576" cm="1">
        <f t="array" ref="Z301">_xlfn.ANCHORARRAY(Z271) * $F$15</f>
        <v>8130967.4504800001</v>
      </c>
      <c r="AA301" s="576" cm="1">
        <f t="array" ref="AA301">_xlfn.ANCHORARRAY(AA271) * $F$15</f>
        <v>8256622.1624319991</v>
      </c>
      <c r="AB301" s="576" cm="1">
        <f t="array" ref="AB301">_xlfn.ANCHORARRAY(AB271) * $F$15</f>
        <v>8382084.6280079978</v>
      </c>
      <c r="AC301" s="576" cm="1">
        <f t="array" ref="AC301">_xlfn.ANCHORARRAY(AC271) * $F$15</f>
        <v>8507547.0935839992</v>
      </c>
      <c r="AD301" s="576" cm="1">
        <f t="array" ref="AD301">_xlfn.ANCHORARRAY(AD271) * $F$15</f>
        <v>8633201.8055360001</v>
      </c>
      <c r="AE301" s="576" cm="1">
        <f t="array" ref="AE301">_xlfn.ANCHORARRAY(AE271) * $F$15</f>
        <v>8758664.2711120006</v>
      </c>
      <c r="AF301" s="576" cm="1">
        <f t="array" ref="AF301">_xlfn.ANCHORARRAY(AF271) * $F$15</f>
        <v>8884126.7366879992</v>
      </c>
      <c r="AG301" s="714" cm="1">
        <f t="array" ref="AG301">_xlfn.ANCHORARRAY(AG271) * $F$15</f>
        <v>9009781.4486399982</v>
      </c>
      <c r="AH301" s="5"/>
      <c r="AI301" s="5"/>
      <c r="AJ301" s="5"/>
      <c r="AK301" s="5"/>
      <c r="AL301" s="5"/>
      <c r="AM301" s="5"/>
      <c r="AN301" s="5"/>
    </row>
    <row r="302" spans="2:40" ht="21.95" customHeight="1" x14ac:dyDescent="0.2">
      <c r="B302" s="704"/>
      <c r="C302" s="715"/>
      <c r="D302" s="719"/>
      <c r="E302" s="1339"/>
      <c r="F302" s="116" t="s">
        <v>335</v>
      </c>
      <c r="G302" s="116" t="s">
        <v>323</v>
      </c>
      <c r="H302" s="576" cm="1">
        <f t="array" ref="H302">_xlfn.ANCHORARRAY(H272) * $F$15</f>
        <v>143664</v>
      </c>
      <c r="I302" s="576" cm="1">
        <f t="array" ref="I302">_xlfn.ANCHORARRAY(I272) * $F$15</f>
        <v>158657.73280000003</v>
      </c>
      <c r="J302" s="576" cm="1">
        <f t="array" ref="J302">_xlfn.ANCHORARRAY(J272) * $F$15</f>
        <v>179356.12359999999</v>
      </c>
      <c r="K302" s="576" cm="1">
        <f t="array" ref="K302">_xlfn.ANCHORARRAY(K272) * $F$15</f>
        <v>217367.2236</v>
      </c>
      <c r="L302" s="576" cm="1">
        <f t="array" ref="L302">_xlfn.ANCHORARRAY(L272) * $F$15</f>
        <v>255389.09840000002</v>
      </c>
      <c r="M302" s="576" cm="1">
        <f t="array" ref="M302">_xlfn.ANCHORARRAY(M272) * $F$15</f>
        <v>293418.15640000009</v>
      </c>
      <c r="N302" s="576" cm="1">
        <f t="array" ref="N302">_xlfn.ANCHORARRAY(N272) * $F$15</f>
        <v>331429.25640000001</v>
      </c>
      <c r="O302" s="576" cm="1">
        <f t="array" ref="O302">_xlfn.ANCHORARRAY(O272) * $F$15</f>
        <v>369475.07520000008</v>
      </c>
      <c r="P302" s="576" cm="1">
        <f t="array" ref="P302">_xlfn.ANCHORARRAY(P272) * $F$15</f>
        <v>424179.93200000003</v>
      </c>
      <c r="Q302" s="576" cm="1">
        <f t="array" ref="Q302">_xlfn.ANCHORARRAY(Q272) * $F$15</f>
        <v>478896.76079999999</v>
      </c>
      <c r="R302" s="576" cm="1">
        <f t="array" ref="R302">_xlfn.ANCHORARRAY(R272) * $F$15</f>
        <v>533590.84279999998</v>
      </c>
      <c r="S302" s="576" cm="1">
        <f t="array" ref="S302">_xlfn.ANCHORARRAY(S272) * $F$15</f>
        <v>588295.69960000005</v>
      </c>
      <c r="T302" s="576" cm="1">
        <f t="array" ref="T302">_xlfn.ANCHORARRAY(T272) * $F$15</f>
        <v>643035.27520000015</v>
      </c>
      <c r="U302" s="576" cm="1">
        <f t="array" ref="U302">_xlfn.ANCHORARRAY(U272) * $F$15</f>
        <v>680392.70400000003</v>
      </c>
      <c r="V302" s="576" cm="1">
        <f t="array" ref="V302">_xlfn.ANCHORARRAY(V272) * $F$15</f>
        <v>695386.43680000002</v>
      </c>
      <c r="W302" s="576" cm="1">
        <f t="array" ref="W302">_xlfn.ANCHORARRAY(W272) * $F$15</f>
        <v>710380.16960000014</v>
      </c>
      <c r="X302" s="576" cm="1">
        <f t="array" ref="X302">_xlfn.ANCHORARRAY(X272) * $F$15</f>
        <v>725373.90240000002</v>
      </c>
      <c r="Y302" s="576" cm="1">
        <f t="array" ref="Y302">_xlfn.ANCHORARRAY(Y272) * $F$15</f>
        <v>740378.41000000015</v>
      </c>
      <c r="Z302" s="576" cm="1">
        <f t="array" ref="Z302">_xlfn.ANCHORARRAY(Z272) * $F$15</f>
        <v>755372.14280000003</v>
      </c>
      <c r="AA302" s="576" cm="1">
        <f t="array" ref="AA302">_xlfn.ANCHORARRAY(AA272) * $F$15</f>
        <v>770376.65040000016</v>
      </c>
      <c r="AB302" s="576" cm="1">
        <f t="array" ref="AB302">_xlfn.ANCHORARRAY(AB272) * $F$15</f>
        <v>785370.38320000016</v>
      </c>
      <c r="AC302" s="576" cm="1">
        <f t="array" ref="AC302">_xlfn.ANCHORARRAY(AC272) * $F$15</f>
        <v>800364.11600000004</v>
      </c>
      <c r="AD302" s="576" cm="1">
        <f t="array" ref="AD302">_xlfn.ANCHORARRAY(AD272) * $F$15</f>
        <v>815368.62360000005</v>
      </c>
      <c r="AE302" s="576" cm="1">
        <f t="array" ref="AE302">_xlfn.ANCHORARRAY(AE272) * $F$15</f>
        <v>830362.35639999993</v>
      </c>
      <c r="AF302" s="576" cm="1">
        <f t="array" ref="AF302">_xlfn.ANCHORARRAY(AF272) * $F$15</f>
        <v>845356.08920000016</v>
      </c>
      <c r="AG302" s="714" cm="1">
        <f t="array" ref="AG302">_xlfn.ANCHORARRAY(AG272) * $F$15</f>
        <v>860360.59679999994</v>
      </c>
      <c r="AH302" s="5"/>
      <c r="AI302" s="5"/>
      <c r="AJ302" s="5"/>
      <c r="AK302" s="5"/>
      <c r="AL302" s="5"/>
      <c r="AM302" s="5"/>
      <c r="AN302" s="5"/>
    </row>
    <row r="303" spans="2:40" ht="21.95" customHeight="1" x14ac:dyDescent="0.2">
      <c r="B303" s="704"/>
      <c r="C303" s="715"/>
      <c r="D303" s="719"/>
      <c r="E303" s="1353"/>
      <c r="F303" s="254" t="s">
        <v>323</v>
      </c>
      <c r="G303" s="254" t="s">
        <v>338</v>
      </c>
      <c r="H303" s="576" cm="1">
        <f t="array" ref="H303">_xlfn.ANCHORARRAY(H273) * $F$15</f>
        <v>1925097.6</v>
      </c>
      <c r="I303" s="576" cm="1">
        <f t="array" ref="I303">_xlfn.ANCHORARRAY(I273) * $F$15</f>
        <v>1979006.749792</v>
      </c>
      <c r="J303" s="576" cm="1">
        <f t="array" ref="J303">_xlfn.ANCHORARRAY(J273) * $F$15</f>
        <v>2055830.9780160002</v>
      </c>
      <c r="K303" s="576" cm="1">
        <f t="array" ref="K303">_xlfn.ANCHORARRAY(K273) * $F$15</f>
        <v>2163655.6945920005</v>
      </c>
      <c r="L303" s="576" cm="1">
        <f t="array" ref="L303">_xlfn.ANCHORARRAY(L273) * $F$15</f>
        <v>2271525.3301119995</v>
      </c>
      <c r="M303" s="576" cm="1">
        <f t="array" ref="M303">_xlfn.ANCHORARRAY(M273) * $F$15</f>
        <v>2379385.3401440009</v>
      </c>
      <c r="N303" s="576" cm="1">
        <f t="array" ref="N303">_xlfn.ANCHORARRAY(N273) * $F$15</f>
        <v>2487210.0567200007</v>
      </c>
      <c r="O303" s="576" cm="1">
        <f t="array" ref="O303">_xlfn.ANCHORARRAY(O273) * $F$15</f>
        <v>2595121.4026880004</v>
      </c>
      <c r="P303" s="576" cm="1">
        <f t="array" ref="P303">_xlfn.ANCHORARRAY(P273) * $F$15</f>
        <v>2704056.2588799996</v>
      </c>
      <c r="Q303" s="576" cm="1">
        <f t="array" ref="Q303">_xlfn.ANCHORARRAY(Q273) * $F$15</f>
        <v>2813023.2000320004</v>
      </c>
      <c r="R303" s="576" cm="1">
        <f t="array" ref="R303">_xlfn.ANCHORARRAY(R273) * $F$15</f>
        <v>2921948.4307360002</v>
      </c>
      <c r="S303" s="576" cm="1">
        <f t="array" ref="S303">_xlfn.ANCHORARRAY(S273) * $F$15</f>
        <v>3030883.2869280004</v>
      </c>
      <c r="T303" s="576" cm="1">
        <f t="array" ref="T303">_xlfn.ANCHORARRAY(T273) * $F$15</f>
        <v>3139904.7725120005</v>
      </c>
      <c r="U303" s="576" cm="1">
        <f t="array" ref="U303">_xlfn.ANCHORARRAY(U273) * $F$15</f>
        <v>3217787.8044160008</v>
      </c>
      <c r="V303" s="576" cm="1">
        <f t="array" ref="V303">_xlfn.ANCHORARRAY(V273) * $F$15</f>
        <v>3271696.9542080001</v>
      </c>
      <c r="W303" s="576" cm="1">
        <f t="array" ref="W303">_xlfn.ANCHORARRAY(W273) * $F$15</f>
        <v>3325606.1040000003</v>
      </c>
      <c r="X303" s="576" cm="1">
        <f t="array" ref="X303">_xlfn.ANCHORARRAY(X273) * $F$15</f>
        <v>3379515.253792</v>
      </c>
      <c r="Y303" s="576" cm="1">
        <f t="array" ref="Y303">_xlfn.ANCHORARRAY(Y273) * $F$15</f>
        <v>3433450.0715520005</v>
      </c>
      <c r="Z303" s="576" cm="1">
        <f t="array" ref="Z303">_xlfn.ANCHORARRAY(Z273) * $F$15</f>
        <v>3487359.2213440007</v>
      </c>
      <c r="AA303" s="576" cm="1">
        <f t="array" ref="AA303">_xlfn.ANCHORARRAY(AA273) * $F$15</f>
        <v>3541294.0391040007</v>
      </c>
      <c r="AB303" s="576" cm="1">
        <f t="array" ref="AB303">_xlfn.ANCHORARRAY(AB273) * $F$15</f>
        <v>3595203.1888960004</v>
      </c>
      <c r="AC303" s="576" cm="1">
        <f t="array" ref="AC303">_xlfn.ANCHORARRAY(AC273) * $F$15</f>
        <v>3649112.3386880006</v>
      </c>
      <c r="AD303" s="576" cm="1">
        <f t="array" ref="AD303">_xlfn.ANCHORARRAY(AD273) * $F$15</f>
        <v>3703047.1564480001</v>
      </c>
      <c r="AE303" s="576" cm="1">
        <f t="array" ref="AE303">_xlfn.ANCHORARRAY(AE273) * $F$15</f>
        <v>3756956.3062399994</v>
      </c>
      <c r="AF303" s="576" cm="1">
        <f t="array" ref="AF303">_xlfn.ANCHORARRAY(AF273) * $F$15</f>
        <v>3810865.4560320005</v>
      </c>
      <c r="AG303" s="714" cm="1">
        <f t="array" ref="AG303">_xlfn.ANCHORARRAY(AG273) * $F$15</f>
        <v>3864800.2737920005</v>
      </c>
      <c r="AH303" s="5"/>
      <c r="AI303" s="5"/>
      <c r="AJ303" s="5"/>
      <c r="AK303" s="5"/>
      <c r="AL303" s="5"/>
      <c r="AM303" s="5"/>
      <c r="AN303" s="5"/>
    </row>
    <row r="304" spans="2:40" ht="21.95" customHeight="1" x14ac:dyDescent="0.2">
      <c r="B304" s="704"/>
      <c r="C304" s="715"/>
      <c r="D304" s="719"/>
      <c r="E304" s="116" t="s">
        <v>339</v>
      </c>
      <c r="F304" s="116" t="s">
        <v>335</v>
      </c>
      <c r="G304" s="116" t="s">
        <v>323</v>
      </c>
      <c r="H304" s="576" cm="1">
        <f t="array" ref="H304">_xlfn.ANCHORARRAY(H274) * $F$15</f>
        <v>5626.84</v>
      </c>
      <c r="I304" s="576" cm="1">
        <f t="array" ref="I304">_xlfn.ANCHORARRAY(I274) * $F$15</f>
        <v>42645.820360000005</v>
      </c>
      <c r="J304" s="576" cm="1">
        <f t="array" ref="J304">_xlfn.ANCHORARRAY(J274) * $F$15</f>
        <v>247068.91755999997</v>
      </c>
      <c r="K304" s="576" cm="1">
        <f t="array" ref="K304">_xlfn.ANCHORARRAY(K274) * $F$15</f>
        <v>569059.20971999993</v>
      </c>
      <c r="L304" s="576" cm="1">
        <f t="array" ref="L304">_xlfn.ANCHORARRAY(L274) * $F$15</f>
        <v>891252.06812000007</v>
      </c>
      <c r="M304" s="576" cm="1">
        <f t="array" ref="M304">_xlfn.ANCHORARRAY(M274) * $F$15</f>
        <v>1213461.8070400003</v>
      </c>
      <c r="N304" s="576" cm="1">
        <f t="array" ref="N304">_xlfn.ANCHORARRAY(N274) * $F$15</f>
        <v>1535452.0992000003</v>
      </c>
      <c r="O304" s="576" cm="1">
        <f t="array" ref="O304">_xlfn.ANCHORARRAY(O274) * $F$15</f>
        <v>1857870.0312000001</v>
      </c>
      <c r="P304" s="576" cm="1">
        <f t="array" ref="P304">_xlfn.ANCHORARRAY(P274) * $F$15</f>
        <v>2038907.9813599999</v>
      </c>
      <c r="Q304" s="576" cm="1">
        <f t="array" ref="Q304">_xlfn.ANCHORARRAY(Q274) * $F$15</f>
        <v>2220013.4536000001</v>
      </c>
      <c r="R304" s="576" cm="1">
        <f t="array" ref="R304">_xlfn.ANCHORARRAY(R274) * $F$15</f>
        <v>2401102.04532</v>
      </c>
      <c r="S304" s="576" cm="1">
        <f t="array" ref="S304">_xlfn.ANCHORARRAY(S274) * $F$15</f>
        <v>2582139.99548</v>
      </c>
      <c r="T304" s="576" cm="1">
        <f t="array" ref="T304">_xlfn.ANCHORARRAY(T274) * $F$15</f>
        <v>2763605.5854800008</v>
      </c>
      <c r="U304" s="576" cm="1">
        <f t="array" ref="U304">_xlfn.ANCHORARRAY(U274) * $F$15</f>
        <v>2826901.908640001</v>
      </c>
      <c r="V304" s="576" cm="1">
        <f t="array" ref="V304">_xlfn.ANCHORARRAY(V274) * $F$15</f>
        <v>2863920.889</v>
      </c>
      <c r="W304" s="576" cm="1">
        <f t="array" ref="W304">_xlfn.ANCHORARRAY(W274) * $F$15</f>
        <v>2900939.8693600004</v>
      </c>
      <c r="X304" s="576" cm="1">
        <f t="array" ref="X304">_xlfn.ANCHORARRAY(X274) * $F$15</f>
        <v>2937958.8497200008</v>
      </c>
      <c r="Y304" s="576" cm="1">
        <f t="array" ref="Y304">_xlfn.ANCHORARRAY(Y274) * $F$15</f>
        <v>2975124.1279200003</v>
      </c>
      <c r="Z304" s="576" cm="1">
        <f t="array" ref="Z304">_xlfn.ANCHORARRAY(Z274) * $F$15</f>
        <v>3012143.1082800007</v>
      </c>
      <c r="AA304" s="576" cm="1">
        <f t="array" ref="AA304">_xlfn.ANCHORARRAY(AA274) * $F$15</f>
        <v>3049308.3864800013</v>
      </c>
      <c r="AB304" s="576" cm="1">
        <f t="array" ref="AB304">_xlfn.ANCHORARRAY(AB274) * $F$15</f>
        <v>3086327.3668400007</v>
      </c>
      <c r="AC304" s="576" cm="1">
        <f t="array" ref="AC304">_xlfn.ANCHORARRAY(AC274) * $F$15</f>
        <v>3123346.3472000007</v>
      </c>
      <c r="AD304" s="576" cm="1">
        <f t="array" ref="AD304">_xlfn.ANCHORARRAY(AD274) * $F$15</f>
        <v>3160511.6254000016</v>
      </c>
      <c r="AE304" s="576" cm="1">
        <f t="array" ref="AE304">_xlfn.ANCHORARRAY(AE274) * $F$15</f>
        <v>3197530.6057600002</v>
      </c>
      <c r="AF304" s="576" cm="1">
        <f t="array" ref="AF304">_xlfn.ANCHORARRAY(AF274) * $F$15</f>
        <v>3234549.5861200006</v>
      </c>
      <c r="AG304" s="714" cm="1">
        <f t="array" ref="AG304">_xlfn.ANCHORARRAY(AG274) * $F$15</f>
        <v>3271714.8643200011</v>
      </c>
      <c r="AH304" s="5"/>
      <c r="AI304" s="5"/>
      <c r="AJ304" s="5"/>
      <c r="AK304" s="5"/>
      <c r="AL304" s="5"/>
      <c r="AM304" s="5"/>
      <c r="AN304" s="5"/>
    </row>
    <row r="305" spans="2:40" ht="21.95" customHeight="1" x14ac:dyDescent="0.2">
      <c r="B305" s="704"/>
      <c r="C305" s="715"/>
      <c r="D305" s="719"/>
      <c r="E305" s="1340" t="s">
        <v>323</v>
      </c>
      <c r="F305" s="220" t="s">
        <v>282</v>
      </c>
      <c r="G305" s="220" t="s">
        <v>339</v>
      </c>
      <c r="H305" s="576" cm="1">
        <f t="array" ref="H305">_xlfn.ANCHORARRAY(H275) * $F$15</f>
        <v>16162.2</v>
      </c>
      <c r="I305" s="576" cm="1">
        <f t="array" ref="I305">_xlfn.ANCHORARRAY(I275) * $F$15</f>
        <v>35920.489499999996</v>
      </c>
      <c r="J305" s="576" cm="1">
        <f t="array" ref="J305">_xlfn.ANCHORARRAY(J275) * $F$15</f>
        <v>151819.6257</v>
      </c>
      <c r="K305" s="576" cm="1">
        <f t="array" ref="K305">_xlfn.ANCHORARRAY(K275) * $F$15</f>
        <v>341281.01520000002</v>
      </c>
      <c r="L305" s="576" cm="1">
        <f t="array" ref="L305">_xlfn.ANCHORARRAY(L275) * $F$15</f>
        <v>530847.45900000015</v>
      </c>
      <c r="M305" s="576" cm="1">
        <f t="array" ref="M305">_xlfn.ANCHORARRAY(M275) * $F$15</f>
        <v>720421.98389999976</v>
      </c>
      <c r="N305" s="576" cm="1">
        <f t="array" ref="N305">_xlfn.ANCHORARRAY(N275) * $F$15</f>
        <v>909883.37340000016</v>
      </c>
      <c r="O305" s="576" cm="1">
        <f t="array" ref="O305">_xlfn.ANCHORARRAY(O275) * $F$15</f>
        <v>1099562.9526000002</v>
      </c>
      <c r="P305" s="576" cm="1">
        <f t="array" ref="P305">_xlfn.ANCHORARRAY(P275) * $F$15</f>
        <v>1245830.8626000003</v>
      </c>
      <c r="Q305" s="576" cm="1">
        <f t="array" ref="Q305">_xlfn.ANCHORARRAY(Q275) * $F$15</f>
        <v>1392123.0159000002</v>
      </c>
      <c r="R305" s="576" cm="1">
        <f t="array" ref="R305">_xlfn.ANCHORARRAY(R275) * $F$15</f>
        <v>1538390.9258999999</v>
      </c>
      <c r="S305" s="576" cm="1">
        <f t="array" ref="S305">_xlfn.ANCHORARRAY(S275) * $F$15</f>
        <v>1684658.8359000001</v>
      </c>
      <c r="T305" s="576" cm="1">
        <f t="array" ref="T305">_xlfn.ANCHORARRAY(T275) * $F$15</f>
        <v>1831120.6923000002</v>
      </c>
      <c r="U305" s="576" cm="1">
        <f t="array" ref="U305">_xlfn.ANCHORARRAY(U275) * $F$15</f>
        <v>1903713.2136000001</v>
      </c>
      <c r="V305" s="576" cm="1">
        <f t="array" ref="V305">_xlfn.ANCHORARRAY(V275) * $F$15</f>
        <v>1923471.5031000001</v>
      </c>
      <c r="W305" s="576" cm="1">
        <f t="array" ref="W305">_xlfn.ANCHORARRAY(W275) * $F$15</f>
        <v>1943229.7926</v>
      </c>
      <c r="X305" s="576" cm="1">
        <f t="array" ref="X305">_xlfn.ANCHORARRAY(X275) * $F$15</f>
        <v>1962988.0821000002</v>
      </c>
      <c r="Y305" s="576" cm="1">
        <f t="array" ref="Y305">_xlfn.ANCHORARRAY(Y275) * $F$15</f>
        <v>1982802.9393000007</v>
      </c>
      <c r="Z305" s="576" cm="1">
        <f t="array" ref="Z305">_xlfn.ANCHORARRAY(Z275) * $F$15</f>
        <v>2002561.2288000002</v>
      </c>
      <c r="AA305" s="576" cm="1">
        <f t="array" ref="AA305">_xlfn.ANCHORARRAY(AA275) * $F$15</f>
        <v>2022376.0859999999</v>
      </c>
      <c r="AB305" s="576" cm="1">
        <f t="array" ref="AB305">_xlfn.ANCHORARRAY(AB275) * $F$15</f>
        <v>2042134.3754999998</v>
      </c>
      <c r="AC305" s="576" cm="1">
        <f t="array" ref="AC305">_xlfn.ANCHORARRAY(AC275) * $F$15</f>
        <v>2061892.6649999998</v>
      </c>
      <c r="AD305" s="576" cm="1">
        <f t="array" ref="AD305">_xlfn.ANCHORARRAY(AD275) * $F$15</f>
        <v>2081707.5222</v>
      </c>
      <c r="AE305" s="576" cm="1">
        <f t="array" ref="AE305">_xlfn.ANCHORARRAY(AE275) * $F$15</f>
        <v>2101465.8117</v>
      </c>
      <c r="AF305" s="576" cm="1">
        <f t="array" ref="AF305">_xlfn.ANCHORARRAY(AF275) * $F$15</f>
        <v>2121224.1011999999</v>
      </c>
      <c r="AG305" s="714" cm="1">
        <f t="array" ref="AG305">_xlfn.ANCHORARRAY(AG275) * $F$15</f>
        <v>2141038.9584000004</v>
      </c>
      <c r="AH305" s="5"/>
      <c r="AI305" s="5"/>
      <c r="AJ305" s="5"/>
      <c r="AK305" s="5"/>
      <c r="AL305" s="5"/>
      <c r="AM305" s="5"/>
      <c r="AN305" s="5"/>
    </row>
    <row r="306" spans="2:40" ht="21.95" customHeight="1" x14ac:dyDescent="0.2">
      <c r="B306" s="704"/>
      <c r="C306" s="715"/>
      <c r="D306" s="719"/>
      <c r="E306" s="1339"/>
      <c r="F306" s="116" t="s">
        <v>339</v>
      </c>
      <c r="G306" s="116" t="s">
        <v>288</v>
      </c>
      <c r="H306" s="576" cm="1">
        <f t="array" ref="H306">_xlfn.ANCHORARRAY(H276) * $F$15</f>
        <v>0</v>
      </c>
      <c r="I306" s="576" cm="1">
        <f t="array" ref="I306">_xlfn.ANCHORARRAY(I276) * $F$15</f>
        <v>10995.084800000002</v>
      </c>
      <c r="J306" s="576" cm="1">
        <f t="array" ref="J306">_xlfn.ANCHORARRAY(J276) * $F$15</f>
        <v>31488.514960000004</v>
      </c>
      <c r="K306" s="576" cm="1">
        <f t="array" ref="K306">_xlfn.ANCHORARRAY(K276) * $F$15</f>
        <v>70784.210560000007</v>
      </c>
      <c r="L306" s="576" cm="1">
        <f t="array" ref="L306">_xlfn.ANCHORARRAY(L276) * $F$15</f>
        <v>110101.69520000003</v>
      </c>
      <c r="M306" s="576" cm="1">
        <f t="array" ref="M306">_xlfn.ANCHORARRAY(M276) * $F$15</f>
        <v>149420.85591999997</v>
      </c>
      <c r="N306" s="576" cm="1">
        <f t="array" ref="N306">_xlfn.ANCHORARRAY(N276) * $F$15</f>
        <v>188716.55152000004</v>
      </c>
      <c r="O306" s="576" cm="1">
        <f t="array" ref="O306">_xlfn.ANCHORARRAY(O276) * $F$15</f>
        <v>228057.50128000003</v>
      </c>
      <c r="P306" s="576" cm="1">
        <f t="array" ref="P306">_xlfn.ANCHORARRAY(P276) * $F$15</f>
        <v>258394.54928000009</v>
      </c>
      <c r="Q306" s="576" cm="1">
        <f t="array" ref="Q306">_xlfn.ANCHORARRAY(Q276) * $F$15</f>
        <v>288736.62552000006</v>
      </c>
      <c r="R306" s="576" cm="1">
        <f t="array" ref="R306">_xlfn.ANCHORARRAY(R276) * $F$15</f>
        <v>319073.67352000001</v>
      </c>
      <c r="S306" s="576" cm="1">
        <f t="array" ref="S306">_xlfn.ANCHORARRAY(S276) * $F$15</f>
        <v>349410.72152000002</v>
      </c>
      <c r="T306" s="576" cm="1">
        <f t="array" ref="T306">_xlfn.ANCHORARRAY(T276) * $F$15</f>
        <v>379787.99544000009</v>
      </c>
      <c r="U306" s="576" cm="1">
        <f t="array" ref="U306">_xlfn.ANCHORARRAY(U276) * $F$15</f>
        <v>394844.22208000004</v>
      </c>
      <c r="V306" s="576" cm="1">
        <f t="array" ref="V306">_xlfn.ANCHORARRAY(V276) * $F$15</f>
        <v>398942.23768000002</v>
      </c>
      <c r="W306" s="576" cm="1">
        <f t="array" ref="W306">_xlfn.ANCHORARRAY(W276) * $F$15</f>
        <v>403040.25328</v>
      </c>
      <c r="X306" s="576" cm="1">
        <f t="array" ref="X306">_xlfn.ANCHORARRAY(X276) * $F$15</f>
        <v>407138.26888000011</v>
      </c>
      <c r="Y306" s="576" cm="1">
        <f t="array" ref="Y306">_xlfn.ANCHORARRAY(Y276) * $F$15</f>
        <v>411248.01704000012</v>
      </c>
      <c r="Z306" s="576" cm="1">
        <f t="array" ref="Z306">_xlfn.ANCHORARRAY(Z276) * $F$15</f>
        <v>415346.03264000005</v>
      </c>
      <c r="AA306" s="576" cm="1">
        <f t="array" ref="AA306">_xlfn.ANCHORARRAY(AA276) * $F$15</f>
        <v>419455.78079999995</v>
      </c>
      <c r="AB306" s="576" cm="1">
        <f t="array" ref="AB306">_xlfn.ANCHORARRAY(AB276) * $F$15</f>
        <v>423553.79639999993</v>
      </c>
      <c r="AC306" s="576" cm="1">
        <f t="array" ref="AC306">_xlfn.ANCHORARRAY(AC276) * $F$15</f>
        <v>427651.81199999992</v>
      </c>
      <c r="AD306" s="576" cm="1">
        <f t="array" ref="AD306">_xlfn.ANCHORARRAY(AD276) * $F$15</f>
        <v>431761.56015999999</v>
      </c>
      <c r="AE306" s="576" cm="1">
        <f t="array" ref="AE306">_xlfn.ANCHORARRAY(AE276) * $F$15</f>
        <v>435859.57575999998</v>
      </c>
      <c r="AF306" s="576" cm="1">
        <f t="array" ref="AF306">_xlfn.ANCHORARRAY(AF276) * $F$15</f>
        <v>439957.59135999996</v>
      </c>
      <c r="AG306" s="714" cm="1">
        <f t="array" ref="AG306">_xlfn.ANCHORARRAY(AG276) * $F$15</f>
        <v>444067.33952000004</v>
      </c>
      <c r="AH306" s="5"/>
      <c r="AI306" s="5"/>
      <c r="AJ306" s="5"/>
      <c r="AK306" s="5"/>
      <c r="AL306" s="5"/>
      <c r="AM306" s="5"/>
      <c r="AN306" s="5"/>
    </row>
    <row r="307" spans="2:40" ht="21.95" customHeight="1" x14ac:dyDescent="0.2">
      <c r="B307" s="704"/>
      <c r="C307" s="715"/>
      <c r="D307" s="719"/>
      <c r="E307" s="1339"/>
      <c r="F307" s="116" t="s">
        <v>288</v>
      </c>
      <c r="G307" s="116" t="s">
        <v>340</v>
      </c>
      <c r="H307" s="576" cm="1">
        <f t="array" ref="H307">_xlfn.ANCHORARRAY(H277) * $F$15</f>
        <v>0</v>
      </c>
      <c r="I307" s="576" cm="1">
        <f t="array" ref="I307">_xlfn.ANCHORARRAY(I277) * $F$15</f>
        <v>28665.756799999999</v>
      </c>
      <c r="J307" s="576" cm="1">
        <f t="array" ref="J307">_xlfn.ANCHORARRAY(J277) * $F$15</f>
        <v>82095.056859999997</v>
      </c>
      <c r="K307" s="576" cm="1">
        <f t="array" ref="K307">_xlfn.ANCHORARRAY(K277) * $F$15</f>
        <v>184544.54895999999</v>
      </c>
      <c r="L307" s="576" cm="1">
        <f t="array" ref="L307">_xlfn.ANCHORARRAY(L277) * $F$15</f>
        <v>287050.84820000007</v>
      </c>
      <c r="M307" s="576" cm="1">
        <f t="array" ref="M307">_xlfn.ANCHORARRAY(M277) * $F$15</f>
        <v>389561.51721999986</v>
      </c>
      <c r="N307" s="576" cm="1">
        <f t="array" ref="N307">_xlfn.ANCHORARRAY(N277) * $F$15</f>
        <v>492011.00932000001</v>
      </c>
      <c r="O307" s="576" cm="1">
        <f t="array" ref="O307">_xlfn.ANCHORARRAY(O277) * $F$15</f>
        <v>594578.48548000003</v>
      </c>
      <c r="P307" s="576" cm="1">
        <f t="array" ref="P307">_xlfn.ANCHORARRAY(P277) * $F$15</f>
        <v>673671.50348000019</v>
      </c>
      <c r="Q307" s="576" cm="1">
        <f t="array" ref="Q307">_xlfn.ANCHORARRAY(Q277) * $F$15</f>
        <v>752777.63082000019</v>
      </c>
      <c r="R307" s="576" cm="1">
        <f t="array" ref="R307">_xlfn.ANCHORARRAY(R277) * $F$15</f>
        <v>831870.64881999989</v>
      </c>
      <c r="S307" s="576" cm="1">
        <f t="array" ref="S307">_xlfn.ANCHORARRAY(S277) * $F$15</f>
        <v>910963.66681999981</v>
      </c>
      <c r="T307" s="576" cm="1">
        <f t="array" ref="T307">_xlfn.ANCHORARRAY(T277) * $F$15</f>
        <v>990161.55953999993</v>
      </c>
      <c r="U307" s="576" cm="1">
        <f t="array" ref="U307">_xlfn.ANCHORARRAY(U277) * $F$15</f>
        <v>1029415.29328</v>
      </c>
      <c r="V307" s="576" cm="1">
        <f t="array" ref="V307">_xlfn.ANCHORARRAY(V277) * $F$15</f>
        <v>1040099.40538</v>
      </c>
      <c r="W307" s="576" cm="1">
        <f t="array" ref="W307">_xlfn.ANCHORARRAY(W277) * $F$15</f>
        <v>1050783.5174800002</v>
      </c>
      <c r="X307" s="576" cm="1">
        <f t="array" ref="X307">_xlfn.ANCHORARRAY(X277) * $F$15</f>
        <v>1061467.6295799999</v>
      </c>
      <c r="Y307" s="576" cm="1">
        <f t="array" ref="Y307">_xlfn.ANCHORARRAY(Y277) * $F$15</f>
        <v>1072182.3301400002</v>
      </c>
      <c r="Z307" s="576" cm="1">
        <f t="array" ref="Z307">_xlfn.ANCHORARRAY(Z277) * $F$15</f>
        <v>1082866.44224</v>
      </c>
      <c r="AA307" s="576" cm="1">
        <f t="array" ref="AA307">_xlfn.ANCHORARRAY(AA277) * $F$15</f>
        <v>1093581.1427999998</v>
      </c>
      <c r="AB307" s="576" cm="1">
        <f t="array" ref="AB307">_xlfn.ANCHORARRAY(AB277) * $F$15</f>
        <v>1104265.2548999998</v>
      </c>
      <c r="AC307" s="576" cm="1">
        <f t="array" ref="AC307">_xlfn.ANCHORARRAY(AC277) * $F$15</f>
        <v>1114949.3669999999</v>
      </c>
      <c r="AD307" s="576" cm="1">
        <f t="array" ref="AD307">_xlfn.ANCHORARRAY(AD277) * $F$15</f>
        <v>1125664.0675599996</v>
      </c>
      <c r="AE307" s="576" cm="1">
        <f t="array" ref="AE307">_xlfn.ANCHORARRAY(AE277) * $F$15</f>
        <v>1136348.1796599999</v>
      </c>
      <c r="AF307" s="576" cm="1">
        <f t="array" ref="AF307">_xlfn.ANCHORARRAY(AF277) * $F$15</f>
        <v>1147032.2917599999</v>
      </c>
      <c r="AG307" s="714" cm="1">
        <f t="array" ref="AG307">_xlfn.ANCHORARRAY(AG277) * $F$15</f>
        <v>1157746.99232</v>
      </c>
      <c r="AH307" s="5"/>
      <c r="AI307" s="5"/>
      <c r="AJ307" s="5"/>
      <c r="AK307" s="5"/>
      <c r="AL307" s="5"/>
      <c r="AM307" s="5"/>
      <c r="AN307" s="5"/>
    </row>
    <row r="308" spans="2:40" ht="21.95" customHeight="1" x14ac:dyDescent="0.2">
      <c r="B308" s="704"/>
      <c r="C308" s="715"/>
      <c r="D308" s="719"/>
      <c r="E308" s="1353"/>
      <c r="F308" s="254" t="s">
        <v>340</v>
      </c>
      <c r="G308" s="254" t="s">
        <v>280</v>
      </c>
      <c r="H308" s="576" cm="1">
        <f t="array" ref="H308">_xlfn.ANCHORARRAY(H278) * $F$15</f>
        <v>37711.800000000003</v>
      </c>
      <c r="I308" s="576" cm="1">
        <f t="array" ref="I308">_xlfn.ANCHORARRAY(I278) * $F$15</f>
        <v>56216.980260000004</v>
      </c>
      <c r="J308" s="576" cm="1">
        <f t="array" ref="J308">_xlfn.ANCHORARRAY(J278) * $F$15</f>
        <v>79149.525840000017</v>
      </c>
      <c r="K308" s="576" cm="1">
        <f t="array" ref="K308">_xlfn.ANCHORARRAY(K278) * $F$15</f>
        <v>137122.61892000001</v>
      </c>
      <c r="L308" s="576" cm="1">
        <f t="array" ref="L308">_xlfn.ANCHORARRAY(L278) * $F$15</f>
        <v>195101.99729999999</v>
      </c>
      <c r="M308" s="576" cm="1">
        <f t="array" ref="M308">_xlfn.ANCHORARRAY(M278) * $F$15</f>
        <v>253110.28806000002</v>
      </c>
      <c r="N308" s="576" cm="1">
        <f t="array" ref="N308">_xlfn.ANCHORARRAY(N278) * $F$15</f>
        <v>311083.38114000001</v>
      </c>
      <c r="O308" s="576" cm="1">
        <f t="array" ref="O308">_xlfn.ANCHORARRAY(O278) * $F$15</f>
        <v>369037.61832000001</v>
      </c>
      <c r="P308" s="576" cm="1">
        <f t="array" ref="P308">_xlfn.ANCHORARRAY(P278) * $F$15</f>
        <v>516554.86638000002</v>
      </c>
      <c r="Q308" s="576" cm="1">
        <f t="array" ref="Q308">_xlfn.ANCHORARRAY(Q278) * $F$15</f>
        <v>664014.28968000005</v>
      </c>
      <c r="R308" s="576" cm="1">
        <f t="array" ref="R308">_xlfn.ANCHORARRAY(R278) * $F$15</f>
        <v>811462.39944000007</v>
      </c>
      <c r="S308" s="576" cm="1">
        <f t="array" ref="S308">_xlfn.ANCHORARRAY(S278) * $F$15</f>
        <v>958979.64750000008</v>
      </c>
      <c r="T308" s="576" cm="1">
        <f t="array" ref="T308">_xlfn.ANCHORARRAY(T278) * $F$15</f>
        <v>1106478.0396600002</v>
      </c>
      <c r="U308" s="576" cm="1">
        <f t="array" ref="U308">_xlfn.ANCHORARRAY(U278) * $F$15</f>
        <v>1218910.7431200002</v>
      </c>
      <c r="V308" s="576" cm="1">
        <f t="array" ref="V308">_xlfn.ANCHORARRAY(V278) * $F$15</f>
        <v>1237415.9233800001</v>
      </c>
      <c r="W308" s="576" cm="1">
        <f t="array" ref="W308">_xlfn.ANCHORARRAY(W278) * $F$15</f>
        <v>1255921.1036400001</v>
      </c>
      <c r="X308" s="576" cm="1">
        <f t="array" ref="X308">_xlfn.ANCHORARRAY(X278) * $F$15</f>
        <v>1274426.2839000002</v>
      </c>
      <c r="Y308" s="576" cm="1">
        <f t="array" ref="Y308">_xlfn.ANCHORARRAY(Y278) * $F$15</f>
        <v>1292874.8964600002</v>
      </c>
      <c r="Z308" s="576" cm="1">
        <f t="array" ref="Z308">_xlfn.ANCHORARRAY(Z278) * $F$15</f>
        <v>1311380.0767200002</v>
      </c>
      <c r="AA308" s="576" cm="1">
        <f t="array" ref="AA308">_xlfn.ANCHORARRAY(AA278) * $F$15</f>
        <v>1329828.68928</v>
      </c>
      <c r="AB308" s="576" cm="1">
        <f t="array" ref="AB308">_xlfn.ANCHORARRAY(AB278) * $F$15</f>
        <v>1348333.8695400001</v>
      </c>
      <c r="AC308" s="576" cm="1">
        <f t="array" ref="AC308">_xlfn.ANCHORARRAY(AC278) * $F$15</f>
        <v>1366839.0498000002</v>
      </c>
      <c r="AD308" s="576" cm="1">
        <f t="array" ref="AD308">_xlfn.ANCHORARRAY(AD278) * $F$15</f>
        <v>1385287.6623600002</v>
      </c>
      <c r="AE308" s="576" cm="1">
        <f t="array" ref="AE308">_xlfn.ANCHORARRAY(AE278) * $F$15</f>
        <v>1403792.84262</v>
      </c>
      <c r="AF308" s="576" cm="1">
        <f t="array" ref="AF308">_xlfn.ANCHORARRAY(AF278) * $F$15</f>
        <v>1422298.0228800001</v>
      </c>
      <c r="AG308" s="714" cm="1">
        <f t="array" ref="AG308">_xlfn.ANCHORARRAY(AG278) * $F$15</f>
        <v>1440746.6354400001</v>
      </c>
      <c r="AH308" s="5"/>
      <c r="AI308" s="5"/>
      <c r="AJ308" s="5"/>
      <c r="AK308" s="5"/>
      <c r="AL308" s="5"/>
      <c r="AM308" s="5"/>
      <c r="AN308" s="5"/>
    </row>
    <row r="309" spans="2:40" ht="21.95" customHeight="1" x14ac:dyDescent="0.2">
      <c r="B309" s="704"/>
      <c r="C309" s="715"/>
      <c r="D309" s="719"/>
      <c r="E309" s="1340" t="s">
        <v>334</v>
      </c>
      <c r="F309" s="116" t="s">
        <v>336</v>
      </c>
      <c r="G309" s="116" t="s">
        <v>337</v>
      </c>
      <c r="H309" s="576" cm="1">
        <f t="array" ref="H309">_xlfn.ANCHORARRAY(H279) * $F$15</f>
        <v>838040</v>
      </c>
      <c r="I309" s="576" cm="1">
        <f t="array" ref="I309">_xlfn.ANCHORARRAY(I279) * $F$15</f>
        <v>861253.70799999998</v>
      </c>
      <c r="J309" s="576" cm="1">
        <f t="array" ref="J309">_xlfn.ANCHORARRAY(J279) * $F$15</f>
        <v>898717.08900000004</v>
      </c>
      <c r="K309" s="576" cm="1">
        <f t="array" ref="K309">_xlfn.ANCHORARRAY(K279) * $F$15</f>
        <v>952237.91500000004</v>
      </c>
      <c r="L309" s="576" cm="1">
        <f t="array" ref="L309">_xlfn.ANCHORARRAY(L279) * $F$15</f>
        <v>1005782.6850000002</v>
      </c>
      <c r="M309" s="576" cm="1">
        <f t="array" ref="M309">_xlfn.ANCHORARRAY(M279) * $F$15</f>
        <v>1059324.4620000003</v>
      </c>
      <c r="N309" s="576" cm="1">
        <f t="array" ref="N309">_xlfn.ANCHORARRAY(N279) * $F$15</f>
        <v>1112845.2880000004</v>
      </c>
      <c r="O309" s="576" cm="1">
        <f t="array" ref="O309">_xlfn.ANCHORARRAY(O279) * $F$15</f>
        <v>1166414.0020000001</v>
      </c>
      <c r="P309" s="576" cm="1">
        <f t="array" ref="P309">_xlfn.ANCHORARRAY(P279) * $F$15</f>
        <v>1214095.4849999999</v>
      </c>
      <c r="Q309" s="576" cm="1">
        <f t="array" ref="Q309">_xlfn.ANCHORARRAY(Q279) * $F$15</f>
        <v>1261791.933</v>
      </c>
      <c r="R309" s="576" cm="1">
        <f t="array" ref="R309">_xlfn.ANCHORARRAY(R279) * $F$15</f>
        <v>1309473.416</v>
      </c>
      <c r="S309" s="576" cm="1">
        <f t="array" ref="S309">_xlfn.ANCHORARRAY(S279) * $F$15</f>
        <v>1357154.899</v>
      </c>
      <c r="T309" s="576" cm="1">
        <f t="array" ref="T309">_xlfn.ANCHORARRAY(T279) * $F$15</f>
        <v>1404884.27</v>
      </c>
      <c r="U309" s="576" cm="1">
        <f t="array" ref="U309">_xlfn.ANCHORARRAY(U279) * $F$15</f>
        <v>1436484.3640000001</v>
      </c>
      <c r="V309" s="576" cm="1">
        <f t="array" ref="V309">_xlfn.ANCHORARRAY(V279) * $F$15</f>
        <v>1459698.0720000002</v>
      </c>
      <c r="W309" s="576" cm="1">
        <f t="array" ref="W309">_xlfn.ANCHORARRAY(W279) * $F$15</f>
        <v>1482911.78</v>
      </c>
      <c r="X309" s="576" cm="1">
        <f t="array" ref="X309">_xlfn.ANCHORARRAY(X279) * $F$15</f>
        <v>1506125.4880000001</v>
      </c>
      <c r="Y309" s="576" cm="1">
        <f t="array" ref="Y309">_xlfn.ANCHORARRAY(Y279) * $F$15</f>
        <v>1529354.1610000001</v>
      </c>
      <c r="Z309" s="576" cm="1">
        <f t="array" ref="Z309">_xlfn.ANCHORARRAY(Z279) * $F$15</f>
        <v>1552567.8690000004</v>
      </c>
      <c r="AA309" s="576" cm="1">
        <f t="array" ref="AA309">_xlfn.ANCHORARRAY(AA279) * $F$15</f>
        <v>1575796.5419999997</v>
      </c>
      <c r="AB309" s="576" cm="1">
        <f t="array" ref="AB309">_xlfn.ANCHORARRAY(AB279) * $F$15</f>
        <v>1599010.2499999998</v>
      </c>
      <c r="AC309" s="576" cm="1">
        <f t="array" ref="AC309">_xlfn.ANCHORARRAY(AC279) * $F$15</f>
        <v>1622223.9580000001</v>
      </c>
      <c r="AD309" s="576" cm="1">
        <f t="array" ref="AD309">_xlfn.ANCHORARRAY(AD279) * $F$15</f>
        <v>1645452.6310000001</v>
      </c>
      <c r="AE309" s="576" cm="1">
        <f t="array" ref="AE309">_xlfn.ANCHORARRAY(AE279) * $F$15</f>
        <v>1668666.3389999997</v>
      </c>
      <c r="AF309" s="576" cm="1">
        <f t="array" ref="AF309">_xlfn.ANCHORARRAY(AF279) * $F$15</f>
        <v>1691880.0469999998</v>
      </c>
      <c r="AG309" s="714" cm="1">
        <f t="array" ref="AG309">_xlfn.ANCHORARRAY(AG279) * $F$15</f>
        <v>1715108.7199999997</v>
      </c>
      <c r="AH309" s="5"/>
      <c r="AI309" s="5"/>
      <c r="AJ309" s="5"/>
      <c r="AK309" s="5"/>
      <c r="AL309" s="5"/>
      <c r="AM309" s="5"/>
      <c r="AN309" s="5"/>
    </row>
    <row r="310" spans="2:40" ht="21.95" customHeight="1" x14ac:dyDescent="0.2">
      <c r="B310" s="704"/>
      <c r="C310" s="715"/>
      <c r="D310" s="719"/>
      <c r="E310" s="1339"/>
      <c r="F310" s="116" t="s">
        <v>337</v>
      </c>
      <c r="G310" s="116" t="s">
        <v>386</v>
      </c>
      <c r="H310" s="576" cm="1">
        <f t="array" ref="H310">_xlfn.ANCHORARRAY(H280) * $F$15</f>
        <v>1316920</v>
      </c>
      <c r="I310" s="576" cm="1">
        <f t="array" ref="I310">_xlfn.ANCHORARRAY(I280) * $F$15</f>
        <v>1319553.8400000001</v>
      </c>
      <c r="J310" s="576" cm="1">
        <f t="array" ref="J310">_xlfn.ANCHORARRAY(J280) * $F$15</f>
        <v>1322187.6800000002</v>
      </c>
      <c r="K310" s="576" cm="1">
        <f t="array" ref="K310">_xlfn.ANCHORARRAY(K280) * $F$15</f>
        <v>1324821.52</v>
      </c>
      <c r="L310" s="576" cm="1">
        <f t="array" ref="L310">_xlfn.ANCHORARRAY(L280) * $F$15</f>
        <v>1327455.3600000001</v>
      </c>
      <c r="M310" s="576" cm="1">
        <f t="array" ref="M310">_xlfn.ANCHORARRAY(M280) * $F$15</f>
        <v>1330089.2</v>
      </c>
      <c r="N310" s="576" cm="1">
        <f t="array" ref="N310">_xlfn.ANCHORARRAY(N280) * $F$15</f>
        <v>1332723.04</v>
      </c>
      <c r="O310" s="576" cm="1">
        <f t="array" ref="O310">_xlfn.ANCHORARRAY(O280) * $F$15</f>
        <v>1335356.8800000001</v>
      </c>
      <c r="P310" s="576" cm="1">
        <f t="array" ref="P310">_xlfn.ANCHORARRAY(P280) * $F$15</f>
        <v>1337990.72</v>
      </c>
      <c r="Q310" s="576" cm="1">
        <f t="array" ref="Q310">_xlfn.ANCHORARRAY(Q280) * $F$15</f>
        <v>1337990.72</v>
      </c>
      <c r="R310" s="576" cm="1">
        <f t="array" ref="R310">_xlfn.ANCHORARRAY(R280) * $F$15</f>
        <v>1369590.2154000001</v>
      </c>
      <c r="S310" s="576" cm="1">
        <f t="array" ref="S310">_xlfn.ANCHORARRAY(S280) * $F$15</f>
        <v>1404446.6933999998</v>
      </c>
      <c r="T310" s="576" cm="1">
        <f t="array" ref="T310">_xlfn.ANCHORARRAY(T280) * $F$15</f>
        <v>1439324.7209999997</v>
      </c>
      <c r="U310" s="576" cm="1">
        <f t="array" ref="U310">_xlfn.ANCHORARRAY(U280) * $F$15</f>
        <v>1467441.5615999999</v>
      </c>
      <c r="V310" s="576" cm="1">
        <f t="array" ref="V310">_xlfn.ANCHORARRAY(V280) * $F$15</f>
        <v>1490526.5705999997</v>
      </c>
      <c r="W310" s="576" cm="1">
        <f t="array" ref="W310">_xlfn.ANCHORARRAY(W280) * $F$15</f>
        <v>1513611.5795999996</v>
      </c>
      <c r="X310" s="576" cm="1">
        <f t="array" ref="X310">_xlfn.ANCHORARRAY(X280) * $F$15</f>
        <v>1536696.5885999999</v>
      </c>
      <c r="Y310" s="576" cm="1">
        <f t="array" ref="Y310">_xlfn.ANCHORARRAY(Y280) * $F$15</f>
        <v>1559786.9849999999</v>
      </c>
      <c r="Z310" s="576" cm="1">
        <f t="array" ref="Z310">_xlfn.ANCHORARRAY(Z280) * $F$15</f>
        <v>1582871.9939999997</v>
      </c>
      <c r="AA310" s="576" cm="1">
        <f t="array" ref="AA310">_xlfn.ANCHORARRAY(AA280) * $F$15</f>
        <v>1605962.3903999997</v>
      </c>
      <c r="AB310" s="576" cm="1">
        <f t="array" ref="AB310">_xlfn.ANCHORARRAY(AB280) * $F$15</f>
        <v>1629047.3994</v>
      </c>
      <c r="AC310" s="576" cm="1">
        <f t="array" ref="AC310">_xlfn.ANCHORARRAY(AC280) * $F$15</f>
        <v>1652132.4083999996</v>
      </c>
      <c r="AD310" s="576" cm="1">
        <f t="array" ref="AD310">_xlfn.ANCHORARRAY(AD280) * $F$15</f>
        <v>1675222.8048</v>
      </c>
      <c r="AE310" s="576" cm="1">
        <f t="array" ref="AE310">_xlfn.ANCHORARRAY(AE280) * $F$15</f>
        <v>1698307.8137999997</v>
      </c>
      <c r="AF310" s="576" cm="1">
        <f t="array" ref="AF310">_xlfn.ANCHORARRAY(AF280) * $F$15</f>
        <v>1721392.8228</v>
      </c>
      <c r="AG310" s="714" cm="1">
        <f t="array" ref="AG310">_xlfn.ANCHORARRAY(AG280) * $F$15</f>
        <v>1744483.2191999999</v>
      </c>
      <c r="AH310" s="5"/>
      <c r="AI310" s="5"/>
      <c r="AJ310" s="5"/>
      <c r="AK310" s="5"/>
      <c r="AL310" s="5"/>
      <c r="AM310" s="5"/>
      <c r="AN310" s="5"/>
    </row>
    <row r="311" spans="2:40" ht="21.95" customHeight="1" x14ac:dyDescent="0.2">
      <c r="B311" s="704"/>
      <c r="C311" s="715"/>
      <c r="D311" s="719"/>
      <c r="E311" s="1339"/>
      <c r="F311" s="116" t="s">
        <v>342</v>
      </c>
      <c r="G311" s="116" t="s">
        <v>341</v>
      </c>
      <c r="H311" s="576" cm="1">
        <f t="array" ref="H311">_xlfn.ANCHORARRAY(H281) * $F$15</f>
        <v>1711996</v>
      </c>
      <c r="I311" s="576" cm="1">
        <f t="array" ref="I311">_xlfn.ANCHORARRAY(I281) * $F$15</f>
        <v>1715419.9920000001</v>
      </c>
      <c r="J311" s="576" cm="1">
        <f t="array" ref="J311">_xlfn.ANCHORARRAY(J281) * $F$15</f>
        <v>1718843.9840000002</v>
      </c>
      <c r="K311" s="576" cm="1">
        <f t="array" ref="K311">_xlfn.ANCHORARRAY(K281) * $F$15</f>
        <v>1722267.976</v>
      </c>
      <c r="L311" s="576" cm="1">
        <f t="array" ref="L311">_xlfn.ANCHORARRAY(L281) * $F$15</f>
        <v>1725691.9680000001</v>
      </c>
      <c r="M311" s="576" cm="1">
        <f t="array" ref="M311">_xlfn.ANCHORARRAY(M281) * $F$15</f>
        <v>1729115.96</v>
      </c>
      <c r="N311" s="576" cm="1">
        <f t="array" ref="N311">_xlfn.ANCHORARRAY(N281) * $F$15</f>
        <v>1732539.952</v>
      </c>
      <c r="O311" s="576" cm="1">
        <f t="array" ref="O311">_xlfn.ANCHORARRAY(O281) * $F$15</f>
        <v>1735963.9440000001</v>
      </c>
      <c r="P311" s="576" cm="1">
        <f t="array" ref="P311">_xlfn.ANCHORARRAY(P281) * $F$15</f>
        <v>1739387.936</v>
      </c>
      <c r="Q311" s="576" cm="1">
        <f t="array" ref="Q311">_xlfn.ANCHORARRAY(Q281) * $F$15</f>
        <v>1739387.936</v>
      </c>
      <c r="R311" s="576" cm="1">
        <f t="array" ref="R311">_xlfn.ANCHORARRAY(R281) * $F$15</f>
        <v>1780467.2800199999</v>
      </c>
      <c r="S311" s="576" cm="1">
        <f t="array" ref="S311">_xlfn.ANCHORARRAY(S281) * $F$15</f>
        <v>1825780.7014199996</v>
      </c>
      <c r="T311" s="576" cm="1">
        <f t="array" ref="T311">_xlfn.ANCHORARRAY(T281) * $F$15</f>
        <v>1871122.1372999996</v>
      </c>
      <c r="U311" s="576" cm="1">
        <f t="array" ref="U311">_xlfn.ANCHORARRAY(U281) * $F$15</f>
        <v>1907674.0300799999</v>
      </c>
      <c r="V311" s="576" cm="1">
        <f t="array" ref="V311">_xlfn.ANCHORARRAY(V281) * $F$15</f>
        <v>1937684.5417799996</v>
      </c>
      <c r="W311" s="576" cm="1">
        <f t="array" ref="W311">_xlfn.ANCHORARRAY(W281) * $F$15</f>
        <v>1967695.0534799995</v>
      </c>
      <c r="X311" s="576" cm="1">
        <f t="array" ref="X311">_xlfn.ANCHORARRAY(X281) * $F$15</f>
        <v>1997705.5651799999</v>
      </c>
      <c r="Y311" s="576" cm="1">
        <f t="array" ref="Y311">_xlfn.ANCHORARRAY(Y281) * $F$15</f>
        <v>2027723.0804999997</v>
      </c>
      <c r="Z311" s="576" cm="1">
        <f t="array" ref="Z311">_xlfn.ANCHORARRAY(Z281) * $F$15</f>
        <v>2057733.5921999998</v>
      </c>
      <c r="AA311" s="576" cm="1">
        <f t="array" ref="AA311">_xlfn.ANCHORARRAY(AA281) * $F$15</f>
        <v>2087751.1075199998</v>
      </c>
      <c r="AB311" s="576" cm="1">
        <f t="array" ref="AB311">_xlfn.ANCHORARRAY(AB281) * $F$15</f>
        <v>2117761.6192200002</v>
      </c>
      <c r="AC311" s="576" cm="1">
        <f t="array" ref="AC311">_xlfn.ANCHORARRAY(AC281) * $F$15</f>
        <v>2147772.1309199994</v>
      </c>
      <c r="AD311" s="576" cm="1">
        <f t="array" ref="AD311">_xlfn.ANCHORARRAY(AD281) * $F$15</f>
        <v>2177789.6462400001</v>
      </c>
      <c r="AE311" s="576" cm="1">
        <f t="array" ref="AE311">_xlfn.ANCHORARRAY(AE281) * $F$15</f>
        <v>2207800.1579399998</v>
      </c>
      <c r="AF311" s="576" cm="1">
        <f t="array" ref="AF311">_xlfn.ANCHORARRAY(AF281) * $F$15</f>
        <v>2237810.66964</v>
      </c>
      <c r="AG311" s="714" cm="1">
        <f t="array" ref="AG311">_xlfn.ANCHORARRAY(AG281) * $F$15</f>
        <v>2267828.1849599998</v>
      </c>
      <c r="AH311" s="5"/>
      <c r="AI311" s="5"/>
      <c r="AJ311" s="5"/>
      <c r="AK311" s="5"/>
      <c r="AL311" s="5"/>
      <c r="AM311" s="5"/>
      <c r="AN311" s="5"/>
    </row>
    <row r="312" spans="2:40" ht="21.95" customHeight="1" x14ac:dyDescent="0.2">
      <c r="B312" s="704"/>
      <c r="C312" s="715"/>
      <c r="D312" s="719"/>
      <c r="E312" s="1339"/>
      <c r="F312" s="116" t="s">
        <v>341</v>
      </c>
      <c r="G312" s="116" t="s">
        <v>344</v>
      </c>
      <c r="H312" s="576" cm="1">
        <f t="array" ref="H312">_xlfn.ANCHORARRAY(H282) * $F$15</f>
        <v>1898759.2000000002</v>
      </c>
      <c r="I312" s="576" cm="1">
        <f t="array" ref="I312">_xlfn.ANCHORARRAY(I282) * $F$15</f>
        <v>1902556.7184000001</v>
      </c>
      <c r="J312" s="576" cm="1">
        <f t="array" ref="J312">_xlfn.ANCHORARRAY(J282) * $F$15</f>
        <v>1906354.2368000001</v>
      </c>
      <c r="K312" s="576" cm="1">
        <f t="array" ref="K312">_xlfn.ANCHORARRAY(K282) * $F$15</f>
        <v>1910151.7551999998</v>
      </c>
      <c r="L312" s="576" cm="1">
        <f t="array" ref="L312">_xlfn.ANCHORARRAY(L282) * $F$15</f>
        <v>1913949.2736000002</v>
      </c>
      <c r="M312" s="576" cm="1">
        <f t="array" ref="M312">_xlfn.ANCHORARRAY(M282) * $F$15</f>
        <v>1917746.7920000001</v>
      </c>
      <c r="N312" s="576" cm="1">
        <f t="array" ref="N312">_xlfn.ANCHORARRAY(N282) * $F$15</f>
        <v>1921544.3104000001</v>
      </c>
      <c r="O312" s="576" cm="1">
        <f t="array" ref="O312">_xlfn.ANCHORARRAY(O282) * $F$15</f>
        <v>1925341.8288</v>
      </c>
      <c r="P312" s="576" cm="1">
        <f t="array" ref="P312">_xlfn.ANCHORARRAY(P282) * $F$15</f>
        <v>1929139.3472</v>
      </c>
      <c r="Q312" s="576" cm="1">
        <f t="array" ref="Q312">_xlfn.ANCHORARRAY(Q282) * $F$15</f>
        <v>1929139.3472</v>
      </c>
      <c r="R312" s="576" cm="1">
        <f t="array" ref="R312">_xlfn.ANCHORARRAY(R282) * $F$15</f>
        <v>1938244.0728340796</v>
      </c>
      <c r="S312" s="576" cm="1">
        <f t="array" ref="S312">_xlfn.ANCHORARRAY(S282) * $F$15</f>
        <v>1970438.7108401994</v>
      </c>
      <c r="T312" s="576" cm="1">
        <f t="array" ref="T312">_xlfn.ANCHORARRAY(T282) * $F$15</f>
        <v>2001812.8219667994</v>
      </c>
      <c r="U312" s="576" cm="1">
        <f t="array" ref="U312">_xlfn.ANCHORARRAY(U282) * $F$15</f>
        <v>2023014.9368217597</v>
      </c>
      <c r="V312" s="576" cm="1">
        <f t="array" ref="V312">_xlfn.ANCHORARRAY(V282) * $F$15</f>
        <v>2036655.5060678399</v>
      </c>
      <c r="W312" s="576" cm="1">
        <f t="array" ref="W312">_xlfn.ANCHORARRAY(W282) * $F$15</f>
        <v>2068198.8623654398</v>
      </c>
      <c r="X312" s="576" cm="1">
        <f t="array" ref="X312">_xlfn.ANCHORARRAY(X282) * $F$15</f>
        <v>2099742.2186630396</v>
      </c>
      <c r="Y312" s="576" cm="1">
        <f t="array" ref="Y312">_xlfn.ANCHORARRAY(Y282) * $F$15</f>
        <v>2131292.9363039997</v>
      </c>
      <c r="Z312" s="576" cm="1">
        <f t="array" ref="Z312">_xlfn.ANCHORARRAY(Z282) * $F$15</f>
        <v>2162836.2926015994</v>
      </c>
      <c r="AA312" s="576" cm="1">
        <f t="array" ref="AA312">_xlfn.ANCHORARRAY(AA282) * $F$15</f>
        <v>2194387.0102425599</v>
      </c>
      <c r="AB312" s="576" cm="1">
        <f t="array" ref="AB312">_xlfn.ANCHORARRAY(AB282) * $F$15</f>
        <v>2225930.36654016</v>
      </c>
      <c r="AC312" s="576" cm="1">
        <f t="array" ref="AC312">_xlfn.ANCHORARRAY(AC282) * $F$15</f>
        <v>2257473.7228377596</v>
      </c>
      <c r="AD312" s="576" cm="1">
        <f t="array" ref="AD312">_xlfn.ANCHORARRAY(AD282) * $F$15</f>
        <v>2289024.4404787202</v>
      </c>
      <c r="AE312" s="576" cm="1">
        <f t="array" ref="AE312">_xlfn.ANCHORARRAY(AE282) * $F$15</f>
        <v>2320567.7967763194</v>
      </c>
      <c r="AF312" s="576" cm="1">
        <f t="array" ref="AF312">_xlfn.ANCHORARRAY(AF282) * $F$15</f>
        <v>2352111.1530739199</v>
      </c>
      <c r="AG312" s="714" cm="1">
        <f t="array" ref="AG312">_xlfn.ANCHORARRAY(AG282) * $F$15</f>
        <v>2383661.8707148796</v>
      </c>
      <c r="AH312" s="5"/>
      <c r="AI312" s="5"/>
      <c r="AJ312" s="5"/>
      <c r="AK312" s="5"/>
      <c r="AL312" s="5"/>
      <c r="AM312" s="5"/>
      <c r="AN312" s="5"/>
    </row>
    <row r="313" spans="2:40" ht="21.95" customHeight="1" x14ac:dyDescent="0.2">
      <c r="B313" s="704"/>
      <c r="C313" s="715"/>
      <c r="D313" s="719"/>
      <c r="E313" s="1339"/>
      <c r="F313" s="116" t="s">
        <v>344</v>
      </c>
      <c r="G313" s="116" t="s">
        <v>345</v>
      </c>
      <c r="H313" s="576" cm="1">
        <f t="array" ref="H313">_xlfn.ANCHORARRAY(H283) * $F$15</f>
        <v>778180</v>
      </c>
      <c r="I313" s="576" cm="1">
        <f t="array" ref="I313">_xlfn.ANCHORARRAY(I283) * $F$15</f>
        <v>779736.36</v>
      </c>
      <c r="J313" s="576" cm="1">
        <f t="array" ref="J313">_xlfn.ANCHORARRAY(J283) * $F$15</f>
        <v>781292.72000000009</v>
      </c>
      <c r="K313" s="576" cm="1">
        <f t="array" ref="K313">_xlfn.ANCHORARRAY(K283) * $F$15</f>
        <v>782849.08000000007</v>
      </c>
      <c r="L313" s="576" cm="1">
        <f t="array" ref="L313">_xlfn.ANCHORARRAY(L283) * $F$15</f>
        <v>784405.44000000006</v>
      </c>
      <c r="M313" s="576" cm="1">
        <f t="array" ref="M313">_xlfn.ANCHORARRAY(M283) * $F$15</f>
        <v>785961.8</v>
      </c>
      <c r="N313" s="576" cm="1">
        <f t="array" ref="N313">_xlfn.ANCHORARRAY(N283) * $F$15</f>
        <v>787518.16</v>
      </c>
      <c r="O313" s="576" cm="1">
        <f t="array" ref="O313">_xlfn.ANCHORARRAY(O283) * $F$15</f>
        <v>789074.52</v>
      </c>
      <c r="P313" s="576" cm="1">
        <f t="array" ref="P313">_xlfn.ANCHORARRAY(P283) * $F$15</f>
        <v>790630.88</v>
      </c>
      <c r="Q313" s="576" cm="1">
        <f t="array" ref="Q313">_xlfn.ANCHORARRAY(Q283) * $F$15</f>
        <v>790630.88</v>
      </c>
      <c r="R313" s="576" cm="1">
        <f t="array" ref="R313">_xlfn.ANCHORARRAY(R283) * $F$15</f>
        <v>794362.3249319999</v>
      </c>
      <c r="S313" s="576" cm="1">
        <f t="array" ref="S313">_xlfn.ANCHORARRAY(S283) * $F$15</f>
        <v>807556.84870499989</v>
      </c>
      <c r="T313" s="576" cm="1">
        <f t="array" ref="T313">_xlfn.ANCHORARRAY(T283) * $F$15</f>
        <v>820415.09096999979</v>
      </c>
      <c r="U313" s="576" cm="1">
        <f t="array" ref="U313">_xlfn.ANCHORARRAY(U283) * $F$15</f>
        <v>829104.48230399983</v>
      </c>
      <c r="V313" s="576" cm="1">
        <f t="array" ref="V313">_xlfn.ANCHORARRAY(V283) * $F$15</f>
        <v>834694.87953599996</v>
      </c>
      <c r="W313" s="576" cm="1">
        <f t="array" ref="W313">_xlfn.ANCHORARRAY(W283) * $F$15</f>
        <v>847622.4845759999</v>
      </c>
      <c r="X313" s="576" cm="1">
        <f t="array" ref="X313">_xlfn.ANCHORARRAY(X283) * $F$15</f>
        <v>860550.08961599995</v>
      </c>
      <c r="Y313" s="576" cm="1">
        <f t="array" ref="Y313">_xlfn.ANCHORARRAY(Y283) * $F$15</f>
        <v>873480.71159999992</v>
      </c>
      <c r="Z313" s="576" cm="1">
        <f t="array" ref="Z313">_xlfn.ANCHORARRAY(Z283) * $F$15</f>
        <v>886408.31663999986</v>
      </c>
      <c r="AA313" s="576" cm="1">
        <f t="array" ref="AA313">_xlfn.ANCHORARRAY(AA283) * $F$15</f>
        <v>899338.93862400006</v>
      </c>
      <c r="AB313" s="576" cm="1">
        <f t="array" ref="AB313">_xlfn.ANCHORARRAY(AB283) * $F$15</f>
        <v>912266.54366400011</v>
      </c>
      <c r="AC313" s="576" cm="1">
        <f t="array" ref="AC313">_xlfn.ANCHORARRAY(AC283) * $F$15</f>
        <v>925194.14870399993</v>
      </c>
      <c r="AD313" s="576" cm="1">
        <f t="array" ref="AD313">_xlfn.ANCHORARRAY(AD283) * $F$15</f>
        <v>938124.77068800002</v>
      </c>
      <c r="AE313" s="576" cm="1">
        <f t="array" ref="AE313">_xlfn.ANCHORARRAY(AE283) * $F$15</f>
        <v>951052.37572799972</v>
      </c>
      <c r="AF313" s="576" cm="1">
        <f t="array" ref="AF313">_xlfn.ANCHORARRAY(AF283) * $F$15</f>
        <v>963979.98076799989</v>
      </c>
      <c r="AG313" s="714" cm="1">
        <f t="array" ref="AG313">_xlfn.ANCHORARRAY(AG283) * $F$15</f>
        <v>976910.60275199998</v>
      </c>
      <c r="AH313" s="5"/>
      <c r="AI313" s="5"/>
      <c r="AJ313" s="5"/>
      <c r="AK313" s="5"/>
      <c r="AL313" s="5"/>
      <c r="AM313" s="5"/>
      <c r="AN313" s="5"/>
    </row>
    <row r="314" spans="2:40" ht="21.95" customHeight="1" x14ac:dyDescent="0.2">
      <c r="B314" s="704"/>
      <c r="C314" s="715"/>
      <c r="D314" s="719"/>
      <c r="E314" s="1339"/>
      <c r="F314" s="116" t="s">
        <v>345</v>
      </c>
      <c r="G314" s="116" t="s">
        <v>323</v>
      </c>
      <c r="H314" s="576" cm="1">
        <f t="array" ref="H314">_xlfn.ANCHORARRAY(H284) * $F$15</f>
        <v>9386048</v>
      </c>
      <c r="I314" s="576" cm="1">
        <f t="array" ref="I314">_xlfn.ANCHORARRAY(I284) * $F$15</f>
        <v>9601508.0840000007</v>
      </c>
      <c r="J314" s="576" cm="1">
        <f t="array" ref="J314">_xlfn.ANCHORARRAY(J284) * $F$15</f>
        <v>9916661.4063999988</v>
      </c>
      <c r="K314" s="576" cm="1">
        <f t="array" ref="K314">_xlfn.ANCHORARRAY(K284) * $F$15</f>
        <v>10294617.4464</v>
      </c>
      <c r="L314" s="576" cm="1">
        <f t="array" ref="L314">_xlfn.ANCHORARRAY(L284) * $F$15</f>
        <v>10672674.051200001</v>
      </c>
      <c r="M314" s="576" cm="1">
        <f t="array" ref="M314">_xlfn.ANCHORARRAY(M284) * $F$15</f>
        <v>11050764.177600004</v>
      </c>
      <c r="N314" s="576" cm="1">
        <f t="array" ref="N314">_xlfn.ANCHORARRAY(N284) * $F$15</f>
        <v>11428720.217600001</v>
      </c>
      <c r="O314" s="576" cm="1">
        <f t="array" ref="O314">_xlfn.ANCHORARRAY(O284) * $F$15</f>
        <v>11806877.387200002</v>
      </c>
      <c r="P314" s="576" cm="1">
        <f t="array" ref="P314">_xlfn.ANCHORARRAY(P284) * $F$15</f>
        <v>12132204.515199998</v>
      </c>
      <c r="Q314" s="576" cm="1">
        <f t="array" ref="Q314">_xlfn.ANCHORARRAY(Q284) * $F$15</f>
        <v>12457514.8824</v>
      </c>
      <c r="R314" s="576" cm="1">
        <f t="array" ref="R314">_xlfn.ANCHORARRAY(R284) * $F$15</f>
        <v>12782842.010399999</v>
      </c>
      <c r="S314" s="576" cm="1">
        <f t="array" ref="S314">_xlfn.ANCHORARRAY(S284) * $F$15</f>
        <v>13108169.138399998</v>
      </c>
      <c r="T314" s="576" cm="1">
        <f t="array" ref="T314">_xlfn.ANCHORARRAY(T284) * $F$15</f>
        <v>13433697.395999998</v>
      </c>
      <c r="U314" s="576" cm="1">
        <f t="array" ref="U314">_xlfn.ANCHORARRAY(U284) * $F$15</f>
        <v>13696121.241599999</v>
      </c>
      <c r="V314" s="576" cm="1">
        <f t="array" ref="V314">_xlfn.ANCHORARRAY(V284) * $F$15</f>
        <v>13911581.325599996</v>
      </c>
      <c r="W314" s="576" cm="1">
        <f t="array" ref="W314">_xlfn.ANCHORARRAY(W284) * $F$15</f>
        <v>14127041.409599997</v>
      </c>
      <c r="X314" s="576" cm="1">
        <f t="array" ref="X314">_xlfn.ANCHORARRAY(X284) * $F$15</f>
        <v>14342501.493599996</v>
      </c>
      <c r="Y314" s="576" cm="1">
        <f t="array" ref="Y314">_xlfn.ANCHORARRAY(Y284) * $F$15</f>
        <v>14558011.859999998</v>
      </c>
      <c r="Z314" s="576" cm="1">
        <f t="array" ref="Z314">_xlfn.ANCHORARRAY(Z284) * $F$15</f>
        <v>14773471.943999998</v>
      </c>
      <c r="AA314" s="576" cm="1">
        <f t="array" ref="AA314">_xlfn.ANCHORARRAY(AA284) * $F$15</f>
        <v>14988982.310399998</v>
      </c>
      <c r="AB314" s="576" cm="1">
        <f t="array" ref="AB314">_xlfn.ANCHORARRAY(AB284) * $F$15</f>
        <v>15204442.394399997</v>
      </c>
      <c r="AC314" s="576" cm="1">
        <f t="array" ref="AC314">_xlfn.ANCHORARRAY(AC284) * $F$15</f>
        <v>15419902.478399998</v>
      </c>
      <c r="AD314" s="576" cm="1">
        <f t="array" ref="AD314">_xlfn.ANCHORARRAY(AD284) * $F$15</f>
        <v>15635412.844799999</v>
      </c>
      <c r="AE314" s="576" cm="1">
        <f t="array" ref="AE314">_xlfn.ANCHORARRAY(AE284) * $F$15</f>
        <v>15850872.928799996</v>
      </c>
      <c r="AF314" s="576" cm="1">
        <f t="array" ref="AF314">_xlfn.ANCHORARRAY(AF284) * $F$15</f>
        <v>16066333.012799999</v>
      </c>
      <c r="AG314" s="714" cm="1">
        <f t="array" ref="AG314">_xlfn.ANCHORARRAY(AG284) * $F$15</f>
        <v>16281843.3792</v>
      </c>
      <c r="AH314" s="5"/>
      <c r="AI314" s="5"/>
      <c r="AJ314" s="5"/>
      <c r="AK314" s="5"/>
      <c r="AL314" s="5"/>
      <c r="AM314" s="5"/>
      <c r="AN314" s="5"/>
    </row>
    <row r="315" spans="2:40" ht="21.95" customHeight="1" x14ac:dyDescent="0.2">
      <c r="B315" s="704"/>
      <c r="C315" s="715"/>
      <c r="D315" s="719"/>
      <c r="E315" s="1339"/>
      <c r="F315" s="116" t="s">
        <v>323</v>
      </c>
      <c r="G315" s="116" t="s">
        <v>347</v>
      </c>
      <c r="H315" s="576" cm="1">
        <f t="array" ref="H315">_xlfn.ANCHORARRAY(H285) * $F$15</f>
        <v>1676080</v>
      </c>
      <c r="I315" s="576" cm="1">
        <f t="array" ref="I315">_xlfn.ANCHORARRAY(I285) * $F$15</f>
        <v>1713115.382</v>
      </c>
      <c r="J315" s="576" cm="1">
        <f t="array" ref="J315">_xlfn.ANCHORARRAY(J285) * $F$15</f>
        <v>1767950.135</v>
      </c>
      <c r="K315" s="576" cm="1">
        <f t="array" ref="K315">_xlfn.ANCHORARRAY(K285) * $F$15</f>
        <v>1837540.378</v>
      </c>
      <c r="L315" s="576" cm="1">
        <f t="array" ref="L315">_xlfn.ANCHORARRAY(L285) * $F$15</f>
        <v>1907151.5720000004</v>
      </c>
      <c r="M315" s="576" cm="1">
        <f t="array" ref="M315">_xlfn.ANCHORARRAY(M285) * $F$15</f>
        <v>1976758.5758</v>
      </c>
      <c r="N315" s="576" cm="1">
        <f t="array" ref="N315">_xlfn.ANCHORARRAY(N285) * $F$15</f>
        <v>2046348.8187999995</v>
      </c>
      <c r="O315" s="576" cm="1">
        <f t="array" ref="O315">_xlfn.ANCHORARRAY(O285) * $F$15</f>
        <v>2115976.7736</v>
      </c>
      <c r="P315" s="576" cm="1">
        <f t="array" ref="P315">_xlfn.ANCHORARRAY(P285) * $F$15</f>
        <v>2177848.0696</v>
      </c>
      <c r="Q315" s="576" cm="1">
        <f t="array" ref="Q315">_xlfn.ANCHORARRAY(Q285) * $F$15</f>
        <v>2239725.3515999997</v>
      </c>
      <c r="R315" s="576" cm="1">
        <f t="array" ref="R315">_xlfn.ANCHORARRAY(R285) * $F$15</f>
        <v>2301596.6475999998</v>
      </c>
      <c r="S315" s="576" cm="1">
        <f t="array" ref="S315">_xlfn.ANCHORARRAY(S285) * $F$15</f>
        <v>2363467.9436000003</v>
      </c>
      <c r="T315" s="576" cm="1">
        <f t="array" ref="T315">_xlfn.ANCHORARRAY(T285) * $F$15</f>
        <v>2425367.9723999999</v>
      </c>
      <c r="U315" s="576" cm="1">
        <f t="array" ref="U315">_xlfn.ANCHORARRAY(U285) * $F$15</f>
        <v>2472467.0175999999</v>
      </c>
      <c r="V315" s="576" cm="1">
        <f t="array" ref="V315">_xlfn.ANCHORARRAY(V285) * $F$15</f>
        <v>2509502.3996000001</v>
      </c>
      <c r="W315" s="576" cm="1">
        <f t="array" ref="W315">_xlfn.ANCHORARRAY(W285) * $F$15</f>
        <v>2546537.7816000003</v>
      </c>
      <c r="X315" s="576" cm="1">
        <f t="array" ref="X315">_xlfn.ANCHORARRAY(X285) * $F$15</f>
        <v>2583573.1636000006</v>
      </c>
      <c r="Y315" s="576" cm="1">
        <f t="array" ref="Y315">_xlfn.ANCHORARRAY(Y285) * $F$15</f>
        <v>2620614.5316000003</v>
      </c>
      <c r="Z315" s="576" cm="1">
        <f t="array" ref="Z315">_xlfn.ANCHORARRAY(Z285) * $F$15</f>
        <v>2657649.9136000001</v>
      </c>
      <c r="AA315" s="576" cm="1">
        <f t="array" ref="AA315">_xlfn.ANCHORARRAY(AA285) * $F$15</f>
        <v>2694691.2816000003</v>
      </c>
      <c r="AB315" s="576" cm="1">
        <f t="array" ref="AB315">_xlfn.ANCHORARRAY(AB285) * $F$15</f>
        <v>2731726.663600001</v>
      </c>
      <c r="AC315" s="576" cm="1">
        <f t="array" ref="AC315">_xlfn.ANCHORARRAY(AC285) * $F$15</f>
        <v>2768762.0456000003</v>
      </c>
      <c r="AD315" s="576" cm="1">
        <f t="array" ref="AD315">_xlfn.ANCHORARRAY(AD285) * $F$15</f>
        <v>2805803.4136000006</v>
      </c>
      <c r="AE315" s="576" cm="1">
        <f t="array" ref="AE315">_xlfn.ANCHORARRAY(AE285) * $F$15</f>
        <v>2842838.7956000012</v>
      </c>
      <c r="AF315" s="576" cm="1">
        <f t="array" ref="AF315">_xlfn.ANCHORARRAY(AF285) * $F$15</f>
        <v>2879874.1776000005</v>
      </c>
      <c r="AG315" s="714" cm="1">
        <f t="array" ref="AG315">_xlfn.ANCHORARRAY(AG285) * $F$15</f>
        <v>2916915.5456000003</v>
      </c>
      <c r="AH315" s="5"/>
      <c r="AI315" s="5"/>
      <c r="AJ315" s="5"/>
      <c r="AK315" s="5"/>
      <c r="AL315" s="5"/>
      <c r="AM315" s="5"/>
      <c r="AN315" s="5"/>
    </row>
    <row r="316" spans="2:40" ht="21.95" customHeight="1" x14ac:dyDescent="0.2">
      <c r="B316" s="704"/>
      <c r="C316" s="715"/>
      <c r="D316" s="719"/>
      <c r="E316" s="1339"/>
      <c r="F316" s="116" t="s">
        <v>347</v>
      </c>
      <c r="G316" s="116" t="s">
        <v>348</v>
      </c>
      <c r="H316" s="576" cm="1">
        <f t="array" ref="H316">_xlfn.ANCHORARRAY(H286) * $F$15</f>
        <v>1173256</v>
      </c>
      <c r="I316" s="576" cm="1">
        <f t="array" ref="I316">_xlfn.ANCHORARRAY(I286) * $F$15</f>
        <v>1199180.7674</v>
      </c>
      <c r="J316" s="576" cm="1">
        <f t="array" ref="J316">_xlfn.ANCHORARRAY(J286) * $F$15</f>
        <v>1237565.0944999999</v>
      </c>
      <c r="K316" s="576" cm="1">
        <f t="array" ref="K316">_xlfn.ANCHORARRAY(K286) * $F$15</f>
        <v>1286278.2645999999</v>
      </c>
      <c r="L316" s="576" cm="1">
        <f t="array" ref="L316">_xlfn.ANCHORARRAY(L286) * $F$15</f>
        <v>1335006.1004000001</v>
      </c>
      <c r="M316" s="576" cm="1">
        <f t="array" ref="M316">_xlfn.ANCHORARRAY(M286) * $F$15</f>
        <v>1383731.00306</v>
      </c>
      <c r="N316" s="576" cm="1">
        <f t="array" ref="N316">_xlfn.ANCHORARRAY(N286) * $F$15</f>
        <v>1432444.1731599998</v>
      </c>
      <c r="O316" s="576" cm="1">
        <f t="array" ref="O316">_xlfn.ANCHORARRAY(O286) * $F$15</f>
        <v>1481183.7415199997</v>
      </c>
      <c r="P316" s="576" cm="1">
        <f t="array" ref="P316">_xlfn.ANCHORARRAY(P286) * $F$15</f>
        <v>1524493.6487200002</v>
      </c>
      <c r="Q316" s="576" cm="1">
        <f t="array" ref="Q316">_xlfn.ANCHORARRAY(Q286) * $F$15</f>
        <v>1567807.7461199998</v>
      </c>
      <c r="R316" s="576" cm="1">
        <f t="array" ref="R316">_xlfn.ANCHORARRAY(R286) * $F$15</f>
        <v>1611117.6533199998</v>
      </c>
      <c r="S316" s="576" cm="1">
        <f t="array" ref="S316">_xlfn.ANCHORARRAY(S286) * $F$15</f>
        <v>1654427.5605200001</v>
      </c>
      <c r="T316" s="576" cm="1">
        <f t="array" ref="T316">_xlfn.ANCHORARRAY(T286) * $F$15</f>
        <v>1697757.5806799999</v>
      </c>
      <c r="U316" s="576" cm="1">
        <f t="array" ref="U316">_xlfn.ANCHORARRAY(U286) * $F$15</f>
        <v>1730726.9123199999</v>
      </c>
      <c r="V316" s="576" cm="1">
        <f t="array" ref="V316">_xlfn.ANCHORARRAY(V286) * $F$15</f>
        <v>1756651.6797200001</v>
      </c>
      <c r="W316" s="576" cm="1">
        <f t="array" ref="W316">_xlfn.ANCHORARRAY(W286) * $F$15</f>
        <v>1782576.4471200001</v>
      </c>
      <c r="X316" s="576" cm="1">
        <f t="array" ref="X316">_xlfn.ANCHORARRAY(X286) * $F$15</f>
        <v>1808501.2145200004</v>
      </c>
      <c r="Y316" s="576" cm="1">
        <f t="array" ref="Y316">_xlfn.ANCHORARRAY(Y286) * $F$15</f>
        <v>1834430.17212</v>
      </c>
      <c r="Z316" s="576" cm="1">
        <f t="array" ref="Z316">_xlfn.ANCHORARRAY(Z286) * $F$15</f>
        <v>1860354.9395199998</v>
      </c>
      <c r="AA316" s="576" cm="1">
        <f t="array" ref="AA316">_xlfn.ANCHORARRAY(AA286) * $F$15</f>
        <v>1886283.8971200001</v>
      </c>
      <c r="AB316" s="576" cm="1">
        <f t="array" ref="AB316">_xlfn.ANCHORARRAY(AB286) * $F$15</f>
        <v>1912208.6645200003</v>
      </c>
      <c r="AC316" s="576" cm="1">
        <f t="array" ref="AC316">_xlfn.ANCHORARRAY(AC286) * $F$15</f>
        <v>1938133.4319200004</v>
      </c>
      <c r="AD316" s="576" cm="1">
        <f t="array" ref="AD316">_xlfn.ANCHORARRAY(AD286) * $F$15</f>
        <v>1964062.3895200004</v>
      </c>
      <c r="AE316" s="576" cm="1">
        <f t="array" ref="AE316">_xlfn.ANCHORARRAY(AE286) * $F$15</f>
        <v>1989987.1569200007</v>
      </c>
      <c r="AF316" s="576" cm="1">
        <f t="array" ref="AF316">_xlfn.ANCHORARRAY(AF286) * $F$15</f>
        <v>2015911.9243200002</v>
      </c>
      <c r="AG316" s="714" cm="1">
        <f t="array" ref="AG316">_xlfn.ANCHORARRAY(AG286) * $F$15</f>
        <v>2041840.8819200003</v>
      </c>
      <c r="AH316" s="5"/>
      <c r="AI316" s="5"/>
      <c r="AJ316" s="5"/>
      <c r="AK316" s="5"/>
      <c r="AL316" s="5"/>
      <c r="AM316" s="5"/>
      <c r="AN316" s="5"/>
    </row>
    <row r="317" spans="2:40" ht="21.95" customHeight="1" x14ac:dyDescent="0.2">
      <c r="B317" s="704"/>
      <c r="C317" s="715"/>
      <c r="D317" s="719"/>
      <c r="E317" s="1353"/>
      <c r="F317" s="254" t="s">
        <v>348</v>
      </c>
      <c r="G317" s="254" t="s">
        <v>349</v>
      </c>
      <c r="H317" s="576" cm="1">
        <f t="array" ref="H317">_xlfn.ANCHORARRAY(H287) * $F$15</f>
        <v>1915520</v>
      </c>
      <c r="I317" s="576" cm="1">
        <f t="array" ref="I317">_xlfn.ANCHORARRAY(I287) * $F$15</f>
        <v>1961273.9910000002</v>
      </c>
      <c r="J317" s="576" cm="1">
        <f t="array" ref="J317">_xlfn.ANCHORARRAY(J287) * $F$15</f>
        <v>2024830.3460000001</v>
      </c>
      <c r="K317" s="576" cm="1">
        <f t="array" ref="K317">_xlfn.ANCHORARRAY(K287) * $F$15</f>
        <v>2109238.9319999996</v>
      </c>
      <c r="L317" s="576" cm="1">
        <f t="array" ref="L317">_xlfn.ANCHORARRAY(L287) * $F$15</f>
        <v>2193671.4620000003</v>
      </c>
      <c r="M317" s="576" cm="1">
        <f t="array" ref="M317">_xlfn.ANCHORARRAY(M287) * $F$15</f>
        <v>2278109.9780000006</v>
      </c>
      <c r="N317" s="576" cm="1">
        <f t="array" ref="N317">_xlfn.ANCHORARRAY(N287) * $F$15</f>
        <v>2362518.5640000002</v>
      </c>
      <c r="O317" s="576" cm="1">
        <f t="array" ref="O317">_xlfn.ANCHORARRAY(O287) * $F$15</f>
        <v>2446975.0380000006</v>
      </c>
      <c r="P317" s="576" cm="1">
        <f t="array" ref="P317">_xlfn.ANCHORARRAY(P287) * $F$15</f>
        <v>2527582.514</v>
      </c>
      <c r="Q317" s="576" cm="1">
        <f t="array" ref="Q317">_xlfn.ANCHORARRAY(Q287) * $F$15</f>
        <v>2608192.983</v>
      </c>
      <c r="R317" s="576" cm="1">
        <f t="array" ref="R317">_xlfn.ANCHORARRAY(R287) * $F$15</f>
        <v>2688800.4589999998</v>
      </c>
      <c r="S317" s="576" cm="1">
        <f t="array" ref="S317">_xlfn.ANCHORARRAY(S287) * $F$15</f>
        <v>2769407.9350000001</v>
      </c>
      <c r="T317" s="576" cm="1">
        <f t="array" ref="T317">_xlfn.ANCHORARRAY(T287) * $F$15</f>
        <v>2850063.2990000001</v>
      </c>
      <c r="U317" s="576" cm="1">
        <f t="array" ref="U317">_xlfn.ANCHORARRAY(U287) * $F$15</f>
        <v>2909794.6</v>
      </c>
      <c r="V317" s="576" cm="1">
        <f t="array" ref="V317">_xlfn.ANCHORARRAY(V287) * $F$15</f>
        <v>2955548.591</v>
      </c>
      <c r="W317" s="576" cm="1">
        <f t="array" ref="W317">_xlfn.ANCHORARRAY(W287) * $F$15</f>
        <v>3001302.5819999999</v>
      </c>
      <c r="X317" s="576" cm="1">
        <f t="array" ref="X317">_xlfn.ANCHORARRAY(X287) * $F$15</f>
        <v>3047056.5730000003</v>
      </c>
      <c r="Y317" s="576" cm="1">
        <f t="array" ref="Y317">_xlfn.ANCHORARRAY(Y287) * $F$15</f>
        <v>3092819.5430000001</v>
      </c>
      <c r="Z317" s="576" cm="1">
        <f t="array" ref="Z317">_xlfn.ANCHORARRAY(Z287) * $F$15</f>
        <v>3138573.5339999995</v>
      </c>
      <c r="AA317" s="576" cm="1">
        <f t="array" ref="AA317">_xlfn.ANCHORARRAY(AA287) * $F$15</f>
        <v>3184336.5040000002</v>
      </c>
      <c r="AB317" s="576" cm="1">
        <f t="array" ref="AB317">_xlfn.ANCHORARRAY(AB287) * $F$15</f>
        <v>3230090.4950000001</v>
      </c>
      <c r="AC317" s="576" cm="1">
        <f t="array" ref="AC317">_xlfn.ANCHORARRAY(AC287) * $F$15</f>
        <v>3275844.486</v>
      </c>
      <c r="AD317" s="576" cm="1">
        <f t="array" ref="AD317">_xlfn.ANCHORARRAY(AD287) * $F$15</f>
        <v>3321607.4560000002</v>
      </c>
      <c r="AE317" s="576" cm="1">
        <f t="array" ref="AE317">_xlfn.ANCHORARRAY(AE287) * $F$15</f>
        <v>3367361.4470000002</v>
      </c>
      <c r="AF317" s="576" cm="1">
        <f t="array" ref="AF317">_xlfn.ANCHORARRAY(AF287) * $F$15</f>
        <v>3413115.4380000001</v>
      </c>
      <c r="AG317" s="714" cm="1">
        <f t="array" ref="AG317">_xlfn.ANCHORARRAY(AG287) * $F$15</f>
        <v>3458878.4080000003</v>
      </c>
      <c r="AH317" s="5"/>
      <c r="AI317" s="5"/>
      <c r="AJ317" s="5"/>
      <c r="AK317" s="5"/>
      <c r="AL317" s="5"/>
      <c r="AM317" s="5"/>
      <c r="AN317" s="5"/>
    </row>
    <row r="318" spans="2:40" ht="21.95" customHeight="1" x14ac:dyDescent="0.2">
      <c r="B318" s="704"/>
      <c r="C318" s="715"/>
      <c r="D318" s="719"/>
      <c r="E318" s="116" t="s">
        <v>288</v>
      </c>
      <c r="F318" s="116" t="s">
        <v>323</v>
      </c>
      <c r="G318" s="116" t="s">
        <v>348</v>
      </c>
      <c r="H318" s="576" cm="1">
        <f t="array" ref="H318">_xlfn.ANCHORARRAY(H288) * $F$15</f>
        <v>215496</v>
      </c>
      <c r="I318" s="576" cm="1">
        <f t="array" ref="I318">_xlfn.ANCHORARRAY(I288) * $F$15</f>
        <v>228746.60960000003</v>
      </c>
      <c r="J318" s="576" cm="1">
        <f t="array" ref="J318">_xlfn.ANCHORARRAY(J288) * $F$15</f>
        <v>246281.99800000002</v>
      </c>
      <c r="K318" s="576" cm="1">
        <f t="array" ref="K318">_xlfn.ANCHORARRAY(K288) * $F$15</f>
        <v>269585.49599999998</v>
      </c>
      <c r="L318" s="576" cm="1">
        <f t="array" ref="L318">_xlfn.ANCHORARRAY(L288) * $F$15</f>
        <v>292896.17719999998</v>
      </c>
      <c r="M318" s="576" cm="1">
        <f t="array" ref="M318">_xlfn.ANCHORARRAY(M288) * $F$15</f>
        <v>316257.14080000005</v>
      </c>
      <c r="N318" s="576" cm="1">
        <f t="array" ref="N318">_xlfn.ANCHORARRAY(N288) * $F$15</f>
        <v>339560.63879999996</v>
      </c>
      <c r="O318" s="576" cm="1">
        <f t="array" ref="O318">_xlfn.ANCHORARRAY(O288) * $F$15</f>
        <v>362889.27799999993</v>
      </c>
      <c r="P318" s="576" cm="1">
        <f t="array" ref="P318">_xlfn.ANCHORARRAY(P288) * $F$15</f>
        <v>384161.12760000001</v>
      </c>
      <c r="Q318" s="576" cm="1">
        <f t="array" ref="Q318">_xlfn.ANCHORARRAY(Q288) * $F$15</f>
        <v>405415.01920000004</v>
      </c>
      <c r="R318" s="576" cm="1">
        <f t="array" ref="R318">_xlfn.ANCHORARRAY(R288) * $F$15</f>
        <v>426688.06599999999</v>
      </c>
      <c r="S318" s="576" cm="1">
        <f t="array" ref="S318">_xlfn.ANCHORARRAY(S288) * $F$15</f>
        <v>447959.91560000001</v>
      </c>
      <c r="T318" s="576" cm="1">
        <f t="array" ref="T318">_xlfn.ANCHORARRAY(T288) * $F$15</f>
        <v>469307.18880000006</v>
      </c>
      <c r="U318" s="576" cm="1">
        <f t="array" ref="U318">_xlfn.ANCHORARRAY(U288) * $F$15</f>
        <v>484794.16800000001</v>
      </c>
      <c r="V318" s="576" cm="1">
        <f t="array" ref="V318">_xlfn.ANCHORARRAY(V288) * $F$15</f>
        <v>498044.77760000003</v>
      </c>
      <c r="W318" s="576" cm="1">
        <f t="array" ref="W318">_xlfn.ANCHORARRAY(W288) * $F$15</f>
        <v>511295.38719999994</v>
      </c>
      <c r="X318" s="576" cm="1">
        <f t="array" ref="X318">_xlfn.ANCHORARRAY(X288) * $F$15</f>
        <v>524545.99679999996</v>
      </c>
      <c r="Y318" s="576" cm="1">
        <f t="array" ref="Y318">_xlfn.ANCHORARRAY(Y288) * $F$15</f>
        <v>537810.97279999999</v>
      </c>
      <c r="Z318" s="576" cm="1">
        <f t="array" ref="Z318">_xlfn.ANCHORARRAY(Z288) * $F$15</f>
        <v>551061.58239999984</v>
      </c>
      <c r="AA318" s="576" cm="1">
        <f t="array" ref="AA318">_xlfn.ANCHORARRAY(AA288) * $F$15</f>
        <v>564344.51640000008</v>
      </c>
      <c r="AB318" s="576" cm="1">
        <f t="array" ref="AB318">_xlfn.ANCHORARRAY(AB288) * $F$15</f>
        <v>577595.12599999993</v>
      </c>
      <c r="AC318" s="576" cm="1">
        <f t="array" ref="AC318">_xlfn.ANCHORARRAY(AC288) * $F$15</f>
        <v>590845.73560000001</v>
      </c>
      <c r="AD318" s="576" cm="1">
        <f t="array" ref="AD318">_xlfn.ANCHORARRAY(AD288) * $F$15</f>
        <v>604110.71159999981</v>
      </c>
      <c r="AE318" s="576" cm="1">
        <f t="array" ref="AE318">_xlfn.ANCHORARRAY(AE288) * $F$15</f>
        <v>617361.32120000001</v>
      </c>
      <c r="AF318" s="576" cm="1">
        <f t="array" ref="AF318">_xlfn.ANCHORARRAY(AF288) * $F$15</f>
        <v>630611.93079999997</v>
      </c>
      <c r="AG318" s="714" cm="1">
        <f t="array" ref="AG318">_xlfn.ANCHORARRAY(AG288) * $F$15</f>
        <v>643894.86479999986</v>
      </c>
      <c r="AH318" s="5"/>
      <c r="AI318" s="5"/>
      <c r="AJ318" s="5"/>
      <c r="AK318" s="5"/>
      <c r="AL318" s="5"/>
      <c r="AM318" s="5"/>
      <c r="AN318" s="5"/>
    </row>
    <row r="319" spans="2:40" ht="21.95" customHeight="1" x14ac:dyDescent="0.2">
      <c r="B319" s="704"/>
      <c r="C319" s="715"/>
      <c r="D319" s="719"/>
      <c r="E319" s="277" t="s">
        <v>340</v>
      </c>
      <c r="F319" s="277" t="s">
        <v>335</v>
      </c>
      <c r="G319" s="277" t="s">
        <v>323</v>
      </c>
      <c r="H319" s="576" cm="1">
        <f t="array" ref="H319">_xlfn.ANCHORARRAY(H289) * $F$15</f>
        <v>0</v>
      </c>
      <c r="I319" s="576" cm="1">
        <f t="array" ref="I319">_xlfn.ANCHORARRAY(I289) * $F$15</f>
        <v>0</v>
      </c>
      <c r="J319" s="576" cm="1">
        <f t="array" ref="J319">_xlfn.ANCHORARRAY(J289) * $F$15</f>
        <v>0</v>
      </c>
      <c r="K319" s="576" cm="1">
        <f t="array" ref="K319">_xlfn.ANCHORARRAY(K289) * $F$15</f>
        <v>0</v>
      </c>
      <c r="L319" s="576" cm="1">
        <f t="array" ref="L319">_xlfn.ANCHORARRAY(L289) * $F$15</f>
        <v>0</v>
      </c>
      <c r="M319" s="576" cm="1">
        <f t="array" ref="M319">_xlfn.ANCHORARRAY(M289) * $F$15</f>
        <v>0</v>
      </c>
      <c r="N319" s="576" cm="1">
        <f t="array" ref="N319">_xlfn.ANCHORARRAY(N289) * $F$15</f>
        <v>0</v>
      </c>
      <c r="O319" s="576" cm="1">
        <f t="array" ref="O319">_xlfn.ANCHORARRAY(O289) * $F$15</f>
        <v>0</v>
      </c>
      <c r="P319" s="576" cm="1">
        <f t="array" ref="P319">_xlfn.ANCHORARRAY(P289) * $F$15</f>
        <v>0</v>
      </c>
      <c r="Q319" s="576" cm="1">
        <f t="array" ref="Q319">_xlfn.ANCHORARRAY(Q289) * $F$15</f>
        <v>0</v>
      </c>
      <c r="R319" s="576" cm="1">
        <f t="array" ref="R319">_xlfn.ANCHORARRAY(R289) * $F$15</f>
        <v>0</v>
      </c>
      <c r="S319" s="576" cm="1">
        <f t="array" ref="S319">_xlfn.ANCHORARRAY(S289) * $F$15</f>
        <v>0</v>
      </c>
      <c r="T319" s="576" cm="1">
        <f t="array" ref="T319">_xlfn.ANCHORARRAY(T289) * $F$15</f>
        <v>0</v>
      </c>
      <c r="U319" s="576" cm="1">
        <f t="array" ref="U319">_xlfn.ANCHORARRAY(U289) * $F$15</f>
        <v>0</v>
      </c>
      <c r="V319" s="576" cm="1">
        <f t="array" ref="V319">_xlfn.ANCHORARRAY(V289) * $F$15</f>
        <v>0</v>
      </c>
      <c r="W319" s="576" cm="1">
        <f t="array" ref="W319">_xlfn.ANCHORARRAY(W289) * $F$15</f>
        <v>0</v>
      </c>
      <c r="X319" s="576" cm="1">
        <f t="array" ref="X319">_xlfn.ANCHORARRAY(X289) * $F$15</f>
        <v>0</v>
      </c>
      <c r="Y319" s="576" cm="1">
        <f t="array" ref="Y319">_xlfn.ANCHORARRAY(Y289) * $F$15</f>
        <v>0</v>
      </c>
      <c r="Z319" s="576" cm="1">
        <f t="array" ref="Z319">_xlfn.ANCHORARRAY(Z289) * $F$15</f>
        <v>0</v>
      </c>
      <c r="AA319" s="576" cm="1">
        <f t="array" ref="AA319">_xlfn.ANCHORARRAY(AA289) * $F$15</f>
        <v>0</v>
      </c>
      <c r="AB319" s="576" cm="1">
        <f t="array" ref="AB319">_xlfn.ANCHORARRAY(AB289) * $F$15</f>
        <v>0</v>
      </c>
      <c r="AC319" s="576" cm="1">
        <f t="array" ref="AC319">_xlfn.ANCHORARRAY(AC289) * $F$15</f>
        <v>0</v>
      </c>
      <c r="AD319" s="576" cm="1">
        <f t="array" ref="AD319">_xlfn.ANCHORARRAY(AD289) * $F$15</f>
        <v>0</v>
      </c>
      <c r="AE319" s="576" cm="1">
        <f t="array" ref="AE319">_xlfn.ANCHORARRAY(AE289) * $F$15</f>
        <v>0</v>
      </c>
      <c r="AF319" s="576" cm="1">
        <f t="array" ref="AF319">_xlfn.ANCHORARRAY(AF289) * $F$15</f>
        <v>0</v>
      </c>
      <c r="AG319" s="714" cm="1">
        <f t="array" ref="AG319">_xlfn.ANCHORARRAY(AG289) * $F$15</f>
        <v>0</v>
      </c>
      <c r="AH319" s="5"/>
      <c r="AI319" s="5"/>
      <c r="AJ319" s="5"/>
      <c r="AK319" s="5"/>
      <c r="AL319" s="5"/>
      <c r="AM319" s="5"/>
      <c r="AN319" s="5"/>
    </row>
    <row r="320" spans="2:40" ht="21.95" customHeight="1" x14ac:dyDescent="0.2">
      <c r="B320" s="704"/>
      <c r="C320" s="715"/>
      <c r="D320" s="719"/>
      <c r="E320" s="277" t="s">
        <v>357</v>
      </c>
      <c r="F320" s="277" t="s">
        <v>338</v>
      </c>
      <c r="G320" s="277" t="s">
        <v>323</v>
      </c>
      <c r="H320" s="576" cm="1">
        <f t="array" ref="H320">_xlfn.ANCHORARRAY(H290) * $F$15</f>
        <v>399647.12727272726</v>
      </c>
      <c r="I320" s="576" cm="1">
        <f t="array" ref="I320">_xlfn.ANCHORARRAY(I290) * $F$15</f>
        <v>405134.50435636361</v>
      </c>
      <c r="J320" s="576" cm="1">
        <f t="array" ref="J320">_xlfn.ANCHORARRAY(J290) * $F$15</f>
        <v>414619.4628436364</v>
      </c>
      <c r="K320" s="576" cm="1">
        <f t="array" ref="K320">_xlfn.ANCHORARRAY(K290) * $F$15</f>
        <v>427641.29840727278</v>
      </c>
      <c r="L320" s="576" cm="1">
        <f t="array" ref="L320">_xlfn.ANCHORARRAY(L290) * $F$15</f>
        <v>440668.6846254546</v>
      </c>
      <c r="M320" s="576" cm="1">
        <f t="array" ref="M320">_xlfn.ANCHORARRAY(M290) * $F$15</f>
        <v>453714.94306909089</v>
      </c>
      <c r="N320" s="576" cm="1">
        <f t="array" ref="N320">_xlfn.ANCHORARRAY(N290) * $F$15</f>
        <v>466736.77863272728</v>
      </c>
      <c r="O320" s="576" cm="1">
        <f t="array" ref="O320">_xlfn.ANCHORARRAY(O290) * $F$15</f>
        <v>479804.12956363644</v>
      </c>
      <c r="P320" s="576" cm="1">
        <f t="array" ref="P320">_xlfn.ANCHORARRAY(P290) * $F$15</f>
        <v>488866.12817454553</v>
      </c>
      <c r="Q320" s="576" cm="1">
        <f t="array" ref="Q320">_xlfn.ANCHORARRAY(Q290) * $F$15</f>
        <v>497929.23691636359</v>
      </c>
      <c r="R320" s="576" cm="1">
        <f t="array" ref="R320">_xlfn.ANCHORARRAY(R290) * $F$15</f>
        <v>506993.45578909089</v>
      </c>
      <c r="S320" s="576" cm="1">
        <f t="array" ref="S320">_xlfn.ANCHORARRAY(S290) * $F$15</f>
        <v>516055.4544000001</v>
      </c>
      <c r="T320" s="576" cm="1">
        <f t="array" ref="T320">_xlfn.ANCHORARRAY(T290) * $F$15</f>
        <v>525181.84060363634</v>
      </c>
      <c r="U320" s="576" cm="1">
        <f t="array" ref="U320">_xlfn.ANCHORARRAY(U290) * $F$15</f>
        <v>530669.2176872727</v>
      </c>
      <c r="V320" s="576" cm="1">
        <f t="array" ref="V320">_xlfn.ANCHORARRAY(V290) * $F$15</f>
        <v>536156.59477090894</v>
      </c>
      <c r="W320" s="576" cm="1">
        <f t="array" ref="W320">_xlfn.ANCHORARRAY(W290) * $F$15</f>
        <v>541643.97185454553</v>
      </c>
      <c r="X320" s="576" cm="1">
        <f t="array" ref="X320">_xlfn.ANCHORARRAY(X290) * $F$15</f>
        <v>547131.34893818165</v>
      </c>
      <c r="Y320" s="576" cm="1">
        <f t="array" ref="Y320">_xlfn.ANCHORARRAY(Y290) * $F$15</f>
        <v>552656.47047272732</v>
      </c>
      <c r="Z320" s="576" cm="1">
        <f t="array" ref="Z320">_xlfn.ANCHORARRAY(Z290) * $F$15</f>
        <v>558143.84755636367</v>
      </c>
      <c r="AA320" s="576" cm="1">
        <f t="array" ref="AA320">_xlfn.ANCHORARRAY(AA290) * $F$15</f>
        <v>563652.31712727284</v>
      </c>
      <c r="AB320" s="576" cm="1">
        <f t="array" ref="AB320">_xlfn.ANCHORARRAY(AB290) * $F$15</f>
        <v>569139.69421090907</v>
      </c>
      <c r="AC320" s="576" cm="1">
        <f t="array" ref="AC320">_xlfn.ANCHORARRAY(AC290) * $F$15</f>
        <v>574627.07129454555</v>
      </c>
      <c r="AD320" s="576" cm="1">
        <f t="array" ref="AD320">_xlfn.ANCHORARRAY(AD290) * $F$15</f>
        <v>580152.19282909099</v>
      </c>
      <c r="AE320" s="576" cm="1">
        <f t="array" ref="AE320">_xlfn.ANCHORARRAY(AE290) * $F$15</f>
        <v>585639.56991272734</v>
      </c>
      <c r="AF320" s="576" cm="1">
        <f t="array" ref="AF320">_xlfn.ANCHORARRAY(AF290) * $F$15</f>
        <v>591126.94699636369</v>
      </c>
      <c r="AG320" s="714" cm="1">
        <f t="array" ref="AG320">_xlfn.ANCHORARRAY(AG290) * $F$15</f>
        <v>596635.41656727274</v>
      </c>
      <c r="AH320" s="5"/>
      <c r="AI320" s="5"/>
      <c r="AJ320" s="5"/>
      <c r="AK320" s="5"/>
      <c r="AL320" s="5"/>
      <c r="AM320" s="5"/>
      <c r="AN320" s="5"/>
    </row>
    <row r="321" spans="1:40" ht="21.95" customHeight="1" x14ac:dyDescent="0.2">
      <c r="B321" s="704"/>
      <c r="C321" s="715"/>
      <c r="D321" s="719"/>
      <c r="E321" s="116" t="s">
        <v>338</v>
      </c>
      <c r="F321" s="116" t="s">
        <v>282</v>
      </c>
      <c r="G321" s="116" t="s">
        <v>357</v>
      </c>
      <c r="H321" s="576" cm="1">
        <f t="array" ref="H321">_xlfn.ANCHORARRAY(H291) * $F$15</f>
        <v>1435279.5454545456</v>
      </c>
      <c r="I321" s="576" cm="1">
        <f t="array" ref="I321">_xlfn.ANCHORARRAY(I291) * $F$15</f>
        <v>1476654.3489113641</v>
      </c>
      <c r="J321" s="576" cm="1">
        <f t="array" ref="J321">_xlfn.ANCHORARRAY(J291) * $F$15</f>
        <v>1521437.9412886368</v>
      </c>
      <c r="K321" s="576" cm="1">
        <f t="array" ref="K321">_xlfn.ANCHORARRAY(K291) * $F$15</f>
        <v>1580851.3380727274</v>
      </c>
      <c r="L321" s="576" cm="1">
        <f t="array" ref="L321">_xlfn.ANCHORARRAY(L291) * $F$15</f>
        <v>1640274.7818136362</v>
      </c>
      <c r="M321" s="576" cm="1">
        <f t="array" ref="M321">_xlfn.ANCHORARRAY(M291) * $F$15</f>
        <v>1699722.6253068182</v>
      </c>
      <c r="N321" s="576" cm="1">
        <f t="array" ref="N321">_xlfn.ANCHORARRAY(N291) * $F$15</f>
        <v>1759136.0220909095</v>
      </c>
      <c r="O321" s="576" cm="1">
        <f t="array" ref="O321">_xlfn.ANCHORARRAY(O291) * $F$15</f>
        <v>1818565.2069500005</v>
      </c>
      <c r="P321" s="576" cm="1">
        <f t="array" ref="P321">_xlfn.ANCHORARRAY(P291) * $F$15</f>
        <v>1883959.4136000006</v>
      </c>
      <c r="Q321" s="576" cm="1">
        <f t="array" ref="Q321">_xlfn.ANCHORARRAY(Q291) * $F$15</f>
        <v>1949332.0910568184</v>
      </c>
      <c r="R321" s="576" cm="1">
        <f t="array" ref="R321">_xlfn.ANCHORARRAY(R291) * $F$15</f>
        <v>2014726.2977068182</v>
      </c>
      <c r="S321" s="576" cm="1">
        <f t="array" ref="S321">_xlfn.ANCHORARRAY(S291) * $F$15</f>
        <v>2080120.5043568183</v>
      </c>
      <c r="T321" s="576" cm="1">
        <f t="array" ref="T321">_xlfn.ANCHORARRAY(T291) * $F$15</f>
        <v>2145552.0282750009</v>
      </c>
      <c r="U321" s="576" cm="1">
        <f t="array" ref="U321">_xlfn.ANCHORARRAY(U291) * $F$15</f>
        <v>2196310.6894000005</v>
      </c>
      <c r="V321" s="576" cm="1">
        <f t="array" ref="V321">_xlfn.ANCHORARRAY(V291) * $F$15</f>
        <v>2237685.4928568183</v>
      </c>
      <c r="W321" s="576" cm="1">
        <f t="array" ref="W321">_xlfn.ANCHORARRAY(W291) * $F$15</f>
        <v>2279060.2963136369</v>
      </c>
      <c r="X321" s="576" cm="1">
        <f t="array" ref="X321">_xlfn.ANCHORARRAY(X291) * $F$15</f>
        <v>2320435.0997704547</v>
      </c>
      <c r="Y321" s="576" cm="1">
        <f t="array" ref="Y321">_xlfn.ANCHORARRAY(Y291) * $F$15</f>
        <v>2361805.5973886363</v>
      </c>
      <c r="Z321" s="576" cm="1">
        <f t="array" ref="Z321">_xlfn.ANCHORARRAY(Z291) * $F$15</f>
        <v>2403180.4008454541</v>
      </c>
      <c r="AA321" s="576" cm="1">
        <f t="array" ref="AA321">_xlfn.ANCHORARRAY(AA291) * $F$15</f>
        <v>2444550.8984636357</v>
      </c>
      <c r="AB321" s="576" cm="1">
        <f t="array" ref="AB321">_xlfn.ANCHORARRAY(AB291) * $F$15</f>
        <v>2485925.7019204553</v>
      </c>
      <c r="AC321" s="576" cm="1">
        <f t="array" ref="AC321">_xlfn.ANCHORARRAY(AC291) * $F$15</f>
        <v>2527300.5053772731</v>
      </c>
      <c r="AD321" s="576" cm="1">
        <f t="array" ref="AD321">_xlfn.ANCHORARRAY(AD291) * $F$15</f>
        <v>2568671.0029954552</v>
      </c>
      <c r="AE321" s="576" cm="1">
        <f t="array" ref="AE321">_xlfn.ANCHORARRAY(AE291) * $F$15</f>
        <v>2610045.8064522729</v>
      </c>
      <c r="AF321" s="576" cm="1">
        <f t="array" ref="AF321">_xlfn.ANCHORARRAY(AF291) * $F$15</f>
        <v>2651420.6099090911</v>
      </c>
      <c r="AG321" s="714" cm="1">
        <f t="array" ref="AG321">_xlfn.ANCHORARRAY(AG291) * $F$15</f>
        <v>2692791.1075272732</v>
      </c>
      <c r="AH321" s="5"/>
      <c r="AI321" s="5"/>
      <c r="AJ321" s="5"/>
      <c r="AK321" s="5"/>
      <c r="AL321" s="5"/>
      <c r="AM321" s="5"/>
      <c r="AN321" s="5"/>
    </row>
    <row r="322" spans="1:40" ht="21.95" customHeight="1" x14ac:dyDescent="0.2">
      <c r="B322" s="704"/>
      <c r="C322" s="715"/>
      <c r="D322" s="719"/>
      <c r="E322" s="116"/>
      <c r="F322" s="116" t="s">
        <v>357</v>
      </c>
      <c r="G322" s="116" t="s">
        <v>346</v>
      </c>
      <c r="H322" s="576" cm="1">
        <f t="array" ref="H322">_xlfn.ANCHORARRAY(H292) * $F$15</f>
        <v>209029.30606060609</v>
      </c>
      <c r="I322" s="576" cm="1">
        <f t="array" ref="I322">_xlfn.ANCHORARRAY(I292) * $F$15</f>
        <v>214961.88781287879</v>
      </c>
      <c r="J322" s="576" cm="1">
        <f t="array" ref="J322">_xlfn.ANCHORARRAY(J292) * $F$15</f>
        <v>221545.48583810605</v>
      </c>
      <c r="K322" s="576" cm="1">
        <f t="array" ref="K322">_xlfn.ANCHORARRAY(K292) * $F$15</f>
        <v>230786.23139734849</v>
      </c>
      <c r="L322" s="576" cm="1">
        <f t="array" ref="L322">_xlfn.ANCHORARRAY(L292) * $F$15</f>
        <v>240028.62718795455</v>
      </c>
      <c r="M322" s="576" cm="1">
        <f t="array" ref="M322">_xlfn.ANCHORARRAY(M292) * $F$15</f>
        <v>249272.94824848481</v>
      </c>
      <c r="N322" s="576" cm="1">
        <f t="array" ref="N322">_xlfn.ANCHORARRAY(N292) * $F$15</f>
        <v>258513.69380772731</v>
      </c>
      <c r="O322" s="576" cm="1">
        <f t="array" ref="O322">_xlfn.ANCHORARRAY(O292) * $F$15</f>
        <v>267754.98944409093</v>
      </c>
      <c r="P322" s="576" cm="1">
        <f t="array" ref="P322">_xlfn.ANCHORARRAY(P292) * $F$15</f>
        <v>278141.82068537886</v>
      </c>
      <c r="Q322" s="576" cm="1">
        <f t="array" ref="Q322">_xlfn.ANCHORARRAY(Q292) * $F$15</f>
        <v>288525.07642537879</v>
      </c>
      <c r="R322" s="576" cm="1">
        <f t="array" ref="R322">_xlfn.ANCHORARRAY(R292) * $F$15</f>
        <v>298911.90766666661</v>
      </c>
      <c r="S322" s="576" cm="1">
        <f t="array" ref="S322">_xlfn.ANCHORARRAY(S292) * $F$15</f>
        <v>309298.73890795448</v>
      </c>
      <c r="T322" s="576" cm="1">
        <f t="array" ref="T322">_xlfn.ANCHORARRAY(T292) * $F$15</f>
        <v>319687.22038060613</v>
      </c>
      <c r="U322" s="576" cm="1">
        <f t="array" ref="U322">_xlfn.ANCHORARRAY(U292) * $F$15</f>
        <v>327418.00424212118</v>
      </c>
      <c r="V322" s="576" cm="1">
        <f t="array" ref="V322">_xlfn.ANCHORARRAY(V292) * $F$15</f>
        <v>333350.58599439391</v>
      </c>
      <c r="W322" s="576" cm="1">
        <f t="array" ref="W322">_xlfn.ANCHORARRAY(W292) * $F$15</f>
        <v>339283.16774666664</v>
      </c>
      <c r="X322" s="576" cm="1">
        <f t="array" ref="X322">_xlfn.ANCHORARRAY(X292) * $F$15</f>
        <v>345215.74949893937</v>
      </c>
      <c r="Y322" s="576" cm="1">
        <f t="array" ref="Y322">_xlfn.ANCHORARRAY(Y292) * $F$15</f>
        <v>351145.30582704541</v>
      </c>
      <c r="Z322" s="576" cm="1">
        <f t="array" ref="Z322">_xlfn.ANCHORARRAY(Z292) * $F$15</f>
        <v>357077.88757931819</v>
      </c>
      <c r="AA322" s="576" cm="1">
        <f t="array" ref="AA322">_xlfn.ANCHORARRAY(AA292) * $F$15</f>
        <v>363007.44390742428</v>
      </c>
      <c r="AB322" s="576" cm="1">
        <f t="array" ref="AB322">_xlfn.ANCHORARRAY(AB292) * $F$15</f>
        <v>368940.02565969696</v>
      </c>
      <c r="AC322" s="576" cm="1">
        <f t="array" ref="AC322">_xlfn.ANCHORARRAY(AC292) * $F$15</f>
        <v>374872.60741196969</v>
      </c>
      <c r="AD322" s="576" cm="1">
        <f t="array" ref="AD322">_xlfn.ANCHORARRAY(AD292) * $F$15</f>
        <v>380802.16374007572</v>
      </c>
      <c r="AE322" s="576" cm="1">
        <f t="array" ref="AE322">_xlfn.ANCHORARRAY(AE292) * $F$15</f>
        <v>386734.74549234851</v>
      </c>
      <c r="AF322" s="576" cm="1">
        <f t="array" ref="AF322">_xlfn.ANCHORARRAY(AF292) * $F$15</f>
        <v>392667.32724462118</v>
      </c>
      <c r="AG322" s="714" cm="1">
        <f t="array" ref="AG322">_xlfn.ANCHORARRAY(AG292) * $F$15</f>
        <v>398596.88357272721</v>
      </c>
      <c r="AH322" s="5"/>
      <c r="AI322" s="5"/>
      <c r="AJ322" s="5"/>
      <c r="AK322" s="5"/>
      <c r="AL322" s="5"/>
      <c r="AM322" s="5"/>
      <c r="AN322" s="5"/>
    </row>
    <row r="323" spans="1:40" ht="21.95" customHeight="1" x14ac:dyDescent="0.2">
      <c r="B323" s="704"/>
      <c r="C323" s="715"/>
      <c r="D323" s="719"/>
      <c r="E323" s="116"/>
      <c r="F323" s="116" t="s">
        <v>346</v>
      </c>
      <c r="G323" s="116" t="s">
        <v>343</v>
      </c>
      <c r="H323" s="576" cm="1">
        <f t="array" ref="H323">_xlfn.ANCHORARRAY(H293) * $F$15</f>
        <v>51697.272727272728</v>
      </c>
      <c r="I323" s="576" cm="1">
        <f t="array" ref="I323">_xlfn.ANCHORARRAY(I293) * $F$15</f>
        <v>53164.522954545457</v>
      </c>
      <c r="J323" s="576" cm="1">
        <f t="array" ref="J323">_xlfn.ANCHORARRAY(J293) * $F$15</f>
        <v>54792.782977272727</v>
      </c>
      <c r="K323" s="576" cm="1">
        <f t="array" ref="K323">_xlfn.ANCHORARRAY(K293) * $F$15</f>
        <v>57078.210568181814</v>
      </c>
      <c r="L323" s="576" cm="1">
        <f t="array" ref="L323">_xlfn.ANCHORARRAY(L293) * $F$15</f>
        <v>59364.046295454544</v>
      </c>
      <c r="M323" s="576" cm="1">
        <f t="array" ref="M323">_xlfn.ANCHORARRAY(M293) * $F$15</f>
        <v>61650.358181818177</v>
      </c>
      <c r="N323" s="576" cm="1">
        <f t="array" ref="N323">_xlfn.ANCHORARRAY(N293) * $F$15</f>
        <v>63935.785772727279</v>
      </c>
      <c r="O323" s="576" cm="1">
        <f t="array" ref="O323">_xlfn.ANCHORARRAY(O293) * $F$15</f>
        <v>66221.349409090923</v>
      </c>
      <c r="P323" s="576" cm="1">
        <f t="array" ref="P323">_xlfn.ANCHORARRAY(P293) * $F$15</f>
        <v>68790.227704545468</v>
      </c>
      <c r="Q323" s="576" cm="1">
        <f t="array" ref="Q323">_xlfn.ANCHORARRAY(Q293) * $F$15</f>
        <v>71358.221704545445</v>
      </c>
      <c r="R323" s="576" cm="1">
        <f t="array" ref="R323">_xlfn.ANCHORARRAY(R293) * $F$15</f>
        <v>73927.099999999991</v>
      </c>
      <c r="S323" s="576" cm="1">
        <f t="array" ref="S323">_xlfn.ANCHORARRAY(S293) * $F$15</f>
        <v>76495.978295454523</v>
      </c>
      <c r="T323" s="576" cm="1">
        <f t="array" ref="T323">_xlfn.ANCHORARRAY(T293) * $F$15</f>
        <v>79065.264727272734</v>
      </c>
      <c r="U323" s="576" cm="1">
        <f t="array" ref="U323">_xlfn.ANCHORARRAY(U293) * $F$15</f>
        <v>80977.247545454535</v>
      </c>
      <c r="V323" s="576" cm="1">
        <f t="array" ref="V323">_xlfn.ANCHORARRAY(V293) * $F$15</f>
        <v>82444.497772727264</v>
      </c>
      <c r="W323" s="576" cm="1">
        <f t="array" ref="W323">_xlfn.ANCHORARRAY(W293) * $F$15</f>
        <v>83911.747999999992</v>
      </c>
      <c r="X323" s="576" cm="1">
        <f t="array" ref="X323">_xlfn.ANCHORARRAY(X293) * $F$15</f>
        <v>85378.998227272721</v>
      </c>
      <c r="Y323" s="576" cm="1">
        <f t="array" ref="Y323">_xlfn.ANCHORARRAY(Y293) * $F$15</f>
        <v>86845.500204545431</v>
      </c>
      <c r="Z323" s="576" cm="1">
        <f t="array" ref="Z323">_xlfn.ANCHORARRAY(Z293) * $F$15</f>
        <v>88312.750431818175</v>
      </c>
      <c r="AA323" s="576" cm="1">
        <f t="array" ref="AA323">_xlfn.ANCHORARRAY(AA293) * $F$15</f>
        <v>89779.252409090899</v>
      </c>
      <c r="AB323" s="576" cm="1">
        <f t="array" ref="AB323">_xlfn.ANCHORARRAY(AB293) * $F$15</f>
        <v>91246.502636363643</v>
      </c>
      <c r="AC323" s="576" cm="1">
        <f t="array" ref="AC323">_xlfn.ANCHORARRAY(AC293) * $F$15</f>
        <v>92713.752863636371</v>
      </c>
      <c r="AD323" s="576" cm="1">
        <f t="array" ref="AD323">_xlfn.ANCHORARRAY(AD293) * $F$15</f>
        <v>94180.254840909096</v>
      </c>
      <c r="AE323" s="576" cm="1">
        <f t="array" ref="AE323">_xlfn.ANCHORARRAY(AE293) * $F$15</f>
        <v>95647.50506818181</v>
      </c>
      <c r="AF323" s="576" cm="1">
        <f t="array" ref="AF323">_xlfn.ANCHORARRAY(AF293) * $F$15</f>
        <v>97114.755295454539</v>
      </c>
      <c r="AG323" s="714" cm="1">
        <f t="array" ref="AG323">_xlfn.ANCHORARRAY(AG293) * $F$15</f>
        <v>98581.257272727264</v>
      </c>
      <c r="AH323" s="5"/>
      <c r="AI323" s="5"/>
      <c r="AJ323" s="5"/>
      <c r="AK323" s="5"/>
      <c r="AL323" s="5"/>
      <c r="AM323" s="5"/>
      <c r="AN323" s="5"/>
    </row>
    <row r="324" spans="1:40" ht="21.95" customHeight="1" x14ac:dyDescent="0.2">
      <c r="B324" s="704"/>
      <c r="C324" s="715"/>
      <c r="D324" s="719"/>
      <c r="E324" s="116"/>
      <c r="F324" s="116" t="s">
        <v>343</v>
      </c>
      <c r="G324" s="116" t="s">
        <v>350</v>
      </c>
      <c r="H324" s="576" cm="1">
        <f t="array" ref="H324">_xlfn.ANCHORARRAY(H294) * $F$15</f>
        <v>132644.31818181821</v>
      </c>
      <c r="I324" s="576" cm="1">
        <f t="array" ref="I324">_xlfn.ANCHORARRAY(I294) * $F$15</f>
        <v>136405.66889772727</v>
      </c>
      <c r="J324" s="576" cm="1">
        <f t="array" ref="J324">_xlfn.ANCHORARRAY(J294) * $F$15</f>
        <v>140691.62789204545</v>
      </c>
      <c r="K324" s="576" cm="1">
        <f t="array" ref="K324">_xlfn.ANCHORARRAY(K294) * $F$15</f>
        <v>146168.06964204548</v>
      </c>
      <c r="L324" s="576" cm="1">
        <f t="array" ref="L324">_xlfn.ANCHORARRAY(L294) * $F$15</f>
        <v>151646.27998295453</v>
      </c>
      <c r="M324" s="576" cm="1">
        <f t="array" ref="M324">_xlfn.ANCHORARRAY(M294) * $F$15</f>
        <v>157123.60602840918</v>
      </c>
      <c r="N324" s="576" cm="1">
        <f t="array" ref="N324">_xlfn.ANCHORARRAY(N294) * $F$15</f>
        <v>162600.04777840912</v>
      </c>
      <c r="O324" s="576" cm="1">
        <f t="array" ref="O324">_xlfn.ANCHORARRAY(O294) * $F$15</f>
        <v>168077.59489772731</v>
      </c>
      <c r="P324" s="576" cm="1">
        <f t="array" ref="P324">_xlfn.ANCHORARRAY(P294) * $F$15</f>
        <v>174268.54737499999</v>
      </c>
      <c r="Q324" s="576" cm="1">
        <f t="array" ref="Q324">_xlfn.ANCHORARRAY(Q294) * $F$15</f>
        <v>180459.27877840912</v>
      </c>
      <c r="R324" s="576" cm="1">
        <f t="array" ref="R324">_xlfn.ANCHORARRAY(R294) * $F$15</f>
        <v>186649.3469602273</v>
      </c>
      <c r="S324" s="576" cm="1">
        <f t="array" ref="S324">_xlfn.ANCHORARRAY(S294) * $F$15</f>
        <v>192840.29943750004</v>
      </c>
      <c r="T324" s="576" cm="1">
        <f t="array" ref="T324">_xlfn.ANCHORARRAY(T294) * $F$15</f>
        <v>199032.35728409089</v>
      </c>
      <c r="U324" s="576" cm="1">
        <f t="array" ref="U324">_xlfn.ANCHORARRAY(U294) * $F$15</f>
        <v>204032.60593181819</v>
      </c>
      <c r="V324" s="576" cm="1">
        <f t="array" ref="V324">_xlfn.ANCHORARRAY(V294) * $F$15</f>
        <v>207793.95664772732</v>
      </c>
      <c r="W324" s="576" cm="1">
        <f t="array" ref="W324">_xlfn.ANCHORARRAY(W294) * $F$15</f>
        <v>211555.30736363644</v>
      </c>
      <c r="X324" s="576" cm="1">
        <f t="array" ref="X324">_xlfn.ANCHORARRAY(X294) * $F$15</f>
        <v>215316.65807954551</v>
      </c>
      <c r="Y324" s="576" cm="1">
        <f t="array" ref="Y324">_xlfn.ANCHORARRAY(Y294) * $F$15</f>
        <v>219076.90342613641</v>
      </c>
      <c r="Z324" s="576" cm="1">
        <f t="array" ref="Z324">_xlfn.ANCHORARRAY(Z294) * $F$15</f>
        <v>222838.25414204542</v>
      </c>
      <c r="AA324" s="576" cm="1">
        <f t="array" ref="AA324">_xlfn.ANCHORARRAY(AA294) * $F$15</f>
        <v>226598.49948863633</v>
      </c>
      <c r="AB324" s="576" cm="1">
        <f t="array" ref="AB324">_xlfn.ANCHORARRAY(AB294) * $F$15</f>
        <v>230359.85020454542</v>
      </c>
      <c r="AC324" s="576" cm="1">
        <f t="array" ref="AC324">_xlfn.ANCHORARRAY(AC294) * $F$15</f>
        <v>234121.20092045452</v>
      </c>
      <c r="AD324" s="576" cm="1">
        <f t="array" ref="AD324">_xlfn.ANCHORARRAY(AD294) * $F$15</f>
        <v>237881.44626704539</v>
      </c>
      <c r="AE324" s="576" cm="1">
        <f t="array" ref="AE324">_xlfn.ANCHORARRAY(AE294) * $F$15</f>
        <v>241642.79698295452</v>
      </c>
      <c r="AF324" s="576" cm="1">
        <f t="array" ref="AF324">_xlfn.ANCHORARRAY(AF294) * $F$15</f>
        <v>245404.14769886358</v>
      </c>
      <c r="AG324" s="714" cm="1">
        <f t="array" ref="AG324">_xlfn.ANCHORARRAY(AG294) * $F$15</f>
        <v>249164.39304545452</v>
      </c>
      <c r="AH324" s="5"/>
      <c r="AI324" s="5"/>
      <c r="AJ324" s="5"/>
      <c r="AK324" s="5"/>
      <c r="AL324" s="5"/>
      <c r="AM324" s="5"/>
      <c r="AN324" s="5"/>
    </row>
    <row r="325" spans="1:40" ht="21.95" customHeight="1" x14ac:dyDescent="0.2">
      <c r="B325" s="705"/>
      <c r="C325" s="715"/>
      <c r="D325" s="719"/>
      <c r="E325" s="116"/>
      <c r="F325" s="116" t="s">
        <v>350</v>
      </c>
      <c r="G325" s="116" t="s">
        <v>280</v>
      </c>
      <c r="H325" s="576" cm="1">
        <f t="array" ref="H325">_xlfn.ANCHORARRAY(H295) * $F$15</f>
        <v>1101287.9545454546</v>
      </c>
      <c r="I325" s="576" cm="1">
        <f t="array" ref="I325">_xlfn.ANCHORARRAY(I295) * $F$15</f>
        <v>1132516.8099765154</v>
      </c>
      <c r="J325" s="576" cm="1">
        <f t="array" ref="J325">_xlfn.ANCHORARRAY(J295) * $F$15</f>
        <v>1168101.259267803</v>
      </c>
      <c r="K325" s="576" cm="1">
        <f t="array" ref="K325">_xlfn.ANCHORARRAY(K295) * $F$15</f>
        <v>1213569.7679511365</v>
      </c>
      <c r="L325" s="576" cm="1">
        <f t="array" ref="L325">_xlfn.ANCHORARRAY(L295) * $F$15</f>
        <v>1259052.9604738636</v>
      </c>
      <c r="M325" s="576" cm="1">
        <f t="array" ref="M325">_xlfn.ANCHORARRAY(M295) * $F$15</f>
        <v>1304528.8110768946</v>
      </c>
      <c r="N325" s="576" cm="1">
        <f t="array" ref="N325">_xlfn.ANCHORARRAY(N295) * $F$15</f>
        <v>1349997.3197602276</v>
      </c>
      <c r="O325" s="576" cm="1">
        <f t="array" ref="O325">_xlfn.ANCHORARRAY(O295) * $F$15</f>
        <v>1395475.0058431823</v>
      </c>
      <c r="P325" s="576" cm="1">
        <f t="array" ref="P325">_xlfn.ANCHORARRAY(P295) * $F$15</f>
        <v>1446875.7856416665</v>
      </c>
      <c r="Q325" s="576" cm="1">
        <f t="array" ref="Q325">_xlfn.ANCHORARRAY(Q295) * $F$15</f>
        <v>1498274.7299602276</v>
      </c>
      <c r="R325" s="576" cm="1">
        <f t="array" ref="R325">_xlfn.ANCHORARRAY(R295) * $F$15</f>
        <v>1549668.1678390154</v>
      </c>
      <c r="S325" s="576" cm="1">
        <f t="array" ref="S325">_xlfn.ANCHORARRAY(S295) * $F$15</f>
        <v>1601068.9476375005</v>
      </c>
      <c r="T325" s="576" cm="1">
        <f t="array" ref="T325">_xlfn.ANCHORARRAY(T295) * $F$15</f>
        <v>1652478.904835606</v>
      </c>
      <c r="U325" s="576" cm="1">
        <f t="array" ref="U325">_xlfn.ANCHORARRAY(U295) * $F$15</f>
        <v>1693993.7897621214</v>
      </c>
      <c r="V325" s="576" cm="1">
        <f t="array" ref="V325">_xlfn.ANCHORARRAY(V295) * $F$15</f>
        <v>1725222.6451931822</v>
      </c>
      <c r="W325" s="576" cm="1">
        <f t="array" ref="W325">_xlfn.ANCHORARRAY(W295) * $F$15</f>
        <v>1756451.5006242429</v>
      </c>
      <c r="X325" s="576" cm="1">
        <f t="array" ref="X325">_xlfn.ANCHORARRAY(X295) * $F$15</f>
        <v>1787680.3560553035</v>
      </c>
      <c r="Y325" s="576" cm="1">
        <f t="array" ref="Y325">_xlfn.ANCHORARRAY(Y295) * $F$15</f>
        <v>1818900.0340867429</v>
      </c>
      <c r="Z325" s="576" cm="1">
        <f t="array" ref="Z325">_xlfn.ANCHORARRAY(Z295) * $F$15</f>
        <v>1850128.8895178025</v>
      </c>
      <c r="AA325" s="576" cm="1">
        <f t="array" ref="AA325">_xlfn.ANCHORARRAY(AA295) * $F$15</f>
        <v>1881348.5675492419</v>
      </c>
      <c r="AB325" s="576" cm="1">
        <f t="array" ref="AB325">_xlfn.ANCHORARRAY(AB295) * $F$15</f>
        <v>1912577.4229803027</v>
      </c>
      <c r="AC325" s="576" cm="1">
        <f t="array" ref="AC325">_xlfn.ANCHORARRAY(AC295) * $F$15</f>
        <v>1943806.2784113633</v>
      </c>
      <c r="AD325" s="576" cm="1">
        <f t="array" ref="AD325">_xlfn.ANCHORARRAY(AD295) * $F$15</f>
        <v>1975025.9564428027</v>
      </c>
      <c r="AE325" s="576" cm="1">
        <f t="array" ref="AE325">_xlfn.ANCHORARRAY(AE295) * $F$15</f>
        <v>2006254.8118738635</v>
      </c>
      <c r="AF325" s="576" cm="1">
        <f t="array" ref="AF325">_xlfn.ANCHORARRAY(AF295) * $F$15</f>
        <v>2037483.667304924</v>
      </c>
      <c r="AG325" s="714" cm="1">
        <f t="array" ref="AG325">_xlfn.ANCHORARRAY(AG295) * $F$15</f>
        <v>2068703.3453363634</v>
      </c>
      <c r="AH325" s="5"/>
      <c r="AI325" s="5"/>
      <c r="AJ325" s="5"/>
      <c r="AK325" s="5"/>
      <c r="AL325" s="5"/>
      <c r="AM325" s="5"/>
      <c r="AN325" s="5"/>
    </row>
    <row r="326" spans="1:40" ht="21.95" customHeight="1" thickBot="1" x14ac:dyDescent="0.25">
      <c r="B326" s="183"/>
      <c r="C326" s="116"/>
      <c r="D326" s="719"/>
      <c r="E326" s="278"/>
      <c r="F326" s="278" t="s">
        <v>280</v>
      </c>
      <c r="G326" s="278" t="s">
        <v>333</v>
      </c>
      <c r="H326" s="576" cm="1">
        <f t="array" ref="H326">_xlfn.ANCHORARRAY(H296) * $F$15</f>
        <v>27209.090909090912</v>
      </c>
      <c r="I326" s="576" cm="1">
        <f t="array" ref="I326">_xlfn.ANCHORARRAY(I296) * $F$15</f>
        <v>27980.650030303037</v>
      </c>
      <c r="J326" s="576" cm="1">
        <f t="array" ref="J326">_xlfn.ANCHORARRAY(J296) * $F$15</f>
        <v>28859.821106060605</v>
      </c>
      <c r="K326" s="576" cm="1">
        <f t="array" ref="K326">_xlfn.ANCHORARRAY(K296) * $F$15</f>
        <v>29983.193772727278</v>
      </c>
      <c r="L326" s="576" cm="1">
        <f t="array" ref="L326">_xlfn.ANCHORARRAY(L296) * $F$15</f>
        <v>31106.929227272729</v>
      </c>
      <c r="M326" s="576" cm="1">
        <f t="array" ref="M326">_xlfn.ANCHORARRAY(M296) * $F$15</f>
        <v>32230.483287878804</v>
      </c>
      <c r="N326" s="576" cm="1">
        <f t="array" ref="N326">_xlfn.ANCHORARRAY(N296) * $F$15</f>
        <v>33353.855954545463</v>
      </c>
      <c r="O326" s="576" cm="1">
        <f t="array" ref="O326">_xlfn.ANCHORARRAY(O296) * $F$15</f>
        <v>34477.455363636378</v>
      </c>
      <c r="P326" s="576" cm="1">
        <f t="array" ref="P326">_xlfn.ANCHORARRAY(P296) * $F$15</f>
        <v>35747.39433333333</v>
      </c>
      <c r="Q326" s="576" cm="1">
        <f t="array" ref="Q326">_xlfn.ANCHORARRAY(Q296) * $F$15</f>
        <v>37017.287954545456</v>
      </c>
      <c r="R326" s="576" cm="1">
        <f t="array" ref="R326">_xlfn.ANCHORARRAY(R296) * $F$15</f>
        <v>38287.045530303039</v>
      </c>
      <c r="S326" s="576" cm="1">
        <f t="array" ref="S326">_xlfn.ANCHORARRAY(S296) * $F$15</f>
        <v>39556.984500000013</v>
      </c>
      <c r="T326" s="576" cm="1">
        <f t="array" ref="T326">_xlfn.ANCHORARRAY(T296) * $F$15</f>
        <v>40827.150212121218</v>
      </c>
      <c r="U326" s="576" cm="1">
        <f t="array" ref="U326">_xlfn.ANCHORARRAY(U296) * $F$15</f>
        <v>41852.842242424245</v>
      </c>
      <c r="V326" s="576" cm="1">
        <f t="array" ref="V326">_xlfn.ANCHORARRAY(V296) * $F$15</f>
        <v>42624.401363636374</v>
      </c>
      <c r="W326" s="576" cm="1">
        <f t="array" ref="W326">_xlfn.ANCHORARRAY(W296) * $F$15</f>
        <v>43395.960484848503</v>
      </c>
      <c r="X326" s="576" cm="1">
        <f t="array" ref="X326">_xlfn.ANCHORARRAY(X296) * $F$15</f>
        <v>44167.519606060625</v>
      </c>
      <c r="Y326" s="576" cm="1">
        <f t="array" ref="Y326">_xlfn.ANCHORARRAY(Y296) * $F$15</f>
        <v>44938.851984848494</v>
      </c>
      <c r="Z326" s="576" cm="1">
        <f t="array" ref="Z326">_xlfn.ANCHORARRAY(Z296) * $F$15</f>
        <v>45710.411106060608</v>
      </c>
      <c r="AA326" s="576" cm="1">
        <f t="array" ref="AA326">_xlfn.ANCHORARRAY(AA296) * $F$15</f>
        <v>46481.743484848477</v>
      </c>
      <c r="AB326" s="576" cm="1">
        <f t="array" ref="AB326">_xlfn.ANCHORARRAY(AB296) * $F$15</f>
        <v>47253.302606060599</v>
      </c>
      <c r="AC326" s="576" cm="1">
        <f t="array" ref="AC326">_xlfn.ANCHORARRAY(AC296) * $F$15</f>
        <v>48024.861727272728</v>
      </c>
      <c r="AD326" s="576" cm="1">
        <f t="array" ref="AD326">_xlfn.ANCHORARRAY(AD296) * $F$15</f>
        <v>48796.194106060597</v>
      </c>
      <c r="AE326" s="576" cm="1">
        <f t="array" ref="AE326">_xlfn.ANCHORARRAY(AE296) * $F$15</f>
        <v>49567.753227272726</v>
      </c>
      <c r="AF326" s="576" cm="1">
        <f t="array" ref="AF326">_xlfn.ANCHORARRAY(AF296) * $F$15</f>
        <v>50339.312348484847</v>
      </c>
      <c r="AG326" s="714" cm="1">
        <f t="array" ref="AG326">_xlfn.ANCHORARRAY(AG296) * $F$15</f>
        <v>51110.644727272716</v>
      </c>
      <c r="AH326" s="5"/>
      <c r="AI326" s="5"/>
      <c r="AJ326" s="5"/>
      <c r="AK326" s="5"/>
      <c r="AL326" s="5"/>
      <c r="AM326" s="5"/>
      <c r="AN326" s="5"/>
    </row>
    <row r="327" spans="1:40" ht="21.95" customHeight="1" x14ac:dyDescent="0.2">
      <c r="B327" s="183"/>
      <c r="C327" s="116"/>
      <c r="D327" s="720"/>
      <c r="E327" s="125" t="s">
        <v>25</v>
      </c>
      <c r="F327" s="125"/>
      <c r="G327" s="125"/>
      <c r="H327" s="716">
        <f>SUM(H298:H326)</f>
        <v>33805557.700606063</v>
      </c>
      <c r="I327" s="716">
        <f t="shared" ref="I327" si="192">SUM(I298:I326)</f>
        <v>34899784.2256286</v>
      </c>
      <c r="J327" s="716">
        <f t="shared" ref="J327" si="193">SUM(J298:J326)</f>
        <v>36818917.174561568</v>
      </c>
      <c r="K327" s="716">
        <f t="shared" ref="K327" si="194">SUM(K298:K326)</f>
        <v>39836928.226768158</v>
      </c>
      <c r="L327" s="716">
        <f t="shared" ref="L327" si="195">SUM(L298:L326)</f>
        <v>42856316.902456582</v>
      </c>
      <c r="M327" s="716">
        <f t="shared" ref="M327" si="196">SUM(M298:M326)</f>
        <v>45875773.498792849</v>
      </c>
      <c r="N327" s="716">
        <f t="shared" ref="N327" si="197">SUM(N298:N326)</f>
        <v>48893784.55099947</v>
      </c>
      <c r="O327" s="716">
        <f t="shared" ref="O327" si="198">SUM(O298:O326)</f>
        <v>51914573.226835363</v>
      </c>
      <c r="P327" s="716">
        <f t="shared" ref="P327" si="199">SUM(P298:P326)</f>
        <v>54753425.974103734</v>
      </c>
      <c r="Q327" s="716">
        <f t="shared" ref="Q327" si="200">SUM(Q298:Q326)</f>
        <v>57581475.536621727</v>
      </c>
      <c r="R327" s="716">
        <f t="shared" ref="R327" si="201">SUM(R298:R326)</f>
        <v>60494387.696300931</v>
      </c>
      <c r="S327" s="716">
        <f t="shared" ref="S327" si="202">SUM(S298:S326)</f>
        <v>63447387.794348441</v>
      </c>
      <c r="T327" s="716">
        <f t="shared" ref="T327" si="203">SUM(T298:T326)</f>
        <v>66402092.682601497</v>
      </c>
      <c r="U327" s="716">
        <f t="shared" ref="U327" si="204">SUM(U298:U326)</f>
        <v>68236558.962342426</v>
      </c>
      <c r="V327" s="716">
        <f t="shared" ref="V327" si="205">SUM(V298:V326)</f>
        <v>69366821.55024305</v>
      </c>
      <c r="W327" s="716">
        <f t="shared" ref="W327" si="206">SUM(W298:W326)</f>
        <v>70522324.133003175</v>
      </c>
      <c r="X327" s="716">
        <f t="shared" ref="X327" si="207">SUM(X298:X326)</f>
        <v>71677826.71576333</v>
      </c>
      <c r="Y327" s="716">
        <f t="shared" ref="Y327" si="208">SUM(Y298:Y326)</f>
        <v>72834065.794618875</v>
      </c>
      <c r="Z327" s="716">
        <f t="shared" ref="Z327" si="209">SUM(Z298:Z326)</f>
        <v>73989568.377379015</v>
      </c>
      <c r="AA327" s="716">
        <f t="shared" ref="AA327" si="210">SUM(AA298:AA326)</f>
        <v>75145808.762270898</v>
      </c>
      <c r="AB327" s="716">
        <f t="shared" ref="AB327" si="211">SUM(AB298:AB326)</f>
        <v>76301311.345031023</v>
      </c>
      <c r="AC327" s="716">
        <f t="shared" ref="AC327" si="212">SUM(AC298:AC326)</f>
        <v>77456813.927791163</v>
      </c>
      <c r="AD327" s="716">
        <f t="shared" ref="AD327" si="213">SUM(AD298:AD326)</f>
        <v>78613053.006646708</v>
      </c>
      <c r="AE327" s="716">
        <f t="shared" ref="AE327" si="214">SUM(AE298:AE326)</f>
        <v>79768555.589406863</v>
      </c>
      <c r="AF327" s="716">
        <f t="shared" ref="AF327" si="215">SUM(AF298:AF326)</f>
        <v>80924058.172166988</v>
      </c>
      <c r="AG327" s="717">
        <f t="shared" ref="AG327" si="216">SUM(AG298:AG326)</f>
        <v>82080298.557058871</v>
      </c>
      <c r="AH327" s="47"/>
      <c r="AI327" s="47"/>
      <c r="AJ327" s="47"/>
      <c r="AK327" s="47"/>
      <c r="AL327" s="47"/>
      <c r="AM327" s="47"/>
      <c r="AN327" s="47"/>
    </row>
    <row r="328" spans="1:40" ht="21.95" customHeight="1" x14ac:dyDescent="0.2">
      <c r="A328" s="9"/>
      <c r="B328" s="705"/>
      <c r="C328" s="715"/>
      <c r="D328" s="718" t="s">
        <v>476</v>
      </c>
      <c r="E328" s="1340" t="s">
        <v>331</v>
      </c>
      <c r="F328" s="220" t="s">
        <v>332</v>
      </c>
      <c r="G328" s="220" t="s">
        <v>282</v>
      </c>
      <c r="H328" s="576">
        <f>H268 * (1-$F$15)</f>
        <v>372825.59999999998</v>
      </c>
      <c r="I328" s="576">
        <f t="shared" ref="I328:AG328" si="217">I268 * (1-$F$15)</f>
        <v>389778.67907999997</v>
      </c>
      <c r="J328" s="576">
        <f t="shared" si="217"/>
        <v>413663.98416000005</v>
      </c>
      <c r="K328" s="576">
        <f t="shared" si="217"/>
        <v>448798.13664000004</v>
      </c>
      <c r="L328" s="576">
        <f t="shared" si="217"/>
        <v>483945.10499999992</v>
      </c>
      <c r="M328" s="576">
        <f t="shared" si="217"/>
        <v>519092.07335999986</v>
      </c>
      <c r="N328" s="576">
        <f t="shared" si="217"/>
        <v>554226.22583999997</v>
      </c>
      <c r="O328" s="576">
        <f t="shared" si="217"/>
        <v>589386.0100799998</v>
      </c>
      <c r="P328" s="576">
        <f t="shared" si="217"/>
        <v>624129.86075999995</v>
      </c>
      <c r="Q328" s="576">
        <f t="shared" si="217"/>
        <v>658880.7019199999</v>
      </c>
      <c r="R328" s="576">
        <f t="shared" si="217"/>
        <v>693624.55260000005</v>
      </c>
      <c r="S328" s="576">
        <f t="shared" si="217"/>
        <v>728368.40328000009</v>
      </c>
      <c r="T328" s="576">
        <f t="shared" si="217"/>
        <v>763137.8857199999</v>
      </c>
      <c r="U328" s="576">
        <f t="shared" si="217"/>
        <v>786620.07312000007</v>
      </c>
      <c r="V328" s="576">
        <f t="shared" si="217"/>
        <v>803573.15220000001</v>
      </c>
      <c r="W328" s="576">
        <f t="shared" si="217"/>
        <v>820526.23127999972</v>
      </c>
      <c r="X328" s="576">
        <f t="shared" si="217"/>
        <v>837479.31036</v>
      </c>
      <c r="Y328" s="576">
        <f t="shared" si="217"/>
        <v>854438.21483999991</v>
      </c>
      <c r="Z328" s="576">
        <f t="shared" si="217"/>
        <v>871391.29391999997</v>
      </c>
      <c r="AA328" s="576">
        <f t="shared" si="217"/>
        <v>888350.19839999988</v>
      </c>
      <c r="AB328" s="576">
        <f t="shared" si="217"/>
        <v>905303.27747999993</v>
      </c>
      <c r="AC328" s="576">
        <f t="shared" si="217"/>
        <v>922256.35655999987</v>
      </c>
      <c r="AD328" s="576">
        <f t="shared" si="217"/>
        <v>939215.26103999978</v>
      </c>
      <c r="AE328" s="576">
        <f t="shared" si="217"/>
        <v>956168.34011999972</v>
      </c>
      <c r="AF328" s="576">
        <f t="shared" si="217"/>
        <v>973121.4192</v>
      </c>
      <c r="AG328" s="714">
        <f t="shared" si="217"/>
        <v>990080.32367999991</v>
      </c>
      <c r="AH328" s="5"/>
      <c r="AI328" s="5"/>
      <c r="AJ328" s="5"/>
      <c r="AK328" s="5"/>
      <c r="AL328" s="5"/>
      <c r="AM328" s="5"/>
      <c r="AN328" s="5"/>
    </row>
    <row r="329" spans="1:40" ht="21.95" customHeight="1" x14ac:dyDescent="0.2">
      <c r="A329" s="9"/>
      <c r="B329" s="705"/>
      <c r="C329" s="715"/>
      <c r="D329" s="718"/>
      <c r="E329" s="1339"/>
      <c r="F329" s="116" t="s">
        <v>282</v>
      </c>
      <c r="G329" s="116" t="s">
        <v>280</v>
      </c>
      <c r="H329" s="576">
        <f t="shared" ref="H329:AG329" si="218">H269 * (1-$F$15)</f>
        <v>11988338.727272727</v>
      </c>
      <c r="I329" s="576">
        <f t="shared" si="218"/>
        <v>12621145.407054542</v>
      </c>
      <c r="J329" s="576">
        <f t="shared" si="218"/>
        <v>13571065.846799999</v>
      </c>
      <c r="K329" s="576">
        <f t="shared" si="218"/>
        <v>15140472.589963632</v>
      </c>
      <c r="L329" s="576">
        <f t="shared" si="218"/>
        <v>16710589.7532</v>
      </c>
      <c r="M329" s="576">
        <f t="shared" si="218"/>
        <v>18280618.113927267</v>
      </c>
      <c r="N329" s="576">
        <f t="shared" si="218"/>
        <v>19850024.857090909</v>
      </c>
      <c r="O329" s="576">
        <f t="shared" si="218"/>
        <v>21420852.440400001</v>
      </c>
      <c r="P329" s="576">
        <f t="shared" si="218"/>
        <v>23005622.017636359</v>
      </c>
      <c r="Q329" s="576">
        <f t="shared" si="218"/>
        <v>24590924.409927268</v>
      </c>
      <c r="R329" s="576">
        <f t="shared" si="218"/>
        <v>26175693.987163629</v>
      </c>
      <c r="S329" s="576">
        <f t="shared" si="218"/>
        <v>27760463.564399999</v>
      </c>
      <c r="T329" s="576">
        <f t="shared" si="218"/>
        <v>29346653.981781818</v>
      </c>
      <c r="U329" s="576">
        <f t="shared" si="218"/>
        <v>30311226.835527275</v>
      </c>
      <c r="V329" s="576">
        <f t="shared" si="218"/>
        <v>30944033.515309084</v>
      </c>
      <c r="W329" s="576">
        <f t="shared" si="218"/>
        <v>31576840.195090909</v>
      </c>
      <c r="X329" s="576">
        <f t="shared" si="218"/>
        <v>32209646.874872729</v>
      </c>
      <c r="Y329" s="576">
        <f t="shared" si="218"/>
        <v>32842808.764690906</v>
      </c>
      <c r="Z329" s="576">
        <f t="shared" si="218"/>
        <v>33475615.444472719</v>
      </c>
      <c r="AA329" s="576">
        <f t="shared" si="218"/>
        <v>34108777.334290914</v>
      </c>
      <c r="AB329" s="576">
        <f t="shared" si="218"/>
        <v>34741584.014072731</v>
      </c>
      <c r="AC329" s="576">
        <f t="shared" si="218"/>
        <v>35374390.693854541</v>
      </c>
      <c r="AD329" s="576">
        <f t="shared" si="218"/>
        <v>36007552.58367274</v>
      </c>
      <c r="AE329" s="576">
        <f t="shared" si="218"/>
        <v>36640359.263454542</v>
      </c>
      <c r="AF329" s="576">
        <f t="shared" si="218"/>
        <v>37273165.943236358</v>
      </c>
      <c r="AG329" s="714">
        <f t="shared" si="218"/>
        <v>37906327.833054543</v>
      </c>
      <c r="AH329" s="5"/>
      <c r="AI329" s="5"/>
      <c r="AJ329" s="5"/>
      <c r="AK329" s="5"/>
      <c r="AL329" s="5"/>
      <c r="AM329" s="5"/>
      <c r="AN329" s="5"/>
    </row>
    <row r="330" spans="1:40" ht="21.95" customHeight="1" x14ac:dyDescent="0.2">
      <c r="A330" s="9"/>
      <c r="B330" s="705"/>
      <c r="C330" s="715"/>
      <c r="D330" s="718"/>
      <c r="E330" s="1339"/>
      <c r="F330" s="116" t="s">
        <v>280</v>
      </c>
      <c r="G330" s="116" t="s">
        <v>333</v>
      </c>
      <c r="H330" s="576">
        <f t="shared" ref="H330:AG330" si="219">H270 * (1-$F$15)</f>
        <v>279619.19999999995</v>
      </c>
      <c r="I330" s="576">
        <f t="shared" si="219"/>
        <v>291295.6317599999</v>
      </c>
      <c r="J330" s="576">
        <f t="shared" si="219"/>
        <v>305747.2840799999</v>
      </c>
      <c r="K330" s="576">
        <f t="shared" si="219"/>
        <v>325204.12007999996</v>
      </c>
      <c r="L330" s="576">
        <f t="shared" si="219"/>
        <v>344667.94656000001</v>
      </c>
      <c r="M330" s="576">
        <f t="shared" si="219"/>
        <v>364129.44287999999</v>
      </c>
      <c r="N330" s="576">
        <f t="shared" si="219"/>
        <v>383586.27888</v>
      </c>
      <c r="O330" s="576">
        <f t="shared" si="219"/>
        <v>403057.09584000008</v>
      </c>
      <c r="P330" s="576">
        <f t="shared" si="219"/>
        <v>421922.07119999995</v>
      </c>
      <c r="Q330" s="576">
        <f t="shared" si="219"/>
        <v>440794.03703999985</v>
      </c>
      <c r="R330" s="576">
        <f t="shared" si="219"/>
        <v>459659.01239999995</v>
      </c>
      <c r="S330" s="576">
        <f t="shared" si="219"/>
        <v>478523.98775999993</v>
      </c>
      <c r="T330" s="576">
        <f t="shared" si="219"/>
        <v>497402.94408000004</v>
      </c>
      <c r="U330" s="576">
        <f t="shared" si="219"/>
        <v>511255.74527999992</v>
      </c>
      <c r="V330" s="576">
        <f t="shared" si="219"/>
        <v>522932.17703999998</v>
      </c>
      <c r="W330" s="576">
        <f t="shared" si="219"/>
        <v>534608.60879999993</v>
      </c>
      <c r="X330" s="576">
        <f t="shared" si="219"/>
        <v>546285.04055999988</v>
      </c>
      <c r="Y330" s="576">
        <f t="shared" si="219"/>
        <v>557966.13263999997</v>
      </c>
      <c r="Z330" s="576">
        <f t="shared" si="219"/>
        <v>569642.56439999992</v>
      </c>
      <c r="AA330" s="576">
        <f t="shared" si="219"/>
        <v>581323.65647999989</v>
      </c>
      <c r="AB330" s="576">
        <f t="shared" si="219"/>
        <v>593000.08824000007</v>
      </c>
      <c r="AC330" s="576">
        <f t="shared" si="219"/>
        <v>604676.5199999999</v>
      </c>
      <c r="AD330" s="576">
        <f t="shared" si="219"/>
        <v>616357.61207999999</v>
      </c>
      <c r="AE330" s="576">
        <f t="shared" si="219"/>
        <v>628034.04383999994</v>
      </c>
      <c r="AF330" s="576">
        <f t="shared" si="219"/>
        <v>639710.47559999977</v>
      </c>
      <c r="AG330" s="714">
        <f t="shared" si="219"/>
        <v>651391.56767999998</v>
      </c>
      <c r="AH330" s="5"/>
      <c r="AI330" s="5"/>
      <c r="AJ330" s="5"/>
      <c r="AK330" s="5"/>
      <c r="AL330" s="5"/>
      <c r="AM330" s="5"/>
      <c r="AN330" s="5"/>
    </row>
    <row r="331" spans="1:40" ht="21.95" customHeight="1" x14ac:dyDescent="0.2">
      <c r="A331" s="9"/>
      <c r="B331" s="705"/>
      <c r="C331" s="715"/>
      <c r="D331" s="718"/>
      <c r="E331" s="1340" t="s">
        <v>280</v>
      </c>
      <c r="F331" s="220" t="s">
        <v>281</v>
      </c>
      <c r="G331" s="220" t="s">
        <v>335</v>
      </c>
      <c r="H331" s="576">
        <f t="shared" ref="H331:AG331" si="220">H271 * (1-$F$15)</f>
        <v>2541100.7999999998</v>
      </c>
      <c r="I331" s="576">
        <f t="shared" si="220"/>
        <v>2798145.8514239998</v>
      </c>
      <c r="J331" s="576">
        <f t="shared" si="220"/>
        <v>3372828.5028479989</v>
      </c>
      <c r="K331" s="576">
        <f t="shared" si="220"/>
        <v>4527123.5412479993</v>
      </c>
      <c r="L331" s="576">
        <f t="shared" si="220"/>
        <v>5682130.0878719976</v>
      </c>
      <c r="M331" s="576">
        <f t="shared" si="220"/>
        <v>6837009.5794559978</v>
      </c>
      <c r="N331" s="576">
        <f t="shared" si="220"/>
        <v>7991304.6178559978</v>
      </c>
      <c r="O331" s="576">
        <f t="shared" si="220"/>
        <v>9147022.6727039982</v>
      </c>
      <c r="P331" s="576">
        <f t="shared" si="220"/>
        <v>10281065.137727996</v>
      </c>
      <c r="Q331" s="576">
        <f t="shared" si="220"/>
        <v>11415679.350431997</v>
      </c>
      <c r="R331" s="576">
        <f t="shared" si="220"/>
        <v>12549721.815455997</v>
      </c>
      <c r="S331" s="576">
        <f t="shared" si="220"/>
        <v>13683764.280479999</v>
      </c>
      <c r="T331" s="576">
        <f t="shared" si="220"/>
        <v>14819229.761951998</v>
      </c>
      <c r="U331" s="576">
        <f t="shared" si="220"/>
        <v>15372948.331775997</v>
      </c>
      <c r="V331" s="576">
        <f t="shared" si="220"/>
        <v>15629993.383199994</v>
      </c>
      <c r="W331" s="576">
        <f t="shared" si="220"/>
        <v>15887038.434623996</v>
      </c>
      <c r="X331" s="576">
        <f t="shared" si="220"/>
        <v>16144083.486047996</v>
      </c>
      <c r="Y331" s="576">
        <f t="shared" si="220"/>
        <v>16401522.408095995</v>
      </c>
      <c r="Z331" s="576">
        <f t="shared" si="220"/>
        <v>16658567.459519999</v>
      </c>
      <c r="AA331" s="576">
        <f t="shared" si="220"/>
        <v>16916006.381567996</v>
      </c>
      <c r="AB331" s="576">
        <f t="shared" si="220"/>
        <v>17173051.432991993</v>
      </c>
      <c r="AC331" s="576">
        <f t="shared" si="220"/>
        <v>17430096.484415997</v>
      </c>
      <c r="AD331" s="576">
        <f t="shared" si="220"/>
        <v>17687535.406463999</v>
      </c>
      <c r="AE331" s="576">
        <f t="shared" si="220"/>
        <v>17944580.457887996</v>
      </c>
      <c r="AF331" s="576">
        <f t="shared" si="220"/>
        <v>18201625.509311996</v>
      </c>
      <c r="AG331" s="714">
        <f t="shared" si="220"/>
        <v>18459064.431359995</v>
      </c>
      <c r="AH331" s="5"/>
      <c r="AI331" s="5"/>
      <c r="AJ331" s="5"/>
      <c r="AK331" s="5"/>
      <c r="AL331" s="5"/>
      <c r="AM331" s="5"/>
      <c r="AN331" s="5"/>
    </row>
    <row r="332" spans="1:40" ht="21.95" customHeight="1" x14ac:dyDescent="0.2">
      <c r="A332" s="9"/>
      <c r="B332" s="705"/>
      <c r="C332" s="715"/>
      <c r="D332" s="718"/>
      <c r="E332" s="1339"/>
      <c r="F332" s="116" t="s">
        <v>335</v>
      </c>
      <c r="G332" s="116" t="s">
        <v>323</v>
      </c>
      <c r="H332" s="576">
        <f t="shared" ref="H332:AG332" si="221">H272 * (1-$F$15)</f>
        <v>294335.99999999994</v>
      </c>
      <c r="I332" s="576">
        <f t="shared" si="221"/>
        <v>325054.86720000004</v>
      </c>
      <c r="J332" s="576">
        <f t="shared" si="221"/>
        <v>367461.3263999999</v>
      </c>
      <c r="K332" s="576">
        <f t="shared" si="221"/>
        <v>445337.72639999993</v>
      </c>
      <c r="L332" s="576">
        <f t="shared" si="221"/>
        <v>523236.20159999997</v>
      </c>
      <c r="M332" s="576">
        <f t="shared" si="221"/>
        <v>601149.39360000007</v>
      </c>
      <c r="N332" s="576">
        <f t="shared" si="221"/>
        <v>679025.79359999986</v>
      </c>
      <c r="O332" s="576">
        <f t="shared" si="221"/>
        <v>756973.32480000006</v>
      </c>
      <c r="P332" s="576">
        <f t="shared" si="221"/>
        <v>869051.56799999985</v>
      </c>
      <c r="Q332" s="576">
        <f t="shared" si="221"/>
        <v>981154.33919999981</v>
      </c>
      <c r="R332" s="576">
        <f t="shared" si="221"/>
        <v>1093210.5071999999</v>
      </c>
      <c r="S332" s="576">
        <f t="shared" si="221"/>
        <v>1205288.7504</v>
      </c>
      <c r="T332" s="576">
        <f t="shared" si="221"/>
        <v>1317438.1248000001</v>
      </c>
      <c r="U332" s="576">
        <f t="shared" si="221"/>
        <v>1393975.2959999999</v>
      </c>
      <c r="V332" s="576">
        <f t="shared" si="221"/>
        <v>1424694.1631999998</v>
      </c>
      <c r="W332" s="576">
        <f t="shared" si="221"/>
        <v>1455413.0304</v>
      </c>
      <c r="X332" s="576">
        <f t="shared" si="221"/>
        <v>1486131.8975999998</v>
      </c>
      <c r="Y332" s="576">
        <f t="shared" si="221"/>
        <v>1516872.84</v>
      </c>
      <c r="Z332" s="576">
        <f t="shared" si="221"/>
        <v>1547591.7071999998</v>
      </c>
      <c r="AA332" s="576">
        <f t="shared" si="221"/>
        <v>1578332.6496000001</v>
      </c>
      <c r="AB332" s="576">
        <f t="shared" si="221"/>
        <v>1609051.5168000001</v>
      </c>
      <c r="AC332" s="576">
        <f t="shared" si="221"/>
        <v>1639770.3839999998</v>
      </c>
      <c r="AD332" s="576">
        <f t="shared" si="221"/>
        <v>1670511.3263999999</v>
      </c>
      <c r="AE332" s="576">
        <f t="shared" si="221"/>
        <v>1701230.1935999996</v>
      </c>
      <c r="AF332" s="576">
        <f t="shared" si="221"/>
        <v>1731949.0608000001</v>
      </c>
      <c r="AG332" s="714">
        <f t="shared" si="221"/>
        <v>1762690.0031999995</v>
      </c>
      <c r="AH332" s="5"/>
      <c r="AI332" s="5"/>
      <c r="AJ332" s="5"/>
      <c r="AK332" s="5"/>
      <c r="AL332" s="5"/>
      <c r="AM332" s="5"/>
      <c r="AN332" s="5"/>
    </row>
    <row r="333" spans="1:40" ht="21.95" customHeight="1" x14ac:dyDescent="0.2">
      <c r="A333" s="9"/>
      <c r="B333" s="705"/>
      <c r="C333" s="715"/>
      <c r="D333" s="718"/>
      <c r="E333" s="1353"/>
      <c r="F333" s="254" t="s">
        <v>323</v>
      </c>
      <c r="G333" s="254" t="s">
        <v>338</v>
      </c>
      <c r="H333" s="576">
        <f t="shared" ref="H333:AG333" si="222">H273 * (1-$F$15)</f>
        <v>3944102.3999999994</v>
      </c>
      <c r="I333" s="576">
        <f t="shared" si="222"/>
        <v>4054550.4142079996</v>
      </c>
      <c r="J333" s="576">
        <f t="shared" si="222"/>
        <v>4211946.3939840002</v>
      </c>
      <c r="K333" s="576">
        <f t="shared" si="222"/>
        <v>4432855.5694080004</v>
      </c>
      <c r="L333" s="576">
        <f t="shared" si="222"/>
        <v>4653856.7738879984</v>
      </c>
      <c r="M333" s="576">
        <f t="shared" si="222"/>
        <v>4874838.2578560011</v>
      </c>
      <c r="N333" s="576">
        <f t="shared" si="222"/>
        <v>5095747.4332800005</v>
      </c>
      <c r="O333" s="576">
        <f t="shared" si="222"/>
        <v>5316834.0933119999</v>
      </c>
      <c r="P333" s="576">
        <f t="shared" si="222"/>
        <v>5540017.7011199985</v>
      </c>
      <c r="Q333" s="576">
        <f t="shared" si="222"/>
        <v>5763267.0439680004</v>
      </c>
      <c r="R333" s="576">
        <f t="shared" si="222"/>
        <v>5986430.9312639991</v>
      </c>
      <c r="S333" s="576">
        <f t="shared" si="222"/>
        <v>6209614.5390720004</v>
      </c>
      <c r="T333" s="576">
        <f t="shared" si="222"/>
        <v>6432975.631488</v>
      </c>
      <c r="U333" s="576">
        <f t="shared" si="222"/>
        <v>6592540.8675840003</v>
      </c>
      <c r="V333" s="576">
        <f t="shared" si="222"/>
        <v>6702988.8817919986</v>
      </c>
      <c r="W333" s="576">
        <f t="shared" si="222"/>
        <v>6813436.8959999997</v>
      </c>
      <c r="X333" s="576">
        <f t="shared" si="222"/>
        <v>6923884.9102079989</v>
      </c>
      <c r="Y333" s="576">
        <f t="shared" si="222"/>
        <v>7034385.5124479998</v>
      </c>
      <c r="Z333" s="576">
        <f t="shared" si="222"/>
        <v>7144833.5266559999</v>
      </c>
      <c r="AA333" s="576">
        <f t="shared" si="222"/>
        <v>7255334.1288959999</v>
      </c>
      <c r="AB333" s="576">
        <f t="shared" si="222"/>
        <v>7365782.1431039991</v>
      </c>
      <c r="AC333" s="576">
        <f t="shared" si="222"/>
        <v>7476230.1573120002</v>
      </c>
      <c r="AD333" s="576">
        <f t="shared" si="222"/>
        <v>7586730.7595519992</v>
      </c>
      <c r="AE333" s="576">
        <f t="shared" si="222"/>
        <v>7697178.7737599984</v>
      </c>
      <c r="AF333" s="576">
        <f t="shared" si="222"/>
        <v>7807626.7879679995</v>
      </c>
      <c r="AG333" s="714">
        <f t="shared" si="222"/>
        <v>7918127.3902079994</v>
      </c>
      <c r="AH333" s="5"/>
      <c r="AI333" s="5"/>
      <c r="AJ333" s="5"/>
      <c r="AK333" s="5"/>
      <c r="AL333" s="5"/>
      <c r="AM333" s="5"/>
      <c r="AN333" s="5"/>
    </row>
    <row r="334" spans="1:40" ht="21.95" customHeight="1" x14ac:dyDescent="0.2">
      <c r="A334" s="9"/>
      <c r="B334" s="705"/>
      <c r="C334" s="715"/>
      <c r="D334" s="718"/>
      <c r="E334" s="116" t="s">
        <v>339</v>
      </c>
      <c r="F334" s="116" t="s">
        <v>335</v>
      </c>
      <c r="G334" s="116" t="s">
        <v>323</v>
      </c>
      <c r="H334" s="576">
        <f t="shared" ref="H334:AG334" si="223">H274 * (1-$F$15)</f>
        <v>11528.159999999998</v>
      </c>
      <c r="I334" s="576">
        <f t="shared" si="223"/>
        <v>87371.924639999997</v>
      </c>
      <c r="J334" s="576">
        <f t="shared" si="223"/>
        <v>506189.97743999987</v>
      </c>
      <c r="K334" s="576">
        <f t="shared" si="223"/>
        <v>1165877.4052799998</v>
      </c>
      <c r="L334" s="576">
        <f t="shared" si="223"/>
        <v>1825979.8468799999</v>
      </c>
      <c r="M334" s="576">
        <f t="shared" si="223"/>
        <v>2486116.8729600003</v>
      </c>
      <c r="N334" s="576">
        <f t="shared" si="223"/>
        <v>3145804.3007999999</v>
      </c>
      <c r="O334" s="576">
        <f t="shared" si="223"/>
        <v>3806367.8687999998</v>
      </c>
      <c r="P334" s="576">
        <f t="shared" si="223"/>
        <v>4177274.8886399991</v>
      </c>
      <c r="Q334" s="576">
        <f t="shared" si="223"/>
        <v>4548320.2463999996</v>
      </c>
      <c r="R334" s="576">
        <f t="shared" si="223"/>
        <v>4919331.0196799999</v>
      </c>
      <c r="S334" s="576">
        <f t="shared" si="223"/>
        <v>5290238.0395199992</v>
      </c>
      <c r="T334" s="576">
        <f t="shared" si="223"/>
        <v>5662021.1995200012</v>
      </c>
      <c r="U334" s="576">
        <f t="shared" si="223"/>
        <v>5791701.4713600008</v>
      </c>
      <c r="V334" s="576">
        <f t="shared" si="223"/>
        <v>5867545.2359999996</v>
      </c>
      <c r="W334" s="576">
        <f t="shared" si="223"/>
        <v>5943389.0006400002</v>
      </c>
      <c r="X334" s="576">
        <f t="shared" si="223"/>
        <v>6019232.7652800009</v>
      </c>
      <c r="Y334" s="576">
        <f t="shared" si="223"/>
        <v>6095376.2620799998</v>
      </c>
      <c r="Z334" s="576">
        <f t="shared" si="223"/>
        <v>6171220.0267200004</v>
      </c>
      <c r="AA334" s="576">
        <f t="shared" si="223"/>
        <v>6247363.5235200021</v>
      </c>
      <c r="AB334" s="576">
        <f t="shared" si="223"/>
        <v>6323207.28816</v>
      </c>
      <c r="AC334" s="576">
        <f t="shared" si="223"/>
        <v>6399051.0528000006</v>
      </c>
      <c r="AD334" s="576">
        <f t="shared" si="223"/>
        <v>6475194.5496000024</v>
      </c>
      <c r="AE334" s="576">
        <f t="shared" si="223"/>
        <v>6551038.3142399993</v>
      </c>
      <c r="AF334" s="576">
        <f t="shared" si="223"/>
        <v>6626882.0788799999</v>
      </c>
      <c r="AG334" s="714">
        <f t="shared" si="223"/>
        <v>6703025.5756800016</v>
      </c>
      <c r="AH334" s="5"/>
      <c r="AI334" s="5"/>
      <c r="AJ334" s="5"/>
      <c r="AK334" s="5"/>
      <c r="AL334" s="5"/>
      <c r="AM334" s="5"/>
      <c r="AN334" s="5"/>
    </row>
    <row r="335" spans="1:40" ht="21.95" customHeight="1" x14ac:dyDescent="0.2">
      <c r="A335" s="9"/>
      <c r="B335" s="705"/>
      <c r="C335" s="715"/>
      <c r="D335" s="718"/>
      <c r="E335" s="1340" t="s">
        <v>323</v>
      </c>
      <c r="F335" s="220" t="s">
        <v>282</v>
      </c>
      <c r="G335" s="220" t="s">
        <v>339</v>
      </c>
      <c r="H335" s="576">
        <f t="shared" ref="H335:AG335" si="224">H275 * (1-$F$15)</f>
        <v>33112.799999999996</v>
      </c>
      <c r="I335" s="576">
        <f t="shared" si="224"/>
        <v>73593.197999999989</v>
      </c>
      <c r="J335" s="576">
        <f t="shared" si="224"/>
        <v>311045.08679999999</v>
      </c>
      <c r="K335" s="576">
        <f t="shared" si="224"/>
        <v>699209.8848</v>
      </c>
      <c r="L335" s="576">
        <f t="shared" si="224"/>
        <v>1087589.9160000002</v>
      </c>
      <c r="M335" s="576">
        <f t="shared" si="224"/>
        <v>1475986.5035999995</v>
      </c>
      <c r="N335" s="576">
        <f t="shared" si="224"/>
        <v>1864151.3015999999</v>
      </c>
      <c r="O335" s="576">
        <f t="shared" si="224"/>
        <v>2252763.1223999998</v>
      </c>
      <c r="P335" s="576">
        <f t="shared" si="224"/>
        <v>2552433.9624000001</v>
      </c>
      <c r="Q335" s="576">
        <f t="shared" si="224"/>
        <v>2852154.4716000003</v>
      </c>
      <c r="R335" s="576">
        <f t="shared" si="224"/>
        <v>3151825.3115999997</v>
      </c>
      <c r="S335" s="576">
        <f t="shared" si="224"/>
        <v>3451496.1515999995</v>
      </c>
      <c r="T335" s="576">
        <f t="shared" si="224"/>
        <v>3751564.3451999999</v>
      </c>
      <c r="U335" s="576">
        <f t="shared" si="224"/>
        <v>3900290.4863999998</v>
      </c>
      <c r="V335" s="576">
        <f t="shared" si="224"/>
        <v>3940770.8843999999</v>
      </c>
      <c r="W335" s="576">
        <f t="shared" si="224"/>
        <v>3981251.2823999999</v>
      </c>
      <c r="X335" s="576">
        <f t="shared" si="224"/>
        <v>4021731.6803999995</v>
      </c>
      <c r="Y335" s="576">
        <f t="shared" si="224"/>
        <v>4062327.9732000004</v>
      </c>
      <c r="Z335" s="576">
        <f t="shared" si="224"/>
        <v>4102808.3711999999</v>
      </c>
      <c r="AA335" s="576">
        <f t="shared" si="224"/>
        <v>4143404.6639999989</v>
      </c>
      <c r="AB335" s="576">
        <f t="shared" si="224"/>
        <v>4183885.061999999</v>
      </c>
      <c r="AC335" s="576">
        <f t="shared" si="224"/>
        <v>4224365.459999999</v>
      </c>
      <c r="AD335" s="576">
        <f t="shared" si="224"/>
        <v>4264961.752799999</v>
      </c>
      <c r="AE335" s="576">
        <f t="shared" si="224"/>
        <v>4305442.150799999</v>
      </c>
      <c r="AF335" s="576">
        <f t="shared" si="224"/>
        <v>4345922.5487999991</v>
      </c>
      <c r="AG335" s="714">
        <f t="shared" si="224"/>
        <v>4386518.8415999999</v>
      </c>
      <c r="AH335" s="5"/>
      <c r="AI335" s="5"/>
      <c r="AJ335" s="5"/>
      <c r="AK335" s="5"/>
      <c r="AL335" s="5"/>
      <c r="AM335" s="5"/>
      <c r="AN335" s="5"/>
    </row>
    <row r="336" spans="1:40" ht="21.95" customHeight="1" x14ac:dyDescent="0.2">
      <c r="A336" s="9"/>
      <c r="B336" s="705"/>
      <c r="C336" s="715"/>
      <c r="D336" s="718"/>
      <c r="E336" s="1339"/>
      <c r="F336" s="116" t="s">
        <v>339</v>
      </c>
      <c r="G336" s="116" t="s">
        <v>288</v>
      </c>
      <c r="H336" s="576">
        <f t="shared" ref="H336:AG336" si="225">H276 * (1-$F$15)</f>
        <v>0</v>
      </c>
      <c r="I336" s="576">
        <f t="shared" si="225"/>
        <v>22526.515200000002</v>
      </c>
      <c r="J336" s="576">
        <f t="shared" si="225"/>
        <v>64513.055039999999</v>
      </c>
      <c r="K336" s="576">
        <f t="shared" si="225"/>
        <v>145021.30944000001</v>
      </c>
      <c r="L336" s="576">
        <f t="shared" si="225"/>
        <v>225574.20480000004</v>
      </c>
      <c r="M336" s="576">
        <f t="shared" si="225"/>
        <v>306130.5340799999</v>
      </c>
      <c r="N336" s="576">
        <f t="shared" si="225"/>
        <v>386638.78847999999</v>
      </c>
      <c r="O336" s="576">
        <f t="shared" si="225"/>
        <v>467239.75871999998</v>
      </c>
      <c r="P336" s="576">
        <f t="shared" si="225"/>
        <v>529393.71072000009</v>
      </c>
      <c r="Q336" s="576">
        <f t="shared" si="225"/>
        <v>591557.96448000008</v>
      </c>
      <c r="R336" s="576">
        <f t="shared" si="225"/>
        <v>653711.9164799999</v>
      </c>
      <c r="S336" s="576">
        <f t="shared" si="225"/>
        <v>715865.86847999995</v>
      </c>
      <c r="T336" s="576">
        <f t="shared" si="225"/>
        <v>778102.23456000001</v>
      </c>
      <c r="U336" s="576">
        <f t="shared" si="225"/>
        <v>808949.13792000001</v>
      </c>
      <c r="V336" s="576">
        <f t="shared" si="225"/>
        <v>817345.07231999992</v>
      </c>
      <c r="W336" s="576">
        <f t="shared" si="225"/>
        <v>825741.00671999995</v>
      </c>
      <c r="X336" s="576">
        <f t="shared" si="225"/>
        <v>834136.94112000009</v>
      </c>
      <c r="Y336" s="576">
        <f t="shared" si="225"/>
        <v>842556.91296000022</v>
      </c>
      <c r="Z336" s="576">
        <f t="shared" si="225"/>
        <v>850952.84736000001</v>
      </c>
      <c r="AA336" s="576">
        <f t="shared" si="225"/>
        <v>859372.81919999979</v>
      </c>
      <c r="AB336" s="576">
        <f t="shared" si="225"/>
        <v>867768.75359999982</v>
      </c>
      <c r="AC336" s="576">
        <f t="shared" si="225"/>
        <v>876164.68799999973</v>
      </c>
      <c r="AD336" s="576">
        <f t="shared" si="225"/>
        <v>884584.65983999986</v>
      </c>
      <c r="AE336" s="576">
        <f t="shared" si="225"/>
        <v>892980.59423999989</v>
      </c>
      <c r="AF336" s="576">
        <f t="shared" si="225"/>
        <v>901376.5286399998</v>
      </c>
      <c r="AG336" s="714">
        <f t="shared" si="225"/>
        <v>909796.50047999993</v>
      </c>
      <c r="AH336" s="5"/>
      <c r="AI336" s="5"/>
      <c r="AJ336" s="5"/>
      <c r="AK336" s="5"/>
      <c r="AL336" s="5"/>
      <c r="AM336" s="5"/>
      <c r="AN336" s="5"/>
    </row>
    <row r="337" spans="1:40" ht="21.95" customHeight="1" x14ac:dyDescent="0.2">
      <c r="A337" s="9"/>
      <c r="B337" s="705"/>
      <c r="C337" s="715"/>
      <c r="D337" s="718"/>
      <c r="E337" s="1339"/>
      <c r="F337" s="116" t="s">
        <v>288</v>
      </c>
      <c r="G337" s="116" t="s">
        <v>340</v>
      </c>
      <c r="H337" s="576">
        <f t="shared" ref="H337:AG337" si="226">H277 * (1-$F$15)</f>
        <v>0</v>
      </c>
      <c r="I337" s="576">
        <f t="shared" si="226"/>
        <v>58729.843199999988</v>
      </c>
      <c r="J337" s="576">
        <f t="shared" si="226"/>
        <v>168194.75063999998</v>
      </c>
      <c r="K337" s="576">
        <f t="shared" si="226"/>
        <v>378091.27103999991</v>
      </c>
      <c r="L337" s="576">
        <f t="shared" si="226"/>
        <v>588104.17680000002</v>
      </c>
      <c r="M337" s="576">
        <f t="shared" si="226"/>
        <v>798126.0352799996</v>
      </c>
      <c r="N337" s="576">
        <f t="shared" si="226"/>
        <v>1008022.5556799999</v>
      </c>
      <c r="O337" s="576">
        <f t="shared" si="226"/>
        <v>1218160.7995199999</v>
      </c>
      <c r="P337" s="576">
        <f t="shared" si="226"/>
        <v>1380205.0315200002</v>
      </c>
      <c r="Q337" s="576">
        <f t="shared" si="226"/>
        <v>1542276.1216800001</v>
      </c>
      <c r="R337" s="576">
        <f t="shared" si="226"/>
        <v>1704320.3536799995</v>
      </c>
      <c r="S337" s="576">
        <f t="shared" si="226"/>
        <v>1866364.5856799996</v>
      </c>
      <c r="T337" s="576">
        <f t="shared" si="226"/>
        <v>2028623.6829599997</v>
      </c>
      <c r="U337" s="576">
        <f t="shared" si="226"/>
        <v>2109045.9667199994</v>
      </c>
      <c r="V337" s="576">
        <f t="shared" si="226"/>
        <v>2130935.3671199996</v>
      </c>
      <c r="W337" s="576">
        <f t="shared" si="226"/>
        <v>2152824.7675199998</v>
      </c>
      <c r="X337" s="576">
        <f t="shared" si="226"/>
        <v>2174714.1679199999</v>
      </c>
      <c r="Y337" s="576">
        <f t="shared" si="226"/>
        <v>2196666.2373600001</v>
      </c>
      <c r="Z337" s="576">
        <f t="shared" si="226"/>
        <v>2218555.6377599998</v>
      </c>
      <c r="AA337" s="576">
        <f t="shared" si="226"/>
        <v>2240507.7071999991</v>
      </c>
      <c r="AB337" s="576">
        <f t="shared" si="226"/>
        <v>2262397.1075999993</v>
      </c>
      <c r="AC337" s="576">
        <f t="shared" si="226"/>
        <v>2284286.507999999</v>
      </c>
      <c r="AD337" s="576">
        <f t="shared" si="226"/>
        <v>2306238.5774399992</v>
      </c>
      <c r="AE337" s="576">
        <f t="shared" si="226"/>
        <v>2328127.9778399994</v>
      </c>
      <c r="AF337" s="576">
        <f t="shared" si="226"/>
        <v>2350017.3782399995</v>
      </c>
      <c r="AG337" s="714">
        <f t="shared" si="226"/>
        <v>2371969.4476799998</v>
      </c>
      <c r="AH337" s="5"/>
      <c r="AI337" s="5"/>
      <c r="AJ337" s="5"/>
      <c r="AK337" s="5"/>
      <c r="AL337" s="5"/>
      <c r="AM337" s="5"/>
      <c r="AN337" s="5"/>
    </row>
    <row r="338" spans="1:40" ht="21.95" customHeight="1" x14ac:dyDescent="0.2">
      <c r="A338" s="9"/>
      <c r="B338" s="705"/>
      <c r="C338" s="715"/>
      <c r="D338" s="718"/>
      <c r="E338" s="1353"/>
      <c r="F338" s="254" t="s">
        <v>340</v>
      </c>
      <c r="G338" s="254" t="s">
        <v>280</v>
      </c>
      <c r="H338" s="576">
        <f t="shared" ref="H338:AG338" si="227">H278 * (1-$F$15)</f>
        <v>77263.199999999997</v>
      </c>
      <c r="I338" s="576">
        <f t="shared" si="227"/>
        <v>115176.25224</v>
      </c>
      <c r="J338" s="576">
        <f t="shared" si="227"/>
        <v>162160.00416000001</v>
      </c>
      <c r="K338" s="576">
        <f t="shared" si="227"/>
        <v>280934.14607999998</v>
      </c>
      <c r="L338" s="576">
        <f t="shared" si="227"/>
        <v>399721.16519999993</v>
      </c>
      <c r="M338" s="576">
        <f t="shared" si="227"/>
        <v>518567.41943999997</v>
      </c>
      <c r="N338" s="576">
        <f t="shared" si="227"/>
        <v>637341.56135999993</v>
      </c>
      <c r="O338" s="576">
        <f t="shared" si="227"/>
        <v>756077.07167999994</v>
      </c>
      <c r="P338" s="576">
        <f t="shared" si="227"/>
        <v>1058307.5311199999</v>
      </c>
      <c r="Q338" s="576">
        <f t="shared" si="227"/>
        <v>1360419.5203199999</v>
      </c>
      <c r="R338" s="576">
        <f t="shared" si="227"/>
        <v>1662508.3305599999</v>
      </c>
      <c r="S338" s="576">
        <f t="shared" si="227"/>
        <v>1964738.7899999998</v>
      </c>
      <c r="T338" s="576">
        <f t="shared" si="227"/>
        <v>2266930.6178400004</v>
      </c>
      <c r="U338" s="576">
        <f t="shared" si="227"/>
        <v>2497280.5468800003</v>
      </c>
      <c r="V338" s="576">
        <f t="shared" si="227"/>
        <v>2535193.5991199999</v>
      </c>
      <c r="W338" s="576">
        <f t="shared" si="227"/>
        <v>2573106.65136</v>
      </c>
      <c r="X338" s="576">
        <f t="shared" si="227"/>
        <v>2611019.7036000001</v>
      </c>
      <c r="Y338" s="576">
        <f t="shared" si="227"/>
        <v>2648816.8610399999</v>
      </c>
      <c r="Z338" s="576">
        <f t="shared" si="227"/>
        <v>2686729.91328</v>
      </c>
      <c r="AA338" s="576">
        <f t="shared" si="227"/>
        <v>2724527.0707199997</v>
      </c>
      <c r="AB338" s="576">
        <f t="shared" si="227"/>
        <v>2762440.1229599998</v>
      </c>
      <c r="AC338" s="576">
        <f t="shared" si="227"/>
        <v>2800353.1751999999</v>
      </c>
      <c r="AD338" s="576">
        <f t="shared" si="227"/>
        <v>2838150.3326399997</v>
      </c>
      <c r="AE338" s="576">
        <f t="shared" si="227"/>
        <v>2876063.3848799998</v>
      </c>
      <c r="AF338" s="576">
        <f t="shared" si="227"/>
        <v>2913976.4371199999</v>
      </c>
      <c r="AG338" s="714">
        <f t="shared" si="227"/>
        <v>2951773.5945600001</v>
      </c>
      <c r="AH338" s="5"/>
      <c r="AI338" s="5"/>
      <c r="AJ338" s="5"/>
      <c r="AK338" s="5"/>
      <c r="AL338" s="5"/>
      <c r="AM338" s="5"/>
      <c r="AN338" s="5"/>
    </row>
    <row r="339" spans="1:40" ht="21.95" customHeight="1" x14ac:dyDescent="0.2">
      <c r="A339" s="9"/>
      <c r="B339" s="705"/>
      <c r="C339" s="715"/>
      <c r="D339" s="718"/>
      <c r="E339" s="1340" t="s">
        <v>334</v>
      </c>
      <c r="F339" s="116" t="s">
        <v>336</v>
      </c>
      <c r="G339" s="116" t="s">
        <v>337</v>
      </c>
      <c r="H339" s="576">
        <f t="shared" ref="H339:AG339" si="228">H279 * (1-$F$15)</f>
        <v>1716959.9999999998</v>
      </c>
      <c r="I339" s="576">
        <f t="shared" si="228"/>
        <v>1764519.7919999999</v>
      </c>
      <c r="J339" s="576">
        <f t="shared" si="228"/>
        <v>1841274.0359999998</v>
      </c>
      <c r="K339" s="576">
        <f t="shared" si="228"/>
        <v>1950926.4599999997</v>
      </c>
      <c r="L339" s="576">
        <f t="shared" si="228"/>
        <v>2060627.9400000002</v>
      </c>
      <c r="M339" s="576">
        <f t="shared" si="228"/>
        <v>2170323.2880000002</v>
      </c>
      <c r="N339" s="576">
        <f t="shared" si="228"/>
        <v>2279975.7120000008</v>
      </c>
      <c r="O339" s="576">
        <f t="shared" si="228"/>
        <v>2389726.2479999997</v>
      </c>
      <c r="P339" s="576">
        <f t="shared" si="228"/>
        <v>2487415.1399999992</v>
      </c>
      <c r="Q339" s="576">
        <f t="shared" si="228"/>
        <v>2585134.6919999998</v>
      </c>
      <c r="R339" s="576">
        <f t="shared" si="228"/>
        <v>2682823.5839999993</v>
      </c>
      <c r="S339" s="576">
        <f t="shared" si="228"/>
        <v>2780512.4759999993</v>
      </c>
      <c r="T339" s="576">
        <f t="shared" si="228"/>
        <v>2878299.4799999995</v>
      </c>
      <c r="U339" s="576">
        <f t="shared" si="228"/>
        <v>2943041.1359999995</v>
      </c>
      <c r="V339" s="576">
        <f t="shared" si="228"/>
        <v>2990600.9279999998</v>
      </c>
      <c r="W339" s="576">
        <f t="shared" si="228"/>
        <v>3038160.7199999997</v>
      </c>
      <c r="X339" s="576">
        <f t="shared" si="228"/>
        <v>3085720.5119999996</v>
      </c>
      <c r="Y339" s="576">
        <f t="shared" si="228"/>
        <v>3133310.9639999997</v>
      </c>
      <c r="Z339" s="576">
        <f t="shared" si="228"/>
        <v>3180870.7560000005</v>
      </c>
      <c r="AA339" s="576">
        <f t="shared" si="228"/>
        <v>3228461.2079999992</v>
      </c>
      <c r="AB339" s="576">
        <f t="shared" si="228"/>
        <v>3276020.9999999991</v>
      </c>
      <c r="AC339" s="576">
        <f t="shared" si="228"/>
        <v>3323580.7919999994</v>
      </c>
      <c r="AD339" s="576">
        <f t="shared" si="228"/>
        <v>3371171.2439999995</v>
      </c>
      <c r="AE339" s="576">
        <f t="shared" si="228"/>
        <v>3418731.0359999989</v>
      </c>
      <c r="AF339" s="576">
        <f t="shared" si="228"/>
        <v>3466290.8279999988</v>
      </c>
      <c r="AG339" s="714">
        <f t="shared" si="228"/>
        <v>3513881.2799999989</v>
      </c>
      <c r="AH339" s="5"/>
      <c r="AI339" s="5"/>
      <c r="AJ339" s="5"/>
      <c r="AK339" s="5"/>
      <c r="AL339" s="5"/>
      <c r="AM339" s="5"/>
      <c r="AN339" s="5"/>
    </row>
    <row r="340" spans="1:40" ht="21.95" customHeight="1" x14ac:dyDescent="0.2">
      <c r="A340" s="9"/>
      <c r="B340" s="705"/>
      <c r="C340" s="715"/>
      <c r="D340" s="718"/>
      <c r="E340" s="1339"/>
      <c r="F340" s="116" t="s">
        <v>337</v>
      </c>
      <c r="G340" s="116" t="s">
        <v>386</v>
      </c>
      <c r="H340" s="576">
        <f t="shared" ref="H340:AG340" si="229">H280 * (1-$F$15)</f>
        <v>2698079.9999999995</v>
      </c>
      <c r="I340" s="576">
        <f t="shared" si="229"/>
        <v>2703476.1599999997</v>
      </c>
      <c r="J340" s="576">
        <f t="shared" si="229"/>
        <v>2708872.32</v>
      </c>
      <c r="K340" s="576">
        <f t="shared" si="229"/>
        <v>2714268.4799999995</v>
      </c>
      <c r="L340" s="576">
        <f t="shared" si="229"/>
        <v>2719664.6399999997</v>
      </c>
      <c r="M340" s="576">
        <f t="shared" si="229"/>
        <v>2725060.8</v>
      </c>
      <c r="N340" s="576">
        <f t="shared" si="229"/>
        <v>2730456.9599999995</v>
      </c>
      <c r="O340" s="576">
        <f t="shared" si="229"/>
        <v>2735853.1199999996</v>
      </c>
      <c r="P340" s="576">
        <f t="shared" si="229"/>
        <v>2741249.28</v>
      </c>
      <c r="Q340" s="576">
        <f t="shared" si="229"/>
        <v>2741249.28</v>
      </c>
      <c r="R340" s="576">
        <f t="shared" si="229"/>
        <v>2805989.7095999997</v>
      </c>
      <c r="S340" s="576">
        <f t="shared" si="229"/>
        <v>2877402.9815999991</v>
      </c>
      <c r="T340" s="576">
        <f t="shared" si="229"/>
        <v>2948860.4039999992</v>
      </c>
      <c r="U340" s="576">
        <f t="shared" si="229"/>
        <v>3006465.6383999991</v>
      </c>
      <c r="V340" s="576">
        <f t="shared" si="229"/>
        <v>3053761.754399999</v>
      </c>
      <c r="W340" s="576">
        <f t="shared" si="229"/>
        <v>3101057.8703999985</v>
      </c>
      <c r="X340" s="576">
        <f t="shared" si="229"/>
        <v>3148353.9863999994</v>
      </c>
      <c r="Y340" s="576">
        <f t="shared" si="229"/>
        <v>3195661.1399999992</v>
      </c>
      <c r="Z340" s="576">
        <f t="shared" si="229"/>
        <v>3242957.2559999991</v>
      </c>
      <c r="AA340" s="576">
        <f t="shared" si="229"/>
        <v>3290264.409599999</v>
      </c>
      <c r="AB340" s="576">
        <f t="shared" si="229"/>
        <v>3337560.5255999994</v>
      </c>
      <c r="AC340" s="576">
        <f t="shared" si="229"/>
        <v>3384856.6415999988</v>
      </c>
      <c r="AD340" s="576">
        <f t="shared" si="229"/>
        <v>3432163.7951999996</v>
      </c>
      <c r="AE340" s="576">
        <f t="shared" si="229"/>
        <v>3479459.9111999986</v>
      </c>
      <c r="AF340" s="576">
        <f t="shared" si="229"/>
        <v>3526756.0271999994</v>
      </c>
      <c r="AG340" s="714">
        <f t="shared" si="229"/>
        <v>3574063.1807999993</v>
      </c>
      <c r="AH340" s="5"/>
      <c r="AI340" s="5"/>
      <c r="AJ340" s="5"/>
      <c r="AK340" s="5"/>
      <c r="AL340" s="5"/>
      <c r="AM340" s="5"/>
      <c r="AN340" s="5"/>
    </row>
    <row r="341" spans="1:40" ht="21.95" customHeight="1" x14ac:dyDescent="0.2">
      <c r="A341" s="9"/>
      <c r="B341" s="705"/>
      <c r="C341" s="715"/>
      <c r="D341" s="718"/>
      <c r="E341" s="1339"/>
      <c r="F341" s="116" t="s">
        <v>342</v>
      </c>
      <c r="G341" s="116" t="s">
        <v>341</v>
      </c>
      <c r="H341" s="576">
        <f t="shared" ref="H341:AG341" si="230">H281 * (1-$F$15)</f>
        <v>3507503.9999999995</v>
      </c>
      <c r="I341" s="576">
        <f t="shared" si="230"/>
        <v>3514519.0079999994</v>
      </c>
      <c r="J341" s="576">
        <f t="shared" si="230"/>
        <v>3521534.0159999998</v>
      </c>
      <c r="K341" s="576">
        <f t="shared" si="230"/>
        <v>3528549.0239999997</v>
      </c>
      <c r="L341" s="576">
        <f t="shared" si="230"/>
        <v>3535564.0319999997</v>
      </c>
      <c r="M341" s="576">
        <f t="shared" si="230"/>
        <v>3542579.0399999996</v>
      </c>
      <c r="N341" s="576">
        <f t="shared" si="230"/>
        <v>3549594.0479999995</v>
      </c>
      <c r="O341" s="576">
        <f t="shared" si="230"/>
        <v>3556609.0559999999</v>
      </c>
      <c r="P341" s="576">
        <f t="shared" si="230"/>
        <v>3563624.0639999998</v>
      </c>
      <c r="Q341" s="576">
        <f t="shared" si="230"/>
        <v>3563624.0639999998</v>
      </c>
      <c r="R341" s="576">
        <f t="shared" si="230"/>
        <v>3647786.6224799994</v>
      </c>
      <c r="S341" s="576">
        <f t="shared" si="230"/>
        <v>3740623.8760799989</v>
      </c>
      <c r="T341" s="576">
        <f t="shared" si="230"/>
        <v>3833518.5251999986</v>
      </c>
      <c r="U341" s="576">
        <f t="shared" si="230"/>
        <v>3908405.329919999</v>
      </c>
      <c r="V341" s="576">
        <f t="shared" si="230"/>
        <v>3969890.2807199988</v>
      </c>
      <c r="W341" s="576">
        <f t="shared" si="230"/>
        <v>4031375.2315199985</v>
      </c>
      <c r="X341" s="576">
        <f t="shared" si="230"/>
        <v>4092860.1823199992</v>
      </c>
      <c r="Y341" s="576">
        <f t="shared" si="230"/>
        <v>4154359.4819999989</v>
      </c>
      <c r="Z341" s="576">
        <f t="shared" si="230"/>
        <v>4215844.4327999996</v>
      </c>
      <c r="AA341" s="576">
        <f t="shared" si="230"/>
        <v>4277343.7324799988</v>
      </c>
      <c r="AB341" s="576">
        <f t="shared" si="230"/>
        <v>4338828.6832799995</v>
      </c>
      <c r="AC341" s="576">
        <f t="shared" si="230"/>
        <v>4400313.6340799984</v>
      </c>
      <c r="AD341" s="576">
        <f t="shared" si="230"/>
        <v>4461812.9337599995</v>
      </c>
      <c r="AE341" s="576">
        <f t="shared" si="230"/>
        <v>4523297.8845599983</v>
      </c>
      <c r="AF341" s="576">
        <f t="shared" si="230"/>
        <v>4584782.8353599999</v>
      </c>
      <c r="AG341" s="714">
        <f t="shared" si="230"/>
        <v>4646282.1350399991</v>
      </c>
      <c r="AH341" s="5"/>
      <c r="AI341" s="5"/>
      <c r="AJ341" s="5"/>
      <c r="AK341" s="5"/>
      <c r="AL341" s="5"/>
      <c r="AM341" s="5"/>
      <c r="AN341" s="5"/>
    </row>
    <row r="342" spans="1:40" ht="21.95" customHeight="1" x14ac:dyDescent="0.2">
      <c r="A342" s="9"/>
      <c r="B342" s="705"/>
      <c r="C342" s="715"/>
      <c r="D342" s="718"/>
      <c r="E342" s="1339"/>
      <c r="F342" s="116" t="s">
        <v>341</v>
      </c>
      <c r="G342" s="116" t="s">
        <v>344</v>
      </c>
      <c r="H342" s="576">
        <f t="shared" ref="H342:AG342" si="231">H282 * (1-$F$15)</f>
        <v>3890140.8</v>
      </c>
      <c r="I342" s="576">
        <f t="shared" si="231"/>
        <v>3897921.0815999997</v>
      </c>
      <c r="J342" s="576">
        <f t="shared" si="231"/>
        <v>3905701.3631999996</v>
      </c>
      <c r="K342" s="576">
        <f t="shared" si="231"/>
        <v>3913481.6447999994</v>
      </c>
      <c r="L342" s="576">
        <f t="shared" si="231"/>
        <v>3921261.9263999998</v>
      </c>
      <c r="M342" s="576">
        <f t="shared" si="231"/>
        <v>3929042.2079999996</v>
      </c>
      <c r="N342" s="576">
        <f t="shared" si="231"/>
        <v>3936822.4895999995</v>
      </c>
      <c r="O342" s="576">
        <f t="shared" si="231"/>
        <v>3944602.7711999994</v>
      </c>
      <c r="P342" s="576">
        <f t="shared" si="231"/>
        <v>3952383.0527999992</v>
      </c>
      <c r="Q342" s="576">
        <f t="shared" si="231"/>
        <v>3952383.0527999992</v>
      </c>
      <c r="R342" s="576">
        <f t="shared" si="231"/>
        <v>3971036.6370259188</v>
      </c>
      <c r="S342" s="576">
        <f t="shared" si="231"/>
        <v>4036996.3831847985</v>
      </c>
      <c r="T342" s="576">
        <f t="shared" si="231"/>
        <v>4101275.049883198</v>
      </c>
      <c r="U342" s="576">
        <f t="shared" si="231"/>
        <v>4144713.5290982383</v>
      </c>
      <c r="V342" s="576">
        <f t="shared" si="231"/>
        <v>4172660.0612121588</v>
      </c>
      <c r="W342" s="576">
        <f t="shared" si="231"/>
        <v>4237285.4741145587</v>
      </c>
      <c r="X342" s="576">
        <f t="shared" si="231"/>
        <v>4301910.8870169586</v>
      </c>
      <c r="Y342" s="576">
        <f t="shared" si="231"/>
        <v>4366551.3816959988</v>
      </c>
      <c r="Z342" s="576">
        <f t="shared" si="231"/>
        <v>4431176.7945983978</v>
      </c>
      <c r="AA342" s="576">
        <f t="shared" si="231"/>
        <v>4495817.289277439</v>
      </c>
      <c r="AB342" s="576">
        <f t="shared" si="231"/>
        <v>4560442.7021798398</v>
      </c>
      <c r="AC342" s="576">
        <f t="shared" si="231"/>
        <v>4625068.1150822388</v>
      </c>
      <c r="AD342" s="576">
        <f t="shared" si="231"/>
        <v>4689708.6097612791</v>
      </c>
      <c r="AE342" s="576">
        <f t="shared" si="231"/>
        <v>4754334.022663678</v>
      </c>
      <c r="AF342" s="576">
        <f t="shared" si="231"/>
        <v>4818959.4355660789</v>
      </c>
      <c r="AG342" s="714">
        <f t="shared" si="231"/>
        <v>4883599.9302451182</v>
      </c>
      <c r="AH342" s="5"/>
      <c r="AI342" s="5"/>
      <c r="AJ342" s="5"/>
      <c r="AK342" s="5"/>
      <c r="AL342" s="5"/>
      <c r="AM342" s="5"/>
      <c r="AN342" s="5"/>
    </row>
    <row r="343" spans="1:40" ht="21.95" customHeight="1" x14ac:dyDescent="0.2">
      <c r="A343" s="9"/>
      <c r="B343" s="705"/>
      <c r="C343" s="715"/>
      <c r="D343" s="718"/>
      <c r="E343" s="1339"/>
      <c r="F343" s="116" t="s">
        <v>344</v>
      </c>
      <c r="G343" s="116" t="s">
        <v>345</v>
      </c>
      <c r="H343" s="576">
        <f t="shared" ref="H343:AG343" si="232">H283 * (1-$F$15)</f>
        <v>1594319.9999999998</v>
      </c>
      <c r="I343" s="576">
        <f t="shared" si="232"/>
        <v>1597508.64</v>
      </c>
      <c r="J343" s="576">
        <f t="shared" si="232"/>
        <v>1600697.2799999998</v>
      </c>
      <c r="K343" s="576">
        <f t="shared" si="232"/>
        <v>1603885.92</v>
      </c>
      <c r="L343" s="576">
        <f t="shared" si="232"/>
        <v>1607074.5599999998</v>
      </c>
      <c r="M343" s="576">
        <f t="shared" si="232"/>
        <v>1610263.1999999997</v>
      </c>
      <c r="N343" s="576">
        <f t="shared" si="232"/>
        <v>1613451.8399999999</v>
      </c>
      <c r="O343" s="576">
        <f t="shared" si="232"/>
        <v>1616640.4799999997</v>
      </c>
      <c r="P343" s="576">
        <f t="shared" si="232"/>
        <v>1619829.1199999999</v>
      </c>
      <c r="Q343" s="576">
        <f t="shared" si="232"/>
        <v>1619829.1199999999</v>
      </c>
      <c r="R343" s="576">
        <f t="shared" si="232"/>
        <v>1627474.0315679996</v>
      </c>
      <c r="S343" s="576">
        <f t="shared" si="232"/>
        <v>1654506.7144199994</v>
      </c>
      <c r="T343" s="576">
        <f t="shared" si="232"/>
        <v>1680850.4302799993</v>
      </c>
      <c r="U343" s="576">
        <f t="shared" si="232"/>
        <v>1698653.0856959994</v>
      </c>
      <c r="V343" s="576">
        <f t="shared" si="232"/>
        <v>1710106.5824639997</v>
      </c>
      <c r="W343" s="576">
        <f t="shared" si="232"/>
        <v>1736592.4074239994</v>
      </c>
      <c r="X343" s="576">
        <f t="shared" si="232"/>
        <v>1763078.2323839995</v>
      </c>
      <c r="Y343" s="576">
        <f t="shared" si="232"/>
        <v>1789570.2383999997</v>
      </c>
      <c r="Z343" s="576">
        <f t="shared" si="232"/>
        <v>1816056.0633599993</v>
      </c>
      <c r="AA343" s="576">
        <f t="shared" si="232"/>
        <v>1842548.0693759997</v>
      </c>
      <c r="AB343" s="576">
        <f t="shared" si="232"/>
        <v>1869033.8943359999</v>
      </c>
      <c r="AC343" s="576">
        <f t="shared" si="232"/>
        <v>1895519.7192959997</v>
      </c>
      <c r="AD343" s="576">
        <f t="shared" si="232"/>
        <v>1922011.7253119997</v>
      </c>
      <c r="AE343" s="576">
        <f t="shared" si="232"/>
        <v>1948497.5502719991</v>
      </c>
      <c r="AF343" s="576">
        <f t="shared" si="232"/>
        <v>1974983.3752319997</v>
      </c>
      <c r="AG343" s="714">
        <f t="shared" si="232"/>
        <v>2001475.3812479996</v>
      </c>
      <c r="AH343" s="5"/>
      <c r="AI343" s="5"/>
      <c r="AJ343" s="5"/>
      <c r="AK343" s="5"/>
      <c r="AL343" s="5"/>
      <c r="AM343" s="5"/>
      <c r="AN343" s="5"/>
    </row>
    <row r="344" spans="1:40" ht="21.95" customHeight="1" x14ac:dyDescent="0.2">
      <c r="A344" s="9"/>
      <c r="B344" s="705"/>
      <c r="C344" s="715"/>
      <c r="D344" s="718"/>
      <c r="E344" s="1339"/>
      <c r="F344" s="116" t="s">
        <v>345</v>
      </c>
      <c r="G344" s="116" t="s">
        <v>323</v>
      </c>
      <c r="H344" s="576">
        <f t="shared" ref="H344:AG344" si="233">H284 * (1-$F$15)</f>
        <v>19229951.999999996</v>
      </c>
      <c r="I344" s="576">
        <f t="shared" si="233"/>
        <v>19671382.415999997</v>
      </c>
      <c r="J344" s="576">
        <f t="shared" si="233"/>
        <v>20317062.393599994</v>
      </c>
      <c r="K344" s="576">
        <f t="shared" si="233"/>
        <v>21091411.353599995</v>
      </c>
      <c r="L344" s="576">
        <f t="shared" si="233"/>
        <v>21865966.348799996</v>
      </c>
      <c r="M344" s="576">
        <f t="shared" si="233"/>
        <v>22640590.022400003</v>
      </c>
      <c r="N344" s="576">
        <f t="shared" si="233"/>
        <v>23414938.9824</v>
      </c>
      <c r="O344" s="576">
        <f t="shared" si="233"/>
        <v>24189700.012800001</v>
      </c>
      <c r="P344" s="576">
        <f t="shared" si="233"/>
        <v>24856223.884799991</v>
      </c>
      <c r="Q344" s="576">
        <f t="shared" si="233"/>
        <v>25522713.417599995</v>
      </c>
      <c r="R344" s="576">
        <f t="shared" si="233"/>
        <v>26189237.289599996</v>
      </c>
      <c r="S344" s="576">
        <f t="shared" si="233"/>
        <v>26855761.16159999</v>
      </c>
      <c r="T344" s="576">
        <f t="shared" si="233"/>
        <v>27522697.103999991</v>
      </c>
      <c r="U344" s="576">
        <f t="shared" si="233"/>
        <v>28060345.958399992</v>
      </c>
      <c r="V344" s="576">
        <f t="shared" si="233"/>
        <v>28501776.37439999</v>
      </c>
      <c r="W344" s="576">
        <f t="shared" si="233"/>
        <v>28943206.790399987</v>
      </c>
      <c r="X344" s="576">
        <f t="shared" si="233"/>
        <v>29384637.206399988</v>
      </c>
      <c r="Y344" s="576">
        <f t="shared" si="233"/>
        <v>29826170.639999993</v>
      </c>
      <c r="Z344" s="576">
        <f t="shared" si="233"/>
        <v>30267601.055999991</v>
      </c>
      <c r="AA344" s="576">
        <f t="shared" si="233"/>
        <v>30709134.489599992</v>
      </c>
      <c r="AB344" s="576">
        <f t="shared" si="233"/>
        <v>31150564.905599989</v>
      </c>
      <c r="AC344" s="576">
        <f t="shared" si="233"/>
        <v>31591995.32159999</v>
      </c>
      <c r="AD344" s="576">
        <f t="shared" si="233"/>
        <v>32033528.755199991</v>
      </c>
      <c r="AE344" s="576">
        <f t="shared" si="233"/>
        <v>32474959.171199989</v>
      </c>
      <c r="AF344" s="576">
        <f t="shared" si="233"/>
        <v>32916389.587199993</v>
      </c>
      <c r="AG344" s="714">
        <f t="shared" si="233"/>
        <v>33357923.020799994</v>
      </c>
      <c r="AH344" s="5"/>
      <c r="AI344" s="5"/>
      <c r="AJ344" s="5"/>
      <c r="AK344" s="5"/>
      <c r="AL344" s="5"/>
      <c r="AM344" s="5"/>
      <c r="AN344" s="5"/>
    </row>
    <row r="345" spans="1:40" ht="21.95" customHeight="1" x14ac:dyDescent="0.2">
      <c r="A345" s="9"/>
      <c r="B345" s="705"/>
      <c r="C345" s="715"/>
      <c r="D345" s="718"/>
      <c r="E345" s="1339"/>
      <c r="F345" s="116" t="s">
        <v>323</v>
      </c>
      <c r="G345" s="116" t="s">
        <v>347</v>
      </c>
      <c r="H345" s="576">
        <f t="shared" ref="H345:AG345" si="234">H285 * (1-$F$15)</f>
        <v>3433919.9999999995</v>
      </c>
      <c r="I345" s="576">
        <f t="shared" si="234"/>
        <v>3509797.3679999998</v>
      </c>
      <c r="J345" s="576">
        <f t="shared" si="234"/>
        <v>3622141.7399999998</v>
      </c>
      <c r="K345" s="576">
        <f t="shared" si="234"/>
        <v>3764716.8719999995</v>
      </c>
      <c r="L345" s="576">
        <f t="shared" si="234"/>
        <v>3907334.9280000003</v>
      </c>
      <c r="M345" s="576">
        <f t="shared" si="234"/>
        <v>4049944.3991999994</v>
      </c>
      <c r="N345" s="576">
        <f t="shared" si="234"/>
        <v>4192519.5311999987</v>
      </c>
      <c r="O345" s="576">
        <f t="shared" si="234"/>
        <v>4335171.9263999993</v>
      </c>
      <c r="P345" s="576">
        <f t="shared" si="234"/>
        <v>4461932.6303999992</v>
      </c>
      <c r="Q345" s="576">
        <f t="shared" si="234"/>
        <v>4588705.5983999986</v>
      </c>
      <c r="R345" s="576">
        <f t="shared" si="234"/>
        <v>4715466.3023999995</v>
      </c>
      <c r="S345" s="576">
        <f t="shared" si="234"/>
        <v>4842227.0063999994</v>
      </c>
      <c r="T345" s="576">
        <f t="shared" si="234"/>
        <v>4969046.5775999995</v>
      </c>
      <c r="U345" s="576">
        <f t="shared" si="234"/>
        <v>5065542.1823999994</v>
      </c>
      <c r="V345" s="576">
        <f t="shared" si="234"/>
        <v>5141419.5503999991</v>
      </c>
      <c r="W345" s="576">
        <f t="shared" si="234"/>
        <v>5217296.9183999998</v>
      </c>
      <c r="X345" s="576">
        <f t="shared" si="234"/>
        <v>5293174.2864000006</v>
      </c>
      <c r="Y345" s="576">
        <f t="shared" si="234"/>
        <v>5369063.9183999998</v>
      </c>
      <c r="Z345" s="576">
        <f t="shared" si="234"/>
        <v>5444941.2863999987</v>
      </c>
      <c r="AA345" s="576">
        <f t="shared" si="234"/>
        <v>5520830.9183999998</v>
      </c>
      <c r="AB345" s="576">
        <f t="shared" si="234"/>
        <v>5596708.2864000006</v>
      </c>
      <c r="AC345" s="576">
        <f t="shared" si="234"/>
        <v>5672585.6544000003</v>
      </c>
      <c r="AD345" s="576">
        <f t="shared" si="234"/>
        <v>5748475.2864000006</v>
      </c>
      <c r="AE345" s="576">
        <f t="shared" si="234"/>
        <v>5824352.6544000013</v>
      </c>
      <c r="AF345" s="576">
        <f t="shared" si="234"/>
        <v>5900230.0224000001</v>
      </c>
      <c r="AG345" s="714">
        <f t="shared" si="234"/>
        <v>5976119.6544000003</v>
      </c>
      <c r="AH345" s="5"/>
      <c r="AI345" s="5"/>
      <c r="AJ345" s="5"/>
      <c r="AK345" s="5"/>
      <c r="AL345" s="5"/>
      <c r="AM345" s="5"/>
      <c r="AN345" s="5"/>
    </row>
    <row r="346" spans="1:40" ht="21.95" customHeight="1" x14ac:dyDescent="0.2">
      <c r="A346" s="9"/>
      <c r="B346" s="705"/>
      <c r="C346" s="715"/>
      <c r="D346" s="718"/>
      <c r="E346" s="1339"/>
      <c r="F346" s="116" t="s">
        <v>347</v>
      </c>
      <c r="G346" s="116" t="s">
        <v>348</v>
      </c>
      <c r="H346" s="576">
        <f t="shared" ref="H346:AG346" si="235">H286 * (1-$F$15)</f>
        <v>2403743.9999999995</v>
      </c>
      <c r="I346" s="576">
        <f t="shared" si="235"/>
        <v>2456858.1575999996</v>
      </c>
      <c r="J346" s="576">
        <f t="shared" si="235"/>
        <v>2535499.2179999994</v>
      </c>
      <c r="K346" s="576">
        <f t="shared" si="235"/>
        <v>2635301.8103999994</v>
      </c>
      <c r="L346" s="576">
        <f t="shared" si="235"/>
        <v>2735134.4495999999</v>
      </c>
      <c r="M346" s="576">
        <f t="shared" si="235"/>
        <v>2834961.0794399995</v>
      </c>
      <c r="N346" s="576">
        <f t="shared" si="235"/>
        <v>2934763.671839999</v>
      </c>
      <c r="O346" s="576">
        <f t="shared" si="235"/>
        <v>3034620.3484799988</v>
      </c>
      <c r="P346" s="576">
        <f t="shared" si="235"/>
        <v>3123352.8412799998</v>
      </c>
      <c r="Q346" s="576">
        <f t="shared" si="235"/>
        <v>3212093.9188799988</v>
      </c>
      <c r="R346" s="576">
        <f t="shared" si="235"/>
        <v>3300826.4116799994</v>
      </c>
      <c r="S346" s="576">
        <f t="shared" si="235"/>
        <v>3389558.9044799996</v>
      </c>
      <c r="T346" s="576">
        <f t="shared" si="235"/>
        <v>3478332.6043199995</v>
      </c>
      <c r="U346" s="576">
        <f t="shared" si="235"/>
        <v>3545879.5276799994</v>
      </c>
      <c r="V346" s="576">
        <f t="shared" si="235"/>
        <v>3598993.6852799999</v>
      </c>
      <c r="W346" s="576">
        <f t="shared" si="235"/>
        <v>3652107.8428799994</v>
      </c>
      <c r="X346" s="576">
        <f t="shared" si="235"/>
        <v>3705222.0004799999</v>
      </c>
      <c r="Y346" s="576">
        <f t="shared" si="235"/>
        <v>3758344.7428799998</v>
      </c>
      <c r="Z346" s="576">
        <f t="shared" si="235"/>
        <v>3811458.9004799989</v>
      </c>
      <c r="AA346" s="576">
        <f t="shared" si="235"/>
        <v>3864581.6428799997</v>
      </c>
      <c r="AB346" s="576">
        <f t="shared" si="235"/>
        <v>3917695.8004800002</v>
      </c>
      <c r="AC346" s="576">
        <f t="shared" si="235"/>
        <v>3970809.9580799998</v>
      </c>
      <c r="AD346" s="576">
        <f t="shared" si="235"/>
        <v>4023932.7004800001</v>
      </c>
      <c r="AE346" s="576">
        <f t="shared" si="235"/>
        <v>4077046.8580800006</v>
      </c>
      <c r="AF346" s="576">
        <f t="shared" si="235"/>
        <v>4130161.0156799997</v>
      </c>
      <c r="AG346" s="714">
        <f t="shared" si="235"/>
        <v>4183283.7580800001</v>
      </c>
      <c r="AH346" s="5"/>
      <c r="AI346" s="5"/>
      <c r="AJ346" s="5"/>
      <c r="AK346" s="5"/>
      <c r="AL346" s="5"/>
      <c r="AM346" s="5"/>
      <c r="AN346" s="5"/>
    </row>
    <row r="347" spans="1:40" ht="21.95" customHeight="1" x14ac:dyDescent="0.2">
      <c r="A347" s="9"/>
      <c r="B347" s="705"/>
      <c r="C347" s="715"/>
      <c r="D347" s="718"/>
      <c r="E347" s="1353"/>
      <c r="F347" s="254" t="s">
        <v>348</v>
      </c>
      <c r="G347" s="254" t="s">
        <v>349</v>
      </c>
      <c r="H347" s="576">
        <f t="shared" ref="H347:AG347" si="236">H287 * (1-$F$15)</f>
        <v>3924479.9999999995</v>
      </c>
      <c r="I347" s="576">
        <f t="shared" si="236"/>
        <v>4018219.8839999996</v>
      </c>
      <c r="J347" s="576">
        <f t="shared" si="236"/>
        <v>4148432.9039999996</v>
      </c>
      <c r="K347" s="576">
        <f t="shared" si="236"/>
        <v>4321367.567999999</v>
      </c>
      <c r="L347" s="576">
        <f t="shared" si="236"/>
        <v>4494351.2879999997</v>
      </c>
      <c r="M347" s="576">
        <f t="shared" si="236"/>
        <v>4667347.2719999999</v>
      </c>
      <c r="N347" s="576">
        <f t="shared" si="236"/>
        <v>4840281.9359999998</v>
      </c>
      <c r="O347" s="576">
        <f t="shared" si="236"/>
        <v>5013314.7120000003</v>
      </c>
      <c r="P347" s="576">
        <f t="shared" si="236"/>
        <v>5178461.7359999996</v>
      </c>
      <c r="Q347" s="576">
        <f t="shared" si="236"/>
        <v>5343614.8919999991</v>
      </c>
      <c r="R347" s="576">
        <f t="shared" si="236"/>
        <v>5508761.9159999993</v>
      </c>
      <c r="S347" s="576">
        <f t="shared" si="236"/>
        <v>5673908.9399999995</v>
      </c>
      <c r="T347" s="576">
        <f t="shared" si="236"/>
        <v>5839154.0759999994</v>
      </c>
      <c r="U347" s="576">
        <f t="shared" si="236"/>
        <v>5961530.3999999994</v>
      </c>
      <c r="V347" s="576">
        <f t="shared" si="236"/>
        <v>6055270.2839999991</v>
      </c>
      <c r="W347" s="576">
        <f t="shared" si="236"/>
        <v>6149010.1679999996</v>
      </c>
      <c r="X347" s="576">
        <f t="shared" si="236"/>
        <v>6242750.0519999992</v>
      </c>
      <c r="Y347" s="576">
        <f t="shared" si="236"/>
        <v>6336508.3319999995</v>
      </c>
      <c r="Z347" s="576">
        <f t="shared" si="236"/>
        <v>6430248.2159999982</v>
      </c>
      <c r="AA347" s="576">
        <f t="shared" si="236"/>
        <v>6524006.4959999993</v>
      </c>
      <c r="AB347" s="576">
        <f t="shared" si="236"/>
        <v>6617746.379999999</v>
      </c>
      <c r="AC347" s="576">
        <f t="shared" si="236"/>
        <v>6711486.2639999995</v>
      </c>
      <c r="AD347" s="576">
        <f t="shared" si="236"/>
        <v>6805244.5439999998</v>
      </c>
      <c r="AE347" s="576">
        <f t="shared" si="236"/>
        <v>6898984.4279999994</v>
      </c>
      <c r="AF347" s="576">
        <f t="shared" si="236"/>
        <v>6992724.311999999</v>
      </c>
      <c r="AG347" s="714">
        <f t="shared" si="236"/>
        <v>7086482.5919999992</v>
      </c>
      <c r="AH347" s="5"/>
      <c r="AI347" s="5"/>
      <c r="AJ347" s="5"/>
      <c r="AK347" s="5"/>
      <c r="AL347" s="5"/>
      <c r="AM347" s="5"/>
      <c r="AN347" s="5"/>
    </row>
    <row r="348" spans="1:40" ht="21.95" customHeight="1" x14ac:dyDescent="0.2">
      <c r="A348" s="9"/>
      <c r="B348" s="705"/>
      <c r="C348" s="715"/>
      <c r="D348" s="718"/>
      <c r="E348" s="116" t="s">
        <v>288</v>
      </c>
      <c r="F348" s="116" t="s">
        <v>323</v>
      </c>
      <c r="G348" s="116" t="s">
        <v>348</v>
      </c>
      <c r="H348" s="576">
        <f t="shared" ref="H348:AG348" si="237">H288 * (1-$F$15)</f>
        <v>441503.99999999994</v>
      </c>
      <c r="I348" s="576">
        <f t="shared" si="237"/>
        <v>468651.59039999999</v>
      </c>
      <c r="J348" s="576">
        <f t="shared" si="237"/>
        <v>504577.75199999992</v>
      </c>
      <c r="K348" s="576">
        <f t="shared" si="237"/>
        <v>552321.50399999984</v>
      </c>
      <c r="L348" s="576">
        <f t="shared" si="237"/>
        <v>600079.97279999987</v>
      </c>
      <c r="M348" s="576">
        <f t="shared" si="237"/>
        <v>647941.45920000004</v>
      </c>
      <c r="N348" s="576">
        <f t="shared" si="237"/>
        <v>695685.21119999979</v>
      </c>
      <c r="O348" s="576">
        <f t="shared" si="237"/>
        <v>743480.47199999972</v>
      </c>
      <c r="P348" s="576">
        <f t="shared" si="237"/>
        <v>787061.82239999983</v>
      </c>
      <c r="Q348" s="576">
        <f t="shared" si="237"/>
        <v>830606.38080000004</v>
      </c>
      <c r="R348" s="576">
        <f t="shared" si="237"/>
        <v>874190.18399999989</v>
      </c>
      <c r="S348" s="576">
        <f t="shared" si="237"/>
        <v>917771.53439999989</v>
      </c>
      <c r="T348" s="576">
        <f t="shared" si="237"/>
        <v>961507.41119999997</v>
      </c>
      <c r="U348" s="576">
        <f t="shared" si="237"/>
        <v>993236.83199999994</v>
      </c>
      <c r="V348" s="576">
        <f t="shared" si="237"/>
        <v>1020384.4223999998</v>
      </c>
      <c r="W348" s="576">
        <f t="shared" si="237"/>
        <v>1047532.0127999997</v>
      </c>
      <c r="X348" s="576">
        <f t="shared" si="237"/>
        <v>1074679.6031999998</v>
      </c>
      <c r="Y348" s="576">
        <f t="shared" si="237"/>
        <v>1101856.6271999998</v>
      </c>
      <c r="Z348" s="576">
        <f t="shared" si="237"/>
        <v>1129004.2175999996</v>
      </c>
      <c r="AA348" s="576">
        <f t="shared" si="237"/>
        <v>1156218.0336</v>
      </c>
      <c r="AB348" s="576">
        <f t="shared" si="237"/>
        <v>1183365.6239999998</v>
      </c>
      <c r="AC348" s="576">
        <f t="shared" si="237"/>
        <v>1210513.2143999999</v>
      </c>
      <c r="AD348" s="576">
        <f t="shared" si="237"/>
        <v>1237690.2383999994</v>
      </c>
      <c r="AE348" s="576">
        <f t="shared" si="237"/>
        <v>1264837.8287999998</v>
      </c>
      <c r="AF348" s="576">
        <f t="shared" si="237"/>
        <v>1291985.4191999999</v>
      </c>
      <c r="AG348" s="714">
        <f t="shared" si="237"/>
        <v>1319199.2351999995</v>
      </c>
      <c r="AH348" s="5"/>
      <c r="AI348" s="5"/>
      <c r="AJ348" s="5"/>
      <c r="AK348" s="5"/>
      <c r="AL348" s="5"/>
      <c r="AM348" s="5"/>
      <c r="AN348" s="5"/>
    </row>
    <row r="349" spans="1:40" ht="21.95" customHeight="1" x14ac:dyDescent="0.2">
      <c r="A349" s="9"/>
      <c r="B349" s="705"/>
      <c r="C349" s="715"/>
      <c r="D349" s="718"/>
      <c r="E349" s="277" t="s">
        <v>340</v>
      </c>
      <c r="F349" s="277" t="s">
        <v>335</v>
      </c>
      <c r="G349" s="277" t="s">
        <v>323</v>
      </c>
      <c r="H349" s="576">
        <f t="shared" ref="H349:AG349" si="238">H289 * (1-$F$15)</f>
        <v>0</v>
      </c>
      <c r="I349" s="576">
        <f t="shared" si="238"/>
        <v>0</v>
      </c>
      <c r="J349" s="576">
        <f t="shared" si="238"/>
        <v>0</v>
      </c>
      <c r="K349" s="576">
        <f t="shared" si="238"/>
        <v>0</v>
      </c>
      <c r="L349" s="576">
        <f t="shared" si="238"/>
        <v>0</v>
      </c>
      <c r="M349" s="576">
        <f t="shared" si="238"/>
        <v>0</v>
      </c>
      <c r="N349" s="576">
        <f t="shared" si="238"/>
        <v>0</v>
      </c>
      <c r="O349" s="576">
        <f t="shared" si="238"/>
        <v>0</v>
      </c>
      <c r="P349" s="576">
        <f t="shared" si="238"/>
        <v>0</v>
      </c>
      <c r="Q349" s="576">
        <f t="shared" si="238"/>
        <v>0</v>
      </c>
      <c r="R349" s="576">
        <f t="shared" si="238"/>
        <v>0</v>
      </c>
      <c r="S349" s="576">
        <f t="shared" si="238"/>
        <v>0</v>
      </c>
      <c r="T349" s="576">
        <f t="shared" si="238"/>
        <v>0</v>
      </c>
      <c r="U349" s="576">
        <f t="shared" si="238"/>
        <v>0</v>
      </c>
      <c r="V349" s="576">
        <f t="shared" si="238"/>
        <v>0</v>
      </c>
      <c r="W349" s="576">
        <f t="shared" si="238"/>
        <v>0</v>
      </c>
      <c r="X349" s="576">
        <f t="shared" si="238"/>
        <v>0</v>
      </c>
      <c r="Y349" s="576">
        <f t="shared" si="238"/>
        <v>0</v>
      </c>
      <c r="Z349" s="576">
        <f t="shared" si="238"/>
        <v>0</v>
      </c>
      <c r="AA349" s="576">
        <f t="shared" si="238"/>
        <v>0</v>
      </c>
      <c r="AB349" s="576">
        <f t="shared" si="238"/>
        <v>0</v>
      </c>
      <c r="AC349" s="576">
        <f t="shared" si="238"/>
        <v>0</v>
      </c>
      <c r="AD349" s="576">
        <f t="shared" si="238"/>
        <v>0</v>
      </c>
      <c r="AE349" s="576">
        <f t="shared" si="238"/>
        <v>0</v>
      </c>
      <c r="AF349" s="576">
        <f t="shared" si="238"/>
        <v>0</v>
      </c>
      <c r="AG349" s="714">
        <f t="shared" si="238"/>
        <v>0</v>
      </c>
      <c r="AH349" s="5"/>
      <c r="AI349" s="5"/>
      <c r="AJ349" s="5"/>
      <c r="AK349" s="5"/>
      <c r="AL349" s="5"/>
      <c r="AM349" s="5"/>
      <c r="AN349" s="5"/>
    </row>
    <row r="350" spans="1:40" ht="21.95" customHeight="1" x14ac:dyDescent="0.2">
      <c r="A350" s="9"/>
      <c r="B350" s="705"/>
      <c r="C350" s="715"/>
      <c r="D350" s="718"/>
      <c r="E350" s="277" t="s">
        <v>357</v>
      </c>
      <c r="F350" s="277" t="s">
        <v>338</v>
      </c>
      <c r="G350" s="277" t="s">
        <v>323</v>
      </c>
      <c r="H350" s="576">
        <f t="shared" ref="H350:AG350" si="239">H290 * (1-$F$15)</f>
        <v>818789.23636363621</v>
      </c>
      <c r="I350" s="576">
        <f t="shared" si="239"/>
        <v>830031.66746181797</v>
      </c>
      <c r="J350" s="576">
        <f t="shared" si="239"/>
        <v>849464.26533818175</v>
      </c>
      <c r="K350" s="576">
        <f t="shared" si="239"/>
        <v>876143.14795636362</v>
      </c>
      <c r="L350" s="576">
        <f t="shared" si="239"/>
        <v>902833.40264727268</v>
      </c>
      <c r="M350" s="576">
        <f t="shared" si="239"/>
        <v>929562.32238545443</v>
      </c>
      <c r="N350" s="576">
        <f t="shared" si="239"/>
        <v>956241.20500363631</v>
      </c>
      <c r="O350" s="576">
        <f t="shared" si="239"/>
        <v>983013.33861818176</v>
      </c>
      <c r="P350" s="576">
        <f t="shared" si="239"/>
        <v>1001579.3845527273</v>
      </c>
      <c r="Q350" s="576">
        <f t="shared" si="239"/>
        <v>1020147.704901818</v>
      </c>
      <c r="R350" s="576">
        <f t="shared" si="239"/>
        <v>1038718.2996654544</v>
      </c>
      <c r="S350" s="576">
        <f t="shared" si="239"/>
        <v>1057284.3456000001</v>
      </c>
      <c r="T350" s="576">
        <f t="shared" si="239"/>
        <v>1075982.3075781816</v>
      </c>
      <c r="U350" s="576">
        <f t="shared" si="239"/>
        <v>1087224.7386763634</v>
      </c>
      <c r="V350" s="576">
        <f t="shared" si="239"/>
        <v>1098467.1697745451</v>
      </c>
      <c r="W350" s="576">
        <f t="shared" si="239"/>
        <v>1109709.6008727273</v>
      </c>
      <c r="X350" s="576">
        <f t="shared" si="239"/>
        <v>1120952.0319709086</v>
      </c>
      <c r="Y350" s="576">
        <f t="shared" si="239"/>
        <v>1132271.7931636362</v>
      </c>
      <c r="Z350" s="576">
        <f t="shared" si="239"/>
        <v>1143514.224261818</v>
      </c>
      <c r="AA350" s="576">
        <f t="shared" si="239"/>
        <v>1154799.8692363636</v>
      </c>
      <c r="AB350" s="576">
        <f t="shared" si="239"/>
        <v>1166042.3003345453</v>
      </c>
      <c r="AC350" s="576">
        <f t="shared" si="239"/>
        <v>1177284.7314327273</v>
      </c>
      <c r="AD350" s="576">
        <f t="shared" si="239"/>
        <v>1188604.4926254544</v>
      </c>
      <c r="AE350" s="576">
        <f t="shared" si="239"/>
        <v>1199846.9237236364</v>
      </c>
      <c r="AF350" s="576">
        <f t="shared" si="239"/>
        <v>1211089.3548218179</v>
      </c>
      <c r="AG350" s="714">
        <f t="shared" si="239"/>
        <v>1222374.9997963635</v>
      </c>
      <c r="AH350" s="5"/>
      <c r="AI350" s="5"/>
      <c r="AJ350" s="5"/>
      <c r="AK350" s="5"/>
      <c r="AL350" s="5"/>
      <c r="AM350" s="5"/>
      <c r="AN350" s="5"/>
    </row>
    <row r="351" spans="1:40" ht="21.95" customHeight="1" x14ac:dyDescent="0.2">
      <c r="A351" s="9"/>
      <c r="B351" s="705"/>
      <c r="C351" s="715"/>
      <c r="D351" s="718"/>
      <c r="E351" s="116" t="s">
        <v>338</v>
      </c>
      <c r="F351" s="116" t="s">
        <v>282</v>
      </c>
      <c r="G351" s="116" t="s">
        <v>357</v>
      </c>
      <c r="H351" s="576">
        <f t="shared" ref="H351:AG351" si="240">H291 * (1-$F$15)</f>
        <v>2940572.7272727275</v>
      </c>
      <c r="I351" s="576">
        <f t="shared" si="240"/>
        <v>3025340.6172818188</v>
      </c>
      <c r="J351" s="576">
        <f t="shared" si="240"/>
        <v>3117092.3675181819</v>
      </c>
      <c r="K351" s="576">
        <f t="shared" si="240"/>
        <v>3238817.375563636</v>
      </c>
      <c r="L351" s="576">
        <f t="shared" si="240"/>
        <v>3360562.9676181814</v>
      </c>
      <c r="M351" s="576">
        <f t="shared" si="240"/>
        <v>3482358.5494090905</v>
      </c>
      <c r="N351" s="576">
        <f t="shared" si="240"/>
        <v>3604083.557454546</v>
      </c>
      <c r="O351" s="576">
        <f t="shared" si="240"/>
        <v>3725840.9118000004</v>
      </c>
      <c r="P351" s="576">
        <f t="shared" si="240"/>
        <v>3859819.2864000006</v>
      </c>
      <c r="Q351" s="576">
        <f t="shared" si="240"/>
        <v>3993753.5524090906</v>
      </c>
      <c r="R351" s="576">
        <f t="shared" si="240"/>
        <v>4127731.9270090903</v>
      </c>
      <c r="S351" s="576">
        <f t="shared" si="240"/>
        <v>4261710.3016090905</v>
      </c>
      <c r="T351" s="576">
        <f t="shared" si="240"/>
        <v>4395765.1311000008</v>
      </c>
      <c r="U351" s="576">
        <f t="shared" si="240"/>
        <v>4499758.4856000002</v>
      </c>
      <c r="V351" s="576">
        <f t="shared" si="240"/>
        <v>4584526.3756090906</v>
      </c>
      <c r="W351" s="576">
        <f t="shared" si="240"/>
        <v>4669294.2656181827</v>
      </c>
      <c r="X351" s="576">
        <f t="shared" si="240"/>
        <v>4754062.1556272721</v>
      </c>
      <c r="Y351" s="576">
        <f t="shared" si="240"/>
        <v>4838821.2239181809</v>
      </c>
      <c r="Z351" s="576">
        <f t="shared" si="240"/>
        <v>4923589.1139272712</v>
      </c>
      <c r="AA351" s="576">
        <f t="shared" si="240"/>
        <v>5008348.18221818</v>
      </c>
      <c r="AB351" s="576">
        <f t="shared" si="240"/>
        <v>5093116.0722272741</v>
      </c>
      <c r="AC351" s="576">
        <f t="shared" si="240"/>
        <v>5177883.9622363634</v>
      </c>
      <c r="AD351" s="576">
        <f t="shared" si="240"/>
        <v>5262643.0305272732</v>
      </c>
      <c r="AE351" s="576">
        <f t="shared" si="240"/>
        <v>5347410.9205363635</v>
      </c>
      <c r="AF351" s="576">
        <f t="shared" si="240"/>
        <v>5432178.8105454547</v>
      </c>
      <c r="AG351" s="714">
        <f t="shared" si="240"/>
        <v>5516937.8788363636</v>
      </c>
      <c r="AH351" s="5"/>
      <c r="AI351" s="5"/>
      <c r="AJ351" s="5"/>
      <c r="AK351" s="5"/>
      <c r="AL351" s="5"/>
      <c r="AM351" s="5"/>
      <c r="AN351" s="5"/>
    </row>
    <row r="352" spans="1:40" ht="21.95" customHeight="1" x14ac:dyDescent="0.2">
      <c r="A352" s="9"/>
      <c r="B352" s="705"/>
      <c r="C352" s="715"/>
      <c r="D352" s="718"/>
      <c r="E352" s="116"/>
      <c r="F352" s="116" t="s">
        <v>357</v>
      </c>
      <c r="G352" s="116" t="s">
        <v>346</v>
      </c>
      <c r="H352" s="576">
        <f t="shared" ref="H352:AG352" si="241">H292 * (1-$F$15)</f>
        <v>428255.16363636364</v>
      </c>
      <c r="I352" s="576">
        <f t="shared" si="241"/>
        <v>440409.72137272719</v>
      </c>
      <c r="J352" s="576">
        <f t="shared" si="241"/>
        <v>453898.06854636356</v>
      </c>
      <c r="K352" s="576">
        <f t="shared" si="241"/>
        <v>472830.32774090901</v>
      </c>
      <c r="L352" s="576">
        <f t="shared" si="241"/>
        <v>491765.96789727267</v>
      </c>
      <c r="M352" s="576">
        <f t="shared" si="241"/>
        <v>510705.55250909075</v>
      </c>
      <c r="N352" s="576">
        <f t="shared" si="241"/>
        <v>529637.81170363643</v>
      </c>
      <c r="O352" s="576">
        <f t="shared" si="241"/>
        <v>548571.19788545452</v>
      </c>
      <c r="P352" s="576">
        <f t="shared" si="241"/>
        <v>569851.5350627274</v>
      </c>
      <c r="Q352" s="576">
        <f t="shared" si="241"/>
        <v>591124.54682272719</v>
      </c>
      <c r="R352" s="576">
        <f t="shared" si="241"/>
        <v>612404.88399999985</v>
      </c>
      <c r="S352" s="576">
        <f t="shared" si="241"/>
        <v>633685.2211772725</v>
      </c>
      <c r="T352" s="576">
        <f t="shared" si="241"/>
        <v>654968.93931636366</v>
      </c>
      <c r="U352" s="576">
        <f t="shared" si="241"/>
        <v>670807.61844727257</v>
      </c>
      <c r="V352" s="576">
        <f t="shared" si="241"/>
        <v>682962.17618363618</v>
      </c>
      <c r="W352" s="576">
        <f t="shared" si="241"/>
        <v>695116.73391999991</v>
      </c>
      <c r="X352" s="576">
        <f t="shared" si="241"/>
        <v>707271.29165636352</v>
      </c>
      <c r="Y352" s="576">
        <f t="shared" si="241"/>
        <v>719419.65096272703</v>
      </c>
      <c r="Z352" s="576">
        <f t="shared" si="241"/>
        <v>731574.20869909076</v>
      </c>
      <c r="AA352" s="576">
        <f t="shared" si="241"/>
        <v>743722.56800545449</v>
      </c>
      <c r="AB352" s="576">
        <f t="shared" si="241"/>
        <v>755877.1257418181</v>
      </c>
      <c r="AC352" s="576">
        <f t="shared" si="241"/>
        <v>768031.68347818172</v>
      </c>
      <c r="AD352" s="576">
        <f t="shared" si="241"/>
        <v>780180.04278454522</v>
      </c>
      <c r="AE352" s="576">
        <f t="shared" si="241"/>
        <v>792334.60052090895</v>
      </c>
      <c r="AF352" s="576">
        <f t="shared" si="241"/>
        <v>804489.15825727256</v>
      </c>
      <c r="AG352" s="714">
        <f t="shared" si="241"/>
        <v>816637.51756363607</v>
      </c>
      <c r="AH352" s="5"/>
      <c r="AI352" s="5"/>
      <c r="AJ352" s="5"/>
      <c r="AK352" s="5"/>
      <c r="AL352" s="5"/>
      <c r="AM352" s="5"/>
      <c r="AN352" s="5"/>
    </row>
    <row r="353" spans="1:40" ht="21.95" customHeight="1" x14ac:dyDescent="0.2">
      <c r="A353" s="9"/>
      <c r="B353" s="705"/>
      <c r="C353" s="715"/>
      <c r="D353" s="718"/>
      <c r="E353" s="116"/>
      <c r="F353" s="116" t="s">
        <v>346</v>
      </c>
      <c r="G353" s="116" t="s">
        <v>343</v>
      </c>
      <c r="H353" s="576">
        <f t="shared" ref="H353:AG353" si="242">H293 * (1-$F$15)</f>
        <v>105916.36363636362</v>
      </c>
      <c r="I353" s="576">
        <f t="shared" si="242"/>
        <v>108922.43727272727</v>
      </c>
      <c r="J353" s="576">
        <f t="shared" si="242"/>
        <v>112258.38463636361</v>
      </c>
      <c r="K353" s="576">
        <f t="shared" si="242"/>
        <v>116940.72409090906</v>
      </c>
      <c r="L353" s="576">
        <f t="shared" si="242"/>
        <v>121623.89972727271</v>
      </c>
      <c r="M353" s="576">
        <f t="shared" si="242"/>
        <v>126308.05090909087</v>
      </c>
      <c r="N353" s="576">
        <f t="shared" si="242"/>
        <v>130990.39036363635</v>
      </c>
      <c r="O353" s="576">
        <f t="shared" si="242"/>
        <v>135673.00854545453</v>
      </c>
      <c r="P353" s="576">
        <f t="shared" si="242"/>
        <v>140936.07627272728</v>
      </c>
      <c r="Q353" s="576">
        <f t="shared" si="242"/>
        <v>146197.33227272725</v>
      </c>
      <c r="R353" s="576">
        <f t="shared" si="242"/>
        <v>151460.39999999997</v>
      </c>
      <c r="S353" s="576">
        <f t="shared" si="242"/>
        <v>156723.46772727265</v>
      </c>
      <c r="T353" s="576">
        <f t="shared" si="242"/>
        <v>161987.37163636362</v>
      </c>
      <c r="U353" s="576">
        <f t="shared" si="242"/>
        <v>165904.60472727267</v>
      </c>
      <c r="V353" s="576">
        <f t="shared" si="242"/>
        <v>168910.67836363634</v>
      </c>
      <c r="W353" s="576">
        <f t="shared" si="242"/>
        <v>171916.75199999995</v>
      </c>
      <c r="X353" s="576">
        <f t="shared" si="242"/>
        <v>174922.82563636359</v>
      </c>
      <c r="Y353" s="576">
        <f t="shared" si="242"/>
        <v>177927.3662727272</v>
      </c>
      <c r="Z353" s="576">
        <f t="shared" si="242"/>
        <v>180933.43990909087</v>
      </c>
      <c r="AA353" s="576">
        <f t="shared" si="242"/>
        <v>183937.98054545448</v>
      </c>
      <c r="AB353" s="576">
        <f t="shared" si="242"/>
        <v>186944.05418181815</v>
      </c>
      <c r="AC353" s="576">
        <f t="shared" si="242"/>
        <v>189950.12781818179</v>
      </c>
      <c r="AD353" s="576">
        <f t="shared" si="242"/>
        <v>192954.66845454543</v>
      </c>
      <c r="AE353" s="576">
        <f t="shared" si="242"/>
        <v>195960.74209090904</v>
      </c>
      <c r="AF353" s="576">
        <f t="shared" si="242"/>
        <v>198966.81572727268</v>
      </c>
      <c r="AG353" s="714">
        <f t="shared" si="242"/>
        <v>201971.35636363633</v>
      </c>
      <c r="AH353" s="5"/>
      <c r="AI353" s="5"/>
      <c r="AJ353" s="5"/>
      <c r="AK353" s="5"/>
      <c r="AL353" s="5"/>
      <c r="AM353" s="5"/>
      <c r="AN353" s="5"/>
    </row>
    <row r="354" spans="1:40" ht="21.95" customHeight="1" x14ac:dyDescent="0.2">
      <c r="B354" s="705"/>
      <c r="C354" s="715"/>
      <c r="D354" s="715"/>
      <c r="E354" s="116"/>
      <c r="F354" s="116" t="s">
        <v>343</v>
      </c>
      <c r="G354" s="116" t="s">
        <v>350</v>
      </c>
      <c r="H354" s="576">
        <f t="shared" ref="H354:AG354" si="243">H294 * (1-$F$15)</f>
        <v>271759.09090909088</v>
      </c>
      <c r="I354" s="576">
        <f t="shared" si="243"/>
        <v>279465.27286363632</v>
      </c>
      <c r="J354" s="576">
        <f t="shared" si="243"/>
        <v>288246.26202272723</v>
      </c>
      <c r="K354" s="576">
        <f t="shared" si="243"/>
        <v>299466.28902272729</v>
      </c>
      <c r="L354" s="576">
        <f t="shared" si="243"/>
        <v>310689.93947727268</v>
      </c>
      <c r="M354" s="576">
        <f t="shared" si="243"/>
        <v>321911.77820454555</v>
      </c>
      <c r="N354" s="576">
        <f t="shared" si="243"/>
        <v>333131.8052045455</v>
      </c>
      <c r="O354" s="576">
        <f t="shared" si="243"/>
        <v>344354.0968636364</v>
      </c>
      <c r="P354" s="576">
        <f t="shared" si="243"/>
        <v>357037.99949999998</v>
      </c>
      <c r="Q354" s="576">
        <f t="shared" si="243"/>
        <v>369721.44920454547</v>
      </c>
      <c r="R354" s="576">
        <f t="shared" si="243"/>
        <v>382403.54011363635</v>
      </c>
      <c r="S354" s="576">
        <f t="shared" si="243"/>
        <v>395087.44275000005</v>
      </c>
      <c r="T354" s="576">
        <f t="shared" si="243"/>
        <v>407773.61004545446</v>
      </c>
      <c r="U354" s="576">
        <f t="shared" si="243"/>
        <v>418018.02190909086</v>
      </c>
      <c r="V354" s="576">
        <f t="shared" si="243"/>
        <v>425724.20386363642</v>
      </c>
      <c r="W354" s="576">
        <f t="shared" si="243"/>
        <v>433430.38581818191</v>
      </c>
      <c r="X354" s="576">
        <f t="shared" si="243"/>
        <v>441136.56777272729</v>
      </c>
      <c r="Y354" s="576">
        <f t="shared" si="243"/>
        <v>448840.48506818188</v>
      </c>
      <c r="Z354" s="576">
        <f t="shared" si="243"/>
        <v>456546.66702272714</v>
      </c>
      <c r="AA354" s="576">
        <f t="shared" si="243"/>
        <v>464250.58431818167</v>
      </c>
      <c r="AB354" s="576">
        <f t="shared" si="243"/>
        <v>471956.76627272711</v>
      </c>
      <c r="AC354" s="576">
        <f t="shared" si="243"/>
        <v>479662.9482272726</v>
      </c>
      <c r="AD354" s="576">
        <f t="shared" si="243"/>
        <v>487366.86552272708</v>
      </c>
      <c r="AE354" s="576">
        <f t="shared" si="243"/>
        <v>495073.04747727263</v>
      </c>
      <c r="AF354" s="576">
        <f t="shared" si="243"/>
        <v>502779.22943181801</v>
      </c>
      <c r="AG354" s="714">
        <f t="shared" si="243"/>
        <v>510483.1467272726</v>
      </c>
      <c r="AH354" s="5"/>
      <c r="AI354" s="5"/>
      <c r="AJ354" s="5"/>
      <c r="AK354" s="5"/>
      <c r="AL354" s="5"/>
      <c r="AM354" s="5"/>
      <c r="AN354" s="5"/>
    </row>
    <row r="355" spans="1:40" ht="21.95" customHeight="1" x14ac:dyDescent="0.2">
      <c r="B355" s="705"/>
      <c r="C355" s="715"/>
      <c r="D355" s="715"/>
      <c r="E355" s="116"/>
      <c r="F355" s="116" t="s">
        <v>350</v>
      </c>
      <c r="G355" s="116" t="s">
        <v>280</v>
      </c>
      <c r="H355" s="576">
        <f t="shared" ref="H355:AG355" si="244">H295 * (1-$F$15)</f>
        <v>2256297.2727272725</v>
      </c>
      <c r="I355" s="576">
        <f t="shared" si="244"/>
        <v>2320278.3423909093</v>
      </c>
      <c r="J355" s="576">
        <f t="shared" si="244"/>
        <v>2393183.0677681817</v>
      </c>
      <c r="K355" s="576">
        <f t="shared" si="244"/>
        <v>2486338.0611681817</v>
      </c>
      <c r="L355" s="576">
        <f t="shared" si="244"/>
        <v>2579523.1385318176</v>
      </c>
      <c r="M355" s="576">
        <f t="shared" si="244"/>
        <v>2672693.1739136372</v>
      </c>
      <c r="N355" s="576">
        <f t="shared" si="244"/>
        <v>2765848.1673136367</v>
      </c>
      <c r="O355" s="576">
        <f t="shared" si="244"/>
        <v>2859021.9631909099</v>
      </c>
      <c r="P355" s="576">
        <f t="shared" si="244"/>
        <v>2964330.8778999993</v>
      </c>
      <c r="Q355" s="576">
        <f t="shared" si="244"/>
        <v>3069636.0321136364</v>
      </c>
      <c r="R355" s="576">
        <f t="shared" si="244"/>
        <v>3174929.9048409089</v>
      </c>
      <c r="S355" s="576">
        <f t="shared" si="244"/>
        <v>3280238.8195500006</v>
      </c>
      <c r="T355" s="576">
        <f t="shared" si="244"/>
        <v>3385566.5367363631</v>
      </c>
      <c r="U355" s="576">
        <f t="shared" si="244"/>
        <v>3470621.4229272725</v>
      </c>
      <c r="V355" s="576">
        <f t="shared" si="244"/>
        <v>3534602.4925909094</v>
      </c>
      <c r="W355" s="576">
        <f t="shared" si="244"/>
        <v>3598583.5622545462</v>
      </c>
      <c r="X355" s="576">
        <f t="shared" si="244"/>
        <v>3662564.6319181821</v>
      </c>
      <c r="Y355" s="576">
        <f t="shared" si="244"/>
        <v>3726526.8991045458</v>
      </c>
      <c r="Z355" s="576">
        <f t="shared" si="244"/>
        <v>3790507.9687681803</v>
      </c>
      <c r="AA355" s="576">
        <f t="shared" si="244"/>
        <v>3854470.235954544</v>
      </c>
      <c r="AB355" s="576">
        <f t="shared" si="244"/>
        <v>3918451.3056181809</v>
      </c>
      <c r="AC355" s="576">
        <f t="shared" si="244"/>
        <v>3982432.3752818168</v>
      </c>
      <c r="AD355" s="576">
        <f t="shared" si="244"/>
        <v>4046394.6424681805</v>
      </c>
      <c r="AE355" s="576">
        <f t="shared" si="244"/>
        <v>4110375.7121318174</v>
      </c>
      <c r="AF355" s="576">
        <f t="shared" si="244"/>
        <v>4174356.7817954537</v>
      </c>
      <c r="AG355" s="714">
        <f t="shared" si="244"/>
        <v>4238319.0489818174</v>
      </c>
      <c r="AH355" s="5"/>
      <c r="AI355" s="5"/>
      <c r="AJ355" s="5"/>
      <c r="AK355" s="5"/>
      <c r="AL355" s="5"/>
      <c r="AM355" s="5"/>
      <c r="AN355" s="5"/>
    </row>
    <row r="356" spans="1:40" ht="21.95" customHeight="1" thickBot="1" x14ac:dyDescent="0.25">
      <c r="B356" s="705"/>
      <c r="C356" s="715"/>
      <c r="D356" s="715"/>
      <c r="E356" s="278"/>
      <c r="F356" s="278" t="s">
        <v>280</v>
      </c>
      <c r="G356" s="278" t="s">
        <v>333</v>
      </c>
      <c r="H356" s="576">
        <f t="shared" ref="H356:AG356" si="245">H296 * (1-$F$15)</f>
        <v>55745.454545454544</v>
      </c>
      <c r="I356" s="576">
        <f t="shared" si="245"/>
        <v>57326.209818181822</v>
      </c>
      <c r="J356" s="576">
        <f t="shared" si="245"/>
        <v>59127.438363636349</v>
      </c>
      <c r="K356" s="576">
        <f t="shared" si="245"/>
        <v>61428.982363636365</v>
      </c>
      <c r="L356" s="576">
        <f t="shared" si="245"/>
        <v>63731.269636363635</v>
      </c>
      <c r="M356" s="576">
        <f t="shared" si="245"/>
        <v>66033.185272727293</v>
      </c>
      <c r="N356" s="576">
        <f t="shared" si="245"/>
        <v>68334.729272727287</v>
      </c>
      <c r="O356" s="576">
        <f t="shared" si="245"/>
        <v>70636.737818181835</v>
      </c>
      <c r="P356" s="576">
        <f t="shared" si="245"/>
        <v>73238.563999999984</v>
      </c>
      <c r="Q356" s="576">
        <f t="shared" si="245"/>
        <v>75840.297272727272</v>
      </c>
      <c r="R356" s="576">
        <f t="shared" si="245"/>
        <v>78441.751818181816</v>
      </c>
      <c r="S356" s="576">
        <f t="shared" si="245"/>
        <v>81043.578000000023</v>
      </c>
      <c r="T356" s="576">
        <f t="shared" si="245"/>
        <v>83645.868727272726</v>
      </c>
      <c r="U356" s="576">
        <f t="shared" si="245"/>
        <v>85747.286545454539</v>
      </c>
      <c r="V356" s="576">
        <f t="shared" si="245"/>
        <v>87328.041818181824</v>
      </c>
      <c r="W356" s="576">
        <f t="shared" si="245"/>
        <v>88908.797090909109</v>
      </c>
      <c r="X356" s="576">
        <f t="shared" si="245"/>
        <v>90489.552363636394</v>
      </c>
      <c r="Y356" s="576">
        <f t="shared" si="245"/>
        <v>92069.843090909097</v>
      </c>
      <c r="Z356" s="576">
        <f t="shared" si="245"/>
        <v>93650.598363636353</v>
      </c>
      <c r="AA356" s="576">
        <f t="shared" si="245"/>
        <v>95230.889090909055</v>
      </c>
      <c r="AB356" s="576">
        <f t="shared" si="245"/>
        <v>96811.644363636326</v>
      </c>
      <c r="AC356" s="576">
        <f t="shared" si="245"/>
        <v>98392.399636363625</v>
      </c>
      <c r="AD356" s="576">
        <f t="shared" si="245"/>
        <v>99972.690363636328</v>
      </c>
      <c r="AE356" s="576">
        <f t="shared" si="245"/>
        <v>101553.44563636361</v>
      </c>
      <c r="AF356" s="576">
        <f t="shared" si="245"/>
        <v>103134.20090909088</v>
      </c>
      <c r="AG356" s="714">
        <f t="shared" si="245"/>
        <v>104714.4916363636</v>
      </c>
      <c r="AH356" s="5"/>
      <c r="AI356" s="5"/>
      <c r="AJ356" s="5"/>
      <c r="AK356" s="5"/>
      <c r="AL356" s="5"/>
      <c r="AM356" s="5"/>
      <c r="AN356" s="5"/>
    </row>
    <row r="357" spans="1:40" ht="21.95" customHeight="1" x14ac:dyDescent="0.2">
      <c r="B357" s="185"/>
      <c r="C357" s="254"/>
      <c r="D357" s="254"/>
      <c r="E357" s="721" t="s">
        <v>25</v>
      </c>
      <c r="F357" s="721"/>
      <c r="G357" s="721"/>
      <c r="H357" s="722">
        <f>SUM(H328:H356)</f>
        <v>69260166.996363625</v>
      </c>
      <c r="I357" s="722">
        <f t="shared" ref="I357" si="246">SUM(I328:I356)</f>
        <v>71501996.95006837</v>
      </c>
      <c r="J357" s="722">
        <f t="shared" ref="J357" si="247">SUM(J328:J356)</f>
        <v>75433879.089345664</v>
      </c>
      <c r="K357" s="722">
        <f t="shared" ref="K357" si="248">SUM(K328:K356)</f>
        <v>81617121.24508597</v>
      </c>
      <c r="L357" s="722">
        <f t="shared" ref="L357" si="249">SUM(L328:L356)</f>
        <v>87803185.848935455</v>
      </c>
      <c r="M357" s="722">
        <f t="shared" ref="M357" si="250">SUM(M328:M356)</f>
        <v>93989389.607282877</v>
      </c>
      <c r="N357" s="722">
        <f t="shared" ref="N357" si="251">SUM(N328:N356)</f>
        <v>100172631.76302324</v>
      </c>
      <c r="O357" s="722">
        <f t="shared" ref="O357" si="252">SUM(O328:O356)</f>
        <v>106361564.65985784</v>
      </c>
      <c r="P357" s="722">
        <f t="shared" ref="P357" si="253">SUM(P328:P356)</f>
        <v>112177750.77621254</v>
      </c>
      <c r="Q357" s="722">
        <f t="shared" ref="Q357" si="254">SUM(Q328:Q356)</f>
        <v>117971803.53844453</v>
      </c>
      <c r="R357" s="722">
        <f t="shared" ref="R357" si="255">SUM(R328:R356)</f>
        <v>123939721.13388482</v>
      </c>
      <c r="S357" s="722">
        <f t="shared" ref="S357" si="256">SUM(S328:S356)</f>
        <v>129989770.11525042</v>
      </c>
      <c r="T357" s="722">
        <f t="shared" ref="T357" si="257">SUM(T328:T356)</f>
        <v>136043311.83752498</v>
      </c>
      <c r="U357" s="722">
        <f t="shared" ref="U357" si="258">SUM(U328:U356)</f>
        <v>139801730.55699423</v>
      </c>
      <c r="V357" s="722">
        <f t="shared" ref="V357" si="259">SUM(V328:V356)</f>
        <v>142117390.49318087</v>
      </c>
      <c r="W357" s="722">
        <f t="shared" ref="W357" si="260">SUM(W328:W356)</f>
        <v>144484761.63834798</v>
      </c>
      <c r="X357" s="722">
        <f t="shared" ref="X357" si="261">SUM(X328:X356)</f>
        <v>146852132.78351513</v>
      </c>
      <c r="Y357" s="722">
        <f t="shared" ref="Y357" si="262">SUM(Y328:Y356)</f>
        <v>149221012.84751177</v>
      </c>
      <c r="Z357" s="722">
        <f t="shared" ref="Z357" si="263">SUM(Z328:Z356)</f>
        <v>151588383.99267891</v>
      </c>
      <c r="AA357" s="722">
        <f t="shared" ref="AA357" si="264">SUM(AA328:AA356)</f>
        <v>153957266.73245746</v>
      </c>
      <c r="AB357" s="722">
        <f t="shared" ref="AB357" si="265">SUM(AB328:AB356)</f>
        <v>156324637.87762451</v>
      </c>
      <c r="AC357" s="722">
        <f t="shared" ref="AC357" si="266">SUM(AC328:AC356)</f>
        <v>158692009.02279162</v>
      </c>
      <c r="AD357" s="722">
        <f t="shared" ref="AD357" si="267">SUM(AD328:AD356)</f>
        <v>161060889.08678839</v>
      </c>
      <c r="AE357" s="722">
        <f t="shared" ref="AE357" si="268">SUM(AE328:AE356)</f>
        <v>163428260.23195553</v>
      </c>
      <c r="AF357" s="722">
        <f t="shared" ref="AF357" si="269">SUM(AF328:AF356)</f>
        <v>165795631.37712258</v>
      </c>
      <c r="AG357" s="723">
        <f t="shared" ref="AG357" si="270">SUM(AG328:AG356)</f>
        <v>168164514.11690107</v>
      </c>
      <c r="AH357" s="47"/>
      <c r="AI357" s="47"/>
      <c r="AJ357" s="47"/>
      <c r="AK357" s="47"/>
      <c r="AL357" s="47"/>
      <c r="AM357" s="47"/>
      <c r="AN357" s="47"/>
    </row>
    <row r="358" spans="1:40" ht="21.95" customHeight="1" x14ac:dyDescent="0.2">
      <c r="C358" s="116"/>
      <c r="D358" s="116"/>
      <c r="E358" s="240"/>
      <c r="F358" s="240"/>
      <c r="G358" s="240"/>
      <c r="H358" s="724"/>
      <c r="I358" s="724"/>
      <c r="J358" s="724"/>
      <c r="K358" s="724"/>
      <c r="L358" s="724"/>
      <c r="M358" s="724"/>
      <c r="N358" s="724"/>
      <c r="O358" s="724"/>
      <c r="P358" s="724"/>
      <c r="Q358" s="724"/>
      <c r="R358" s="724"/>
      <c r="S358" s="724"/>
      <c r="T358" s="724"/>
      <c r="U358" s="724"/>
      <c r="V358" s="724"/>
      <c r="W358" s="724"/>
      <c r="X358" s="724"/>
      <c r="Y358" s="724"/>
      <c r="Z358" s="724"/>
      <c r="AA358" s="724"/>
      <c r="AB358" s="724"/>
      <c r="AC358" s="724"/>
      <c r="AD358" s="724"/>
      <c r="AE358" s="724"/>
      <c r="AF358" s="724"/>
      <c r="AG358" s="724"/>
      <c r="AH358" s="18"/>
      <c r="AI358" s="18"/>
      <c r="AJ358" s="18"/>
      <c r="AK358" s="18"/>
      <c r="AL358" s="18"/>
      <c r="AM358" s="18"/>
      <c r="AN358" s="18"/>
    </row>
    <row r="359" spans="1:40" ht="21.95" customHeight="1" x14ac:dyDescent="0.2">
      <c r="B359" s="491"/>
      <c r="C359" s="711" t="s">
        <v>2</v>
      </c>
      <c r="D359" s="711" t="s">
        <v>473</v>
      </c>
      <c r="E359" s="711" t="s">
        <v>328</v>
      </c>
      <c r="F359" s="711" t="s">
        <v>329</v>
      </c>
      <c r="G359" s="711" t="s">
        <v>330</v>
      </c>
      <c r="H359" s="712">
        <v>2023</v>
      </c>
      <c r="I359" s="712">
        <v>2024</v>
      </c>
      <c r="J359" s="712">
        <v>2025</v>
      </c>
      <c r="K359" s="712">
        <v>2026</v>
      </c>
      <c r="L359" s="712">
        <v>2027</v>
      </c>
      <c r="M359" s="712">
        <v>2028</v>
      </c>
      <c r="N359" s="712">
        <v>2029</v>
      </c>
      <c r="O359" s="712">
        <v>2030</v>
      </c>
      <c r="P359" s="712">
        <v>2031</v>
      </c>
      <c r="Q359" s="712">
        <v>2032</v>
      </c>
      <c r="R359" s="712">
        <v>2033</v>
      </c>
      <c r="S359" s="712">
        <v>2034</v>
      </c>
      <c r="T359" s="712">
        <v>2035</v>
      </c>
      <c r="U359" s="712">
        <v>2036</v>
      </c>
      <c r="V359" s="712">
        <v>2037</v>
      </c>
      <c r="W359" s="712">
        <v>2038</v>
      </c>
      <c r="X359" s="712">
        <v>2039</v>
      </c>
      <c r="Y359" s="712">
        <v>2040</v>
      </c>
      <c r="Z359" s="712">
        <v>2041</v>
      </c>
      <c r="AA359" s="712">
        <v>2042</v>
      </c>
      <c r="AB359" s="712">
        <v>2043</v>
      </c>
      <c r="AC359" s="712">
        <v>2044</v>
      </c>
      <c r="AD359" s="712">
        <v>2045</v>
      </c>
      <c r="AE359" s="712">
        <v>2046</v>
      </c>
      <c r="AF359" s="712">
        <v>2047</v>
      </c>
      <c r="AG359" s="713">
        <v>2048</v>
      </c>
      <c r="AH359" s="18"/>
      <c r="AI359" s="18"/>
      <c r="AJ359" s="18"/>
      <c r="AK359" s="18"/>
      <c r="AL359" s="18"/>
      <c r="AM359" s="18"/>
      <c r="AN359" s="18"/>
    </row>
    <row r="360" spans="1:40" ht="21.95" customHeight="1" x14ac:dyDescent="0.2">
      <c r="B360" s="182" t="s">
        <v>482</v>
      </c>
      <c r="C360" s="116" t="s">
        <v>127</v>
      </c>
      <c r="D360" s="240" t="s">
        <v>474</v>
      </c>
      <c r="E360" s="1340" t="s">
        <v>331</v>
      </c>
      <c r="F360" s="220" t="s">
        <v>332</v>
      </c>
      <c r="G360" s="220" t="s">
        <v>282</v>
      </c>
      <c r="H360" s="577">
        <f>Speed!X117</f>
        <v>71.779575441467983</v>
      </c>
      <c r="I360" s="577">
        <f>Speed!Y117</f>
        <v>71.779337692497165</v>
      </c>
      <c r="J360" s="577">
        <f>Speed!Z117</f>
        <v>71.778799526082096</v>
      </c>
      <c r="K360" s="577">
        <f>Speed!AA117</f>
        <v>71.777287455159794</v>
      </c>
      <c r="L360" s="577">
        <f>Speed!AB117</f>
        <v>71.774234871140152</v>
      </c>
      <c r="M360" s="577">
        <f>Speed!AC117</f>
        <v>71.768378651101727</v>
      </c>
      <c r="N360" s="577">
        <f>Speed!AD117</f>
        <v>71.757632458033441</v>
      </c>
      <c r="O360" s="577">
        <f>Speed!AE117</f>
        <v>71.73863521477162</v>
      </c>
      <c r="P360" s="577">
        <f>Speed!AF117</f>
        <v>71.706685699239998</v>
      </c>
      <c r="Q360" s="577">
        <f>Speed!AG117</f>
        <v>71.65405292978302</v>
      </c>
      <c r="R360" s="577">
        <f>Speed!AH117</f>
        <v>71.56969327224563</v>
      </c>
      <c r="S360" s="577">
        <f>Speed!AI117</f>
        <v>71.437769825234398</v>
      </c>
      <c r="T360" s="577">
        <f>Speed!AJ117</f>
        <v>71.235987315589725</v>
      </c>
      <c r="U360" s="577">
        <f>Speed!AK117</f>
        <v>71.045375357220195</v>
      </c>
      <c r="V360" s="577">
        <f>Speed!AL117</f>
        <v>70.872985264960491</v>
      </c>
      <c r="W360" s="577">
        <f>Speed!AM117</f>
        <v>70.665673065412804</v>
      </c>
      <c r="X360" s="577">
        <f>Speed!AN117</f>
        <v>70.417609586805895</v>
      </c>
      <c r="Y360" s="577">
        <f>Speed!AO117</f>
        <v>70.122164682268675</v>
      </c>
      <c r="Z360" s="577">
        <f>Speed!AP117</f>
        <v>69.772318785628528</v>
      </c>
      <c r="AA360" s="577">
        <f>Speed!AQ117</f>
        <v>69.359918218350188</v>
      </c>
      <c r="AB360" s="577">
        <f>Speed!AR117</f>
        <v>68.876695017192887</v>
      </c>
      <c r="AC360" s="577">
        <f>Speed!AS117</f>
        <v>68.313413872388836</v>
      </c>
      <c r="AD360" s="577">
        <f>Speed!AT117</f>
        <v>67.660307442602388</v>
      </c>
      <c r="AE360" s="577">
        <f>Speed!AU117</f>
        <v>66.908064856115161</v>
      </c>
      <c r="AF360" s="577">
        <f>Speed!AV117</f>
        <v>66.046746067464582</v>
      </c>
      <c r="AG360" s="725">
        <f>Speed!AW117</f>
        <v>65.066609539338799</v>
      </c>
      <c r="AH360" s="18"/>
      <c r="AI360" s="18"/>
      <c r="AJ360" s="18"/>
      <c r="AK360" s="18"/>
      <c r="AL360" s="18"/>
      <c r="AM360" s="18"/>
      <c r="AN360" s="18"/>
    </row>
    <row r="361" spans="1:40" ht="21.95" customHeight="1" x14ac:dyDescent="0.2">
      <c r="B361" s="705" t="s">
        <v>484</v>
      </c>
      <c r="C361" s="116"/>
      <c r="D361" s="720"/>
      <c r="E361" s="1339"/>
      <c r="F361" s="116" t="s">
        <v>282</v>
      </c>
      <c r="G361" s="116" t="s">
        <v>280</v>
      </c>
      <c r="H361" s="577">
        <f>Speed!X118</f>
        <v>71.779922361429513</v>
      </c>
      <c r="I361" s="577">
        <f>Speed!Y118</f>
        <v>71.779870140159986</v>
      </c>
      <c r="J361" s="577">
        <f>Speed!Z118</f>
        <v>71.779731696770284</v>
      </c>
      <c r="K361" s="577">
        <f>Speed!AA118</f>
        <v>71.779198548195836</v>
      </c>
      <c r="L361" s="577">
        <f>Speed!AB118</f>
        <v>71.777850226458511</v>
      </c>
      <c r="M361" s="577">
        <f>Speed!AC118</f>
        <v>71.774723271101763</v>
      </c>
      <c r="N361" s="577">
        <f>Speed!AD118</f>
        <v>71.767976642938976</v>
      </c>
      <c r="O361" s="577">
        <f>Speed!AE118</f>
        <v>71.754254599892576</v>
      </c>
      <c r="P361" s="577">
        <f>Speed!AF118</f>
        <v>71.727457621211542</v>
      </c>
      <c r="Q361" s="577">
        <f>Speed!AG118</f>
        <v>71.677760793362395</v>
      </c>
      <c r="R361" s="577">
        <f>Speed!AH118</f>
        <v>71.58931578090673</v>
      </c>
      <c r="S361" s="577">
        <f>Speed!AI118</f>
        <v>71.437486417586626</v>
      </c>
      <c r="T361" s="577">
        <f>Speed!AJ118</f>
        <v>71.185078892135678</v>
      </c>
      <c r="U361" s="577">
        <f>Speed!AK118</f>
        <v>70.960523600555177</v>
      </c>
      <c r="V361" s="577">
        <f>Speed!AL118</f>
        <v>70.775074067968333</v>
      </c>
      <c r="W361" s="577">
        <f>Speed!AM118</f>
        <v>70.553438386344823</v>
      </c>
      <c r="X361" s="577">
        <f>Speed!AN118</f>
        <v>70.289827294499659</v>
      </c>
      <c r="Y361" s="577">
        <f>Speed!AO118</f>
        <v>69.977619125023239</v>
      </c>
      <c r="Z361" s="577">
        <f>Speed!AP118</f>
        <v>69.610086758821055</v>
      </c>
      <c r="AA361" s="577">
        <f>Speed!AQ118</f>
        <v>69.179115784248154</v>
      </c>
      <c r="AB361" s="577">
        <f>Speed!AR118</f>
        <v>68.676930328298084</v>
      </c>
      <c r="AC361" s="577">
        <f>Speed!AS118</f>
        <v>68.09458216520747</v>
      </c>
      <c r="AD361" s="577">
        <f>Speed!AT118</f>
        <v>67.422613233705889</v>
      </c>
      <c r="AE361" s="577">
        <f>Speed!AU118</f>
        <v>66.652582214756762</v>
      </c>
      <c r="AF361" s="577">
        <f>Speed!AV118</f>
        <v>65.775061244386137</v>
      </c>
      <c r="AG361" s="725">
        <f>Speed!AW118</f>
        <v>64.780806702343909</v>
      </c>
      <c r="AH361" s="18"/>
      <c r="AI361" s="18"/>
      <c r="AJ361" s="18"/>
      <c r="AK361" s="18"/>
      <c r="AL361" s="18"/>
      <c r="AM361" s="18"/>
      <c r="AN361" s="18"/>
    </row>
    <row r="362" spans="1:40" ht="21.95" customHeight="1" x14ac:dyDescent="0.2">
      <c r="B362" s="705"/>
      <c r="C362" s="116"/>
      <c r="D362" s="240"/>
      <c r="E362" s="1339"/>
      <c r="F362" s="116" t="s">
        <v>280</v>
      </c>
      <c r="G362" s="116" t="s">
        <v>333</v>
      </c>
      <c r="H362" s="577">
        <f>Speed!X119</f>
        <v>71.77997609148342</v>
      </c>
      <c r="I362" s="577">
        <f>Speed!Y119</f>
        <v>71.779964006640029</v>
      </c>
      <c r="J362" s="577">
        <f>Speed!Z119</f>
        <v>71.779941587120831</v>
      </c>
      <c r="K362" s="577">
        <f>Speed!AA119</f>
        <v>71.779891746331302</v>
      </c>
      <c r="L362" s="577">
        <f>Speed!AB119</f>
        <v>71.779806406539308</v>
      </c>
      <c r="M362" s="577">
        <f>Speed!AC119</f>
        <v>71.779664695929995</v>
      </c>
      <c r="N362" s="577">
        <f>Speed!AD119</f>
        <v>71.779435699921265</v>
      </c>
      <c r="O362" s="577">
        <f>Speed!AE119</f>
        <v>71.779074144952205</v>
      </c>
      <c r="P362" s="577">
        <f>Speed!AF119</f>
        <v>71.778537161168515</v>
      </c>
      <c r="Q362" s="577">
        <f>Speed!AG119</f>
        <v>71.777734175406351</v>
      </c>
      <c r="R362" s="577">
        <f>Speed!AH119</f>
        <v>71.776554757167034</v>
      </c>
      <c r="S362" s="577">
        <f>Speed!AI119</f>
        <v>71.774849031981802</v>
      </c>
      <c r="T362" s="577">
        <f>Speed!AJ119</f>
        <v>71.772415612541664</v>
      </c>
      <c r="U362" s="577">
        <f>Speed!AK119</f>
        <v>71.770018300188895</v>
      </c>
      <c r="V362" s="577">
        <f>Speed!AL119</f>
        <v>71.767489898122705</v>
      </c>
      <c r="W362" s="577">
        <f>Speed!AM119</f>
        <v>71.764399160622403</v>
      </c>
      <c r="X362" s="577">
        <f>Speed!AN119</f>
        <v>71.760637617205063</v>
      </c>
      <c r="Y362" s="577">
        <f>Speed!AO119</f>
        <v>71.756076952093565</v>
      </c>
      <c r="Z362" s="577">
        <f>Speed!AP119</f>
        <v>71.750574141488244</v>
      </c>
      <c r="AA362" s="577">
        <f>Speed!AQ119</f>
        <v>71.743955026283516</v>
      </c>
      <c r="AB362" s="577">
        <f>Speed!AR119</f>
        <v>71.736029202085291</v>
      </c>
      <c r="AC362" s="577">
        <f>Speed!AS119</f>
        <v>71.726569339588096</v>
      </c>
      <c r="AD362" s="577">
        <f>Speed!AT119</f>
        <v>71.715312708256533</v>
      </c>
      <c r="AE362" s="577">
        <f>Speed!AU119</f>
        <v>71.70197345015616</v>
      </c>
      <c r="AF362" s="577">
        <f>Speed!AV119</f>
        <v>71.686211478832135</v>
      </c>
      <c r="AG362" s="725">
        <f>Speed!AW119</f>
        <v>71.667636866876236</v>
      </c>
      <c r="AH362" s="18"/>
      <c r="AI362" s="18"/>
      <c r="AJ362" s="18"/>
      <c r="AK362" s="18"/>
      <c r="AL362" s="18"/>
      <c r="AM362" s="18"/>
      <c r="AN362" s="18"/>
    </row>
    <row r="363" spans="1:40" ht="21.95" customHeight="1" x14ac:dyDescent="0.2">
      <c r="B363" s="705"/>
      <c r="C363" s="116"/>
      <c r="D363" s="240"/>
      <c r="E363" s="1340" t="s">
        <v>280</v>
      </c>
      <c r="F363" s="220" t="s">
        <v>281</v>
      </c>
      <c r="G363" s="220" t="s">
        <v>335</v>
      </c>
      <c r="H363" s="577">
        <f>Speed!X120</f>
        <v>57.499999999343693</v>
      </c>
      <c r="I363" s="577">
        <f>Speed!Y120</f>
        <v>57.499999998279762</v>
      </c>
      <c r="J363" s="577">
        <f>Speed!Z120</f>
        <v>57.499999988861461</v>
      </c>
      <c r="K363" s="577">
        <f>Speed!AA120</f>
        <v>57.499999788598082</v>
      </c>
      <c r="L363" s="577">
        <f>Speed!AB120</f>
        <v>57.499997948851238</v>
      </c>
      <c r="M363" s="577">
        <f>Speed!AC120</f>
        <v>57.49998695190115</v>
      </c>
      <c r="N363" s="577">
        <f>Speed!AD120</f>
        <v>57.499937904255184</v>
      </c>
      <c r="O363" s="577">
        <f>Speed!AE120</f>
        <v>57.499760292734429</v>
      </c>
      <c r="P363" s="577">
        <f>Speed!AF120</f>
        <v>57.499228633571356</v>
      </c>
      <c r="Q363" s="577">
        <f>Speed!AG120</f>
        <v>57.497802714589298</v>
      </c>
      <c r="R363" s="577">
        <f>Speed!AH120</f>
        <v>57.49433521207596</v>
      </c>
      <c r="S363" s="577">
        <f>Speed!AI120</f>
        <v>57.486546364122681</v>
      </c>
      <c r="T363" s="577">
        <f>Speed!AJ120</f>
        <v>57.47015192905161</v>
      </c>
      <c r="U363" s="577">
        <f>Speed!AK120</f>
        <v>57.456934277976345</v>
      </c>
      <c r="V363" s="577">
        <f>Speed!AL120</f>
        <v>57.449173601717405</v>
      </c>
      <c r="W363" s="577">
        <f>Speed!AM120</f>
        <v>57.440177736006902</v>
      </c>
      <c r="X363" s="577">
        <f>Speed!AN120</f>
        <v>57.429775497020707</v>
      </c>
      <c r="Y363" s="577">
        <f>Speed!AO120</f>
        <v>57.417755770208458</v>
      </c>
      <c r="Z363" s="577">
        <f>Speed!AP120</f>
        <v>57.40394149137952</v>
      </c>
      <c r="AA363" s="577">
        <f>Speed!AQ120</f>
        <v>57.388051702847108</v>
      </c>
      <c r="AB363" s="577">
        <f>Speed!AR120</f>
        <v>57.369870373654464</v>
      </c>
      <c r="AC363" s="577">
        <f>Speed!AS120</f>
        <v>57.349081671195407</v>
      </c>
      <c r="AD363" s="577">
        <f>Speed!AT120</f>
        <v>57.32532235195962</v>
      </c>
      <c r="AE363" s="577">
        <f>Speed!AU120</f>
        <v>57.298306230626139</v>
      </c>
      <c r="AF363" s="577">
        <f>Speed!AV120</f>
        <v>57.267604149569159</v>
      </c>
      <c r="AG363" s="725">
        <f>Speed!AW120</f>
        <v>57.232724662412764</v>
      </c>
      <c r="AH363" s="18"/>
      <c r="AI363" s="18"/>
      <c r="AJ363" s="18"/>
      <c r="AK363" s="18"/>
      <c r="AL363" s="18"/>
      <c r="AM363" s="18"/>
      <c r="AN363" s="18"/>
    </row>
    <row r="364" spans="1:40" ht="21.95" customHeight="1" x14ac:dyDescent="0.2">
      <c r="B364" s="705"/>
      <c r="C364" s="116"/>
      <c r="D364" s="240"/>
      <c r="E364" s="1339"/>
      <c r="F364" s="116" t="s">
        <v>335</v>
      </c>
      <c r="G364" s="116" t="s">
        <v>323</v>
      </c>
      <c r="H364" s="577">
        <f>Speed!X121</f>
        <v>49.499913467275938</v>
      </c>
      <c r="I364" s="577">
        <f>Speed!Y121</f>
        <v>49.499766486505173</v>
      </c>
      <c r="J364" s="577">
        <f>Speed!Z121</f>
        <v>49.499204103307889</v>
      </c>
      <c r="K364" s="577">
        <f>Speed!AA121</f>
        <v>49.494560055808904</v>
      </c>
      <c r="L364" s="577">
        <f>Speed!AB121</f>
        <v>49.472742505762085</v>
      </c>
      <c r="M364" s="577">
        <f>Speed!AC121</f>
        <v>49.390953020636744</v>
      </c>
      <c r="N364" s="577">
        <f>Speed!AD121</f>
        <v>49.133241460310884</v>
      </c>
      <c r="O364" s="577">
        <f>Speed!AE121</f>
        <v>48.42836313319205</v>
      </c>
      <c r="P364" s="577">
        <f>Speed!AF121</f>
        <v>45.49534982912197</v>
      </c>
      <c r="Q364" s="577">
        <f>Speed!AG121</f>
        <v>38.189950925094934</v>
      </c>
      <c r="R364" s="577">
        <f>Speed!AH121</f>
        <v>26.423486536869405</v>
      </c>
      <c r="S364" s="577">
        <f>Speed!AI121</f>
        <v>14.920072832695437</v>
      </c>
      <c r="T364" s="577">
        <f>Speed!AJ121</f>
        <v>10</v>
      </c>
      <c r="U364" s="577">
        <f>Speed!AK121</f>
        <v>10</v>
      </c>
      <c r="V364" s="577">
        <f>Speed!AL121</f>
        <v>10</v>
      </c>
      <c r="W364" s="577">
        <f>Speed!AM121</f>
        <v>10</v>
      </c>
      <c r="X364" s="577">
        <f>Speed!AN121</f>
        <v>10</v>
      </c>
      <c r="Y364" s="577">
        <f>Speed!AO121</f>
        <v>10</v>
      </c>
      <c r="Z364" s="577">
        <f>Speed!AP121</f>
        <v>10</v>
      </c>
      <c r="AA364" s="577">
        <f>Speed!AQ121</f>
        <v>10</v>
      </c>
      <c r="AB364" s="577">
        <f>Speed!AR121</f>
        <v>10</v>
      </c>
      <c r="AC364" s="577">
        <f>Speed!AS121</f>
        <v>10</v>
      </c>
      <c r="AD364" s="577">
        <f>Speed!AT121</f>
        <v>10</v>
      </c>
      <c r="AE364" s="577">
        <f>Speed!AU121</f>
        <v>10</v>
      </c>
      <c r="AF364" s="577">
        <f>Speed!AV121</f>
        <v>10</v>
      </c>
      <c r="AG364" s="725">
        <f>Speed!AW121</f>
        <v>10</v>
      </c>
      <c r="AH364" s="18"/>
      <c r="AI364" s="18"/>
      <c r="AJ364" s="18"/>
      <c r="AK364" s="18"/>
      <c r="AL364" s="18"/>
      <c r="AM364" s="18"/>
      <c r="AN364" s="18"/>
    </row>
    <row r="365" spans="1:40" ht="21.95" customHeight="1" x14ac:dyDescent="0.2">
      <c r="B365" s="705"/>
      <c r="C365" s="116"/>
      <c r="D365" s="240"/>
      <c r="E365" s="1353"/>
      <c r="F365" s="254" t="s">
        <v>323</v>
      </c>
      <c r="G365" s="254" t="s">
        <v>338</v>
      </c>
      <c r="H365" s="577">
        <f>Speed!X122</f>
        <v>46.22928606898175</v>
      </c>
      <c r="I365" s="577">
        <f>Speed!Y122</f>
        <v>45.989400680781124</v>
      </c>
      <c r="J365" s="577">
        <f>Speed!Z122</f>
        <v>45.535554594085283</v>
      </c>
      <c r="K365" s="577">
        <f>Speed!AA122</f>
        <v>44.608096213610324</v>
      </c>
      <c r="L365" s="577">
        <f>Speed!AB122</f>
        <v>43.229455244226074</v>
      </c>
      <c r="M365" s="577">
        <f>Speed!AC122</f>
        <v>41.274908515000931</v>
      </c>
      <c r="N365" s="577">
        <f>Speed!AD122</f>
        <v>38.649428106960258</v>
      </c>
      <c r="O365" s="577">
        <f>Speed!AE122</f>
        <v>35.328018908242882</v>
      </c>
      <c r="P365" s="577">
        <f>Speed!AF122</f>
        <v>31.366125947155084</v>
      </c>
      <c r="Q365" s="577">
        <f>Speed!AG122</f>
        <v>27.012819009421765</v>
      </c>
      <c r="R365" s="577">
        <f>Speed!AH122</f>
        <v>22.575887347812159</v>
      </c>
      <c r="S365" s="577">
        <f>Speed!AI122</f>
        <v>18.358962122918228</v>
      </c>
      <c r="T365" s="577">
        <f>Speed!AJ122</f>
        <v>14.590242621737195</v>
      </c>
      <c r="U365" s="577">
        <f>Speed!AK122</f>
        <v>12.245750450281898</v>
      </c>
      <c r="V365" s="577">
        <f>Speed!AL122</f>
        <v>10.802023161382403</v>
      </c>
      <c r="W365" s="577">
        <f>Speed!AM122</f>
        <v>10</v>
      </c>
      <c r="X365" s="577">
        <f>Speed!AN122</f>
        <v>10</v>
      </c>
      <c r="Y365" s="577">
        <f>Speed!AO122</f>
        <v>10</v>
      </c>
      <c r="Z365" s="577">
        <f>Speed!AP122</f>
        <v>10</v>
      </c>
      <c r="AA365" s="577">
        <f>Speed!AQ122</f>
        <v>10</v>
      </c>
      <c r="AB365" s="577">
        <f>Speed!AR122</f>
        <v>10</v>
      </c>
      <c r="AC365" s="577">
        <f>Speed!AS122</f>
        <v>10</v>
      </c>
      <c r="AD365" s="577">
        <f>Speed!AT122</f>
        <v>10</v>
      </c>
      <c r="AE365" s="577">
        <f>Speed!AU122</f>
        <v>10</v>
      </c>
      <c r="AF365" s="577">
        <f>Speed!AV122</f>
        <v>10</v>
      </c>
      <c r="AG365" s="725">
        <f>Speed!AW122</f>
        <v>10</v>
      </c>
      <c r="AH365" s="18"/>
      <c r="AI365" s="18"/>
      <c r="AJ365" s="18"/>
      <c r="AK365" s="18"/>
      <c r="AL365" s="18"/>
      <c r="AM365" s="18"/>
      <c r="AN365" s="18"/>
    </row>
    <row r="366" spans="1:40" ht="21.95" customHeight="1" x14ac:dyDescent="0.2">
      <c r="B366" s="705"/>
      <c r="C366" s="116"/>
      <c r="D366" s="240"/>
      <c r="E366" s="116" t="s">
        <v>339</v>
      </c>
      <c r="F366" s="116" t="s">
        <v>335</v>
      </c>
      <c r="G366" s="116" t="s">
        <v>323</v>
      </c>
      <c r="H366" s="577">
        <f>Speed!X123</f>
        <v>43.2</v>
      </c>
      <c r="I366" s="577">
        <f>Speed!Y123</f>
        <v>43.2</v>
      </c>
      <c r="J366" s="577">
        <f>Speed!Z123</f>
        <v>43.199999995932004</v>
      </c>
      <c r="K366" s="577">
        <f>Speed!AA123</f>
        <v>43.199982908730348</v>
      </c>
      <c r="L366" s="577">
        <f>Speed!AB123</f>
        <v>43.198482285154206</v>
      </c>
      <c r="M366" s="577">
        <f>Speed!AC123</f>
        <v>43.166800834442341</v>
      </c>
      <c r="N366" s="577">
        <f>Speed!AD123</f>
        <v>42.853213401542973</v>
      </c>
      <c r="O366" s="577">
        <f>Speed!AE123</f>
        <v>40.96985107424139</v>
      </c>
      <c r="P366" s="577">
        <f>Speed!AF123</f>
        <v>37.963313683225586</v>
      </c>
      <c r="Q366" s="577">
        <f>Speed!AG123</f>
        <v>32.651781225904607</v>
      </c>
      <c r="R366" s="577">
        <f>Speed!AH123</f>
        <v>25.297831036856934</v>
      </c>
      <c r="S366" s="577">
        <f>Speed!AI123</f>
        <v>17.533116192788139</v>
      </c>
      <c r="T366" s="577">
        <f>Speed!AJ123</f>
        <v>11.113399039482667</v>
      </c>
      <c r="U366" s="577">
        <f>Speed!AK123</f>
        <v>10</v>
      </c>
      <c r="V366" s="577">
        <f>Speed!AL123</f>
        <v>10</v>
      </c>
      <c r="W366" s="577">
        <f>Speed!AM123</f>
        <v>10</v>
      </c>
      <c r="X366" s="577">
        <f>Speed!AN123</f>
        <v>10</v>
      </c>
      <c r="Y366" s="577">
        <f>Speed!AO123</f>
        <v>10</v>
      </c>
      <c r="Z366" s="577">
        <f>Speed!AP123</f>
        <v>10</v>
      </c>
      <c r="AA366" s="577">
        <f>Speed!AQ123</f>
        <v>10</v>
      </c>
      <c r="AB366" s="577">
        <f>Speed!AR123</f>
        <v>10</v>
      </c>
      <c r="AC366" s="577">
        <f>Speed!AS123</f>
        <v>10</v>
      </c>
      <c r="AD366" s="577">
        <f>Speed!AT123</f>
        <v>10</v>
      </c>
      <c r="AE366" s="577">
        <f>Speed!AU123</f>
        <v>10</v>
      </c>
      <c r="AF366" s="577">
        <f>Speed!AV123</f>
        <v>10</v>
      </c>
      <c r="AG366" s="725">
        <f>Speed!AW123</f>
        <v>10</v>
      </c>
      <c r="AH366" s="18"/>
      <c r="AI366" s="18"/>
      <c r="AJ366" s="18"/>
      <c r="AK366" s="18"/>
      <c r="AL366" s="18"/>
      <c r="AM366" s="18"/>
      <c r="AN366" s="18"/>
    </row>
    <row r="367" spans="1:40" ht="21.95" customHeight="1" x14ac:dyDescent="0.2">
      <c r="B367" s="705"/>
      <c r="C367" s="116"/>
      <c r="D367" s="240"/>
      <c r="E367" s="1340" t="s">
        <v>323</v>
      </c>
      <c r="F367" s="220" t="s">
        <v>282</v>
      </c>
      <c r="G367" s="220" t="s">
        <v>339</v>
      </c>
      <c r="H367" s="577">
        <f>Speed!X124</f>
        <v>41.1</v>
      </c>
      <c r="I367" s="577">
        <f>Speed!Y124</f>
        <v>41.1</v>
      </c>
      <c r="J367" s="577">
        <f>Speed!Z124</f>
        <v>41.1</v>
      </c>
      <c r="K367" s="577">
        <f>Speed!AA124</f>
        <v>41.099999999994417</v>
      </c>
      <c r="L367" s="577">
        <f>Speed!AB124</f>
        <v>41.099999999537111</v>
      </c>
      <c r="M367" s="577">
        <f>Speed!AC124</f>
        <v>41.099999990190398</v>
      </c>
      <c r="N367" s="577">
        <f>Speed!AD124</f>
        <v>41.099999898693142</v>
      </c>
      <c r="O367" s="577">
        <f>Speed!AE124</f>
        <v>41.099999327050369</v>
      </c>
      <c r="P367" s="577">
        <f>Speed!AF124</f>
        <v>41.099997653760163</v>
      </c>
      <c r="Q367" s="577">
        <f>Speed!AG124</f>
        <v>41.099992878726958</v>
      </c>
      <c r="R367" s="577">
        <f>Speed!AH124</f>
        <v>41.099980660356351</v>
      </c>
      <c r="S367" s="577">
        <f>Speed!AI124</f>
        <v>41.099952037621648</v>
      </c>
      <c r="T367" s="577">
        <f>Speed!AJ124</f>
        <v>41.099889604819737</v>
      </c>
      <c r="U367" s="577">
        <f>Speed!AK124</f>
        <v>41.099837147249247</v>
      </c>
      <c r="V367" s="577">
        <f>Speed!AL124</f>
        <v>41.099819433478061</v>
      </c>
      <c r="W367" s="577">
        <f>Speed!AM124</f>
        <v>41.099800004112645</v>
      </c>
      <c r="X367" s="577">
        <f>Speed!AN124</f>
        <v>41.099778713017592</v>
      </c>
      <c r="Y367" s="577">
        <f>Speed!AO124</f>
        <v>41.099755333487764</v>
      </c>
      <c r="Z367" s="577">
        <f>Speed!AP124</f>
        <v>41.099729830227254</v>
      </c>
      <c r="AA367" s="577">
        <f>Speed!AQ124</f>
        <v>41.099701875520481</v>
      </c>
      <c r="AB367" s="577">
        <f>Speed!AR124</f>
        <v>41.099671435026814</v>
      </c>
      <c r="AC367" s="577">
        <f>Speed!AS124</f>
        <v>41.099638225218428</v>
      </c>
      <c r="AD367" s="577">
        <f>Speed!AT124</f>
        <v>41.099601916217836</v>
      </c>
      <c r="AE367" s="577">
        <f>Speed!AU124</f>
        <v>41.099562477650608</v>
      </c>
      <c r="AF367" s="577">
        <f>Speed!AV124</f>
        <v>41.099519556825001</v>
      </c>
      <c r="AG367" s="725">
        <f>Speed!AW124</f>
        <v>41.099472743791047</v>
      </c>
      <c r="AH367" s="18"/>
      <c r="AI367" s="18"/>
      <c r="AJ367" s="18"/>
      <c r="AK367" s="18"/>
      <c r="AL367" s="18"/>
      <c r="AM367" s="18"/>
      <c r="AN367" s="18"/>
    </row>
    <row r="368" spans="1:40" ht="21.95" customHeight="1" x14ac:dyDescent="0.2">
      <c r="B368" s="705"/>
      <c r="C368" s="116"/>
      <c r="D368" s="240"/>
      <c r="E368" s="1339"/>
      <c r="F368" s="116" t="s">
        <v>339</v>
      </c>
      <c r="G368" s="116" t="s">
        <v>288</v>
      </c>
      <c r="H368" s="577">
        <f>Speed!X125</f>
        <v>41.1</v>
      </c>
      <c r="I368" s="577">
        <f>Speed!Y125</f>
        <v>41.1</v>
      </c>
      <c r="J368" s="577">
        <f>Speed!Z125</f>
        <v>41.1</v>
      </c>
      <c r="K368" s="577">
        <f>Speed!AA125</f>
        <v>41.099999999994417</v>
      </c>
      <c r="L368" s="577">
        <f>Speed!AB125</f>
        <v>41.099999999537111</v>
      </c>
      <c r="M368" s="577">
        <f>Speed!AC125</f>
        <v>41.099999990190398</v>
      </c>
      <c r="N368" s="577">
        <f>Speed!AD125</f>
        <v>41.099999898693142</v>
      </c>
      <c r="O368" s="577">
        <f>Speed!AE125</f>
        <v>41.099999327050369</v>
      </c>
      <c r="P368" s="577">
        <f>Speed!AF125</f>
        <v>41.099997653760163</v>
      </c>
      <c r="Q368" s="577">
        <f>Speed!AG125</f>
        <v>41.099992878726958</v>
      </c>
      <c r="R368" s="577">
        <f>Speed!AH125</f>
        <v>41.099980660356351</v>
      </c>
      <c r="S368" s="577">
        <f>Speed!AI125</f>
        <v>41.099952037621648</v>
      </c>
      <c r="T368" s="577">
        <f>Speed!AJ125</f>
        <v>41.099889604819737</v>
      </c>
      <c r="U368" s="577">
        <f>Speed!AK125</f>
        <v>41.099837147249247</v>
      </c>
      <c r="V368" s="577">
        <f>Speed!AL125</f>
        <v>41.099819433478061</v>
      </c>
      <c r="W368" s="577">
        <f>Speed!AM125</f>
        <v>41.099800004112645</v>
      </c>
      <c r="X368" s="577">
        <f>Speed!AN125</f>
        <v>41.099778713017592</v>
      </c>
      <c r="Y368" s="577">
        <f>Speed!AO125</f>
        <v>41.099755333487764</v>
      </c>
      <c r="Z368" s="577">
        <f>Speed!AP125</f>
        <v>41.099729830227254</v>
      </c>
      <c r="AA368" s="577">
        <f>Speed!AQ125</f>
        <v>41.099701875520481</v>
      </c>
      <c r="AB368" s="577">
        <f>Speed!AR125</f>
        <v>41.099671435026814</v>
      </c>
      <c r="AC368" s="577">
        <f>Speed!AS125</f>
        <v>41.099638225218428</v>
      </c>
      <c r="AD368" s="577">
        <f>Speed!AT125</f>
        <v>41.099601916217836</v>
      </c>
      <c r="AE368" s="577">
        <f>Speed!AU125</f>
        <v>41.099562477650608</v>
      </c>
      <c r="AF368" s="577">
        <f>Speed!AV125</f>
        <v>41.099519556825001</v>
      </c>
      <c r="AG368" s="725">
        <f>Speed!AW125</f>
        <v>41.099472743791047</v>
      </c>
      <c r="AH368" s="18"/>
      <c r="AI368" s="18"/>
      <c r="AJ368" s="18"/>
      <c r="AK368" s="18"/>
      <c r="AL368" s="18"/>
      <c r="AM368" s="18"/>
      <c r="AN368" s="18"/>
    </row>
    <row r="369" spans="2:40" ht="21.95" customHeight="1" x14ac:dyDescent="0.2">
      <c r="B369" s="705"/>
      <c r="C369" s="116"/>
      <c r="D369" s="240"/>
      <c r="E369" s="1339"/>
      <c r="F369" s="116" t="s">
        <v>288</v>
      </c>
      <c r="G369" s="116" t="s">
        <v>340</v>
      </c>
      <c r="H369" s="577">
        <f>Speed!X126</f>
        <v>41.1</v>
      </c>
      <c r="I369" s="577">
        <f>Speed!Y126</f>
        <v>41.1</v>
      </c>
      <c r="J369" s="577">
        <f>Speed!Z126</f>
        <v>41.1</v>
      </c>
      <c r="K369" s="577">
        <f>Speed!AA126</f>
        <v>41.099999999994417</v>
      </c>
      <c r="L369" s="577">
        <f>Speed!AB126</f>
        <v>41.099999999537111</v>
      </c>
      <c r="M369" s="577">
        <f>Speed!AC126</f>
        <v>41.099999990190398</v>
      </c>
      <c r="N369" s="577">
        <f>Speed!AD126</f>
        <v>41.099999898693142</v>
      </c>
      <c r="O369" s="577">
        <f>Speed!AE126</f>
        <v>41.099999327050369</v>
      </c>
      <c r="P369" s="577">
        <f>Speed!AF126</f>
        <v>41.099997653760163</v>
      </c>
      <c r="Q369" s="577">
        <f>Speed!AG126</f>
        <v>41.099992878726958</v>
      </c>
      <c r="R369" s="577">
        <f>Speed!AH126</f>
        <v>41.099980660356351</v>
      </c>
      <c r="S369" s="577">
        <f>Speed!AI126</f>
        <v>41.099952037621648</v>
      </c>
      <c r="T369" s="577">
        <f>Speed!AJ126</f>
        <v>41.099889604819737</v>
      </c>
      <c r="U369" s="577">
        <f>Speed!AK126</f>
        <v>41.099837147249247</v>
      </c>
      <c r="V369" s="577">
        <f>Speed!AL126</f>
        <v>41.099819433478061</v>
      </c>
      <c r="W369" s="577">
        <f>Speed!AM126</f>
        <v>41.099800004112645</v>
      </c>
      <c r="X369" s="577">
        <f>Speed!AN126</f>
        <v>41.099778713017592</v>
      </c>
      <c r="Y369" s="577">
        <f>Speed!AO126</f>
        <v>41.099755333487764</v>
      </c>
      <c r="Z369" s="577">
        <f>Speed!AP126</f>
        <v>41.099729830227254</v>
      </c>
      <c r="AA369" s="577">
        <f>Speed!AQ126</f>
        <v>41.099701875520481</v>
      </c>
      <c r="AB369" s="577">
        <f>Speed!AR126</f>
        <v>41.099671435026814</v>
      </c>
      <c r="AC369" s="577">
        <f>Speed!AS126</f>
        <v>41.099638225218428</v>
      </c>
      <c r="AD369" s="577">
        <f>Speed!AT126</f>
        <v>41.099601916217836</v>
      </c>
      <c r="AE369" s="577">
        <f>Speed!AU126</f>
        <v>41.099562477650608</v>
      </c>
      <c r="AF369" s="577">
        <f>Speed!AV126</f>
        <v>41.099519556825001</v>
      </c>
      <c r="AG369" s="725">
        <f>Speed!AW126</f>
        <v>41.099472743791047</v>
      </c>
      <c r="AH369" s="18"/>
      <c r="AI369" s="18"/>
      <c r="AJ369" s="18"/>
      <c r="AK369" s="18"/>
      <c r="AL369" s="18"/>
      <c r="AM369" s="18"/>
      <c r="AN369" s="18"/>
    </row>
    <row r="370" spans="2:40" ht="21.95" customHeight="1" x14ac:dyDescent="0.2">
      <c r="B370" s="705"/>
      <c r="C370" s="116"/>
      <c r="D370" s="240"/>
      <c r="E370" s="1353"/>
      <c r="F370" s="254" t="s">
        <v>340</v>
      </c>
      <c r="G370" s="254" t="s">
        <v>280</v>
      </c>
      <c r="H370" s="577">
        <f>Speed!X127</f>
        <v>41.1</v>
      </c>
      <c r="I370" s="577">
        <f>Speed!Y127</f>
        <v>41.1</v>
      </c>
      <c r="J370" s="577">
        <f>Speed!Z127</f>
        <v>41.1</v>
      </c>
      <c r="K370" s="577">
        <f>Speed!AA127</f>
        <v>41.099999999999994</v>
      </c>
      <c r="L370" s="577">
        <f>Speed!AB127</f>
        <v>41.099999999999746</v>
      </c>
      <c r="M370" s="577">
        <f>Speed!AC127</f>
        <v>41.099999999996534</v>
      </c>
      <c r="N370" s="577">
        <f>Speed!AD127</f>
        <v>41.099999999972717</v>
      </c>
      <c r="O370" s="577">
        <f>Speed!AE127</f>
        <v>41.099999999849366</v>
      </c>
      <c r="P370" s="577">
        <f>Speed!AF127</f>
        <v>41.09999999565099</v>
      </c>
      <c r="Q370" s="577">
        <f>Speed!AG127</f>
        <v>41.099999946420276</v>
      </c>
      <c r="R370" s="577">
        <f>Speed!AH127</f>
        <v>41.099999601975071</v>
      </c>
      <c r="S370" s="577">
        <f>Speed!AI127</f>
        <v>41.099997884952387</v>
      </c>
      <c r="T370" s="577">
        <f>Speed!AJ127</f>
        <v>41.099991155889384</v>
      </c>
      <c r="U370" s="577">
        <f>Speed!AK127</f>
        <v>41.099976722031698</v>
      </c>
      <c r="V370" s="577">
        <f>Speed!AL127</f>
        <v>41.099972936560661</v>
      </c>
      <c r="W370" s="577">
        <f>Speed!AM127</f>
        <v>41.099968605792853</v>
      </c>
      <c r="X370" s="577">
        <f>Speed!AN127</f>
        <v>41.099963660990575</v>
      </c>
      <c r="Y370" s="577">
        <f>Speed!AO127</f>
        <v>41.09995804431113</v>
      </c>
      <c r="Z370" s="577">
        <f>Speed!AP127</f>
        <v>41.09995163718488</v>
      </c>
      <c r="AA370" s="577">
        <f>Speed!AQ127</f>
        <v>41.09994438618817</v>
      </c>
      <c r="AB370" s="577">
        <f>Speed!AR127</f>
        <v>41.099936144246342</v>
      </c>
      <c r="AC370" s="577">
        <f>Speed!AS127</f>
        <v>41.099926818842306</v>
      </c>
      <c r="AD370" s="577">
        <f>Speed!AT127</f>
        <v>41.099916319349141</v>
      </c>
      <c r="AE370" s="577">
        <f>Speed!AU127</f>
        <v>41.099904444541977</v>
      </c>
      <c r="AF370" s="577">
        <f>Speed!AV127</f>
        <v>41.099891074093556</v>
      </c>
      <c r="AG370" s="725">
        <f>Speed!AW127</f>
        <v>41.099876091499425</v>
      </c>
      <c r="AH370" s="18"/>
      <c r="AI370" s="18"/>
      <c r="AJ370" s="18"/>
      <c r="AK370" s="18"/>
      <c r="AL370" s="18"/>
      <c r="AM370" s="18"/>
      <c r="AN370" s="18"/>
    </row>
    <row r="371" spans="2:40" ht="21.95" customHeight="1" x14ac:dyDescent="0.2">
      <c r="B371" s="705"/>
      <c r="C371" s="116"/>
      <c r="D371" s="240"/>
      <c r="E371" s="1340" t="s">
        <v>334</v>
      </c>
      <c r="F371" s="116" t="s">
        <v>336</v>
      </c>
      <c r="G371" s="116" t="s">
        <v>337</v>
      </c>
      <c r="H371" s="577">
        <f>Speed!X128</f>
        <v>50.899207421863686</v>
      </c>
      <c r="I371" s="577">
        <f>Speed!Y128</f>
        <v>50.898958393866977</v>
      </c>
      <c r="J371" s="577">
        <f>Speed!Z128</f>
        <v>50.898405524824092</v>
      </c>
      <c r="K371" s="577">
        <f>Speed!AA128</f>
        <v>50.897156640296394</v>
      </c>
      <c r="L371" s="577">
        <f>Speed!AB128</f>
        <v>50.895086386526913</v>
      </c>
      <c r="M371" s="577">
        <f>Speed!AC128</f>
        <v>50.891746826862978</v>
      </c>
      <c r="N371" s="577">
        <f>Speed!AD128</f>
        <v>50.886490664104329</v>
      </c>
      <c r="O371" s="577">
        <f>Speed!AE128</f>
        <v>50.878385551815718</v>
      </c>
      <c r="P371" s="577">
        <f>Speed!AF128</f>
        <v>50.867740734420245</v>
      </c>
      <c r="Q371" s="577">
        <f>Speed!AG128</f>
        <v>50.852589544851853</v>
      </c>
      <c r="R371" s="577">
        <f>Speed!AH128</f>
        <v>50.831327651402091</v>
      </c>
      <c r="S371" s="577">
        <f>Speed!AI128</f>
        <v>50.801857443852072</v>
      </c>
      <c r="T371" s="577">
        <f>Speed!AJ128</f>
        <v>50.761444726714103</v>
      </c>
      <c r="U371" s="577">
        <f>Speed!AK128</f>
        <v>50.727045373166348</v>
      </c>
      <c r="V371" s="577">
        <f>Speed!AL128</f>
        <v>50.697093019619736</v>
      </c>
      <c r="W371" s="577">
        <f>Speed!AM128</f>
        <v>50.662576332658645</v>
      </c>
      <c r="X371" s="577">
        <f>Speed!AN128</f>
        <v>50.622896406863703</v>
      </c>
      <c r="Y371" s="577">
        <f>Speed!AO128</f>
        <v>50.577358358034388</v>
      </c>
      <c r="Z371" s="577">
        <f>Speed!AP128</f>
        <v>50.525287380872633</v>
      </c>
      <c r="AA371" s="577">
        <f>Speed!AQ128</f>
        <v>50.465807572598884</v>
      </c>
      <c r="AB371" s="577">
        <f>Speed!AR128</f>
        <v>50.398107973981887</v>
      </c>
      <c r="AC371" s="577">
        <f>Speed!AS128</f>
        <v>50.32118133829379</v>
      </c>
      <c r="AD371" s="577">
        <f>Speed!AT128</f>
        <v>50.233907729476044</v>
      </c>
      <c r="AE371" s="577">
        <f>Speed!AU128</f>
        <v>50.135245944337747</v>
      </c>
      <c r="AF371" s="577">
        <f>Speed!AV128</f>
        <v>50.023893774738667</v>
      </c>
      <c r="AG371" s="725">
        <f>Speed!AW128</f>
        <v>49.898417091031263</v>
      </c>
      <c r="AH371" s="18"/>
      <c r="AI371" s="18"/>
      <c r="AJ371" s="18"/>
      <c r="AK371" s="18"/>
      <c r="AL371" s="18"/>
      <c r="AM371" s="18"/>
      <c r="AN371" s="18"/>
    </row>
    <row r="372" spans="2:40" ht="21.95" customHeight="1" x14ac:dyDescent="0.2">
      <c r="B372" s="705"/>
      <c r="C372" s="116"/>
      <c r="D372" s="240"/>
      <c r="E372" s="1339"/>
      <c r="F372" s="116" t="s">
        <v>337</v>
      </c>
      <c r="G372" s="116" t="s">
        <v>386</v>
      </c>
      <c r="H372" s="577">
        <f>Speed!X129</f>
        <v>48.382705513236182</v>
      </c>
      <c r="I372" s="577">
        <f>Speed!Y129</f>
        <v>48.382356621061291</v>
      </c>
      <c r="J372" s="577">
        <f>Speed!Z129</f>
        <v>48.382001409912775</v>
      </c>
      <c r="K372" s="577">
        <f>Speed!AA129</f>
        <v>48.381639778380688</v>
      </c>
      <c r="L372" s="577">
        <f>Speed!AB129</f>
        <v>48.381271623638391</v>
      </c>
      <c r="M372" s="577">
        <f>Speed!AC129</f>
        <v>48.380896841425681</v>
      </c>
      <c r="N372" s="577">
        <f>Speed!AD129</f>
        <v>48.380515326031954</v>
      </c>
      <c r="O372" s="577">
        <f>Speed!AE129</f>
        <v>48.380126970279115</v>
      </c>
      <c r="P372" s="577">
        <f>Speed!AF129</f>
        <v>48.379731665504238</v>
      </c>
      <c r="Q372" s="577">
        <f>Speed!AG129</f>
        <v>48.379731665504238</v>
      </c>
      <c r="R372" s="577">
        <f>Speed!AH129</f>
        <v>48.374405556981785</v>
      </c>
      <c r="S372" s="577">
        <f>Speed!AI129</f>
        <v>48.367097702678301</v>
      </c>
      <c r="T372" s="577">
        <f>Speed!AJ129</f>
        <v>48.357958384242266</v>
      </c>
      <c r="U372" s="577">
        <f>Speed!AK129</f>
        <v>48.348994243710642</v>
      </c>
      <c r="V372" s="577">
        <f>Speed!AL129</f>
        <v>48.340388376012719</v>
      </c>
      <c r="W372" s="577">
        <f>Speed!AM129</f>
        <v>48.330499281835451</v>
      </c>
      <c r="X372" s="577">
        <f>Speed!AN129</f>
        <v>48.319160383278678</v>
      </c>
      <c r="Y372" s="577">
        <f>Speed!AO129</f>
        <v>48.306183496264367</v>
      </c>
      <c r="Z372" s="577">
        <f>Speed!AP129</f>
        <v>48.291369677314179</v>
      </c>
      <c r="AA372" s="577">
        <f>Speed!AQ129</f>
        <v>48.274485196506475</v>
      </c>
      <c r="AB372" s="577">
        <f>Speed!AR129</f>
        <v>48.255287611260464</v>
      </c>
      <c r="AC372" s="577">
        <f>Speed!AS129</f>
        <v>48.233497463576981</v>
      </c>
      <c r="AD372" s="577">
        <f>Speed!AT129</f>
        <v>48.208805353062125</v>
      </c>
      <c r="AE372" s="577">
        <f>Speed!AU129</f>
        <v>48.18088985340632</v>
      </c>
      <c r="AF372" s="577">
        <f>Speed!AV129</f>
        <v>48.149380891314337</v>
      </c>
      <c r="AG372" s="725">
        <f>Speed!AW129</f>
        <v>48.113871013655775</v>
      </c>
      <c r="AH372" s="18"/>
      <c r="AI372" s="18"/>
      <c r="AJ372" s="18"/>
      <c r="AK372" s="18"/>
      <c r="AL372" s="18"/>
      <c r="AM372" s="18"/>
      <c r="AN372" s="18"/>
    </row>
    <row r="373" spans="2:40" ht="21.95" customHeight="1" x14ac:dyDescent="0.2">
      <c r="B373" s="705"/>
      <c r="C373" s="116"/>
      <c r="D373" s="240"/>
      <c r="E373" s="1339"/>
      <c r="F373" s="116" t="s">
        <v>342</v>
      </c>
      <c r="G373" s="116" t="s">
        <v>341</v>
      </c>
      <c r="H373" s="577">
        <f>Speed!X130</f>
        <v>43.374105233204006</v>
      </c>
      <c r="I373" s="577">
        <f>Speed!Y130</f>
        <v>43.373582969952515</v>
      </c>
      <c r="J373" s="577">
        <f>Speed!Z130</f>
        <v>43.37305125289344</v>
      </c>
      <c r="K373" s="577">
        <f>Speed!AA130</f>
        <v>43.372509930507078</v>
      </c>
      <c r="L373" s="577">
        <f>Speed!AB130</f>
        <v>43.371958849164237</v>
      </c>
      <c r="M373" s="577">
        <f>Speed!AC130</f>
        <v>43.371397853101435</v>
      </c>
      <c r="N373" s="577">
        <f>Speed!AD130</f>
        <v>43.370826784396058</v>
      </c>
      <c r="O373" s="577">
        <f>Speed!AE130</f>
        <v>43.370245482941101</v>
      </c>
      <c r="P373" s="577">
        <f>Speed!AF130</f>
        <v>43.369653786419796</v>
      </c>
      <c r="Q373" s="577">
        <f>Speed!AG130</f>
        <v>43.369653786419796</v>
      </c>
      <c r="R373" s="577">
        <f>Speed!AH130</f>
        <v>43.361682240141739</v>
      </c>
      <c r="S373" s="577">
        <f>Speed!AI130</f>
        <v>43.350746542512169</v>
      </c>
      <c r="T373" s="577">
        <f>Speed!AJ130</f>
        <v>43.337073298543267</v>
      </c>
      <c r="U373" s="577">
        <f>Speed!AK130</f>
        <v>43.32366549596275</v>
      </c>
      <c r="V373" s="577">
        <f>Speed!AL130</f>
        <v>43.310796696554661</v>
      </c>
      <c r="W373" s="577">
        <f>Speed!AM130</f>
        <v>43.296012805581675</v>
      </c>
      <c r="X373" s="577">
        <f>Speed!AN130</f>
        <v>43.279066478822408</v>
      </c>
      <c r="Y373" s="577">
        <f>Speed!AO130</f>
        <v>43.259678650283732</v>
      </c>
      <c r="Z373" s="577">
        <f>Speed!AP130</f>
        <v>43.237554898508343</v>
      </c>
      <c r="AA373" s="577">
        <f>Speed!AQ130</f>
        <v>43.212349757898629</v>
      </c>
      <c r="AB373" s="577">
        <f>Speed!AR130</f>
        <v>43.183705906199691</v>
      </c>
      <c r="AC373" s="577">
        <f>Speed!AS130</f>
        <v>43.151212218628423</v>
      </c>
      <c r="AD373" s="577">
        <f>Speed!AT130</f>
        <v>43.114414731404452</v>
      </c>
      <c r="AE373" s="577">
        <f>Speed!AU130</f>
        <v>43.07284379189452</v>
      </c>
      <c r="AF373" s="577">
        <f>Speed!AV130</f>
        <v>43.025960049758183</v>
      </c>
      <c r="AG373" s="725">
        <f>Speed!AW130</f>
        <v>42.97317198636631</v>
      </c>
      <c r="AH373" s="18"/>
      <c r="AI373" s="18"/>
      <c r="AJ373" s="18"/>
      <c r="AK373" s="18"/>
      <c r="AL373" s="18"/>
      <c r="AM373" s="18"/>
      <c r="AN373" s="18"/>
    </row>
    <row r="374" spans="2:40" ht="21.95" customHeight="1" x14ac:dyDescent="0.2">
      <c r="B374" s="705"/>
      <c r="C374" s="116"/>
      <c r="D374" s="240"/>
      <c r="E374" s="1339"/>
      <c r="F374" s="116" t="s">
        <v>341</v>
      </c>
      <c r="G374" s="116" t="s">
        <v>344</v>
      </c>
      <c r="H374" s="577">
        <f>Speed!X131</f>
        <v>46.452599766464537</v>
      </c>
      <c r="I374" s="577">
        <f>Speed!Y131</f>
        <v>46.449634686216747</v>
      </c>
      <c r="J374" s="577">
        <f>Speed!Z131</f>
        <v>46.446616248727537</v>
      </c>
      <c r="K374" s="577">
        <f>Speed!AA131</f>
        <v>46.4435436109191</v>
      </c>
      <c r="L374" s="577">
        <f>Speed!AB131</f>
        <v>46.440415918413699</v>
      </c>
      <c r="M374" s="577">
        <f>Speed!AC131</f>
        <v>46.437232305416231</v>
      </c>
      <c r="N374" s="577">
        <f>Speed!AD131</f>
        <v>46.433991894596041</v>
      </c>
      <c r="O374" s="577">
        <f>Speed!AE131</f>
        <v>46.430693796968306</v>
      </c>
      <c r="P374" s="577">
        <f>Speed!AF131</f>
        <v>46.427337111774733</v>
      </c>
      <c r="Q374" s="577">
        <f>Speed!AG131</f>
        <v>46.427337111774733</v>
      </c>
      <c r="R374" s="577">
        <f>Speed!AH131</f>
        <v>46.419045209747225</v>
      </c>
      <c r="S374" s="577">
        <f>Speed!AI131</f>
        <v>46.386787412366125</v>
      </c>
      <c r="T374" s="577">
        <f>Speed!AJ131</f>
        <v>46.350495556964738</v>
      </c>
      <c r="U374" s="577">
        <f>Speed!AK131</f>
        <v>46.32293846889096</v>
      </c>
      <c r="V374" s="577">
        <f>Speed!AL131</f>
        <v>46.303802323576477</v>
      </c>
      <c r="W374" s="577">
        <f>Speed!AM131</f>
        <v>46.25495917276276</v>
      </c>
      <c r="X374" s="577">
        <f>Speed!AN131</f>
        <v>46.199057443194306</v>
      </c>
      <c r="Y374" s="577">
        <f>Speed!AO131</f>
        <v>46.135213796012174</v>
      </c>
      <c r="Z374" s="577">
        <f>Speed!AP131</f>
        <v>46.062506414470569</v>
      </c>
      <c r="AA374" s="577">
        <f>Speed!AQ131</f>
        <v>45.97986088360625</v>
      </c>
      <c r="AB374" s="577">
        <f>Speed!AR131</f>
        <v>45.886182961427636</v>
      </c>
      <c r="AC374" s="577">
        <f>Speed!AS131</f>
        <v>45.780225878495798</v>
      </c>
      <c r="AD374" s="577">
        <f>Speed!AT131</f>
        <v>45.660632657496798</v>
      </c>
      <c r="AE374" s="577">
        <f>Speed!AU131</f>
        <v>45.526031264298375</v>
      </c>
      <c r="AF374" s="577">
        <f>Speed!AV131</f>
        <v>45.374867619209105</v>
      </c>
      <c r="AG374" s="725">
        <f>Speed!AW131</f>
        <v>45.205473557327139</v>
      </c>
      <c r="AH374" s="18"/>
      <c r="AI374" s="18"/>
      <c r="AJ374" s="18"/>
      <c r="AK374" s="18"/>
      <c r="AL374" s="18"/>
      <c r="AM374" s="18"/>
      <c r="AN374" s="18"/>
    </row>
    <row r="375" spans="2:40" ht="21.95" customHeight="1" x14ac:dyDescent="0.2">
      <c r="B375" s="705"/>
      <c r="C375" s="116"/>
      <c r="D375" s="240"/>
      <c r="E375" s="1339"/>
      <c r="F375" s="116" t="s">
        <v>344</v>
      </c>
      <c r="G375" s="116" t="s">
        <v>345</v>
      </c>
      <c r="H375" s="577">
        <f>Speed!X132</f>
        <v>56.534061146242856</v>
      </c>
      <c r="I375" s="577">
        <f>Speed!Y132</f>
        <v>56.532732018172709</v>
      </c>
      <c r="J375" s="577">
        <f>Speed!Z132</f>
        <v>56.531378862061025</v>
      </c>
      <c r="K375" s="577">
        <f>Speed!AA132</f>
        <v>56.53000129400651</v>
      </c>
      <c r="L375" s="577">
        <f>Speed!AB132</f>
        <v>56.528598924806928</v>
      </c>
      <c r="M375" s="577">
        <f>Speed!AC132</f>
        <v>56.527171359898404</v>
      </c>
      <c r="N375" s="577">
        <f>Speed!AD132</f>
        <v>56.52571819929436</v>
      </c>
      <c r="O375" s="577">
        <f>Speed!AE132</f>
        <v>56.52423903752387</v>
      </c>
      <c r="P375" s="577">
        <f>Speed!AF132</f>
        <v>56.522733463569537</v>
      </c>
      <c r="Q375" s="577">
        <f>Speed!AG132</f>
        <v>56.522733463569537</v>
      </c>
      <c r="R375" s="577">
        <f>Speed!AH132</f>
        <v>56.519013707488426</v>
      </c>
      <c r="S375" s="577">
        <f>Speed!AI132</f>
        <v>56.504534838552246</v>
      </c>
      <c r="T375" s="577">
        <f>Speed!AJ132</f>
        <v>56.488230082199927</v>
      </c>
      <c r="U375" s="577">
        <f>Speed!AK132</f>
        <v>56.475838805734362</v>
      </c>
      <c r="V375" s="577">
        <f>Speed!AL132</f>
        <v>56.467228602256505</v>
      </c>
      <c r="W375" s="577">
        <f>Speed!AM132</f>
        <v>56.44523152428215</v>
      </c>
      <c r="X375" s="577">
        <f>Speed!AN132</f>
        <v>56.420019549354329</v>
      </c>
      <c r="Y375" s="577">
        <f>Speed!AO132</f>
        <v>56.391178637438735</v>
      </c>
      <c r="Z375" s="577">
        <f>Speed!AP132</f>
        <v>56.35827228144894</v>
      </c>
      <c r="AA375" s="577">
        <f>Speed!AQ132</f>
        <v>56.320788525619243</v>
      </c>
      <c r="AB375" s="577">
        <f>Speed!AR132</f>
        <v>56.278198380073952</v>
      </c>
      <c r="AC375" s="577">
        <f>Speed!AS132</f>
        <v>56.22989359821387</v>
      </c>
      <c r="AD375" s="577">
        <f>Speed!AT132</f>
        <v>56.175203189561628</v>
      </c>
      <c r="AE375" s="577">
        <f>Speed!AU132</f>
        <v>56.113434002582217</v>
      </c>
      <c r="AF375" s="577">
        <f>Speed!AV132</f>
        <v>56.043790742904882</v>
      </c>
      <c r="AG375" s="725">
        <f>Speed!AW132</f>
        <v>55.965402402623347</v>
      </c>
      <c r="AH375" s="18"/>
      <c r="AI375" s="18"/>
      <c r="AJ375" s="18"/>
      <c r="AK375" s="18"/>
      <c r="AL375" s="18"/>
      <c r="AM375" s="18"/>
      <c r="AN375" s="18"/>
    </row>
    <row r="376" spans="2:40" ht="21.95" customHeight="1" x14ac:dyDescent="0.2">
      <c r="B376" s="705"/>
      <c r="C376" s="116"/>
      <c r="D376" s="240"/>
      <c r="E376" s="1339"/>
      <c r="F376" s="116" t="s">
        <v>345</v>
      </c>
      <c r="G376" s="116" t="s">
        <v>323</v>
      </c>
      <c r="H376" s="577">
        <f>Speed!X133</f>
        <v>69.031979009162399</v>
      </c>
      <c r="I376" s="577">
        <f>Speed!Y133</f>
        <v>69.014670174543994</v>
      </c>
      <c r="J376" s="577">
        <f>Speed!Z133</f>
        <v>68.98219688011622</v>
      </c>
      <c r="K376" s="577">
        <f>Speed!AA133</f>
        <v>68.92889277417791</v>
      </c>
      <c r="L376" s="577">
        <f>Speed!AB133</f>
        <v>68.854849988229958</v>
      </c>
      <c r="M376" s="577">
        <f>Speed!AC133</f>
        <v>68.753277965477466</v>
      </c>
      <c r="N376" s="577">
        <f>Speed!AD133</f>
        <v>68.615644673730856</v>
      </c>
      <c r="O376" s="577">
        <f>Speed!AE133</f>
        <v>68.431088135663373</v>
      </c>
      <c r="P376" s="577">
        <f>Speed!AF133</f>
        <v>68.224805749018742</v>
      </c>
      <c r="Q376" s="577">
        <f>Speed!AG133</f>
        <v>67.964052307669832</v>
      </c>
      <c r="R376" s="577">
        <f>Speed!AH133</f>
        <v>67.637068766043967</v>
      </c>
      <c r="S376" s="577">
        <f>Speed!AI133</f>
        <v>67.230390438158878</v>
      </c>
      <c r="T376" s="577">
        <f>Speed!AJ133</f>
        <v>66.728453767099225</v>
      </c>
      <c r="U376" s="577">
        <f>Speed!AK133</f>
        <v>66.243185456457041</v>
      </c>
      <c r="V376" s="577">
        <f>Speed!AL133</f>
        <v>65.783740734859308</v>
      </c>
      <c r="W376" s="577">
        <f>Speed!AM133</f>
        <v>65.263397696689594</v>
      </c>
      <c r="X376" s="577">
        <f>Speed!AN133</f>
        <v>64.676553030248073</v>
      </c>
      <c r="Y376" s="577">
        <f>Speed!AO133</f>
        <v>64.017424833747171</v>
      </c>
      <c r="Z376" s="577">
        <f>Speed!AP133</f>
        <v>63.280808392532784</v>
      </c>
      <c r="AA376" s="577">
        <f>Speed!AQ133</f>
        <v>62.461101474809546</v>
      </c>
      <c r="AB376" s="577">
        <f>Speed!AR133</f>
        <v>61.553854879804902</v>
      </c>
      <c r="AC376" s="577">
        <f>Speed!AS133</f>
        <v>60.554670084845313</v>
      </c>
      <c r="AD376" s="577">
        <f>Speed!AT133</f>
        <v>59.459879231480571</v>
      </c>
      <c r="AE376" s="577">
        <f>Speed!AU133</f>
        <v>58.267616678798341</v>
      </c>
      <c r="AF376" s="577">
        <f>Speed!AV133</f>
        <v>56.976492699931377</v>
      </c>
      <c r="AG376" s="725">
        <f>Speed!AW133</f>
        <v>55.586446610236621</v>
      </c>
      <c r="AH376" s="18"/>
      <c r="AI376" s="18"/>
      <c r="AJ376" s="18"/>
      <c r="AK376" s="18"/>
      <c r="AL376" s="18"/>
      <c r="AM376" s="18"/>
      <c r="AN376" s="18"/>
    </row>
    <row r="377" spans="2:40" ht="21.95" customHeight="1" x14ac:dyDescent="0.2">
      <c r="B377" s="705"/>
      <c r="C377" s="116"/>
      <c r="D377" s="240"/>
      <c r="E377" s="1339"/>
      <c r="F377" s="116" t="s">
        <v>323</v>
      </c>
      <c r="G377" s="116" t="s">
        <v>347</v>
      </c>
      <c r="H377" s="577">
        <f>Speed!X134</f>
        <v>69.031979009162399</v>
      </c>
      <c r="I377" s="577">
        <f>Speed!Y134</f>
        <v>69.015383074682219</v>
      </c>
      <c r="J377" s="577">
        <f>Speed!Z134</f>
        <v>68.984097102897081</v>
      </c>
      <c r="K377" s="577">
        <f>Speed!AA134</f>
        <v>68.929619463044517</v>
      </c>
      <c r="L377" s="577">
        <f>Speed!AB134</f>
        <v>68.853156809839035</v>
      </c>
      <c r="M377" s="577">
        <f>Speed!AC134</f>
        <v>68.747274391199539</v>
      </c>
      <c r="N377" s="577">
        <f>Speed!AD134</f>
        <v>68.602512850923659</v>
      </c>
      <c r="O377" s="577">
        <f>Speed!AE134</f>
        <v>68.406808097768675</v>
      </c>
      <c r="P377" s="577">
        <f>Speed!AF134</f>
        <v>68.178346976186262</v>
      </c>
      <c r="Q377" s="577">
        <f>Speed!AG134</f>
        <v>67.885575956749335</v>
      </c>
      <c r="R377" s="577">
        <f>Speed!AH134</f>
        <v>67.513900051545292</v>
      </c>
      <c r="S377" s="577">
        <f>Speed!AI134</f>
        <v>67.046390999525158</v>
      </c>
      <c r="T377" s="577">
        <f>Speed!AJ134</f>
        <v>66.463634258710584</v>
      </c>
      <c r="U377" s="577">
        <f>Speed!AK134</f>
        <v>65.930180554442344</v>
      </c>
      <c r="V377" s="577">
        <f>Speed!AL134</f>
        <v>65.448900253606325</v>
      </c>
      <c r="W377" s="577">
        <f>Speed!AM134</f>
        <v>64.907787970885323</v>
      </c>
      <c r="X377" s="577">
        <f>Speed!AN134</f>
        <v>64.301824440603596</v>
      </c>
      <c r="Y377" s="577">
        <f>Speed!AO134</f>
        <v>63.625924926356085</v>
      </c>
      <c r="Z377" s="577">
        <f>Speed!AP134</f>
        <v>62.875501447389126</v>
      </c>
      <c r="AA377" s="577">
        <f>Speed!AQ134</f>
        <v>62.04580023370108</v>
      </c>
      <c r="AB377" s="577">
        <f>Speed!AR134</f>
        <v>61.13302434537588</v>
      </c>
      <c r="AC377" s="577">
        <f>Speed!AS134</f>
        <v>60.133588924286251</v>
      </c>
      <c r="AD377" s="577">
        <f>Speed!AT134</f>
        <v>59.044631308147167</v>
      </c>
      <c r="AE377" s="577">
        <f>Speed!AU134</f>
        <v>57.864774536307792</v>
      </c>
      <c r="AF377" s="577">
        <f>Speed!AV134</f>
        <v>56.593238320545105</v>
      </c>
      <c r="AG377" s="725">
        <f>Speed!AW134</f>
        <v>55.230451199483852</v>
      </c>
      <c r="AH377" s="18"/>
      <c r="AI377" s="18"/>
      <c r="AJ377" s="18"/>
      <c r="AK377" s="18"/>
      <c r="AL377" s="18"/>
      <c r="AM377" s="18"/>
      <c r="AN377" s="18"/>
    </row>
    <row r="378" spans="2:40" ht="21.95" customHeight="1" x14ac:dyDescent="0.2">
      <c r="B378" s="705"/>
      <c r="C378" s="116"/>
      <c r="D378" s="240"/>
      <c r="E378" s="1339"/>
      <c r="F378" s="116" t="s">
        <v>347</v>
      </c>
      <c r="G378" s="116" t="s">
        <v>348</v>
      </c>
      <c r="H378" s="577">
        <f>Speed!X135</f>
        <v>59.009308891513932</v>
      </c>
      <c r="I378" s="577">
        <f>Speed!Y135</f>
        <v>58.987197000201441</v>
      </c>
      <c r="J378" s="577">
        <f>Speed!Z135</f>
        <v>58.945528726565954</v>
      </c>
      <c r="K378" s="577">
        <f>Speed!AA135</f>
        <v>58.873022927878154</v>
      </c>
      <c r="L378" s="577">
        <f>Speed!AB135</f>
        <v>58.771364391321178</v>
      </c>
      <c r="M378" s="577">
        <f>Speed!AC135</f>
        <v>58.630799061298291</v>
      </c>
      <c r="N378" s="577">
        <f>Speed!AD135</f>
        <v>58.439007959745048</v>
      </c>
      <c r="O378" s="577">
        <f>Speed!AE135</f>
        <v>58.180434505558281</v>
      </c>
      <c r="P378" s="577">
        <f>Speed!AF135</f>
        <v>57.87961139600133</v>
      </c>
      <c r="Q378" s="577">
        <f>Speed!AG135</f>
        <v>57.495720900908978</v>
      </c>
      <c r="R378" s="577">
        <f>Speed!AH135</f>
        <v>57.010957657304381</v>
      </c>
      <c r="S378" s="577">
        <f>Speed!AI135</f>
        <v>56.405279885378057</v>
      </c>
      <c r="T378" s="577">
        <f>Speed!AJ135</f>
        <v>55.656582650478214</v>
      </c>
      <c r="U378" s="577">
        <f>Speed!AK135</f>
        <v>54.977269214414385</v>
      </c>
      <c r="V378" s="577">
        <f>Speed!AL135</f>
        <v>54.369287674319118</v>
      </c>
      <c r="W378" s="577">
        <f>Speed!AM135</f>
        <v>53.691198070003203</v>
      </c>
      <c r="X378" s="577">
        <f>Speed!AN135</f>
        <v>52.938632552274143</v>
      </c>
      <c r="Y378" s="577">
        <f>Speed!AO135</f>
        <v>52.107557427510997</v>
      </c>
      <c r="Z378" s="577">
        <f>Speed!AP135</f>
        <v>51.194997893058947</v>
      </c>
      <c r="AA378" s="577">
        <f>Speed!AQ135</f>
        <v>50.198248262259597</v>
      </c>
      <c r="AB378" s="577">
        <f>Speed!AR135</f>
        <v>49.116237309107696</v>
      </c>
      <c r="AC378" s="577">
        <f>Speed!AS135</f>
        <v>47.948608119204295</v>
      </c>
      <c r="AD378" s="577">
        <f>Speed!AT135</f>
        <v>46.69629203999375</v>
      </c>
      <c r="AE378" s="577">
        <f>Speed!AU135</f>
        <v>45.362297158409071</v>
      </c>
      <c r="AF378" s="577">
        <f>Speed!AV135</f>
        <v>43.950567406607256</v>
      </c>
      <c r="AG378" s="725">
        <f>Speed!AW135</f>
        <v>42.46655173688626</v>
      </c>
      <c r="AH378" s="18"/>
      <c r="AI378" s="18"/>
      <c r="AJ378" s="18"/>
      <c r="AK378" s="18"/>
      <c r="AL378" s="18"/>
      <c r="AM378" s="18"/>
      <c r="AN378" s="18"/>
    </row>
    <row r="379" spans="2:40" ht="21.95" customHeight="1" x14ac:dyDescent="0.2">
      <c r="B379" s="705"/>
      <c r="C379" s="116"/>
      <c r="D379" s="240"/>
      <c r="E379" s="1353"/>
      <c r="F379" s="254" t="s">
        <v>348</v>
      </c>
      <c r="G379" s="254" t="s">
        <v>349</v>
      </c>
      <c r="H379" s="577">
        <f>Speed!X136</f>
        <v>58.7567414573777</v>
      </c>
      <c r="I379" s="577">
        <f>Speed!Y136</f>
        <v>58.666023625896827</v>
      </c>
      <c r="J379" s="577">
        <f>Speed!Z136</f>
        <v>58.504648398108976</v>
      </c>
      <c r="K379" s="577">
        <f>Speed!AA136</f>
        <v>58.208864672459995</v>
      </c>
      <c r="L379" s="577">
        <f>Speed!AB136</f>
        <v>57.790017706889039</v>
      </c>
      <c r="M379" s="577">
        <f>Speed!AC136</f>
        <v>57.208087548465706</v>
      </c>
      <c r="N379" s="577">
        <f>Speed!AD136</f>
        <v>56.415593968511743</v>
      </c>
      <c r="O379" s="577">
        <f>Speed!AE136</f>
        <v>55.357445162192178</v>
      </c>
      <c r="P379" s="577">
        <f>Speed!AF136</f>
        <v>54.047293024344299</v>
      </c>
      <c r="Q379" s="577">
        <f>Speed!AG136</f>
        <v>52.395204928997302</v>
      </c>
      <c r="R379" s="577">
        <f>Speed!AH136</f>
        <v>50.362455920665731</v>
      </c>
      <c r="S379" s="577">
        <f>Speed!AI136</f>
        <v>47.927490023640047</v>
      </c>
      <c r="T379" s="577">
        <f>Speed!AJ136</f>
        <v>45.092857249595966</v>
      </c>
      <c r="U379" s="577">
        <f>Speed!AK136</f>
        <v>42.757121850661385</v>
      </c>
      <c r="V379" s="577">
        <f>Speed!AL136</f>
        <v>40.849797446708081</v>
      </c>
      <c r="W379" s="577">
        <f>Speed!AM136</f>
        <v>38.857338507664856</v>
      </c>
      <c r="X379" s="577">
        <f>Speed!AN136</f>
        <v>36.798565199850039</v>
      </c>
      <c r="Y379" s="577">
        <f>Speed!AO136</f>
        <v>34.693989446626723</v>
      </c>
      <c r="Z379" s="577">
        <f>Speed!AP136</f>
        <v>32.566622166207132</v>
      </c>
      <c r="AA379" s="577">
        <f>Speed!AQ136</f>
        <v>30.4381387123425</v>
      </c>
      <c r="AB379" s="577">
        <f>Speed!AR136</f>
        <v>28.331266141812385</v>
      </c>
      <c r="AC379" s="577">
        <f>Speed!AS136</f>
        <v>26.266011663519865</v>
      </c>
      <c r="AD379" s="577">
        <f>Speed!AT136</f>
        <v>24.260248277764166</v>
      </c>
      <c r="AE379" s="577">
        <f>Speed!AU136</f>
        <v>22.330345809069733</v>
      </c>
      <c r="AF379" s="577">
        <f>Speed!AV136</f>
        <v>20.488499824138039</v>
      </c>
      <c r="AG379" s="725">
        <f>Speed!AW136</f>
        <v>18.743886289291154</v>
      </c>
      <c r="AH379" s="18"/>
      <c r="AI379" s="18"/>
      <c r="AJ379" s="18"/>
      <c r="AK379" s="18"/>
      <c r="AL379" s="18"/>
      <c r="AM379" s="18"/>
      <c r="AN379" s="18"/>
    </row>
    <row r="380" spans="2:40" ht="21.95" customHeight="1" x14ac:dyDescent="0.2">
      <c r="B380" s="705"/>
      <c r="C380" s="116"/>
      <c r="D380" s="240"/>
      <c r="E380" s="116" t="s">
        <v>288</v>
      </c>
      <c r="F380" s="116" t="s">
        <v>323</v>
      </c>
      <c r="G380" s="116" t="s">
        <v>348</v>
      </c>
      <c r="H380" s="577">
        <f>Speed!X137</f>
        <v>27.799996573650304</v>
      </c>
      <c r="I380" s="577">
        <f>Speed!Y137</f>
        <v>27.799993777195358</v>
      </c>
      <c r="J380" s="577">
        <f>Speed!Z137</f>
        <v>27.799986975349313</v>
      </c>
      <c r="K380" s="577">
        <f>Speed!AA137</f>
        <v>27.799967833461142</v>
      </c>
      <c r="L380" s="577">
        <f>Speed!AB137</f>
        <v>27.799926281669954</v>
      </c>
      <c r="M380" s="577">
        <f>Speed!AC137</f>
        <v>27.799841203645585</v>
      </c>
      <c r="N380" s="577">
        <f>Speed!AD137</f>
        <v>27.79967669831025</v>
      </c>
      <c r="O380" s="577">
        <f>Speed!AE137</f>
        <v>27.799371694072853</v>
      </c>
      <c r="P380" s="577">
        <f>Speed!AF137</f>
        <v>27.798889403167927</v>
      </c>
      <c r="Q380" s="577">
        <f>Speed!AG137</f>
        <v>27.798097133959946</v>
      </c>
      <c r="R380" s="577">
        <f>Speed!AH137</f>
        <v>27.796826817912002</v>
      </c>
      <c r="S380" s="577">
        <f>Speed!AI137</f>
        <v>27.794838802109531</v>
      </c>
      <c r="T380" s="577">
        <f>Speed!AJ137</f>
        <v>27.791779783853919</v>
      </c>
      <c r="U380" s="577">
        <f>Speed!AK137</f>
        <v>27.788628027983805</v>
      </c>
      <c r="V380" s="577">
        <f>Speed!AL137</f>
        <v>27.785110132339646</v>
      </c>
      <c r="W380" s="577">
        <f>Speed!AM137</f>
        <v>27.780642207182566</v>
      </c>
      <c r="X380" s="577">
        <f>Speed!AN137</f>
        <v>27.775003183800138</v>
      </c>
      <c r="Y380" s="577">
        <f>Speed!AO137</f>
        <v>27.76791997141747</v>
      </c>
      <c r="Z380" s="577">
        <f>Speed!AP137</f>
        <v>27.759092642523797</v>
      </c>
      <c r="AA380" s="577">
        <f>Speed!AQ137</f>
        <v>27.748111473844421</v>
      </c>
      <c r="AB380" s="577">
        <f>Speed!AR137</f>
        <v>27.734588856677664</v>
      </c>
      <c r="AC380" s="577">
        <f>Speed!AS137</f>
        <v>27.717984203552998</v>
      </c>
      <c r="AD380" s="577">
        <f>Speed!AT137</f>
        <v>27.697669897651004</v>
      </c>
      <c r="AE380" s="577">
        <f>Speed!AU137</f>
        <v>27.672987919462162</v>
      </c>
      <c r="AF380" s="577">
        <f>Speed!AV137</f>
        <v>27.643107025794087</v>
      </c>
      <c r="AG380" s="725">
        <f>Speed!AW137</f>
        <v>27.606997205878951</v>
      </c>
      <c r="AH380" s="18"/>
      <c r="AI380" s="18"/>
      <c r="AJ380" s="18"/>
      <c r="AK380" s="18"/>
      <c r="AL380" s="18"/>
      <c r="AM380" s="18"/>
      <c r="AN380" s="18"/>
    </row>
    <row r="381" spans="2:40" ht="21.95" customHeight="1" x14ac:dyDescent="0.2">
      <c r="B381" s="705"/>
      <c r="C381" s="116"/>
      <c r="D381" s="240"/>
      <c r="E381" s="277" t="s">
        <v>340</v>
      </c>
      <c r="F381" s="277" t="s">
        <v>335</v>
      </c>
      <c r="G381" s="277" t="s">
        <v>323</v>
      </c>
      <c r="H381" s="577" t="e">
        <f>Speed!X138</f>
        <v>#DIV/0!</v>
      </c>
      <c r="I381" s="577" t="e">
        <f>Speed!Y138</f>
        <v>#DIV/0!</v>
      </c>
      <c r="J381" s="577" t="e">
        <f>Speed!Z138</f>
        <v>#DIV/0!</v>
      </c>
      <c r="K381" s="577" t="e">
        <f>Speed!AA138</f>
        <v>#DIV/0!</v>
      </c>
      <c r="L381" s="577" t="e">
        <f>Speed!AB138</f>
        <v>#DIV/0!</v>
      </c>
      <c r="M381" s="577" t="e">
        <f>Speed!AC138</f>
        <v>#DIV/0!</v>
      </c>
      <c r="N381" s="577" t="e">
        <f>Speed!AD138</f>
        <v>#DIV/0!</v>
      </c>
      <c r="O381" s="577" t="e">
        <f>Speed!AE138</f>
        <v>#DIV/0!</v>
      </c>
      <c r="P381" s="577" t="e">
        <f>Speed!AF138</f>
        <v>#DIV/0!</v>
      </c>
      <c r="Q381" s="577" t="e">
        <f>Speed!AG138</f>
        <v>#DIV/0!</v>
      </c>
      <c r="R381" s="577" t="e">
        <f>Speed!AH138</f>
        <v>#DIV/0!</v>
      </c>
      <c r="S381" s="577" t="e">
        <f>Speed!AI138</f>
        <v>#DIV/0!</v>
      </c>
      <c r="T381" s="577" t="e">
        <f>Speed!AJ138</f>
        <v>#DIV/0!</v>
      </c>
      <c r="U381" s="577" t="e">
        <f>Speed!AK138</f>
        <v>#DIV/0!</v>
      </c>
      <c r="V381" s="577" t="e">
        <f>Speed!AL138</f>
        <v>#DIV/0!</v>
      </c>
      <c r="W381" s="577" t="e">
        <f>Speed!AM138</f>
        <v>#DIV/0!</v>
      </c>
      <c r="X381" s="577" t="e">
        <f>Speed!AN138</f>
        <v>#DIV/0!</v>
      </c>
      <c r="Y381" s="577" t="e">
        <f>Speed!AO138</f>
        <v>#DIV/0!</v>
      </c>
      <c r="Z381" s="577" t="e">
        <f>Speed!AP138</f>
        <v>#DIV/0!</v>
      </c>
      <c r="AA381" s="577" t="e">
        <f>Speed!AQ138</f>
        <v>#DIV/0!</v>
      </c>
      <c r="AB381" s="577" t="e">
        <f>Speed!AR138</f>
        <v>#DIV/0!</v>
      </c>
      <c r="AC381" s="577" t="e">
        <f>Speed!AS138</f>
        <v>#DIV/0!</v>
      </c>
      <c r="AD381" s="577" t="e">
        <f>Speed!AT138</f>
        <v>#DIV/0!</v>
      </c>
      <c r="AE381" s="577" t="e">
        <f>Speed!AU138</f>
        <v>#DIV/0!</v>
      </c>
      <c r="AF381" s="577" t="e">
        <f>Speed!AV138</f>
        <v>#DIV/0!</v>
      </c>
      <c r="AG381" s="725" t="e">
        <f>Speed!AW138</f>
        <v>#DIV/0!</v>
      </c>
      <c r="AH381" s="18"/>
      <c r="AI381" s="18"/>
      <c r="AJ381" s="18"/>
      <c r="AK381" s="18"/>
      <c r="AL381" s="18"/>
      <c r="AM381" s="18"/>
      <c r="AN381" s="18"/>
    </row>
    <row r="382" spans="2:40" ht="21.95" customHeight="1" x14ac:dyDescent="0.2">
      <c r="B382" s="705"/>
      <c r="C382" s="116"/>
      <c r="D382" s="240"/>
      <c r="E382" s="277" t="s">
        <v>357</v>
      </c>
      <c r="F382" s="277" t="s">
        <v>338</v>
      </c>
      <c r="G382" s="277" t="s">
        <v>323</v>
      </c>
      <c r="H382" s="577">
        <f>Speed!X139</f>
        <v>31.89597447271742</v>
      </c>
      <c r="I382" s="577">
        <f>Speed!Y139</f>
        <v>31.895386397882593</v>
      </c>
      <c r="J382" s="577">
        <f>Speed!Z139</f>
        <v>31.894185286739393</v>
      </c>
      <c r="K382" s="577">
        <f>Speed!AA139</f>
        <v>31.892078650684784</v>
      </c>
      <c r="L382" s="577">
        <f>Speed!AB139</f>
        <v>31.88930731133809</v>
      </c>
      <c r="M382" s="577">
        <f>Speed!AC139</f>
        <v>31.885686476842388</v>
      </c>
      <c r="N382" s="577">
        <f>Speed!AD139</f>
        <v>31.881007933094075</v>
      </c>
      <c r="O382" s="577">
        <f>Speed!AE139</f>
        <v>31.874972954449184</v>
      </c>
      <c r="P382" s="577">
        <f>Speed!AF139</f>
        <v>31.869828344256412</v>
      </c>
      <c r="Q382" s="577">
        <f>Speed!AG139</f>
        <v>31.863751242752929</v>
      </c>
      <c r="R382" s="577">
        <f>Speed!AH139</f>
        <v>31.856594693279405</v>
      </c>
      <c r="S382" s="577">
        <f>Speed!AI139</f>
        <v>31.848195379185306</v>
      </c>
      <c r="T382" s="577">
        <f>Speed!AJ139</f>
        <v>31.838288419997181</v>
      </c>
      <c r="U382" s="577">
        <f>Speed!AK139</f>
        <v>31.831543198799192</v>
      </c>
      <c r="V382" s="577">
        <f>Speed!AL139</f>
        <v>31.824143432118834</v>
      </c>
      <c r="W382" s="577">
        <f>Speed!AM139</f>
        <v>31.816033679455259</v>
      </c>
      <c r="X382" s="577">
        <f>Speed!AN139</f>
        <v>31.807154522338521</v>
      </c>
      <c r="Y382" s="577">
        <f>Speed!AO139</f>
        <v>31.797372495361824</v>
      </c>
      <c r="Z382" s="577">
        <f>Speed!AP139</f>
        <v>31.786752785984007</v>
      </c>
      <c r="AA382" s="577">
        <f>Speed!AQ139</f>
        <v>31.775112203344161</v>
      </c>
      <c r="AB382" s="577">
        <f>Speed!AR139</f>
        <v>31.762461949675718</v>
      </c>
      <c r="AC382" s="577">
        <f>Speed!AS139</f>
        <v>31.748676495119984</v>
      </c>
      <c r="AD382" s="577">
        <f>Speed!AT139</f>
        <v>31.733559842314076</v>
      </c>
      <c r="AE382" s="577">
        <f>Speed!AU139</f>
        <v>31.717223968705103</v>
      </c>
      <c r="AF382" s="577">
        <f>Speed!AV139</f>
        <v>31.699469923924529</v>
      </c>
      <c r="AG382" s="725">
        <f>Speed!AW139</f>
        <v>31.68011430277004</v>
      </c>
      <c r="AH382" s="18"/>
      <c r="AI382" s="18"/>
      <c r="AJ382" s="18"/>
      <c r="AK382" s="18"/>
      <c r="AL382" s="18"/>
      <c r="AM382" s="18"/>
      <c r="AN382" s="18"/>
    </row>
    <row r="383" spans="2:40" ht="21.95" customHeight="1" x14ac:dyDescent="0.2">
      <c r="B383" s="705"/>
      <c r="C383" s="116"/>
      <c r="D383" s="240"/>
      <c r="E383" s="116" t="s">
        <v>338</v>
      </c>
      <c r="F383" s="116" t="s">
        <v>282</v>
      </c>
      <c r="G383" s="116" t="s">
        <v>357</v>
      </c>
      <c r="H383" s="577">
        <f>Speed!X140</f>
        <v>55.89999031092723</v>
      </c>
      <c r="I383" s="577">
        <f>Speed!Y140</f>
        <v>55.899987126230656</v>
      </c>
      <c r="J383" s="577">
        <f>Speed!Z140</f>
        <v>55.899982643601014</v>
      </c>
      <c r="K383" s="577">
        <f>Speed!AA140</f>
        <v>55.899974541814309</v>
      </c>
      <c r="L383" s="577">
        <f>Speed!AB140</f>
        <v>55.899963180055515</v>
      </c>
      <c r="M383" s="577">
        <f>Speed!AC140</f>
        <v>55.899947434901584</v>
      </c>
      <c r="N383" s="577">
        <f>Speed!AD140</f>
        <v>55.899925884169683</v>
      </c>
      <c r="O383" s="577">
        <f>Speed!AE140</f>
        <v>55.899896675024308</v>
      </c>
      <c r="P383" s="577">
        <f>Speed!AF140</f>
        <v>55.899852893582882</v>
      </c>
      <c r="Q383" s="577">
        <f>Speed!AG140</f>
        <v>55.899793093538648</v>
      </c>
      <c r="R383" s="577">
        <f>Speed!AH140</f>
        <v>55.899712210031119</v>
      </c>
      <c r="S383" s="577">
        <f>Speed!AI140</f>
        <v>55.899603905138264</v>
      </c>
      <c r="T383" s="577">
        <f>Speed!AJ140</f>
        <v>55.89946011203655</v>
      </c>
      <c r="U383" s="577">
        <f>Speed!AK140</f>
        <v>55.899317897267252</v>
      </c>
      <c r="V383" s="577">
        <f>Speed!AL140</f>
        <v>55.89917794398319</v>
      </c>
      <c r="W383" s="577">
        <f>Speed!AM140</f>
        <v>55.899012657530136</v>
      </c>
      <c r="X383" s="577">
        <f>Speed!AN140</f>
        <v>55.898818040992687</v>
      </c>
      <c r="Y383" s="577">
        <f>Speed!AO140</f>
        <v>55.898589581962291</v>
      </c>
      <c r="Z383" s="577">
        <f>Speed!AP140</f>
        <v>55.898322092426035</v>
      </c>
      <c r="AA383" s="577">
        <f>Speed!AQ140</f>
        <v>55.898009818357338</v>
      </c>
      <c r="AB383" s="577">
        <f>Speed!AR140</f>
        <v>55.897646140733599</v>
      </c>
      <c r="AC383" s="577">
        <f>Speed!AS140</f>
        <v>55.897223711409815</v>
      </c>
      <c r="AD383" s="577">
        <f>Speed!AT140</f>
        <v>55.896734296175971</v>
      </c>
      <c r="AE383" s="577">
        <f>Speed!AU140</f>
        <v>55.896168499729342</v>
      </c>
      <c r="AF383" s="577">
        <f>Speed!AV140</f>
        <v>55.895515967253118</v>
      </c>
      <c r="AG383" s="725">
        <f>Speed!AW140</f>
        <v>55.894765161250419</v>
      </c>
      <c r="AH383" s="18"/>
      <c r="AI383" s="18"/>
      <c r="AJ383" s="18"/>
      <c r="AK383" s="18"/>
      <c r="AL383" s="18"/>
      <c r="AM383" s="18"/>
      <c r="AN383" s="18"/>
    </row>
    <row r="384" spans="2:40" ht="21.95" customHeight="1" x14ac:dyDescent="0.2">
      <c r="B384" s="705"/>
      <c r="C384" s="116"/>
      <c r="D384" s="240"/>
      <c r="E384" s="116"/>
      <c r="F384" s="116" t="s">
        <v>357</v>
      </c>
      <c r="G384" s="116" t="s">
        <v>346</v>
      </c>
      <c r="H384" s="577">
        <f>Speed!X141</f>
        <v>55.899999377100173</v>
      </c>
      <c r="I384" s="577">
        <f>Speed!Y141</f>
        <v>55.899999175935712</v>
      </c>
      <c r="J384" s="577">
        <f>Speed!Z141</f>
        <v>55.899998885768397</v>
      </c>
      <c r="K384" s="577">
        <f>Speed!AA141</f>
        <v>55.899998323338593</v>
      </c>
      <c r="L384" s="577">
        <f>Speed!AB141</f>
        <v>55.89999751699942</v>
      </c>
      <c r="M384" s="577">
        <f>Speed!AC141</f>
        <v>55.899996376753322</v>
      </c>
      <c r="N384" s="577">
        <f>Speed!AD141</f>
        <v>55.899994785869225</v>
      </c>
      <c r="O384" s="577">
        <f>Speed!AE141</f>
        <v>55.899992591639737</v>
      </c>
      <c r="P384" s="577">
        <f>Speed!AF141</f>
        <v>55.899989160499366</v>
      </c>
      <c r="Q384" s="577">
        <f>Speed!AG141</f>
        <v>55.899984361973189</v>
      </c>
      <c r="R384" s="577">
        <f>Speed!AH141</f>
        <v>55.89997772701539</v>
      </c>
      <c r="S384" s="577">
        <f>Speed!AI141</f>
        <v>55.899968657929954</v>
      </c>
      <c r="T384" s="577">
        <f>Speed!AJ141</f>
        <v>55.899956388718934</v>
      </c>
      <c r="U384" s="577">
        <f>Speed!AK141</f>
        <v>55.899944617626161</v>
      </c>
      <c r="V384" s="577">
        <f>Speed!AL141</f>
        <v>55.899933723717304</v>
      </c>
      <c r="W384" s="577">
        <f>Speed!AM141</f>
        <v>55.899920937788821</v>
      </c>
      <c r="X384" s="577">
        <f>Speed!AN141</f>
        <v>55.89990597318905</v>
      </c>
      <c r="Y384" s="577">
        <f>Speed!AO141</f>
        <v>55.899888515566317</v>
      </c>
      <c r="Z384" s="577">
        <f>Speed!AP141</f>
        <v>55.899868181922834</v>
      </c>
      <c r="AA384" s="577">
        <f>Speed!AQ141</f>
        <v>55.899844582281716</v>
      </c>
      <c r="AB384" s="577">
        <f>Speed!AR141</f>
        <v>55.899817230912355</v>
      </c>
      <c r="AC384" s="577">
        <f>Speed!AS141</f>
        <v>55.899785621202099</v>
      </c>
      <c r="AD384" s="577">
        <f>Speed!AT141</f>
        <v>55.899749193635479</v>
      </c>
      <c r="AE384" s="577">
        <f>Speed!AU141</f>
        <v>55.89970726403952</v>
      </c>
      <c r="AF384" s="577">
        <f>Speed!AV141</f>
        <v>55.899659127910603</v>
      </c>
      <c r="AG384" s="725">
        <f>Speed!AW141</f>
        <v>55.899604011713457</v>
      </c>
      <c r="AH384" s="18"/>
      <c r="AI384" s="18"/>
      <c r="AJ384" s="18"/>
      <c r="AK384" s="18"/>
      <c r="AL384" s="18"/>
      <c r="AM384" s="18"/>
      <c r="AN384" s="18"/>
    </row>
    <row r="385" spans="2:40" ht="21.95" customHeight="1" x14ac:dyDescent="0.2">
      <c r="B385" s="705"/>
      <c r="C385" s="116"/>
      <c r="D385" s="240"/>
      <c r="E385" s="116"/>
      <c r="F385" s="116" t="s">
        <v>346</v>
      </c>
      <c r="G385" s="116" t="s">
        <v>343</v>
      </c>
      <c r="H385" s="577">
        <f>Speed!X142</f>
        <v>45.899998608523049</v>
      </c>
      <c r="I385" s="577">
        <f>Speed!Y142</f>
        <v>45.899998159147884</v>
      </c>
      <c r="J385" s="577">
        <f>Speed!Z142</f>
        <v>45.899997510951991</v>
      </c>
      <c r="K385" s="577">
        <f>Speed!AA142</f>
        <v>45.899996254557266</v>
      </c>
      <c r="L385" s="577">
        <f>Speed!AB142</f>
        <v>45.899994453300941</v>
      </c>
      <c r="M385" s="577">
        <f>Speed!AC142</f>
        <v>45.899991906140343</v>
      </c>
      <c r="N385" s="577">
        <f>Speed!AD142</f>
        <v>45.89998835231372</v>
      </c>
      <c r="O385" s="577">
        <f>Speed!AE142</f>
        <v>45.899983450693085</v>
      </c>
      <c r="P385" s="577">
        <f>Speed!AF142</f>
        <v>45.899975785977276</v>
      </c>
      <c r="Q385" s="577">
        <f>Speed!AG142</f>
        <v>45.899965066704318</v>
      </c>
      <c r="R385" s="577">
        <f>Speed!AH142</f>
        <v>45.899950245091176</v>
      </c>
      <c r="S385" s="577">
        <f>Speed!AI142</f>
        <v>45.899929985970488</v>
      </c>
      <c r="T385" s="577">
        <f>Speed!AJ142</f>
        <v>45.899902578216363</v>
      </c>
      <c r="U385" s="577">
        <f>Speed!AK142</f>
        <v>45.899876283210311</v>
      </c>
      <c r="V385" s="577">
        <f>Speed!AL142</f>
        <v>45.899851947729779</v>
      </c>
      <c r="W385" s="577">
        <f>Speed!AM142</f>
        <v>45.899823385760769</v>
      </c>
      <c r="X385" s="577">
        <f>Speed!AN142</f>
        <v>45.899789956974537</v>
      </c>
      <c r="Y385" s="577">
        <f>Speed!AO142</f>
        <v>45.899750959168742</v>
      </c>
      <c r="Z385" s="577">
        <f>Speed!AP142</f>
        <v>45.899705536801093</v>
      </c>
      <c r="AA385" s="577">
        <f>Speed!AQ142</f>
        <v>45.899652818746638</v>
      </c>
      <c r="AB385" s="577">
        <f>Speed!AR142</f>
        <v>45.899591719990426</v>
      </c>
      <c r="AC385" s="577">
        <f>Speed!AS142</f>
        <v>45.899521108883178</v>
      </c>
      <c r="AD385" s="577">
        <f>Speed!AT142</f>
        <v>45.89943973561509</v>
      </c>
      <c r="AE385" s="577">
        <f>Speed!AU142</f>
        <v>45.899346071932868</v>
      </c>
      <c r="AF385" s="577">
        <f>Speed!AV142</f>
        <v>45.899238544195455</v>
      </c>
      <c r="AG385" s="725">
        <f>Speed!AW142</f>
        <v>45.899115424591251</v>
      </c>
      <c r="AH385" s="18"/>
      <c r="AI385" s="18"/>
      <c r="AJ385" s="18"/>
      <c r="AK385" s="18"/>
      <c r="AL385" s="18"/>
      <c r="AM385" s="18"/>
      <c r="AN385" s="18"/>
    </row>
    <row r="386" spans="2:40" ht="21.95" customHeight="1" x14ac:dyDescent="0.2">
      <c r="B386" s="705"/>
      <c r="C386" s="116"/>
      <c r="D386" s="240"/>
      <c r="E386" s="116"/>
      <c r="F386" s="116" t="s">
        <v>343</v>
      </c>
      <c r="G386" s="116" t="s">
        <v>350</v>
      </c>
      <c r="H386" s="577">
        <f>Speed!X143</f>
        <v>45.899999869126233</v>
      </c>
      <c r="I386" s="577">
        <f>Speed!Y143</f>
        <v>45.8999998269027</v>
      </c>
      <c r="J386" s="577">
        <f>Speed!Z143</f>
        <v>45.899999764143068</v>
      </c>
      <c r="K386" s="577">
        <f>Speed!AA143</f>
        <v>45.899999654465667</v>
      </c>
      <c r="L386" s="577">
        <f>Speed!AB143</f>
        <v>45.899999500789512</v>
      </c>
      <c r="M386" s="577">
        <f>Speed!AC143</f>
        <v>45.899999288163151</v>
      </c>
      <c r="N386" s="577">
        <f>Speed!AD143</f>
        <v>45.899998997295938</v>
      </c>
      <c r="O386" s="577">
        <f>Speed!AE143</f>
        <v>45.899998603424784</v>
      </c>
      <c r="P386" s="577">
        <f>Speed!AF143</f>
        <v>45.899997994806959</v>
      </c>
      <c r="Q386" s="577">
        <f>Speed!AG143</f>
        <v>45.899997157121881</v>
      </c>
      <c r="R386" s="577">
        <f>Speed!AH143</f>
        <v>45.899996016811997</v>
      </c>
      <c r="S386" s="577">
        <f>Speed!AI143</f>
        <v>45.899994479937256</v>
      </c>
      <c r="T386" s="577">
        <f>Speed!AJ143</f>
        <v>45.899992428134517</v>
      </c>
      <c r="U386" s="577">
        <f>Speed!AK143</f>
        <v>45.899990295754669</v>
      </c>
      <c r="V386" s="577">
        <f>Speed!AL143</f>
        <v>45.899988350826568</v>
      </c>
      <c r="W386" s="577">
        <f>Speed!AM143</f>
        <v>45.899986061847436</v>
      </c>
      <c r="X386" s="577">
        <f>Speed!AN143</f>
        <v>45.899983375743055</v>
      </c>
      <c r="Y386" s="577">
        <f>Speed!AO143</f>
        <v>45.899980233405877</v>
      </c>
      <c r="Z386" s="577">
        <f>Speed!AP143</f>
        <v>45.899976565087002</v>
      </c>
      <c r="AA386" s="577">
        <f>Speed!AQ143</f>
        <v>45.899972296405011</v>
      </c>
      <c r="AB386" s="577">
        <f>Speed!AR143</f>
        <v>45.899967338685457</v>
      </c>
      <c r="AC386" s="577">
        <f>Speed!AS143</f>
        <v>45.899961596291647</v>
      </c>
      <c r="AD386" s="577">
        <f>Speed!AT143</f>
        <v>45.899954962801154</v>
      </c>
      <c r="AE386" s="577">
        <f>Speed!AU143</f>
        <v>45.899947312919259</v>
      </c>
      <c r="AF386" s="577">
        <f>Speed!AV143</f>
        <v>45.899938512830701</v>
      </c>
      <c r="AG386" s="725">
        <f>Speed!AW143</f>
        <v>45.899928414475553</v>
      </c>
      <c r="AH386" s="18"/>
      <c r="AI386" s="18"/>
      <c r="AJ386" s="18"/>
      <c r="AK386" s="18"/>
      <c r="AL386" s="18"/>
      <c r="AM386" s="18"/>
      <c r="AN386" s="18"/>
    </row>
    <row r="387" spans="2:40" ht="21.95" customHeight="1" x14ac:dyDescent="0.2">
      <c r="B387" s="705"/>
      <c r="C387" s="116"/>
      <c r="D387" s="240"/>
      <c r="E387" s="116"/>
      <c r="F387" s="116" t="s">
        <v>350</v>
      </c>
      <c r="G387" s="116" t="s">
        <v>280</v>
      </c>
      <c r="H387" s="577">
        <f>Speed!X144</f>
        <v>55.899999941413874</v>
      </c>
      <c r="I387" s="577">
        <f>Speed!Y144</f>
        <v>55.89999992251235</v>
      </c>
      <c r="J387" s="577">
        <f>Speed!Z144</f>
        <v>55.899999894417768</v>
      </c>
      <c r="K387" s="577">
        <f>Speed!AA144</f>
        <v>55.899999845320266</v>
      </c>
      <c r="L387" s="577">
        <f>Speed!AB144</f>
        <v>55.899999776526577</v>
      </c>
      <c r="M387" s="577">
        <f>Speed!AC144</f>
        <v>55.899999681343601</v>
      </c>
      <c r="N387" s="577">
        <f>Speed!AD144</f>
        <v>55.899999551135799</v>
      </c>
      <c r="O387" s="577">
        <f>Speed!AE144</f>
        <v>55.899999374817924</v>
      </c>
      <c r="P387" s="577">
        <f>Speed!AF144</f>
        <v>55.899999102367879</v>
      </c>
      <c r="Q387" s="577">
        <f>Speed!AG144</f>
        <v>55.899998727375021</v>
      </c>
      <c r="R387" s="577">
        <f>Speed!AH144</f>
        <v>55.89999821691103</v>
      </c>
      <c r="S387" s="577">
        <f>Speed!AI144</f>
        <v>55.899997528923265</v>
      </c>
      <c r="T387" s="577">
        <f>Speed!AJ144</f>
        <v>55.899996610425994</v>
      </c>
      <c r="U387" s="577">
        <f>Speed!AK144</f>
        <v>55.899995655858021</v>
      </c>
      <c r="V387" s="577">
        <f>Speed!AL144</f>
        <v>55.899994785203496</v>
      </c>
      <c r="W387" s="577">
        <f>Speed!AM144</f>
        <v>55.89999376053315</v>
      </c>
      <c r="X387" s="577">
        <f>Speed!AN144</f>
        <v>55.899992558088066</v>
      </c>
      <c r="Y387" s="577">
        <f>Speed!AO144</f>
        <v>55.899991151408472</v>
      </c>
      <c r="Z387" s="577">
        <f>Speed!AP144</f>
        <v>55.899989509270952</v>
      </c>
      <c r="AA387" s="577">
        <f>Speed!AQ144</f>
        <v>55.899987598378296</v>
      </c>
      <c r="AB387" s="577">
        <f>Speed!AR144</f>
        <v>55.899985379034909</v>
      </c>
      <c r="AC387" s="577">
        <f>Speed!AS144</f>
        <v>55.899982808428518</v>
      </c>
      <c r="AD387" s="577">
        <f>Speed!AT144</f>
        <v>55.899979838918505</v>
      </c>
      <c r="AE387" s="577">
        <f>Speed!AU144</f>
        <v>55.899976414415917</v>
      </c>
      <c r="AF387" s="577">
        <f>Speed!AV144</f>
        <v>55.899972475017449</v>
      </c>
      <c r="AG387" s="725">
        <f>Speed!AW144</f>
        <v>55.899967954443063</v>
      </c>
      <c r="AH387" s="18"/>
      <c r="AI387" s="18"/>
      <c r="AJ387" s="18"/>
      <c r="AK387" s="18"/>
      <c r="AL387" s="18"/>
      <c r="AM387" s="18"/>
      <c r="AN387" s="18"/>
    </row>
    <row r="388" spans="2:40" ht="21.95" customHeight="1" thickBot="1" x14ac:dyDescent="0.25">
      <c r="B388" s="705"/>
      <c r="C388" s="116"/>
      <c r="D388" s="240"/>
      <c r="E388" s="278"/>
      <c r="F388" s="278" t="s">
        <v>280</v>
      </c>
      <c r="G388" s="278" t="s">
        <v>333</v>
      </c>
      <c r="H388" s="577">
        <f>Speed!X145</f>
        <v>55.299903328088064</v>
      </c>
      <c r="I388" s="577">
        <f>Speed!Y145</f>
        <v>55.299872139104522</v>
      </c>
      <c r="J388" s="577">
        <f>Speed!Z145</f>
        <v>55.299825780914766</v>
      </c>
      <c r="K388" s="577">
        <f>Speed!AA145</f>
        <v>55.299744766508944</v>
      </c>
      <c r="L388" s="577">
        <f>Speed!AB145</f>
        <v>55.299631252346366</v>
      </c>
      <c r="M388" s="577">
        <f>Speed!AC145</f>
        <v>55.299474194895502</v>
      </c>
      <c r="N388" s="577">
        <f>Speed!AD145</f>
        <v>55.299259345915843</v>
      </c>
      <c r="O388" s="577">
        <f>Speed!AE145</f>
        <v>55.29896841576236</v>
      </c>
      <c r="P388" s="577">
        <f>Speed!AF145</f>
        <v>55.298518870509625</v>
      </c>
      <c r="Q388" s="577">
        <f>Speed!AG145</f>
        <v>55.297900140526224</v>
      </c>
      <c r="R388" s="577">
        <f>Speed!AH145</f>
        <v>55.297057908389334</v>
      </c>
      <c r="S388" s="577">
        <f>Speed!AI145</f>
        <v>55.295922814221832</v>
      </c>
      <c r="T388" s="577">
        <f>Speed!AJ145</f>
        <v>55.294407480664205</v>
      </c>
      <c r="U388" s="577">
        <f>Speed!AK145</f>
        <v>55.292832725739309</v>
      </c>
      <c r="V388" s="577">
        <f>Speed!AL145</f>
        <v>55.291396481356756</v>
      </c>
      <c r="W388" s="577">
        <f>Speed!AM145</f>
        <v>55.289706265740314</v>
      </c>
      <c r="X388" s="577">
        <f>Speed!AN145</f>
        <v>55.287722938607139</v>
      </c>
      <c r="Y388" s="577">
        <f>Speed!AO145</f>
        <v>55.285402925155033</v>
      </c>
      <c r="Z388" s="577">
        <f>Speed!AP145</f>
        <v>55.282694820980794</v>
      </c>
      <c r="AA388" s="577">
        <f>Speed!AQ145</f>
        <v>55.279543837445445</v>
      </c>
      <c r="AB388" s="577">
        <f>Speed!AR145</f>
        <v>55.275884681881749</v>
      </c>
      <c r="AC388" s="577">
        <f>Speed!AS145</f>
        <v>55.271646984448161</v>
      </c>
      <c r="AD388" s="577">
        <f>Speed!AT145</f>
        <v>55.26675249445433</v>
      </c>
      <c r="AE388" s="577">
        <f>Speed!AU145</f>
        <v>55.26110913919279</v>
      </c>
      <c r="AF388" s="577">
        <f>Speed!AV145</f>
        <v>55.254618693819353</v>
      </c>
      <c r="AG388" s="725">
        <f>Speed!AW145</f>
        <v>55.24717259603203</v>
      </c>
      <c r="AH388" s="18"/>
      <c r="AI388" s="18"/>
      <c r="AJ388" s="18"/>
      <c r="AK388" s="18"/>
      <c r="AL388" s="18"/>
      <c r="AM388" s="18"/>
      <c r="AN388" s="18"/>
    </row>
    <row r="389" spans="2:40" ht="21.95" customHeight="1" x14ac:dyDescent="0.2">
      <c r="B389" s="182"/>
      <c r="C389" s="116"/>
      <c r="D389" s="240" t="s">
        <v>476</v>
      </c>
      <c r="E389" s="1340" t="s">
        <v>331</v>
      </c>
      <c r="F389" s="220" t="s">
        <v>332</v>
      </c>
      <c r="G389" s="220" t="s">
        <v>282</v>
      </c>
      <c r="H389" s="726">
        <f>Speed!AX117</f>
        <v>71.779999996865541</v>
      </c>
      <c r="I389" s="726">
        <f>Speed!AY117</f>
        <v>71.779999996865541</v>
      </c>
      <c r="J389" s="726">
        <f>Speed!AZ117</f>
        <v>71.779999995110273</v>
      </c>
      <c r="K389" s="726">
        <f>Speed!BA117</f>
        <v>71.779999991136975</v>
      </c>
      <c r="L389" s="726">
        <f>Speed!BB117</f>
        <v>71.779999979973041</v>
      </c>
      <c r="M389" s="726">
        <f>Speed!BC117</f>
        <v>71.779999957433731</v>
      </c>
      <c r="N389" s="726">
        <f>Speed!BD117</f>
        <v>71.779999914187897</v>
      </c>
      <c r="O389" s="726">
        <f>Speed!BE117</f>
        <v>71.779999834813211</v>
      </c>
      <c r="P389" s="726">
        <f>Speed!BF117</f>
        <v>71.77999969443556</v>
      </c>
      <c r="Q389" s="726">
        <f>Speed!BG117</f>
        <v>71.779999458181052</v>
      </c>
      <c r="R389" s="726">
        <f>Speed!BH117</f>
        <v>71.779999068522343</v>
      </c>
      <c r="S389" s="726">
        <f>Speed!BI117</f>
        <v>71.779998442782983</v>
      </c>
      <c r="T389" s="726">
        <f>Speed!BJ117</f>
        <v>71.779997461275727</v>
      </c>
      <c r="U389" s="726">
        <f>Speed!BK117</f>
        <v>71.779995952986113</v>
      </c>
      <c r="V389" s="726">
        <f>Speed!BL117</f>
        <v>71.779994520325175</v>
      </c>
      <c r="W389" s="726">
        <f>Speed!BM117</f>
        <v>71.779993217985478</v>
      </c>
      <c r="X389" s="726">
        <f>Speed!BN117</f>
        <v>71.779991643407612</v>
      </c>
      <c r="Y389" s="726">
        <f>Speed!BO117</f>
        <v>71.779989747131694</v>
      </c>
      <c r="Z389" s="726">
        <f>Speed!BP117</f>
        <v>71.779987471152083</v>
      </c>
      <c r="AA389" s="726">
        <f>Speed!BQ117</f>
        <v>71.779984751165628</v>
      </c>
      <c r="AB389" s="726">
        <f>Speed!BR117</f>
        <v>71.779981509591806</v>
      </c>
      <c r="AC389" s="726">
        <f>Speed!BS117</f>
        <v>71.779977661944514</v>
      </c>
      <c r="AD389" s="726">
        <f>Speed!BT117</f>
        <v>71.779973108131216</v>
      </c>
      <c r="AE389" s="726">
        <f>Speed!BU117</f>
        <v>71.779967733208309</v>
      </c>
      <c r="AF389" s="726">
        <f>Speed!BV117</f>
        <v>71.779961412385049</v>
      </c>
      <c r="AG389" s="727">
        <f>Speed!BW117</f>
        <v>71.77995399822241</v>
      </c>
      <c r="AH389" s="18"/>
      <c r="AI389" s="18"/>
      <c r="AJ389" s="18"/>
      <c r="AK389" s="18"/>
      <c r="AL389" s="18"/>
      <c r="AM389" s="18"/>
      <c r="AN389" s="18"/>
    </row>
    <row r="390" spans="2:40" ht="21.95" customHeight="1" x14ac:dyDescent="0.2">
      <c r="B390" s="182"/>
      <c r="C390" s="116"/>
      <c r="D390" s="240"/>
      <c r="E390" s="1339"/>
      <c r="F390" s="116" t="s">
        <v>282</v>
      </c>
      <c r="G390" s="116" t="s">
        <v>280</v>
      </c>
      <c r="H390" s="577">
        <f>Speed!AX118</f>
        <v>71.779999999426806</v>
      </c>
      <c r="I390" s="577">
        <f>Speed!AY118</f>
        <v>71.779999999426806</v>
      </c>
      <c r="J390" s="577">
        <f>Speed!AZ118</f>
        <v>71.77999999904128</v>
      </c>
      <c r="K390" s="577">
        <f>Speed!BA118</f>
        <v>71.779999998019164</v>
      </c>
      <c r="L390" s="577">
        <f>Speed!BB118</f>
        <v>71.779999994082971</v>
      </c>
      <c r="M390" s="577">
        <f>Speed!BC118</f>
        <v>71.779999984128153</v>
      </c>
      <c r="N390" s="577">
        <f>Speed!BD118</f>
        <v>71.779999961040048</v>
      </c>
      <c r="O390" s="577">
        <f>Speed!BE118</f>
        <v>71.779999911218979</v>
      </c>
      <c r="P390" s="577">
        <f>Speed!BF118</f>
        <v>71.77999980985841</v>
      </c>
      <c r="Q390" s="577">
        <f>Speed!BG118</f>
        <v>71.779999611805451</v>
      </c>
      <c r="R390" s="577">
        <f>Speed!BH118</f>
        <v>71.779999244110741</v>
      </c>
      <c r="S390" s="577">
        <f>Speed!BI118</f>
        <v>71.77999858846492</v>
      </c>
      <c r="T390" s="577">
        <f>Speed!BJ118</f>
        <v>71.779997459163283</v>
      </c>
      <c r="U390" s="577">
        <f>Speed!BK118</f>
        <v>71.779995571103598</v>
      </c>
      <c r="V390" s="577">
        <f>Speed!BL118</f>
        <v>71.779993880094111</v>
      </c>
      <c r="W390" s="577">
        <f>Speed!BM118</f>
        <v>71.779992475479744</v>
      </c>
      <c r="X390" s="577">
        <f>Speed!BN118</f>
        <v>71.779990787101838</v>
      </c>
      <c r="Y390" s="577">
        <f>Speed!BO118</f>
        <v>71.779988765100271</v>
      </c>
      <c r="Z390" s="577">
        <f>Speed!BP118</f>
        <v>71.779986350634417</v>
      </c>
      <c r="AA390" s="577">
        <f>Speed!BQ118</f>
        <v>71.779983480563246</v>
      </c>
      <c r="AB390" s="577">
        <f>Speed!BR118</f>
        <v>71.779980076252357</v>
      </c>
      <c r="AC390" s="577">
        <f>Speed!BS118</f>
        <v>71.779976055506907</v>
      </c>
      <c r="AD390" s="577">
        <f>Speed!BT118</f>
        <v>71.779971318679614</v>
      </c>
      <c r="AE390" s="577">
        <f>Speed!BU118</f>
        <v>71.779965751191895</v>
      </c>
      <c r="AF390" s="577">
        <f>Speed!BV118</f>
        <v>71.779959233200245</v>
      </c>
      <c r="AG390" s="725">
        <f>Speed!BW118</f>
        <v>71.779951619297606</v>
      </c>
      <c r="AH390" s="18"/>
      <c r="AI390" s="18"/>
      <c r="AJ390" s="18"/>
      <c r="AK390" s="18"/>
      <c r="AL390" s="18"/>
      <c r="AM390" s="18"/>
      <c r="AN390" s="18"/>
    </row>
    <row r="391" spans="2:40" ht="21.95" customHeight="1" x14ac:dyDescent="0.2">
      <c r="B391" s="182"/>
      <c r="C391" s="116"/>
      <c r="D391" s="240"/>
      <c r="E391" s="1339"/>
      <c r="F391" s="116" t="s">
        <v>280</v>
      </c>
      <c r="G391" s="116" t="s">
        <v>333</v>
      </c>
      <c r="H391" s="577">
        <f>Speed!AX119</f>
        <v>71.779999999823488</v>
      </c>
      <c r="I391" s="577">
        <f>Speed!AY119</f>
        <v>71.779999999823488</v>
      </c>
      <c r="J391" s="577">
        <f>Speed!AZ119</f>
        <v>71.779999999734272</v>
      </c>
      <c r="K391" s="577">
        <f>Speed!BA119</f>
        <v>71.779999999568759</v>
      </c>
      <c r="L391" s="577">
        <f>Speed!BB119</f>
        <v>71.779999999200783</v>
      </c>
      <c r="M391" s="577">
        <f>Speed!BC119</f>
        <v>71.77999999857073</v>
      </c>
      <c r="N391" s="577">
        <f>Speed!BD119</f>
        <v>71.779999997524499</v>
      </c>
      <c r="O391" s="577">
        <f>Speed!BE119</f>
        <v>71.779999995833847</v>
      </c>
      <c r="P391" s="577">
        <f>Speed!BF119</f>
        <v>71.779999993164495</v>
      </c>
      <c r="Q391" s="577">
        <f>Speed!BG119</f>
        <v>71.779999989199908</v>
      </c>
      <c r="R391" s="577">
        <f>Speed!BH119</f>
        <v>71.779999983271324</v>
      </c>
      <c r="S391" s="577">
        <f>Speed!BI119</f>
        <v>71.779999974563211</v>
      </c>
      <c r="T391" s="577">
        <f>Speed!BJ119</f>
        <v>71.779999961968642</v>
      </c>
      <c r="U391" s="577">
        <f>Speed!BK119</f>
        <v>71.779999943999997</v>
      </c>
      <c r="V391" s="577">
        <f>Speed!BL119</f>
        <v>71.779999926296767</v>
      </c>
      <c r="W391" s="577">
        <f>Speed!BM119</f>
        <v>71.779999907624202</v>
      </c>
      <c r="X391" s="577">
        <f>Speed!BN119</f>
        <v>71.779999884796936</v>
      </c>
      <c r="Y391" s="577">
        <f>Speed!BO119</f>
        <v>71.779999857012641</v>
      </c>
      <c r="Z391" s="577">
        <f>Speed!BP119</f>
        <v>71.779999823321802</v>
      </c>
      <c r="AA391" s="577">
        <f>Speed!BQ119</f>
        <v>71.779999782665399</v>
      </c>
      <c r="AB391" s="577">
        <f>Speed!BR119</f>
        <v>71.779999733753115</v>
      </c>
      <c r="AC391" s="577">
        <f>Speed!BS119</f>
        <v>71.779999675172974</v>
      </c>
      <c r="AD391" s="577">
        <f>Speed!BT119</f>
        <v>71.779999605237748</v>
      </c>
      <c r="AE391" s="577">
        <f>Speed!BU119</f>
        <v>71.779999521995265</v>
      </c>
      <c r="AF391" s="577">
        <f>Speed!BV119</f>
        <v>71.779999423317946</v>
      </c>
      <c r="AG391" s="725">
        <f>Speed!BW119</f>
        <v>71.779999306671286</v>
      </c>
      <c r="AH391" s="18"/>
      <c r="AI391" s="18"/>
      <c r="AJ391" s="18"/>
      <c r="AK391" s="18"/>
      <c r="AL391" s="18"/>
      <c r="AM391" s="18"/>
      <c r="AN391" s="18"/>
    </row>
    <row r="392" spans="2:40" ht="21.95" customHeight="1" x14ac:dyDescent="0.2">
      <c r="B392" s="182"/>
      <c r="C392" s="116"/>
      <c r="D392" s="240"/>
      <c r="E392" s="1340" t="s">
        <v>280</v>
      </c>
      <c r="F392" s="220" t="s">
        <v>281</v>
      </c>
      <c r="G392" s="220" t="s">
        <v>335</v>
      </c>
      <c r="H392" s="577">
        <f>Speed!AX120</f>
        <v>57.5</v>
      </c>
      <c r="I392" s="577">
        <f>Speed!AY120</f>
        <v>57.5</v>
      </c>
      <c r="J392" s="577">
        <f>Speed!AZ120</f>
        <v>57.499999999999986</v>
      </c>
      <c r="K392" s="577">
        <f>Speed!BA120</f>
        <v>57.499999999999922</v>
      </c>
      <c r="L392" s="577">
        <f>Speed!BB120</f>
        <v>57.499999999998444</v>
      </c>
      <c r="M392" s="577">
        <f>Speed!BC120</f>
        <v>57.499999999984858</v>
      </c>
      <c r="N392" s="577">
        <f>Speed!BD120</f>
        <v>57.499999999903672</v>
      </c>
      <c r="O392" s="577">
        <f>Speed!BE120</f>
        <v>57.499999999541558</v>
      </c>
      <c r="P392" s="577">
        <f>Speed!BF120</f>
        <v>57.499999998230273</v>
      </c>
      <c r="Q392" s="577">
        <f>Speed!BG120</f>
        <v>57.499999994305064</v>
      </c>
      <c r="R392" s="577">
        <f>Speed!BH120</f>
        <v>57.499999983777236</v>
      </c>
      <c r="S392" s="577">
        <f>Speed!BI120</f>
        <v>57.499999958173831</v>
      </c>
      <c r="T392" s="577">
        <f>Speed!BJ120</f>
        <v>57.499999900651126</v>
      </c>
      <c r="U392" s="577">
        <f>Speed!BK120</f>
        <v>57.499999779522909</v>
      </c>
      <c r="V392" s="577">
        <f>Speed!BL120</f>
        <v>57.499999681815652</v>
      </c>
      <c r="W392" s="577">
        <f>Speed!BM120</f>
        <v>57.49999962442638</v>
      </c>
      <c r="X392" s="577">
        <f>Speed!BN120</f>
        <v>57.499999557883633</v>
      </c>
      <c r="Y392" s="577">
        <f>Speed!BO120</f>
        <v>57.499999480911896</v>
      </c>
      <c r="Z392" s="577">
        <f>Speed!BP120</f>
        <v>57.499999391936754</v>
      </c>
      <c r="AA392" s="577">
        <f>Speed!BQ120</f>
        <v>57.499999289631575</v>
      </c>
      <c r="AB392" s="577">
        <f>Speed!BR120</f>
        <v>57.49999917189475</v>
      </c>
      <c r="AC392" s="577">
        <f>Speed!BS120</f>
        <v>57.499999037098561</v>
      </c>
      <c r="AD392" s="577">
        <f>Speed!BT120</f>
        <v>57.499998882866585</v>
      </c>
      <c r="AE392" s="577">
        <f>Speed!BU120</f>
        <v>57.499998706458541</v>
      </c>
      <c r="AF392" s="577">
        <f>Speed!BV120</f>
        <v>57.499998505691664</v>
      </c>
      <c r="AG392" s="725">
        <f>Speed!BW120</f>
        <v>57.499998277303099</v>
      </c>
      <c r="AH392" s="18"/>
      <c r="AI392" s="18"/>
      <c r="AJ392" s="18"/>
      <c r="AK392" s="18"/>
      <c r="AL392" s="18"/>
      <c r="AM392" s="18"/>
      <c r="AN392" s="18"/>
    </row>
    <row r="393" spans="2:40" ht="21.95" customHeight="1" x14ac:dyDescent="0.2">
      <c r="B393" s="182"/>
      <c r="C393" s="116"/>
      <c r="D393" s="240"/>
      <c r="E393" s="1339"/>
      <c r="F393" s="116" t="s">
        <v>335</v>
      </c>
      <c r="G393" s="116" t="s">
        <v>323</v>
      </c>
      <c r="H393" s="577">
        <f>Speed!AX121</f>
        <v>49.499999999361144</v>
      </c>
      <c r="I393" s="577">
        <f>Speed!AY121</f>
        <v>49.499999999361144</v>
      </c>
      <c r="J393" s="577">
        <f>Speed!AZ121</f>
        <v>49.49999999827601</v>
      </c>
      <c r="K393" s="577">
        <f>Speed!BA121</f>
        <v>49.499999994123947</v>
      </c>
      <c r="L393" s="577">
        <f>Speed!BB121</f>
        <v>49.499999959833509</v>
      </c>
      <c r="M393" s="577">
        <f>Speed!BC121</f>
        <v>49.499999798652226</v>
      </c>
      <c r="N393" s="577">
        <f>Speed!BD121</f>
        <v>49.499999193149428</v>
      </c>
      <c r="O393" s="577">
        <f>Speed!BE121</f>
        <v>49.499997272079689</v>
      </c>
      <c r="P393" s="577">
        <f>Speed!BF121</f>
        <v>49.499991913237835</v>
      </c>
      <c r="Q393" s="577">
        <f>Speed!BG121</f>
        <v>49.499967831991228</v>
      </c>
      <c r="R393" s="577">
        <f>Speed!BH121</f>
        <v>49.499891771578312</v>
      </c>
      <c r="S393" s="577">
        <f>Speed!BI121</f>
        <v>49.499680843159169</v>
      </c>
      <c r="T393" s="577">
        <f>Speed!BJ121</f>
        <v>49.499153021111219</v>
      </c>
      <c r="U393" s="577">
        <f>Speed!BK121</f>
        <v>49.497938168514317</v>
      </c>
      <c r="V393" s="577">
        <f>Speed!BL121</f>
        <v>49.496373497844985</v>
      </c>
      <c r="W393" s="577">
        <f>Speed!BM121</f>
        <v>49.495490318522812</v>
      </c>
      <c r="X393" s="577">
        <f>Speed!BN121</f>
        <v>49.494418092977028</v>
      </c>
      <c r="Y393" s="577">
        <f>Speed!BO121</f>
        <v>49.493121682931609</v>
      </c>
      <c r="Z393" s="577">
        <f>Speed!BP121</f>
        <v>49.491559140427853</v>
      </c>
      <c r="AA393" s="577">
        <f>Speed!BQ121</f>
        <v>49.489685636782767</v>
      </c>
      <c r="AB393" s="577">
        <f>Speed!BR121</f>
        <v>49.487444204982957</v>
      </c>
      <c r="AC393" s="577">
        <f>Speed!BS121</f>
        <v>49.484775785841983</v>
      </c>
      <c r="AD393" s="577">
        <f>Speed!BT121</f>
        <v>49.481607618302299</v>
      </c>
      <c r="AE393" s="577">
        <f>Speed!BU121</f>
        <v>49.477855345982036</v>
      </c>
      <c r="AF393" s="577">
        <f>Speed!BV121</f>
        <v>49.473431524117252</v>
      </c>
      <c r="AG393" s="725">
        <f>Speed!BW121</f>
        <v>49.468228238845782</v>
      </c>
      <c r="AH393" s="18"/>
      <c r="AI393" s="18"/>
      <c r="AJ393" s="18"/>
      <c r="AK393" s="18"/>
      <c r="AL393" s="18"/>
      <c r="AM393" s="18"/>
      <c r="AN393" s="18"/>
    </row>
    <row r="394" spans="2:40" ht="21.95" customHeight="1" x14ac:dyDescent="0.2">
      <c r="B394" s="182"/>
      <c r="C394" s="116"/>
      <c r="D394" s="240"/>
      <c r="E394" s="1353"/>
      <c r="F394" s="254" t="s">
        <v>323</v>
      </c>
      <c r="G394" s="254" t="s">
        <v>338</v>
      </c>
      <c r="H394" s="577">
        <f>Speed!AX122</f>
        <v>46.99999421510455</v>
      </c>
      <c r="I394" s="577">
        <f>Speed!AY122</f>
        <v>46.99999421510455</v>
      </c>
      <c r="J394" s="577">
        <f>Speed!AZ122</f>
        <v>46.9999923749846</v>
      </c>
      <c r="K394" s="577">
        <f>Speed!BA122</f>
        <v>46.999988840570389</v>
      </c>
      <c r="L394" s="577">
        <f>Speed!BB122</f>
        <v>46.999981394155355</v>
      </c>
      <c r="M394" s="577">
        <f>Speed!BC122</f>
        <v>46.999969734796231</v>
      </c>
      <c r="N394" s="577">
        <f>Speed!BD122</f>
        <v>46.999951870049891</v>
      </c>
      <c r="O394" s="577">
        <f>Speed!BE122</f>
        <v>46.999925029225203</v>
      </c>
      <c r="P394" s="577">
        <f>Speed!BF122</f>
        <v>46.999885357994067</v>
      </c>
      <c r="Q394" s="577">
        <f>Speed!BG122</f>
        <v>46.999827048762654</v>
      </c>
      <c r="R394" s="577">
        <f>Speed!BH122</f>
        <v>46.999743256883484</v>
      </c>
      <c r="S394" s="577">
        <f>Speed!BI122</f>
        <v>46.999624603654084</v>
      </c>
      <c r="T394" s="577">
        <f>Speed!BJ122</f>
        <v>46.999458678634817</v>
      </c>
      <c r="U394" s="577">
        <f>Speed!BK122</f>
        <v>46.999229228427964</v>
      </c>
      <c r="V394" s="577">
        <f>Speed!BL122</f>
        <v>46.999015234205181</v>
      </c>
      <c r="W394" s="577">
        <f>Speed!BM122</f>
        <v>46.998837245593748</v>
      </c>
      <c r="X394" s="577">
        <f>Speed!BN122</f>
        <v>46.998630810765583</v>
      </c>
      <c r="Y394" s="577">
        <f>Speed!BO122</f>
        <v>46.998391958352798</v>
      </c>
      <c r="Z394" s="577">
        <f>Speed!BP122</f>
        <v>46.998116099346127</v>
      </c>
      <c r="AA394" s="577">
        <f>Speed!BQ122</f>
        <v>46.997798520996518</v>
      </c>
      <c r="AB394" s="577">
        <f>Speed!BR122</f>
        <v>46.997433364432972</v>
      </c>
      <c r="AC394" s="577">
        <f>Speed!BS122</f>
        <v>46.997014790196872</v>
      </c>
      <c r="AD394" s="577">
        <f>Speed!BT122</f>
        <v>46.99653575687546</v>
      </c>
      <c r="AE394" s="577">
        <f>Speed!BU122</f>
        <v>46.99598834666201</v>
      </c>
      <c r="AF394" s="577">
        <f>Speed!BV122</f>
        <v>46.995364606057848</v>
      </c>
      <c r="AG394" s="725">
        <f>Speed!BW122</f>
        <v>46.99465491261757</v>
      </c>
      <c r="AH394" s="18"/>
      <c r="AI394" s="18"/>
      <c r="AJ394" s="18"/>
      <c r="AK394" s="18"/>
      <c r="AL394" s="18"/>
      <c r="AM394" s="18"/>
      <c r="AN394" s="18"/>
    </row>
    <row r="395" spans="2:40" ht="21.95" customHeight="1" x14ac:dyDescent="0.2">
      <c r="B395" s="182"/>
      <c r="C395" s="116"/>
      <c r="D395" s="240"/>
      <c r="E395" s="116" t="s">
        <v>339</v>
      </c>
      <c r="F395" s="116" t="s">
        <v>335</v>
      </c>
      <c r="G395" s="116" t="s">
        <v>323</v>
      </c>
      <c r="H395" s="577">
        <f>Speed!AX123</f>
        <v>43.2</v>
      </c>
      <c r="I395" s="577">
        <f>Speed!AY123</f>
        <v>43.2</v>
      </c>
      <c r="J395" s="577">
        <f>Speed!AZ123</f>
        <v>43.2</v>
      </c>
      <c r="K395" s="577">
        <f>Speed!BA123</f>
        <v>43.199999999999974</v>
      </c>
      <c r="L395" s="577">
        <f>Speed!BB123</f>
        <v>43.199999999873825</v>
      </c>
      <c r="M395" s="577">
        <f>Speed!BC123</f>
        <v>43.199999988794609</v>
      </c>
      <c r="N395" s="577">
        <f>Speed!BD123</f>
        <v>43.199999754708365</v>
      </c>
      <c r="O395" s="577">
        <f>Speed!BE123</f>
        <v>43.199997419021898</v>
      </c>
      <c r="P395" s="577">
        <f>Speed!BF123</f>
        <v>43.19998263899992</v>
      </c>
      <c r="Q395" s="577">
        <f>Speed!BG123</f>
        <v>43.199956005596093</v>
      </c>
      <c r="R395" s="577">
        <f>Speed!BH123</f>
        <v>43.199896966928101</v>
      </c>
      <c r="S395" s="577">
        <f>Speed!BI123</f>
        <v>43.19977430313395</v>
      </c>
      <c r="T395" s="577">
        <f>Speed!BJ123</f>
        <v>43.19953310978363</v>
      </c>
      <c r="U395" s="577">
        <f>Speed!BK123</f>
        <v>43.199079183736671</v>
      </c>
      <c r="V395" s="577">
        <f>Speed!BL123</f>
        <v>43.198845171743933</v>
      </c>
      <c r="W395" s="577">
        <f>Speed!BM123</f>
        <v>43.198684718930977</v>
      </c>
      <c r="X395" s="577">
        <f>Speed!BN123</f>
        <v>43.198504474390809</v>
      </c>
      <c r="Y395" s="577">
        <f>Speed!BO123</f>
        <v>43.198302297301147</v>
      </c>
      <c r="Z395" s="577">
        <f>Speed!BP123</f>
        <v>43.198074900560734</v>
      </c>
      <c r="AA395" s="577">
        <f>Speed!BQ123</f>
        <v>43.197821509175874</v>
      </c>
      <c r="AB395" s="577">
        <f>Speed!BR123</f>
        <v>43.197537306612446</v>
      </c>
      <c r="AC395" s="577">
        <f>Speed!BS123</f>
        <v>43.197221479630073</v>
      </c>
      <c r="AD395" s="577">
        <f>Speed!BT123</f>
        <v>43.196869659305271</v>
      </c>
      <c r="AE395" s="577">
        <f>Speed!BU123</f>
        <v>43.196476614848827</v>
      </c>
      <c r="AF395" s="577">
        <f>Speed!BV123</f>
        <v>43.196041515718015</v>
      </c>
      <c r="AG395" s="725">
        <f>Speed!BW123</f>
        <v>43.195558648944235</v>
      </c>
      <c r="AH395" s="18"/>
      <c r="AI395" s="18"/>
      <c r="AJ395" s="18"/>
      <c r="AK395" s="18"/>
      <c r="AL395" s="18"/>
      <c r="AM395" s="18"/>
      <c r="AN395" s="18"/>
    </row>
    <row r="396" spans="2:40" ht="21.95" customHeight="1" x14ac:dyDescent="0.2">
      <c r="B396" s="182"/>
      <c r="C396" s="116"/>
      <c r="D396" s="240"/>
      <c r="E396" s="1340" t="s">
        <v>323</v>
      </c>
      <c r="F396" s="220" t="s">
        <v>282</v>
      </c>
      <c r="G396" s="220" t="s">
        <v>339</v>
      </c>
      <c r="H396" s="577">
        <f>Speed!AX124</f>
        <v>41.1</v>
      </c>
      <c r="I396" s="577">
        <f>Speed!AY124</f>
        <v>41.1</v>
      </c>
      <c r="J396" s="577">
        <f>Speed!AZ124</f>
        <v>41.1</v>
      </c>
      <c r="K396" s="577">
        <f>Speed!BA124</f>
        <v>41.1</v>
      </c>
      <c r="L396" s="577">
        <f>Speed!BB124</f>
        <v>41.1</v>
      </c>
      <c r="M396" s="577">
        <f>Speed!BC124</f>
        <v>41.1</v>
      </c>
      <c r="N396" s="577">
        <f>Speed!BD124</f>
        <v>41.09999999999993</v>
      </c>
      <c r="O396" s="577">
        <f>Speed!BE124</f>
        <v>41.099999999999255</v>
      </c>
      <c r="P396" s="577">
        <f>Speed!BF124</f>
        <v>41.099999999995035</v>
      </c>
      <c r="Q396" s="577">
        <f>Speed!BG124</f>
        <v>41.099999999982678</v>
      </c>
      <c r="R396" s="577">
        <f>Speed!BH124</f>
        <v>41.099999999947428</v>
      </c>
      <c r="S396" s="577">
        <f>Speed!BI124</f>
        <v>41.099999999857225</v>
      </c>
      <c r="T396" s="577">
        <f>Speed!BJ124</f>
        <v>41.099999999645902</v>
      </c>
      <c r="U396" s="577">
        <f>Speed!BK124</f>
        <v>41.099999999184973</v>
      </c>
      <c r="V396" s="577">
        <f>Speed!BL124</f>
        <v>41.099999998797685</v>
      </c>
      <c r="W396" s="577">
        <f>Speed!BM124</f>
        <v>41.09999999866691</v>
      </c>
      <c r="X396" s="577">
        <f>Speed!BN124</f>
        <v>41.099999998523465</v>
      </c>
      <c r="Y396" s="577">
        <f>Speed!BO124</f>
        <v>41.099999998366279</v>
      </c>
      <c r="Z396" s="577">
        <f>Speed!BP124</f>
        <v>41.099999998193667</v>
      </c>
      <c r="AA396" s="577">
        <f>Speed!BQ124</f>
        <v>41.09999999800538</v>
      </c>
      <c r="AB396" s="577">
        <f>Speed!BR124</f>
        <v>41.099999997798982</v>
      </c>
      <c r="AC396" s="577">
        <f>Speed!BS124</f>
        <v>41.099999997574244</v>
      </c>
      <c r="AD396" s="577">
        <f>Speed!BT124</f>
        <v>41.099999997329064</v>
      </c>
      <c r="AE396" s="577">
        <f>Speed!BU124</f>
        <v>41.099999997060998</v>
      </c>
      <c r="AF396" s="577">
        <f>Speed!BV124</f>
        <v>41.099999996769824</v>
      </c>
      <c r="AG396" s="725">
        <f>Speed!BW124</f>
        <v>41.099999996452944</v>
      </c>
      <c r="AH396" s="18"/>
      <c r="AI396" s="18"/>
      <c r="AJ396" s="18"/>
      <c r="AK396" s="18"/>
      <c r="AL396" s="18"/>
      <c r="AM396" s="18"/>
      <c r="AN396" s="18"/>
    </row>
    <row r="397" spans="2:40" ht="21.95" customHeight="1" x14ac:dyDescent="0.2">
      <c r="B397" s="182"/>
      <c r="C397" s="116"/>
      <c r="D397" s="240"/>
      <c r="E397" s="1339"/>
      <c r="F397" s="116" t="s">
        <v>339</v>
      </c>
      <c r="G397" s="116" t="s">
        <v>288</v>
      </c>
      <c r="H397" s="577">
        <f>Speed!AX125</f>
        <v>41.1</v>
      </c>
      <c r="I397" s="577">
        <f>Speed!AY125</f>
        <v>41.1</v>
      </c>
      <c r="J397" s="577">
        <f>Speed!AZ125</f>
        <v>41.1</v>
      </c>
      <c r="K397" s="577">
        <f>Speed!BA125</f>
        <v>41.1</v>
      </c>
      <c r="L397" s="577">
        <f>Speed!BB125</f>
        <v>41.1</v>
      </c>
      <c r="M397" s="577">
        <f>Speed!BC125</f>
        <v>41.1</v>
      </c>
      <c r="N397" s="577">
        <f>Speed!BD125</f>
        <v>41.09999999999993</v>
      </c>
      <c r="O397" s="577">
        <f>Speed!BE125</f>
        <v>41.099999999999255</v>
      </c>
      <c r="P397" s="577">
        <f>Speed!BF125</f>
        <v>41.099999999995035</v>
      </c>
      <c r="Q397" s="577">
        <f>Speed!BG125</f>
        <v>41.099999999982678</v>
      </c>
      <c r="R397" s="577">
        <f>Speed!BH125</f>
        <v>41.099999999947428</v>
      </c>
      <c r="S397" s="577">
        <f>Speed!BI125</f>
        <v>41.099999999857225</v>
      </c>
      <c r="T397" s="577">
        <f>Speed!BJ125</f>
        <v>41.099999999645902</v>
      </c>
      <c r="U397" s="577">
        <f>Speed!BK125</f>
        <v>41.099999999184973</v>
      </c>
      <c r="V397" s="577">
        <f>Speed!BL125</f>
        <v>41.099999998797685</v>
      </c>
      <c r="W397" s="577">
        <f>Speed!BM125</f>
        <v>41.09999999866691</v>
      </c>
      <c r="X397" s="577">
        <f>Speed!BN125</f>
        <v>41.099999998523465</v>
      </c>
      <c r="Y397" s="577">
        <f>Speed!BO125</f>
        <v>41.099999998366279</v>
      </c>
      <c r="Z397" s="577">
        <f>Speed!BP125</f>
        <v>41.099999998193667</v>
      </c>
      <c r="AA397" s="577">
        <f>Speed!BQ125</f>
        <v>41.09999999800538</v>
      </c>
      <c r="AB397" s="577">
        <f>Speed!BR125</f>
        <v>41.099999997798982</v>
      </c>
      <c r="AC397" s="577">
        <f>Speed!BS125</f>
        <v>41.099999997574244</v>
      </c>
      <c r="AD397" s="577">
        <f>Speed!BT125</f>
        <v>41.099999997329064</v>
      </c>
      <c r="AE397" s="577">
        <f>Speed!BU125</f>
        <v>41.099999997060998</v>
      </c>
      <c r="AF397" s="577">
        <f>Speed!BV125</f>
        <v>41.099999996769824</v>
      </c>
      <c r="AG397" s="725">
        <f>Speed!BW125</f>
        <v>41.099999996452944</v>
      </c>
      <c r="AH397" s="18"/>
      <c r="AI397" s="18"/>
      <c r="AJ397" s="18"/>
      <c r="AK397" s="18"/>
      <c r="AL397" s="18"/>
      <c r="AM397" s="18"/>
      <c r="AN397" s="18"/>
    </row>
    <row r="398" spans="2:40" ht="21.95" customHeight="1" x14ac:dyDescent="0.2">
      <c r="B398" s="182"/>
      <c r="C398" s="116"/>
      <c r="D398" s="240"/>
      <c r="E398" s="1339"/>
      <c r="F398" s="116" t="s">
        <v>288</v>
      </c>
      <c r="G398" s="116" t="s">
        <v>340</v>
      </c>
      <c r="H398" s="577">
        <f>Speed!AX126</f>
        <v>41.1</v>
      </c>
      <c r="I398" s="577">
        <f>Speed!AY126</f>
        <v>41.1</v>
      </c>
      <c r="J398" s="577">
        <f>Speed!AZ126</f>
        <v>41.1</v>
      </c>
      <c r="K398" s="577">
        <f>Speed!BA126</f>
        <v>41.1</v>
      </c>
      <c r="L398" s="577">
        <f>Speed!BB126</f>
        <v>41.1</v>
      </c>
      <c r="M398" s="577">
        <f>Speed!BC126</f>
        <v>41.1</v>
      </c>
      <c r="N398" s="577">
        <f>Speed!BD126</f>
        <v>41.09999999999993</v>
      </c>
      <c r="O398" s="577">
        <f>Speed!BE126</f>
        <v>41.099999999999255</v>
      </c>
      <c r="P398" s="577">
        <f>Speed!BF126</f>
        <v>41.099999999995035</v>
      </c>
      <c r="Q398" s="577">
        <f>Speed!BG126</f>
        <v>41.099999999982678</v>
      </c>
      <c r="R398" s="577">
        <f>Speed!BH126</f>
        <v>41.099999999947428</v>
      </c>
      <c r="S398" s="577">
        <f>Speed!BI126</f>
        <v>41.099999999857225</v>
      </c>
      <c r="T398" s="577">
        <f>Speed!BJ126</f>
        <v>41.099999999645902</v>
      </c>
      <c r="U398" s="577">
        <f>Speed!BK126</f>
        <v>41.099999999184973</v>
      </c>
      <c r="V398" s="577">
        <f>Speed!BL126</f>
        <v>41.099999998797685</v>
      </c>
      <c r="W398" s="577">
        <f>Speed!BM126</f>
        <v>41.09999999866691</v>
      </c>
      <c r="X398" s="577">
        <f>Speed!BN126</f>
        <v>41.099999998523465</v>
      </c>
      <c r="Y398" s="577">
        <f>Speed!BO126</f>
        <v>41.099999998366279</v>
      </c>
      <c r="Z398" s="577">
        <f>Speed!BP126</f>
        <v>41.099999998193667</v>
      </c>
      <c r="AA398" s="577">
        <f>Speed!BQ126</f>
        <v>41.09999999800538</v>
      </c>
      <c r="AB398" s="577">
        <f>Speed!BR126</f>
        <v>41.099999997798982</v>
      </c>
      <c r="AC398" s="577">
        <f>Speed!BS126</f>
        <v>41.099999997574244</v>
      </c>
      <c r="AD398" s="577">
        <f>Speed!BT126</f>
        <v>41.099999997329064</v>
      </c>
      <c r="AE398" s="577">
        <f>Speed!BU126</f>
        <v>41.099999997060998</v>
      </c>
      <c r="AF398" s="577">
        <f>Speed!BV126</f>
        <v>41.099999996769824</v>
      </c>
      <c r="AG398" s="725">
        <f>Speed!BW126</f>
        <v>41.099999996452944</v>
      </c>
      <c r="AH398" s="18"/>
      <c r="AI398" s="18"/>
      <c r="AJ398" s="18"/>
      <c r="AK398" s="18"/>
      <c r="AL398" s="18"/>
      <c r="AM398" s="18"/>
      <c r="AN398" s="18"/>
    </row>
    <row r="399" spans="2:40" ht="21.95" customHeight="1" x14ac:dyDescent="0.2">
      <c r="B399" s="182"/>
      <c r="C399" s="116"/>
      <c r="D399" s="240"/>
      <c r="E399" s="1353"/>
      <c r="F399" s="254" t="s">
        <v>340</v>
      </c>
      <c r="G399" s="254" t="s">
        <v>280</v>
      </c>
      <c r="H399" s="577">
        <f>Speed!AX127</f>
        <v>41.1</v>
      </c>
      <c r="I399" s="577">
        <f>Speed!AY127</f>
        <v>41.1</v>
      </c>
      <c r="J399" s="577">
        <f>Speed!AZ127</f>
        <v>41.1</v>
      </c>
      <c r="K399" s="577">
        <f>Speed!BA127</f>
        <v>41.1</v>
      </c>
      <c r="L399" s="577">
        <f>Speed!BB127</f>
        <v>41.1</v>
      </c>
      <c r="M399" s="577">
        <f>Speed!BC127</f>
        <v>41.1</v>
      </c>
      <c r="N399" s="577">
        <f>Speed!BD127</f>
        <v>41.1</v>
      </c>
      <c r="O399" s="577">
        <f>Speed!BE127</f>
        <v>41.1</v>
      </c>
      <c r="P399" s="577">
        <f>Speed!BF127</f>
        <v>41.1</v>
      </c>
      <c r="Q399" s="577">
        <f>Speed!BG127</f>
        <v>41.099999999999966</v>
      </c>
      <c r="R399" s="577">
        <f>Speed!BH127</f>
        <v>41.099999999999611</v>
      </c>
      <c r="S399" s="577">
        <f>Speed!BI127</f>
        <v>41.09999999999706</v>
      </c>
      <c r="T399" s="577">
        <f>Speed!BJ127</f>
        <v>41.099999999984384</v>
      </c>
      <c r="U399" s="577">
        <f>Speed!BK127</f>
        <v>41.099999999934703</v>
      </c>
      <c r="V399" s="577">
        <f>Speed!BL127</f>
        <v>41.099999999828142</v>
      </c>
      <c r="W399" s="577">
        <f>Speed!BM127</f>
        <v>41.099999999800197</v>
      </c>
      <c r="X399" s="577">
        <f>Speed!BN127</f>
        <v>41.099999999768229</v>
      </c>
      <c r="Y399" s="577">
        <f>Speed!BO127</f>
        <v>41.099999999731715</v>
      </c>
      <c r="Z399" s="577">
        <f>Speed!BP127</f>
        <v>41.099999999690255</v>
      </c>
      <c r="AA399" s="577">
        <f>Speed!BQ127</f>
        <v>41.099999999642947</v>
      </c>
      <c r="AB399" s="577">
        <f>Speed!BR127</f>
        <v>41.099999999589414</v>
      </c>
      <c r="AC399" s="577">
        <f>Speed!BS127</f>
        <v>41.099999999528571</v>
      </c>
      <c r="AD399" s="577">
        <f>Speed!BT127</f>
        <v>41.099999999459719</v>
      </c>
      <c r="AE399" s="577">
        <f>Speed!BU127</f>
        <v>41.099999999382206</v>
      </c>
      <c r="AF399" s="577">
        <f>Speed!BV127</f>
        <v>41.099999999294532</v>
      </c>
      <c r="AG399" s="725">
        <f>Speed!BW127</f>
        <v>41.099999999195823</v>
      </c>
      <c r="AH399" s="18"/>
      <c r="AI399" s="18"/>
      <c r="AJ399" s="18"/>
      <c r="AK399" s="18"/>
      <c r="AL399" s="18"/>
      <c r="AM399" s="18"/>
      <c r="AN399" s="18"/>
    </row>
    <row r="400" spans="2:40" ht="21.95" customHeight="1" x14ac:dyDescent="0.2">
      <c r="B400" s="182"/>
      <c r="C400" s="116"/>
      <c r="D400" s="240"/>
      <c r="E400" s="1340" t="s">
        <v>334</v>
      </c>
      <c r="F400" s="116" t="s">
        <v>336</v>
      </c>
      <c r="G400" s="116" t="s">
        <v>337</v>
      </c>
      <c r="H400" s="577">
        <f>Speed!AX128</f>
        <v>50.899999994148452</v>
      </c>
      <c r="I400" s="577">
        <f>Speed!AY128</f>
        <v>50.899999994148452</v>
      </c>
      <c r="J400" s="577">
        <f>Speed!AZ128</f>
        <v>50.899999992309866</v>
      </c>
      <c r="K400" s="577">
        <f>Speed!BA128</f>
        <v>50.899999988227918</v>
      </c>
      <c r="L400" s="577">
        <f>Speed!BB128</f>
        <v>50.899999979006843</v>
      </c>
      <c r="M400" s="577">
        <f>Speed!BC128</f>
        <v>50.899999963720219</v>
      </c>
      <c r="N400" s="577">
        <f>Speed!BD128</f>
        <v>50.89999993905851</v>
      </c>
      <c r="O400" s="577">
        <f>Speed!BE128</f>
        <v>50.899999900236658</v>
      </c>
      <c r="P400" s="577">
        <f>Speed!BF128</f>
        <v>50.899999840356841</v>
      </c>
      <c r="Q400" s="577">
        <f>Speed!BG128</f>
        <v>50.899999761684938</v>
      </c>
      <c r="R400" s="577">
        <f>Speed!BH128</f>
        <v>50.899999649651292</v>
      </c>
      <c r="S400" s="577">
        <f>Speed!BI128</f>
        <v>50.89999949232017</v>
      </c>
      <c r="T400" s="577">
        <f>Speed!BJ128</f>
        <v>50.899999274032403</v>
      </c>
      <c r="U400" s="577">
        <f>Speed!BK128</f>
        <v>50.899998974280656</v>
      </c>
      <c r="V400" s="577">
        <f>Speed!BL128</f>
        <v>50.89999871875532</v>
      </c>
      <c r="W400" s="577">
        <f>Speed!BM128</f>
        <v>50.899998495980775</v>
      </c>
      <c r="X400" s="577">
        <f>Speed!BN128</f>
        <v>50.89999823893173</v>
      </c>
      <c r="Y400" s="577">
        <f>Speed!BO128</f>
        <v>50.899997942998453</v>
      </c>
      <c r="Z400" s="577">
        <f>Speed!BP128</f>
        <v>50.899997602802998</v>
      </c>
      <c r="AA400" s="577">
        <f>Speed!BQ128</f>
        <v>50.899997213051321</v>
      </c>
      <c r="AB400" s="577">
        <f>Speed!BR128</f>
        <v>50.899996766860383</v>
      </c>
      <c r="AC400" s="577">
        <f>Speed!BS128</f>
        <v>50.899996257726706</v>
      </c>
      <c r="AD400" s="577">
        <f>Speed!BT128</f>
        <v>50.899995677538541</v>
      </c>
      <c r="AE400" s="577">
        <f>Speed!BU128</f>
        <v>50.899995017160975</v>
      </c>
      <c r="AF400" s="577">
        <f>Speed!BV128</f>
        <v>50.899994267843233</v>
      </c>
      <c r="AG400" s="725">
        <f>Speed!BW128</f>
        <v>50.899993418593958</v>
      </c>
      <c r="AH400" s="18"/>
      <c r="AI400" s="18"/>
      <c r="AJ400" s="18"/>
      <c r="AK400" s="18"/>
      <c r="AL400" s="18"/>
      <c r="AM400" s="18"/>
      <c r="AN400" s="18"/>
    </row>
    <row r="401" spans="2:40" ht="21.95" customHeight="1" x14ac:dyDescent="0.2">
      <c r="B401" s="182"/>
      <c r="C401" s="116"/>
      <c r="D401" s="240"/>
      <c r="E401" s="1339"/>
      <c r="F401" s="116" t="s">
        <v>337</v>
      </c>
      <c r="G401" s="116" t="s">
        <v>386</v>
      </c>
      <c r="H401" s="577">
        <f>Speed!AX129</f>
        <v>48.399999872272446</v>
      </c>
      <c r="I401" s="577">
        <f>Speed!AY129</f>
        <v>48.399999872272446</v>
      </c>
      <c r="J401" s="577">
        <f>Speed!AZ129</f>
        <v>48.399999869694788</v>
      </c>
      <c r="K401" s="577">
        <f>Speed!BA129</f>
        <v>48.399999867070392</v>
      </c>
      <c r="L401" s="577">
        <f>Speed!BB129</f>
        <v>48.399999864398538</v>
      </c>
      <c r="M401" s="577">
        <f>Speed!BC129</f>
        <v>48.399999861678431</v>
      </c>
      <c r="N401" s="577">
        <f>Speed!BD129</f>
        <v>48.399999858909325</v>
      </c>
      <c r="O401" s="577">
        <f>Speed!BE129</f>
        <v>48.399999856090417</v>
      </c>
      <c r="P401" s="577">
        <f>Speed!BF129</f>
        <v>48.399999853220926</v>
      </c>
      <c r="Q401" s="577">
        <f>Speed!BG129</f>
        <v>48.399999850300055</v>
      </c>
      <c r="R401" s="577">
        <f>Speed!BH129</f>
        <v>48.399999850300055</v>
      </c>
      <c r="S401" s="577">
        <f>Speed!BI129</f>
        <v>48.399999810941111</v>
      </c>
      <c r="T401" s="577">
        <f>Speed!BJ129</f>
        <v>48.39999975692335</v>
      </c>
      <c r="U401" s="577">
        <f>Speed!BK129</f>
        <v>48.399999689344902</v>
      </c>
      <c r="V401" s="577">
        <f>Speed!BL129</f>
        <v>48.39999962303694</v>
      </c>
      <c r="W401" s="577">
        <f>Speed!BM129</f>
        <v>48.399999559355997</v>
      </c>
      <c r="X401" s="577">
        <f>Speed!BN129</f>
        <v>48.399999486151543</v>
      </c>
      <c r="Y401" s="577">
        <f>Speed!BO129</f>
        <v>48.399999402177976</v>
      </c>
      <c r="Z401" s="577">
        <f>Speed!BP129</f>
        <v>48.399999306025421</v>
      </c>
      <c r="AA401" s="577">
        <f>Speed!BQ129</f>
        <v>48.399999196198912</v>
      </c>
      <c r="AB401" s="577">
        <f>Speed!BR129</f>
        <v>48.399999070938769</v>
      </c>
      <c r="AC401" s="577">
        <f>Speed!BS129</f>
        <v>48.399998928411996</v>
      </c>
      <c r="AD401" s="577">
        <f>Speed!BT129</f>
        <v>48.399998766500048</v>
      </c>
      <c r="AE401" s="577">
        <f>Speed!BU129</f>
        <v>48.399998582848127</v>
      </c>
      <c r="AF401" s="577">
        <f>Speed!BV129</f>
        <v>48.399998374994979</v>
      </c>
      <c r="AG401" s="725">
        <f>Speed!BW129</f>
        <v>48.399998140096095</v>
      </c>
      <c r="AH401" s="18"/>
      <c r="AI401" s="18"/>
      <c r="AJ401" s="18"/>
      <c r="AK401" s="18"/>
      <c r="AL401" s="18"/>
      <c r="AM401" s="18"/>
      <c r="AN401" s="18"/>
    </row>
    <row r="402" spans="2:40" ht="21.95" customHeight="1" x14ac:dyDescent="0.2">
      <c r="B402" s="182"/>
      <c r="C402" s="116"/>
      <c r="D402" s="240"/>
      <c r="E402" s="1339"/>
      <c r="F402" s="116" t="s">
        <v>342</v>
      </c>
      <c r="G402" s="116" t="s">
        <v>341</v>
      </c>
      <c r="H402" s="577">
        <f>Speed!AX130</f>
        <v>43.399999808709723</v>
      </c>
      <c r="I402" s="577">
        <f>Speed!AY130</f>
        <v>43.399999808709723</v>
      </c>
      <c r="J402" s="577">
        <f>Speed!AZ130</f>
        <v>43.399999804849301</v>
      </c>
      <c r="K402" s="577">
        <f>Speed!BA130</f>
        <v>43.399999800918906</v>
      </c>
      <c r="L402" s="577">
        <f>Speed!BB130</f>
        <v>43.399999796917406</v>
      </c>
      <c r="M402" s="577">
        <f>Speed!BC130</f>
        <v>43.399999792843666</v>
      </c>
      <c r="N402" s="577">
        <f>Speed!BD130</f>
        <v>43.399999788696526</v>
      </c>
      <c r="O402" s="577">
        <f>Speed!BE130</f>
        <v>43.399999784474815</v>
      </c>
      <c r="P402" s="577">
        <f>Speed!BF130</f>
        <v>43.399999780177353</v>
      </c>
      <c r="Q402" s="577">
        <f>Speed!BG130</f>
        <v>43.399999775802911</v>
      </c>
      <c r="R402" s="577">
        <f>Speed!BH130</f>
        <v>43.399999775802911</v>
      </c>
      <c r="S402" s="577">
        <f>Speed!BI130</f>
        <v>43.399999716857273</v>
      </c>
      <c r="T402" s="577">
        <f>Speed!BJ130</f>
        <v>43.399999635957947</v>
      </c>
      <c r="U402" s="577">
        <f>Speed!BK130</f>
        <v>43.399999534749547</v>
      </c>
      <c r="V402" s="577">
        <f>Speed!BL130</f>
        <v>43.399999435443902</v>
      </c>
      <c r="W402" s="577">
        <f>Speed!BM130</f>
        <v>43.399999340072576</v>
      </c>
      <c r="X402" s="577">
        <f>Speed!BN130</f>
        <v>43.399999230438439</v>
      </c>
      <c r="Y402" s="577">
        <f>Speed!BO130</f>
        <v>43.399999104676013</v>
      </c>
      <c r="Z402" s="577">
        <f>Speed!BP130</f>
        <v>43.399998960673813</v>
      </c>
      <c r="AA402" s="577">
        <f>Speed!BQ130</f>
        <v>43.399998796192904</v>
      </c>
      <c r="AB402" s="577">
        <f>Speed!BR130</f>
        <v>43.399998608597912</v>
      </c>
      <c r="AC402" s="577">
        <f>Speed!BS130</f>
        <v>43.399998395143697</v>
      </c>
      <c r="AD402" s="577">
        <f>Speed!BT130</f>
        <v>43.399998152657403</v>
      </c>
      <c r="AE402" s="577">
        <f>Speed!BU130</f>
        <v>43.399997877612392</v>
      </c>
      <c r="AF402" s="577">
        <f>Speed!BV130</f>
        <v>43.39999756632259</v>
      </c>
      <c r="AG402" s="725">
        <f>Speed!BW130</f>
        <v>43.399997214527922</v>
      </c>
      <c r="AH402" s="18"/>
      <c r="AI402" s="18"/>
      <c r="AJ402" s="18"/>
      <c r="AK402" s="18"/>
      <c r="AL402" s="18"/>
      <c r="AM402" s="18"/>
      <c r="AN402" s="18"/>
    </row>
    <row r="403" spans="2:40" ht="21.95" customHeight="1" x14ac:dyDescent="0.2">
      <c r="B403" s="182"/>
      <c r="C403" s="116"/>
      <c r="D403" s="240"/>
      <c r="E403" s="1339"/>
      <c r="F403" s="116" t="s">
        <v>341</v>
      </c>
      <c r="G403" s="116" t="s">
        <v>344</v>
      </c>
      <c r="H403" s="577">
        <f>Speed!AX131</f>
        <v>46.59999890831903</v>
      </c>
      <c r="I403" s="577">
        <f>Speed!AY131</f>
        <v>46.59999890831903</v>
      </c>
      <c r="J403" s="577">
        <f>Speed!AZ131</f>
        <v>46.59999888628785</v>
      </c>
      <c r="K403" s="577">
        <f>Speed!BA131</f>
        <v>46.599998863857344</v>
      </c>
      <c r="L403" s="577">
        <f>Speed!BB131</f>
        <v>46.599998841021055</v>
      </c>
      <c r="M403" s="577">
        <f>Speed!BC131</f>
        <v>46.599998817772494</v>
      </c>
      <c r="N403" s="577">
        <f>Speed!BD131</f>
        <v>46.599998794105048</v>
      </c>
      <c r="O403" s="577">
        <f>Speed!BE131</f>
        <v>46.599998770012036</v>
      </c>
      <c r="P403" s="577">
        <f>Speed!BF131</f>
        <v>46.599998745486644</v>
      </c>
      <c r="Q403" s="577">
        <f>Speed!BG131</f>
        <v>46.599998720522017</v>
      </c>
      <c r="R403" s="577">
        <f>Speed!BH131</f>
        <v>46.599998720522017</v>
      </c>
      <c r="S403" s="577">
        <f>Speed!BI131</f>
        <v>46.599998658837286</v>
      </c>
      <c r="T403" s="577">
        <f>Speed!BJ131</f>
        <v>46.59999841865681</v>
      </c>
      <c r="U403" s="577">
        <f>Speed!BK131</f>
        <v>46.599998148040491</v>
      </c>
      <c r="V403" s="577">
        <f>Speed!BL131</f>
        <v>46.599997942273198</v>
      </c>
      <c r="W403" s="577">
        <f>Speed!BM131</f>
        <v>46.599997799240555</v>
      </c>
      <c r="X403" s="577">
        <f>Speed!BN131</f>
        <v>46.599997433627081</v>
      </c>
      <c r="Y403" s="577">
        <f>Speed!BO131</f>
        <v>46.599997014228173</v>
      </c>
      <c r="Z403" s="577">
        <f>Speed!BP131</f>
        <v>46.599996534002365</v>
      </c>
      <c r="AA403" s="577">
        <f>Speed!BQ131</f>
        <v>46.59999598548314</v>
      </c>
      <c r="AB403" s="577">
        <f>Speed!BR131</f>
        <v>46.599995359881909</v>
      </c>
      <c r="AC403" s="577">
        <f>Speed!BS131</f>
        <v>46.599994648044039</v>
      </c>
      <c r="AD403" s="577">
        <f>Speed!BT131</f>
        <v>46.599993839388546</v>
      </c>
      <c r="AE403" s="577">
        <f>Speed!BU131</f>
        <v>46.599992922154627</v>
      </c>
      <c r="AF403" s="577">
        <f>Speed!BV131</f>
        <v>46.599991884049786</v>
      </c>
      <c r="AG403" s="725">
        <f>Speed!BW131</f>
        <v>46.599990710867353</v>
      </c>
      <c r="AH403" s="18"/>
      <c r="AI403" s="18"/>
      <c r="AJ403" s="18"/>
      <c r="AK403" s="18"/>
      <c r="AL403" s="18"/>
      <c r="AM403" s="18"/>
      <c r="AN403" s="18"/>
    </row>
    <row r="404" spans="2:40" ht="21.95" customHeight="1" x14ac:dyDescent="0.2">
      <c r="B404" s="182"/>
      <c r="C404" s="116"/>
      <c r="D404" s="240"/>
      <c r="E404" s="1339"/>
      <c r="F404" s="116" t="s">
        <v>344</v>
      </c>
      <c r="G404" s="116" t="s">
        <v>345</v>
      </c>
      <c r="H404" s="577">
        <f>Speed!AX132</f>
        <v>56.59999951261819</v>
      </c>
      <c r="I404" s="577">
        <f>Speed!AY132</f>
        <v>56.59999951261819</v>
      </c>
      <c r="J404" s="577">
        <f>Speed!AZ132</f>
        <v>56.599999502782346</v>
      </c>
      <c r="K404" s="577">
        <f>Speed!BA132</f>
        <v>56.599999492768227</v>
      </c>
      <c r="L404" s="577">
        <f>Speed!BB132</f>
        <v>56.599999482572947</v>
      </c>
      <c r="M404" s="577">
        <f>Speed!BC132</f>
        <v>56.599999472193616</v>
      </c>
      <c r="N404" s="577">
        <f>Speed!BD132</f>
        <v>56.599999461627263</v>
      </c>
      <c r="O404" s="577">
        <f>Speed!BE132</f>
        <v>56.599999450870911</v>
      </c>
      <c r="P404" s="577">
        <f>Speed!BF132</f>
        <v>56.599999439921532</v>
      </c>
      <c r="Q404" s="577">
        <f>Speed!BG132</f>
        <v>56.599999428776059</v>
      </c>
      <c r="R404" s="577">
        <f>Speed!BH132</f>
        <v>56.599999428776059</v>
      </c>
      <c r="S404" s="577">
        <f>Speed!BI132</f>
        <v>56.599999401236857</v>
      </c>
      <c r="T404" s="577">
        <f>Speed!BJ132</f>
        <v>56.599999294008107</v>
      </c>
      <c r="U404" s="577">
        <f>Speed!BK132</f>
        <v>56.599999173191229</v>
      </c>
      <c r="V404" s="577">
        <f>Speed!BL132</f>
        <v>56.599999081326267</v>
      </c>
      <c r="W404" s="577">
        <f>Speed!BM132</f>
        <v>56.599999017469216</v>
      </c>
      <c r="X404" s="577">
        <f>Speed!BN132</f>
        <v>56.599998854240802</v>
      </c>
      <c r="Y404" s="577">
        <f>Speed!BO132</f>
        <v>56.599998666999817</v>
      </c>
      <c r="Z404" s="577">
        <f>Speed!BP132</f>
        <v>56.59999845260262</v>
      </c>
      <c r="AA404" s="577">
        <f>Speed!BQ132</f>
        <v>56.599998207715757</v>
      </c>
      <c r="AB404" s="577">
        <f>Speed!BR132</f>
        <v>56.599997928415576</v>
      </c>
      <c r="AC404" s="577">
        <f>Speed!BS132</f>
        <v>56.59999761061497</v>
      </c>
      <c r="AD404" s="577">
        <f>Speed!BT132</f>
        <v>56.599997249590047</v>
      </c>
      <c r="AE404" s="577">
        <f>Speed!BU132</f>
        <v>56.599996840090185</v>
      </c>
      <c r="AF404" s="577">
        <f>Speed!BV132</f>
        <v>56.599996376627381</v>
      </c>
      <c r="AG404" s="725">
        <f>Speed!BW132</f>
        <v>56.59999585285906</v>
      </c>
      <c r="AH404" s="18"/>
      <c r="AI404" s="18"/>
      <c r="AJ404" s="18"/>
      <c r="AK404" s="18"/>
      <c r="AL404" s="18"/>
      <c r="AM404" s="18"/>
      <c r="AN404" s="18"/>
    </row>
    <row r="405" spans="2:40" ht="21.95" customHeight="1" x14ac:dyDescent="0.2">
      <c r="B405" s="182"/>
      <c r="C405" s="116"/>
      <c r="D405" s="240"/>
      <c r="E405" s="1339"/>
      <c r="F405" s="116" t="s">
        <v>345</v>
      </c>
      <c r="G405" s="116" t="s">
        <v>323</v>
      </c>
      <c r="H405" s="577">
        <f>Speed!AX133</f>
        <v>69.099999497319118</v>
      </c>
      <c r="I405" s="577">
        <f>Speed!AY133</f>
        <v>69.099999497319118</v>
      </c>
      <c r="J405" s="577">
        <f>Speed!AZ133</f>
        <v>69.099999369247215</v>
      </c>
      <c r="K405" s="577">
        <f>Speed!BA133</f>
        <v>69.099999128796725</v>
      </c>
      <c r="L405" s="577">
        <f>Speed!BB133</f>
        <v>69.099998733612026</v>
      </c>
      <c r="M405" s="577">
        <f>Speed!BC133</f>
        <v>69.099998183660176</v>
      </c>
      <c r="N405" s="577">
        <f>Speed!BD133</f>
        <v>69.099997427308267</v>
      </c>
      <c r="O405" s="577">
        <f>Speed!BE133</f>
        <v>69.099996398854699</v>
      </c>
      <c r="P405" s="577">
        <f>Speed!BF133</f>
        <v>69.099995013278019</v>
      </c>
      <c r="Q405" s="577">
        <f>Speed!BG133</f>
        <v>69.099993455720465</v>
      </c>
      <c r="R405" s="577">
        <f>Speed!BH133</f>
        <v>69.099991473343863</v>
      </c>
      <c r="S405" s="577">
        <f>Speed!BI133</f>
        <v>69.099988965852148</v>
      </c>
      <c r="T405" s="577">
        <f>Speed!BJ133</f>
        <v>69.099985813184134</v>
      </c>
      <c r="U405" s="577">
        <f>Speed!BK133</f>
        <v>69.099981869066937</v>
      </c>
      <c r="V405" s="577">
        <f>Speed!BL133</f>
        <v>69.099977999100588</v>
      </c>
      <c r="W405" s="577">
        <f>Speed!BM133</f>
        <v>69.0999742824565</v>
      </c>
      <c r="X405" s="577">
        <f>Speed!BN133</f>
        <v>69.099970009987359</v>
      </c>
      <c r="Y405" s="577">
        <f>Speed!BO133</f>
        <v>69.099965108995406</v>
      </c>
      <c r="Z405" s="577">
        <f>Speed!BP133</f>
        <v>69.099959497196082</v>
      </c>
      <c r="AA405" s="577">
        <f>Speed!BQ133</f>
        <v>69.099953087337894</v>
      </c>
      <c r="AB405" s="577">
        <f>Speed!BR133</f>
        <v>69.099945776719935</v>
      </c>
      <c r="AC405" s="577">
        <f>Speed!BS133</f>
        <v>69.099937458363996</v>
      </c>
      <c r="AD405" s="577">
        <f>Speed!BT133</f>
        <v>69.099928008624133</v>
      </c>
      <c r="AE405" s="577">
        <f>Speed!BU133</f>
        <v>69.099917290067566</v>
      </c>
      <c r="AF405" s="577">
        <f>Speed!BV133</f>
        <v>69.099905159048305</v>
      </c>
      <c r="AG405" s="725">
        <f>Speed!BW133</f>
        <v>69.099891449552487</v>
      </c>
      <c r="AH405" s="18"/>
      <c r="AI405" s="18"/>
      <c r="AJ405" s="18"/>
      <c r="AK405" s="18"/>
      <c r="AL405" s="18"/>
      <c r="AM405" s="18"/>
      <c r="AN405" s="18"/>
    </row>
    <row r="406" spans="2:40" ht="21.95" customHeight="1" x14ac:dyDescent="0.2">
      <c r="B406" s="182"/>
      <c r="C406" s="116"/>
      <c r="D406" s="240"/>
      <c r="E406" s="1339"/>
      <c r="F406" s="116" t="s">
        <v>323</v>
      </c>
      <c r="G406" s="116" t="s">
        <v>347</v>
      </c>
      <c r="H406" s="577">
        <f>Speed!AX134</f>
        <v>69.099999497319118</v>
      </c>
      <c r="I406" s="577">
        <f>Speed!AY134</f>
        <v>69.099999497319118</v>
      </c>
      <c r="J406" s="577">
        <f>Speed!AZ134</f>
        <v>69.099999374523392</v>
      </c>
      <c r="K406" s="577">
        <f>Speed!BA134</f>
        <v>69.099999142873273</v>
      </c>
      <c r="L406" s="577">
        <f>Speed!BB134</f>
        <v>69.099998739003652</v>
      </c>
      <c r="M406" s="577">
        <f>Speed!BC134</f>
        <v>69.099998171070283</v>
      </c>
      <c r="N406" s="577">
        <f>Speed!BD134</f>
        <v>69.099997382532933</v>
      </c>
      <c r="O406" s="577">
        <f>Speed!BE134</f>
        <v>69.099996300512586</v>
      </c>
      <c r="P406" s="577">
        <f>Speed!BF134</f>
        <v>69.099994830436714</v>
      </c>
      <c r="Q406" s="577">
        <f>Speed!BG134</f>
        <v>69.099993103628066</v>
      </c>
      <c r="R406" s="577">
        <f>Speed!BH134</f>
        <v>69.09999087374652</v>
      </c>
      <c r="S406" s="577">
        <f>Speed!BI134</f>
        <v>69.099988015028288</v>
      </c>
      <c r="T406" s="577">
        <f>Speed!BJ134</f>
        <v>69.099984374209768</v>
      </c>
      <c r="U406" s="577">
        <f>Speed!BK134</f>
        <v>69.099979764162583</v>
      </c>
      <c r="V406" s="577">
        <f>Speed!BL134</f>
        <v>69.09997547269451</v>
      </c>
      <c r="W406" s="577">
        <f>Speed!BM134</f>
        <v>69.099971540917181</v>
      </c>
      <c r="X406" s="577">
        <f>Speed!BN134</f>
        <v>69.099967050717794</v>
      </c>
      <c r="Y406" s="577">
        <f>Speed!BO134</f>
        <v>69.099961932677303</v>
      </c>
      <c r="Z406" s="577">
        <f>Speed!BP134</f>
        <v>69.09995610893705</v>
      </c>
      <c r="AA406" s="577">
        <f>Speed!BQ134</f>
        <v>69.099949496401308</v>
      </c>
      <c r="AB406" s="577">
        <f>Speed!BR134</f>
        <v>69.099941999099869</v>
      </c>
      <c r="AC406" s="577">
        <f>Speed!BS134</f>
        <v>69.09993351603309</v>
      </c>
      <c r="AD406" s="577">
        <f>Speed!BT134</f>
        <v>69.09992393221377</v>
      </c>
      <c r="AE406" s="577">
        <f>Speed!BU134</f>
        <v>69.099913120608178</v>
      </c>
      <c r="AF406" s="577">
        <f>Speed!BV134</f>
        <v>69.099900947226971</v>
      </c>
      <c r="AG406" s="725">
        <f>Speed!BW134</f>
        <v>69.099887259656327</v>
      </c>
      <c r="AH406" s="18"/>
      <c r="AI406" s="18"/>
      <c r="AJ406" s="18"/>
      <c r="AK406" s="18"/>
      <c r="AL406" s="18"/>
      <c r="AM406" s="18"/>
      <c r="AN406" s="18"/>
    </row>
    <row r="407" spans="2:40" ht="21.95" customHeight="1" x14ac:dyDescent="0.2">
      <c r="B407" s="182"/>
      <c r="C407" s="116"/>
      <c r="D407" s="240"/>
      <c r="E407" s="1339"/>
      <c r="F407" s="116" t="s">
        <v>347</v>
      </c>
      <c r="G407" s="116" t="s">
        <v>348</v>
      </c>
      <c r="H407" s="577">
        <f>Speed!AX135</f>
        <v>59.099999329415759</v>
      </c>
      <c r="I407" s="577">
        <f>Speed!AY135</f>
        <v>59.099999329415759</v>
      </c>
      <c r="J407" s="577">
        <f>Speed!AZ135</f>
        <v>59.099999165604316</v>
      </c>
      <c r="K407" s="577">
        <f>Speed!BA135</f>
        <v>59.099998856579383</v>
      </c>
      <c r="L407" s="577">
        <f>Speed!BB135</f>
        <v>59.099998317810929</v>
      </c>
      <c r="M407" s="577">
        <f>Speed!BC135</f>
        <v>59.099997560178835</v>
      </c>
      <c r="N407" s="577">
        <f>Speed!BD135</f>
        <v>59.099996508257568</v>
      </c>
      <c r="O407" s="577">
        <f>Speed!BE135</f>
        <v>59.099995064825357</v>
      </c>
      <c r="P407" s="577">
        <f>Speed!BF135</f>
        <v>59.099993103721012</v>
      </c>
      <c r="Q407" s="577">
        <f>Speed!BG135</f>
        <v>59.099990800131145</v>
      </c>
      <c r="R407" s="577">
        <f>Speed!BH135</f>
        <v>59.099987825434241</v>
      </c>
      <c r="S407" s="577">
        <f>Speed!BI135</f>
        <v>59.099984011859483</v>
      </c>
      <c r="T407" s="577">
        <f>Speed!BJ135</f>
        <v>59.099979154951015</v>
      </c>
      <c r="U407" s="577">
        <f>Speed!BK135</f>
        <v>59.099973005076848</v>
      </c>
      <c r="V407" s="577">
        <f>Speed!BL135</f>
        <v>59.099967280192551</v>
      </c>
      <c r="W407" s="577">
        <f>Speed!BM135</f>
        <v>59.099962035141552</v>
      </c>
      <c r="X407" s="577">
        <f>Speed!BN135</f>
        <v>59.099956045147451</v>
      </c>
      <c r="Y407" s="577">
        <f>Speed!BO135</f>
        <v>59.099949217604305</v>
      </c>
      <c r="Z407" s="577">
        <f>Speed!BP135</f>
        <v>59.099941448647733</v>
      </c>
      <c r="AA407" s="577">
        <f>Speed!BQ135</f>
        <v>59.099932627427094</v>
      </c>
      <c r="AB407" s="577">
        <f>Speed!BR135</f>
        <v>59.099922625917017</v>
      </c>
      <c r="AC407" s="577">
        <f>Speed!BS135</f>
        <v>59.099911309382982</v>
      </c>
      <c r="AD407" s="577">
        <f>Speed!BT135</f>
        <v>59.099898524431012</v>
      </c>
      <c r="AE407" s="577">
        <f>Speed!BU135</f>
        <v>59.099884101596956</v>
      </c>
      <c r="AF407" s="577">
        <f>Speed!BV135</f>
        <v>59.09986786213809</v>
      </c>
      <c r="AG407" s="725">
        <f>Speed!BW135</f>
        <v>59.099849602733407</v>
      </c>
      <c r="AH407" s="18"/>
      <c r="AI407" s="18"/>
      <c r="AJ407" s="18"/>
      <c r="AK407" s="18"/>
      <c r="AL407" s="18"/>
      <c r="AM407" s="18"/>
      <c r="AN407" s="18"/>
    </row>
    <row r="408" spans="2:40" ht="21.95" customHeight="1" x14ac:dyDescent="0.2">
      <c r="B408" s="182"/>
      <c r="C408" s="116"/>
      <c r="D408" s="240"/>
      <c r="E408" s="1353"/>
      <c r="F408" s="254" t="s">
        <v>348</v>
      </c>
      <c r="G408" s="254" t="s">
        <v>349</v>
      </c>
      <c r="H408" s="577">
        <f>Speed!AX136</f>
        <v>59.099997450982599</v>
      </c>
      <c r="I408" s="577">
        <f>Speed!AY136</f>
        <v>59.099997450982599</v>
      </c>
      <c r="J408" s="577">
        <f>Speed!AZ136</f>
        <v>59.09999677233408</v>
      </c>
      <c r="K408" s="577">
        <f>Speed!BA136</f>
        <v>59.099995559904748</v>
      </c>
      <c r="L408" s="577">
        <f>Speed!BB136</f>
        <v>59.099993320197065</v>
      </c>
      <c r="M408" s="577">
        <f>Speed!BC136</f>
        <v>59.09999010942154</v>
      </c>
      <c r="N408" s="577">
        <f>Speed!BD136</f>
        <v>59.099985570453995</v>
      </c>
      <c r="O408" s="577">
        <f>Speed!BE136</f>
        <v>59.099979238532114</v>
      </c>
      <c r="P408" s="577">
        <f>Speed!BF136</f>
        <v>59.099970501421737</v>
      </c>
      <c r="Q408" s="577">
        <f>Speed!BG136</f>
        <v>59.099959209499573</v>
      </c>
      <c r="R408" s="577">
        <f>Speed!BH136</f>
        <v>59.09994416548831</v>
      </c>
      <c r="S408" s="577">
        <f>Speed!BI136</f>
        <v>59.099924300834715</v>
      </c>
      <c r="T408" s="577">
        <f>Speed!BJ136</f>
        <v>59.099898287463276</v>
      </c>
      <c r="U408" s="577">
        <f>Speed!BK136</f>
        <v>59.099864465464535</v>
      </c>
      <c r="V408" s="577">
        <f>Speed!BL136</f>
        <v>59.099833226124424</v>
      </c>
      <c r="W408" s="577">
        <f>Speed!BM136</f>
        <v>59.099805066932667</v>
      </c>
      <c r="X408" s="577">
        <f>Speed!BN136</f>
        <v>59.099772698626936</v>
      </c>
      <c r="Y408" s="577">
        <f>Speed!BO136</f>
        <v>59.099735570962729</v>
      </c>
      <c r="Z408" s="577">
        <f>Speed!BP136</f>
        <v>59.099693062844011</v>
      </c>
      <c r="AA408" s="577">
        <f>Speed!BQ136</f>
        <v>59.099644510824575</v>
      </c>
      <c r="AB408" s="577">
        <f>Speed!BR136</f>
        <v>59.099589141339081</v>
      </c>
      <c r="AC408" s="577">
        <f>Speed!BS136</f>
        <v>59.099526140789145</v>
      </c>
      <c r="AD408" s="577">
        <f>Speed!BT136</f>
        <v>59.099454575469693</v>
      </c>
      <c r="AE408" s="577">
        <f>Speed!BU136</f>
        <v>59.099373408681473</v>
      </c>
      <c r="AF408" s="577">
        <f>Speed!BV136</f>
        <v>59.099281547624898</v>
      </c>
      <c r="AG408" s="725">
        <f>Speed!BW136</f>
        <v>59.099177739097769</v>
      </c>
      <c r="AH408" s="18"/>
      <c r="AI408" s="18"/>
      <c r="AJ408" s="18"/>
      <c r="AK408" s="18"/>
      <c r="AL408" s="18"/>
      <c r="AM408" s="18"/>
      <c r="AN408" s="18"/>
    </row>
    <row r="409" spans="2:40" ht="21.95" customHeight="1" x14ac:dyDescent="0.2">
      <c r="B409" s="182"/>
      <c r="C409" s="116"/>
      <c r="D409" s="240"/>
      <c r="E409" s="116" t="s">
        <v>288</v>
      </c>
      <c r="F409" s="116" t="s">
        <v>323</v>
      </c>
      <c r="G409" s="116" t="s">
        <v>348</v>
      </c>
      <c r="H409" s="577">
        <f>Speed!AX137</f>
        <v>27.799999999974702</v>
      </c>
      <c r="I409" s="577">
        <f>Speed!AY137</f>
        <v>27.799999999974702</v>
      </c>
      <c r="J409" s="577">
        <f>Speed!AZ137</f>
        <v>27.799999999954053</v>
      </c>
      <c r="K409" s="577">
        <f>Speed!BA137</f>
        <v>27.799999999903836</v>
      </c>
      <c r="L409" s="577">
        <f>Speed!BB137</f>
        <v>27.799999999762516</v>
      </c>
      <c r="M409" s="577">
        <f>Speed!BC137</f>
        <v>27.79999999945575</v>
      </c>
      <c r="N409" s="577">
        <f>Speed!BD137</f>
        <v>27.799999998827627</v>
      </c>
      <c r="O409" s="577">
        <f>Speed!BE137</f>
        <v>27.799999997613096</v>
      </c>
      <c r="P409" s="577">
        <f>Speed!BF137</f>
        <v>27.799999995361233</v>
      </c>
      <c r="Q409" s="577">
        <f>Speed!BG137</f>
        <v>27.799999991800341</v>
      </c>
      <c r="R409" s="577">
        <f>Speed!BH137</f>
        <v>27.799999985950539</v>
      </c>
      <c r="S409" s="577">
        <f>Speed!BI137</f>
        <v>27.799999976570323</v>
      </c>
      <c r="T409" s="577">
        <f>Speed!BJ137</f>
        <v>27.799999961888776</v>
      </c>
      <c r="U409" s="577">
        <f>Speed!BK137</f>
        <v>27.799999939293752</v>
      </c>
      <c r="V409" s="577">
        <f>Speed!BL137</f>
        <v>27.799999916008534</v>
      </c>
      <c r="W409" s="577">
        <f>Speed!BM137</f>
        <v>27.799999890012025</v>
      </c>
      <c r="X409" s="577">
        <f>Speed!BN137</f>
        <v>27.799999856985512</v>
      </c>
      <c r="Y409" s="577">
        <f>Speed!BO137</f>
        <v>27.799999815287169</v>
      </c>
      <c r="Z409" s="577">
        <f>Speed!BP137</f>
        <v>27.799999762885626</v>
      </c>
      <c r="AA409" s="577">
        <f>Speed!BQ137</f>
        <v>27.799999697543697</v>
      </c>
      <c r="AB409" s="577">
        <f>Speed!BR137</f>
        <v>27.79999961620052</v>
      </c>
      <c r="AC409" s="577">
        <f>Speed!BS137</f>
        <v>27.799999515943021</v>
      </c>
      <c r="AD409" s="577">
        <f>Speed!BT137</f>
        <v>27.799999392701316</v>
      </c>
      <c r="AE409" s="577">
        <f>Speed!BU137</f>
        <v>27.79999924172516</v>
      </c>
      <c r="AF409" s="577">
        <f>Speed!BV137</f>
        <v>27.799999057990149</v>
      </c>
      <c r="AG409" s="725">
        <f>Speed!BW137</f>
        <v>27.799998835114856</v>
      </c>
      <c r="AH409" s="18"/>
      <c r="AI409" s="18"/>
      <c r="AJ409" s="18"/>
      <c r="AK409" s="18"/>
      <c r="AL409" s="18"/>
      <c r="AM409" s="18"/>
      <c r="AN409" s="18"/>
    </row>
    <row r="410" spans="2:40" ht="21.95" customHeight="1" x14ac:dyDescent="0.2">
      <c r="B410" s="182"/>
      <c r="C410" s="116"/>
      <c r="D410" s="240"/>
      <c r="E410" s="277" t="s">
        <v>340</v>
      </c>
      <c r="F410" s="277" t="s">
        <v>335</v>
      </c>
      <c r="G410" s="277" t="s">
        <v>323</v>
      </c>
      <c r="H410" s="577" t="e">
        <f>Speed!AX138</f>
        <v>#DIV/0!</v>
      </c>
      <c r="I410" s="577" t="e">
        <f>Speed!AY138</f>
        <v>#DIV/0!</v>
      </c>
      <c r="J410" s="577" t="e">
        <f>Speed!AZ138</f>
        <v>#DIV/0!</v>
      </c>
      <c r="K410" s="577" t="e">
        <f>Speed!BA138</f>
        <v>#DIV/0!</v>
      </c>
      <c r="L410" s="577" t="e">
        <f>Speed!BB138</f>
        <v>#DIV/0!</v>
      </c>
      <c r="M410" s="577" t="e">
        <f>Speed!BC138</f>
        <v>#DIV/0!</v>
      </c>
      <c r="N410" s="577" t="e">
        <f>Speed!BD138</f>
        <v>#DIV/0!</v>
      </c>
      <c r="O410" s="577" t="e">
        <f>Speed!BE138</f>
        <v>#DIV/0!</v>
      </c>
      <c r="P410" s="577" t="e">
        <f>Speed!BF138</f>
        <v>#DIV/0!</v>
      </c>
      <c r="Q410" s="577" t="e">
        <f>Speed!BG138</f>
        <v>#DIV/0!</v>
      </c>
      <c r="R410" s="577" t="e">
        <f>Speed!BH138</f>
        <v>#DIV/0!</v>
      </c>
      <c r="S410" s="577" t="e">
        <f>Speed!BI138</f>
        <v>#DIV/0!</v>
      </c>
      <c r="T410" s="577" t="e">
        <f>Speed!BJ138</f>
        <v>#DIV/0!</v>
      </c>
      <c r="U410" s="577" t="e">
        <f>Speed!BK138</f>
        <v>#DIV/0!</v>
      </c>
      <c r="V410" s="577" t="e">
        <f>Speed!BL138</f>
        <v>#DIV/0!</v>
      </c>
      <c r="W410" s="577" t="e">
        <f>Speed!BM138</f>
        <v>#DIV/0!</v>
      </c>
      <c r="X410" s="577" t="e">
        <f>Speed!BN138</f>
        <v>#DIV/0!</v>
      </c>
      <c r="Y410" s="577" t="e">
        <f>Speed!BO138</f>
        <v>#DIV/0!</v>
      </c>
      <c r="Z410" s="577" t="e">
        <f>Speed!BP138</f>
        <v>#DIV/0!</v>
      </c>
      <c r="AA410" s="577" t="e">
        <f>Speed!BQ138</f>
        <v>#DIV/0!</v>
      </c>
      <c r="AB410" s="577" t="e">
        <f>Speed!BR138</f>
        <v>#DIV/0!</v>
      </c>
      <c r="AC410" s="577" t="e">
        <f>Speed!BS138</f>
        <v>#DIV/0!</v>
      </c>
      <c r="AD410" s="577" t="e">
        <f>Speed!BT138</f>
        <v>#DIV/0!</v>
      </c>
      <c r="AE410" s="577" t="e">
        <f>Speed!BU138</f>
        <v>#DIV/0!</v>
      </c>
      <c r="AF410" s="577" t="e">
        <f>Speed!BV138</f>
        <v>#DIV/0!</v>
      </c>
      <c r="AG410" s="725" t="e">
        <f>Speed!BW138</f>
        <v>#DIV/0!</v>
      </c>
      <c r="AH410" s="18"/>
      <c r="AI410" s="18"/>
      <c r="AJ410" s="18"/>
      <c r="AK410" s="18"/>
      <c r="AL410" s="18"/>
      <c r="AM410" s="18"/>
      <c r="AN410" s="18"/>
    </row>
    <row r="411" spans="2:40" ht="21.95" customHeight="1" x14ac:dyDescent="0.2">
      <c r="B411" s="182"/>
      <c r="C411" s="116"/>
      <c r="D411" s="240"/>
      <c r="E411" s="277" t="s">
        <v>357</v>
      </c>
      <c r="F411" s="277" t="s">
        <v>338</v>
      </c>
      <c r="G411" s="277" t="s">
        <v>323</v>
      </c>
      <c r="H411" s="577">
        <f>Speed!AX139</f>
        <v>31.899999970276543</v>
      </c>
      <c r="I411" s="577">
        <f>Speed!AY139</f>
        <v>31.899999970276543</v>
      </c>
      <c r="J411" s="577">
        <f>Speed!AZ139</f>
        <v>31.899999965933727</v>
      </c>
      <c r="K411" s="577">
        <f>Speed!BA139</f>
        <v>31.899999957063251</v>
      </c>
      <c r="L411" s="577">
        <f>Speed!BB139</f>
        <v>31.899999941503655</v>
      </c>
      <c r="M411" s="577">
        <f>Speed!BC139</f>
        <v>31.899999921031441</v>
      </c>
      <c r="N411" s="577">
        <f>Speed!BD139</f>
        <v>31.89999989427854</v>
      </c>
      <c r="O411" s="577">
        <f>Speed!BE139</f>
        <v>31.899999859701655</v>
      </c>
      <c r="P411" s="577">
        <f>Speed!BF139</f>
        <v>31.899999815085007</v>
      </c>
      <c r="Q411" s="577">
        <f>Speed!BG139</f>
        <v>31.899999777037518</v>
      </c>
      <c r="R411" s="577">
        <f>Speed!BH139</f>
        <v>31.899999732077866</v>
      </c>
      <c r="S411" s="577">
        <f>Speed!BI139</f>
        <v>31.899999679110248</v>
      </c>
      <c r="T411" s="577">
        <f>Speed!BJ139</f>
        <v>31.899999616914211</v>
      </c>
      <c r="U411" s="577">
        <f>Speed!BK139</f>
        <v>31.899999543512052</v>
      </c>
      <c r="V411" s="577">
        <f>Speed!BL139</f>
        <v>31.899999493509537</v>
      </c>
      <c r="W411" s="577">
        <f>Speed!BM139</f>
        <v>31.899999438630484</v>
      </c>
      <c r="X411" s="577">
        <f>Speed!BN139</f>
        <v>31.899999378456616</v>
      </c>
      <c r="Y411" s="577">
        <f>Speed!BO139</f>
        <v>31.899999312538629</v>
      </c>
      <c r="Z411" s="577">
        <f>Speed!BP139</f>
        <v>31.899999239875214</v>
      </c>
      <c r="AA411" s="577">
        <f>Speed!BQ139</f>
        <v>31.899999160938641</v>
      </c>
      <c r="AB411" s="577">
        <f>Speed!BR139</f>
        <v>31.899999074353271</v>
      </c>
      <c r="AC411" s="577">
        <f>Speed!BS139</f>
        <v>31.899998980185782</v>
      </c>
      <c r="AD411" s="577">
        <f>Speed!BT139</f>
        <v>31.899998877482499</v>
      </c>
      <c r="AE411" s="577">
        <f>Speed!BU139</f>
        <v>31.899998764759058</v>
      </c>
      <c r="AF411" s="577">
        <f>Speed!BV139</f>
        <v>31.899998642823206</v>
      </c>
      <c r="AG411" s="725">
        <f>Speed!BW139</f>
        <v>31.899998510159186</v>
      </c>
      <c r="AH411" s="18"/>
      <c r="AI411" s="18"/>
      <c r="AJ411" s="18"/>
      <c r="AK411" s="18"/>
      <c r="AL411" s="18"/>
      <c r="AM411" s="18"/>
      <c r="AN411" s="18"/>
    </row>
    <row r="412" spans="2:40" ht="21.95" customHeight="1" x14ac:dyDescent="0.2">
      <c r="B412" s="182"/>
      <c r="C412" s="116"/>
      <c r="D412" s="240"/>
      <c r="E412" s="116" t="s">
        <v>338</v>
      </c>
      <c r="F412" s="116" t="s">
        <v>282</v>
      </c>
      <c r="G412" s="116" t="s">
        <v>357</v>
      </c>
      <c r="H412" s="577">
        <f>Speed!AX140</f>
        <v>55.899999999928468</v>
      </c>
      <c r="I412" s="577">
        <f>Speed!AY140</f>
        <v>55.899999999928468</v>
      </c>
      <c r="J412" s="577">
        <f>Speed!AZ140</f>
        <v>55.899999999904956</v>
      </c>
      <c r="K412" s="577">
        <f>Speed!BA140</f>
        <v>55.899999999871852</v>
      </c>
      <c r="L412" s="577">
        <f>Speed!BB140</f>
        <v>55.899999999812053</v>
      </c>
      <c r="M412" s="577">
        <f>Speed!BC140</f>
        <v>55.899999999728166</v>
      </c>
      <c r="N412" s="577">
        <f>Speed!BD140</f>
        <v>55.899999999611914</v>
      </c>
      <c r="O412" s="577">
        <f>Speed!BE140</f>
        <v>55.899999999452817</v>
      </c>
      <c r="P412" s="577">
        <f>Speed!BF140</f>
        <v>55.899999999237167</v>
      </c>
      <c r="Q412" s="577">
        <f>Speed!BG140</f>
        <v>55.899999998913934</v>
      </c>
      <c r="R412" s="577">
        <f>Speed!BH140</f>
        <v>55.899999998472445</v>
      </c>
      <c r="S412" s="577">
        <f>Speed!BI140</f>
        <v>55.899999997875284</v>
      </c>
      <c r="T412" s="577">
        <f>Speed!BJ140</f>
        <v>55.899999997075689</v>
      </c>
      <c r="U412" s="577">
        <f>Speed!BK140</f>
        <v>55.899999996014074</v>
      </c>
      <c r="V412" s="577">
        <f>Speed!BL140</f>
        <v>55.899999994964105</v>
      </c>
      <c r="W412" s="577">
        <f>Speed!BM140</f>
        <v>55.89999999393082</v>
      </c>
      <c r="X412" s="577">
        <f>Speed!BN140</f>
        <v>55.899999992710505</v>
      </c>
      <c r="Y412" s="577">
        <f>Speed!BO140</f>
        <v>55.899999991273638</v>
      </c>
      <c r="Z412" s="577">
        <f>Speed!BP140</f>
        <v>55.899999989586888</v>
      </c>
      <c r="AA412" s="577">
        <f>Speed!BQ140</f>
        <v>55.899999987611956</v>
      </c>
      <c r="AB412" s="577">
        <f>Speed!BR140</f>
        <v>55.899999985306337</v>
      </c>
      <c r="AC412" s="577">
        <f>Speed!BS140</f>
        <v>55.899999982621175</v>
      </c>
      <c r="AD412" s="577">
        <f>Speed!BT140</f>
        <v>55.899999979502162</v>
      </c>
      <c r="AE412" s="577">
        <f>Speed!BU140</f>
        <v>55.89999997588852</v>
      </c>
      <c r="AF412" s="577">
        <f>Speed!BV140</f>
        <v>55.89999997171082</v>
      </c>
      <c r="AG412" s="725">
        <f>Speed!BW140</f>
        <v>55.89999996689258</v>
      </c>
      <c r="AH412" s="18"/>
      <c r="AI412" s="18"/>
      <c r="AJ412" s="18"/>
      <c r="AK412" s="18"/>
      <c r="AL412" s="18"/>
      <c r="AM412" s="18"/>
      <c r="AN412" s="18"/>
    </row>
    <row r="413" spans="2:40" ht="21.95" customHeight="1" x14ac:dyDescent="0.2">
      <c r="B413" s="182"/>
      <c r="C413" s="116"/>
      <c r="D413" s="240"/>
      <c r="E413" s="116"/>
      <c r="F413" s="116" t="s">
        <v>357</v>
      </c>
      <c r="G413" s="116" t="s">
        <v>346</v>
      </c>
      <c r="H413" s="577">
        <f>Speed!AX141</f>
        <v>55.899999999995408</v>
      </c>
      <c r="I413" s="577">
        <f>Speed!AY141</f>
        <v>55.899999999995408</v>
      </c>
      <c r="J413" s="577">
        <f>Speed!AZ141</f>
        <v>55.899999999993916</v>
      </c>
      <c r="K413" s="577">
        <f>Speed!BA141</f>
        <v>55.89999999999177</v>
      </c>
      <c r="L413" s="577">
        <f>Speed!BB141</f>
        <v>55.899999999987621</v>
      </c>
      <c r="M413" s="577">
        <f>Speed!BC141</f>
        <v>55.899999999981667</v>
      </c>
      <c r="N413" s="577">
        <f>Speed!BD141</f>
        <v>55.899999999973247</v>
      </c>
      <c r="O413" s="577">
        <f>Speed!BE141</f>
        <v>55.899999999961508</v>
      </c>
      <c r="P413" s="577">
        <f>Speed!BF141</f>
        <v>55.899999999945308</v>
      </c>
      <c r="Q413" s="577">
        <f>Speed!BG141</f>
        <v>55.899999999919977</v>
      </c>
      <c r="R413" s="577">
        <f>Speed!BH141</f>
        <v>55.89999999988455</v>
      </c>
      <c r="S413" s="577">
        <f>Speed!BI141</f>
        <v>55.899999999835558</v>
      </c>
      <c r="T413" s="577">
        <f>Speed!BJ141</f>
        <v>55.89999999976861</v>
      </c>
      <c r="U413" s="577">
        <f>Speed!BK141</f>
        <v>55.899999999678023</v>
      </c>
      <c r="V413" s="577">
        <f>Speed!BL141</f>
        <v>55.899999999591124</v>
      </c>
      <c r="W413" s="577">
        <f>Speed!BM141</f>
        <v>55.89999999951069</v>
      </c>
      <c r="X413" s="577">
        <f>Speed!BN141</f>
        <v>55.899999999416295</v>
      </c>
      <c r="Y413" s="577">
        <f>Speed!BO141</f>
        <v>55.89999999930582</v>
      </c>
      <c r="Z413" s="577">
        <f>Speed!BP141</f>
        <v>55.899999999176927</v>
      </c>
      <c r="AA413" s="577">
        <f>Speed!BQ141</f>
        <v>55.899999999026811</v>
      </c>
      <c r="AB413" s="577">
        <f>Speed!BR141</f>
        <v>55.899999998852579</v>
      </c>
      <c r="AC413" s="577">
        <f>Speed!BS141</f>
        <v>55.899999998650642</v>
      </c>
      <c r="AD413" s="577">
        <f>Speed!BT141</f>
        <v>55.899999998417272</v>
      </c>
      <c r="AE413" s="577">
        <f>Speed!BU141</f>
        <v>55.899999998148331</v>
      </c>
      <c r="AF413" s="577">
        <f>Speed!BV141</f>
        <v>55.899999997838769</v>
      </c>
      <c r="AG413" s="725">
        <f>Speed!BW141</f>
        <v>55.899999997483391</v>
      </c>
      <c r="AH413" s="18"/>
      <c r="AI413" s="18"/>
      <c r="AJ413" s="18"/>
      <c r="AK413" s="18"/>
      <c r="AL413" s="18"/>
      <c r="AM413" s="18"/>
      <c r="AN413" s="18"/>
    </row>
    <row r="414" spans="2:40" ht="21.95" customHeight="1" x14ac:dyDescent="0.2">
      <c r="B414" s="182"/>
      <c r="C414" s="116"/>
      <c r="D414" s="240"/>
      <c r="E414" s="116"/>
      <c r="F414" s="116" t="s">
        <v>346</v>
      </c>
      <c r="G414" s="116" t="s">
        <v>343</v>
      </c>
      <c r="H414" s="577">
        <f>Speed!AX142</f>
        <v>45.899999999989724</v>
      </c>
      <c r="I414" s="577">
        <f>Speed!AY142</f>
        <v>45.899999999989724</v>
      </c>
      <c r="J414" s="577">
        <f>Speed!AZ142</f>
        <v>45.899999999986413</v>
      </c>
      <c r="K414" s="577">
        <f>Speed!BA142</f>
        <v>45.899999999981624</v>
      </c>
      <c r="L414" s="577">
        <f>Speed!BB142</f>
        <v>45.899999999972351</v>
      </c>
      <c r="M414" s="577">
        <f>Speed!BC142</f>
        <v>45.89999999995905</v>
      </c>
      <c r="N414" s="577">
        <f>Speed!BD142</f>
        <v>45.899999999940242</v>
      </c>
      <c r="O414" s="577">
        <f>Speed!BE142</f>
        <v>45.899999999914009</v>
      </c>
      <c r="P414" s="577">
        <f>Speed!BF142</f>
        <v>45.899999999877821</v>
      </c>
      <c r="Q414" s="577">
        <f>Speed!BG142</f>
        <v>45.899999999821233</v>
      </c>
      <c r="R414" s="577">
        <f>Speed!BH142</f>
        <v>45.899999999742093</v>
      </c>
      <c r="S414" s="577">
        <f>Speed!BI142</f>
        <v>45.899999999632662</v>
      </c>
      <c r="T414" s="577">
        <f>Speed!BJ142</f>
        <v>45.8999999994831</v>
      </c>
      <c r="U414" s="577">
        <f>Speed!BK142</f>
        <v>45.899999999280752</v>
      </c>
      <c r="V414" s="577">
        <f>Speed!BL142</f>
        <v>45.899999999086617</v>
      </c>
      <c r="W414" s="577">
        <f>Speed!BM142</f>
        <v>45.899999998906956</v>
      </c>
      <c r="X414" s="577">
        <f>Speed!BN142</f>
        <v>45.899999998696082</v>
      </c>
      <c r="Y414" s="577">
        <f>Speed!BO142</f>
        <v>45.899999998449289</v>
      </c>
      <c r="Z414" s="577">
        <f>Speed!BP142</f>
        <v>45.89999999816137</v>
      </c>
      <c r="AA414" s="577">
        <f>Speed!BQ142</f>
        <v>45.899999997826015</v>
      </c>
      <c r="AB414" s="577">
        <f>Speed!BR142</f>
        <v>45.899999997436808</v>
      </c>
      <c r="AC414" s="577">
        <f>Speed!BS142</f>
        <v>45.89999999698572</v>
      </c>
      <c r="AD414" s="577">
        <f>Speed!BT142</f>
        <v>45.899999996464395</v>
      </c>
      <c r="AE414" s="577">
        <f>Speed!BU142</f>
        <v>45.899999995863624</v>
      </c>
      <c r="AF414" s="577">
        <f>Speed!BV142</f>
        <v>45.899999995172102</v>
      </c>
      <c r="AG414" s="725">
        <f>Speed!BW142</f>
        <v>45.899999994378227</v>
      </c>
      <c r="AH414" s="18"/>
      <c r="AI414" s="18"/>
      <c r="AJ414" s="18"/>
      <c r="AK414" s="18"/>
      <c r="AL414" s="18"/>
      <c r="AM414" s="18"/>
      <c r="AN414" s="18"/>
    </row>
    <row r="415" spans="2:40" ht="21.95" customHeight="1" x14ac:dyDescent="0.2">
      <c r="B415" s="182"/>
      <c r="C415" s="116"/>
      <c r="D415" s="240"/>
      <c r="E415" s="116"/>
      <c r="F415" s="116" t="s">
        <v>343</v>
      </c>
      <c r="G415" s="116" t="s">
        <v>350</v>
      </c>
      <c r="H415" s="577">
        <f>Speed!AX143</f>
        <v>45.899999999999032</v>
      </c>
      <c r="I415" s="577">
        <f>Speed!AY143</f>
        <v>45.899999999999032</v>
      </c>
      <c r="J415" s="577">
        <f>Speed!AZ143</f>
        <v>45.899999999998727</v>
      </c>
      <c r="K415" s="577">
        <f>Speed!BA143</f>
        <v>45.899999999998258</v>
      </c>
      <c r="L415" s="577">
        <f>Speed!BB143</f>
        <v>45.899999999997448</v>
      </c>
      <c r="M415" s="577">
        <f>Speed!BC143</f>
        <v>45.899999999996311</v>
      </c>
      <c r="N415" s="577">
        <f>Speed!BD143</f>
        <v>45.899999999994741</v>
      </c>
      <c r="O415" s="577">
        <f>Speed!BE143</f>
        <v>45.899999999992602</v>
      </c>
      <c r="P415" s="577">
        <f>Speed!BF143</f>
        <v>45.899999999989681</v>
      </c>
      <c r="Q415" s="577">
        <f>Speed!BG143</f>
        <v>45.899999999985191</v>
      </c>
      <c r="R415" s="577">
        <f>Speed!BH143</f>
        <v>45.899999999979016</v>
      </c>
      <c r="S415" s="577">
        <f>Speed!BI143</f>
        <v>45.899999999970596</v>
      </c>
      <c r="T415" s="577">
        <f>Speed!BJ143</f>
        <v>45.899999999959242</v>
      </c>
      <c r="U415" s="577">
        <f>Speed!BK143</f>
        <v>45.899999999944093</v>
      </c>
      <c r="V415" s="577">
        <f>Speed!BL143</f>
        <v>45.899999999928347</v>
      </c>
      <c r="W415" s="577">
        <f>Speed!BM143</f>
        <v>45.899999999914002</v>
      </c>
      <c r="X415" s="577">
        <f>Speed!BN143</f>
        <v>45.899999999897091</v>
      </c>
      <c r="Y415" s="577">
        <f>Speed!BO143</f>
        <v>45.899999999877267</v>
      </c>
      <c r="Z415" s="577">
        <f>Speed!BP143</f>
        <v>45.89999999985406</v>
      </c>
      <c r="AA415" s="577">
        <f>Speed!BQ143</f>
        <v>45.899999999826981</v>
      </c>
      <c r="AB415" s="577">
        <f>Speed!BR143</f>
        <v>45.899999999795469</v>
      </c>
      <c r="AC415" s="577">
        <f>Speed!BS143</f>
        <v>45.899999999758869</v>
      </c>
      <c r="AD415" s="577">
        <f>Speed!BT143</f>
        <v>45.899999999716471</v>
      </c>
      <c r="AE415" s="577">
        <f>Speed!BU143</f>
        <v>45.8999999996675</v>
      </c>
      <c r="AF415" s="577">
        <f>Speed!BV143</f>
        <v>45.899999999611019</v>
      </c>
      <c r="AG415" s="725">
        <f>Speed!BW143</f>
        <v>45.899999999546054</v>
      </c>
      <c r="AH415" s="18"/>
      <c r="AI415" s="18"/>
      <c r="AJ415" s="18"/>
      <c r="AK415" s="18"/>
      <c r="AL415" s="18"/>
      <c r="AM415" s="18"/>
      <c r="AN415" s="18"/>
    </row>
    <row r="416" spans="2:40" ht="21.95" customHeight="1" x14ac:dyDescent="0.2">
      <c r="B416" s="182"/>
      <c r="C416" s="116"/>
      <c r="D416" s="240"/>
      <c r="E416" s="116"/>
      <c r="F416" s="116" t="s">
        <v>350</v>
      </c>
      <c r="G416" s="116" t="s">
        <v>280</v>
      </c>
      <c r="H416" s="577">
        <f>Speed!AX144</f>
        <v>55.899999999999565</v>
      </c>
      <c r="I416" s="577">
        <f>Speed!AY144</f>
        <v>55.899999999999565</v>
      </c>
      <c r="J416" s="577">
        <f>Speed!AZ144</f>
        <v>55.89999999999943</v>
      </c>
      <c r="K416" s="577">
        <f>Speed!BA144</f>
        <v>55.899999999999217</v>
      </c>
      <c r="L416" s="577">
        <f>Speed!BB144</f>
        <v>55.899999999998855</v>
      </c>
      <c r="M416" s="577">
        <f>Speed!BC144</f>
        <v>55.89999999999835</v>
      </c>
      <c r="N416" s="577">
        <f>Speed!BD144</f>
        <v>55.89999999999764</v>
      </c>
      <c r="O416" s="577">
        <f>Speed!BE144</f>
        <v>55.899999999996687</v>
      </c>
      <c r="P416" s="577">
        <f>Speed!BF144</f>
        <v>55.89999999999538</v>
      </c>
      <c r="Q416" s="577">
        <f>Speed!BG144</f>
        <v>55.899999999993369</v>
      </c>
      <c r="R416" s="577">
        <f>Speed!BH144</f>
        <v>55.899999999990605</v>
      </c>
      <c r="S416" s="577">
        <f>Speed!BI144</f>
        <v>55.899999999986832</v>
      </c>
      <c r="T416" s="577">
        <f>Speed!BJ144</f>
        <v>55.899999999981752</v>
      </c>
      <c r="U416" s="577">
        <f>Speed!BK144</f>
        <v>55.899999999974973</v>
      </c>
      <c r="V416" s="577">
        <f>Speed!BL144</f>
        <v>55.899999999967925</v>
      </c>
      <c r="W416" s="577">
        <f>Speed!BM144</f>
        <v>55.899999999961494</v>
      </c>
      <c r="X416" s="577">
        <f>Speed!BN144</f>
        <v>55.899999999953934</v>
      </c>
      <c r="Y416" s="577">
        <f>Speed!BO144</f>
        <v>55.899999999945059</v>
      </c>
      <c r="Z416" s="577">
        <f>Speed!BP144</f>
        <v>55.899999999934671</v>
      </c>
      <c r="AA416" s="577">
        <f>Speed!BQ144</f>
        <v>55.899999999922549</v>
      </c>
      <c r="AB416" s="577">
        <f>Speed!BR144</f>
        <v>55.899999999908445</v>
      </c>
      <c r="AC416" s="577">
        <f>Speed!BS144</f>
        <v>55.899999999892046</v>
      </c>
      <c r="AD416" s="577">
        <f>Speed!BT144</f>
        <v>55.899999999873067</v>
      </c>
      <c r="AE416" s="577">
        <f>Speed!BU144</f>
        <v>55.899999999851147</v>
      </c>
      <c r="AF416" s="577">
        <f>Speed!BV144</f>
        <v>55.899999999825866</v>
      </c>
      <c r="AG416" s="725">
        <f>Speed!BW144</f>
        <v>55.899999999796783</v>
      </c>
      <c r="AH416" s="18"/>
      <c r="AI416" s="18"/>
      <c r="AJ416" s="18"/>
      <c r="AK416" s="18"/>
      <c r="AL416" s="18"/>
      <c r="AM416" s="18"/>
      <c r="AN416" s="18"/>
    </row>
    <row r="417" spans="2:40" ht="21.95" customHeight="1" thickBot="1" x14ac:dyDescent="0.25">
      <c r="B417" s="706"/>
      <c r="C417" s="124"/>
      <c r="D417" s="124"/>
      <c r="E417" s="278"/>
      <c r="F417" s="278" t="s">
        <v>280</v>
      </c>
      <c r="G417" s="278" t="s">
        <v>333</v>
      </c>
      <c r="H417" s="735">
        <f>Speed!AX145</f>
        <v>55.299999999286285</v>
      </c>
      <c r="I417" s="735">
        <f>Speed!AY145</f>
        <v>55.299999999286285</v>
      </c>
      <c r="J417" s="735">
        <f>Speed!AZ145</f>
        <v>55.29999999905602</v>
      </c>
      <c r="K417" s="735">
        <f>Speed!BA145</f>
        <v>55.299999998713766</v>
      </c>
      <c r="L417" s="735">
        <f>Speed!BB145</f>
        <v>55.299999998115652</v>
      </c>
      <c r="M417" s="735">
        <f>Speed!BC145</f>
        <v>55.299999997277581</v>
      </c>
      <c r="N417" s="735">
        <f>Speed!BD145</f>
        <v>55.299999996118046</v>
      </c>
      <c r="O417" s="735">
        <f>Speed!BE145</f>
        <v>55.299999994531809</v>
      </c>
      <c r="P417" s="735">
        <f>Speed!BF145</f>
        <v>55.299999992383867</v>
      </c>
      <c r="Q417" s="735">
        <f>Speed!BG145</f>
        <v>55.299999989064801</v>
      </c>
      <c r="R417" s="735">
        <f>Speed!BH145</f>
        <v>55.299999984496544</v>
      </c>
      <c r="S417" s="735">
        <f>Speed!BI145</f>
        <v>55.299999978277938</v>
      </c>
      <c r="T417" s="735">
        <f>Speed!BJ145</f>
        <v>55.299999969896689</v>
      </c>
      <c r="U417" s="735">
        <f>Speed!BK145</f>
        <v>55.299999958707311</v>
      </c>
      <c r="V417" s="735">
        <f>Speed!BL145</f>
        <v>55.299999947078511</v>
      </c>
      <c r="W417" s="735">
        <f>Speed!BM145</f>
        <v>55.299999936471977</v>
      </c>
      <c r="X417" s="735">
        <f>Speed!BN145</f>
        <v>55.299999923989162</v>
      </c>
      <c r="Y417" s="735">
        <f>Speed!BO145</f>
        <v>55.299999909340663</v>
      </c>
      <c r="Z417" s="735">
        <f>Speed!BP145</f>
        <v>55.299999892204113</v>
      </c>
      <c r="AA417" s="735">
        <f>Speed!BQ145</f>
        <v>55.299999872199152</v>
      </c>
      <c r="AB417" s="735">
        <f>Speed!BR145</f>
        <v>55.299999848920152</v>
      </c>
      <c r="AC417" s="735">
        <f>Speed!BS145</f>
        <v>55.299999821883517</v>
      </c>
      <c r="AD417" s="735">
        <f>Speed!BT145</f>
        <v>55.299999790567696</v>
      </c>
      <c r="AE417" s="735">
        <f>Speed!BU145</f>
        <v>55.299999754392317</v>
      </c>
      <c r="AF417" s="735">
        <f>Speed!BV145</f>
        <v>55.299999712674101</v>
      </c>
      <c r="AG417" s="736">
        <f>Speed!BW145</f>
        <v>55.29999966468327</v>
      </c>
      <c r="AH417" s="18"/>
      <c r="AI417" s="18"/>
      <c r="AJ417" s="18"/>
      <c r="AK417" s="18"/>
      <c r="AL417" s="18"/>
      <c r="AM417" s="18"/>
      <c r="AN417" s="18"/>
    </row>
    <row r="418" spans="2:40" ht="21.95" customHeight="1" x14ac:dyDescent="0.2">
      <c r="B418" s="182" t="s">
        <v>212</v>
      </c>
      <c r="C418" s="116" t="s">
        <v>156</v>
      </c>
      <c r="D418" s="240" t="s">
        <v>474</v>
      </c>
      <c r="E418" s="1340" t="s">
        <v>331</v>
      </c>
      <c r="F418" s="220" t="s">
        <v>332</v>
      </c>
      <c r="G418" s="220" t="s">
        <v>282</v>
      </c>
      <c r="H418" s="726">
        <f>H298/H360</f>
        <v>2535.1835655309692</v>
      </c>
      <c r="I418" s="726">
        <f t="shared" ref="I418:AG418" si="271">I298/I360</f>
        <v>2650.4718946422663</v>
      </c>
      <c r="J418" s="726">
        <f t="shared" si="271"/>
        <v>2812.9116420599016</v>
      </c>
      <c r="K418" s="726">
        <f t="shared" si="271"/>
        <v>3051.8878760478001</v>
      </c>
      <c r="L418" s="726">
        <f t="shared" si="271"/>
        <v>3291.0319653575116</v>
      </c>
      <c r="M418" s="726">
        <f t="shared" si="271"/>
        <v>3530.3343046347404</v>
      </c>
      <c r="N418" s="726">
        <f t="shared" si="271"/>
        <v>3769.8454142589981</v>
      </c>
      <c r="O418" s="726">
        <f t="shared" si="271"/>
        <v>4010.0638109263164</v>
      </c>
      <c r="P418" s="726">
        <f t="shared" si="271"/>
        <v>4248.3460226809611</v>
      </c>
      <c r="Q418" s="726">
        <f t="shared" si="271"/>
        <v>4488.1834303936266</v>
      </c>
      <c r="R418" s="726">
        <f t="shared" si="271"/>
        <v>4730.421854152195</v>
      </c>
      <c r="S418" s="726">
        <f t="shared" si="271"/>
        <v>4976.5432220200692</v>
      </c>
      <c r="T418" s="726">
        <f t="shared" si="271"/>
        <v>5228.8735239931648</v>
      </c>
      <c r="U418" s="726">
        <f t="shared" si="271"/>
        <v>5404.2294793925739</v>
      </c>
      <c r="V418" s="726">
        <f t="shared" si="271"/>
        <v>5534.1288021617056</v>
      </c>
      <c r="W418" s="726">
        <f t="shared" si="271"/>
        <v>5667.4610011748618</v>
      </c>
      <c r="X418" s="726">
        <f t="shared" si="271"/>
        <v>5804.9352397584225</v>
      </c>
      <c r="Y418" s="726">
        <f t="shared" si="271"/>
        <v>5947.4379577368627</v>
      </c>
      <c r="Z418" s="726">
        <f t="shared" si="271"/>
        <v>6095.8550394000449</v>
      </c>
      <c r="AA418" s="726">
        <f t="shared" si="271"/>
        <v>6251.4419384837865</v>
      </c>
      <c r="AB418" s="726">
        <f t="shared" si="271"/>
        <v>6415.4387584900833</v>
      </c>
      <c r="AC418" s="726">
        <f t="shared" si="271"/>
        <v>6589.4662617928807</v>
      </c>
      <c r="AD418" s="726">
        <f t="shared" si="271"/>
        <v>6775.4125540870837</v>
      </c>
      <c r="AE418" s="726">
        <f t="shared" si="271"/>
        <v>6975.2609738995479</v>
      </c>
      <c r="AF418" s="726">
        <f t="shared" si="271"/>
        <v>7191.5114533398464</v>
      </c>
      <c r="AG418" s="727">
        <f t="shared" si="271"/>
        <v>7427.0581292210791</v>
      </c>
      <c r="AH418" s="18"/>
      <c r="AI418" s="18"/>
      <c r="AJ418" s="18"/>
      <c r="AK418" s="18"/>
      <c r="AL418" s="18"/>
      <c r="AM418" s="18"/>
      <c r="AN418" s="18"/>
    </row>
    <row r="419" spans="2:40" ht="21.95" customHeight="1" x14ac:dyDescent="0.2">
      <c r="B419" s="705" t="s">
        <v>483</v>
      </c>
      <c r="C419" s="715"/>
      <c r="D419" s="715"/>
      <c r="E419" s="1339"/>
      <c r="F419" s="116" t="s">
        <v>282</v>
      </c>
      <c r="G419" s="116" t="s">
        <v>280</v>
      </c>
      <c r="H419" s="577">
        <f t="shared" ref="H419:AG419" si="272">H299/H361</f>
        <v>81519.328148490531</v>
      </c>
      <c r="I419" s="577">
        <f t="shared" si="272"/>
        <v>85822.403418424146</v>
      </c>
      <c r="J419" s="577">
        <f t="shared" si="272"/>
        <v>92281.936127633162</v>
      </c>
      <c r="K419" s="577">
        <f t="shared" si="272"/>
        <v>102954.51500075955</v>
      </c>
      <c r="L419" s="577">
        <f t="shared" si="272"/>
        <v>113633.37378546105</v>
      </c>
      <c r="M419" s="577">
        <f t="shared" si="272"/>
        <v>124315.11044833162</v>
      </c>
      <c r="N419" s="577">
        <f t="shared" si="272"/>
        <v>135000.35896262687</v>
      </c>
      <c r="O419" s="577">
        <f t="shared" si="272"/>
        <v>145711.44429553667</v>
      </c>
      <c r="P419" s="577">
        <f t="shared" si="272"/>
        <v>156550.0148566064</v>
      </c>
      <c r="Q419" s="577">
        <f t="shared" si="272"/>
        <v>167453.79559843818</v>
      </c>
      <c r="R419" s="577">
        <f t="shared" si="272"/>
        <v>178465.61947977464</v>
      </c>
      <c r="S419" s="577">
        <f t="shared" si="272"/>
        <v>189672.82798690823</v>
      </c>
      <c r="T419" s="577">
        <f t="shared" si="272"/>
        <v>201221.41164219225</v>
      </c>
      <c r="U419" s="577">
        <f t="shared" si="272"/>
        <v>208492.90180730441</v>
      </c>
      <c r="V419" s="577">
        <f t="shared" si="272"/>
        <v>213403.31472881467</v>
      </c>
      <c r="W419" s="577">
        <f t="shared" si="272"/>
        <v>218451.51258143611</v>
      </c>
      <c r="X419" s="577">
        <f t="shared" si="272"/>
        <v>223665.01477497275</v>
      </c>
      <c r="Y419" s="577">
        <f t="shared" si="272"/>
        <v>229079.22224501459</v>
      </c>
      <c r="Z419" s="577">
        <f t="shared" si="272"/>
        <v>234725.87453260162</v>
      </c>
      <c r="AA419" s="577">
        <f t="shared" si="272"/>
        <v>240655.45801481543</v>
      </c>
      <c r="AB419" s="577">
        <f t="shared" si="272"/>
        <v>246912.633399507</v>
      </c>
      <c r="AC419" s="577">
        <f t="shared" si="272"/>
        <v>253560.1379607688</v>
      </c>
      <c r="AD419" s="577">
        <f t="shared" si="272"/>
        <v>260670.92491111581</v>
      </c>
      <c r="AE419" s="577">
        <f t="shared" si="272"/>
        <v>268316.45953292755</v>
      </c>
      <c r="AF419" s="577">
        <f t="shared" si="272"/>
        <v>276591.98579887336</v>
      </c>
      <c r="AG419" s="725">
        <f t="shared" si="272"/>
        <v>285607.71393298305</v>
      </c>
      <c r="AH419" s="18"/>
      <c r="AI419" s="18"/>
      <c r="AJ419" s="18"/>
      <c r="AK419" s="18"/>
      <c r="AL419" s="18"/>
      <c r="AM419" s="18"/>
      <c r="AN419" s="18"/>
    </row>
    <row r="420" spans="2:40" ht="21.95" customHeight="1" x14ac:dyDescent="0.2">
      <c r="B420" s="705"/>
      <c r="C420" s="715"/>
      <c r="D420" s="715"/>
      <c r="E420" s="1339"/>
      <c r="F420" s="116" t="s">
        <v>280</v>
      </c>
      <c r="G420" s="116" t="s">
        <v>333</v>
      </c>
      <c r="H420" s="577">
        <f t="shared" ref="H420:AG420" si="273">H300/H362</f>
        <v>1901.3770612859432</v>
      </c>
      <c r="I420" s="577">
        <f t="shared" si="273"/>
        <v>1980.7757318859558</v>
      </c>
      <c r="J420" s="577">
        <f t="shared" si="273"/>
        <v>2079.0459022437594</v>
      </c>
      <c r="K420" s="577">
        <f t="shared" si="273"/>
        <v>2211.3516551536568</v>
      </c>
      <c r="L420" s="577">
        <f t="shared" si="273"/>
        <v>2343.7062854027677</v>
      </c>
      <c r="M420" s="577">
        <f t="shared" si="273"/>
        <v>2476.04733001877</v>
      </c>
      <c r="N420" s="577">
        <f t="shared" si="273"/>
        <v>2608.3603791859482</v>
      </c>
      <c r="O420" s="577">
        <f t="shared" si="273"/>
        <v>2740.7744040097086</v>
      </c>
      <c r="P420" s="577">
        <f t="shared" si="273"/>
        <v>2869.0770520663455</v>
      </c>
      <c r="Q420" s="577">
        <f t="shared" si="273"/>
        <v>2997.4402637763669</v>
      </c>
      <c r="R420" s="577">
        <f t="shared" si="273"/>
        <v>3125.7752041602062</v>
      </c>
      <c r="S420" s="577">
        <f t="shared" si="273"/>
        <v>3254.1382237659154</v>
      </c>
      <c r="T420" s="577">
        <f t="shared" si="273"/>
        <v>3382.6367184104665</v>
      </c>
      <c r="U420" s="577">
        <f t="shared" si="273"/>
        <v>3476.9601656816526</v>
      </c>
      <c r="V420" s="577">
        <f t="shared" si="273"/>
        <v>3556.4948115410766</v>
      </c>
      <c r="W420" s="577">
        <f t="shared" si="273"/>
        <v>3636.0635531270418</v>
      </c>
      <c r="X420" s="577">
        <f t="shared" si="273"/>
        <v>3715.6738818618242</v>
      </c>
      <c r="Y420" s="577">
        <f t="shared" si="273"/>
        <v>3795.3665240342293</v>
      </c>
      <c r="Z420" s="577">
        <f t="shared" si="273"/>
        <v>3875.0884773649409</v>
      </c>
      <c r="AA420" s="577">
        <f t="shared" si="273"/>
        <v>3954.9159008037809</v>
      </c>
      <c r="AB420" s="577">
        <f t="shared" si="273"/>
        <v>4034.7998415778825</v>
      </c>
      <c r="AC420" s="577">
        <f t="shared" si="273"/>
        <v>4114.789438801492</v>
      </c>
      <c r="AD420" s="577">
        <f t="shared" si="273"/>
        <v>4194.9369536161057</v>
      </c>
      <c r="AE420" s="577">
        <f t="shared" si="273"/>
        <v>4275.2020817543125</v>
      </c>
      <c r="AF420" s="577">
        <f t="shared" si="273"/>
        <v>4355.6442788471195</v>
      </c>
      <c r="AG420" s="725">
        <f t="shared" si="273"/>
        <v>4436.3276957293938</v>
      </c>
      <c r="AH420" s="18"/>
      <c r="AI420" s="18"/>
      <c r="AJ420" s="18"/>
      <c r="AK420" s="18"/>
      <c r="AL420" s="18"/>
      <c r="AM420" s="18"/>
      <c r="AN420" s="18"/>
    </row>
    <row r="421" spans="2:40" ht="21.95" customHeight="1" x14ac:dyDescent="0.2">
      <c r="B421" s="705"/>
      <c r="C421" s="715"/>
      <c r="D421" s="715"/>
      <c r="E421" s="1340" t="s">
        <v>280</v>
      </c>
      <c r="F421" s="220" t="s">
        <v>281</v>
      </c>
      <c r="G421" s="220" t="s">
        <v>335</v>
      </c>
      <c r="H421" s="583">
        <f t="shared" ref="H421:AG421" si="274">H301/H363</f>
        <v>21570.420869811423</v>
      </c>
      <c r="I421" s="583">
        <f t="shared" si="274"/>
        <v>23752.376793336691</v>
      </c>
      <c r="J421" s="583">
        <f t="shared" si="274"/>
        <v>28630.635329928751</v>
      </c>
      <c r="K421" s="583">
        <f t="shared" si="274"/>
        <v>38428.999145668939</v>
      </c>
      <c r="L421" s="583">
        <f t="shared" si="274"/>
        <v>48233.404122815416</v>
      </c>
      <c r="M421" s="583">
        <f t="shared" si="274"/>
        <v>58036.740448923927</v>
      </c>
      <c r="N421" s="583">
        <f t="shared" si="274"/>
        <v>67835.164215983401</v>
      </c>
      <c r="O421" s="583">
        <f t="shared" si="274"/>
        <v>77645.857766473884</v>
      </c>
      <c r="P421" s="583">
        <f t="shared" si="274"/>
        <v>87273.152275683242</v>
      </c>
      <c r="Q421" s="583">
        <f t="shared" si="274"/>
        <v>96906.985441274854</v>
      </c>
      <c r="R421" s="583">
        <f t="shared" si="274"/>
        <v>106540.22583180376</v>
      </c>
      <c r="S421" s="583">
        <f t="shared" si="274"/>
        <v>116183.36127230541</v>
      </c>
      <c r="T421" s="583">
        <f t="shared" si="274"/>
        <v>125860.03753700822</v>
      </c>
      <c r="U421" s="583">
        <f t="shared" si="274"/>
        <v>130592.81652449965</v>
      </c>
      <c r="V421" s="583">
        <f t="shared" si="274"/>
        <v>132794.34434844399</v>
      </c>
      <c r="W421" s="583">
        <f t="shared" si="274"/>
        <v>134999.37000569358</v>
      </c>
      <c r="X421" s="583">
        <f t="shared" si="274"/>
        <v>137208.44639834581</v>
      </c>
      <c r="Y421" s="583">
        <f t="shared" si="274"/>
        <v>139425.59888517452</v>
      </c>
      <c r="Z421" s="583">
        <f t="shared" si="274"/>
        <v>141644.75886557452</v>
      </c>
      <c r="AA421" s="583">
        <f t="shared" si="274"/>
        <v>143873.5401784406</v>
      </c>
      <c r="AB421" s="583">
        <f t="shared" si="274"/>
        <v>146106.04091337183</v>
      </c>
      <c r="AC421" s="583">
        <f t="shared" si="274"/>
        <v>148346.70138854318</v>
      </c>
      <c r="AD421" s="583">
        <f t="shared" si="274"/>
        <v>150600.1440782283</v>
      </c>
      <c r="AE421" s="583">
        <f t="shared" si="274"/>
        <v>152860.78851717373</v>
      </c>
      <c r="AF421" s="583">
        <f t="shared" si="274"/>
        <v>155133.55008679611</v>
      </c>
      <c r="AG421" s="728">
        <f t="shared" si="274"/>
        <v>157423.59815619816</v>
      </c>
      <c r="AH421" s="18"/>
      <c r="AI421" s="18"/>
      <c r="AJ421" s="18"/>
      <c r="AK421" s="18"/>
      <c r="AL421" s="18"/>
      <c r="AM421" s="18"/>
      <c r="AN421" s="18"/>
    </row>
    <row r="422" spans="2:40" ht="21.95" customHeight="1" x14ac:dyDescent="0.2">
      <c r="B422" s="705"/>
      <c r="C422" s="715"/>
      <c r="D422" s="715"/>
      <c r="E422" s="1339"/>
      <c r="F422" s="116" t="s">
        <v>335</v>
      </c>
      <c r="G422" s="116" t="s">
        <v>323</v>
      </c>
      <c r="H422" s="577">
        <f t="shared" ref="H422:AG422" si="275">H302/H364</f>
        <v>2902.3081039318445</v>
      </c>
      <c r="I422" s="577">
        <f t="shared" si="275"/>
        <v>3205.2218436879684</v>
      </c>
      <c r="J422" s="577">
        <f t="shared" si="275"/>
        <v>3623.4142921908947</v>
      </c>
      <c r="K422" s="577">
        <f t="shared" si="275"/>
        <v>4391.7396852280699</v>
      </c>
      <c r="L422" s="577">
        <f t="shared" si="275"/>
        <v>5162.2183340706224</v>
      </c>
      <c r="M422" s="577">
        <f t="shared" si="275"/>
        <v>5940.7267617898124</v>
      </c>
      <c r="N422" s="577">
        <f t="shared" si="275"/>
        <v>6745.5198669870733</v>
      </c>
      <c r="O422" s="577">
        <f t="shared" si="275"/>
        <v>7629.3116532523809</v>
      </c>
      <c r="P422" s="577">
        <f t="shared" si="275"/>
        <v>9323.5887534263729</v>
      </c>
      <c r="Q422" s="577">
        <f t="shared" si="275"/>
        <v>12539.863215307589</v>
      </c>
      <c r="R422" s="577">
        <f t="shared" si="275"/>
        <v>20193.809096898181</v>
      </c>
      <c r="S422" s="577">
        <f t="shared" si="275"/>
        <v>39429.814197074498</v>
      </c>
      <c r="T422" s="577">
        <f t="shared" si="275"/>
        <v>64303.527520000018</v>
      </c>
      <c r="U422" s="577">
        <f t="shared" si="275"/>
        <v>68039.270400000009</v>
      </c>
      <c r="V422" s="577">
        <f t="shared" si="275"/>
        <v>69538.643680000008</v>
      </c>
      <c r="W422" s="577">
        <f t="shared" si="275"/>
        <v>71038.016960000008</v>
      </c>
      <c r="X422" s="577">
        <f t="shared" si="275"/>
        <v>72537.390240000008</v>
      </c>
      <c r="Y422" s="577">
        <f t="shared" si="275"/>
        <v>74037.841000000015</v>
      </c>
      <c r="Z422" s="577">
        <f t="shared" si="275"/>
        <v>75537.21428</v>
      </c>
      <c r="AA422" s="577">
        <f t="shared" si="275"/>
        <v>77037.665040000022</v>
      </c>
      <c r="AB422" s="577">
        <f t="shared" si="275"/>
        <v>78537.038320000021</v>
      </c>
      <c r="AC422" s="577">
        <f t="shared" si="275"/>
        <v>80036.411600000007</v>
      </c>
      <c r="AD422" s="577">
        <f t="shared" si="275"/>
        <v>81536.862359999999</v>
      </c>
      <c r="AE422" s="577">
        <f t="shared" si="275"/>
        <v>83036.235639999999</v>
      </c>
      <c r="AF422" s="577">
        <f t="shared" si="275"/>
        <v>84535.608920000013</v>
      </c>
      <c r="AG422" s="725">
        <f t="shared" si="275"/>
        <v>86036.059679999991</v>
      </c>
      <c r="AH422" s="18"/>
      <c r="AI422" s="18"/>
      <c r="AJ422" s="18"/>
      <c r="AK422" s="18"/>
      <c r="AL422" s="18"/>
      <c r="AM422" s="18"/>
      <c r="AN422" s="18"/>
    </row>
    <row r="423" spans="2:40" ht="21.95" customHeight="1" x14ac:dyDescent="0.2">
      <c r="B423" s="705"/>
      <c r="C423" s="715"/>
      <c r="D423" s="715"/>
      <c r="E423" s="1353"/>
      <c r="F423" s="254" t="s">
        <v>323</v>
      </c>
      <c r="G423" s="254" t="s">
        <v>338</v>
      </c>
      <c r="H423" s="587">
        <f t="shared" ref="H423:AG423" si="276">H303/H365</f>
        <v>41642.382214759615</v>
      </c>
      <c r="I423" s="587">
        <f t="shared" si="276"/>
        <v>43031.801251957237</v>
      </c>
      <c r="J423" s="587">
        <f t="shared" si="276"/>
        <v>45147.819024983102</v>
      </c>
      <c r="K423" s="587">
        <f t="shared" si="276"/>
        <v>48503.654678090701</v>
      </c>
      <c r="L423" s="587">
        <f t="shared" si="276"/>
        <v>52545.777347388503</v>
      </c>
      <c r="M423" s="587">
        <f t="shared" si="276"/>
        <v>57647.258970404218</v>
      </c>
      <c r="N423" s="587">
        <f t="shared" si="276"/>
        <v>64353.088222593564</v>
      </c>
      <c r="O423" s="587">
        <f t="shared" si="276"/>
        <v>73457.880823385087</v>
      </c>
      <c r="P423" s="587">
        <f t="shared" si="276"/>
        <v>86209.443379642442</v>
      </c>
      <c r="Q423" s="587">
        <f t="shared" si="276"/>
        <v>104136.60266449235</v>
      </c>
      <c r="R423" s="587">
        <f t="shared" si="276"/>
        <v>129427.84421801112</v>
      </c>
      <c r="S423" s="587">
        <f t="shared" si="276"/>
        <v>165090.12146958063</v>
      </c>
      <c r="T423" s="587">
        <f t="shared" si="276"/>
        <v>215205.79567566823</v>
      </c>
      <c r="U423" s="587">
        <f t="shared" si="276"/>
        <v>262767.71011138213</v>
      </c>
      <c r="V423" s="587">
        <f t="shared" si="276"/>
        <v>302878.1650741527</v>
      </c>
      <c r="W423" s="587">
        <f t="shared" si="276"/>
        <v>332560.61040000001</v>
      </c>
      <c r="X423" s="587">
        <f t="shared" si="276"/>
        <v>337951.5253792</v>
      </c>
      <c r="Y423" s="587">
        <f t="shared" si="276"/>
        <v>343345.00715520006</v>
      </c>
      <c r="Z423" s="587">
        <f t="shared" si="276"/>
        <v>348735.92213440005</v>
      </c>
      <c r="AA423" s="587">
        <f t="shared" si="276"/>
        <v>354129.40391040005</v>
      </c>
      <c r="AB423" s="587">
        <f t="shared" si="276"/>
        <v>359520.31888960005</v>
      </c>
      <c r="AC423" s="587">
        <f t="shared" si="276"/>
        <v>364911.23386880005</v>
      </c>
      <c r="AD423" s="587">
        <f t="shared" si="276"/>
        <v>370304.71564479999</v>
      </c>
      <c r="AE423" s="587">
        <f t="shared" si="276"/>
        <v>375695.63062399992</v>
      </c>
      <c r="AF423" s="587">
        <f t="shared" si="276"/>
        <v>381086.54560320004</v>
      </c>
      <c r="AG423" s="729">
        <f t="shared" si="276"/>
        <v>386480.02737920004</v>
      </c>
      <c r="AH423" s="18"/>
      <c r="AI423" s="18"/>
      <c r="AJ423" s="18"/>
      <c r="AK423" s="18"/>
      <c r="AL423" s="18"/>
      <c r="AM423" s="18"/>
      <c r="AN423" s="18"/>
    </row>
    <row r="424" spans="2:40" ht="21.95" customHeight="1" x14ac:dyDescent="0.2">
      <c r="B424" s="705"/>
      <c r="C424" s="715"/>
      <c r="D424" s="715"/>
      <c r="E424" s="116" t="s">
        <v>339</v>
      </c>
      <c r="F424" s="116" t="s">
        <v>335</v>
      </c>
      <c r="G424" s="116" t="s">
        <v>323</v>
      </c>
      <c r="H424" s="577">
        <f t="shared" ref="H424:AG424" si="277">H304/H366</f>
        <v>130.25092592592591</v>
      </c>
      <c r="I424" s="577">
        <f t="shared" si="277"/>
        <v>987.17176759259269</v>
      </c>
      <c r="J424" s="577">
        <f t="shared" si="277"/>
        <v>5719.1879070200375</v>
      </c>
      <c r="K424" s="577">
        <f t="shared" si="277"/>
        <v>13172.672103187289</v>
      </c>
      <c r="L424" s="577">
        <f t="shared" si="277"/>
        <v>20631.559744086007</v>
      </c>
      <c r="M424" s="577">
        <f t="shared" si="277"/>
        <v>28110.996960233195</v>
      </c>
      <c r="N424" s="577">
        <f t="shared" si="277"/>
        <v>35830.500849784927</v>
      </c>
      <c r="O424" s="577">
        <f t="shared" si="277"/>
        <v>45347.248830203389</v>
      </c>
      <c r="P424" s="577">
        <f t="shared" si="277"/>
        <v>53707.323822496262</v>
      </c>
      <c r="Q424" s="577">
        <f t="shared" si="277"/>
        <v>67990.577244182045</v>
      </c>
      <c r="R424" s="577">
        <f t="shared" si="277"/>
        <v>94913.356082653278</v>
      </c>
      <c r="S424" s="577">
        <f t="shared" si="277"/>
        <v>147272.16583108634</v>
      </c>
      <c r="T424" s="577">
        <f t="shared" si="277"/>
        <v>248673.29749086808</v>
      </c>
      <c r="U424" s="577">
        <f t="shared" si="277"/>
        <v>282690.19086400012</v>
      </c>
      <c r="V424" s="577">
        <f t="shared" si="277"/>
        <v>286392.08889999997</v>
      </c>
      <c r="W424" s="577">
        <f t="shared" si="277"/>
        <v>290093.98693600006</v>
      </c>
      <c r="X424" s="577">
        <f t="shared" si="277"/>
        <v>293795.88497200009</v>
      </c>
      <c r="Y424" s="577">
        <f t="shared" si="277"/>
        <v>297512.41279200005</v>
      </c>
      <c r="Z424" s="577">
        <f t="shared" si="277"/>
        <v>301214.31082800007</v>
      </c>
      <c r="AA424" s="577">
        <f t="shared" si="277"/>
        <v>304930.83864800015</v>
      </c>
      <c r="AB424" s="577">
        <f t="shared" si="277"/>
        <v>308632.73668400006</v>
      </c>
      <c r="AC424" s="577">
        <f t="shared" si="277"/>
        <v>312334.63472000009</v>
      </c>
      <c r="AD424" s="577">
        <f t="shared" si="277"/>
        <v>316051.16254000016</v>
      </c>
      <c r="AE424" s="577">
        <f t="shared" si="277"/>
        <v>319753.06057600002</v>
      </c>
      <c r="AF424" s="577">
        <f t="shared" si="277"/>
        <v>323454.95861200005</v>
      </c>
      <c r="AG424" s="725">
        <f t="shared" si="277"/>
        <v>327171.48643200012</v>
      </c>
      <c r="AH424" s="18"/>
      <c r="AI424" s="18"/>
      <c r="AJ424" s="18"/>
      <c r="AK424" s="18"/>
      <c r="AL424" s="18"/>
      <c r="AM424" s="18"/>
      <c r="AN424" s="18"/>
    </row>
    <row r="425" spans="2:40" ht="21.95" customHeight="1" x14ac:dyDescent="0.2">
      <c r="B425" s="705"/>
      <c r="C425" s="715"/>
      <c r="D425" s="715"/>
      <c r="E425" s="1340" t="s">
        <v>323</v>
      </c>
      <c r="F425" s="220" t="s">
        <v>282</v>
      </c>
      <c r="G425" s="220" t="s">
        <v>339</v>
      </c>
      <c r="H425" s="583">
        <f t="shared" ref="H425:AG425" si="278">H305/H367</f>
        <v>393.24087591240874</v>
      </c>
      <c r="I425" s="583">
        <f t="shared" si="278"/>
        <v>873.97784671532838</v>
      </c>
      <c r="J425" s="583">
        <f t="shared" si="278"/>
        <v>3693.9081678832117</v>
      </c>
      <c r="K425" s="583">
        <f t="shared" si="278"/>
        <v>8303.6743357675514</v>
      </c>
      <c r="L425" s="583">
        <f t="shared" si="278"/>
        <v>12915.996569488536</v>
      </c>
      <c r="M425" s="583">
        <f t="shared" si="278"/>
        <v>17528.515427541301</v>
      </c>
      <c r="N425" s="583">
        <f t="shared" si="278"/>
        <v>22138.281645809242</v>
      </c>
      <c r="O425" s="583">
        <f t="shared" si="278"/>
        <v>26753.356948994206</v>
      </c>
      <c r="P425" s="583">
        <f t="shared" si="278"/>
        <v>30312.188168361648</v>
      </c>
      <c r="Q425" s="583">
        <f t="shared" si="278"/>
        <v>33871.612095109449</v>
      </c>
      <c r="R425" s="583">
        <f t="shared" si="278"/>
        <v>37430.453766219885</v>
      </c>
      <c r="S425" s="583">
        <f t="shared" si="278"/>
        <v>40989.313913503218</v>
      </c>
      <c r="T425" s="583">
        <f t="shared" si="278"/>
        <v>44552.934567621487</v>
      </c>
      <c r="U425" s="583">
        <f t="shared" si="278"/>
        <v>46319.239825197532</v>
      </c>
      <c r="V425" s="583">
        <f t="shared" si="278"/>
        <v>46799.998871363088</v>
      </c>
      <c r="W425" s="583">
        <f t="shared" si="278"/>
        <v>47280.76030553801</v>
      </c>
      <c r="X425" s="583">
        <f t="shared" si="278"/>
        <v>47761.524357751841</v>
      </c>
      <c r="Y425" s="583">
        <f t="shared" si="278"/>
        <v>48243.667710703572</v>
      </c>
      <c r="Z425" s="583">
        <f t="shared" si="278"/>
        <v>48724.437777865736</v>
      </c>
      <c r="AA425" s="583">
        <f t="shared" si="278"/>
        <v>49206.587729643688</v>
      </c>
      <c r="AB425" s="583">
        <f t="shared" si="278"/>
        <v>49687.364988509609</v>
      </c>
      <c r="AC425" s="583">
        <f t="shared" si="278"/>
        <v>50168.146339907151</v>
      </c>
      <c r="AD425" s="583">
        <f t="shared" si="278"/>
        <v>50650.308643952136</v>
      </c>
      <c r="AE425" s="583">
        <f t="shared" si="278"/>
        <v>51131.099335734994</v>
      </c>
      <c r="AF425" s="583">
        <f t="shared" si="278"/>
        <v>51611.89532318386</v>
      </c>
      <c r="AG425" s="728">
        <f t="shared" si="278"/>
        <v>52094.073608850616</v>
      </c>
      <c r="AH425" s="18"/>
      <c r="AI425" s="18"/>
      <c r="AJ425" s="18"/>
      <c r="AK425" s="18"/>
      <c r="AL425" s="18"/>
      <c r="AM425" s="18"/>
      <c r="AN425" s="18"/>
    </row>
    <row r="426" spans="2:40" ht="21.95" customHeight="1" x14ac:dyDescent="0.2">
      <c r="B426" s="705"/>
      <c r="C426" s="715"/>
      <c r="D426" s="715"/>
      <c r="E426" s="1339"/>
      <c r="F426" s="116" t="s">
        <v>339</v>
      </c>
      <c r="G426" s="116" t="s">
        <v>288</v>
      </c>
      <c r="H426" s="577">
        <f t="shared" ref="H426:AG426" si="279">H306/H368</f>
        <v>0</v>
      </c>
      <c r="I426" s="577">
        <f t="shared" si="279"/>
        <v>267.52031143552318</v>
      </c>
      <c r="J426" s="577">
        <f t="shared" si="279"/>
        <v>766.14391630170326</v>
      </c>
      <c r="K426" s="577">
        <f t="shared" si="279"/>
        <v>1722.2435659369737</v>
      </c>
      <c r="L426" s="577">
        <f t="shared" si="279"/>
        <v>2678.8733625605851</v>
      </c>
      <c r="M426" s="577">
        <f t="shared" si="279"/>
        <v>3635.5439405270854</v>
      </c>
      <c r="N426" s="577">
        <f t="shared" si="279"/>
        <v>4591.6436006122876</v>
      </c>
      <c r="O426" s="577">
        <f t="shared" si="279"/>
        <v>5548.8444042358351</v>
      </c>
      <c r="P426" s="577">
        <f t="shared" si="279"/>
        <v>6286.9723608453796</v>
      </c>
      <c r="Q426" s="577">
        <f t="shared" si="279"/>
        <v>7025.2232493560341</v>
      </c>
      <c r="R426" s="577">
        <f t="shared" si="279"/>
        <v>7763.353373734496</v>
      </c>
      <c r="S426" s="577">
        <f t="shared" si="279"/>
        <v>8501.4873302080759</v>
      </c>
      <c r="T426" s="577">
        <f t="shared" si="279"/>
        <v>9240.6086510622354</v>
      </c>
      <c r="U426" s="577">
        <f t="shared" si="279"/>
        <v>9606.9534452261541</v>
      </c>
      <c r="V426" s="577">
        <f t="shared" si="279"/>
        <v>9706.6664325790116</v>
      </c>
      <c r="W426" s="577">
        <f t="shared" si="279"/>
        <v>9806.3799152226984</v>
      </c>
      <c r="X426" s="577">
        <f t="shared" si="279"/>
        <v>9906.0939408670492</v>
      </c>
      <c r="Y426" s="577">
        <f t="shared" si="279"/>
        <v>10006.094043701481</v>
      </c>
      <c r="Z426" s="577">
        <f t="shared" si="279"/>
        <v>10105.809316890673</v>
      </c>
      <c r="AA426" s="577">
        <f t="shared" si="279"/>
        <v>10205.810788370543</v>
      </c>
      <c r="AB426" s="577">
        <f t="shared" si="279"/>
        <v>10305.527553172364</v>
      </c>
      <c r="AC426" s="577">
        <f t="shared" si="279"/>
        <v>10405.245166795556</v>
      </c>
      <c r="AD426" s="577">
        <f t="shared" si="279"/>
        <v>10505.24920022711</v>
      </c>
      <c r="AE426" s="577">
        <f t="shared" si="279"/>
        <v>10604.968751115406</v>
      </c>
      <c r="AF426" s="577">
        <f t="shared" si="279"/>
        <v>10704.689400364059</v>
      </c>
      <c r="AG426" s="725">
        <f t="shared" si="279"/>
        <v>10804.696748502349</v>
      </c>
      <c r="AH426" s="18"/>
      <c r="AI426" s="18"/>
      <c r="AJ426" s="18"/>
      <c r="AK426" s="18"/>
      <c r="AL426" s="18"/>
      <c r="AM426" s="18"/>
      <c r="AN426" s="18"/>
    </row>
    <row r="427" spans="2:40" ht="21.95" customHeight="1" x14ac:dyDescent="0.2">
      <c r="B427" s="705"/>
      <c r="C427" s="715"/>
      <c r="D427" s="715"/>
      <c r="E427" s="1339"/>
      <c r="F427" s="116" t="s">
        <v>288</v>
      </c>
      <c r="G427" s="116" t="s">
        <v>340</v>
      </c>
      <c r="H427" s="577">
        <f t="shared" ref="H427:AG427" si="280">H307/H369</f>
        <v>0</v>
      </c>
      <c r="I427" s="577">
        <f t="shared" si="280"/>
        <v>697.46366909975666</v>
      </c>
      <c r="J427" s="577">
        <f t="shared" si="280"/>
        <v>1997.4466389294403</v>
      </c>
      <c r="K427" s="577">
        <f t="shared" si="280"/>
        <v>4490.1350111928241</v>
      </c>
      <c r="L427" s="577">
        <f t="shared" si="280"/>
        <v>6984.2055523900972</v>
      </c>
      <c r="M427" s="577">
        <f t="shared" si="280"/>
        <v>9478.3824163741847</v>
      </c>
      <c r="N427" s="577">
        <f t="shared" si="280"/>
        <v>11971.070815882034</v>
      </c>
      <c r="O427" s="577">
        <f t="shared" si="280"/>
        <v>14466.63005390057</v>
      </c>
      <c r="P427" s="577">
        <f t="shared" si="280"/>
        <v>16391.035083632596</v>
      </c>
      <c r="Q427" s="577">
        <f t="shared" si="280"/>
        <v>18315.760614392519</v>
      </c>
      <c r="R427" s="577">
        <f t="shared" si="280"/>
        <v>20240.171295807788</v>
      </c>
      <c r="S427" s="577">
        <f t="shared" si="280"/>
        <v>22164.591968042478</v>
      </c>
      <c r="T427" s="577">
        <f t="shared" si="280"/>
        <v>24091.586840269392</v>
      </c>
      <c r="U427" s="577">
        <f t="shared" si="280"/>
        <v>25046.700053625329</v>
      </c>
      <c r="V427" s="577">
        <f t="shared" si="280"/>
        <v>25306.666056366706</v>
      </c>
      <c r="W427" s="577">
        <f t="shared" si="280"/>
        <v>25566.633350402037</v>
      </c>
      <c r="X427" s="577">
        <f t="shared" si="280"/>
        <v>25826.602060117657</v>
      </c>
      <c r="Y427" s="577">
        <f t="shared" si="280"/>
        <v>26087.316613936004</v>
      </c>
      <c r="Z427" s="577">
        <f t="shared" si="280"/>
        <v>26347.28857617925</v>
      </c>
      <c r="AA427" s="577">
        <f t="shared" si="280"/>
        <v>26608.006698251771</v>
      </c>
      <c r="AB427" s="577">
        <f t="shared" si="280"/>
        <v>26867.982549342232</v>
      </c>
      <c r="AC427" s="577">
        <f t="shared" si="280"/>
        <v>27127.960613431271</v>
      </c>
      <c r="AD427" s="577">
        <f t="shared" si="280"/>
        <v>27388.685414877811</v>
      </c>
      <c r="AE427" s="577">
        <f t="shared" si="280"/>
        <v>27648.668529693736</v>
      </c>
      <c r="AF427" s="577">
        <f t="shared" si="280"/>
        <v>27908.654508092015</v>
      </c>
      <c r="AG427" s="725">
        <f t="shared" si="280"/>
        <v>28169.387951452551</v>
      </c>
      <c r="AH427" s="18"/>
      <c r="AI427" s="18"/>
      <c r="AJ427" s="18"/>
      <c r="AK427" s="18"/>
      <c r="AL427" s="18"/>
      <c r="AM427" s="18"/>
      <c r="AN427" s="18"/>
    </row>
    <row r="428" spans="2:40" ht="21.95" customHeight="1" x14ac:dyDescent="0.2">
      <c r="B428" s="705"/>
      <c r="C428" s="715"/>
      <c r="D428" s="715"/>
      <c r="E428" s="1353"/>
      <c r="F428" s="254" t="s">
        <v>340</v>
      </c>
      <c r="G428" s="254" t="s">
        <v>280</v>
      </c>
      <c r="H428" s="587">
        <f t="shared" ref="H428:AG428" si="281">H308/H370</f>
        <v>917.56204379562053</v>
      </c>
      <c r="I428" s="587">
        <f t="shared" si="281"/>
        <v>1367.8097386861314</v>
      </c>
      <c r="J428" s="587">
        <f t="shared" si="281"/>
        <v>1925.7792175182485</v>
      </c>
      <c r="K428" s="587">
        <f t="shared" si="281"/>
        <v>3336.3167620437962</v>
      </c>
      <c r="L428" s="587">
        <f t="shared" si="281"/>
        <v>4747.0072335766718</v>
      </c>
      <c r="M428" s="587">
        <f t="shared" si="281"/>
        <v>6158.4011693435859</v>
      </c>
      <c r="N428" s="587">
        <f t="shared" si="281"/>
        <v>7568.9387138736383</v>
      </c>
      <c r="O428" s="587">
        <f t="shared" si="281"/>
        <v>8979.017477405172</v>
      </c>
      <c r="P428" s="587">
        <f t="shared" si="281"/>
        <v>12568.244925417504</v>
      </c>
      <c r="Q428" s="587">
        <f t="shared" si="281"/>
        <v>16156.065463397508</v>
      </c>
      <c r="R428" s="587">
        <f t="shared" si="281"/>
        <v>19743.610883173951</v>
      </c>
      <c r="S428" s="587">
        <f t="shared" si="281"/>
        <v>23332.839339417671</v>
      </c>
      <c r="T428" s="587">
        <f t="shared" si="281"/>
        <v>26921.612597511437</v>
      </c>
      <c r="U428" s="587">
        <f t="shared" si="281"/>
        <v>29657.212493422205</v>
      </c>
      <c r="V428" s="587">
        <f t="shared" si="281"/>
        <v>30107.463216338307</v>
      </c>
      <c r="W428" s="587">
        <f t="shared" si="281"/>
        <v>30557.714427620846</v>
      </c>
      <c r="X428" s="587">
        <f t="shared" si="281"/>
        <v>31007.966197050511</v>
      </c>
      <c r="Y428" s="587">
        <f t="shared" si="281"/>
        <v>31456.842244610372</v>
      </c>
      <c r="Z428" s="587">
        <f t="shared" si="281"/>
        <v>31907.095373161916</v>
      </c>
      <c r="AA428" s="587">
        <f t="shared" si="281"/>
        <v>32355.972961532651</v>
      </c>
      <c r="AB428" s="587">
        <f t="shared" si="281"/>
        <v>32806.22784443805</v>
      </c>
      <c r="AC428" s="587">
        <f t="shared" si="281"/>
        <v>33256.483784622491</v>
      </c>
      <c r="AD428" s="587">
        <f t="shared" si="281"/>
        <v>33705.364546151897</v>
      </c>
      <c r="AE428" s="587">
        <f t="shared" si="281"/>
        <v>34155.623026184971</v>
      </c>
      <c r="AF428" s="587">
        <f t="shared" si="281"/>
        <v>34605.883025722069</v>
      </c>
      <c r="AG428" s="729">
        <f t="shared" si="281"/>
        <v>35054.768346077464</v>
      </c>
      <c r="AH428" s="18"/>
      <c r="AI428" s="18"/>
      <c r="AJ428" s="18"/>
      <c r="AK428" s="18"/>
      <c r="AL428" s="18"/>
      <c r="AM428" s="18"/>
      <c r="AN428" s="18"/>
    </row>
    <row r="429" spans="2:40" ht="21.95" customHeight="1" x14ac:dyDescent="0.2">
      <c r="B429" s="705"/>
      <c r="C429" s="715"/>
      <c r="D429" s="715"/>
      <c r="E429" s="1340" t="s">
        <v>334</v>
      </c>
      <c r="F429" s="116" t="s">
        <v>336</v>
      </c>
      <c r="G429" s="116" t="s">
        <v>337</v>
      </c>
      <c r="H429" s="577">
        <f t="shared" ref="H429:AG429" si="282">H309/H371</f>
        <v>16464.696454979003</v>
      </c>
      <c r="I429" s="577">
        <f t="shared" si="282"/>
        <v>16920.851333251958</v>
      </c>
      <c r="J429" s="577">
        <f t="shared" si="282"/>
        <v>17657.077461133416</v>
      </c>
      <c r="K429" s="577">
        <f t="shared" si="282"/>
        <v>18709.059166697978</v>
      </c>
      <c r="L429" s="577">
        <f t="shared" si="282"/>
        <v>19761.881871296984</v>
      </c>
      <c r="M429" s="577">
        <f t="shared" si="282"/>
        <v>20815.250567128121</v>
      </c>
      <c r="N429" s="577">
        <f t="shared" si="282"/>
        <v>21869.169468685897</v>
      </c>
      <c r="O429" s="577">
        <f t="shared" si="282"/>
        <v>22925.530937142201</v>
      </c>
      <c r="P429" s="577">
        <f t="shared" si="282"/>
        <v>23867.690356817206</v>
      </c>
      <c r="Q429" s="577">
        <f t="shared" si="282"/>
        <v>24812.737056135611</v>
      </c>
      <c r="R429" s="577">
        <f t="shared" si="282"/>
        <v>25761.149206652299</v>
      </c>
      <c r="S429" s="577">
        <f t="shared" si="282"/>
        <v>26714.670826750251</v>
      </c>
      <c r="T429" s="577">
        <f t="shared" si="282"/>
        <v>27676.207357050556</v>
      </c>
      <c r="U429" s="577">
        <f t="shared" si="282"/>
        <v>28317.919039689885</v>
      </c>
      <c r="V429" s="577">
        <f t="shared" si="282"/>
        <v>28792.539868806642</v>
      </c>
      <c r="W429" s="577">
        <f t="shared" si="282"/>
        <v>29270.358662042021</v>
      </c>
      <c r="X429" s="577">
        <f t="shared" si="282"/>
        <v>29751.863186472914</v>
      </c>
      <c r="Y429" s="577">
        <f t="shared" si="282"/>
        <v>30237.92089285851</v>
      </c>
      <c r="Z429" s="577">
        <f t="shared" si="282"/>
        <v>30728.531186697539</v>
      </c>
      <c r="AA429" s="577">
        <f t="shared" si="282"/>
        <v>31225.033696985767</v>
      </c>
      <c r="AB429" s="577">
        <f t="shared" si="282"/>
        <v>31727.584909050387</v>
      </c>
      <c r="AC429" s="577">
        <f t="shared" si="282"/>
        <v>32237.398146404561</v>
      </c>
      <c r="AD429" s="577">
        <f t="shared" si="282"/>
        <v>32755.815849748997</v>
      </c>
      <c r="AE429" s="577">
        <f t="shared" si="282"/>
        <v>33283.298158198384</v>
      </c>
      <c r="AF429" s="577">
        <f t="shared" si="282"/>
        <v>33821.438503341262</v>
      </c>
      <c r="AG429" s="725">
        <f t="shared" si="282"/>
        <v>34372.006568285979</v>
      </c>
      <c r="AH429" s="18"/>
      <c r="AI429" s="18"/>
      <c r="AJ429" s="18"/>
      <c r="AK429" s="18"/>
      <c r="AL429" s="18"/>
      <c r="AM429" s="18"/>
      <c r="AN429" s="18"/>
    </row>
    <row r="430" spans="2:40" ht="21.95" customHeight="1" x14ac:dyDescent="0.2">
      <c r="B430" s="705"/>
      <c r="C430" s="715"/>
      <c r="D430" s="715"/>
      <c r="E430" s="1339"/>
      <c r="F430" s="116" t="s">
        <v>337</v>
      </c>
      <c r="G430" s="116" t="s">
        <v>386</v>
      </c>
      <c r="H430" s="577">
        <f t="shared" ref="H430:AG430" si="283">H310/H372</f>
        <v>27218.816848506474</v>
      </c>
      <c r="I430" s="577">
        <f t="shared" si="283"/>
        <v>27273.451153588208</v>
      </c>
      <c r="J430" s="577">
        <f t="shared" si="283"/>
        <v>27328.089815835996</v>
      </c>
      <c r="K430" s="577">
        <f t="shared" si="283"/>
        <v>27382.732914149718</v>
      </c>
      <c r="L430" s="577">
        <f t="shared" si="283"/>
        <v>27437.380528696656</v>
      </c>
      <c r="M430" s="577">
        <f t="shared" si="283"/>
        <v>27492.032740929346</v>
      </c>
      <c r="N430" s="577">
        <f t="shared" si="283"/>
        <v>27546.689633603506</v>
      </c>
      <c r="O430" s="577">
        <f t="shared" si="283"/>
        <v>27601.351290796254</v>
      </c>
      <c r="P430" s="577">
        <f t="shared" si="283"/>
        <v>27656.017797924567</v>
      </c>
      <c r="Q430" s="577">
        <f t="shared" si="283"/>
        <v>27656.017797924567</v>
      </c>
      <c r="R430" s="577">
        <f t="shared" si="283"/>
        <v>28312.290345081663</v>
      </c>
      <c r="S430" s="577">
        <f t="shared" si="283"/>
        <v>29037.23316278763</v>
      </c>
      <c r="T430" s="577">
        <f t="shared" si="283"/>
        <v>29763.967898798066</v>
      </c>
      <c r="U430" s="577">
        <f t="shared" si="283"/>
        <v>30351.025591207377</v>
      </c>
      <c r="V430" s="577">
        <f t="shared" si="283"/>
        <v>30833.980045961383</v>
      </c>
      <c r="W430" s="577">
        <f t="shared" si="283"/>
        <v>31317.937991360162</v>
      </c>
      <c r="X430" s="577">
        <f t="shared" si="283"/>
        <v>31803.048240295768</v>
      </c>
      <c r="Y430" s="577">
        <f t="shared" si="283"/>
        <v>32289.592596786744</v>
      </c>
      <c r="Z430" s="577">
        <f t="shared" si="283"/>
        <v>32777.533637518362</v>
      </c>
      <c r="AA430" s="577">
        <f t="shared" si="283"/>
        <v>33267.312615820912</v>
      </c>
      <c r="AB430" s="577">
        <f t="shared" si="283"/>
        <v>33758.94083407885</v>
      </c>
      <c r="AC430" s="577">
        <f t="shared" si="283"/>
        <v>34252.801378286742</v>
      </c>
      <c r="AD430" s="577">
        <f t="shared" si="283"/>
        <v>34749.311718706449</v>
      </c>
      <c r="AE430" s="577">
        <f t="shared" si="283"/>
        <v>35248.577163419322</v>
      </c>
      <c r="AF430" s="577">
        <f t="shared" si="283"/>
        <v>35751.089441536766</v>
      </c>
      <c r="AG430" s="725">
        <f t="shared" si="283"/>
        <v>36257.386538382605</v>
      </c>
      <c r="AH430" s="18"/>
      <c r="AI430" s="18"/>
      <c r="AJ430" s="18"/>
      <c r="AK430" s="18"/>
      <c r="AL430" s="18"/>
      <c r="AM430" s="18"/>
      <c r="AN430" s="18"/>
    </row>
    <row r="431" spans="2:40" ht="21.95" customHeight="1" x14ac:dyDescent="0.2">
      <c r="B431" s="705"/>
      <c r="C431" s="715"/>
      <c r="D431" s="715"/>
      <c r="E431" s="1339"/>
      <c r="F431" s="116" t="s">
        <v>342</v>
      </c>
      <c r="G431" s="116" t="s">
        <v>341</v>
      </c>
      <c r="H431" s="577">
        <f t="shared" ref="H431:AG431" si="284">H311/H373</f>
        <v>39470.462636527714</v>
      </c>
      <c r="I431" s="577">
        <f t="shared" si="284"/>
        <v>39549.879777937058</v>
      </c>
      <c r="J431" s="577">
        <f t="shared" si="284"/>
        <v>39629.307469700674</v>
      </c>
      <c r="K431" s="577">
        <f t="shared" si="284"/>
        <v>39708.745902865128</v>
      </c>
      <c r="L431" s="577">
        <f t="shared" si="284"/>
        <v>39788.195271545905</v>
      </c>
      <c r="M431" s="577">
        <f t="shared" si="284"/>
        <v>39867.655772970502</v>
      </c>
      <c r="N431" s="577">
        <f t="shared" si="284"/>
        <v>39947.127607521943</v>
      </c>
      <c r="O431" s="577">
        <f t="shared" si="284"/>
        <v>40026.610978782912</v>
      </c>
      <c r="P431" s="577">
        <f t="shared" si="284"/>
        <v>40106.106093580325</v>
      </c>
      <c r="Q431" s="577">
        <f t="shared" si="284"/>
        <v>40106.106093580325</v>
      </c>
      <c r="R431" s="577">
        <f t="shared" si="284"/>
        <v>41060.844230156421</v>
      </c>
      <c r="S431" s="577">
        <f t="shared" si="284"/>
        <v>42116.476578541427</v>
      </c>
      <c r="T431" s="577">
        <f t="shared" si="284"/>
        <v>43176.015242425143</v>
      </c>
      <c r="U431" s="577">
        <f t="shared" si="284"/>
        <v>44033.07079955579</v>
      </c>
      <c r="V431" s="577">
        <f t="shared" si="284"/>
        <v>44739.064842326967</v>
      </c>
      <c r="W431" s="577">
        <f t="shared" si="284"/>
        <v>45447.488717167194</v>
      </c>
      <c r="X431" s="577">
        <f t="shared" si="284"/>
        <v>46158.702756620922</v>
      </c>
      <c r="Y431" s="577">
        <f t="shared" si="284"/>
        <v>46873.281165409215</v>
      </c>
      <c r="Z431" s="577">
        <f t="shared" si="284"/>
        <v>47591.349627196192</v>
      </c>
      <c r="AA431" s="577">
        <f t="shared" si="284"/>
        <v>48313.760284197167</v>
      </c>
      <c r="AB431" s="577">
        <f t="shared" si="284"/>
        <v>49040.756803504504</v>
      </c>
      <c r="AC431" s="577">
        <f t="shared" si="284"/>
        <v>49773.158631979379</v>
      </c>
      <c r="AD431" s="577">
        <f t="shared" si="284"/>
        <v>50511.868473856441</v>
      </c>
      <c r="AE431" s="577">
        <f t="shared" si="284"/>
        <v>51257.357619732211</v>
      </c>
      <c r="AF431" s="577">
        <f t="shared" si="284"/>
        <v>52010.708582726373</v>
      </c>
      <c r="AG431" s="725">
        <f t="shared" si="284"/>
        <v>52773.1158798213</v>
      </c>
      <c r="AH431" s="18"/>
      <c r="AI431" s="18"/>
      <c r="AJ431" s="18"/>
      <c r="AK431" s="18"/>
      <c r="AL431" s="18"/>
      <c r="AM431" s="18"/>
      <c r="AN431" s="18"/>
    </row>
    <row r="432" spans="2:40" ht="21.95" customHeight="1" x14ac:dyDescent="0.2">
      <c r="B432" s="705"/>
      <c r="C432" s="715"/>
      <c r="D432" s="715"/>
      <c r="E432" s="1339"/>
      <c r="F432" s="116" t="s">
        <v>341</v>
      </c>
      <c r="G432" s="116" t="s">
        <v>344</v>
      </c>
      <c r="H432" s="577">
        <f t="shared" ref="H432:AG432" si="285">H312/H374</f>
        <v>40875.197718659634</v>
      </c>
      <c r="I432" s="577">
        <f t="shared" si="285"/>
        <v>40959.562572502989</v>
      </c>
      <c r="J432" s="577">
        <f t="shared" si="285"/>
        <v>41043.98534849623</v>
      </c>
      <c r="K432" s="577">
        <f t="shared" si="285"/>
        <v>41128.467095497726</v>
      </c>
      <c r="L432" s="577">
        <f t="shared" si="285"/>
        <v>41213.008879214547</v>
      </c>
      <c r="M432" s="577">
        <f t="shared" si="285"/>
        <v>41297.611782438697</v>
      </c>
      <c r="N432" s="577">
        <f t="shared" si="285"/>
        <v>41382.276905286453</v>
      </c>
      <c r="O432" s="577">
        <f t="shared" si="285"/>
        <v>41467.005365440295</v>
      </c>
      <c r="P432" s="577">
        <f t="shared" si="285"/>
        <v>41551.798298393871</v>
      </c>
      <c r="Q432" s="577">
        <f t="shared" si="285"/>
        <v>41551.798298393871</v>
      </c>
      <c r="R432" s="577">
        <f t="shared" si="285"/>
        <v>41755.362784305624</v>
      </c>
      <c r="S432" s="577">
        <f t="shared" si="285"/>
        <v>42478.44743641172</v>
      </c>
      <c r="T432" s="577">
        <f t="shared" si="285"/>
        <v>43188.595891204066</v>
      </c>
      <c r="U432" s="577">
        <f t="shared" si="285"/>
        <v>43671.990674347078</v>
      </c>
      <c r="V432" s="577">
        <f t="shared" si="285"/>
        <v>43984.627695052972</v>
      </c>
      <c r="W432" s="577">
        <f t="shared" si="285"/>
        <v>44713.018870921391</v>
      </c>
      <c r="X432" s="577">
        <f t="shared" si="285"/>
        <v>45449.893025303652</v>
      </c>
      <c r="Y432" s="577">
        <f t="shared" si="285"/>
        <v>46196.663263067487</v>
      </c>
      <c r="Z432" s="577">
        <f t="shared" si="285"/>
        <v>46954.377018488573</v>
      </c>
      <c r="AA432" s="577">
        <f t="shared" si="285"/>
        <v>47724.95975569493</v>
      </c>
      <c r="AB432" s="577">
        <f t="shared" si="285"/>
        <v>48509.817615714484</v>
      </c>
      <c r="AC432" s="577">
        <f t="shared" si="285"/>
        <v>49311.109316700764</v>
      </c>
      <c r="AD432" s="577">
        <f t="shared" si="285"/>
        <v>50131.246705424186</v>
      </c>
      <c r="AE432" s="577">
        <f t="shared" si="285"/>
        <v>50972.327970000631</v>
      </c>
      <c r="AF432" s="577">
        <f t="shared" si="285"/>
        <v>51837.311632798497</v>
      </c>
      <c r="AG432" s="725">
        <f t="shared" si="285"/>
        <v>52729.496743177537</v>
      </c>
      <c r="AH432" s="18"/>
      <c r="AI432" s="18"/>
      <c r="AJ432" s="18"/>
      <c r="AK432" s="18"/>
      <c r="AL432" s="18"/>
      <c r="AM432" s="18"/>
      <c r="AN432" s="18"/>
    </row>
    <row r="433" spans="1:40" ht="21.95" customHeight="1" x14ac:dyDescent="0.2">
      <c r="B433" s="705"/>
      <c r="C433" s="715"/>
      <c r="D433" s="715"/>
      <c r="E433" s="1339"/>
      <c r="F433" s="116" t="s">
        <v>344</v>
      </c>
      <c r="G433" s="116" t="s">
        <v>345</v>
      </c>
      <c r="H433" s="577">
        <f t="shared" ref="H433:AG433" si="286">H313/H375</f>
        <v>13764.799206393407</v>
      </c>
      <c r="I433" s="577">
        <f t="shared" si="286"/>
        <v>13792.653073078975</v>
      </c>
      <c r="J433" s="577">
        <f t="shared" si="286"/>
        <v>13820.514123782255</v>
      </c>
      <c r="K433" s="577">
        <f t="shared" si="286"/>
        <v>13848.382488591951</v>
      </c>
      <c r="L433" s="577">
        <f t="shared" si="286"/>
        <v>13876.258299686475</v>
      </c>
      <c r="M433" s="577">
        <f t="shared" si="286"/>
        <v>13904.141691363286</v>
      </c>
      <c r="N433" s="577">
        <f t="shared" si="286"/>
        <v>13932.032800068537</v>
      </c>
      <c r="O433" s="577">
        <f t="shared" si="286"/>
        <v>13959.931764427105</v>
      </c>
      <c r="P433" s="577">
        <f t="shared" si="286"/>
        <v>13987.838725272964</v>
      </c>
      <c r="Q433" s="577">
        <f t="shared" si="286"/>
        <v>13987.838725272964</v>
      </c>
      <c r="R433" s="577">
        <f t="shared" si="286"/>
        <v>14054.780379629161</v>
      </c>
      <c r="S433" s="577">
        <f t="shared" si="286"/>
        <v>14291.894464973371</v>
      </c>
      <c r="T433" s="577">
        <f t="shared" si="286"/>
        <v>14523.646603481064</v>
      </c>
      <c r="U433" s="577">
        <f t="shared" si="286"/>
        <v>14680.693546774119</v>
      </c>
      <c r="V433" s="577">
        <f t="shared" si="286"/>
        <v>14781.934587500624</v>
      </c>
      <c r="W433" s="577">
        <f t="shared" si="286"/>
        <v>15016.724383730476</v>
      </c>
      <c r="X433" s="577">
        <f t="shared" si="286"/>
        <v>15252.566314040707</v>
      </c>
      <c r="Y433" s="577">
        <f t="shared" si="286"/>
        <v>15489.669354420734</v>
      </c>
      <c r="Z433" s="577">
        <f t="shared" si="286"/>
        <v>15728.09599650862</v>
      </c>
      <c r="AA433" s="577">
        <f t="shared" si="286"/>
        <v>15968.152473840242</v>
      </c>
      <c r="AB433" s="577">
        <f t="shared" si="286"/>
        <v>16209.945768040085</v>
      </c>
      <c r="AC433" s="577">
        <f t="shared" si="286"/>
        <v>16453.777332656886</v>
      </c>
      <c r="AD433" s="577">
        <f t="shared" si="286"/>
        <v>16699.980016490987</v>
      </c>
      <c r="AE433" s="577">
        <f t="shared" si="286"/>
        <v>16948.746634972194</v>
      </c>
      <c r="AF433" s="577">
        <f t="shared" si="286"/>
        <v>17200.477840447282</v>
      </c>
      <c r="AG433" s="725">
        <f t="shared" si="286"/>
        <v>17455.616520434556</v>
      </c>
      <c r="AH433" s="18"/>
      <c r="AI433" s="18"/>
      <c r="AJ433" s="18"/>
      <c r="AK433" s="18"/>
      <c r="AL433" s="18"/>
      <c r="AM433" s="18"/>
      <c r="AN433" s="18"/>
    </row>
    <row r="434" spans="1:40" ht="21.95" customHeight="1" x14ac:dyDescent="0.2">
      <c r="B434" s="705"/>
      <c r="C434" s="715"/>
      <c r="D434" s="715"/>
      <c r="E434" s="1339"/>
      <c r="F434" s="116" t="s">
        <v>345</v>
      </c>
      <c r="G434" s="116" t="s">
        <v>323</v>
      </c>
      <c r="H434" s="577">
        <f t="shared" ref="H434:AG434" si="287">H314/H376</f>
        <v>135966.66551822625</v>
      </c>
      <c r="I434" s="577">
        <f t="shared" si="287"/>
        <v>139122.71202219711</v>
      </c>
      <c r="J434" s="577">
        <f t="shared" si="287"/>
        <v>143756.82212084532</v>
      </c>
      <c r="K434" s="577">
        <f t="shared" si="287"/>
        <v>149351.26667603402</v>
      </c>
      <c r="L434" s="577">
        <f t="shared" si="287"/>
        <v>155002.50240940743</v>
      </c>
      <c r="M434" s="577">
        <f t="shared" si="287"/>
        <v>160730.72447758543</v>
      </c>
      <c r="N434" s="577">
        <f t="shared" si="287"/>
        <v>166561.43466907376</v>
      </c>
      <c r="O434" s="577">
        <f t="shared" si="287"/>
        <v>172536.74768101136</v>
      </c>
      <c r="P434" s="577">
        <f t="shared" si="287"/>
        <v>177826.88249536706</v>
      </c>
      <c r="Q434" s="577">
        <f t="shared" si="287"/>
        <v>183295.64614548674</v>
      </c>
      <c r="R434" s="577">
        <f t="shared" si="287"/>
        <v>188991.66157858996</v>
      </c>
      <c r="S434" s="577">
        <f t="shared" si="287"/>
        <v>194973.86602949153</v>
      </c>
      <c r="T434" s="577">
        <f t="shared" si="287"/>
        <v>201318.87729464436</v>
      </c>
      <c r="U434" s="577">
        <f t="shared" si="287"/>
        <v>206755.17258454807</v>
      </c>
      <c r="V434" s="577">
        <f t="shared" si="287"/>
        <v>211474.46420948426</v>
      </c>
      <c r="W434" s="577">
        <f t="shared" si="287"/>
        <v>216461.93591169058</v>
      </c>
      <c r="X434" s="577">
        <f t="shared" si="287"/>
        <v>221757.35752170131</v>
      </c>
      <c r="Y434" s="577">
        <f t="shared" si="287"/>
        <v>227407.02078859089</v>
      </c>
      <c r="Z434" s="577">
        <f t="shared" si="287"/>
        <v>233458.96361436634</v>
      </c>
      <c r="AA434" s="577">
        <f t="shared" si="287"/>
        <v>239973.07054287265</v>
      </c>
      <c r="AB434" s="577">
        <f t="shared" si="287"/>
        <v>247010.4012833873</v>
      </c>
      <c r="AC434" s="577">
        <f t="shared" si="287"/>
        <v>254644.31491071821</v>
      </c>
      <c r="AD434" s="577">
        <f t="shared" si="287"/>
        <v>262957.35959924303</v>
      </c>
      <c r="AE434" s="577">
        <f t="shared" si="287"/>
        <v>272035.71781866968</v>
      </c>
      <c r="AF434" s="577">
        <f t="shared" si="287"/>
        <v>281981.78321389284</v>
      </c>
      <c r="AG434" s="725">
        <f t="shared" si="287"/>
        <v>292910.31127364037</v>
      </c>
      <c r="AH434" s="18"/>
      <c r="AI434" s="18"/>
      <c r="AJ434" s="18"/>
      <c r="AK434" s="18"/>
      <c r="AL434" s="18"/>
      <c r="AM434" s="18"/>
      <c r="AN434" s="18"/>
    </row>
    <row r="435" spans="1:40" ht="21.95" customHeight="1" x14ac:dyDescent="0.2">
      <c r="B435" s="705"/>
      <c r="C435" s="715"/>
      <c r="D435" s="715"/>
      <c r="E435" s="1339"/>
      <c r="F435" s="116" t="s">
        <v>323</v>
      </c>
      <c r="G435" s="116" t="s">
        <v>347</v>
      </c>
      <c r="H435" s="577">
        <f t="shared" ref="H435:AG435" si="288">H315/H377</f>
        <v>24279.761699683262</v>
      </c>
      <c r="I435" s="577">
        <f t="shared" si="288"/>
        <v>24822.225215300496</v>
      </c>
      <c r="J435" s="577">
        <f t="shared" si="288"/>
        <v>25628.372469134665</v>
      </c>
      <c r="K435" s="577">
        <f t="shared" si="288"/>
        <v>26658.211554253063</v>
      </c>
      <c r="L435" s="577">
        <f t="shared" si="288"/>
        <v>27698.825447716736</v>
      </c>
      <c r="M435" s="577">
        <f t="shared" si="288"/>
        <v>28753.991969942716</v>
      </c>
      <c r="N435" s="577">
        <f t="shared" si="288"/>
        <v>29829.065055485757</v>
      </c>
      <c r="O435" s="577">
        <f t="shared" si="288"/>
        <v>30932.254148970005</v>
      </c>
      <c r="P435" s="577">
        <f t="shared" si="288"/>
        <v>31943.397958309135</v>
      </c>
      <c r="Q435" s="577">
        <f t="shared" si="288"/>
        <v>32992.654478279066</v>
      </c>
      <c r="R435" s="577">
        <f t="shared" si="288"/>
        <v>34090.707925964642</v>
      </c>
      <c r="S435" s="577">
        <f t="shared" si="288"/>
        <v>35251.232890622538</v>
      </c>
      <c r="T435" s="577">
        <f t="shared" si="288"/>
        <v>36491.654412986543</v>
      </c>
      <c r="U435" s="577">
        <f t="shared" si="288"/>
        <v>37501.292986121</v>
      </c>
      <c r="V435" s="577">
        <f t="shared" si="288"/>
        <v>38342.926922774735</v>
      </c>
      <c r="W435" s="577">
        <f t="shared" si="288"/>
        <v>39233.162324716119</v>
      </c>
      <c r="X435" s="577">
        <f t="shared" si="288"/>
        <v>40178.846962366981</v>
      </c>
      <c r="Y435" s="577">
        <f t="shared" si="288"/>
        <v>41187.841821289578</v>
      </c>
      <c r="Z435" s="577">
        <f t="shared" si="288"/>
        <v>42268.448798357182</v>
      </c>
      <c r="AA435" s="577">
        <f t="shared" si="288"/>
        <v>43430.679779295351</v>
      </c>
      <c r="AB435" s="577">
        <f t="shared" si="288"/>
        <v>44684.958626730033</v>
      </c>
      <c r="AC435" s="577">
        <f t="shared" si="288"/>
        <v>46043.519023721128</v>
      </c>
      <c r="AD435" s="577">
        <f t="shared" si="288"/>
        <v>47520.042913924452</v>
      </c>
      <c r="AE435" s="577">
        <f t="shared" si="288"/>
        <v>49129.004966851389</v>
      </c>
      <c r="AF435" s="577">
        <f t="shared" si="288"/>
        <v>50887.24842512708</v>
      </c>
      <c r="AG435" s="725">
        <f t="shared" si="288"/>
        <v>52813.538224856289</v>
      </c>
      <c r="AH435" s="18"/>
      <c r="AI435" s="18"/>
      <c r="AJ435" s="18"/>
      <c r="AK435" s="18"/>
      <c r="AL435" s="18"/>
      <c r="AM435" s="18"/>
      <c r="AN435" s="18"/>
    </row>
    <row r="436" spans="1:40" ht="21.95" customHeight="1" x14ac:dyDescent="0.2">
      <c r="B436" s="705"/>
      <c r="C436" s="715"/>
      <c r="D436" s="715"/>
      <c r="E436" s="1339"/>
      <c r="F436" s="116" t="s">
        <v>347</v>
      </c>
      <c r="G436" s="116" t="s">
        <v>348</v>
      </c>
      <c r="H436" s="577">
        <f>H316/H378</f>
        <v>19882.557888569419</v>
      </c>
      <c r="I436" s="577">
        <f t="shared" ref="I436:AG436" si="289">I316/I378</f>
        <v>20329.509255981509</v>
      </c>
      <c r="J436" s="577">
        <f t="shared" si="289"/>
        <v>20995.063090209351</v>
      </c>
      <c r="K436" s="577">
        <f t="shared" si="289"/>
        <v>21848.347522017735</v>
      </c>
      <c r="L436" s="577">
        <f t="shared" si="289"/>
        <v>22715.247709939871</v>
      </c>
      <c r="M436" s="577">
        <f t="shared" si="289"/>
        <v>23600.752935557201</v>
      </c>
      <c r="N436" s="577">
        <f t="shared" si="289"/>
        <v>24511.781140205534</v>
      </c>
      <c r="O436" s="577">
        <f t="shared" si="289"/>
        <v>25458.451008620337</v>
      </c>
      <c r="P436" s="577">
        <f t="shared" si="289"/>
        <v>26339.044301622958</v>
      </c>
      <c r="Q436" s="577">
        <f t="shared" si="289"/>
        <v>27268.250950745336</v>
      </c>
      <c r="R436" s="577">
        <f t="shared" si="289"/>
        <v>28259.789337420112</v>
      </c>
      <c r="S436" s="577">
        <f t="shared" si="289"/>
        <v>29331.076166663563</v>
      </c>
      <c r="T436" s="577">
        <f t="shared" si="289"/>
        <v>30504.165003120477</v>
      </c>
      <c r="U436" s="577">
        <f t="shared" si="289"/>
        <v>31480.77263659767</v>
      </c>
      <c r="V436" s="577">
        <f t="shared" si="289"/>
        <v>32309.632052614514</v>
      </c>
      <c r="W436" s="577">
        <f t="shared" si="289"/>
        <v>33200.534001790322</v>
      </c>
      <c r="X436" s="577">
        <f t="shared" si="289"/>
        <v>34162.220052325676</v>
      </c>
      <c r="Y436" s="577">
        <f t="shared" si="289"/>
        <v>35204.685513650351</v>
      </c>
      <c r="Z436" s="577">
        <f t="shared" si="289"/>
        <v>36338.607600025469</v>
      </c>
      <c r="AA436" s="577">
        <f t="shared" si="289"/>
        <v>37576.687681712581</v>
      </c>
      <c r="AB436" s="577">
        <f t="shared" si="289"/>
        <v>38932.311782877892</v>
      </c>
      <c r="AC436" s="577">
        <f t="shared" si="289"/>
        <v>40421.05720987013</v>
      </c>
      <c r="AD436" s="577">
        <f t="shared" si="289"/>
        <v>42060.350056014067</v>
      </c>
      <c r="AE436" s="577">
        <f t="shared" si="289"/>
        <v>43868.747430730706</v>
      </c>
      <c r="AF436" s="577">
        <f t="shared" si="289"/>
        <v>45867.711005181256</v>
      </c>
      <c r="AG436" s="725">
        <f t="shared" si="289"/>
        <v>48081.155601491097</v>
      </c>
      <c r="AH436" s="18"/>
      <c r="AI436" s="18"/>
      <c r="AJ436" s="18"/>
      <c r="AK436" s="18"/>
      <c r="AL436" s="18"/>
      <c r="AM436" s="18"/>
      <c r="AN436" s="18"/>
    </row>
    <row r="437" spans="1:40" ht="21.95" customHeight="1" x14ac:dyDescent="0.2">
      <c r="B437" s="705"/>
      <c r="C437" s="715"/>
      <c r="D437" s="715"/>
      <c r="E437" s="1353"/>
      <c r="F437" s="254" t="s">
        <v>348</v>
      </c>
      <c r="G437" s="254" t="s">
        <v>349</v>
      </c>
      <c r="H437" s="577">
        <f t="shared" ref="H437:AG437" si="290">H317/H379</f>
        <v>32600.854854919471</v>
      </c>
      <c r="I437" s="577">
        <f t="shared" si="290"/>
        <v>33431.173101260589</v>
      </c>
      <c r="J437" s="577">
        <f t="shared" si="290"/>
        <v>34609.734464542955</v>
      </c>
      <c r="K437" s="577">
        <f t="shared" si="290"/>
        <v>36235.699560000714</v>
      </c>
      <c r="L437" s="577">
        <f t="shared" si="290"/>
        <v>37959.349192905625</v>
      </c>
      <c r="M437" s="577">
        <f t="shared" si="290"/>
        <v>39821.467132073332</v>
      </c>
      <c r="N437" s="577">
        <f t="shared" si="290"/>
        <v>41877.048486250722</v>
      </c>
      <c r="O437" s="577">
        <f t="shared" si="290"/>
        <v>44203.178647977533</v>
      </c>
      <c r="P437" s="577">
        <f t="shared" si="290"/>
        <v>46766.125971591428</v>
      </c>
      <c r="Q437" s="577">
        <f t="shared" si="290"/>
        <v>49779.230495127551</v>
      </c>
      <c r="R437" s="577">
        <f t="shared" si="290"/>
        <v>53388.986097810164</v>
      </c>
      <c r="S437" s="577">
        <f t="shared" si="290"/>
        <v>57783.287496048724</v>
      </c>
      <c r="T437" s="577">
        <f t="shared" si="290"/>
        <v>63204.318218835797</v>
      </c>
      <c r="U437" s="577">
        <f t="shared" si="290"/>
        <v>68054.033434782992</v>
      </c>
      <c r="V437" s="577">
        <f t="shared" si="290"/>
        <v>72351.60945059167</v>
      </c>
      <c r="W437" s="577">
        <f t="shared" si="290"/>
        <v>77239.015775822467</v>
      </c>
      <c r="X437" s="577">
        <f t="shared" si="290"/>
        <v>82803.678797031404</v>
      </c>
      <c r="Y437" s="577">
        <f t="shared" si="290"/>
        <v>89145.68754792519</v>
      </c>
      <c r="Z437" s="577">
        <f t="shared" si="290"/>
        <v>96373.93518989977</v>
      </c>
      <c r="AA437" s="577">
        <f t="shared" si="290"/>
        <v>104616.66313087565</v>
      </c>
      <c r="AB437" s="577">
        <f t="shared" si="290"/>
        <v>114011.51218698648</v>
      </c>
      <c r="AC437" s="577">
        <f t="shared" si="290"/>
        <v>124718.00165038872</v>
      </c>
      <c r="AD437" s="577">
        <f t="shared" si="290"/>
        <v>136915.64150414872</v>
      </c>
      <c r="AE437" s="577">
        <f t="shared" si="290"/>
        <v>150797.55037346116</v>
      </c>
      <c r="AF437" s="577">
        <f t="shared" si="290"/>
        <v>166586.88861050332</v>
      </c>
      <c r="AG437" s="725">
        <f t="shared" si="290"/>
        <v>184533.68499019026</v>
      </c>
      <c r="AH437" s="18"/>
      <c r="AI437" s="18"/>
      <c r="AJ437" s="18"/>
      <c r="AK437" s="18"/>
      <c r="AL437" s="18"/>
      <c r="AM437" s="18"/>
      <c r="AN437" s="18"/>
    </row>
    <row r="438" spans="1:40" ht="21.95" customHeight="1" x14ac:dyDescent="0.2">
      <c r="B438" s="705"/>
      <c r="C438" s="715"/>
      <c r="D438" s="715"/>
      <c r="E438" s="116" t="s">
        <v>288</v>
      </c>
      <c r="F438" s="116" t="s">
        <v>323</v>
      </c>
      <c r="G438" s="116" t="s">
        <v>348</v>
      </c>
      <c r="H438" s="593">
        <f t="shared" ref="H438:AG438" si="291">H318/H380</f>
        <v>7751.6556316504648</v>
      </c>
      <c r="I438" s="593">
        <f t="shared" si="291"/>
        <v>8228.2971511901342</v>
      </c>
      <c r="J438" s="593">
        <f t="shared" si="291"/>
        <v>8859.0688268444937</v>
      </c>
      <c r="K438" s="593">
        <f t="shared" si="291"/>
        <v>9697.3312204885424</v>
      </c>
      <c r="L438" s="593">
        <f t="shared" si="291"/>
        <v>10535.861650580087</v>
      </c>
      <c r="M438" s="593">
        <f t="shared" si="291"/>
        <v>11376.221125987118</v>
      </c>
      <c r="N438" s="593">
        <f t="shared" si="291"/>
        <v>12214.553517474522</v>
      </c>
      <c r="O438" s="593">
        <f t="shared" si="291"/>
        <v>13053.866180629258</v>
      </c>
      <c r="P438" s="593">
        <f t="shared" si="291"/>
        <v>13819.297671518541</v>
      </c>
      <c r="Q438" s="593">
        <f t="shared" si="291"/>
        <v>14584.272342322272</v>
      </c>
      <c r="R438" s="593">
        <f t="shared" si="291"/>
        <v>15350.243709294415</v>
      </c>
      <c r="S438" s="593">
        <f t="shared" si="291"/>
        <v>16116.658160507173</v>
      </c>
      <c r="T438" s="593">
        <f t="shared" si="291"/>
        <v>16886.546757708969</v>
      </c>
      <c r="U438" s="593">
        <f t="shared" si="291"/>
        <v>17445.775570920625</v>
      </c>
      <c r="V438" s="593">
        <f t="shared" si="291"/>
        <v>17924.880456756433</v>
      </c>
      <c r="W438" s="593">
        <f t="shared" si="291"/>
        <v>18404.736052783068</v>
      </c>
      <c r="X438" s="593">
        <f t="shared" si="291"/>
        <v>18885.542274426927</v>
      </c>
      <c r="Y438" s="593">
        <f t="shared" si="291"/>
        <v>19368.068380836172</v>
      </c>
      <c r="Z438" s="593">
        <f t="shared" si="291"/>
        <v>19851.570420419135</v>
      </c>
      <c r="AA438" s="593">
        <f t="shared" si="291"/>
        <v>20338.123440651285</v>
      </c>
      <c r="AB438" s="593">
        <f t="shared" si="291"/>
        <v>20825.804521018967</v>
      </c>
      <c r="AC438" s="593">
        <f t="shared" si="291"/>
        <v>21316.33134866507</v>
      </c>
      <c r="AD438" s="593">
        <f t="shared" si="291"/>
        <v>21810.885674943853</v>
      </c>
      <c r="AE438" s="593">
        <f t="shared" si="291"/>
        <v>22309.167445045405</v>
      </c>
      <c r="AF438" s="593">
        <f t="shared" si="291"/>
        <v>22812.628486789457</v>
      </c>
      <c r="AG438" s="730">
        <f t="shared" si="291"/>
        <v>23323.611039554911</v>
      </c>
      <c r="AH438" s="18"/>
      <c r="AI438" s="18"/>
      <c r="AJ438" s="18"/>
      <c r="AK438" s="18"/>
      <c r="AL438" s="18"/>
      <c r="AM438" s="18"/>
      <c r="AN438" s="18"/>
    </row>
    <row r="439" spans="1:40" ht="21.95" customHeight="1" x14ac:dyDescent="0.2">
      <c r="B439" s="705"/>
      <c r="C439" s="715"/>
      <c r="D439" s="715"/>
      <c r="E439" s="277" t="s">
        <v>340</v>
      </c>
      <c r="F439" s="277" t="s">
        <v>335</v>
      </c>
      <c r="G439" s="277" t="s">
        <v>323</v>
      </c>
      <c r="H439" s="577" t="e">
        <f t="shared" ref="H439:AG439" si="292">H319/H381</f>
        <v>#DIV/0!</v>
      </c>
      <c r="I439" s="577" t="e">
        <f t="shared" si="292"/>
        <v>#DIV/0!</v>
      </c>
      <c r="J439" s="577" t="e">
        <f t="shared" si="292"/>
        <v>#DIV/0!</v>
      </c>
      <c r="K439" s="577" t="e">
        <f t="shared" si="292"/>
        <v>#DIV/0!</v>
      </c>
      <c r="L439" s="577" t="e">
        <f t="shared" si="292"/>
        <v>#DIV/0!</v>
      </c>
      <c r="M439" s="577" t="e">
        <f t="shared" si="292"/>
        <v>#DIV/0!</v>
      </c>
      <c r="N439" s="577" t="e">
        <f t="shared" si="292"/>
        <v>#DIV/0!</v>
      </c>
      <c r="O439" s="577" t="e">
        <f t="shared" si="292"/>
        <v>#DIV/0!</v>
      </c>
      <c r="P439" s="577" t="e">
        <f t="shared" si="292"/>
        <v>#DIV/0!</v>
      </c>
      <c r="Q439" s="577" t="e">
        <f t="shared" si="292"/>
        <v>#DIV/0!</v>
      </c>
      <c r="R439" s="577" t="e">
        <f t="shared" si="292"/>
        <v>#DIV/0!</v>
      </c>
      <c r="S439" s="577" t="e">
        <f t="shared" si="292"/>
        <v>#DIV/0!</v>
      </c>
      <c r="T439" s="577" t="e">
        <f t="shared" si="292"/>
        <v>#DIV/0!</v>
      </c>
      <c r="U439" s="577" t="e">
        <f t="shared" si="292"/>
        <v>#DIV/0!</v>
      </c>
      <c r="V439" s="577" t="e">
        <f t="shared" si="292"/>
        <v>#DIV/0!</v>
      </c>
      <c r="W439" s="577" t="e">
        <f t="shared" si="292"/>
        <v>#DIV/0!</v>
      </c>
      <c r="X439" s="577" t="e">
        <f t="shared" si="292"/>
        <v>#DIV/0!</v>
      </c>
      <c r="Y439" s="577" t="e">
        <f t="shared" si="292"/>
        <v>#DIV/0!</v>
      </c>
      <c r="Z439" s="577" t="e">
        <f t="shared" si="292"/>
        <v>#DIV/0!</v>
      </c>
      <c r="AA439" s="577" t="e">
        <f t="shared" si="292"/>
        <v>#DIV/0!</v>
      </c>
      <c r="AB439" s="577" t="e">
        <f t="shared" si="292"/>
        <v>#DIV/0!</v>
      </c>
      <c r="AC439" s="577" t="e">
        <f t="shared" si="292"/>
        <v>#DIV/0!</v>
      </c>
      <c r="AD439" s="577" t="e">
        <f t="shared" si="292"/>
        <v>#DIV/0!</v>
      </c>
      <c r="AE439" s="577" t="e">
        <f t="shared" si="292"/>
        <v>#DIV/0!</v>
      </c>
      <c r="AF439" s="577" t="e">
        <f t="shared" si="292"/>
        <v>#DIV/0!</v>
      </c>
      <c r="AG439" s="725" t="e">
        <f t="shared" si="292"/>
        <v>#DIV/0!</v>
      </c>
      <c r="AH439" s="18"/>
      <c r="AI439" s="18"/>
      <c r="AJ439" s="18"/>
      <c r="AK439" s="18"/>
      <c r="AL439" s="18"/>
      <c r="AM439" s="18"/>
      <c r="AN439" s="18"/>
    </row>
    <row r="440" spans="1:40" ht="21.95" customHeight="1" x14ac:dyDescent="0.2">
      <c r="B440" s="705"/>
      <c r="C440" s="715"/>
      <c r="D440" s="715"/>
      <c r="E440" s="277" t="s">
        <v>357</v>
      </c>
      <c r="F440" s="277" t="s">
        <v>338</v>
      </c>
      <c r="G440" s="277" t="s">
        <v>323</v>
      </c>
      <c r="H440" s="593">
        <f t="shared" ref="H440:AG440" si="293">H320/H382</f>
        <v>12529.704261412986</v>
      </c>
      <c r="I440" s="593">
        <f t="shared" si="293"/>
        <v>12701.978251727933</v>
      </c>
      <c r="J440" s="593">
        <f t="shared" si="293"/>
        <v>12999.844928348812</v>
      </c>
      <c r="K440" s="593">
        <f t="shared" si="293"/>
        <v>13409.013037100687</v>
      </c>
      <c r="L440" s="593">
        <f t="shared" si="293"/>
        <v>13818.69729320765</v>
      </c>
      <c r="M440" s="593">
        <f t="shared" si="293"/>
        <v>14229.423707048314</v>
      </c>
      <c r="N440" s="593">
        <f t="shared" si="293"/>
        <v>14639.963065541326</v>
      </c>
      <c r="O440" s="593">
        <f t="shared" si="293"/>
        <v>15052.691346571457</v>
      </c>
      <c r="P440" s="593">
        <f t="shared" si="293"/>
        <v>15339.465368116709</v>
      </c>
      <c r="Q440" s="593">
        <f t="shared" si="293"/>
        <v>15626.824133885124</v>
      </c>
      <c r="R440" s="593">
        <f t="shared" si="293"/>
        <v>15914.866628731295</v>
      </c>
      <c r="S440" s="593">
        <f t="shared" si="293"/>
        <v>16203.601122632936</v>
      </c>
      <c r="T440" s="593">
        <f t="shared" si="293"/>
        <v>16495.291256730277</v>
      </c>
      <c r="U440" s="593">
        <f t="shared" si="293"/>
        <v>16671.17470155489</v>
      </c>
      <c r="V440" s="593">
        <f t="shared" si="293"/>
        <v>16847.479207556222</v>
      </c>
      <c r="W440" s="593">
        <f t="shared" si="293"/>
        <v>17024.245615012165</v>
      </c>
      <c r="X440" s="593">
        <f t="shared" si="293"/>
        <v>17201.51824816411</v>
      </c>
      <c r="Y440" s="593">
        <f t="shared" si="293"/>
        <v>17380.570377421638</v>
      </c>
      <c r="Z440" s="593">
        <f t="shared" si="293"/>
        <v>17559.008034393202</v>
      </c>
      <c r="AA440" s="593">
        <f t="shared" si="293"/>
        <v>17738.79863964576</v>
      </c>
      <c r="AB440" s="593">
        <f t="shared" si="293"/>
        <v>17918.626557117994</v>
      </c>
      <c r="AC440" s="593">
        <f t="shared" si="293"/>
        <v>18099.244904992185</v>
      </c>
      <c r="AD440" s="593">
        <f t="shared" si="293"/>
        <v>18281.97642218211</v>
      </c>
      <c r="AE440" s="593">
        <f t="shared" si="293"/>
        <v>18464.401881153561</v>
      </c>
      <c r="AF440" s="593">
        <f t="shared" si="293"/>
        <v>18647.849582816609</v>
      </c>
      <c r="AG440" s="730">
        <f t="shared" si="293"/>
        <v>18833.120703579792</v>
      </c>
      <c r="AH440" s="18"/>
      <c r="AI440" s="18"/>
      <c r="AJ440" s="18"/>
      <c r="AK440" s="18"/>
      <c r="AL440" s="18"/>
      <c r="AM440" s="18"/>
      <c r="AN440" s="18"/>
    </row>
    <row r="441" spans="1:40" ht="21.95" customHeight="1" x14ac:dyDescent="0.2">
      <c r="B441" s="705"/>
      <c r="C441" s="715"/>
      <c r="D441" s="715"/>
      <c r="E441" s="116" t="s">
        <v>338</v>
      </c>
      <c r="F441" s="116" t="s">
        <v>282</v>
      </c>
      <c r="G441" s="116" t="s">
        <v>357</v>
      </c>
      <c r="H441" s="577">
        <f t="shared" ref="H441:AG441" si="294">H321/H383</f>
        <v>25675.846050620508</v>
      </c>
      <c r="I441" s="577">
        <f t="shared" si="294"/>
        <v>26416.005169676595</v>
      </c>
      <c r="J441" s="577">
        <f t="shared" si="294"/>
        <v>27217.145146337516</v>
      </c>
      <c r="K441" s="577">
        <f t="shared" si="294"/>
        <v>28280.001038108145</v>
      </c>
      <c r="L441" s="577">
        <f t="shared" si="294"/>
        <v>29343.038680191261</v>
      </c>
      <c r="M441" s="577">
        <f t="shared" si="294"/>
        <v>30406.515628413323</v>
      </c>
      <c r="N441" s="577">
        <f t="shared" si="294"/>
        <v>31469.380223079683</v>
      </c>
      <c r="O441" s="577">
        <f t="shared" si="294"/>
        <v>32532.532529036373</v>
      </c>
      <c r="P441" s="577">
        <f t="shared" si="294"/>
        <v>33702.403782466354</v>
      </c>
      <c r="Q441" s="577">
        <f t="shared" si="294"/>
        <v>34871.901722336392</v>
      </c>
      <c r="R441" s="577">
        <f t="shared" si="294"/>
        <v>36041.800897595291</v>
      </c>
      <c r="S441" s="577">
        <f t="shared" si="294"/>
        <v>37211.721712497048</v>
      </c>
      <c r="T441" s="577">
        <f t="shared" si="294"/>
        <v>38382.339006043636</v>
      </c>
      <c r="U441" s="577">
        <f t="shared" si="294"/>
        <v>39290.473873695897</v>
      </c>
      <c r="V441" s="577">
        <f t="shared" si="294"/>
        <v>40030.74061481213</v>
      </c>
      <c r="W441" s="577">
        <f t="shared" si="294"/>
        <v>40771.029539939926</v>
      </c>
      <c r="X441" s="577">
        <f t="shared" si="294"/>
        <v>41511.344623938079</v>
      </c>
      <c r="Y441" s="577">
        <f t="shared" si="294"/>
        <v>42251.613413708721</v>
      </c>
      <c r="Z441" s="577">
        <f t="shared" si="294"/>
        <v>42991.995303041018</v>
      </c>
      <c r="AA441" s="577">
        <f t="shared" si="294"/>
        <v>43732.342285660881</v>
      </c>
      <c r="AB441" s="577">
        <f t="shared" si="294"/>
        <v>44472.81546814397</v>
      </c>
      <c r="AC441" s="577">
        <f t="shared" si="294"/>
        <v>45213.345808110273</v>
      </c>
      <c r="AD441" s="577">
        <f t="shared" si="294"/>
        <v>45953.865379415984</v>
      </c>
      <c r="AE441" s="577">
        <f t="shared" si="294"/>
        <v>46694.538758321352</v>
      </c>
      <c r="AF441" s="577">
        <f t="shared" si="294"/>
        <v>47435.300739731058</v>
      </c>
      <c r="AG441" s="725">
        <f t="shared" si="294"/>
        <v>48176.087684756501</v>
      </c>
      <c r="AH441" s="18"/>
      <c r="AI441" s="18"/>
      <c r="AJ441" s="18"/>
      <c r="AK441" s="18"/>
      <c r="AL441" s="18"/>
      <c r="AM441" s="18"/>
      <c r="AN441" s="18"/>
    </row>
    <row r="442" spans="1:40" ht="21.95" customHeight="1" x14ac:dyDescent="0.2">
      <c r="B442" s="705"/>
      <c r="C442" s="715"/>
      <c r="D442" s="715"/>
      <c r="E442" s="116"/>
      <c r="F442" s="116" t="s">
        <v>357</v>
      </c>
      <c r="G442" s="116" t="s">
        <v>346</v>
      </c>
      <c r="H442" s="577">
        <f t="shared" ref="H442:AG442" si="295">H322/H384</f>
        <v>3739.3436205696348</v>
      </c>
      <c r="I442" s="577">
        <f t="shared" si="295"/>
        <v>3845.4721105866734</v>
      </c>
      <c r="J442" s="577">
        <f t="shared" si="295"/>
        <v>3963.2466950640564</v>
      </c>
      <c r="K442" s="577">
        <f t="shared" si="295"/>
        <v>4128.555247218922</v>
      </c>
      <c r="L442" s="577">
        <f t="shared" si="295"/>
        <v>4293.8933425705582</v>
      </c>
      <c r="M442" s="577">
        <f t="shared" si="295"/>
        <v>4459.2659106530446</v>
      </c>
      <c r="N442" s="577">
        <f t="shared" si="295"/>
        <v>4624.5745603016785</v>
      </c>
      <c r="O442" s="577">
        <f t="shared" si="295"/>
        <v>4789.8931114372936</v>
      </c>
      <c r="P442" s="577">
        <f t="shared" si="295"/>
        <v>4975.7043760202077</v>
      </c>
      <c r="Q442" s="577">
        <f t="shared" si="295"/>
        <v>5161.4518271967954</v>
      </c>
      <c r="R442" s="577">
        <f t="shared" si="295"/>
        <v>5347.2634484111468</v>
      </c>
      <c r="S442" s="577">
        <f t="shared" si="295"/>
        <v>5533.0753546688702</v>
      </c>
      <c r="T442" s="577">
        <f t="shared" si="295"/>
        <v>5718.9171697658358</v>
      </c>
      <c r="U442" s="577">
        <f t="shared" si="295"/>
        <v>5857.2151811914491</v>
      </c>
      <c r="V442" s="577">
        <f t="shared" si="295"/>
        <v>5963.3449234835043</v>
      </c>
      <c r="W442" s="577">
        <f t="shared" si="295"/>
        <v>6069.4749125719845</v>
      </c>
      <c r="X442" s="577">
        <f t="shared" si="295"/>
        <v>6175.6051909016305</v>
      </c>
      <c r="Y442" s="577">
        <f t="shared" si="295"/>
        <v>6281.6816840209394</v>
      </c>
      <c r="Z442" s="577">
        <f t="shared" si="295"/>
        <v>6387.8126942487452</v>
      </c>
      <c r="AA442" s="577">
        <f t="shared" si="295"/>
        <v>6493.8900388729326</v>
      </c>
      <c r="AB442" s="577">
        <f t="shared" si="295"/>
        <v>6600.0220382773405</v>
      </c>
      <c r="AC442" s="577">
        <f t="shared" si="295"/>
        <v>6706.1546524032665</v>
      </c>
      <c r="AD442" s="577">
        <f t="shared" si="295"/>
        <v>6812.233851371775</v>
      </c>
      <c r="AE442" s="577">
        <f t="shared" si="295"/>
        <v>6918.3679919042497</v>
      </c>
      <c r="AF442" s="577">
        <f t="shared" si="295"/>
        <v>7024.5030715860494</v>
      </c>
      <c r="AG442" s="725">
        <f t="shared" si="295"/>
        <v>7130.5851019839674</v>
      </c>
      <c r="AH442" s="18"/>
      <c r="AI442" s="18"/>
      <c r="AJ442" s="18"/>
      <c r="AK442" s="18"/>
      <c r="AL442" s="18"/>
      <c r="AM442" s="18"/>
      <c r="AN442" s="18"/>
    </row>
    <row r="443" spans="1:40" ht="21.95" customHeight="1" x14ac:dyDescent="0.2">
      <c r="B443" s="705"/>
      <c r="C443" s="715"/>
      <c r="D443" s="715"/>
      <c r="E443" s="116"/>
      <c r="F443" s="116" t="s">
        <v>346</v>
      </c>
      <c r="G443" s="116" t="s">
        <v>343</v>
      </c>
      <c r="H443" s="577">
        <f t="shared" ref="H443:AG443" si="296">H323/H385</f>
        <v>1126.3022722112501</v>
      </c>
      <c r="I443" s="577">
        <f t="shared" si="296"/>
        <v>1158.2685204084207</v>
      </c>
      <c r="J443" s="577">
        <f t="shared" si="296"/>
        <v>1193.7426132582875</v>
      </c>
      <c r="K443" s="577">
        <f t="shared" si="296"/>
        <v>1243.5341007792501</v>
      </c>
      <c r="L443" s="577">
        <f t="shared" si="296"/>
        <v>1293.3344982394724</v>
      </c>
      <c r="M443" s="577">
        <f t="shared" si="296"/>
        <v>1343.1452952733703</v>
      </c>
      <c r="N443" s="577">
        <f t="shared" si="296"/>
        <v>1392.9368626845069</v>
      </c>
      <c r="O443" s="577">
        <f t="shared" si="296"/>
        <v>1442.7314441241042</v>
      </c>
      <c r="P443" s="577">
        <f t="shared" si="296"/>
        <v>1498.6985619622333</v>
      </c>
      <c r="Q443" s="577">
        <f t="shared" si="296"/>
        <v>1554.6465362412325</v>
      </c>
      <c r="R443" s="577">
        <f t="shared" si="296"/>
        <v>1610.6139463169943</v>
      </c>
      <c r="S443" s="577">
        <f t="shared" si="296"/>
        <v>1666.5815899683475</v>
      </c>
      <c r="T443" s="577">
        <f t="shared" si="296"/>
        <v>1722.5584431805814</v>
      </c>
      <c r="U443" s="577">
        <f t="shared" si="296"/>
        <v>1764.2149413608583</v>
      </c>
      <c r="V443" s="577">
        <f t="shared" si="296"/>
        <v>1796.1822157207414</v>
      </c>
      <c r="W443" s="577">
        <f t="shared" si="296"/>
        <v>1828.1496923151874</v>
      </c>
      <c r="X443" s="577">
        <f t="shared" si="296"/>
        <v>1860.1174059250627</v>
      </c>
      <c r="Y443" s="577">
        <f t="shared" si="296"/>
        <v>1892.0690938345394</v>
      </c>
      <c r="Z443" s="577">
        <f t="shared" si="296"/>
        <v>1924.0374071901506</v>
      </c>
      <c r="AA443" s="577">
        <f t="shared" si="296"/>
        <v>1955.9897928557461</v>
      </c>
      <c r="AB443" s="577">
        <f t="shared" si="296"/>
        <v>1987.9589167810288</v>
      </c>
      <c r="AC443" s="577">
        <f t="shared" si="296"/>
        <v>2019.9285444329612</v>
      </c>
      <c r="AD443" s="577">
        <f t="shared" si="296"/>
        <v>2051.8824496202101</v>
      </c>
      <c r="AE443" s="577">
        <f t="shared" si="296"/>
        <v>2083.853328068863</v>
      </c>
      <c r="AF443" s="577">
        <f t="shared" si="296"/>
        <v>2115.8249760928975</v>
      </c>
      <c r="AG443" s="725">
        <f t="shared" si="296"/>
        <v>2147.7812014632123</v>
      </c>
      <c r="AH443" s="18"/>
      <c r="AI443" s="18"/>
      <c r="AJ443" s="18"/>
      <c r="AK443" s="18"/>
      <c r="AL443" s="18"/>
      <c r="AM443" s="18"/>
      <c r="AN443" s="18"/>
    </row>
    <row r="444" spans="1:40" ht="21.95" customHeight="1" x14ac:dyDescent="0.2">
      <c r="B444" s="705"/>
      <c r="C444" s="715"/>
      <c r="D444" s="715"/>
      <c r="E444" s="116"/>
      <c r="F444" s="116" t="s">
        <v>343</v>
      </c>
      <c r="G444" s="116" t="s">
        <v>350</v>
      </c>
      <c r="H444" s="577">
        <f t="shared" ref="H444:AG444" si="297">H324/H386</f>
        <v>2889.854434858918</v>
      </c>
      <c r="I444" s="577">
        <f t="shared" si="297"/>
        <v>2971.801076517168</v>
      </c>
      <c r="J444" s="577">
        <f t="shared" si="297"/>
        <v>3065.1770940084689</v>
      </c>
      <c r="K444" s="577">
        <f t="shared" si="297"/>
        <v>3184.4895586578641</v>
      </c>
      <c r="L444" s="577">
        <f t="shared" si="297"/>
        <v>3303.8405584371762</v>
      </c>
      <c r="M444" s="577">
        <f t="shared" si="297"/>
        <v>3423.1722977156724</v>
      </c>
      <c r="N444" s="577">
        <f t="shared" si="297"/>
        <v>3542.4847784416775</v>
      </c>
      <c r="O444" s="577">
        <f t="shared" si="297"/>
        <v>3661.821351018219</v>
      </c>
      <c r="P444" s="577">
        <f t="shared" si="297"/>
        <v>3796.7005444034316</v>
      </c>
      <c r="Q444" s="577">
        <f t="shared" si="297"/>
        <v>3931.5749445620372</v>
      </c>
      <c r="R444" s="577">
        <f t="shared" si="297"/>
        <v>4066.4349271808737</v>
      </c>
      <c r="S444" s="577">
        <f t="shared" si="297"/>
        <v>4201.3142184971275</v>
      </c>
      <c r="T444" s="577">
        <f t="shared" si="297"/>
        <v>4336.217649615417</v>
      </c>
      <c r="U444" s="577">
        <f t="shared" si="297"/>
        <v>4445.1557531307226</v>
      </c>
      <c r="V444" s="577">
        <f t="shared" si="297"/>
        <v>4527.1026009745237</v>
      </c>
      <c r="W444" s="577">
        <f t="shared" si="297"/>
        <v>4609.0494903109238</v>
      </c>
      <c r="X444" s="577">
        <f t="shared" si="297"/>
        <v>4690.9964284068728</v>
      </c>
      <c r="Y444" s="577">
        <f t="shared" si="297"/>
        <v>4772.9193414051379</v>
      </c>
      <c r="Z444" s="577">
        <f t="shared" si="297"/>
        <v>4854.8664033859959</v>
      </c>
      <c r="AA444" s="577">
        <f t="shared" si="297"/>
        <v>4936.7894609030955</v>
      </c>
      <c r="AB444" s="577">
        <f t="shared" si="297"/>
        <v>5018.7366911347081</v>
      </c>
      <c r="AC444" s="577">
        <f t="shared" si="297"/>
        <v>5100.6840262665855</v>
      </c>
      <c r="AD444" s="577">
        <f t="shared" si="297"/>
        <v>5182.6074003739741</v>
      </c>
      <c r="AE444" s="577">
        <f t="shared" si="297"/>
        <v>5264.5549968842852</v>
      </c>
      <c r="AF444" s="577">
        <f t="shared" si="297"/>
        <v>5346.5027546880965</v>
      </c>
      <c r="AG444" s="725">
        <f t="shared" si="297"/>
        <v>5428.4266152989258</v>
      </c>
      <c r="AH444" s="18"/>
      <c r="AI444" s="18"/>
      <c r="AJ444" s="18"/>
      <c r="AK444" s="18"/>
      <c r="AL444" s="18"/>
      <c r="AM444" s="18"/>
      <c r="AN444" s="18"/>
    </row>
    <row r="445" spans="1:40" ht="21.95" customHeight="1" x14ac:dyDescent="0.2">
      <c r="B445" s="705"/>
      <c r="C445" s="715"/>
      <c r="D445" s="715"/>
      <c r="E445" s="116"/>
      <c r="F445" s="116" t="s">
        <v>350</v>
      </c>
      <c r="G445" s="116" t="s">
        <v>280</v>
      </c>
      <c r="H445" s="577">
        <f t="shared" ref="H445:AG445" si="298">H325/H387</f>
        <v>19701.036774591448</v>
      </c>
      <c r="I445" s="577">
        <f t="shared" si="298"/>
        <v>20259.692514246715</v>
      </c>
      <c r="J445" s="577">
        <f t="shared" si="298"/>
        <v>20896.265858212475</v>
      </c>
      <c r="K445" s="577">
        <f t="shared" si="298"/>
        <v>21709.656016264405</v>
      </c>
      <c r="L445" s="577">
        <f t="shared" si="298"/>
        <v>22523.308864172173</v>
      </c>
      <c r="M445" s="577">
        <f t="shared" si="298"/>
        <v>23336.830384853754</v>
      </c>
      <c r="N445" s="577">
        <f t="shared" si="298"/>
        <v>24150.22058319136</v>
      </c>
      <c r="O445" s="577">
        <f t="shared" si="298"/>
        <v>24963.774981218015</v>
      </c>
      <c r="P445" s="577">
        <f t="shared" si="298"/>
        <v>25883.288173082958</v>
      </c>
      <c r="Q445" s="577">
        <f t="shared" si="298"/>
        <v>26802.768588016108</v>
      </c>
      <c r="R445" s="577">
        <f t="shared" si="298"/>
        <v>27722.150577282224</v>
      </c>
      <c r="S445" s="577">
        <f t="shared" si="298"/>
        <v>28641.664014548303</v>
      </c>
      <c r="T445" s="577">
        <f t="shared" si="298"/>
        <v>29561.341771662999</v>
      </c>
      <c r="U445" s="577">
        <f t="shared" si="298"/>
        <v>30304.005749678443</v>
      </c>
      <c r="V445" s="577">
        <f t="shared" si="298"/>
        <v>30862.662006005081</v>
      </c>
      <c r="W445" s="577">
        <f t="shared" si="298"/>
        <v>31421.318366306212</v>
      </c>
      <c r="X445" s="577">
        <f t="shared" si="298"/>
        <v>31979.974848791771</v>
      </c>
      <c r="Y445" s="577">
        <f t="shared" si="298"/>
        <v>32538.467298861342</v>
      </c>
      <c r="Z445" s="577">
        <f t="shared" si="298"/>
        <v>33097.124091784681</v>
      </c>
      <c r="AA445" s="577">
        <f t="shared" si="298"/>
        <v>33655.616903997696</v>
      </c>
      <c r="AB445" s="577">
        <f t="shared" si="298"/>
        <v>34214.274118533278</v>
      </c>
      <c r="AC445" s="577">
        <f t="shared" si="298"/>
        <v>34772.931595933856</v>
      </c>
      <c r="AD445" s="577">
        <f t="shared" si="298"/>
        <v>35331.425201476661</v>
      </c>
      <c r="AE445" s="577">
        <f t="shared" si="298"/>
        <v>35890.083333854054</v>
      </c>
      <c r="AF445" s="577">
        <f t="shared" si="298"/>
        <v>36448.741870409802</v>
      </c>
      <c r="AG445" s="725">
        <f t="shared" si="298"/>
        <v>37007.236695060361</v>
      </c>
      <c r="AH445" s="18"/>
      <c r="AI445" s="18"/>
      <c r="AJ445" s="18"/>
      <c r="AK445" s="18"/>
      <c r="AL445" s="18"/>
      <c r="AM445" s="18"/>
      <c r="AN445" s="18"/>
    </row>
    <row r="446" spans="1:40" ht="21.95" customHeight="1" thickBot="1" x14ac:dyDescent="0.25">
      <c r="B446" s="705"/>
      <c r="C446" s="715"/>
      <c r="D446" s="715"/>
      <c r="E446" s="116"/>
      <c r="F446" s="116" t="s">
        <v>280</v>
      </c>
      <c r="G446" s="116" t="s">
        <v>333</v>
      </c>
      <c r="H446" s="577">
        <f t="shared" ref="H446:I446" si="299">H326/H388</f>
        <v>492.027820512858</v>
      </c>
      <c r="I446" s="577">
        <f t="shared" si="299"/>
        <v>505.98037478131738</v>
      </c>
      <c r="J446" s="577">
        <f>J326/J388</f>
        <v>521.87906016913325</v>
      </c>
      <c r="K446" s="577">
        <f t="shared" ref="K446:AG446" si="300">K326/K388</f>
        <v>542.19407158793854</v>
      </c>
      <c r="L446" s="577">
        <f t="shared" si="300"/>
        <v>562.51603352152301</v>
      </c>
      <c r="M446" s="577">
        <f t="shared" si="300"/>
        <v>582.83525760637133</v>
      </c>
      <c r="N446" s="577">
        <f t="shared" si="300"/>
        <v>603.15194722420506</v>
      </c>
      <c r="O446" s="577">
        <f t="shared" si="300"/>
        <v>623.47375279081984</v>
      </c>
      <c r="P446" s="577">
        <f t="shared" si="300"/>
        <v>646.44397469381784</v>
      </c>
      <c r="Q446" s="577">
        <f t="shared" si="300"/>
        <v>669.4157980768706</v>
      </c>
      <c r="R446" s="577">
        <f t="shared" si="300"/>
        <v>692.38847379065282</v>
      </c>
      <c r="S446" s="577">
        <f t="shared" si="300"/>
        <v>715.36891848066159</v>
      </c>
      <c r="T446" s="577">
        <f t="shared" si="300"/>
        <v>738.35948466213301</v>
      </c>
      <c r="U446" s="577">
        <f t="shared" si="300"/>
        <v>756.93069389337643</v>
      </c>
      <c r="V446" s="577">
        <f t="shared" si="300"/>
        <v>770.90477137810296</v>
      </c>
      <c r="W446" s="577">
        <f t="shared" si="300"/>
        <v>784.88318017595179</v>
      </c>
      <c r="X446" s="577">
        <f t="shared" si="300"/>
        <v>798.86667886657835</v>
      </c>
      <c r="Y446" s="577">
        <f t="shared" si="300"/>
        <v>812.85202977875326</v>
      </c>
      <c r="Z446" s="577">
        <f t="shared" si="300"/>
        <v>826.84846051883619</v>
      </c>
      <c r="AA446" s="577">
        <f t="shared" si="300"/>
        <v>840.84889740646736</v>
      </c>
      <c r="AB446" s="577">
        <f t="shared" si="300"/>
        <v>854.86289144005718</v>
      </c>
      <c r="AC446" s="577">
        <f t="shared" si="300"/>
        <v>868.88783576117305</v>
      </c>
      <c r="AD446" s="577">
        <f t="shared" si="300"/>
        <v>882.921320751694</v>
      </c>
      <c r="AE446" s="577">
        <f t="shared" si="300"/>
        <v>896.97354974219706</v>
      </c>
      <c r="AF446" s="577">
        <f t="shared" si="300"/>
        <v>911.04261577531577</v>
      </c>
      <c r="AG446" s="725">
        <f t="shared" si="300"/>
        <v>925.12688569593138</v>
      </c>
      <c r="AH446" s="18"/>
      <c r="AI446" s="18"/>
      <c r="AJ446" s="18"/>
      <c r="AK446" s="18"/>
      <c r="AL446" s="18"/>
      <c r="AM446" s="18"/>
      <c r="AN446" s="18"/>
    </row>
    <row r="447" spans="1:40" ht="21.95" customHeight="1" thickBot="1" x14ac:dyDescent="0.25">
      <c r="A447" s="468"/>
      <c r="B447" s="707"/>
      <c r="C447" s="731"/>
      <c r="D447" s="731"/>
      <c r="E447" s="732" t="s">
        <v>25</v>
      </c>
      <c r="F447" s="732"/>
      <c r="G447" s="732"/>
      <c r="H447" s="733">
        <f>SUM(H418:H438,H440:H446)</f>
        <v>577941.63750233711</v>
      </c>
      <c r="I447" s="733">
        <f t="shared" ref="I447" si="301">SUM(I418:I438,I440:I446)</f>
        <v>596926.50694169733</v>
      </c>
      <c r="J447" s="733">
        <f t="shared" ref="J447" si="302">SUM(J418:J438,J440:J446)</f>
        <v>631863.56475261622</v>
      </c>
      <c r="K447" s="733">
        <f t="shared" ref="K447" si="303">SUM(K418:K438,K440:K446)</f>
        <v>687632.87698939093</v>
      </c>
      <c r="L447" s="733">
        <f t="shared" ref="L447" si="304">SUM(L418:L438,L440:L446)</f>
        <v>744294.29483392765</v>
      </c>
      <c r="M447" s="733">
        <f t="shared" ref="M447" si="305">SUM(M418:M438,M440:M446)</f>
        <v>802299.09685566195</v>
      </c>
      <c r="N447" s="733">
        <f t="shared" ref="N447" si="306">SUM(N418:N438,N440:N446)</f>
        <v>862506.66399171925</v>
      </c>
      <c r="O447" s="733">
        <f t="shared" ref="O447" si="307">SUM(O418:O438,O440:O446)</f>
        <v>927522.27698831691</v>
      </c>
      <c r="P447" s="733">
        <f t="shared" ref="P447" si="308">SUM(P418:P438,P440:P446)</f>
        <v>995446.29115200287</v>
      </c>
      <c r="Q447" s="733">
        <f t="shared" ref="Q447" si="309">SUM(Q418:Q438,Q440:Q446)</f>
        <v>1076535.2452137033</v>
      </c>
      <c r="R447" s="733">
        <f t="shared" ref="R447" si="310">SUM(R418:R438,R440:R446)</f>
        <v>1184995.9755806024</v>
      </c>
      <c r="S447" s="733">
        <f t="shared" ref="S447" si="311">SUM(S418:S438,S440:S446)</f>
        <v>1343135.3748980034</v>
      </c>
      <c r="T447" s="733">
        <f t="shared" ref="T447" si="312">SUM(T418:T438,T440:T446)</f>
        <v>1572371.3422265204</v>
      </c>
      <c r="U447" s="733">
        <f t="shared" ref="U447" si="313">SUM(U418:U438,U440:U446)</f>
        <v>1693475.1029287826</v>
      </c>
      <c r="V447" s="733">
        <f t="shared" ref="V447" si="314">SUM(V418:V438,V440:V446)</f>
        <v>1762352.0513935615</v>
      </c>
      <c r="W447" s="733">
        <f t="shared" ref="W447" si="315">SUM(W418:W438,W440:W446)</f>
        <v>1822471.5729248715</v>
      </c>
      <c r="X447" s="733">
        <f t="shared" ref="X447" si="316">SUM(X418:X438,X440:X446)</f>
        <v>1859603.1999975066</v>
      </c>
      <c r="Y447" s="733">
        <f t="shared" ref="Y447" si="317">SUM(Y418:Y438,Y440:Y446)</f>
        <v>1898267.4117359775</v>
      </c>
      <c r="Z447" s="733">
        <f t="shared" ref="Z447" si="318">SUM(Z418:Z438,Z440:Z446)</f>
        <v>1938626.7606854781</v>
      </c>
      <c r="AA447" s="733">
        <f t="shared" ref="AA447" si="319">SUM(AA418:AA438,AA440:AA446)</f>
        <v>1980998.3612300311</v>
      </c>
      <c r="AB447" s="733">
        <f t="shared" ref="AB447" si="320">SUM(AB418:AB438,AB440:AB446)</f>
        <v>2025605.4407548266</v>
      </c>
      <c r="AC447" s="733">
        <f t="shared" ref="AC447" si="321">SUM(AC418:AC438,AC440:AC446)</f>
        <v>2072803.8574607545</v>
      </c>
      <c r="AD447" s="733">
        <f t="shared" ref="AD447" si="322">SUM(AD418:AD438,AD440:AD446)</f>
        <v>2122993.1813847502</v>
      </c>
      <c r="AE447" s="733">
        <f t="shared" ref="AE447" si="323">SUM(AE418:AE438,AE440:AE446)</f>
        <v>2176516.2670094939</v>
      </c>
      <c r="AF447" s="733">
        <f t="shared" ref="AF447" si="324">SUM(AF418:AF438,AF440:AF446)</f>
        <v>2233867.9783638623</v>
      </c>
      <c r="AG447" s="734">
        <f t="shared" ref="AG447" si="325">SUM(AG418:AG438,AG440:AG446)</f>
        <v>2295603.486327888</v>
      </c>
      <c r="AH447" s="18"/>
      <c r="AI447" s="18"/>
      <c r="AJ447" s="18"/>
      <c r="AK447" s="18"/>
      <c r="AL447" s="18"/>
      <c r="AM447" s="18"/>
      <c r="AN447" s="18"/>
    </row>
    <row r="448" spans="1:40" ht="21.95" customHeight="1" x14ac:dyDescent="0.2">
      <c r="B448" s="182" t="s">
        <v>212</v>
      </c>
      <c r="C448" s="116" t="s">
        <v>156</v>
      </c>
      <c r="D448" s="240" t="s">
        <v>476</v>
      </c>
      <c r="E448" s="1340" t="s">
        <v>331</v>
      </c>
      <c r="F448" s="220" t="s">
        <v>332</v>
      </c>
      <c r="G448" s="220" t="s">
        <v>282</v>
      </c>
      <c r="H448" s="726">
        <f>H328/H389</f>
        <v>5194.0039010348337</v>
      </c>
      <c r="I448" s="726">
        <f t="shared" ref="I448:AF448" si="326">I328/I389</f>
        <v>5430.1849971722022</v>
      </c>
      <c r="J448" s="726">
        <f t="shared" si="326"/>
        <v>5762.9421034853613</v>
      </c>
      <c r="K448" s="726">
        <f t="shared" si="326"/>
        <v>6252.412046467196</v>
      </c>
      <c r="L448" s="726">
        <f t="shared" si="326"/>
        <v>6742.0605340627317</v>
      </c>
      <c r="M448" s="726">
        <f t="shared" si="326"/>
        <v>7231.7090229566275</v>
      </c>
      <c r="N448" s="726">
        <f t="shared" si="326"/>
        <v>7721.1789705011224</v>
      </c>
      <c r="O448" s="726">
        <f t="shared" si="326"/>
        <v>8211.0060105370503</v>
      </c>
      <c r="P448" s="726">
        <f t="shared" si="326"/>
        <v>8695.0384984242755</v>
      </c>
      <c r="Q448" s="726">
        <f t="shared" si="326"/>
        <v>9179.1683880391101</v>
      </c>
      <c r="R448" s="726">
        <f t="shared" si="326"/>
        <v>9663.2009139183028</v>
      </c>
      <c r="S448" s="726">
        <f t="shared" si="326"/>
        <v>10147.233478426369</v>
      </c>
      <c r="T448" s="726">
        <f t="shared" si="326"/>
        <v>10631.623191846751</v>
      </c>
      <c r="U448" s="726">
        <f t="shared" si="326"/>
        <v>10958.764523130012</v>
      </c>
      <c r="V448" s="726">
        <f t="shared" si="326"/>
        <v>11194.945856013694</v>
      </c>
      <c r="W448" s="726">
        <f t="shared" si="326"/>
        <v>11431.127177571332</v>
      </c>
      <c r="X448" s="726">
        <f t="shared" si="326"/>
        <v>11667.308551949594</v>
      </c>
      <c r="Y448" s="726">
        <f t="shared" si="326"/>
        <v>11903.571146360369</v>
      </c>
      <c r="Z448" s="726">
        <f t="shared" si="326"/>
        <v>12139.752661146766</v>
      </c>
      <c r="AA448" s="726">
        <f t="shared" si="326"/>
        <v>12376.015423792272</v>
      </c>
      <c r="AB448" s="726">
        <f t="shared" si="326"/>
        <v>12612.197139658307</v>
      </c>
      <c r="AC448" s="726">
        <f t="shared" si="326"/>
        <v>12848.378985341356</v>
      </c>
      <c r="AD448" s="726">
        <f t="shared" si="326"/>
        <v>13084.642141410968</v>
      </c>
      <c r="AE448" s="726">
        <f t="shared" si="326"/>
        <v>13320.824323492105</v>
      </c>
      <c r="AF448" s="726">
        <f t="shared" si="326"/>
        <v>13557.006719595363</v>
      </c>
      <c r="AG448" s="727">
        <f>AG328/AG389</f>
        <v>13793.270523752615</v>
      </c>
      <c r="AH448" s="18"/>
      <c r="AI448" s="18"/>
      <c r="AJ448" s="18"/>
      <c r="AK448" s="18"/>
      <c r="AL448" s="18"/>
      <c r="AM448" s="18"/>
      <c r="AN448" s="18"/>
    </row>
    <row r="449" spans="2:40" ht="21.95" customHeight="1" x14ac:dyDescent="0.2">
      <c r="B449" s="705" t="s">
        <v>483</v>
      </c>
      <c r="C449" s="715"/>
      <c r="D449" s="715"/>
      <c r="E449" s="1339"/>
      <c r="F449" s="116" t="s">
        <v>282</v>
      </c>
      <c r="G449" s="116" t="s">
        <v>280</v>
      </c>
      <c r="H449" s="577">
        <f>H329/H390</f>
        <v>167015.02824419696</v>
      </c>
      <c r="I449" s="577">
        <f t="shared" ref="I449:AG449" si="327">I329/I390</f>
        <v>175830.94743877579</v>
      </c>
      <c r="J449" s="577">
        <f t="shared" si="327"/>
        <v>189064.72341851852</v>
      </c>
      <c r="K449" s="577">
        <f t="shared" si="327"/>
        <v>210928.84634134086</v>
      </c>
      <c r="L449" s="577">
        <f t="shared" si="327"/>
        <v>232802.86646109642</v>
      </c>
      <c r="M449" s="577">
        <f t="shared" si="327"/>
        <v>254675.64945624743</v>
      </c>
      <c r="N449" s="577">
        <f t="shared" si="327"/>
        <v>276539.77246955817</v>
      </c>
      <c r="O449" s="577">
        <f t="shared" si="327"/>
        <v>298423.68998181052</v>
      </c>
      <c r="P449" s="577">
        <f t="shared" si="327"/>
        <v>320501.84004704776</v>
      </c>
      <c r="Q449" s="577">
        <f t="shared" si="327"/>
        <v>342587.41352630028</v>
      </c>
      <c r="R449" s="577">
        <f t="shared" si="327"/>
        <v>364665.56509905844</v>
      </c>
      <c r="S449" s="577">
        <f t="shared" si="327"/>
        <v>386743.71844946122</v>
      </c>
      <c r="T449" s="577">
        <f t="shared" si="327"/>
        <v>408841.66927530989</v>
      </c>
      <c r="U449" s="577">
        <f t="shared" si="327"/>
        <v>422279.58631596289</v>
      </c>
      <c r="V449" s="577">
        <f t="shared" si="327"/>
        <v>431095.51621026848</v>
      </c>
      <c r="W449" s="577">
        <f t="shared" si="327"/>
        <v>439911.44476474624</v>
      </c>
      <c r="X449" s="577">
        <f t="shared" si="327"/>
        <v>448727.37543817697</v>
      </c>
      <c r="Y449" s="577">
        <f t="shared" si="327"/>
        <v>457548.25724713982</v>
      </c>
      <c r="Z449" s="577">
        <f t="shared" si="327"/>
        <v>466364.19350861089</v>
      </c>
      <c r="AA449" s="577">
        <f t="shared" si="327"/>
        <v>475185.08197382034</v>
      </c>
      <c r="AB449" s="577">
        <f t="shared" si="327"/>
        <v>484001.02615195088</v>
      </c>
      <c r="AC449" s="577">
        <f t="shared" si="327"/>
        <v>492816.97539854003</v>
      </c>
      <c r="AD449" s="577">
        <f t="shared" si="327"/>
        <v>501637.87923250865</v>
      </c>
      <c r="AE449" s="577">
        <f t="shared" si="327"/>
        <v>510453.84154207591</v>
      </c>
      <c r="AF449" s="577">
        <f t="shared" si="327"/>
        <v>519269.81209535815</v>
      </c>
      <c r="AG449" s="725">
        <f t="shared" si="327"/>
        <v>528090.74090910447</v>
      </c>
      <c r="AH449" s="18"/>
      <c r="AI449" s="18"/>
      <c r="AJ449" s="18"/>
      <c r="AK449" s="18"/>
      <c r="AL449" s="18"/>
      <c r="AM449" s="18"/>
      <c r="AN449" s="18"/>
    </row>
    <row r="450" spans="2:40" ht="21.95" customHeight="1" x14ac:dyDescent="0.2">
      <c r="B450" s="705"/>
      <c r="C450" s="715"/>
      <c r="D450" s="715"/>
      <c r="E450" s="1339"/>
      <c r="F450" s="116" t="s">
        <v>280</v>
      </c>
      <c r="G450" s="116" t="s">
        <v>333</v>
      </c>
      <c r="H450" s="577">
        <f t="shared" ref="H450:AG450" si="328">H330/H391</f>
        <v>3895.5029256155972</v>
      </c>
      <c r="I450" s="577">
        <f t="shared" si="328"/>
        <v>4058.1726352844275</v>
      </c>
      <c r="J450" s="577">
        <f t="shared" si="328"/>
        <v>4259.5052114952878</v>
      </c>
      <c r="K450" s="577">
        <f t="shared" si="328"/>
        <v>4530.5672900801583</v>
      </c>
      <c r="L450" s="577">
        <f t="shared" si="328"/>
        <v>4801.7267562529623</v>
      </c>
      <c r="M450" s="577">
        <f t="shared" si="328"/>
        <v>5072.8537599226865</v>
      </c>
      <c r="N450" s="577">
        <f t="shared" si="328"/>
        <v>5343.9158385793935</v>
      </c>
      <c r="O450" s="577">
        <f t="shared" si="328"/>
        <v>5615.1726924407039</v>
      </c>
      <c r="P450" s="577">
        <f t="shared" si="328"/>
        <v>5877.9892900554332</v>
      </c>
      <c r="Q450" s="577">
        <f t="shared" si="328"/>
        <v>6140.9032753736719</v>
      </c>
      <c r="R450" s="577">
        <f t="shared" si="328"/>
        <v>6403.7198733230107</v>
      </c>
      <c r="S450" s="577">
        <f t="shared" si="328"/>
        <v>6666.5364715739097</v>
      </c>
      <c r="T450" s="577">
        <f t="shared" si="328"/>
        <v>6929.547845410144</v>
      </c>
      <c r="U450" s="577">
        <f t="shared" si="328"/>
        <v>7122.5375547347739</v>
      </c>
      <c r="V450" s="577">
        <f t="shared" si="328"/>
        <v>7285.2072663268782</v>
      </c>
      <c r="W450" s="577">
        <f t="shared" si="328"/>
        <v>7447.8769780997982</v>
      </c>
      <c r="X450" s="577">
        <f t="shared" si="328"/>
        <v>7610.5466903978568</v>
      </c>
      <c r="Y450" s="577">
        <f t="shared" si="328"/>
        <v>7773.2813283850783</v>
      </c>
      <c r="Z450" s="577">
        <f t="shared" si="328"/>
        <v>7935.9510421023888</v>
      </c>
      <c r="AA450" s="577">
        <f t="shared" si="328"/>
        <v>8098.6856818072511</v>
      </c>
      <c r="AB450" s="577">
        <f t="shared" si="328"/>
        <v>8261.3553975976629</v>
      </c>
      <c r="AC450" s="577">
        <f t="shared" si="328"/>
        <v>8424.0251147443705</v>
      </c>
      <c r="AD450" s="577">
        <f t="shared" si="328"/>
        <v>8586.7597585640651</v>
      </c>
      <c r="AE450" s="577">
        <f t="shared" si="328"/>
        <v>8749.4294792737346</v>
      </c>
      <c r="AF450" s="577">
        <f t="shared" si="328"/>
        <v>8912.0992022770606</v>
      </c>
      <c r="AG450" s="725">
        <f t="shared" si="328"/>
        <v>9074.8338530487999</v>
      </c>
      <c r="AH450" s="18"/>
      <c r="AI450" s="18"/>
      <c r="AJ450" s="18"/>
      <c r="AK450" s="18"/>
      <c r="AL450" s="18"/>
      <c r="AM450" s="18"/>
      <c r="AN450" s="18"/>
    </row>
    <row r="451" spans="2:40" ht="21.95" customHeight="1" x14ac:dyDescent="0.2">
      <c r="B451" s="705"/>
      <c r="C451" s="715"/>
      <c r="D451" s="715"/>
      <c r="E451" s="1340" t="s">
        <v>280</v>
      </c>
      <c r="F451" s="220" t="s">
        <v>281</v>
      </c>
      <c r="G451" s="220" t="s">
        <v>335</v>
      </c>
      <c r="H451" s="583">
        <f t="shared" ref="H451:AG451" si="329">H331/H392</f>
        <v>44193.057391304348</v>
      </c>
      <c r="I451" s="583">
        <f t="shared" si="329"/>
        <v>48663.406111721735</v>
      </c>
      <c r="J451" s="583">
        <f t="shared" si="329"/>
        <v>58657.887006052166</v>
      </c>
      <c r="K451" s="583">
        <f t="shared" si="329"/>
        <v>78732.583326052263</v>
      </c>
      <c r="L451" s="583">
        <f t="shared" si="329"/>
        <v>98819.653702124371</v>
      </c>
      <c r="M451" s="583">
        <f t="shared" si="329"/>
        <v>118904.51442535302</v>
      </c>
      <c r="N451" s="583">
        <f t="shared" si="329"/>
        <v>138979.21074555453</v>
      </c>
      <c r="O451" s="583">
        <f t="shared" si="329"/>
        <v>159078.65517872915</v>
      </c>
      <c r="P451" s="583">
        <f t="shared" si="329"/>
        <v>178801.13283555524</v>
      </c>
      <c r="Q451" s="583">
        <f t="shared" si="329"/>
        <v>198533.55394021972</v>
      </c>
      <c r="R451" s="583">
        <f t="shared" si="329"/>
        <v>218256.03163472546</v>
      </c>
      <c r="S451" s="583">
        <f t="shared" si="329"/>
        <v>237978.50939884747</v>
      </c>
      <c r="T451" s="583">
        <f t="shared" si="329"/>
        <v>257725.73543576972</v>
      </c>
      <c r="U451" s="583">
        <f t="shared" si="329"/>
        <v>267355.62418646587</v>
      </c>
      <c r="V451" s="583">
        <f t="shared" si="329"/>
        <v>271825.97338592634</v>
      </c>
      <c r="W451" s="583">
        <f t="shared" si="329"/>
        <v>276296.32240684534</v>
      </c>
      <c r="X451" s="583">
        <f t="shared" si="329"/>
        <v>280766.67148138327</v>
      </c>
      <c r="Y451" s="583">
        <f t="shared" si="329"/>
        <v>285243.87054195988</v>
      </c>
      <c r="Z451" s="583">
        <f t="shared" si="329"/>
        <v>289714.21975103597</v>
      </c>
      <c r="AA451" s="583">
        <f t="shared" si="329"/>
        <v>294191.4189661268</v>
      </c>
      <c r="AB451" s="583">
        <f t="shared" si="329"/>
        <v>298661.76835331082</v>
      </c>
      <c r="AC451" s="583">
        <f t="shared" si="329"/>
        <v>303132.11784873653</v>
      </c>
      <c r="AD451" s="583">
        <f t="shared" si="329"/>
        <v>307609.31739312428</v>
      </c>
      <c r="AE451" s="583">
        <f t="shared" si="329"/>
        <v>312079.66715784319</v>
      </c>
      <c r="AF451" s="583">
        <f t="shared" si="329"/>
        <v>316550.0170840926</v>
      </c>
      <c r="AG451" s="728">
        <f t="shared" si="329"/>
        <v>321027.21711987106</v>
      </c>
      <c r="AH451" s="18"/>
      <c r="AI451" s="18"/>
      <c r="AJ451" s="18"/>
      <c r="AK451" s="18"/>
      <c r="AL451" s="18"/>
      <c r="AM451" s="18"/>
      <c r="AN451" s="18"/>
    </row>
    <row r="452" spans="2:40" ht="21.95" customHeight="1" x14ac:dyDescent="0.2">
      <c r="B452" s="705"/>
      <c r="C452" s="715"/>
      <c r="D452" s="715"/>
      <c r="E452" s="1339"/>
      <c r="F452" s="116" t="s">
        <v>335</v>
      </c>
      <c r="G452" s="116" t="s">
        <v>323</v>
      </c>
      <c r="H452" s="577">
        <f t="shared" ref="H452:AG452" si="330">H332/H393</f>
        <v>5946.1818182585594</v>
      </c>
      <c r="I452" s="577">
        <f t="shared" si="330"/>
        <v>6566.7649940241463</v>
      </c>
      <c r="J452" s="577">
        <f t="shared" si="330"/>
        <v>7423.4611396524824</v>
      </c>
      <c r="K452" s="577">
        <f t="shared" si="330"/>
        <v>8996.7217465225276</v>
      </c>
      <c r="L452" s="577">
        <f t="shared" si="330"/>
        <v>10570.428323728827</v>
      </c>
      <c r="M452" s="577">
        <f t="shared" si="330"/>
        <v>12144.432243338473</v>
      </c>
      <c r="N452" s="577">
        <f t="shared" si="330"/>
        <v>13717.693023598553</v>
      </c>
      <c r="O452" s="577">
        <f t="shared" si="330"/>
        <v>15292.391242756055</v>
      </c>
      <c r="P452" s="577">
        <f t="shared" si="330"/>
        <v>17556.600201536367</v>
      </c>
      <c r="Q452" s="577">
        <f t="shared" si="330"/>
        <v>19821.312662871907</v>
      </c>
      <c r="R452" s="577">
        <f t="shared" si="330"/>
        <v>22085.109039121089</v>
      </c>
      <c r="S452" s="577">
        <f t="shared" si="330"/>
        <v>24349.424680514287</v>
      </c>
      <c r="T452" s="577">
        <f t="shared" si="330"/>
        <v>26615.367019272377</v>
      </c>
      <c r="U452" s="577">
        <f t="shared" si="330"/>
        <v>28162.290139323599</v>
      </c>
      <c r="V452" s="577">
        <f t="shared" si="330"/>
        <v>28783.809045364291</v>
      </c>
      <c r="W452" s="577">
        <f t="shared" si="330"/>
        <v>29404.962372002959</v>
      </c>
      <c r="X452" s="577">
        <f t="shared" si="330"/>
        <v>30026.252552525177</v>
      </c>
      <c r="Y452" s="577">
        <f t="shared" si="330"/>
        <v>30648.154499478962</v>
      </c>
      <c r="Z452" s="577">
        <f t="shared" si="330"/>
        <v>31269.811137063745</v>
      </c>
      <c r="AA452" s="577">
        <f t="shared" si="330"/>
        <v>31892.153471811882</v>
      </c>
      <c r="AB452" s="577">
        <f t="shared" si="330"/>
        <v>32514.33858930186</v>
      </c>
      <c r="AC452" s="577">
        <f t="shared" si="330"/>
        <v>33136.865994836982</v>
      </c>
      <c r="AD452" s="577">
        <f t="shared" si="330"/>
        <v>33760.24763152824</v>
      </c>
      <c r="AE452" s="577">
        <f t="shared" si="330"/>
        <v>34383.668849505862</v>
      </c>
      <c r="AF452" s="577">
        <f t="shared" si="330"/>
        <v>35007.65981748631</v>
      </c>
      <c r="AG452" s="725">
        <f t="shared" si="330"/>
        <v>35632.770082026436</v>
      </c>
      <c r="AH452" s="18"/>
      <c r="AI452" s="18"/>
      <c r="AJ452" s="18"/>
      <c r="AK452" s="18"/>
      <c r="AL452" s="18"/>
      <c r="AM452" s="18"/>
      <c r="AN452" s="18"/>
    </row>
    <row r="453" spans="2:40" ht="21.95" customHeight="1" x14ac:dyDescent="0.2">
      <c r="B453" s="705"/>
      <c r="C453" s="715"/>
      <c r="D453" s="715"/>
      <c r="E453" s="1353"/>
      <c r="F453" s="254" t="s">
        <v>323</v>
      </c>
      <c r="G453" s="254" t="s">
        <v>338</v>
      </c>
      <c r="H453" s="587">
        <f t="shared" ref="H453:AG453" si="331">H333/H394</f>
        <v>83917.082669181895</v>
      </c>
      <c r="I453" s="587">
        <f t="shared" si="331"/>
        <v>86267.040707527893</v>
      </c>
      <c r="J453" s="587">
        <f t="shared" si="331"/>
        <v>89615.895261842161</v>
      </c>
      <c r="K453" s="587">
        <f t="shared" si="331"/>
        <v>94316.098338762997</v>
      </c>
      <c r="L453" s="587">
        <f t="shared" si="331"/>
        <v>99018.268429925913</v>
      </c>
      <c r="M453" s="587">
        <f t="shared" si="331"/>
        <v>103720.0297226348</v>
      </c>
      <c r="N453" s="587">
        <f t="shared" si="331"/>
        <v>108420.2691817478</v>
      </c>
      <c r="O453" s="587">
        <f t="shared" si="331"/>
        <v>113124.31009211013</v>
      </c>
      <c r="P453" s="587">
        <f t="shared" si="331"/>
        <v>117873.00455995077</v>
      </c>
      <c r="Q453" s="587">
        <f t="shared" si="331"/>
        <v>122623.15429349495</v>
      </c>
      <c r="R453" s="587">
        <f t="shared" si="331"/>
        <v>127371.56666036126</v>
      </c>
      <c r="S453" s="587">
        <f t="shared" si="331"/>
        <v>132120.51354531926</v>
      </c>
      <c r="T453" s="587">
        <f t="shared" si="331"/>
        <v>136873.39838261425</v>
      </c>
      <c r="U453" s="587">
        <f t="shared" si="331"/>
        <v>140269.12729871823</v>
      </c>
      <c r="V453" s="587">
        <f t="shared" si="331"/>
        <v>142619.77295459723</v>
      </c>
      <c r="W453" s="587">
        <f t="shared" si="331"/>
        <v>144970.32895508019</v>
      </c>
      <c r="X453" s="587">
        <f t="shared" si="331"/>
        <v>147320.99192604571</v>
      </c>
      <c r="Y453" s="587">
        <f t="shared" si="331"/>
        <v>149672.89771704227</v>
      </c>
      <c r="Z453" s="587">
        <f t="shared" si="331"/>
        <v>152023.82817968749</v>
      </c>
      <c r="AA453" s="587">
        <f t="shared" si="331"/>
        <v>154376.04222365096</v>
      </c>
      <c r="AB453" s="587">
        <f t="shared" si="331"/>
        <v>156727.32776676107</v>
      </c>
      <c r="AC453" s="587">
        <f t="shared" si="331"/>
        <v>159078.83065950542</v>
      </c>
      <c r="AD453" s="587">
        <f t="shared" si="331"/>
        <v>161431.70208970312</v>
      </c>
      <c r="AE453" s="587">
        <f t="shared" si="331"/>
        <v>163783.74079469076</v>
      </c>
      <c r="AF453" s="587">
        <f t="shared" si="331"/>
        <v>166136.1041331632</v>
      </c>
      <c r="AG453" s="729">
        <f t="shared" si="331"/>
        <v>168489.9571011014</v>
      </c>
      <c r="AH453" s="18"/>
      <c r="AI453" s="18"/>
      <c r="AJ453" s="18"/>
      <c r="AK453" s="18"/>
      <c r="AL453" s="18"/>
      <c r="AM453" s="18"/>
      <c r="AN453" s="18"/>
    </row>
    <row r="454" spans="2:40" ht="21.95" customHeight="1" x14ac:dyDescent="0.2">
      <c r="B454" s="705"/>
      <c r="C454" s="715"/>
      <c r="D454" s="715"/>
      <c r="E454" s="116" t="s">
        <v>339</v>
      </c>
      <c r="F454" s="116" t="s">
        <v>335</v>
      </c>
      <c r="G454" s="116" t="s">
        <v>323</v>
      </c>
      <c r="H454" s="577">
        <f t="shared" ref="H454:AG454" si="332">H334/H395</f>
        <v>266.8555555555555</v>
      </c>
      <c r="I454" s="577">
        <f t="shared" si="332"/>
        <v>2022.4982555555553</v>
      </c>
      <c r="J454" s="577">
        <f t="shared" si="332"/>
        <v>11717.360588888885</v>
      </c>
      <c r="K454" s="577">
        <f t="shared" si="332"/>
        <v>26987.902900000012</v>
      </c>
      <c r="L454" s="577">
        <f t="shared" si="332"/>
        <v>42268.052011234562</v>
      </c>
      <c r="M454" s="577">
        <f t="shared" si="332"/>
        <v>57549.00170381619</v>
      </c>
      <c r="N454" s="577">
        <f t="shared" si="332"/>
        <v>72819.544413472802</v>
      </c>
      <c r="O454" s="577">
        <f t="shared" si="332"/>
        <v>88110.372597475507</v>
      </c>
      <c r="P454" s="577">
        <f t="shared" si="332"/>
        <v>96696.216837570071</v>
      </c>
      <c r="Q454" s="577">
        <f t="shared" si="332"/>
        <v>105285.29811027616</v>
      </c>
      <c r="R454" s="577">
        <f t="shared" si="332"/>
        <v>113873.67482487328</v>
      </c>
      <c r="S454" s="577">
        <f t="shared" si="332"/>
        <v>122459.85366493491</v>
      </c>
      <c r="T454" s="577">
        <f t="shared" si="332"/>
        <v>131066.72206690338</v>
      </c>
      <c r="U454" s="577">
        <f t="shared" si="332"/>
        <v>134070.02141704044</v>
      </c>
      <c r="V454" s="577">
        <f t="shared" si="332"/>
        <v>135826.43731962354</v>
      </c>
      <c r="W454" s="577">
        <f t="shared" si="332"/>
        <v>137582.63797405449</v>
      </c>
      <c r="X454" s="577">
        <f t="shared" si="332"/>
        <v>139338.91551380808</v>
      </c>
      <c r="Y454" s="577">
        <f t="shared" si="332"/>
        <v>141102.21786333519</v>
      </c>
      <c r="Z454" s="577">
        <f t="shared" si="332"/>
        <v>142858.68157147657</v>
      </c>
      <c r="AA454" s="577">
        <f t="shared" si="332"/>
        <v>144622.18938964242</v>
      </c>
      <c r="AB454" s="577">
        <f t="shared" si="332"/>
        <v>146378.88366826129</v>
      </c>
      <c r="AC454" s="577">
        <f t="shared" si="332"/>
        <v>148135.70951125905</v>
      </c>
      <c r="AD454" s="577">
        <f t="shared" si="332"/>
        <v>149899.62468739087</v>
      </c>
      <c r="AE454" s="577">
        <f t="shared" si="332"/>
        <v>151656.77452470912</v>
      </c>
      <c r="AF454" s="577">
        <f t="shared" si="332"/>
        <v>153414.10569921401</v>
      </c>
      <c r="AG454" s="725">
        <f t="shared" si="332"/>
        <v>155178.58282969176</v>
      </c>
      <c r="AH454" s="18"/>
      <c r="AI454" s="18"/>
      <c r="AJ454" s="18"/>
      <c r="AK454" s="18"/>
      <c r="AL454" s="18"/>
      <c r="AM454" s="18"/>
      <c r="AN454" s="18"/>
    </row>
    <row r="455" spans="2:40" ht="21.95" customHeight="1" x14ac:dyDescent="0.2">
      <c r="B455" s="705"/>
      <c r="C455" s="715"/>
      <c r="D455" s="715"/>
      <c r="E455" s="1340" t="s">
        <v>323</v>
      </c>
      <c r="F455" s="220" t="s">
        <v>282</v>
      </c>
      <c r="G455" s="220" t="s">
        <v>339</v>
      </c>
      <c r="H455" s="583">
        <f t="shared" ref="H455:AG455" si="333">H335/H396</f>
        <v>805.66423357664223</v>
      </c>
      <c r="I455" s="583">
        <f t="shared" si="333"/>
        <v>1790.5887591240873</v>
      </c>
      <c r="J455" s="583">
        <f t="shared" si="333"/>
        <v>7568.0069781021894</v>
      </c>
      <c r="K455" s="583">
        <f t="shared" si="333"/>
        <v>17012.40595620438</v>
      </c>
      <c r="L455" s="583">
        <f t="shared" si="333"/>
        <v>26462.041751824821</v>
      </c>
      <c r="M455" s="583">
        <f t="shared" si="333"/>
        <v>35912.08037956203</v>
      </c>
      <c r="N455" s="583">
        <f t="shared" si="333"/>
        <v>45356.479357664306</v>
      </c>
      <c r="O455" s="583">
        <f t="shared" si="333"/>
        <v>54811.754802920696</v>
      </c>
      <c r="P455" s="583">
        <f t="shared" si="333"/>
        <v>62103.016116795829</v>
      </c>
      <c r="Q455" s="583">
        <f t="shared" si="333"/>
        <v>69395.485927036556</v>
      </c>
      <c r="R455" s="583">
        <f t="shared" si="333"/>
        <v>76686.747240974</v>
      </c>
      <c r="S455" s="583">
        <f t="shared" si="333"/>
        <v>83978.008555036242</v>
      </c>
      <c r="T455" s="583">
        <f t="shared" si="333"/>
        <v>91278.937840202474</v>
      </c>
      <c r="U455" s="583">
        <f t="shared" si="333"/>
        <v>94897.578746407395</v>
      </c>
      <c r="V455" s="583">
        <f t="shared" si="333"/>
        <v>95882.503272877875</v>
      </c>
      <c r="W455" s="583">
        <f t="shared" si="333"/>
        <v>96867.427798762365</v>
      </c>
      <c r="X455" s="583">
        <f t="shared" si="333"/>
        <v>97852.352324683263</v>
      </c>
      <c r="Y455" s="583">
        <f t="shared" si="333"/>
        <v>98840.09667546174</v>
      </c>
      <c r="Z455" s="583">
        <f t="shared" si="333"/>
        <v>99825.021201467578</v>
      </c>
      <c r="AA455" s="583">
        <f t="shared" si="333"/>
        <v>100812.76555233776</v>
      </c>
      <c r="AB455" s="583">
        <f t="shared" si="333"/>
        <v>101797.69007844423</v>
      </c>
      <c r="AC455" s="583">
        <f t="shared" si="333"/>
        <v>102782.61460460644</v>
      </c>
      <c r="AD455" s="583">
        <f t="shared" si="333"/>
        <v>103770.35895564873</v>
      </c>
      <c r="AE455" s="583">
        <f t="shared" si="333"/>
        <v>104755.28348194344</v>
      </c>
      <c r="AF455" s="583">
        <f t="shared" si="333"/>
        <v>105740.20800831042</v>
      </c>
      <c r="AG455" s="728">
        <f t="shared" si="333"/>
        <v>106727.95235957591</v>
      </c>
      <c r="AH455" s="18"/>
      <c r="AI455" s="18"/>
      <c r="AJ455" s="18"/>
      <c r="AK455" s="18"/>
      <c r="AL455" s="18"/>
      <c r="AM455" s="18"/>
      <c r="AN455" s="18"/>
    </row>
    <row r="456" spans="2:40" ht="21.95" customHeight="1" x14ac:dyDescent="0.2">
      <c r="B456" s="705"/>
      <c r="C456" s="715"/>
      <c r="D456" s="715"/>
      <c r="E456" s="1339"/>
      <c r="F456" s="116" t="s">
        <v>339</v>
      </c>
      <c r="G456" s="116" t="s">
        <v>288</v>
      </c>
      <c r="H456" s="577">
        <f t="shared" ref="H456:AG456" si="334">H336/H397</f>
        <v>0</v>
      </c>
      <c r="I456" s="577">
        <f t="shared" si="334"/>
        <v>548.09039416058397</v>
      </c>
      <c r="J456" s="577">
        <f t="shared" si="334"/>
        <v>1569.6607065693429</v>
      </c>
      <c r="K456" s="577">
        <f t="shared" si="334"/>
        <v>3528.4990131386862</v>
      </c>
      <c r="L456" s="577">
        <f t="shared" si="334"/>
        <v>5488.4234744525556</v>
      </c>
      <c r="M456" s="577">
        <f t="shared" si="334"/>
        <v>7448.4314861313842</v>
      </c>
      <c r="N456" s="577">
        <f t="shared" si="334"/>
        <v>9407.2697927007448</v>
      </c>
      <c r="O456" s="577">
        <f t="shared" si="334"/>
        <v>11368.363959124294</v>
      </c>
      <c r="P456" s="577">
        <f t="shared" si="334"/>
        <v>12880.625564965061</v>
      </c>
      <c r="Q456" s="577">
        <f t="shared" si="334"/>
        <v>14393.137821903878</v>
      </c>
      <c r="R456" s="577">
        <f t="shared" si="334"/>
        <v>15905.399427757569</v>
      </c>
      <c r="S456" s="577">
        <f t="shared" si="334"/>
        <v>17417.661033637149</v>
      </c>
      <c r="T456" s="577">
        <f t="shared" si="334"/>
        <v>18931.927848338291</v>
      </c>
      <c r="U456" s="577">
        <f t="shared" si="334"/>
        <v>19682.460777032647</v>
      </c>
      <c r="V456" s="577">
        <f t="shared" si="334"/>
        <v>19886.741419559854</v>
      </c>
      <c r="W456" s="577">
        <f t="shared" si="334"/>
        <v>20091.022061965527</v>
      </c>
      <c r="X456" s="577">
        <f t="shared" si="334"/>
        <v>20295.302704378755</v>
      </c>
      <c r="Y456" s="577">
        <f t="shared" si="334"/>
        <v>20500.16819935503</v>
      </c>
      <c r="Z456" s="577">
        <f t="shared" si="334"/>
        <v>20704.448841785867</v>
      </c>
      <c r="AA456" s="577">
        <f t="shared" si="334"/>
        <v>20909.314336781164</v>
      </c>
      <c r="AB456" s="577">
        <f t="shared" si="334"/>
        <v>21113.594979232876</v>
      </c>
      <c r="AC456" s="577">
        <f t="shared" si="334"/>
        <v>21317.875621696148</v>
      </c>
      <c r="AD456" s="577">
        <f t="shared" si="334"/>
        <v>21522.741116727146</v>
      </c>
      <c r="AE456" s="577">
        <f t="shared" si="334"/>
        <v>21727.0217592179</v>
      </c>
      <c r="AF456" s="577">
        <f t="shared" si="334"/>
        <v>21931.302401723642</v>
      </c>
      <c r="AG456" s="725">
        <f t="shared" si="334"/>
        <v>22136.167896800929</v>
      </c>
      <c r="AH456" s="18"/>
      <c r="AI456" s="18"/>
      <c r="AJ456" s="18"/>
      <c r="AK456" s="18"/>
      <c r="AL456" s="18"/>
      <c r="AM456" s="18"/>
      <c r="AN456" s="18"/>
    </row>
    <row r="457" spans="2:40" ht="21.95" customHeight="1" x14ac:dyDescent="0.2">
      <c r="B457" s="705"/>
      <c r="C457" s="715"/>
      <c r="D457" s="715"/>
      <c r="E457" s="1339"/>
      <c r="F457" s="116" t="s">
        <v>288</v>
      </c>
      <c r="G457" s="116" t="s">
        <v>340</v>
      </c>
      <c r="H457" s="577">
        <f t="shared" ref="H457:AG457" si="335">H337/H398</f>
        <v>0</v>
      </c>
      <c r="I457" s="577">
        <f t="shared" si="335"/>
        <v>1428.9499562043793</v>
      </c>
      <c r="J457" s="577">
        <f t="shared" si="335"/>
        <v>4092.3296992700725</v>
      </c>
      <c r="K457" s="577">
        <f t="shared" si="335"/>
        <v>9199.3009985401441</v>
      </c>
      <c r="L457" s="577">
        <f t="shared" si="335"/>
        <v>14309.104058394161</v>
      </c>
      <c r="M457" s="577">
        <f t="shared" si="335"/>
        <v>19419.12494598539</v>
      </c>
      <c r="N457" s="577">
        <f t="shared" si="335"/>
        <v>24526.096245255514</v>
      </c>
      <c r="O457" s="577">
        <f t="shared" si="335"/>
        <v>29638.948893431192</v>
      </c>
      <c r="P457" s="577">
        <f t="shared" si="335"/>
        <v>33581.630937230337</v>
      </c>
      <c r="Q457" s="577">
        <f t="shared" si="335"/>
        <v>37524.966464249395</v>
      </c>
      <c r="R457" s="577">
        <f t="shared" si="335"/>
        <v>41467.648508082224</v>
      </c>
      <c r="S457" s="577">
        <f t="shared" si="335"/>
        <v>45410.330551982552</v>
      </c>
      <c r="T457" s="577">
        <f t="shared" si="335"/>
        <v>49358.240461739108</v>
      </c>
      <c r="U457" s="577">
        <f t="shared" si="335"/>
        <v>51314.9870258351</v>
      </c>
      <c r="V457" s="577">
        <f t="shared" si="335"/>
        <v>51847.575843852472</v>
      </c>
      <c r="W457" s="577">
        <f t="shared" si="335"/>
        <v>52380.164661552975</v>
      </c>
      <c r="X457" s="577">
        <f t="shared" si="335"/>
        <v>52912.753479273175</v>
      </c>
      <c r="Y457" s="577">
        <f t="shared" si="335"/>
        <v>53446.867091175605</v>
      </c>
      <c r="Z457" s="577">
        <f t="shared" si="335"/>
        <v>53979.455908941723</v>
      </c>
      <c r="AA457" s="577">
        <f t="shared" si="335"/>
        <v>54513.569520893747</v>
      </c>
      <c r="AB457" s="577">
        <f t="shared" si="335"/>
        <v>55046.158338714282</v>
      </c>
      <c r="AC457" s="577">
        <f t="shared" si="335"/>
        <v>55578.747156564954</v>
      </c>
      <c r="AD457" s="577">
        <f t="shared" si="335"/>
        <v>56112.860768610051</v>
      </c>
      <c r="AE457" s="577">
        <f t="shared" si="335"/>
        <v>56645.44958653237</v>
      </c>
      <c r="AF457" s="577">
        <f t="shared" si="335"/>
        <v>57178.038404493789</v>
      </c>
      <c r="AG457" s="725">
        <f t="shared" si="335"/>
        <v>57712.152016659566</v>
      </c>
      <c r="AH457" s="18"/>
      <c r="AI457" s="18"/>
      <c r="AJ457" s="18"/>
      <c r="AK457" s="18"/>
      <c r="AL457" s="18"/>
      <c r="AM457" s="18"/>
      <c r="AN457" s="18"/>
    </row>
    <row r="458" spans="2:40" ht="21.95" customHeight="1" x14ac:dyDescent="0.2">
      <c r="B458" s="705"/>
      <c r="C458" s="715"/>
      <c r="D458" s="715"/>
      <c r="E458" s="1353"/>
      <c r="F458" s="254" t="s">
        <v>340</v>
      </c>
      <c r="G458" s="254" t="s">
        <v>280</v>
      </c>
      <c r="H458" s="587">
        <f t="shared" ref="H458:AG458" si="336">H338/H399</f>
        <v>1879.8832116788319</v>
      </c>
      <c r="I458" s="587">
        <f t="shared" si="336"/>
        <v>2802.3419036496348</v>
      </c>
      <c r="J458" s="587">
        <f t="shared" si="336"/>
        <v>3945.4988846715328</v>
      </c>
      <c r="K458" s="587">
        <f t="shared" si="336"/>
        <v>6835.3806832116779</v>
      </c>
      <c r="L458" s="587">
        <f t="shared" si="336"/>
        <v>9725.5757956204361</v>
      </c>
      <c r="M458" s="587">
        <f t="shared" si="336"/>
        <v>12617.212151824817</v>
      </c>
      <c r="N458" s="587">
        <f t="shared" si="336"/>
        <v>15507.093950364961</v>
      </c>
      <c r="O458" s="587">
        <f t="shared" si="336"/>
        <v>18396.035807299268</v>
      </c>
      <c r="P458" s="587">
        <f t="shared" si="336"/>
        <v>25749.574966423355</v>
      </c>
      <c r="Q458" s="587">
        <f t="shared" si="336"/>
        <v>33100.231637956233</v>
      </c>
      <c r="R458" s="587">
        <f t="shared" si="336"/>
        <v>40450.324344525929</v>
      </c>
      <c r="S458" s="587">
        <f t="shared" si="336"/>
        <v>47803.863503653047</v>
      </c>
      <c r="T458" s="587">
        <f t="shared" si="336"/>
        <v>55156.462721188851</v>
      </c>
      <c r="U458" s="587">
        <f t="shared" si="336"/>
        <v>60761.083865789973</v>
      </c>
      <c r="V458" s="587">
        <f t="shared" si="336"/>
        <v>61683.542557922156</v>
      </c>
      <c r="W458" s="587">
        <f t="shared" si="336"/>
        <v>62606.001249939392</v>
      </c>
      <c r="X458" s="587">
        <f t="shared" si="336"/>
        <v>63528.459941964094</v>
      </c>
      <c r="Y458" s="587">
        <f t="shared" si="336"/>
        <v>64448.098809179814</v>
      </c>
      <c r="Z458" s="587">
        <f t="shared" si="336"/>
        <v>65370.557501222582</v>
      </c>
      <c r="AA458" s="587">
        <f t="shared" si="336"/>
        <v>66290.196368459103</v>
      </c>
      <c r="AB458" s="587">
        <f t="shared" si="336"/>
        <v>67212.65506052546</v>
      </c>
      <c r="AC458" s="587">
        <f t="shared" si="336"/>
        <v>68135.113752606339</v>
      </c>
      <c r="AD458" s="587">
        <f t="shared" si="336"/>
        <v>69054.752619885854</v>
      </c>
      <c r="AE458" s="587">
        <f t="shared" si="336"/>
        <v>69977.211312000756</v>
      </c>
      <c r="AF458" s="587">
        <f t="shared" si="336"/>
        <v>70899.670004136671</v>
      </c>
      <c r="AG458" s="729">
        <f t="shared" si="336"/>
        <v>71819.308871478235</v>
      </c>
      <c r="AH458" s="18"/>
      <c r="AI458" s="18"/>
      <c r="AJ458" s="18"/>
      <c r="AK458" s="18"/>
      <c r="AL458" s="18"/>
      <c r="AM458" s="18"/>
      <c r="AN458" s="18"/>
    </row>
    <row r="459" spans="2:40" ht="21.95" customHeight="1" x14ac:dyDescent="0.2">
      <c r="B459" s="705"/>
      <c r="C459" s="715"/>
      <c r="D459" s="715"/>
      <c r="E459" s="1340" t="s">
        <v>334</v>
      </c>
      <c r="F459" s="116" t="s">
        <v>336</v>
      </c>
      <c r="G459" s="116" t="s">
        <v>337</v>
      </c>
      <c r="H459" s="577">
        <f t="shared" ref="H459:AG459" si="337">H339/H400</f>
        <v>33732.02357951639</v>
      </c>
      <c r="I459" s="577">
        <f t="shared" si="337"/>
        <v>34666.400632669</v>
      </c>
      <c r="J459" s="577">
        <f t="shared" si="337"/>
        <v>36174.342559492834</v>
      </c>
      <c r="K459" s="577">
        <f t="shared" si="337"/>
        <v>38328.614154247691</v>
      </c>
      <c r="L459" s="577">
        <f t="shared" si="337"/>
        <v>40483.849525537997</v>
      </c>
      <c r="M459" s="577">
        <f t="shared" si="337"/>
        <v>42638.964431177454</v>
      </c>
      <c r="N459" s="577">
        <f t="shared" si="337"/>
        <v>44793.23604577146</v>
      </c>
      <c r="O459" s="577">
        <f t="shared" si="337"/>
        <v>46949.435219721658</v>
      </c>
      <c r="P459" s="577">
        <f t="shared" si="337"/>
        <v>48868.666950914492</v>
      </c>
      <c r="Q459" s="577">
        <f t="shared" si="337"/>
        <v>50788.501062940362</v>
      </c>
      <c r="R459" s="577">
        <f t="shared" si="337"/>
        <v>52707.73285787987</v>
      </c>
      <c r="S459" s="577">
        <f t="shared" si="337"/>
        <v>54626.964709882268</v>
      </c>
      <c r="T459" s="577">
        <f t="shared" si="337"/>
        <v>56548.124185699518</v>
      </c>
      <c r="U459" s="577">
        <f t="shared" si="337"/>
        <v>57820.062776172032</v>
      </c>
      <c r="V459" s="577">
        <f t="shared" si="337"/>
        <v>58754.440143002234</v>
      </c>
      <c r="W459" s="577">
        <f t="shared" si="337"/>
        <v>59688.817480808029</v>
      </c>
      <c r="X459" s="577">
        <f t="shared" si="337"/>
        <v>60623.194867614628</v>
      </c>
      <c r="Y459" s="577">
        <f t="shared" si="337"/>
        <v>61558.174668472697</v>
      </c>
      <c r="Z459" s="577">
        <f t="shared" si="337"/>
        <v>62492.552176954014</v>
      </c>
      <c r="AA459" s="577">
        <f t="shared" si="337"/>
        <v>63427.532117274575</v>
      </c>
      <c r="AB459" s="577">
        <f t="shared" si="337"/>
        <v>64361.909785678574</v>
      </c>
      <c r="AC459" s="577">
        <f t="shared" si="337"/>
        <v>65296.287551209287</v>
      </c>
      <c r="AD459" s="577">
        <f t="shared" si="337"/>
        <v>66231.267785502976</v>
      </c>
      <c r="AE459" s="577">
        <f t="shared" si="337"/>
        <v>67165.645789304515</v>
      </c>
      <c r="AF459" s="577">
        <f t="shared" si="337"/>
        <v>68100.023936346013</v>
      </c>
      <c r="AG459" s="725">
        <f t="shared" si="337"/>
        <v>69035.004604074566</v>
      </c>
      <c r="AH459" s="18"/>
      <c r="AI459" s="18"/>
      <c r="AJ459" s="18"/>
      <c r="AK459" s="18"/>
      <c r="AL459" s="18"/>
      <c r="AM459" s="18"/>
      <c r="AN459" s="18"/>
    </row>
    <row r="460" spans="2:40" ht="21.95" customHeight="1" x14ac:dyDescent="0.2">
      <c r="B460" s="705"/>
      <c r="C460" s="715"/>
      <c r="D460" s="715"/>
      <c r="E460" s="1339"/>
      <c r="F460" s="116" t="s">
        <v>337</v>
      </c>
      <c r="G460" s="116" t="s">
        <v>386</v>
      </c>
      <c r="H460" s="577">
        <f t="shared" ref="H460:AG460" si="338">H340/H401</f>
        <v>55745.454692566738</v>
      </c>
      <c r="I460" s="577">
        <f t="shared" si="338"/>
        <v>55856.945601951877</v>
      </c>
      <c r="J460" s="577">
        <f t="shared" si="338"/>
        <v>55968.436514317742</v>
      </c>
      <c r="K460" s="577">
        <f t="shared" si="338"/>
        <v>56079.927426749637</v>
      </c>
      <c r="L460" s="577">
        <f t="shared" si="338"/>
        <v>56191.418339248725</v>
      </c>
      <c r="M460" s="577">
        <f t="shared" si="338"/>
        <v>56302.909251816251</v>
      </c>
      <c r="N460" s="577">
        <f t="shared" si="338"/>
        <v>56414.400164453415</v>
      </c>
      <c r="O460" s="577">
        <f t="shared" si="338"/>
        <v>56525.891077161512</v>
      </c>
      <c r="P460" s="577">
        <f t="shared" si="338"/>
        <v>56637.381989941779</v>
      </c>
      <c r="Q460" s="577">
        <f t="shared" si="338"/>
        <v>56637.38199335977</v>
      </c>
      <c r="R460" s="577">
        <f t="shared" si="338"/>
        <v>57974.994179315145</v>
      </c>
      <c r="S460" s="577">
        <f t="shared" si="338"/>
        <v>59450.475058670243</v>
      </c>
      <c r="T460" s="577">
        <f t="shared" si="338"/>
        <v>60926.868157229299</v>
      </c>
      <c r="U460" s="577">
        <f t="shared" si="338"/>
        <v>62117.059043326037</v>
      </c>
      <c r="V460" s="577">
        <f t="shared" si="338"/>
        <v>63094.251615376059</v>
      </c>
      <c r="W460" s="577">
        <f t="shared" si="338"/>
        <v>64071.444186625951</v>
      </c>
      <c r="X460" s="577">
        <f t="shared" si="338"/>
        <v>65048.636773246712</v>
      </c>
      <c r="Y460" s="577">
        <f t="shared" si="338"/>
        <v>66026.057427103937</v>
      </c>
      <c r="Z460" s="577">
        <f t="shared" si="338"/>
        <v>67003.250051622963</v>
      </c>
      <c r="AA460" s="577">
        <f t="shared" si="338"/>
        <v>67980.670748820994</v>
      </c>
      <c r="AB460" s="577">
        <f t="shared" si="338"/>
        <v>68957.863422852824</v>
      </c>
      <c r="AC460" s="577">
        <f t="shared" si="338"/>
        <v>69935.056126891854</v>
      </c>
      <c r="AD460" s="577">
        <f t="shared" si="338"/>
        <v>70912.476914680505</v>
      </c>
      <c r="AE460" s="577">
        <f t="shared" si="338"/>
        <v>71889.669691706164</v>
      </c>
      <c r="AF460" s="577">
        <f t="shared" si="338"/>
        <v>72866.862512583</v>
      </c>
      <c r="AG460" s="725">
        <f t="shared" si="338"/>
        <v>73844.283432712196</v>
      </c>
      <c r="AH460" s="18"/>
      <c r="AI460" s="18"/>
      <c r="AJ460" s="18"/>
      <c r="AK460" s="18"/>
      <c r="AL460" s="18"/>
      <c r="AM460" s="18"/>
      <c r="AN460" s="18"/>
    </row>
    <row r="461" spans="2:40" ht="21.95" customHeight="1" x14ac:dyDescent="0.2">
      <c r="B461" s="705"/>
      <c r="C461" s="715"/>
      <c r="D461" s="715"/>
      <c r="E461" s="1339"/>
      <c r="F461" s="116" t="s">
        <v>342</v>
      </c>
      <c r="G461" s="116" t="s">
        <v>341</v>
      </c>
      <c r="H461" s="577">
        <f t="shared" ref="H461:AG461" si="339">H341/H402</f>
        <v>80818.064872343544</v>
      </c>
      <c r="I461" s="577">
        <f t="shared" si="339"/>
        <v>80979.70100208823</v>
      </c>
      <c r="J461" s="577">
        <f t="shared" si="339"/>
        <v>81141.337139050433</v>
      </c>
      <c r="K461" s="577">
        <f t="shared" si="339"/>
        <v>81302.973276172459</v>
      </c>
      <c r="L461" s="577">
        <f t="shared" si="339"/>
        <v>81464.609413457234</v>
      </c>
      <c r="M461" s="577">
        <f t="shared" si="339"/>
        <v>81626.245550907683</v>
      </c>
      <c r="N461" s="577">
        <f t="shared" si="339"/>
        <v>81787.881688526802</v>
      </c>
      <c r="O461" s="577">
        <f t="shared" si="339"/>
        <v>81949.51782631762</v>
      </c>
      <c r="P461" s="577">
        <f t="shared" si="339"/>
        <v>82111.153964283207</v>
      </c>
      <c r="Q461" s="577">
        <f t="shared" si="339"/>
        <v>82111.153972559478</v>
      </c>
      <c r="R461" s="577">
        <f t="shared" si="339"/>
        <v>84050.383440641715</v>
      </c>
      <c r="S461" s="577">
        <f t="shared" si="339"/>
        <v>86189.490794560508</v>
      </c>
      <c r="T461" s="577">
        <f t="shared" si="339"/>
        <v>88329.920676401016</v>
      </c>
      <c r="U461" s="577">
        <f t="shared" si="339"/>
        <v>90055.423313786305</v>
      </c>
      <c r="V461" s="577">
        <f t="shared" si="339"/>
        <v>91472.12747375913</v>
      </c>
      <c r="W461" s="577">
        <f t="shared" si="339"/>
        <v>92888.831631794601</v>
      </c>
      <c r="X461" s="577">
        <f t="shared" si="339"/>
        <v>94305.53582704872</v>
      </c>
      <c r="Y461" s="577">
        <f t="shared" si="339"/>
        <v>95722.570684394304</v>
      </c>
      <c r="Z461" s="577">
        <f t="shared" si="339"/>
        <v>97139.274971414561</v>
      </c>
      <c r="AA461" s="577">
        <f t="shared" si="339"/>
        <v>98556.309933704702</v>
      </c>
      <c r="AB461" s="577">
        <f t="shared" si="339"/>
        <v>99973.014340614303</v>
      </c>
      <c r="AC461" s="577">
        <f t="shared" si="339"/>
        <v>101389.71882018266</v>
      </c>
      <c r="AD461" s="577">
        <f t="shared" si="339"/>
        <v>102806.75400182708</v>
      </c>
      <c r="AE461" s="577">
        <f t="shared" si="339"/>
        <v>104223.45865812385</v>
      </c>
      <c r="AF461" s="577">
        <f t="shared" si="339"/>
        <v>105640.1634206009</v>
      </c>
      <c r="AG461" s="725">
        <f t="shared" si="339"/>
        <v>107057.19892269211</v>
      </c>
      <c r="AH461" s="18"/>
      <c r="AI461" s="18"/>
      <c r="AJ461" s="18"/>
      <c r="AK461" s="18"/>
      <c r="AL461" s="18"/>
      <c r="AM461" s="18"/>
      <c r="AN461" s="18"/>
    </row>
    <row r="462" spans="2:40" ht="21.95" customHeight="1" x14ac:dyDescent="0.2">
      <c r="B462" s="705"/>
      <c r="C462" s="715"/>
      <c r="D462" s="715"/>
      <c r="E462" s="1339"/>
      <c r="F462" s="116" t="s">
        <v>341</v>
      </c>
      <c r="G462" s="116" t="s">
        <v>344</v>
      </c>
      <c r="H462" s="577">
        <f t="shared" ref="H462:AG462" si="340">H342/H403</f>
        <v>83479.418264654334</v>
      </c>
      <c r="I462" s="577">
        <f t="shared" si="340"/>
        <v>83646.377101183636</v>
      </c>
      <c r="J462" s="577">
        <f t="shared" si="340"/>
        <v>83813.335977337556</v>
      </c>
      <c r="K462" s="577">
        <f t="shared" si="340"/>
        <v>83980.294854368985</v>
      </c>
      <c r="L462" s="577">
        <f t="shared" si="340"/>
        <v>84147.253732293888</v>
      </c>
      <c r="M462" s="577">
        <f t="shared" si="340"/>
        <v>84314.212611128343</v>
      </c>
      <c r="N462" s="577">
        <f t="shared" si="340"/>
        <v>84481.171490888795</v>
      </c>
      <c r="O462" s="577">
        <f t="shared" si="340"/>
        <v>84648.130371591862</v>
      </c>
      <c r="P462" s="577">
        <f t="shared" si="340"/>
        <v>84815.08925325454</v>
      </c>
      <c r="Q462" s="577">
        <f t="shared" si="340"/>
        <v>84815.089298691819</v>
      </c>
      <c r="R462" s="577">
        <f t="shared" si="340"/>
        <v>85215.38081667645</v>
      </c>
      <c r="S462" s="577">
        <f t="shared" si="340"/>
        <v>86630.826166756058</v>
      </c>
      <c r="T462" s="577">
        <f t="shared" si="340"/>
        <v>88010.197190075618</v>
      </c>
      <c r="U462" s="577">
        <f t="shared" si="340"/>
        <v>88942.353944546703</v>
      </c>
      <c r="V462" s="577">
        <f t="shared" si="340"/>
        <v>89542.065353331898</v>
      </c>
      <c r="W462" s="577">
        <f t="shared" si="340"/>
        <v>90928.877129337852</v>
      </c>
      <c r="X462" s="577">
        <f t="shared" si="340"/>
        <v>92315.689354794929</v>
      </c>
      <c r="Y462" s="577">
        <f t="shared" si="340"/>
        <v>93702.825353460401</v>
      </c>
      <c r="Z462" s="577">
        <f t="shared" si="340"/>
        <v>95089.637857915397</v>
      </c>
      <c r="AA462" s="577">
        <f t="shared" si="340"/>
        <v>96476.774175645391</v>
      </c>
      <c r="AB462" s="577">
        <f t="shared" si="340"/>
        <v>97863.587044601722</v>
      </c>
      <c r="AC462" s="577">
        <f t="shared" si="340"/>
        <v>99250.400134463722</v>
      </c>
      <c r="AD462" s="577">
        <f t="shared" si="340"/>
        <v>100637.53711909964</v>
      </c>
      <c r="AE462" s="577">
        <f t="shared" si="340"/>
        <v>102024.35074627161</v>
      </c>
      <c r="AF462" s="577">
        <f t="shared" si="340"/>
        <v>103411.16469626488</v>
      </c>
      <c r="AG462" s="725">
        <f t="shared" si="340"/>
        <v>104798.30265515993</v>
      </c>
      <c r="AH462" s="18"/>
      <c r="AI462" s="18"/>
      <c r="AJ462" s="18"/>
      <c r="AK462" s="18"/>
      <c r="AL462" s="18"/>
      <c r="AM462" s="18"/>
      <c r="AN462" s="18"/>
    </row>
    <row r="463" spans="2:40" ht="21.95" customHeight="1" x14ac:dyDescent="0.2">
      <c r="B463" s="705"/>
      <c r="C463" s="715"/>
      <c r="D463" s="715"/>
      <c r="E463" s="1339"/>
      <c r="F463" s="116" t="s">
        <v>344</v>
      </c>
      <c r="G463" s="116" t="s">
        <v>345</v>
      </c>
      <c r="H463" s="577">
        <f t="shared" ref="H463:AG463" si="341">H343/H404</f>
        <v>28168.198122414615</v>
      </c>
      <c r="I463" s="577">
        <f t="shared" si="341"/>
        <v>28224.534518659446</v>
      </c>
      <c r="J463" s="577">
        <f t="shared" si="341"/>
        <v>28280.87091981887</v>
      </c>
      <c r="K463" s="577">
        <f t="shared" si="341"/>
        <v>28337.207321087135</v>
      </c>
      <c r="L463" s="577">
        <f t="shared" si="341"/>
        <v>28393.543722466209</v>
      </c>
      <c r="M463" s="577">
        <f t="shared" si="341"/>
        <v>28449.880123958093</v>
      </c>
      <c r="N463" s="577">
        <f t="shared" si="341"/>
        <v>28506.216525564836</v>
      </c>
      <c r="O463" s="577">
        <f t="shared" si="341"/>
        <v>28562.552927288489</v>
      </c>
      <c r="P463" s="577">
        <f t="shared" si="341"/>
        <v>28618.889329131158</v>
      </c>
      <c r="Q463" s="577">
        <f t="shared" si="341"/>
        <v>28618.889334766689</v>
      </c>
      <c r="R463" s="577">
        <f t="shared" si="341"/>
        <v>28753.958445105109</v>
      </c>
      <c r="S463" s="577">
        <f t="shared" si="341"/>
        <v>29231.567701815984</v>
      </c>
      <c r="T463" s="577">
        <f t="shared" si="341"/>
        <v>29697.004438972504</v>
      </c>
      <c r="U463" s="577">
        <f t="shared" si="341"/>
        <v>30011.539054943518</v>
      </c>
      <c r="V463" s="577">
        <f t="shared" si="341"/>
        <v>30213.897707079752</v>
      </c>
      <c r="W463" s="577">
        <f t="shared" si="341"/>
        <v>30681.845186746588</v>
      </c>
      <c r="X463" s="577">
        <f t="shared" si="341"/>
        <v>31149.792722158323</v>
      </c>
      <c r="Y463" s="577">
        <f t="shared" si="341"/>
        <v>31617.849479621887</v>
      </c>
      <c r="Z463" s="577">
        <f t="shared" si="341"/>
        <v>32085.797049637415</v>
      </c>
      <c r="AA463" s="577">
        <f t="shared" si="341"/>
        <v>32553.853846674188</v>
      </c>
      <c r="AB463" s="577">
        <f t="shared" si="341"/>
        <v>33021.801461898402</v>
      </c>
      <c r="AC463" s="577">
        <f t="shared" si="341"/>
        <v>33489.749104521288</v>
      </c>
      <c r="AD463" s="577">
        <f t="shared" si="341"/>
        <v>33957.805984273626</v>
      </c>
      <c r="AE463" s="577">
        <f t="shared" si="341"/>
        <v>34425.753693538449</v>
      </c>
      <c r="AF463" s="577">
        <f t="shared" si="341"/>
        <v>34893.701442842437</v>
      </c>
      <c r="AG463" s="725">
        <f t="shared" si="341"/>
        <v>35361.758443431019</v>
      </c>
      <c r="AH463" s="18"/>
      <c r="AI463" s="18"/>
      <c r="AJ463" s="18"/>
      <c r="AK463" s="18"/>
      <c r="AL463" s="18"/>
      <c r="AM463" s="18"/>
      <c r="AN463" s="18"/>
    </row>
    <row r="464" spans="2:40" ht="21.95" customHeight="1" x14ac:dyDescent="0.2">
      <c r="B464" s="705"/>
      <c r="C464" s="715"/>
      <c r="D464" s="715"/>
      <c r="E464" s="1339"/>
      <c r="F464" s="116" t="s">
        <v>345</v>
      </c>
      <c r="G464" s="116" t="s">
        <v>323</v>
      </c>
      <c r="H464" s="577">
        <f t="shared" ref="H464:AG464" si="342">H344/H405</f>
        <v>278291.63733562781</v>
      </c>
      <c r="I464" s="577">
        <f t="shared" si="342"/>
        <v>284679.92126053764</v>
      </c>
      <c r="J464" s="577">
        <f t="shared" si="342"/>
        <v>294024.06047838624</v>
      </c>
      <c r="K464" s="577">
        <f t="shared" si="342"/>
        <v>305230.26945756306</v>
      </c>
      <c r="L464" s="577">
        <f t="shared" si="342"/>
        <v>316439.46091946634</v>
      </c>
      <c r="M464" s="577">
        <f t="shared" si="342"/>
        <v>327649.64714215783</v>
      </c>
      <c r="N464" s="577">
        <f t="shared" si="342"/>
        <v>338855.85896051617</v>
      </c>
      <c r="O464" s="577">
        <f t="shared" si="342"/>
        <v>350068.03579516441</v>
      </c>
      <c r="P464" s="577">
        <f t="shared" si="342"/>
        <v>359713.8303703742</v>
      </c>
      <c r="Q464" s="577">
        <f t="shared" si="342"/>
        <v>369359.12930230657</v>
      </c>
      <c r="R464" s="577">
        <f t="shared" si="342"/>
        <v>379004.92794854834</v>
      </c>
      <c r="S464" s="577">
        <f t="shared" si="342"/>
        <v>388650.73010173097</v>
      </c>
      <c r="T464" s="577">
        <f t="shared" si="342"/>
        <v>398302.50006721012</v>
      </c>
      <c r="U464" s="577">
        <f t="shared" si="342"/>
        <v>406083.26079693792</v>
      </c>
      <c r="V464" s="577">
        <f t="shared" si="342"/>
        <v>412471.56945217802</v>
      </c>
      <c r="W464" s="577">
        <f t="shared" si="342"/>
        <v>418859.87789359072</v>
      </c>
      <c r="X464" s="577">
        <f t="shared" si="342"/>
        <v>425248.19044281612</v>
      </c>
      <c r="Y464" s="577">
        <f t="shared" si="342"/>
        <v>431637.99855692306</v>
      </c>
      <c r="Z464" s="577">
        <f t="shared" si="342"/>
        <v>438026.32123435877</v>
      </c>
      <c r="AA464" s="577">
        <f t="shared" si="342"/>
        <v>444416.14093117579</v>
      </c>
      <c r="AB464" s="577">
        <f t="shared" si="342"/>
        <v>450804.47684077267</v>
      </c>
      <c r="AC464" s="577">
        <f t="shared" si="342"/>
        <v>457192.82076971012</v>
      </c>
      <c r="AD464" s="577">
        <f t="shared" si="342"/>
        <v>463582.66467661143</v>
      </c>
      <c r="AE464" s="577">
        <f t="shared" si="342"/>
        <v>469971.02811102703</v>
      </c>
      <c r="AF464" s="577">
        <f t="shared" si="342"/>
        <v>476359.40326453181</v>
      </c>
      <c r="AG464" s="725">
        <f t="shared" si="342"/>
        <v>482749.28253908321</v>
      </c>
      <c r="AH464" s="18"/>
      <c r="AI464" s="18"/>
      <c r="AJ464" s="18"/>
      <c r="AK464" s="18"/>
      <c r="AL464" s="18"/>
      <c r="AM464" s="18"/>
      <c r="AN464" s="18"/>
    </row>
    <row r="465" spans="1:40" ht="21.95" customHeight="1" x14ac:dyDescent="0.2">
      <c r="B465" s="705"/>
      <c r="C465" s="715"/>
      <c r="D465" s="715"/>
      <c r="E465" s="1339"/>
      <c r="F465" s="116" t="s">
        <v>323</v>
      </c>
      <c r="G465" s="116" t="s">
        <v>347</v>
      </c>
      <c r="H465" s="577">
        <f t="shared" ref="H465:AG465" si="343">H345/H406</f>
        <v>49694.935238504971</v>
      </c>
      <c r="I465" s="577">
        <f t="shared" si="343"/>
        <v>50793.015825364368</v>
      </c>
      <c r="J465" s="577">
        <f t="shared" si="343"/>
        <v>52418.838969417615</v>
      </c>
      <c r="K465" s="577">
        <f t="shared" si="343"/>
        <v>54482.155118641254</v>
      </c>
      <c r="L465" s="577">
        <f t="shared" si="343"/>
        <v>56546.092609325853</v>
      </c>
      <c r="M465" s="577">
        <f t="shared" si="343"/>
        <v>58609.906025953664</v>
      </c>
      <c r="N465" s="577">
        <f t="shared" si="343"/>
        <v>60673.222720841695</v>
      </c>
      <c r="O465" s="577">
        <f t="shared" si="343"/>
        <v>62737.657865371562</v>
      </c>
      <c r="P465" s="577">
        <f t="shared" si="343"/>
        <v>64572.11236193373</v>
      </c>
      <c r="Q465" s="577">
        <f t="shared" si="343"/>
        <v>66406.744665204184</v>
      </c>
      <c r="R465" s="577">
        <f t="shared" si="343"/>
        <v>68241.200075057728</v>
      </c>
      <c r="S465" s="577">
        <f t="shared" si="343"/>
        <v>70075.656241023986</v>
      </c>
      <c r="T465" s="577">
        <f t="shared" si="343"/>
        <v>71910.965286044258</v>
      </c>
      <c r="U465" s="577">
        <f t="shared" si="343"/>
        <v>73307.43365900591</v>
      </c>
      <c r="V465" s="577">
        <f t="shared" si="343"/>
        <v>74405.51918041821</v>
      </c>
      <c r="W465" s="577">
        <f t="shared" si="343"/>
        <v>75503.604445200166</v>
      </c>
      <c r="X465" s="577">
        <f t="shared" si="343"/>
        <v>76601.690453990115</v>
      </c>
      <c r="Y465" s="577">
        <f t="shared" si="343"/>
        <v>77699.954793476878</v>
      </c>
      <c r="Z465" s="577">
        <f t="shared" si="343"/>
        <v>78798.04261837696</v>
      </c>
      <c r="AA465" s="577">
        <f t="shared" si="343"/>
        <v>79896.309022447575</v>
      </c>
      <c r="AB465" s="577">
        <f t="shared" si="343"/>
        <v>80994.399191723001</v>
      </c>
      <c r="AC465" s="577">
        <f t="shared" si="343"/>
        <v>82092.490770397111</v>
      </c>
      <c r="AD465" s="577">
        <f t="shared" si="343"/>
        <v>83190.761426006618</v>
      </c>
      <c r="AE465" s="577">
        <f t="shared" si="343"/>
        <v>84288.856401802928</v>
      </c>
      <c r="AF465" s="577">
        <f t="shared" si="343"/>
        <v>85386.95340397273</v>
      </c>
      <c r="AG465" s="725">
        <f t="shared" si="343"/>
        <v>86485.230170399023</v>
      </c>
      <c r="AH465" s="18"/>
      <c r="AI465" s="18"/>
      <c r="AJ465" s="18"/>
      <c r="AK465" s="18"/>
      <c r="AL465" s="18"/>
      <c r="AM465" s="18"/>
      <c r="AN465" s="18"/>
    </row>
    <row r="466" spans="1:40" ht="21.95" customHeight="1" x14ac:dyDescent="0.2">
      <c r="B466" s="705"/>
      <c r="C466" s="715"/>
      <c r="D466" s="715"/>
      <c r="E466" s="1339"/>
      <c r="F466" s="116" t="s">
        <v>347</v>
      </c>
      <c r="G466" s="116" t="s">
        <v>348</v>
      </c>
      <c r="H466" s="577">
        <f t="shared" ref="H466:AG466" si="344">H346/H407</f>
        <v>40672.48777113924</v>
      </c>
      <c r="I466" s="577">
        <f t="shared" si="344"/>
        <v>41571.204491996519</v>
      </c>
      <c r="J466" s="577">
        <f t="shared" si="344"/>
        <v>42901.848626008745</v>
      </c>
      <c r="K466" s="577">
        <f t="shared" si="344"/>
        <v>44590.556030215914</v>
      </c>
      <c r="L466" s="577">
        <f t="shared" si="344"/>
        <v>46279.772038093513</v>
      </c>
      <c r="M466" s="577">
        <f t="shared" si="344"/>
        <v>47968.886573189578</v>
      </c>
      <c r="N466" s="577">
        <f t="shared" si="344"/>
        <v>49657.59467396835</v>
      </c>
      <c r="O466" s="577">
        <f t="shared" si="344"/>
        <v>51347.218306048875</v>
      </c>
      <c r="P466" s="577">
        <f t="shared" si="344"/>
        <v>52848.616002348557</v>
      </c>
      <c r="Q466" s="577">
        <f t="shared" si="344"/>
        <v>54350.159372154609</v>
      </c>
      <c r="R466" s="577">
        <f t="shared" si="344"/>
        <v>55851.558234322642</v>
      </c>
      <c r="S466" s="577">
        <f t="shared" si="344"/>
        <v>57352.958061711543</v>
      </c>
      <c r="T466" s="577">
        <f t="shared" si="344"/>
        <v>58855.056364746742</v>
      </c>
      <c r="U466" s="577">
        <f t="shared" si="344"/>
        <v>59997.988956363799</v>
      </c>
      <c r="V466" s="577">
        <f t="shared" si="344"/>
        <v>60896.711976458377</v>
      </c>
      <c r="W466" s="577">
        <f t="shared" si="344"/>
        <v>61795.434668949732</v>
      </c>
      <c r="X466" s="577">
        <f t="shared" si="344"/>
        <v>62694.158311209547</v>
      </c>
      <c r="Y466" s="577">
        <f t="shared" si="344"/>
        <v>63593.028295876924</v>
      </c>
      <c r="Z466" s="577">
        <f t="shared" si="344"/>
        <v>64491.754256504581</v>
      </c>
      <c r="AA466" s="577">
        <f t="shared" si="344"/>
        <v>65390.626876730566</v>
      </c>
      <c r="AB466" s="577">
        <f t="shared" si="344"/>
        <v>66289.355830086613</v>
      </c>
      <c r="AC466" s="577">
        <f t="shared" si="344"/>
        <v>67188.086582620221</v>
      </c>
      <c r="AD466" s="577">
        <f t="shared" si="344"/>
        <v>68086.964630177274</v>
      </c>
      <c r="AE466" s="577">
        <f t="shared" si="344"/>
        <v>68985.699719330471</v>
      </c>
      <c r="AF466" s="577">
        <f t="shared" si="344"/>
        <v>69884.437395264598</v>
      </c>
      <c r="AG466" s="725">
        <f t="shared" si="344"/>
        <v>70783.32324362667</v>
      </c>
      <c r="AH466" s="18"/>
      <c r="AI466" s="18"/>
      <c r="AJ466" s="18"/>
      <c r="AK466" s="18"/>
      <c r="AL466" s="18"/>
      <c r="AM466" s="18"/>
      <c r="AN466" s="18"/>
    </row>
    <row r="467" spans="1:40" ht="21.95" customHeight="1" x14ac:dyDescent="0.2">
      <c r="B467" s="705"/>
      <c r="C467" s="715"/>
      <c r="D467" s="715"/>
      <c r="E467" s="1353"/>
      <c r="F467" s="254" t="s">
        <v>348</v>
      </c>
      <c r="G467" s="254" t="s">
        <v>349</v>
      </c>
      <c r="H467" s="577">
        <f t="shared" ref="H467:AG467" si="345">H347/H408</f>
        <v>66404.063777751493</v>
      </c>
      <c r="I467" s="577">
        <f t="shared" si="345"/>
        <v>67990.187094892884</v>
      </c>
      <c r="J467" s="577">
        <f t="shared" si="345"/>
        <v>70193.453985804037</v>
      </c>
      <c r="K467" s="577">
        <f t="shared" si="345"/>
        <v>73119.592092351144</v>
      </c>
      <c r="L467" s="577">
        <f t="shared" si="345"/>
        <v>76046.561691642055</v>
      </c>
      <c r="M467" s="577">
        <f t="shared" si="345"/>
        <v>78973.740323112943</v>
      </c>
      <c r="N467" s="577">
        <f t="shared" si="345"/>
        <v>81899.88354954547</v>
      </c>
      <c r="O467" s="577">
        <f t="shared" si="345"/>
        <v>84827.689900970552</v>
      </c>
      <c r="P467" s="577">
        <f t="shared" si="345"/>
        <v>87622.069724644345</v>
      </c>
      <c r="Q467" s="577">
        <f t="shared" si="345"/>
        <v>90416.558039537194</v>
      </c>
      <c r="R467" s="577">
        <f t="shared" si="345"/>
        <v>93210.949583550813</v>
      </c>
      <c r="S467" s="577">
        <f t="shared" si="345"/>
        <v>96005.35038113175</v>
      </c>
      <c r="T467" s="577">
        <f t="shared" si="345"/>
        <v>98801.423440666826</v>
      </c>
      <c r="U467" s="577">
        <f t="shared" si="345"/>
        <v>100872.15011269046</v>
      </c>
      <c r="V467" s="577">
        <f t="shared" si="345"/>
        <v>102458.33115690306</v>
      </c>
      <c r="W467" s="577">
        <f t="shared" si="345"/>
        <v>104044.50845541745</v>
      </c>
      <c r="X467" s="577">
        <f t="shared" si="345"/>
        <v>105630.69478852728</v>
      </c>
      <c r="Y467" s="577">
        <f t="shared" si="345"/>
        <v>107217.20276381903</v>
      </c>
      <c r="Z467" s="577">
        <f t="shared" si="345"/>
        <v>108803.41136733748</v>
      </c>
      <c r="AA467" s="577">
        <f t="shared" si="345"/>
        <v>110389.94481269807</v>
      </c>
      <c r="AB467" s="577">
        <f t="shared" si="345"/>
        <v>111976.18251073435</v>
      </c>
      <c r="AC467" s="577">
        <f t="shared" si="345"/>
        <v>113562.43784445312</v>
      </c>
      <c r="AD467" s="577">
        <f t="shared" si="345"/>
        <v>115149.02451950277</v>
      </c>
      <c r="AE467" s="577">
        <f t="shared" si="345"/>
        <v>116735.32272994565</v>
      </c>
      <c r="AF467" s="577">
        <f t="shared" si="345"/>
        <v>118321.64670842813</v>
      </c>
      <c r="AG467" s="725">
        <f t="shared" si="345"/>
        <v>119908.31113225204</v>
      </c>
      <c r="AH467" s="18"/>
      <c r="AI467" s="18"/>
      <c r="AJ467" s="18"/>
      <c r="AK467" s="18"/>
      <c r="AL467" s="18"/>
      <c r="AM467" s="18"/>
      <c r="AN467" s="18"/>
    </row>
    <row r="468" spans="1:40" ht="21.95" customHeight="1" x14ac:dyDescent="0.2">
      <c r="B468" s="705"/>
      <c r="C468" s="715"/>
      <c r="D468" s="715"/>
      <c r="E468" s="116" t="s">
        <v>288</v>
      </c>
      <c r="F468" s="116" t="s">
        <v>323</v>
      </c>
      <c r="G468" s="116" t="s">
        <v>348</v>
      </c>
      <c r="H468" s="593">
        <f t="shared" ref="H468:AG468" si="346">H348/H409</f>
        <v>15881.438848935313</v>
      </c>
      <c r="I468" s="593">
        <f t="shared" si="346"/>
        <v>16857.970877713182</v>
      </c>
      <c r="J468" s="593">
        <f t="shared" si="346"/>
        <v>18150.278848950857</v>
      </c>
      <c r="K468" s="593">
        <f t="shared" si="346"/>
        <v>19867.680000068718</v>
      </c>
      <c r="L468" s="593">
        <f t="shared" si="346"/>
        <v>21585.610532558494</v>
      </c>
      <c r="M468" s="593">
        <f t="shared" si="346"/>
        <v>23307.246734269243</v>
      </c>
      <c r="N468" s="593">
        <f t="shared" si="346"/>
        <v>25024.647885947412</v>
      </c>
      <c r="O468" s="593">
        <f t="shared" si="346"/>
        <v>26743.901872799815</v>
      </c>
      <c r="P468" s="593">
        <f t="shared" si="346"/>
        <v>28311.576350047864</v>
      </c>
      <c r="Q468" s="593">
        <f t="shared" si="346"/>
        <v>29877.927375719024</v>
      </c>
      <c r="R468" s="593">
        <f t="shared" si="346"/>
        <v>31445.690087834348</v>
      </c>
      <c r="S468" s="593">
        <f t="shared" si="346"/>
        <v>33013.364574586056</v>
      </c>
      <c r="T468" s="593">
        <f t="shared" si="346"/>
        <v>34586.597572594874</v>
      </c>
      <c r="U468" s="593">
        <f t="shared" si="346"/>
        <v>35727.943675140625</v>
      </c>
      <c r="V468" s="593">
        <f t="shared" si="346"/>
        <v>36704.475736793618</v>
      </c>
      <c r="W468" s="593">
        <f t="shared" si="346"/>
        <v>37681.007803757464</v>
      </c>
      <c r="X468" s="593">
        <f t="shared" si="346"/>
        <v>38657.539882323312</v>
      </c>
      <c r="Y468" s="593">
        <f t="shared" si="346"/>
        <v>39635.130738169675</v>
      </c>
      <c r="Z468" s="593">
        <f t="shared" si="346"/>
        <v>40611.662849985922</v>
      </c>
      <c r="AA468" s="593">
        <f t="shared" si="346"/>
        <v>41590.577200695399</v>
      </c>
      <c r="AB468" s="593">
        <f t="shared" si="346"/>
        <v>42567.109364648713</v>
      </c>
      <c r="AC468" s="593">
        <f t="shared" si="346"/>
        <v>43543.641563942576</v>
      </c>
      <c r="AD468" s="593">
        <f t="shared" si="346"/>
        <v>44521.232569700915</v>
      </c>
      <c r="AE468" s="593">
        <f t="shared" si="346"/>
        <v>45497.764866899648</v>
      </c>
      <c r="AF468" s="593">
        <f t="shared" si="346"/>
        <v>46474.297229469266</v>
      </c>
      <c r="AG468" s="730">
        <f t="shared" si="346"/>
        <v>47453.211887681333</v>
      </c>
      <c r="AH468" s="18"/>
      <c r="AI468" s="18"/>
      <c r="AJ468" s="18"/>
      <c r="AK468" s="18"/>
      <c r="AL468" s="18"/>
      <c r="AM468" s="18"/>
      <c r="AN468" s="18"/>
    </row>
    <row r="469" spans="1:40" ht="21.95" customHeight="1" x14ac:dyDescent="0.2">
      <c r="B469" s="705"/>
      <c r="C469" s="715"/>
      <c r="D469" s="715"/>
      <c r="E469" s="277" t="s">
        <v>340</v>
      </c>
      <c r="F469" s="277" t="s">
        <v>335</v>
      </c>
      <c r="G469" s="277" t="s">
        <v>323</v>
      </c>
      <c r="H469" s="577" t="e">
        <f>H349/H410</f>
        <v>#DIV/0!</v>
      </c>
      <c r="I469" s="577" t="e">
        <f t="shared" ref="I469:AG469" si="347">I349/I410</f>
        <v>#DIV/0!</v>
      </c>
      <c r="J469" s="577" t="e">
        <f t="shared" si="347"/>
        <v>#DIV/0!</v>
      </c>
      <c r="K469" s="577" t="e">
        <f t="shared" si="347"/>
        <v>#DIV/0!</v>
      </c>
      <c r="L469" s="577" t="e">
        <f t="shared" si="347"/>
        <v>#DIV/0!</v>
      </c>
      <c r="M469" s="577" t="e">
        <f t="shared" si="347"/>
        <v>#DIV/0!</v>
      </c>
      <c r="N469" s="577" t="e">
        <f t="shared" si="347"/>
        <v>#DIV/0!</v>
      </c>
      <c r="O469" s="577" t="e">
        <f t="shared" si="347"/>
        <v>#DIV/0!</v>
      </c>
      <c r="P469" s="577" t="e">
        <f t="shared" si="347"/>
        <v>#DIV/0!</v>
      </c>
      <c r="Q469" s="577" t="e">
        <f t="shared" si="347"/>
        <v>#DIV/0!</v>
      </c>
      <c r="R469" s="577" t="e">
        <f t="shared" si="347"/>
        <v>#DIV/0!</v>
      </c>
      <c r="S469" s="577" t="e">
        <f t="shared" si="347"/>
        <v>#DIV/0!</v>
      </c>
      <c r="T469" s="577" t="e">
        <f t="shared" si="347"/>
        <v>#DIV/0!</v>
      </c>
      <c r="U469" s="577" t="e">
        <f t="shared" si="347"/>
        <v>#DIV/0!</v>
      </c>
      <c r="V469" s="577" t="e">
        <f t="shared" si="347"/>
        <v>#DIV/0!</v>
      </c>
      <c r="W469" s="577" t="e">
        <f t="shared" si="347"/>
        <v>#DIV/0!</v>
      </c>
      <c r="X469" s="577" t="e">
        <f t="shared" si="347"/>
        <v>#DIV/0!</v>
      </c>
      <c r="Y469" s="577" t="e">
        <f t="shared" si="347"/>
        <v>#DIV/0!</v>
      </c>
      <c r="Z469" s="577" t="e">
        <f t="shared" si="347"/>
        <v>#DIV/0!</v>
      </c>
      <c r="AA469" s="577" t="e">
        <f t="shared" si="347"/>
        <v>#DIV/0!</v>
      </c>
      <c r="AB469" s="577" t="e">
        <f t="shared" si="347"/>
        <v>#DIV/0!</v>
      </c>
      <c r="AC469" s="577" t="e">
        <f t="shared" si="347"/>
        <v>#DIV/0!</v>
      </c>
      <c r="AD469" s="577" t="e">
        <f t="shared" si="347"/>
        <v>#DIV/0!</v>
      </c>
      <c r="AE469" s="577" t="e">
        <f t="shared" si="347"/>
        <v>#DIV/0!</v>
      </c>
      <c r="AF469" s="577" t="e">
        <f t="shared" si="347"/>
        <v>#DIV/0!</v>
      </c>
      <c r="AG469" s="725" t="e">
        <f t="shared" si="347"/>
        <v>#DIV/0!</v>
      </c>
      <c r="AH469" s="18"/>
      <c r="AI469" s="18"/>
      <c r="AJ469" s="18"/>
      <c r="AK469" s="18"/>
      <c r="AL469" s="18"/>
      <c r="AM469" s="18"/>
      <c r="AN469" s="18"/>
    </row>
    <row r="470" spans="1:40" ht="21.95" customHeight="1" x14ac:dyDescent="0.2">
      <c r="B470" s="705"/>
      <c r="C470" s="715"/>
      <c r="D470" s="715"/>
      <c r="E470" s="277" t="s">
        <v>357</v>
      </c>
      <c r="F470" s="277" t="s">
        <v>338</v>
      </c>
      <c r="G470" s="277" t="s">
        <v>323</v>
      </c>
      <c r="H470" s="593">
        <f>H350/H411</f>
        <v>25667.374204594336</v>
      </c>
      <c r="I470" s="593">
        <f t="shared" ref="I470:AG470" si="348">I350/I411</f>
        <v>26019.801512075748</v>
      </c>
      <c r="J470" s="593">
        <f t="shared" si="348"/>
        <v>26628.97386349002</v>
      </c>
      <c r="K470" s="593">
        <f t="shared" si="348"/>
        <v>27465.302480740891</v>
      </c>
      <c r="L470" s="593">
        <f t="shared" si="348"/>
        <v>28301.987595700171</v>
      </c>
      <c r="M470" s="593">
        <f t="shared" si="348"/>
        <v>29139.884786413451</v>
      </c>
      <c r="N470" s="593">
        <f t="shared" si="348"/>
        <v>29976.213422343742</v>
      </c>
      <c r="O470" s="593">
        <f t="shared" si="348"/>
        <v>30815.465295973059</v>
      </c>
      <c r="P470" s="593">
        <f t="shared" si="348"/>
        <v>31397.473051993442</v>
      </c>
      <c r="Q470" s="593">
        <f t="shared" si="348"/>
        <v>31979.552101318441</v>
      </c>
      <c r="R470" s="593">
        <f t="shared" si="348"/>
        <v>32561.702457349693</v>
      </c>
      <c r="S470" s="593">
        <f t="shared" si="348"/>
        <v>33143.710226817464</v>
      </c>
      <c r="T470" s="593">
        <f t="shared" si="348"/>
        <v>33729.85330719778</v>
      </c>
      <c r="U470" s="593">
        <f t="shared" si="348"/>
        <v>34082.280697006703</v>
      </c>
      <c r="V470" s="593">
        <f t="shared" si="348"/>
        <v>34434.708063178572</v>
      </c>
      <c r="W470" s="593">
        <f t="shared" si="348"/>
        <v>34787.135435773191</v>
      </c>
      <c r="X470" s="593">
        <f t="shared" si="348"/>
        <v>35139.562815412894</v>
      </c>
      <c r="Y470" s="593">
        <f t="shared" si="348"/>
        <v>35494.414343720222</v>
      </c>
      <c r="Z470" s="593">
        <f t="shared" si="348"/>
        <v>35846.84174012197</v>
      </c>
      <c r="AA470" s="593">
        <f t="shared" si="348"/>
        <v>36200.623812254176</v>
      </c>
      <c r="AB470" s="593">
        <f t="shared" si="348"/>
        <v>36553.051227892087</v>
      </c>
      <c r="AC470" s="593">
        <f t="shared" si="348"/>
        <v>36905.478654215018</v>
      </c>
      <c r="AD470" s="593">
        <f t="shared" si="348"/>
        <v>37260.330233568253</v>
      </c>
      <c r="AE470" s="593">
        <f t="shared" si="348"/>
        <v>37612.757686033059</v>
      </c>
      <c r="AF470" s="593">
        <f t="shared" si="348"/>
        <v>37965.185151952544</v>
      </c>
      <c r="AG470" s="730">
        <f t="shared" si="348"/>
        <v>38318.967300486678</v>
      </c>
      <c r="AH470" s="18"/>
      <c r="AI470" s="18"/>
      <c r="AJ470" s="18"/>
      <c r="AK470" s="18"/>
      <c r="AL470" s="18"/>
      <c r="AM470" s="18"/>
      <c r="AN470" s="18"/>
    </row>
    <row r="471" spans="1:40" ht="21.95" customHeight="1" x14ac:dyDescent="0.2">
      <c r="B471" s="705"/>
      <c r="C471" s="715"/>
      <c r="D471" s="715"/>
      <c r="E471" s="116" t="s">
        <v>338</v>
      </c>
      <c r="F471" s="116" t="s">
        <v>282</v>
      </c>
      <c r="G471" s="116" t="s">
        <v>357</v>
      </c>
      <c r="H471" s="577">
        <f t="shared" ref="H471:AG471" si="349">H351/H412</f>
        <v>52604.163278649205</v>
      </c>
      <c r="I471" s="577">
        <f t="shared" si="349"/>
        <v>54120.583493482831</v>
      </c>
      <c r="J471" s="577">
        <f t="shared" si="349"/>
        <v>55761.938596126689</v>
      </c>
      <c r="K471" s="577">
        <f t="shared" si="349"/>
        <v>57939.48793508159</v>
      </c>
      <c r="L471" s="577">
        <f t="shared" si="349"/>
        <v>60117.405503210735</v>
      </c>
      <c r="M471" s="577">
        <f t="shared" si="349"/>
        <v>62296.217342147131</v>
      </c>
      <c r="N471" s="577">
        <f t="shared" si="349"/>
        <v>64473.766681208719</v>
      </c>
      <c r="O471" s="577">
        <f t="shared" si="349"/>
        <v>66651.894666126493</v>
      </c>
      <c r="P471" s="577">
        <f t="shared" si="349"/>
        <v>69048.645553715076</v>
      </c>
      <c r="Q471" s="577">
        <f t="shared" si="349"/>
        <v>71444.607379010456</v>
      </c>
      <c r="R471" s="577">
        <f t="shared" si="349"/>
        <v>73841.358266938943</v>
      </c>
      <c r="S471" s="577">
        <f t="shared" si="349"/>
        <v>76238.109155117621</v>
      </c>
      <c r="T471" s="577">
        <f t="shared" si="349"/>
        <v>78636.227751877595</v>
      </c>
      <c r="U471" s="577">
        <f t="shared" si="349"/>
        <v>80496.573987850687</v>
      </c>
      <c r="V471" s="577">
        <f t="shared" si="349"/>
        <v>82012.994204330942</v>
      </c>
      <c r="W471" s="577">
        <f t="shared" si="349"/>
        <v>83529.414420843255</v>
      </c>
      <c r="X471" s="577">
        <f t="shared" si="349"/>
        <v>85045.834637696127</v>
      </c>
      <c r="Y471" s="577">
        <f t="shared" si="349"/>
        <v>86562.097042460693</v>
      </c>
      <c r="Z471" s="577">
        <f t="shared" si="349"/>
        <v>88078.517260186811</v>
      </c>
      <c r="AA471" s="577">
        <f t="shared" si="349"/>
        <v>89594.779665976457</v>
      </c>
      <c r="AB471" s="577">
        <f t="shared" si="349"/>
        <v>91111.199884902177</v>
      </c>
      <c r="AC471" s="577">
        <f t="shared" si="349"/>
        <v>92627.620104581802</v>
      </c>
      <c r="AD471" s="577">
        <f t="shared" si="349"/>
        <v>94143.882512647935</v>
      </c>
      <c r="AE471" s="577">
        <f t="shared" si="349"/>
        <v>95660.302734219586</v>
      </c>
      <c r="AF471" s="577">
        <f t="shared" si="349"/>
        <v>97176.722956967875</v>
      </c>
      <c r="AG471" s="725">
        <f t="shared" si="349"/>
        <v>98692.985368583788</v>
      </c>
      <c r="AH471" s="18"/>
      <c r="AI471" s="18"/>
      <c r="AJ471" s="18"/>
      <c r="AK471" s="18"/>
      <c r="AL471" s="18"/>
      <c r="AM471" s="18"/>
      <c r="AN471" s="18"/>
    </row>
    <row r="472" spans="1:40" ht="21.95" customHeight="1" x14ac:dyDescent="0.2">
      <c r="B472" s="705"/>
      <c r="C472" s="715"/>
      <c r="D472" s="715"/>
      <c r="E472" s="116"/>
      <c r="F472" s="116" t="s">
        <v>357</v>
      </c>
      <c r="G472" s="116" t="s">
        <v>346</v>
      </c>
      <c r="H472" s="577">
        <f t="shared" ref="H472:AG472" si="350">H352/H413</f>
        <v>7661.0941616529308</v>
      </c>
      <c r="I472" s="577">
        <f t="shared" si="350"/>
        <v>7878.5281104251053</v>
      </c>
      <c r="J472" s="577">
        <f t="shared" si="350"/>
        <v>8119.8223353562244</v>
      </c>
      <c r="K472" s="577">
        <f t="shared" si="350"/>
        <v>8458.5031796239473</v>
      </c>
      <c r="L472" s="577">
        <f t="shared" si="350"/>
        <v>8797.2445062143397</v>
      </c>
      <c r="M472" s="577">
        <f t="shared" si="350"/>
        <v>9136.0563955144589</v>
      </c>
      <c r="N472" s="577">
        <f t="shared" si="350"/>
        <v>9474.7372397833624</v>
      </c>
      <c r="O472" s="577">
        <f t="shared" si="350"/>
        <v>9813.4382448270535</v>
      </c>
      <c r="P472" s="577">
        <f t="shared" si="350"/>
        <v>10194.124061955008</v>
      </c>
      <c r="Q472" s="577">
        <f t="shared" si="350"/>
        <v>10574.678834053191</v>
      </c>
      <c r="R472" s="577">
        <f t="shared" si="350"/>
        <v>10955.364651185415</v>
      </c>
      <c r="S472" s="577">
        <f t="shared" si="350"/>
        <v>11336.050468320869</v>
      </c>
      <c r="T472" s="577">
        <f t="shared" si="350"/>
        <v>11716.796767783091</v>
      </c>
      <c r="U472" s="577">
        <f t="shared" si="350"/>
        <v>12000.136287140185</v>
      </c>
      <c r="V472" s="577">
        <f t="shared" si="350"/>
        <v>12217.570235932588</v>
      </c>
      <c r="W472" s="577">
        <f t="shared" si="350"/>
        <v>12435.00418472423</v>
      </c>
      <c r="X472" s="577">
        <f t="shared" si="350"/>
        <v>12652.438133519658</v>
      </c>
      <c r="Y472" s="577">
        <f t="shared" si="350"/>
        <v>12869.761198061913</v>
      </c>
      <c r="Z472" s="577">
        <f t="shared" si="350"/>
        <v>13087.195146866949</v>
      </c>
      <c r="AA472" s="577">
        <f t="shared" si="350"/>
        <v>13304.518211420434</v>
      </c>
      <c r="AB472" s="577">
        <f t="shared" si="350"/>
        <v>13521.952160238523</v>
      </c>
      <c r="AC472" s="577">
        <f t="shared" si="350"/>
        <v>13739.386109064777</v>
      </c>
      <c r="AD472" s="577">
        <f t="shared" si="350"/>
        <v>13956.709173642843</v>
      </c>
      <c r="AE472" s="577">
        <f t="shared" si="350"/>
        <v>14174.143122489351</v>
      </c>
      <c r="AF472" s="577">
        <f t="shared" si="350"/>
        <v>14391.577071348409</v>
      </c>
      <c r="AG472" s="725">
        <f t="shared" si="350"/>
        <v>14608.900135964239</v>
      </c>
      <c r="AH472" s="18"/>
      <c r="AI472" s="18"/>
      <c r="AJ472" s="18"/>
      <c r="AK472" s="18"/>
      <c r="AL472" s="18"/>
      <c r="AM472" s="18"/>
      <c r="AN472" s="18"/>
    </row>
    <row r="473" spans="1:40" ht="21.95" customHeight="1" x14ac:dyDescent="0.2">
      <c r="B473" s="705"/>
      <c r="C473" s="715"/>
      <c r="D473" s="715"/>
      <c r="E473" s="116"/>
      <c r="F473" s="116" t="s">
        <v>346</v>
      </c>
      <c r="G473" s="116" t="s">
        <v>343</v>
      </c>
      <c r="H473" s="577">
        <f t="shared" ref="H473:AG473" si="351">H353/H414</f>
        <v>2307.5460487230357</v>
      </c>
      <c r="I473" s="577">
        <f t="shared" si="351"/>
        <v>2373.037849079557</v>
      </c>
      <c r="J473" s="577">
        <f t="shared" si="351"/>
        <v>2445.7164408801054</v>
      </c>
      <c r="K473" s="577">
        <f t="shared" si="351"/>
        <v>2547.7281937027424</v>
      </c>
      <c r="L473" s="577">
        <f t="shared" si="351"/>
        <v>2649.7581639944656</v>
      </c>
      <c r="M473" s="577">
        <f t="shared" si="351"/>
        <v>2751.8093880000774</v>
      </c>
      <c r="N473" s="577">
        <f t="shared" si="351"/>
        <v>2853.8211408236798</v>
      </c>
      <c r="O473" s="577">
        <f t="shared" si="351"/>
        <v>2955.8389661374445</v>
      </c>
      <c r="P473" s="577">
        <f t="shared" si="351"/>
        <v>3070.5027510479831</v>
      </c>
      <c r="Q473" s="577">
        <f t="shared" si="351"/>
        <v>3185.1270647777046</v>
      </c>
      <c r="R473" s="577">
        <f t="shared" si="351"/>
        <v>3299.790849691743</v>
      </c>
      <c r="S473" s="577">
        <f t="shared" si="351"/>
        <v>3414.4546346084294</v>
      </c>
      <c r="T473" s="577">
        <f t="shared" si="351"/>
        <v>3529.1366369975563</v>
      </c>
      <c r="U473" s="577">
        <f t="shared" si="351"/>
        <v>3614.4794058795724</v>
      </c>
      <c r="V473" s="577">
        <f t="shared" si="351"/>
        <v>3679.9712062526701</v>
      </c>
      <c r="W473" s="577">
        <f t="shared" si="351"/>
        <v>3745.4630066251393</v>
      </c>
      <c r="X473" s="577">
        <f t="shared" si="351"/>
        <v>3810.9548070007136</v>
      </c>
      <c r="Y473" s="577">
        <f t="shared" si="351"/>
        <v>3876.4132086871109</v>
      </c>
      <c r="Z473" s="577">
        <f t="shared" si="351"/>
        <v>3941.9050090705573</v>
      </c>
      <c r="AA473" s="577">
        <f t="shared" si="351"/>
        <v>4007.3634107661533</v>
      </c>
      <c r="AB473" s="577">
        <f t="shared" si="351"/>
        <v>4072.8552111602976</v>
      </c>
      <c r="AC473" s="577">
        <f t="shared" si="351"/>
        <v>4138.3470115611317</v>
      </c>
      <c r="AD473" s="577">
        <f t="shared" si="351"/>
        <v>4203.8054132768721</v>
      </c>
      <c r="AE473" s="577">
        <f t="shared" si="351"/>
        <v>4269.2972136943017</v>
      </c>
      <c r="AF473" s="577">
        <f t="shared" si="351"/>
        <v>4334.7890141220178</v>
      </c>
      <c r="AG473" s="725">
        <f t="shared" si="351"/>
        <v>4400.2474158687037</v>
      </c>
      <c r="AH473" s="18"/>
      <c r="AI473" s="18"/>
      <c r="AJ473" s="18"/>
      <c r="AK473" s="18"/>
      <c r="AL473" s="18"/>
      <c r="AM473" s="18"/>
      <c r="AN473" s="18"/>
    </row>
    <row r="474" spans="1:40" ht="21.95" customHeight="1" x14ac:dyDescent="0.2">
      <c r="B474" s="705"/>
      <c r="C474" s="715"/>
      <c r="D474" s="715"/>
      <c r="E474" s="116"/>
      <c r="F474" s="116" t="s">
        <v>343</v>
      </c>
      <c r="G474" s="116" t="s">
        <v>350</v>
      </c>
      <c r="H474" s="577">
        <f t="shared" ref="H474:AG474" si="352">H354/H415</f>
        <v>5920.6773618539564</v>
      </c>
      <c r="I474" s="577">
        <f t="shared" si="352"/>
        <v>6088.5680362449284</v>
      </c>
      <c r="J474" s="577">
        <f t="shared" si="352"/>
        <v>6279.8749896020745</v>
      </c>
      <c r="K474" s="577">
        <f t="shared" si="352"/>
        <v>6524.3200222818878</v>
      </c>
      <c r="L474" s="577">
        <f t="shared" si="352"/>
        <v>6768.8439973265786</v>
      </c>
      <c r="M474" s="577">
        <f t="shared" si="352"/>
        <v>7013.3285011889202</v>
      </c>
      <c r="N474" s="577">
        <f t="shared" si="352"/>
        <v>7257.7735338689254</v>
      </c>
      <c r="O474" s="577">
        <f t="shared" si="352"/>
        <v>7502.2679055270564</v>
      </c>
      <c r="P474" s="577">
        <f t="shared" si="352"/>
        <v>7778.605653596519</v>
      </c>
      <c r="Q474" s="577">
        <f t="shared" si="352"/>
        <v>8054.9335338706915</v>
      </c>
      <c r="R474" s="577">
        <f t="shared" si="352"/>
        <v>8331.2318107584142</v>
      </c>
      <c r="S474" s="577">
        <f t="shared" si="352"/>
        <v>8607.5695588290437</v>
      </c>
      <c r="T474" s="577">
        <f t="shared" si="352"/>
        <v>8883.9566458783556</v>
      </c>
      <c r="U474" s="577">
        <f t="shared" si="352"/>
        <v>9107.1464468322447</v>
      </c>
      <c r="V474" s="577">
        <f t="shared" si="352"/>
        <v>9275.0371212266018</v>
      </c>
      <c r="W474" s="577">
        <f t="shared" si="352"/>
        <v>9442.9277956207843</v>
      </c>
      <c r="X474" s="577">
        <f t="shared" si="352"/>
        <v>9610.8184700156071</v>
      </c>
      <c r="Y474" s="577">
        <f t="shared" si="352"/>
        <v>9778.6598054331607</v>
      </c>
      <c r="Z474" s="577">
        <f t="shared" si="352"/>
        <v>9946.5504798296024</v>
      </c>
      <c r="AA474" s="577">
        <f t="shared" si="352"/>
        <v>10114.391815249055</v>
      </c>
      <c r="AB474" s="577">
        <f t="shared" si="352"/>
        <v>10282.282489647716</v>
      </c>
      <c r="AC474" s="577">
        <f t="shared" si="352"/>
        <v>10450.173164047766</v>
      </c>
      <c r="AD474" s="577">
        <f t="shared" si="352"/>
        <v>10618.014499471406</v>
      </c>
      <c r="AE474" s="577">
        <f t="shared" si="352"/>
        <v>10785.905173874922</v>
      </c>
      <c r="AF474" s="577">
        <f t="shared" si="352"/>
        <v>10953.795848280584</v>
      </c>
      <c r="AG474" s="725">
        <f t="shared" si="352"/>
        <v>11121.637183710702</v>
      </c>
      <c r="AH474" s="18"/>
      <c r="AI474" s="18"/>
      <c r="AJ474" s="18"/>
      <c r="AK474" s="18"/>
      <c r="AL474" s="18"/>
      <c r="AM474" s="18"/>
      <c r="AN474" s="18"/>
    </row>
    <row r="475" spans="1:40" ht="21.95" customHeight="1" x14ac:dyDescent="0.2">
      <c r="B475" s="705"/>
      <c r="C475" s="715"/>
      <c r="D475" s="715"/>
      <c r="E475" s="116"/>
      <c r="F475" s="116" t="s">
        <v>350</v>
      </c>
      <c r="G475" s="116" t="s">
        <v>280</v>
      </c>
      <c r="H475" s="577">
        <f t="shared" ref="H475:AG475" si="353">H355/H416</f>
        <v>40363.099691006981</v>
      </c>
      <c r="I475" s="577">
        <f t="shared" si="353"/>
        <v>41507.662654578307</v>
      </c>
      <c r="J475" s="577">
        <f t="shared" si="353"/>
        <v>42811.86167742766</v>
      </c>
      <c r="K475" s="577">
        <f t="shared" si="353"/>
        <v>44478.319520003875</v>
      </c>
      <c r="L475" s="577">
        <f t="shared" si="353"/>
        <v>46145.315537242765</v>
      </c>
      <c r="M475" s="577">
        <f t="shared" si="353"/>
        <v>47812.042467150553</v>
      </c>
      <c r="N475" s="577">
        <f t="shared" si="353"/>
        <v>49478.500309727257</v>
      </c>
      <c r="O475" s="577">
        <f t="shared" si="353"/>
        <v>51145.294511468324</v>
      </c>
      <c r="P475" s="577">
        <f t="shared" si="353"/>
        <v>53029.174917714568</v>
      </c>
      <c r="Q475" s="577">
        <f t="shared" si="353"/>
        <v>54912.988052128807</v>
      </c>
      <c r="R475" s="577">
        <f t="shared" si="353"/>
        <v>56796.599371045486</v>
      </c>
      <c r="S475" s="577">
        <f t="shared" si="353"/>
        <v>58680.479777294691</v>
      </c>
      <c r="T475" s="577">
        <f t="shared" si="353"/>
        <v>60564.696542709629</v>
      </c>
      <c r="U475" s="577">
        <f t="shared" si="353"/>
        <v>62086.250857402978</v>
      </c>
      <c r="V475" s="577">
        <f t="shared" si="353"/>
        <v>63230.813820982781</v>
      </c>
      <c r="W475" s="577">
        <f t="shared" si="353"/>
        <v>64375.376784562162</v>
      </c>
      <c r="X475" s="577">
        <f t="shared" si="353"/>
        <v>65519.939748143122</v>
      </c>
      <c r="Y475" s="577">
        <f t="shared" si="353"/>
        <v>66664.166352561864</v>
      </c>
      <c r="Z475" s="577">
        <f t="shared" si="353"/>
        <v>67808.72931614687</v>
      </c>
      <c r="AA475" s="577">
        <f t="shared" si="353"/>
        <v>68952.955920570384</v>
      </c>
      <c r="AB475" s="577">
        <f t="shared" si="353"/>
        <v>70097.518884160978</v>
      </c>
      <c r="AC475" s="577">
        <f t="shared" si="353"/>
        <v>71242.081847755064</v>
      </c>
      <c r="AD475" s="577">
        <f t="shared" si="353"/>
        <v>72386.308452189071</v>
      </c>
      <c r="AE475" s="577">
        <f t="shared" si="353"/>
        <v>73530.871415791815</v>
      </c>
      <c r="AF475" s="577">
        <f t="shared" si="353"/>
        <v>74675.434379399958</v>
      </c>
      <c r="AG475" s="725">
        <f t="shared" si="353"/>
        <v>75819.66098385019</v>
      </c>
      <c r="AH475" s="18"/>
      <c r="AI475" s="18"/>
      <c r="AJ475" s="18"/>
      <c r="AK475" s="18"/>
      <c r="AL475" s="18"/>
      <c r="AM475" s="18"/>
      <c r="AN475" s="18"/>
    </row>
    <row r="476" spans="1:40" ht="21.95" customHeight="1" thickBot="1" x14ac:dyDescent="0.25">
      <c r="B476" s="705"/>
      <c r="C476" s="715"/>
      <c r="D476" s="715"/>
      <c r="E476" s="116"/>
      <c r="F476" s="116" t="s">
        <v>280</v>
      </c>
      <c r="G476" s="116" t="s">
        <v>333</v>
      </c>
      <c r="H476" s="735">
        <f t="shared" ref="H476:AF476" si="354">H356/H417</f>
        <v>1008.0552359163473</v>
      </c>
      <c r="I476" s="735">
        <f t="shared" si="354"/>
        <v>1036.6403222228153</v>
      </c>
      <c r="J476" s="735">
        <f t="shared" si="354"/>
        <v>1069.2122669917842</v>
      </c>
      <c r="K476" s="735">
        <f t="shared" si="354"/>
        <v>1110.8315075056989</v>
      </c>
      <c r="L476" s="735">
        <f t="shared" si="354"/>
        <v>1152.46418876194</v>
      </c>
      <c r="M476" s="735">
        <f t="shared" si="354"/>
        <v>1194.0901496560236</v>
      </c>
      <c r="N476" s="735">
        <f t="shared" si="354"/>
        <v>1235.709390190312</v>
      </c>
      <c r="O476" s="735">
        <f t="shared" si="354"/>
        <v>1277.337031196502</v>
      </c>
      <c r="P476" s="735">
        <f t="shared" si="354"/>
        <v>1324.3863292963235</v>
      </c>
      <c r="Q476" s="735">
        <f t="shared" si="354"/>
        <v>1371.4339473367843</v>
      </c>
      <c r="R476" s="735">
        <f t="shared" si="354"/>
        <v>1418.4765251387541</v>
      </c>
      <c r="S476" s="735">
        <f t="shared" si="354"/>
        <v>1465.525823360475</v>
      </c>
      <c r="T476" s="735">
        <f t="shared" si="354"/>
        <v>1512.5835221122331</v>
      </c>
      <c r="U476" s="735">
        <f t="shared" si="354"/>
        <v>1550.5838446560997</v>
      </c>
      <c r="V476" s="735">
        <f t="shared" si="354"/>
        <v>1579.1689313156201</v>
      </c>
      <c r="W476" s="735">
        <f t="shared" si="354"/>
        <v>1607.7540179574421</v>
      </c>
      <c r="X476" s="735">
        <f t="shared" si="354"/>
        <v>1636.3391046657487</v>
      </c>
      <c r="Y476" s="735">
        <f t="shared" si="354"/>
        <v>1664.9157909918492</v>
      </c>
      <c r="Z476" s="735">
        <f t="shared" si="354"/>
        <v>1693.5008778695983</v>
      </c>
      <c r="AA476" s="735">
        <f t="shared" si="354"/>
        <v>1722.0775643940692</v>
      </c>
      <c r="AB476" s="735">
        <f t="shared" si="354"/>
        <v>1750.6626515031858</v>
      </c>
      <c r="AC476" s="735">
        <f t="shared" si="354"/>
        <v>1779.247738757269</v>
      </c>
      <c r="AD476" s="735">
        <f t="shared" si="354"/>
        <v>1807.8244257188637</v>
      </c>
      <c r="AE476" s="735">
        <f t="shared" si="354"/>
        <v>1836.409513334537</v>
      </c>
      <c r="AF476" s="735">
        <f t="shared" si="354"/>
        <v>1864.9946011745412</v>
      </c>
      <c r="AG476" s="736">
        <f>AG356/AG417</f>
        <v>1893.5712888121109</v>
      </c>
      <c r="AH476" s="18"/>
      <c r="AI476" s="18"/>
      <c r="AJ476" s="18"/>
      <c r="AK476" s="18"/>
      <c r="AL476" s="18"/>
      <c r="AM476" s="18"/>
      <c r="AN476" s="18"/>
    </row>
    <row r="477" spans="1:40" ht="21.95" customHeight="1" thickBot="1" x14ac:dyDescent="0.25">
      <c r="A477" s="468"/>
      <c r="B477" s="707"/>
      <c r="C477" s="731"/>
      <c r="D477" s="731"/>
      <c r="E477" s="732" t="s">
        <v>25</v>
      </c>
      <c r="F477" s="732"/>
      <c r="G477" s="732"/>
      <c r="H477" s="733">
        <f>SUM(H448:H468,H470:H476)</f>
        <v>1181532.9924362544</v>
      </c>
      <c r="I477" s="733">
        <f t="shared" ref="I477" si="355">SUM(I448:I468,I470:I476)</f>
        <v>1219700.0665383667</v>
      </c>
      <c r="J477" s="733">
        <f t="shared" ref="J477" si="356">SUM(J448:J468,J470:J476)</f>
        <v>1289861.4751870073</v>
      </c>
      <c r="K477" s="733">
        <f t="shared" ref="K477" si="357">SUM(K448:K468,K470:K476)</f>
        <v>1401164.4812107272</v>
      </c>
      <c r="L477" s="733">
        <f t="shared" ref="L477" si="358">SUM(L448:L468,L470:L476)</f>
        <v>1512519.3933152594</v>
      </c>
      <c r="M477" s="733">
        <f t="shared" ref="M477" si="359">SUM(M448:M468,M470:M476)</f>
        <v>1623880.1070955147</v>
      </c>
      <c r="N477" s="733">
        <f t="shared" ref="N477" si="360">SUM(N448:N468,N470:N476)</f>
        <v>1735183.1594129684</v>
      </c>
      <c r="O477" s="733">
        <f t="shared" ref="O477" si="361">SUM(O448:O468,O470:O476)</f>
        <v>1846592.2690423268</v>
      </c>
      <c r="P477" s="733">
        <f t="shared" ref="P477" si="362">SUM(P448:P468,P470:P476)</f>
        <v>1950278.9684717474</v>
      </c>
      <c r="Q477" s="733">
        <f t="shared" ref="Q477" si="363">SUM(Q448:Q468,Q470:Q476)</f>
        <v>2053489.4813774575</v>
      </c>
      <c r="R477" s="733">
        <f t="shared" ref="R477" si="364">SUM(R448:R468,R470:R476)</f>
        <v>2160490.287167761</v>
      </c>
      <c r="S477" s="733">
        <f t="shared" ref="S477" si="365">SUM(S448:S468,S470:S476)</f>
        <v>2269188.9367696038</v>
      </c>
      <c r="T477" s="733">
        <f t="shared" ref="T477" si="366">SUM(T448:T468,T470:T476)</f>
        <v>2377951.5406427924</v>
      </c>
      <c r="U477" s="733">
        <f t="shared" ref="U477" si="367">SUM(U448:U468,U470:U476)</f>
        <v>2444746.7287101229</v>
      </c>
      <c r="V477" s="733">
        <f t="shared" ref="V477" si="368">SUM(V448:V468,V470:V476)</f>
        <v>2484375.6785108526</v>
      </c>
      <c r="W477" s="733">
        <f t="shared" ref="W477" si="369">SUM(W448:W468,W470:W476)</f>
        <v>2525056.6409289553</v>
      </c>
      <c r="X477" s="733">
        <f t="shared" ref="X477" si="370">SUM(X448:X468,X470:X476)</f>
        <v>2565737.9417447699</v>
      </c>
      <c r="Y477" s="733">
        <f t="shared" ref="Y477" si="371">SUM(Y448:Y468,Y470:Y476)</f>
        <v>2606448.7016221103</v>
      </c>
      <c r="Z477" s="733">
        <f t="shared" ref="Z477" si="372">SUM(Z448:Z468,Z470:Z476)</f>
        <v>2647130.8655687431</v>
      </c>
      <c r="AA477" s="733">
        <f t="shared" ref="AA477" si="373">SUM(AA448:AA468,AA470:AA476)</f>
        <v>2687842.8829756216</v>
      </c>
      <c r="AB477" s="733">
        <f t="shared" ref="AB477" si="374">SUM(AB448:AB468,AB470:AB476)</f>
        <v>2728526.2178268759</v>
      </c>
      <c r="AC477" s="733">
        <f t="shared" ref="AC477" si="375">SUM(AC448:AC468,AC470:AC476)</f>
        <v>2769210.2785468125</v>
      </c>
      <c r="AD477" s="733">
        <f t="shared" ref="AD477" si="376">SUM(AD448:AD468,AD470:AD476)</f>
        <v>2809924.2507330002</v>
      </c>
      <c r="AE477" s="733">
        <f t="shared" ref="AE477" si="377">SUM(AE448:AE468,AE470:AE476)</f>
        <v>2850610.1500786729</v>
      </c>
      <c r="AF477" s="733">
        <f t="shared" ref="AF477" si="378">SUM(AF448:AF468,AF470:AF476)</f>
        <v>2891297.1766033997</v>
      </c>
      <c r="AG477" s="734">
        <f>SUM(AG448:AG468,AG470:AG476)</f>
        <v>2932014.8302715006</v>
      </c>
      <c r="AH477" s="18"/>
      <c r="AI477" s="18"/>
      <c r="AJ477" s="18"/>
      <c r="AK477" s="18"/>
      <c r="AL477" s="18"/>
      <c r="AM477" s="18"/>
      <c r="AN477" s="18"/>
    </row>
    <row r="478" spans="1:40" ht="21.95" customHeight="1" x14ac:dyDescent="0.2">
      <c r="B478" s="182" t="s">
        <v>212</v>
      </c>
      <c r="C478" s="116" t="s">
        <v>156</v>
      </c>
      <c r="D478" s="240" t="s">
        <v>23</v>
      </c>
      <c r="E478" s="1340" t="s">
        <v>331</v>
      </c>
      <c r="F478" s="220" t="s">
        <v>332</v>
      </c>
      <c r="G478" s="220" t="s">
        <v>282</v>
      </c>
      <c r="H478" s="726">
        <f>H418+H448</f>
        <v>7729.1874665658033</v>
      </c>
      <c r="I478" s="726">
        <f t="shared" ref="I478:AG478" si="379">I418+I448</f>
        <v>8080.6568918144685</v>
      </c>
      <c r="J478" s="726">
        <f t="shared" si="379"/>
        <v>8575.8537455452624</v>
      </c>
      <c r="K478" s="726">
        <f t="shared" si="379"/>
        <v>9304.2999225149961</v>
      </c>
      <c r="L478" s="726">
        <f t="shared" si="379"/>
        <v>10033.092499420243</v>
      </c>
      <c r="M478" s="726">
        <f t="shared" si="379"/>
        <v>10762.043327591367</v>
      </c>
      <c r="N478" s="726">
        <f t="shared" si="379"/>
        <v>11491.02438476012</v>
      </c>
      <c r="O478" s="726">
        <f t="shared" si="379"/>
        <v>12221.069821463367</v>
      </c>
      <c r="P478" s="726">
        <f t="shared" si="379"/>
        <v>12943.384521105236</v>
      </c>
      <c r="Q478" s="726">
        <f t="shared" si="379"/>
        <v>13667.351818432737</v>
      </c>
      <c r="R478" s="726">
        <f t="shared" si="379"/>
        <v>14393.622768070498</v>
      </c>
      <c r="S478" s="726">
        <f t="shared" si="379"/>
        <v>15123.776700446439</v>
      </c>
      <c r="T478" s="726">
        <f t="shared" si="379"/>
        <v>15860.496715839916</v>
      </c>
      <c r="U478" s="726">
        <f t="shared" si="379"/>
        <v>16362.994002522586</v>
      </c>
      <c r="V478" s="726">
        <f t="shared" si="379"/>
        <v>16729.074658175399</v>
      </c>
      <c r="W478" s="726">
        <f t="shared" si="379"/>
        <v>17098.588178746195</v>
      </c>
      <c r="X478" s="726">
        <f t="shared" si="379"/>
        <v>17472.243791708017</v>
      </c>
      <c r="Y478" s="726">
        <f t="shared" si="379"/>
        <v>17851.009104097233</v>
      </c>
      <c r="Z478" s="726">
        <f t="shared" si="379"/>
        <v>18235.607700546811</v>
      </c>
      <c r="AA478" s="726">
        <f t="shared" si="379"/>
        <v>18627.457362276058</v>
      </c>
      <c r="AB478" s="726">
        <f t="shared" si="379"/>
        <v>19027.63589814839</v>
      </c>
      <c r="AC478" s="726">
        <f t="shared" si="379"/>
        <v>19437.845247134239</v>
      </c>
      <c r="AD478" s="726">
        <f t="shared" si="379"/>
        <v>19860.054695498053</v>
      </c>
      <c r="AE478" s="726">
        <f t="shared" si="379"/>
        <v>20296.085297391652</v>
      </c>
      <c r="AF478" s="726">
        <f t="shared" si="379"/>
        <v>20748.518172935212</v>
      </c>
      <c r="AG478" s="727">
        <f t="shared" si="379"/>
        <v>21220.328652973694</v>
      </c>
      <c r="AH478" s="18"/>
      <c r="AI478" s="18"/>
      <c r="AJ478" s="18"/>
      <c r="AK478" s="18"/>
      <c r="AL478" s="18"/>
      <c r="AM478" s="18"/>
      <c r="AN478" s="18"/>
    </row>
    <row r="479" spans="1:40" ht="21.95" customHeight="1" x14ac:dyDescent="0.2">
      <c r="B479" s="705" t="s">
        <v>483</v>
      </c>
      <c r="C479" s="715"/>
      <c r="D479" s="715"/>
      <c r="E479" s="1339"/>
      <c r="F479" s="116" t="s">
        <v>282</v>
      </c>
      <c r="G479" s="116" t="s">
        <v>280</v>
      </c>
      <c r="H479" s="577">
        <f>H419+H449</f>
        <v>248534.35639268748</v>
      </c>
      <c r="I479" s="577">
        <f t="shared" ref="I479:AG479" si="380">I419+I449</f>
        <v>261653.35085719993</v>
      </c>
      <c r="J479" s="577">
        <f t="shared" si="380"/>
        <v>281346.6595461517</v>
      </c>
      <c r="K479" s="577">
        <f t="shared" si="380"/>
        <v>313883.36134210043</v>
      </c>
      <c r="L479" s="577">
        <f t="shared" si="380"/>
        <v>346436.24024655746</v>
      </c>
      <c r="M479" s="577">
        <f t="shared" si="380"/>
        <v>378990.75990457903</v>
      </c>
      <c r="N479" s="577">
        <f t="shared" si="380"/>
        <v>411540.13143218507</v>
      </c>
      <c r="O479" s="577">
        <f t="shared" si="380"/>
        <v>444135.13427734718</v>
      </c>
      <c r="P479" s="577">
        <f t="shared" si="380"/>
        <v>477051.8549036542</v>
      </c>
      <c r="Q479" s="577">
        <f t="shared" si="380"/>
        <v>510041.20912473847</v>
      </c>
      <c r="R479" s="577">
        <f t="shared" si="380"/>
        <v>543131.18457883305</v>
      </c>
      <c r="S479" s="577">
        <f t="shared" si="380"/>
        <v>576416.54643636942</v>
      </c>
      <c r="T479" s="577">
        <f t="shared" si="380"/>
        <v>610063.08091750217</v>
      </c>
      <c r="U479" s="577">
        <f t="shared" si="380"/>
        <v>630772.48812326731</v>
      </c>
      <c r="V479" s="577">
        <f t="shared" si="380"/>
        <v>644498.83093908313</v>
      </c>
      <c r="W479" s="577">
        <f t="shared" si="380"/>
        <v>658362.95734618232</v>
      </c>
      <c r="X479" s="577">
        <f t="shared" si="380"/>
        <v>672392.39021314972</v>
      </c>
      <c r="Y479" s="577">
        <f t="shared" si="380"/>
        <v>686627.47949215444</v>
      </c>
      <c r="Z479" s="577">
        <f t="shared" si="380"/>
        <v>701090.06804121251</v>
      </c>
      <c r="AA479" s="577">
        <f t="shared" si="380"/>
        <v>715840.53998863581</v>
      </c>
      <c r="AB479" s="577">
        <f t="shared" si="380"/>
        <v>730913.65955145785</v>
      </c>
      <c r="AC479" s="577">
        <f t="shared" si="380"/>
        <v>746377.1133593088</v>
      </c>
      <c r="AD479" s="577">
        <f t="shared" si="380"/>
        <v>762308.8041436245</v>
      </c>
      <c r="AE479" s="577">
        <f t="shared" si="380"/>
        <v>778770.30107500346</v>
      </c>
      <c r="AF479" s="577">
        <f t="shared" si="380"/>
        <v>795861.79789423151</v>
      </c>
      <c r="AG479" s="725">
        <f t="shared" si="380"/>
        <v>813698.45484208758</v>
      </c>
      <c r="AH479" s="18"/>
      <c r="AI479" s="18"/>
      <c r="AJ479" s="18"/>
      <c r="AK479" s="18"/>
      <c r="AL479" s="18"/>
      <c r="AM479" s="18"/>
      <c r="AN479" s="18"/>
    </row>
    <row r="480" spans="1:40" ht="21.95" customHeight="1" x14ac:dyDescent="0.2">
      <c r="B480" s="705"/>
      <c r="C480" s="715"/>
      <c r="D480" s="715"/>
      <c r="E480" s="1339"/>
      <c r="F480" s="116" t="s">
        <v>280</v>
      </c>
      <c r="G480" s="116" t="s">
        <v>333</v>
      </c>
      <c r="H480" s="577">
        <f t="shared" ref="H480:AG480" si="381">H420+H450</f>
        <v>5796.8799869015402</v>
      </c>
      <c r="I480" s="577">
        <f t="shared" si="381"/>
        <v>6038.9483671703838</v>
      </c>
      <c r="J480" s="577">
        <f t="shared" si="381"/>
        <v>6338.5511137390477</v>
      </c>
      <c r="K480" s="577">
        <f t="shared" si="381"/>
        <v>6741.9189452338151</v>
      </c>
      <c r="L480" s="577">
        <f t="shared" si="381"/>
        <v>7145.4330416557295</v>
      </c>
      <c r="M480" s="577">
        <f t="shared" si="381"/>
        <v>7548.901089941457</v>
      </c>
      <c r="N480" s="577">
        <f t="shared" si="381"/>
        <v>7952.2762177653422</v>
      </c>
      <c r="O480" s="577">
        <f t="shared" si="381"/>
        <v>8355.9470964504126</v>
      </c>
      <c r="P480" s="577">
        <f t="shared" si="381"/>
        <v>8747.0663421217796</v>
      </c>
      <c r="Q480" s="577">
        <f t="shared" si="381"/>
        <v>9138.3435391500389</v>
      </c>
      <c r="R480" s="577">
        <f t="shared" si="381"/>
        <v>9529.4950774832178</v>
      </c>
      <c r="S480" s="577">
        <f t="shared" si="381"/>
        <v>9920.6746953398251</v>
      </c>
      <c r="T480" s="577">
        <f t="shared" si="381"/>
        <v>10312.18456382061</v>
      </c>
      <c r="U480" s="577">
        <f t="shared" si="381"/>
        <v>10599.497720416426</v>
      </c>
      <c r="V480" s="577">
        <f t="shared" si="381"/>
        <v>10841.702077867954</v>
      </c>
      <c r="W480" s="577">
        <f t="shared" si="381"/>
        <v>11083.940531226839</v>
      </c>
      <c r="X480" s="577">
        <f t="shared" si="381"/>
        <v>11326.220572259681</v>
      </c>
      <c r="Y480" s="577">
        <f t="shared" si="381"/>
        <v>11568.647852419308</v>
      </c>
      <c r="Z480" s="577">
        <f t="shared" si="381"/>
        <v>11811.039519467329</v>
      </c>
      <c r="AA480" s="577">
        <f t="shared" si="381"/>
        <v>12053.601582611032</v>
      </c>
      <c r="AB480" s="577">
        <f t="shared" si="381"/>
        <v>12296.155239175545</v>
      </c>
      <c r="AC480" s="577">
        <f t="shared" si="381"/>
        <v>12538.814553545863</v>
      </c>
      <c r="AD480" s="577">
        <f t="shared" si="381"/>
        <v>12781.696712180172</v>
      </c>
      <c r="AE480" s="577">
        <f t="shared" si="381"/>
        <v>13024.631561028047</v>
      </c>
      <c r="AF480" s="577">
        <f t="shared" si="381"/>
        <v>13267.74348112418</v>
      </c>
      <c r="AG480" s="725">
        <f t="shared" si="381"/>
        <v>13511.161548778193</v>
      </c>
      <c r="AH480" s="18"/>
      <c r="AI480" s="18"/>
      <c r="AJ480" s="18"/>
      <c r="AK480" s="18"/>
      <c r="AL480" s="18"/>
      <c r="AM480" s="18"/>
      <c r="AN480" s="18"/>
    </row>
    <row r="481" spans="2:40" ht="21.95" customHeight="1" x14ac:dyDescent="0.2">
      <c r="B481" s="705"/>
      <c r="C481" s="715"/>
      <c r="D481" s="715"/>
      <c r="E481" s="1340" t="s">
        <v>280</v>
      </c>
      <c r="F481" s="220" t="s">
        <v>281</v>
      </c>
      <c r="G481" s="220" t="s">
        <v>335</v>
      </c>
      <c r="H481" s="583">
        <f t="shared" ref="H481:AG481" si="382">H421+H451</f>
        <v>65763.478261115772</v>
      </c>
      <c r="I481" s="583">
        <f t="shared" si="382"/>
        <v>72415.782905058426</v>
      </c>
      <c r="J481" s="583">
        <f t="shared" si="382"/>
        <v>87288.522335980917</v>
      </c>
      <c r="K481" s="583">
        <f t="shared" si="382"/>
        <v>117161.58247172119</v>
      </c>
      <c r="L481" s="583">
        <f t="shared" si="382"/>
        <v>147053.05782493978</v>
      </c>
      <c r="M481" s="583">
        <f t="shared" si="382"/>
        <v>176941.25487427693</v>
      </c>
      <c r="N481" s="583">
        <f t="shared" si="382"/>
        <v>206814.37496153795</v>
      </c>
      <c r="O481" s="583">
        <f t="shared" si="382"/>
        <v>236724.51294520305</v>
      </c>
      <c r="P481" s="583">
        <f t="shared" si="382"/>
        <v>266074.28511123848</v>
      </c>
      <c r="Q481" s="583">
        <f t="shared" si="382"/>
        <v>295440.53938149457</v>
      </c>
      <c r="R481" s="583">
        <f t="shared" si="382"/>
        <v>324796.2574665292</v>
      </c>
      <c r="S481" s="583">
        <f t="shared" si="382"/>
        <v>354161.87067115289</v>
      </c>
      <c r="T481" s="583">
        <f t="shared" si="382"/>
        <v>383585.77297277795</v>
      </c>
      <c r="U481" s="583">
        <f t="shared" si="382"/>
        <v>397948.44071096554</v>
      </c>
      <c r="V481" s="583">
        <f t="shared" si="382"/>
        <v>404620.31773437036</v>
      </c>
      <c r="W481" s="583">
        <f t="shared" si="382"/>
        <v>411295.69241253892</v>
      </c>
      <c r="X481" s="583">
        <f t="shared" si="382"/>
        <v>417975.11787972908</v>
      </c>
      <c r="Y481" s="583">
        <f t="shared" si="382"/>
        <v>424669.46942713438</v>
      </c>
      <c r="Z481" s="583">
        <f t="shared" si="382"/>
        <v>431358.97861661052</v>
      </c>
      <c r="AA481" s="583">
        <f t="shared" si="382"/>
        <v>438064.95914456737</v>
      </c>
      <c r="AB481" s="583">
        <f t="shared" si="382"/>
        <v>444767.80926668266</v>
      </c>
      <c r="AC481" s="583">
        <f t="shared" si="382"/>
        <v>451478.81923727971</v>
      </c>
      <c r="AD481" s="583">
        <f t="shared" si="382"/>
        <v>458209.46147135261</v>
      </c>
      <c r="AE481" s="583">
        <f t="shared" si="382"/>
        <v>464940.45567501691</v>
      </c>
      <c r="AF481" s="583">
        <f t="shared" si="382"/>
        <v>471683.56717088871</v>
      </c>
      <c r="AG481" s="728">
        <f t="shared" si="382"/>
        <v>478450.81527606922</v>
      </c>
      <c r="AH481" s="18"/>
      <c r="AI481" s="18"/>
      <c r="AJ481" s="18"/>
      <c r="AK481" s="18"/>
      <c r="AL481" s="18"/>
      <c r="AM481" s="18"/>
      <c r="AN481" s="18"/>
    </row>
    <row r="482" spans="2:40" ht="21.95" customHeight="1" x14ac:dyDescent="0.2">
      <c r="B482" s="705"/>
      <c r="C482" s="715"/>
      <c r="D482" s="715"/>
      <c r="E482" s="1339"/>
      <c r="F482" s="116" t="s">
        <v>335</v>
      </c>
      <c r="G482" s="116" t="s">
        <v>323</v>
      </c>
      <c r="H482" s="577">
        <f t="shared" ref="H482:AG482" si="383">H422+H452</f>
        <v>8848.4899221904034</v>
      </c>
      <c r="I482" s="577">
        <f t="shared" si="383"/>
        <v>9771.9868377121147</v>
      </c>
      <c r="J482" s="577">
        <f t="shared" si="383"/>
        <v>11046.875431843377</v>
      </c>
      <c r="K482" s="577">
        <f t="shared" si="383"/>
        <v>13388.461431750598</v>
      </c>
      <c r="L482" s="577">
        <f t="shared" si="383"/>
        <v>15732.646657799451</v>
      </c>
      <c r="M482" s="577">
        <f t="shared" si="383"/>
        <v>18085.159005128284</v>
      </c>
      <c r="N482" s="577">
        <f t="shared" si="383"/>
        <v>20463.212890585626</v>
      </c>
      <c r="O482" s="577">
        <f t="shared" si="383"/>
        <v>22921.702896008435</v>
      </c>
      <c r="P482" s="577">
        <f t="shared" si="383"/>
        <v>26880.188954962738</v>
      </c>
      <c r="Q482" s="577">
        <f t="shared" si="383"/>
        <v>32361.175878179496</v>
      </c>
      <c r="R482" s="577">
        <f t="shared" si="383"/>
        <v>42278.918136019274</v>
      </c>
      <c r="S482" s="577">
        <f t="shared" si="383"/>
        <v>63779.238877588781</v>
      </c>
      <c r="T482" s="577">
        <f t="shared" si="383"/>
        <v>90918.894539272398</v>
      </c>
      <c r="U482" s="577">
        <f t="shared" si="383"/>
        <v>96201.560539323604</v>
      </c>
      <c r="V482" s="577">
        <f t="shared" si="383"/>
        <v>98322.452725364303</v>
      </c>
      <c r="W482" s="577">
        <f t="shared" si="383"/>
        <v>100442.97933200297</v>
      </c>
      <c r="X482" s="577">
        <f t="shared" si="383"/>
        <v>102563.64279252518</v>
      </c>
      <c r="Y482" s="577">
        <f t="shared" si="383"/>
        <v>104685.99549947897</v>
      </c>
      <c r="Z482" s="577">
        <f t="shared" si="383"/>
        <v>106807.02541706375</v>
      </c>
      <c r="AA482" s="577">
        <f t="shared" si="383"/>
        <v>108929.8185118119</v>
      </c>
      <c r="AB482" s="577">
        <f t="shared" si="383"/>
        <v>111051.37690930188</v>
      </c>
      <c r="AC482" s="577">
        <f t="shared" si="383"/>
        <v>113173.27759483698</v>
      </c>
      <c r="AD482" s="577">
        <f t="shared" si="383"/>
        <v>115297.10999152824</v>
      </c>
      <c r="AE482" s="577">
        <f t="shared" si="383"/>
        <v>117419.90448950586</v>
      </c>
      <c r="AF482" s="577">
        <f t="shared" si="383"/>
        <v>119543.26873748633</v>
      </c>
      <c r="AG482" s="725">
        <f t="shared" si="383"/>
        <v>121668.82976202643</v>
      </c>
      <c r="AH482" s="18"/>
      <c r="AI482" s="18"/>
      <c r="AJ482" s="18"/>
      <c r="AK482" s="18"/>
      <c r="AL482" s="18"/>
      <c r="AM482" s="18"/>
      <c r="AN482" s="18"/>
    </row>
    <row r="483" spans="2:40" ht="21.95" customHeight="1" x14ac:dyDescent="0.2">
      <c r="B483" s="705"/>
      <c r="C483" s="715"/>
      <c r="D483" s="715"/>
      <c r="E483" s="1353"/>
      <c r="F483" s="254" t="s">
        <v>323</v>
      </c>
      <c r="G483" s="254" t="s">
        <v>338</v>
      </c>
      <c r="H483" s="587">
        <f t="shared" ref="H483:AG483" si="384">H423+H453</f>
        <v>125559.46488394152</v>
      </c>
      <c r="I483" s="587">
        <f t="shared" si="384"/>
        <v>129298.84195948513</v>
      </c>
      <c r="J483" s="587">
        <f t="shared" si="384"/>
        <v>134763.71428682527</v>
      </c>
      <c r="K483" s="587">
        <f t="shared" si="384"/>
        <v>142819.75301685371</v>
      </c>
      <c r="L483" s="587">
        <f t="shared" si="384"/>
        <v>151564.0457773144</v>
      </c>
      <c r="M483" s="587">
        <f t="shared" si="384"/>
        <v>161367.28869303904</v>
      </c>
      <c r="N483" s="587">
        <f t="shared" si="384"/>
        <v>172773.35740434137</v>
      </c>
      <c r="O483" s="587">
        <f t="shared" si="384"/>
        <v>186582.19091549522</v>
      </c>
      <c r="P483" s="587">
        <f t="shared" si="384"/>
        <v>204082.44793959323</v>
      </c>
      <c r="Q483" s="587">
        <f t="shared" si="384"/>
        <v>226759.75695798732</v>
      </c>
      <c r="R483" s="587">
        <f t="shared" si="384"/>
        <v>256799.41087837238</v>
      </c>
      <c r="S483" s="587">
        <f t="shared" si="384"/>
        <v>297210.63501489989</v>
      </c>
      <c r="T483" s="587">
        <f t="shared" si="384"/>
        <v>352079.19405828248</v>
      </c>
      <c r="U483" s="587">
        <f t="shared" si="384"/>
        <v>403036.83741010039</v>
      </c>
      <c r="V483" s="587">
        <f t="shared" si="384"/>
        <v>445497.93802874989</v>
      </c>
      <c r="W483" s="587">
        <f t="shared" si="384"/>
        <v>477530.93935508019</v>
      </c>
      <c r="X483" s="587">
        <f t="shared" si="384"/>
        <v>485272.51730524574</v>
      </c>
      <c r="Y483" s="587">
        <f t="shared" si="384"/>
        <v>493017.90487224236</v>
      </c>
      <c r="Z483" s="587">
        <f t="shared" si="384"/>
        <v>500759.75031408755</v>
      </c>
      <c r="AA483" s="587">
        <f t="shared" si="384"/>
        <v>508505.44613405102</v>
      </c>
      <c r="AB483" s="587">
        <f t="shared" si="384"/>
        <v>516247.64665636112</v>
      </c>
      <c r="AC483" s="587">
        <f t="shared" si="384"/>
        <v>523990.06452830543</v>
      </c>
      <c r="AD483" s="587">
        <f t="shared" si="384"/>
        <v>531736.41773450305</v>
      </c>
      <c r="AE483" s="587">
        <f t="shared" si="384"/>
        <v>539479.37141869066</v>
      </c>
      <c r="AF483" s="587">
        <f t="shared" si="384"/>
        <v>547222.64973636321</v>
      </c>
      <c r="AG483" s="729">
        <f t="shared" si="384"/>
        <v>554969.98448030138</v>
      </c>
      <c r="AH483" s="18"/>
      <c r="AI483" s="18"/>
      <c r="AJ483" s="18"/>
      <c r="AK483" s="18"/>
      <c r="AL483" s="18"/>
      <c r="AM483" s="18"/>
      <c r="AN483" s="18"/>
    </row>
    <row r="484" spans="2:40" ht="21.95" customHeight="1" x14ac:dyDescent="0.2">
      <c r="B484" s="705"/>
      <c r="C484" s="715"/>
      <c r="D484" s="715"/>
      <c r="E484" s="116" t="s">
        <v>339</v>
      </c>
      <c r="F484" s="116" t="s">
        <v>335</v>
      </c>
      <c r="G484" s="116" t="s">
        <v>323</v>
      </c>
      <c r="H484" s="577">
        <f t="shared" ref="H484:AG484" si="385">H424+H454</f>
        <v>397.10648148148141</v>
      </c>
      <c r="I484" s="577">
        <f t="shared" si="385"/>
        <v>3009.6700231481482</v>
      </c>
      <c r="J484" s="577">
        <f t="shared" si="385"/>
        <v>17436.548495908923</v>
      </c>
      <c r="K484" s="577">
        <f t="shared" si="385"/>
        <v>40160.575003187303</v>
      </c>
      <c r="L484" s="577">
        <f t="shared" si="385"/>
        <v>62899.61175532057</v>
      </c>
      <c r="M484" s="577">
        <f t="shared" si="385"/>
        <v>85659.998664049388</v>
      </c>
      <c r="N484" s="577">
        <f t="shared" si="385"/>
        <v>108650.04526325772</v>
      </c>
      <c r="O484" s="577">
        <f t="shared" si="385"/>
        <v>133457.62142767891</v>
      </c>
      <c r="P484" s="577">
        <f t="shared" si="385"/>
        <v>150403.54066006633</v>
      </c>
      <c r="Q484" s="577">
        <f t="shared" si="385"/>
        <v>173275.8753544582</v>
      </c>
      <c r="R484" s="577">
        <f t="shared" si="385"/>
        <v>208787.03090752655</v>
      </c>
      <c r="S484" s="577">
        <f t="shared" si="385"/>
        <v>269732.01949602127</v>
      </c>
      <c r="T484" s="577">
        <f t="shared" si="385"/>
        <v>379740.01955777145</v>
      </c>
      <c r="U484" s="577">
        <f t="shared" si="385"/>
        <v>416760.21228104056</v>
      </c>
      <c r="V484" s="577">
        <f t="shared" si="385"/>
        <v>422218.52621962351</v>
      </c>
      <c r="W484" s="577">
        <f t="shared" si="385"/>
        <v>427676.62491005455</v>
      </c>
      <c r="X484" s="577">
        <f t="shared" si="385"/>
        <v>433134.80048580817</v>
      </c>
      <c r="Y484" s="577">
        <f t="shared" si="385"/>
        <v>438614.63065533526</v>
      </c>
      <c r="Z484" s="577">
        <f t="shared" si="385"/>
        <v>444072.99239947664</v>
      </c>
      <c r="AA484" s="577">
        <f t="shared" si="385"/>
        <v>449553.02803764259</v>
      </c>
      <c r="AB484" s="577">
        <f t="shared" si="385"/>
        <v>455011.62035226135</v>
      </c>
      <c r="AC484" s="577">
        <f t="shared" si="385"/>
        <v>460470.34423125914</v>
      </c>
      <c r="AD484" s="577">
        <f t="shared" si="385"/>
        <v>465950.78722739103</v>
      </c>
      <c r="AE484" s="577">
        <f t="shared" si="385"/>
        <v>471409.83510070911</v>
      </c>
      <c r="AF484" s="577">
        <f t="shared" si="385"/>
        <v>476869.06431121402</v>
      </c>
      <c r="AG484" s="725">
        <f t="shared" si="385"/>
        <v>482350.06926169188</v>
      </c>
      <c r="AH484" s="18"/>
      <c r="AI484" s="18"/>
      <c r="AJ484" s="18"/>
      <c r="AK484" s="18"/>
      <c r="AL484" s="18"/>
      <c r="AM484" s="18"/>
      <c r="AN484" s="18"/>
    </row>
    <row r="485" spans="2:40" ht="21.95" customHeight="1" x14ac:dyDescent="0.2">
      <c r="B485" s="705"/>
      <c r="C485" s="715"/>
      <c r="D485" s="715"/>
      <c r="E485" s="1340" t="s">
        <v>323</v>
      </c>
      <c r="F485" s="220" t="s">
        <v>282</v>
      </c>
      <c r="G485" s="220" t="s">
        <v>339</v>
      </c>
      <c r="H485" s="583">
        <f t="shared" ref="H485:AG485" si="386">H425+H455</f>
        <v>1198.905109489051</v>
      </c>
      <c r="I485" s="583">
        <f t="shared" si="386"/>
        <v>2664.5666058394158</v>
      </c>
      <c r="J485" s="583">
        <f t="shared" si="386"/>
        <v>11261.9151459854</v>
      </c>
      <c r="K485" s="583">
        <f t="shared" si="386"/>
        <v>25316.080291971932</v>
      </c>
      <c r="L485" s="583">
        <f t="shared" si="386"/>
        <v>39378.038321313361</v>
      </c>
      <c r="M485" s="583">
        <f t="shared" si="386"/>
        <v>53440.595807103331</v>
      </c>
      <c r="N485" s="583">
        <f t="shared" si="386"/>
        <v>67494.761003473541</v>
      </c>
      <c r="O485" s="583">
        <f t="shared" si="386"/>
        <v>81565.111751914897</v>
      </c>
      <c r="P485" s="583">
        <f t="shared" si="386"/>
        <v>92415.204285157481</v>
      </c>
      <c r="Q485" s="583">
        <f t="shared" si="386"/>
        <v>103267.098022146</v>
      </c>
      <c r="R485" s="583">
        <f t="shared" si="386"/>
        <v>114117.20100719389</v>
      </c>
      <c r="S485" s="583">
        <f t="shared" si="386"/>
        <v>124967.32246853947</v>
      </c>
      <c r="T485" s="583">
        <f t="shared" si="386"/>
        <v>135831.87240782398</v>
      </c>
      <c r="U485" s="583">
        <f t="shared" si="386"/>
        <v>141216.81857160493</v>
      </c>
      <c r="V485" s="583">
        <f t="shared" si="386"/>
        <v>142682.50214424095</v>
      </c>
      <c r="W485" s="583">
        <f t="shared" si="386"/>
        <v>144148.18810430038</v>
      </c>
      <c r="X485" s="583">
        <f t="shared" si="386"/>
        <v>145613.8766824351</v>
      </c>
      <c r="Y485" s="583">
        <f t="shared" si="386"/>
        <v>147083.76438616531</v>
      </c>
      <c r="Z485" s="583">
        <f t="shared" si="386"/>
        <v>148549.45897933331</v>
      </c>
      <c r="AA485" s="583">
        <f t="shared" si="386"/>
        <v>150019.35328198146</v>
      </c>
      <c r="AB485" s="583">
        <f t="shared" si="386"/>
        <v>151485.05506695382</v>
      </c>
      <c r="AC485" s="583">
        <f t="shared" si="386"/>
        <v>152950.7609445136</v>
      </c>
      <c r="AD485" s="583">
        <f t="shared" si="386"/>
        <v>154420.66759960086</v>
      </c>
      <c r="AE485" s="583">
        <f t="shared" si="386"/>
        <v>155886.38281767844</v>
      </c>
      <c r="AF485" s="583">
        <f t="shared" si="386"/>
        <v>157352.10333149429</v>
      </c>
      <c r="AG485" s="728">
        <f t="shared" si="386"/>
        <v>158822.02596842652</v>
      </c>
      <c r="AH485" s="18"/>
      <c r="AI485" s="18"/>
      <c r="AJ485" s="18"/>
      <c r="AK485" s="18"/>
      <c r="AL485" s="18"/>
      <c r="AM485" s="18"/>
      <c r="AN485" s="18"/>
    </row>
    <row r="486" spans="2:40" ht="21.95" customHeight="1" x14ac:dyDescent="0.2">
      <c r="B486" s="705"/>
      <c r="C486" s="715"/>
      <c r="D486" s="715"/>
      <c r="E486" s="1339"/>
      <c r="F486" s="116" t="s">
        <v>339</v>
      </c>
      <c r="G486" s="116" t="s">
        <v>288</v>
      </c>
      <c r="H486" s="577">
        <f t="shared" ref="H486:AG486" si="387">H426+H456</f>
        <v>0</v>
      </c>
      <c r="I486" s="577">
        <f t="shared" si="387"/>
        <v>815.61070559610721</v>
      </c>
      <c r="J486" s="577">
        <f t="shared" si="387"/>
        <v>2335.8046228710464</v>
      </c>
      <c r="K486" s="577">
        <f t="shared" si="387"/>
        <v>5250.7425790756597</v>
      </c>
      <c r="L486" s="577">
        <f t="shared" si="387"/>
        <v>8167.2968370131402</v>
      </c>
      <c r="M486" s="577">
        <f t="shared" si="387"/>
        <v>11083.97542665847</v>
      </c>
      <c r="N486" s="577">
        <f t="shared" si="387"/>
        <v>13998.913393313032</v>
      </c>
      <c r="O486" s="577">
        <f t="shared" si="387"/>
        <v>16917.208363360129</v>
      </c>
      <c r="P486" s="577">
        <f t="shared" si="387"/>
        <v>19167.597925810442</v>
      </c>
      <c r="Q486" s="577">
        <f t="shared" si="387"/>
        <v>21418.361071259911</v>
      </c>
      <c r="R486" s="577">
        <f t="shared" si="387"/>
        <v>23668.752801492064</v>
      </c>
      <c r="S486" s="577">
        <f t="shared" si="387"/>
        <v>25919.148363845226</v>
      </c>
      <c r="T486" s="577">
        <f t="shared" si="387"/>
        <v>28172.536499400529</v>
      </c>
      <c r="U486" s="577">
        <f t="shared" si="387"/>
        <v>29289.414222258802</v>
      </c>
      <c r="V486" s="577">
        <f t="shared" si="387"/>
        <v>29593.407852138866</v>
      </c>
      <c r="W486" s="577">
        <f t="shared" si="387"/>
        <v>29897.401977188223</v>
      </c>
      <c r="X486" s="577">
        <f t="shared" si="387"/>
        <v>30201.396645245804</v>
      </c>
      <c r="Y486" s="577">
        <f t="shared" si="387"/>
        <v>30506.26224305651</v>
      </c>
      <c r="Z486" s="577">
        <f t="shared" si="387"/>
        <v>30810.258158676537</v>
      </c>
      <c r="AA486" s="577">
        <f t="shared" si="387"/>
        <v>31115.12512515171</v>
      </c>
      <c r="AB486" s="577">
        <f t="shared" si="387"/>
        <v>31419.122532405239</v>
      </c>
      <c r="AC486" s="577">
        <f t="shared" si="387"/>
        <v>31723.120788491702</v>
      </c>
      <c r="AD486" s="577">
        <f t="shared" si="387"/>
        <v>32027.990316954256</v>
      </c>
      <c r="AE486" s="577">
        <f t="shared" si="387"/>
        <v>32331.990510333308</v>
      </c>
      <c r="AF486" s="577">
        <f t="shared" si="387"/>
        <v>32635.991802087701</v>
      </c>
      <c r="AG486" s="725">
        <f t="shared" si="387"/>
        <v>32940.864645303278</v>
      </c>
      <c r="AH486" s="18"/>
      <c r="AI486" s="18"/>
      <c r="AJ486" s="18"/>
      <c r="AK486" s="18"/>
      <c r="AL486" s="18"/>
      <c r="AM486" s="18"/>
      <c r="AN486" s="18"/>
    </row>
    <row r="487" spans="2:40" ht="21.95" customHeight="1" x14ac:dyDescent="0.2">
      <c r="B487" s="705"/>
      <c r="C487" s="715"/>
      <c r="D487" s="715"/>
      <c r="E487" s="1339"/>
      <c r="F487" s="116" t="s">
        <v>288</v>
      </c>
      <c r="G487" s="116" t="s">
        <v>340</v>
      </c>
      <c r="H487" s="577">
        <f t="shared" ref="H487:AG487" si="388">H427+H457</f>
        <v>0</v>
      </c>
      <c r="I487" s="577">
        <f t="shared" si="388"/>
        <v>2126.4136253041361</v>
      </c>
      <c r="J487" s="577">
        <f t="shared" si="388"/>
        <v>6089.7763381995128</v>
      </c>
      <c r="K487" s="577">
        <f t="shared" si="388"/>
        <v>13689.436009732968</v>
      </c>
      <c r="L487" s="577">
        <f t="shared" si="388"/>
        <v>21293.309610784258</v>
      </c>
      <c r="M487" s="577">
        <f t="shared" si="388"/>
        <v>28897.507362359574</v>
      </c>
      <c r="N487" s="577">
        <f t="shared" si="388"/>
        <v>36497.167061137545</v>
      </c>
      <c r="O487" s="577">
        <f t="shared" si="388"/>
        <v>44105.578947331764</v>
      </c>
      <c r="P487" s="577">
        <f t="shared" si="388"/>
        <v>49972.666020862933</v>
      </c>
      <c r="Q487" s="577">
        <f t="shared" si="388"/>
        <v>55840.72707864191</v>
      </c>
      <c r="R487" s="577">
        <f t="shared" si="388"/>
        <v>61707.819803890015</v>
      </c>
      <c r="S487" s="577">
        <f t="shared" si="388"/>
        <v>67574.922520025022</v>
      </c>
      <c r="T487" s="577">
        <f t="shared" si="388"/>
        <v>73449.827302008503</v>
      </c>
      <c r="U487" s="577">
        <f t="shared" si="388"/>
        <v>76361.687079460433</v>
      </c>
      <c r="V487" s="577">
        <f t="shared" si="388"/>
        <v>77154.241900219175</v>
      </c>
      <c r="W487" s="577">
        <f t="shared" si="388"/>
        <v>77946.798011955019</v>
      </c>
      <c r="X487" s="577">
        <f t="shared" si="388"/>
        <v>78739.355539390832</v>
      </c>
      <c r="Y487" s="577">
        <f t="shared" si="388"/>
        <v>79534.183705111616</v>
      </c>
      <c r="Z487" s="577">
        <f t="shared" si="388"/>
        <v>80326.744485120973</v>
      </c>
      <c r="AA487" s="577">
        <f t="shared" si="388"/>
        <v>81121.576219145514</v>
      </c>
      <c r="AB487" s="577">
        <f t="shared" si="388"/>
        <v>81914.140888056514</v>
      </c>
      <c r="AC487" s="577">
        <f t="shared" si="388"/>
        <v>82706.707769996225</v>
      </c>
      <c r="AD487" s="577">
        <f t="shared" si="388"/>
        <v>83501.546183487866</v>
      </c>
      <c r="AE487" s="577">
        <f t="shared" si="388"/>
        <v>84294.118116226105</v>
      </c>
      <c r="AF487" s="577">
        <f t="shared" si="388"/>
        <v>85086.692912585801</v>
      </c>
      <c r="AG487" s="725">
        <f t="shared" si="388"/>
        <v>85881.53996811212</v>
      </c>
      <c r="AH487" s="18"/>
      <c r="AI487" s="18"/>
      <c r="AJ487" s="18"/>
      <c r="AK487" s="18"/>
      <c r="AL487" s="18"/>
      <c r="AM487" s="18"/>
      <c r="AN487" s="18"/>
    </row>
    <row r="488" spans="2:40" ht="21.95" customHeight="1" x14ac:dyDescent="0.2">
      <c r="B488" s="705"/>
      <c r="C488" s="715"/>
      <c r="D488" s="715"/>
      <c r="E488" s="1353"/>
      <c r="F488" s="254" t="s">
        <v>340</v>
      </c>
      <c r="G488" s="254" t="s">
        <v>280</v>
      </c>
      <c r="H488" s="587">
        <f t="shared" ref="H488:AG488" si="389">H428+H458</f>
        <v>2797.4452554744526</v>
      </c>
      <c r="I488" s="587">
        <f t="shared" si="389"/>
        <v>4170.1516423357662</v>
      </c>
      <c r="J488" s="587">
        <f t="shared" si="389"/>
        <v>5871.2781021897808</v>
      </c>
      <c r="K488" s="587">
        <f t="shared" si="389"/>
        <v>10171.697445255475</v>
      </c>
      <c r="L488" s="587">
        <f t="shared" si="389"/>
        <v>14472.583029197107</v>
      </c>
      <c r="M488" s="587">
        <f t="shared" si="389"/>
        <v>18775.613321168403</v>
      </c>
      <c r="N488" s="587">
        <f t="shared" si="389"/>
        <v>23076.032664238599</v>
      </c>
      <c r="O488" s="587">
        <f t="shared" si="389"/>
        <v>27375.053284704438</v>
      </c>
      <c r="P488" s="587">
        <f t="shared" si="389"/>
        <v>38317.81989184086</v>
      </c>
      <c r="Q488" s="587">
        <f t="shared" si="389"/>
        <v>49256.297101353739</v>
      </c>
      <c r="R488" s="587">
        <f t="shared" si="389"/>
        <v>60193.935227699883</v>
      </c>
      <c r="S488" s="587">
        <f t="shared" si="389"/>
        <v>71136.702843070714</v>
      </c>
      <c r="T488" s="587">
        <f t="shared" si="389"/>
        <v>82078.075318700285</v>
      </c>
      <c r="U488" s="587">
        <f t="shared" si="389"/>
        <v>90418.296359212181</v>
      </c>
      <c r="V488" s="587">
        <f t="shared" si="389"/>
        <v>91791.005774260469</v>
      </c>
      <c r="W488" s="587">
        <f t="shared" si="389"/>
        <v>93163.715677560234</v>
      </c>
      <c r="X488" s="587">
        <f t="shared" si="389"/>
        <v>94536.426139014598</v>
      </c>
      <c r="Y488" s="587">
        <f t="shared" si="389"/>
        <v>95904.941053790186</v>
      </c>
      <c r="Z488" s="587">
        <f t="shared" si="389"/>
        <v>97277.652874384497</v>
      </c>
      <c r="AA488" s="587">
        <f t="shared" si="389"/>
        <v>98646.169329991753</v>
      </c>
      <c r="AB488" s="587">
        <f t="shared" si="389"/>
        <v>100018.88290496351</v>
      </c>
      <c r="AC488" s="587">
        <f t="shared" si="389"/>
        <v>101391.59753722884</v>
      </c>
      <c r="AD488" s="587">
        <f t="shared" si="389"/>
        <v>102760.11716603776</v>
      </c>
      <c r="AE488" s="587">
        <f t="shared" si="389"/>
        <v>104132.83433818573</v>
      </c>
      <c r="AF488" s="587">
        <f t="shared" si="389"/>
        <v>105505.55302985874</v>
      </c>
      <c r="AG488" s="729">
        <f t="shared" si="389"/>
        <v>106874.07721755569</v>
      </c>
      <c r="AH488" s="18"/>
      <c r="AI488" s="18"/>
      <c r="AJ488" s="18"/>
      <c r="AK488" s="18"/>
      <c r="AL488" s="18"/>
      <c r="AM488" s="18"/>
      <c r="AN488" s="18"/>
    </row>
    <row r="489" spans="2:40" ht="21.95" customHeight="1" x14ac:dyDescent="0.2">
      <c r="B489" s="705"/>
      <c r="C489" s="715"/>
      <c r="D489" s="715"/>
      <c r="E489" s="1340" t="s">
        <v>334</v>
      </c>
      <c r="F489" s="116" t="s">
        <v>336</v>
      </c>
      <c r="G489" s="116" t="s">
        <v>337</v>
      </c>
      <c r="H489" s="577">
        <f t="shared" ref="H489:AG489" si="390">H429+H459</f>
        <v>50196.720034495389</v>
      </c>
      <c r="I489" s="577">
        <f t="shared" si="390"/>
        <v>51587.251965920957</v>
      </c>
      <c r="J489" s="577">
        <f t="shared" si="390"/>
        <v>53831.420020626247</v>
      </c>
      <c r="K489" s="577">
        <f t="shared" si="390"/>
        <v>57037.673320945672</v>
      </c>
      <c r="L489" s="577">
        <f t="shared" si="390"/>
        <v>60245.731396834977</v>
      </c>
      <c r="M489" s="577">
        <f t="shared" si="390"/>
        <v>63454.214998305571</v>
      </c>
      <c r="N489" s="577">
        <f t="shared" si="390"/>
        <v>66662.40551445735</v>
      </c>
      <c r="O489" s="577">
        <f t="shared" si="390"/>
        <v>69874.966156863855</v>
      </c>
      <c r="P489" s="577">
        <f t="shared" si="390"/>
        <v>72736.357307731698</v>
      </c>
      <c r="Q489" s="577">
        <f t="shared" si="390"/>
        <v>75601.238119075977</v>
      </c>
      <c r="R489" s="577">
        <f t="shared" si="390"/>
        <v>78468.882064532168</v>
      </c>
      <c r="S489" s="577">
        <f t="shared" si="390"/>
        <v>81341.635536632515</v>
      </c>
      <c r="T489" s="577">
        <f t="shared" si="390"/>
        <v>84224.331542750078</v>
      </c>
      <c r="U489" s="577">
        <f t="shared" si="390"/>
        <v>86137.981815861916</v>
      </c>
      <c r="V489" s="577">
        <f t="shared" si="390"/>
        <v>87546.980011808875</v>
      </c>
      <c r="W489" s="577">
        <f t="shared" si="390"/>
        <v>88959.176142850047</v>
      </c>
      <c r="X489" s="577">
        <f t="shared" si="390"/>
        <v>90375.058054087538</v>
      </c>
      <c r="Y489" s="577">
        <f t="shared" si="390"/>
        <v>91796.095561331211</v>
      </c>
      <c r="Z489" s="577">
        <f t="shared" si="390"/>
        <v>93221.08336365156</v>
      </c>
      <c r="AA489" s="577">
        <f t="shared" si="390"/>
        <v>94652.565814260335</v>
      </c>
      <c r="AB489" s="577">
        <f t="shared" si="390"/>
        <v>96089.494694728957</v>
      </c>
      <c r="AC489" s="577">
        <f t="shared" si="390"/>
        <v>97533.685697613852</v>
      </c>
      <c r="AD489" s="577">
        <f t="shared" si="390"/>
        <v>98987.083635251969</v>
      </c>
      <c r="AE489" s="577">
        <f t="shared" si="390"/>
        <v>100448.94394750291</v>
      </c>
      <c r="AF489" s="577">
        <f t="shared" si="390"/>
        <v>101921.46243968728</v>
      </c>
      <c r="AG489" s="725">
        <f t="shared" si="390"/>
        <v>103407.01117236054</v>
      </c>
      <c r="AH489" s="18"/>
      <c r="AI489" s="18"/>
      <c r="AJ489" s="18"/>
      <c r="AK489" s="18"/>
      <c r="AL489" s="18"/>
      <c r="AM489" s="18"/>
      <c r="AN489" s="18"/>
    </row>
    <row r="490" spans="2:40" ht="21.95" customHeight="1" x14ac:dyDescent="0.2">
      <c r="B490" s="705"/>
      <c r="C490" s="715"/>
      <c r="D490" s="715"/>
      <c r="E490" s="1339"/>
      <c r="F490" s="116" t="s">
        <v>337</v>
      </c>
      <c r="G490" s="116" t="s">
        <v>386</v>
      </c>
      <c r="H490" s="577">
        <f t="shared" ref="H490:AG490" si="391">H430+H460</f>
        <v>82964.27154107322</v>
      </c>
      <c r="I490" s="577">
        <f t="shared" si="391"/>
        <v>83130.396755540089</v>
      </c>
      <c r="J490" s="577">
        <f t="shared" si="391"/>
        <v>83296.526330153734</v>
      </c>
      <c r="K490" s="577">
        <f t="shared" si="391"/>
        <v>83462.660340899354</v>
      </c>
      <c r="L490" s="577">
        <f t="shared" si="391"/>
        <v>83628.798867945385</v>
      </c>
      <c r="M490" s="577">
        <f t="shared" si="391"/>
        <v>83794.941992745589</v>
      </c>
      <c r="N490" s="577">
        <f t="shared" si="391"/>
        <v>83961.089798056928</v>
      </c>
      <c r="O490" s="577">
        <f t="shared" si="391"/>
        <v>84127.242367957762</v>
      </c>
      <c r="P490" s="577">
        <f t="shared" si="391"/>
        <v>84293.39978786635</v>
      </c>
      <c r="Q490" s="577">
        <f t="shared" si="391"/>
        <v>84293.399791284333</v>
      </c>
      <c r="R490" s="577">
        <f t="shared" si="391"/>
        <v>86287.284524396804</v>
      </c>
      <c r="S490" s="577">
        <f t="shared" si="391"/>
        <v>88487.70822145787</v>
      </c>
      <c r="T490" s="577">
        <f t="shared" si="391"/>
        <v>90690.836056027358</v>
      </c>
      <c r="U490" s="577">
        <f t="shared" si="391"/>
        <v>92468.084634533414</v>
      </c>
      <c r="V490" s="577">
        <f t="shared" si="391"/>
        <v>93928.231661337442</v>
      </c>
      <c r="W490" s="577">
        <f t="shared" si="391"/>
        <v>95389.382177986117</v>
      </c>
      <c r="X490" s="577">
        <f t="shared" si="391"/>
        <v>96851.685013542476</v>
      </c>
      <c r="Y490" s="577">
        <f t="shared" si="391"/>
        <v>98315.650023890688</v>
      </c>
      <c r="Z490" s="577">
        <f t="shared" si="391"/>
        <v>99780.783689141332</v>
      </c>
      <c r="AA490" s="577">
        <f t="shared" si="391"/>
        <v>101247.9833646419</v>
      </c>
      <c r="AB490" s="577">
        <f t="shared" si="391"/>
        <v>102716.80425693167</v>
      </c>
      <c r="AC490" s="577">
        <f t="shared" si="391"/>
        <v>104187.8575051786</v>
      </c>
      <c r="AD490" s="577">
        <f t="shared" si="391"/>
        <v>105661.78863338695</v>
      </c>
      <c r="AE490" s="577">
        <f t="shared" si="391"/>
        <v>107138.24685512549</v>
      </c>
      <c r="AF490" s="577">
        <f t="shared" si="391"/>
        <v>108617.95195411977</v>
      </c>
      <c r="AG490" s="725">
        <f t="shared" si="391"/>
        <v>110101.6699710948</v>
      </c>
      <c r="AH490" s="18"/>
      <c r="AI490" s="18"/>
      <c r="AJ490" s="18"/>
      <c r="AK490" s="18"/>
      <c r="AL490" s="18"/>
      <c r="AM490" s="18"/>
      <c r="AN490" s="18"/>
    </row>
    <row r="491" spans="2:40" ht="21.95" customHeight="1" x14ac:dyDescent="0.2">
      <c r="B491" s="705"/>
      <c r="C491" s="715"/>
      <c r="D491" s="715"/>
      <c r="E491" s="1339"/>
      <c r="F491" s="116" t="s">
        <v>342</v>
      </c>
      <c r="G491" s="116" t="s">
        <v>341</v>
      </c>
      <c r="H491" s="577">
        <f t="shared" ref="H491:AG491" si="392">H431+H461</f>
        <v>120288.52750887125</v>
      </c>
      <c r="I491" s="577">
        <f t="shared" si="392"/>
        <v>120529.58078002528</v>
      </c>
      <c r="J491" s="577">
        <f t="shared" si="392"/>
        <v>120770.64460875111</v>
      </c>
      <c r="K491" s="577">
        <f t="shared" si="392"/>
        <v>121011.71917903758</v>
      </c>
      <c r="L491" s="577">
        <f t="shared" si="392"/>
        <v>121252.80468500314</v>
      </c>
      <c r="M491" s="577">
        <f t="shared" si="392"/>
        <v>121493.90132387818</v>
      </c>
      <c r="N491" s="577">
        <f t="shared" si="392"/>
        <v>121735.00929604875</v>
      </c>
      <c r="O491" s="577">
        <f t="shared" si="392"/>
        <v>121976.12880510054</v>
      </c>
      <c r="P491" s="577">
        <f t="shared" si="392"/>
        <v>122217.26005786353</v>
      </c>
      <c r="Q491" s="577">
        <f t="shared" si="392"/>
        <v>122217.2600661398</v>
      </c>
      <c r="R491" s="577">
        <f t="shared" si="392"/>
        <v>125111.22767079814</v>
      </c>
      <c r="S491" s="577">
        <f t="shared" si="392"/>
        <v>128305.96737310194</v>
      </c>
      <c r="T491" s="577">
        <f t="shared" si="392"/>
        <v>131505.93591882614</v>
      </c>
      <c r="U491" s="577">
        <f t="shared" si="392"/>
        <v>134088.49411334208</v>
      </c>
      <c r="V491" s="577">
        <f t="shared" si="392"/>
        <v>136211.19231608609</v>
      </c>
      <c r="W491" s="577">
        <f t="shared" si="392"/>
        <v>138336.3203489618</v>
      </c>
      <c r="X491" s="577">
        <f t="shared" si="392"/>
        <v>140464.23858366965</v>
      </c>
      <c r="Y491" s="577">
        <f t="shared" si="392"/>
        <v>142595.85184980353</v>
      </c>
      <c r="Z491" s="577">
        <f t="shared" si="392"/>
        <v>144730.62459861074</v>
      </c>
      <c r="AA491" s="577">
        <f t="shared" si="392"/>
        <v>146870.07021790187</v>
      </c>
      <c r="AB491" s="577">
        <f t="shared" si="392"/>
        <v>149013.7711441188</v>
      </c>
      <c r="AC491" s="577">
        <f t="shared" si="392"/>
        <v>151162.87745216204</v>
      </c>
      <c r="AD491" s="577">
        <f t="shared" si="392"/>
        <v>153318.62247568351</v>
      </c>
      <c r="AE491" s="577">
        <f t="shared" si="392"/>
        <v>155480.81627785607</v>
      </c>
      <c r="AF491" s="577">
        <f t="shared" si="392"/>
        <v>157650.87200332727</v>
      </c>
      <c r="AG491" s="725">
        <f t="shared" si="392"/>
        <v>159830.3148025134</v>
      </c>
      <c r="AH491" s="18"/>
      <c r="AI491" s="18"/>
      <c r="AJ491" s="18"/>
      <c r="AK491" s="18"/>
      <c r="AL491" s="18"/>
      <c r="AM491" s="18"/>
      <c r="AN491" s="18"/>
    </row>
    <row r="492" spans="2:40" ht="21.95" customHeight="1" x14ac:dyDescent="0.2">
      <c r="B492" s="705"/>
      <c r="C492" s="715"/>
      <c r="D492" s="715"/>
      <c r="E492" s="1339"/>
      <c r="F492" s="116" t="s">
        <v>341</v>
      </c>
      <c r="G492" s="116" t="s">
        <v>344</v>
      </c>
      <c r="H492" s="577">
        <f t="shared" ref="H492:AG492" si="393">H432+H462</f>
        <v>124354.61598331397</v>
      </c>
      <c r="I492" s="577">
        <f t="shared" si="393"/>
        <v>124605.93967368663</v>
      </c>
      <c r="J492" s="577">
        <f t="shared" si="393"/>
        <v>124857.32132583379</v>
      </c>
      <c r="K492" s="577">
        <f t="shared" si="393"/>
        <v>125108.76194986672</v>
      </c>
      <c r="L492" s="577">
        <f t="shared" si="393"/>
        <v>125360.26261150843</v>
      </c>
      <c r="M492" s="577">
        <f t="shared" si="393"/>
        <v>125611.82439356705</v>
      </c>
      <c r="N492" s="577">
        <f t="shared" si="393"/>
        <v>125863.44839617526</v>
      </c>
      <c r="O492" s="577">
        <f t="shared" si="393"/>
        <v>126115.13573703216</v>
      </c>
      <c r="P492" s="577">
        <f t="shared" si="393"/>
        <v>126366.88755164841</v>
      </c>
      <c r="Q492" s="577">
        <f t="shared" si="393"/>
        <v>126366.88759708569</v>
      </c>
      <c r="R492" s="577">
        <f t="shared" si="393"/>
        <v>126970.74360098207</v>
      </c>
      <c r="S492" s="577">
        <f t="shared" si="393"/>
        <v>129109.27360316778</v>
      </c>
      <c r="T492" s="577">
        <f t="shared" si="393"/>
        <v>131198.79308127967</v>
      </c>
      <c r="U492" s="577">
        <f t="shared" si="393"/>
        <v>132614.34461889378</v>
      </c>
      <c r="V492" s="577">
        <f t="shared" si="393"/>
        <v>133526.69304838486</v>
      </c>
      <c r="W492" s="577">
        <f t="shared" si="393"/>
        <v>135641.89600025924</v>
      </c>
      <c r="X492" s="577">
        <f t="shared" si="393"/>
        <v>137765.58238009858</v>
      </c>
      <c r="Y492" s="577">
        <f t="shared" si="393"/>
        <v>139899.48861652787</v>
      </c>
      <c r="Z492" s="577">
        <f t="shared" si="393"/>
        <v>142044.01487640396</v>
      </c>
      <c r="AA492" s="577">
        <f t="shared" si="393"/>
        <v>144201.73393134034</v>
      </c>
      <c r="AB492" s="577">
        <f t="shared" si="393"/>
        <v>146373.40466031621</v>
      </c>
      <c r="AC492" s="577">
        <f t="shared" si="393"/>
        <v>148561.50945116449</v>
      </c>
      <c r="AD492" s="577">
        <f t="shared" si="393"/>
        <v>150768.78382452382</v>
      </c>
      <c r="AE492" s="577">
        <f t="shared" si="393"/>
        <v>152996.67871627223</v>
      </c>
      <c r="AF492" s="577">
        <f t="shared" si="393"/>
        <v>155248.47632906339</v>
      </c>
      <c r="AG492" s="725">
        <f t="shared" si="393"/>
        <v>157527.79939833746</v>
      </c>
      <c r="AH492" s="18"/>
      <c r="AI492" s="18"/>
      <c r="AJ492" s="18"/>
      <c r="AK492" s="18"/>
      <c r="AL492" s="18"/>
      <c r="AM492" s="18"/>
      <c r="AN492" s="18"/>
    </row>
    <row r="493" spans="2:40" ht="21.95" customHeight="1" x14ac:dyDescent="0.2">
      <c r="B493" s="705"/>
      <c r="C493" s="715"/>
      <c r="D493" s="715"/>
      <c r="E493" s="1339"/>
      <c r="F493" s="116" t="s">
        <v>344</v>
      </c>
      <c r="G493" s="116" t="s">
        <v>345</v>
      </c>
      <c r="H493" s="577">
        <f t="shared" ref="H493:AG493" si="394">H433+H463</f>
        <v>41932.997328808022</v>
      </c>
      <c r="I493" s="577">
        <f t="shared" si="394"/>
        <v>42017.187591738417</v>
      </c>
      <c r="J493" s="577">
        <f t="shared" si="394"/>
        <v>42101.385043601127</v>
      </c>
      <c r="K493" s="577">
        <f t="shared" si="394"/>
        <v>42185.589809679084</v>
      </c>
      <c r="L493" s="577">
        <f t="shared" si="394"/>
        <v>42269.802022152682</v>
      </c>
      <c r="M493" s="577">
        <f t="shared" si="394"/>
        <v>42354.021815321379</v>
      </c>
      <c r="N493" s="577">
        <f t="shared" si="394"/>
        <v>42438.249325633369</v>
      </c>
      <c r="O493" s="577">
        <f t="shared" si="394"/>
        <v>42522.484691715596</v>
      </c>
      <c r="P493" s="577">
        <f t="shared" si="394"/>
        <v>42606.72805440412</v>
      </c>
      <c r="Q493" s="577">
        <f t="shared" si="394"/>
        <v>42606.728060039655</v>
      </c>
      <c r="R493" s="577">
        <f t="shared" si="394"/>
        <v>42808.738824734268</v>
      </c>
      <c r="S493" s="577">
        <f t="shared" si="394"/>
        <v>43523.462166789352</v>
      </c>
      <c r="T493" s="577">
        <f t="shared" si="394"/>
        <v>44220.651042453566</v>
      </c>
      <c r="U493" s="577">
        <f t="shared" si="394"/>
        <v>44692.232601717638</v>
      </c>
      <c r="V493" s="577">
        <f t="shared" si="394"/>
        <v>44995.832294580374</v>
      </c>
      <c r="W493" s="577">
        <f t="shared" si="394"/>
        <v>45698.569570477062</v>
      </c>
      <c r="X493" s="577">
        <f t="shared" si="394"/>
        <v>46402.359036199028</v>
      </c>
      <c r="Y493" s="577">
        <f t="shared" si="394"/>
        <v>47107.518834042625</v>
      </c>
      <c r="Z493" s="577">
        <f t="shared" si="394"/>
        <v>47813.893046146033</v>
      </c>
      <c r="AA493" s="577">
        <f t="shared" si="394"/>
        <v>48522.006320514432</v>
      </c>
      <c r="AB493" s="577">
        <f t="shared" si="394"/>
        <v>49231.747229938483</v>
      </c>
      <c r="AC493" s="577">
        <f t="shared" si="394"/>
        <v>49943.526437178174</v>
      </c>
      <c r="AD493" s="577">
        <f t="shared" si="394"/>
        <v>50657.786000764609</v>
      </c>
      <c r="AE493" s="577">
        <f t="shared" si="394"/>
        <v>51374.500328510643</v>
      </c>
      <c r="AF493" s="577">
        <f t="shared" si="394"/>
        <v>52094.179283289719</v>
      </c>
      <c r="AG493" s="725">
        <f t="shared" si="394"/>
        <v>52817.374963865572</v>
      </c>
      <c r="AH493" s="18"/>
      <c r="AI493" s="18"/>
      <c r="AJ493" s="18"/>
      <c r="AK493" s="18"/>
      <c r="AL493" s="18"/>
      <c r="AM493" s="18"/>
      <c r="AN493" s="18"/>
    </row>
    <row r="494" spans="2:40" ht="21.95" customHeight="1" x14ac:dyDescent="0.2">
      <c r="B494" s="705"/>
      <c r="C494" s="715"/>
      <c r="D494" s="715"/>
      <c r="E494" s="1339"/>
      <c r="F494" s="116" t="s">
        <v>345</v>
      </c>
      <c r="G494" s="116" t="s">
        <v>323</v>
      </c>
      <c r="H494" s="577">
        <f t="shared" ref="H494:AG494" si="395">H434+H464</f>
        <v>414258.30285385402</v>
      </c>
      <c r="I494" s="577">
        <f t="shared" si="395"/>
        <v>423802.63328273478</v>
      </c>
      <c r="J494" s="577">
        <f t="shared" si="395"/>
        <v>437780.88259923155</v>
      </c>
      <c r="K494" s="577">
        <f t="shared" si="395"/>
        <v>454581.53613359708</v>
      </c>
      <c r="L494" s="577">
        <f t="shared" si="395"/>
        <v>471441.96332887374</v>
      </c>
      <c r="M494" s="577">
        <f t="shared" si="395"/>
        <v>488380.3716197433</v>
      </c>
      <c r="N494" s="577">
        <f t="shared" si="395"/>
        <v>505417.29362958996</v>
      </c>
      <c r="O494" s="577">
        <f t="shared" si="395"/>
        <v>522604.78347617574</v>
      </c>
      <c r="P494" s="577">
        <f t="shared" si="395"/>
        <v>537540.71286574122</v>
      </c>
      <c r="Q494" s="577">
        <f t="shared" si="395"/>
        <v>552654.7754477933</v>
      </c>
      <c r="R494" s="577">
        <f t="shared" si="395"/>
        <v>567996.58952713828</v>
      </c>
      <c r="S494" s="577">
        <f t="shared" si="395"/>
        <v>583624.59613122256</v>
      </c>
      <c r="T494" s="577">
        <f t="shared" si="395"/>
        <v>599621.37736185454</v>
      </c>
      <c r="U494" s="577">
        <f t="shared" si="395"/>
        <v>612838.43338148599</v>
      </c>
      <c r="V494" s="577">
        <f t="shared" si="395"/>
        <v>623946.03366166225</v>
      </c>
      <c r="W494" s="577">
        <f t="shared" si="395"/>
        <v>635321.8138052813</v>
      </c>
      <c r="X494" s="577">
        <f t="shared" si="395"/>
        <v>647005.54796451749</v>
      </c>
      <c r="Y494" s="577">
        <f t="shared" si="395"/>
        <v>659045.01934551401</v>
      </c>
      <c r="Z494" s="577">
        <f t="shared" si="395"/>
        <v>671485.28484872507</v>
      </c>
      <c r="AA494" s="577">
        <f t="shared" si="395"/>
        <v>684389.21147404844</v>
      </c>
      <c r="AB494" s="577">
        <f t="shared" si="395"/>
        <v>697814.87812415999</v>
      </c>
      <c r="AC494" s="577">
        <f t="shared" si="395"/>
        <v>711837.13568042836</v>
      </c>
      <c r="AD494" s="577">
        <f t="shared" si="395"/>
        <v>726540.02427585446</v>
      </c>
      <c r="AE494" s="577">
        <f t="shared" si="395"/>
        <v>742006.74592969671</v>
      </c>
      <c r="AF494" s="577">
        <f t="shared" si="395"/>
        <v>758341.18647842458</v>
      </c>
      <c r="AG494" s="725">
        <f t="shared" si="395"/>
        <v>775659.59381272364</v>
      </c>
      <c r="AH494" s="18"/>
      <c r="AI494" s="18"/>
      <c r="AJ494" s="18"/>
      <c r="AK494" s="18"/>
      <c r="AL494" s="18"/>
      <c r="AM494" s="18"/>
      <c r="AN494" s="18"/>
    </row>
    <row r="495" spans="2:40" ht="21.95" customHeight="1" x14ac:dyDescent="0.2">
      <c r="B495" s="705"/>
      <c r="C495" s="715"/>
      <c r="D495" s="715"/>
      <c r="E495" s="1339"/>
      <c r="F495" s="116" t="s">
        <v>323</v>
      </c>
      <c r="G495" s="116" t="s">
        <v>347</v>
      </c>
      <c r="H495" s="577">
        <f t="shared" ref="H495:AG495" si="396">H435+H465</f>
        <v>73974.696938188237</v>
      </c>
      <c r="I495" s="577">
        <f t="shared" si="396"/>
        <v>75615.241040664871</v>
      </c>
      <c r="J495" s="577">
        <f t="shared" si="396"/>
        <v>78047.211438552273</v>
      </c>
      <c r="K495" s="577">
        <f t="shared" si="396"/>
        <v>81140.366672894321</v>
      </c>
      <c r="L495" s="577">
        <f t="shared" si="396"/>
        <v>84244.918057042581</v>
      </c>
      <c r="M495" s="577">
        <f t="shared" si="396"/>
        <v>87363.897995896376</v>
      </c>
      <c r="N495" s="577">
        <f t="shared" si="396"/>
        <v>90502.287776327459</v>
      </c>
      <c r="O495" s="577">
        <f t="shared" si="396"/>
        <v>93669.912014341564</v>
      </c>
      <c r="P495" s="577">
        <f t="shared" si="396"/>
        <v>96515.510320242873</v>
      </c>
      <c r="Q495" s="577">
        <f t="shared" si="396"/>
        <v>99399.399143483257</v>
      </c>
      <c r="R495" s="577">
        <f t="shared" si="396"/>
        <v>102331.90800102237</v>
      </c>
      <c r="S495" s="577">
        <f t="shared" si="396"/>
        <v>105326.88913164652</v>
      </c>
      <c r="T495" s="577">
        <f t="shared" si="396"/>
        <v>108402.61969903079</v>
      </c>
      <c r="U495" s="577">
        <f t="shared" si="396"/>
        <v>110808.72664512691</v>
      </c>
      <c r="V495" s="577">
        <f t="shared" si="396"/>
        <v>112748.44610319295</v>
      </c>
      <c r="W495" s="577">
        <f t="shared" si="396"/>
        <v>114736.76676991628</v>
      </c>
      <c r="X495" s="577">
        <f t="shared" si="396"/>
        <v>116780.5374163571</v>
      </c>
      <c r="Y495" s="577">
        <f t="shared" si="396"/>
        <v>118887.79661476646</v>
      </c>
      <c r="Z495" s="577">
        <f t="shared" si="396"/>
        <v>121066.49141673415</v>
      </c>
      <c r="AA495" s="577">
        <f t="shared" si="396"/>
        <v>123326.98880174293</v>
      </c>
      <c r="AB495" s="577">
        <f t="shared" si="396"/>
        <v>125679.35781845303</v>
      </c>
      <c r="AC495" s="577">
        <f t="shared" si="396"/>
        <v>128136.00979411823</v>
      </c>
      <c r="AD495" s="577">
        <f t="shared" si="396"/>
        <v>130710.80433993107</v>
      </c>
      <c r="AE495" s="577">
        <f t="shared" si="396"/>
        <v>133417.86136865432</v>
      </c>
      <c r="AF495" s="577">
        <f t="shared" si="396"/>
        <v>136274.20182909979</v>
      </c>
      <c r="AG495" s="725">
        <f t="shared" si="396"/>
        <v>139298.76839525532</v>
      </c>
      <c r="AH495" s="18"/>
      <c r="AI495" s="18"/>
      <c r="AJ495" s="18"/>
      <c r="AK495" s="18"/>
      <c r="AL495" s="18"/>
      <c r="AM495" s="18"/>
      <c r="AN495" s="18"/>
    </row>
    <row r="496" spans="2:40" ht="21.95" customHeight="1" x14ac:dyDescent="0.2">
      <c r="B496" s="705"/>
      <c r="C496" s="715"/>
      <c r="D496" s="715"/>
      <c r="E496" s="1339"/>
      <c r="F496" s="116" t="s">
        <v>347</v>
      </c>
      <c r="G496" s="116" t="s">
        <v>348</v>
      </c>
      <c r="H496" s="577">
        <f t="shared" ref="H496:AG496" si="397">H436+H466</f>
        <v>60555.04565970866</v>
      </c>
      <c r="I496" s="577">
        <f t="shared" si="397"/>
        <v>61900.713747978029</v>
      </c>
      <c r="J496" s="577">
        <f t="shared" si="397"/>
        <v>63896.911716218092</v>
      </c>
      <c r="K496" s="577">
        <f t="shared" si="397"/>
        <v>66438.903552233649</v>
      </c>
      <c r="L496" s="577">
        <f t="shared" si="397"/>
        <v>68995.019748033388</v>
      </c>
      <c r="M496" s="577">
        <f t="shared" si="397"/>
        <v>71569.639508746783</v>
      </c>
      <c r="N496" s="577">
        <f t="shared" si="397"/>
        <v>74169.37581417388</v>
      </c>
      <c r="O496" s="577">
        <f t="shared" si="397"/>
        <v>76805.669314669212</v>
      </c>
      <c r="P496" s="577">
        <f t="shared" si="397"/>
        <v>79187.660303971512</v>
      </c>
      <c r="Q496" s="577">
        <f t="shared" si="397"/>
        <v>81618.410322899945</v>
      </c>
      <c r="R496" s="577">
        <f t="shared" si="397"/>
        <v>84111.34757174275</v>
      </c>
      <c r="S496" s="577">
        <f t="shared" si="397"/>
        <v>86684.034228375109</v>
      </c>
      <c r="T496" s="577">
        <f t="shared" si="397"/>
        <v>89359.221367867227</v>
      </c>
      <c r="U496" s="577">
        <f t="shared" si="397"/>
        <v>91478.761592961469</v>
      </c>
      <c r="V496" s="577">
        <f t="shared" si="397"/>
        <v>93206.34402907289</v>
      </c>
      <c r="W496" s="577">
        <f t="shared" si="397"/>
        <v>94995.968670740054</v>
      </c>
      <c r="X496" s="577">
        <f t="shared" si="397"/>
        <v>96856.378363535216</v>
      </c>
      <c r="Y496" s="577">
        <f t="shared" si="397"/>
        <v>98797.713809527282</v>
      </c>
      <c r="Z496" s="577">
        <f t="shared" si="397"/>
        <v>100830.36185653004</v>
      </c>
      <c r="AA496" s="577">
        <f t="shared" si="397"/>
        <v>102967.31455844315</v>
      </c>
      <c r="AB496" s="577">
        <f t="shared" si="397"/>
        <v>105221.66761296451</v>
      </c>
      <c r="AC496" s="577">
        <f t="shared" si="397"/>
        <v>107609.14379249036</v>
      </c>
      <c r="AD496" s="577">
        <f t="shared" si="397"/>
        <v>110147.31468619134</v>
      </c>
      <c r="AE496" s="577">
        <f t="shared" si="397"/>
        <v>112854.44715006117</v>
      </c>
      <c r="AF496" s="577">
        <f t="shared" si="397"/>
        <v>115752.14840044585</v>
      </c>
      <c r="AG496" s="725">
        <f t="shared" si="397"/>
        <v>118864.47884511776</v>
      </c>
      <c r="AH496" s="18"/>
      <c r="AI496" s="18"/>
      <c r="AJ496" s="18"/>
      <c r="AK496" s="18"/>
      <c r="AL496" s="18"/>
      <c r="AM496" s="18"/>
      <c r="AN496" s="18"/>
    </row>
    <row r="497" spans="1:40" ht="21.95" customHeight="1" x14ac:dyDescent="0.2">
      <c r="B497" s="705"/>
      <c r="C497" s="715"/>
      <c r="D497" s="715"/>
      <c r="E497" s="1353"/>
      <c r="F497" s="254" t="s">
        <v>348</v>
      </c>
      <c r="G497" s="254" t="s">
        <v>349</v>
      </c>
      <c r="H497" s="577">
        <f t="shared" ref="H497:AG497" si="398">H437+H467</f>
        <v>99004.918632670961</v>
      </c>
      <c r="I497" s="577">
        <f t="shared" si="398"/>
        <v>101421.36019615347</v>
      </c>
      <c r="J497" s="577">
        <f t="shared" si="398"/>
        <v>104803.18845034699</v>
      </c>
      <c r="K497" s="577">
        <f t="shared" si="398"/>
        <v>109355.29165235185</v>
      </c>
      <c r="L497" s="577">
        <f t="shared" si="398"/>
        <v>114005.91088454769</v>
      </c>
      <c r="M497" s="577">
        <f t="shared" si="398"/>
        <v>118795.20745518628</v>
      </c>
      <c r="N497" s="577">
        <f t="shared" si="398"/>
        <v>123776.9320357962</v>
      </c>
      <c r="O497" s="577">
        <f t="shared" si="398"/>
        <v>129030.86854894808</v>
      </c>
      <c r="P497" s="577">
        <f t="shared" si="398"/>
        <v>134388.19569623578</v>
      </c>
      <c r="Q497" s="577">
        <f t="shared" si="398"/>
        <v>140195.78853466475</v>
      </c>
      <c r="R497" s="577">
        <f t="shared" si="398"/>
        <v>146599.93568136098</v>
      </c>
      <c r="S497" s="577">
        <f t="shared" si="398"/>
        <v>153788.63787718047</v>
      </c>
      <c r="T497" s="577">
        <f t="shared" si="398"/>
        <v>162005.74165950262</v>
      </c>
      <c r="U497" s="577">
        <f t="shared" si="398"/>
        <v>168926.18354747345</v>
      </c>
      <c r="V497" s="577">
        <f t="shared" si="398"/>
        <v>174809.94060749473</v>
      </c>
      <c r="W497" s="577">
        <f t="shared" si="398"/>
        <v>181283.52423123992</v>
      </c>
      <c r="X497" s="577">
        <f t="shared" si="398"/>
        <v>188434.37358555867</v>
      </c>
      <c r="Y497" s="577">
        <f t="shared" si="398"/>
        <v>196362.89031174424</v>
      </c>
      <c r="Z497" s="577">
        <f t="shared" si="398"/>
        <v>205177.34655723727</v>
      </c>
      <c r="AA497" s="577">
        <f t="shared" si="398"/>
        <v>215006.60794357373</v>
      </c>
      <c r="AB497" s="577">
        <f t="shared" si="398"/>
        <v>225987.69469772081</v>
      </c>
      <c r="AC497" s="577">
        <f t="shared" si="398"/>
        <v>238280.43949484185</v>
      </c>
      <c r="AD497" s="577">
        <f t="shared" si="398"/>
        <v>252064.66602365149</v>
      </c>
      <c r="AE497" s="577">
        <f t="shared" si="398"/>
        <v>267532.8731034068</v>
      </c>
      <c r="AF497" s="577">
        <f t="shared" si="398"/>
        <v>284908.53531893145</v>
      </c>
      <c r="AG497" s="725">
        <f t="shared" si="398"/>
        <v>304441.9961224423</v>
      </c>
      <c r="AH497" s="18"/>
      <c r="AI497" s="18"/>
      <c r="AJ497" s="18"/>
      <c r="AK497" s="18"/>
      <c r="AL497" s="18"/>
      <c r="AM497" s="18"/>
      <c r="AN497" s="18"/>
    </row>
    <row r="498" spans="1:40" ht="21.95" customHeight="1" x14ac:dyDescent="0.2">
      <c r="B498" s="705"/>
      <c r="C498" s="715"/>
      <c r="D498" s="715"/>
      <c r="E498" s="116" t="s">
        <v>288</v>
      </c>
      <c r="F498" s="116" t="s">
        <v>323</v>
      </c>
      <c r="G498" s="116" t="s">
        <v>348</v>
      </c>
      <c r="H498" s="593">
        <f t="shared" ref="H498:AG498" si="399">H438+H468</f>
        <v>23633.09448058578</v>
      </c>
      <c r="I498" s="593">
        <f t="shared" si="399"/>
        <v>25086.268028903316</v>
      </c>
      <c r="J498" s="593">
        <f t="shared" si="399"/>
        <v>27009.34767579535</v>
      </c>
      <c r="K498" s="593">
        <f t="shared" si="399"/>
        <v>29565.011220557259</v>
      </c>
      <c r="L498" s="593">
        <f t="shared" si="399"/>
        <v>32121.472183138583</v>
      </c>
      <c r="M498" s="593">
        <f t="shared" si="399"/>
        <v>34683.467860256365</v>
      </c>
      <c r="N498" s="593">
        <f t="shared" si="399"/>
        <v>37239.201403421932</v>
      </c>
      <c r="O498" s="593">
        <f t="shared" si="399"/>
        <v>39797.76805342907</v>
      </c>
      <c r="P498" s="593">
        <f t="shared" si="399"/>
        <v>42130.874021566407</v>
      </c>
      <c r="Q498" s="593">
        <f t="shared" si="399"/>
        <v>44462.199718041295</v>
      </c>
      <c r="R498" s="593">
        <f t="shared" si="399"/>
        <v>46795.93379712876</v>
      </c>
      <c r="S498" s="593">
        <f t="shared" si="399"/>
        <v>49130.022735093225</v>
      </c>
      <c r="T498" s="593">
        <f t="shared" si="399"/>
        <v>51473.14433030384</v>
      </c>
      <c r="U498" s="593">
        <f t="shared" si="399"/>
        <v>53173.71924606125</v>
      </c>
      <c r="V498" s="593">
        <f t="shared" si="399"/>
        <v>54629.356193550047</v>
      </c>
      <c r="W498" s="593">
        <f t="shared" si="399"/>
        <v>56085.743856540532</v>
      </c>
      <c r="X498" s="593">
        <f t="shared" si="399"/>
        <v>57543.082156750243</v>
      </c>
      <c r="Y498" s="593">
        <f t="shared" si="399"/>
        <v>59003.199119005847</v>
      </c>
      <c r="Z498" s="593">
        <f t="shared" si="399"/>
        <v>60463.233270405057</v>
      </c>
      <c r="AA498" s="593">
        <f t="shared" si="399"/>
        <v>61928.700641346688</v>
      </c>
      <c r="AB498" s="593">
        <f t="shared" si="399"/>
        <v>63392.91388566768</v>
      </c>
      <c r="AC498" s="593">
        <f t="shared" si="399"/>
        <v>64859.972912607642</v>
      </c>
      <c r="AD498" s="593">
        <f t="shared" si="399"/>
        <v>66332.118244644764</v>
      </c>
      <c r="AE498" s="593">
        <f t="shared" si="399"/>
        <v>67806.932311945056</v>
      </c>
      <c r="AF498" s="593">
        <f t="shared" si="399"/>
        <v>69286.925716258731</v>
      </c>
      <c r="AG498" s="730">
        <f t="shared" si="399"/>
        <v>70776.822927236237</v>
      </c>
      <c r="AH498" s="18"/>
      <c r="AI498" s="18"/>
      <c r="AJ498" s="18"/>
      <c r="AK498" s="18"/>
      <c r="AL498" s="18"/>
      <c r="AM498" s="18"/>
      <c r="AN498" s="18"/>
    </row>
    <row r="499" spans="1:40" ht="21.95" customHeight="1" x14ac:dyDescent="0.2">
      <c r="B499" s="705"/>
      <c r="C499" s="715"/>
      <c r="D499" s="715"/>
      <c r="E499" s="277" t="s">
        <v>340</v>
      </c>
      <c r="F499" s="277" t="s">
        <v>335</v>
      </c>
      <c r="G499" s="277" t="s">
        <v>323</v>
      </c>
      <c r="H499" s="577" t="e">
        <f t="shared" ref="H499:AG499" si="400">H439+H469</f>
        <v>#DIV/0!</v>
      </c>
      <c r="I499" s="577" t="e">
        <f t="shared" si="400"/>
        <v>#DIV/0!</v>
      </c>
      <c r="J499" s="577" t="e">
        <f t="shared" si="400"/>
        <v>#DIV/0!</v>
      </c>
      <c r="K499" s="577" t="e">
        <f t="shared" si="400"/>
        <v>#DIV/0!</v>
      </c>
      <c r="L499" s="577" t="e">
        <f t="shared" si="400"/>
        <v>#DIV/0!</v>
      </c>
      <c r="M499" s="577" t="e">
        <f t="shared" si="400"/>
        <v>#DIV/0!</v>
      </c>
      <c r="N499" s="577" t="e">
        <f t="shared" si="400"/>
        <v>#DIV/0!</v>
      </c>
      <c r="O499" s="577" t="e">
        <f t="shared" si="400"/>
        <v>#DIV/0!</v>
      </c>
      <c r="P499" s="577" t="e">
        <f t="shared" si="400"/>
        <v>#DIV/0!</v>
      </c>
      <c r="Q499" s="577" t="e">
        <f t="shared" si="400"/>
        <v>#DIV/0!</v>
      </c>
      <c r="R499" s="577" t="e">
        <f t="shared" si="400"/>
        <v>#DIV/0!</v>
      </c>
      <c r="S499" s="577" t="e">
        <f t="shared" si="400"/>
        <v>#DIV/0!</v>
      </c>
      <c r="T499" s="577" t="e">
        <f t="shared" si="400"/>
        <v>#DIV/0!</v>
      </c>
      <c r="U499" s="577" t="e">
        <f t="shared" si="400"/>
        <v>#DIV/0!</v>
      </c>
      <c r="V499" s="577" t="e">
        <f t="shared" si="400"/>
        <v>#DIV/0!</v>
      </c>
      <c r="W499" s="577" t="e">
        <f t="shared" si="400"/>
        <v>#DIV/0!</v>
      </c>
      <c r="X499" s="577" t="e">
        <f t="shared" si="400"/>
        <v>#DIV/0!</v>
      </c>
      <c r="Y499" s="577" t="e">
        <f t="shared" si="400"/>
        <v>#DIV/0!</v>
      </c>
      <c r="Z499" s="577" t="e">
        <f t="shared" si="400"/>
        <v>#DIV/0!</v>
      </c>
      <c r="AA499" s="577" t="e">
        <f t="shared" si="400"/>
        <v>#DIV/0!</v>
      </c>
      <c r="AB499" s="577" t="e">
        <f t="shared" si="400"/>
        <v>#DIV/0!</v>
      </c>
      <c r="AC499" s="577" t="e">
        <f t="shared" si="400"/>
        <v>#DIV/0!</v>
      </c>
      <c r="AD499" s="577" t="e">
        <f t="shared" si="400"/>
        <v>#DIV/0!</v>
      </c>
      <c r="AE499" s="577" t="e">
        <f t="shared" si="400"/>
        <v>#DIV/0!</v>
      </c>
      <c r="AF499" s="577" t="e">
        <f t="shared" si="400"/>
        <v>#DIV/0!</v>
      </c>
      <c r="AG499" s="725" t="e">
        <f t="shared" si="400"/>
        <v>#DIV/0!</v>
      </c>
      <c r="AH499" s="18"/>
      <c r="AI499" s="18"/>
      <c r="AJ499" s="18"/>
      <c r="AK499" s="18"/>
      <c r="AL499" s="18"/>
      <c r="AM499" s="18"/>
      <c r="AN499" s="18"/>
    </row>
    <row r="500" spans="1:40" ht="21.95" customHeight="1" x14ac:dyDescent="0.2">
      <c r="B500" s="705"/>
      <c r="C500" s="715"/>
      <c r="D500" s="715"/>
      <c r="E500" s="277" t="s">
        <v>357</v>
      </c>
      <c r="F500" s="277" t="s">
        <v>338</v>
      </c>
      <c r="G500" s="277" t="s">
        <v>323</v>
      </c>
      <c r="H500" s="593">
        <f t="shared" ref="H500:AG500" si="401">H440+H470</f>
        <v>38197.078466007326</v>
      </c>
      <c r="I500" s="593">
        <f t="shared" si="401"/>
        <v>38721.779763803679</v>
      </c>
      <c r="J500" s="593">
        <f t="shared" si="401"/>
        <v>39628.818791838828</v>
      </c>
      <c r="K500" s="593">
        <f t="shared" si="401"/>
        <v>40874.315517841576</v>
      </c>
      <c r="L500" s="593">
        <f t="shared" si="401"/>
        <v>42120.684888907825</v>
      </c>
      <c r="M500" s="593">
        <f t="shared" si="401"/>
        <v>43369.308493461765</v>
      </c>
      <c r="N500" s="593">
        <f t="shared" si="401"/>
        <v>44616.176487885066</v>
      </c>
      <c r="O500" s="593">
        <f t="shared" si="401"/>
        <v>45868.15664254452</v>
      </c>
      <c r="P500" s="593">
        <f t="shared" si="401"/>
        <v>46736.938420110149</v>
      </c>
      <c r="Q500" s="593">
        <f t="shared" si="401"/>
        <v>47606.376235203563</v>
      </c>
      <c r="R500" s="593">
        <f t="shared" si="401"/>
        <v>48476.569086080985</v>
      </c>
      <c r="S500" s="593">
        <f t="shared" si="401"/>
        <v>49347.3113494504</v>
      </c>
      <c r="T500" s="593">
        <f t="shared" si="401"/>
        <v>50225.144563928057</v>
      </c>
      <c r="U500" s="593">
        <f t="shared" si="401"/>
        <v>50753.455398561593</v>
      </c>
      <c r="V500" s="593">
        <f t="shared" si="401"/>
        <v>51282.187270734794</v>
      </c>
      <c r="W500" s="593">
        <f t="shared" si="401"/>
        <v>51811.381050785356</v>
      </c>
      <c r="X500" s="593">
        <f t="shared" si="401"/>
        <v>52341.081063577003</v>
      </c>
      <c r="Y500" s="593">
        <f t="shared" si="401"/>
        <v>52874.98472114186</v>
      </c>
      <c r="Z500" s="593">
        <f t="shared" si="401"/>
        <v>53405.849774515169</v>
      </c>
      <c r="AA500" s="593">
        <f t="shared" si="401"/>
        <v>53939.42245189994</v>
      </c>
      <c r="AB500" s="593">
        <f t="shared" si="401"/>
        <v>54471.677785010077</v>
      </c>
      <c r="AC500" s="593">
        <f t="shared" si="401"/>
        <v>55004.723559207203</v>
      </c>
      <c r="AD500" s="593">
        <f t="shared" si="401"/>
        <v>55542.306655750363</v>
      </c>
      <c r="AE500" s="593">
        <f t="shared" si="401"/>
        <v>56077.159567186623</v>
      </c>
      <c r="AF500" s="593">
        <f t="shared" si="401"/>
        <v>56613.034734769157</v>
      </c>
      <c r="AG500" s="730">
        <f t="shared" si="401"/>
        <v>57152.088004066471</v>
      </c>
      <c r="AH500" s="18"/>
      <c r="AI500" s="18"/>
      <c r="AJ500" s="18"/>
      <c r="AK500" s="18"/>
      <c r="AL500" s="18"/>
      <c r="AM500" s="18"/>
      <c r="AN500" s="18"/>
    </row>
    <row r="501" spans="1:40" ht="21.95" customHeight="1" x14ac:dyDescent="0.2">
      <c r="B501" s="705"/>
      <c r="C501" s="715"/>
      <c r="D501" s="715"/>
      <c r="E501" s="116" t="s">
        <v>338</v>
      </c>
      <c r="F501" s="116" t="s">
        <v>282</v>
      </c>
      <c r="G501" s="116" t="s">
        <v>357</v>
      </c>
      <c r="H501" s="577">
        <f t="shared" ref="H501:AG501" si="402">H441+H471</f>
        <v>78280.009329269713</v>
      </c>
      <c r="I501" s="577">
        <f t="shared" si="402"/>
        <v>80536.588663159433</v>
      </c>
      <c r="J501" s="577">
        <f t="shared" si="402"/>
        <v>82979.083742464209</v>
      </c>
      <c r="K501" s="577">
        <f t="shared" si="402"/>
        <v>86219.488973189727</v>
      </c>
      <c r="L501" s="577">
        <f t="shared" si="402"/>
        <v>89460.444183401996</v>
      </c>
      <c r="M501" s="577">
        <f t="shared" si="402"/>
        <v>92702.73297056045</v>
      </c>
      <c r="N501" s="577">
        <f t="shared" si="402"/>
        <v>95943.146904288398</v>
      </c>
      <c r="O501" s="577">
        <f t="shared" si="402"/>
        <v>99184.427195162862</v>
      </c>
      <c r="P501" s="577">
        <f t="shared" si="402"/>
        <v>102751.04933618143</v>
      </c>
      <c r="Q501" s="577">
        <f t="shared" si="402"/>
        <v>106316.50910134685</v>
      </c>
      <c r="R501" s="577">
        <f t="shared" si="402"/>
        <v>109883.15916453424</v>
      </c>
      <c r="S501" s="577">
        <f t="shared" si="402"/>
        <v>113449.83086761467</v>
      </c>
      <c r="T501" s="577">
        <f t="shared" si="402"/>
        <v>117018.56675792123</v>
      </c>
      <c r="U501" s="577">
        <f t="shared" si="402"/>
        <v>119787.04786154658</v>
      </c>
      <c r="V501" s="577">
        <f t="shared" si="402"/>
        <v>122043.73481914308</v>
      </c>
      <c r="W501" s="577">
        <f t="shared" si="402"/>
        <v>124300.44396078319</v>
      </c>
      <c r="X501" s="577">
        <f t="shared" si="402"/>
        <v>126557.17926163421</v>
      </c>
      <c r="Y501" s="577">
        <f t="shared" si="402"/>
        <v>128813.71045616941</v>
      </c>
      <c r="Z501" s="577">
        <f t="shared" si="402"/>
        <v>131070.51256322782</v>
      </c>
      <c r="AA501" s="577">
        <f t="shared" si="402"/>
        <v>133327.12195163732</v>
      </c>
      <c r="AB501" s="577">
        <f t="shared" si="402"/>
        <v>135584.01535304615</v>
      </c>
      <c r="AC501" s="577">
        <f t="shared" si="402"/>
        <v>137840.96591269207</v>
      </c>
      <c r="AD501" s="577">
        <f t="shared" si="402"/>
        <v>140097.74789206393</v>
      </c>
      <c r="AE501" s="577">
        <f t="shared" si="402"/>
        <v>142354.84149254093</v>
      </c>
      <c r="AF501" s="577">
        <f t="shared" si="402"/>
        <v>144612.02369669895</v>
      </c>
      <c r="AG501" s="725">
        <f t="shared" si="402"/>
        <v>146869.07305334028</v>
      </c>
      <c r="AH501" s="18"/>
      <c r="AI501" s="18"/>
      <c r="AJ501" s="18"/>
      <c r="AK501" s="18"/>
      <c r="AL501" s="18"/>
      <c r="AM501" s="18"/>
      <c r="AN501" s="18"/>
    </row>
    <row r="502" spans="1:40" ht="21.95" customHeight="1" x14ac:dyDescent="0.2">
      <c r="B502" s="705"/>
      <c r="C502" s="715"/>
      <c r="D502" s="715"/>
      <c r="E502" s="116"/>
      <c r="F502" s="116" t="s">
        <v>357</v>
      </c>
      <c r="G502" s="116" t="s">
        <v>346</v>
      </c>
      <c r="H502" s="577">
        <f t="shared" ref="H502:AG502" si="403">H442+H472</f>
        <v>11400.437782222565</v>
      </c>
      <c r="I502" s="577">
        <f t="shared" si="403"/>
        <v>11724.000221011778</v>
      </c>
      <c r="J502" s="577">
        <f t="shared" si="403"/>
        <v>12083.06903042028</v>
      </c>
      <c r="K502" s="577">
        <f t="shared" si="403"/>
        <v>12587.058426842868</v>
      </c>
      <c r="L502" s="577">
        <f t="shared" si="403"/>
        <v>13091.137848784898</v>
      </c>
      <c r="M502" s="577">
        <f t="shared" si="403"/>
        <v>13595.322306167503</v>
      </c>
      <c r="N502" s="577">
        <f t="shared" si="403"/>
        <v>14099.311800085041</v>
      </c>
      <c r="O502" s="577">
        <f t="shared" si="403"/>
        <v>14603.331356264347</v>
      </c>
      <c r="P502" s="577">
        <f t="shared" si="403"/>
        <v>15169.828437975215</v>
      </c>
      <c r="Q502" s="577">
        <f t="shared" si="403"/>
        <v>15736.130661249987</v>
      </c>
      <c r="R502" s="577">
        <f t="shared" si="403"/>
        <v>16302.628099596561</v>
      </c>
      <c r="S502" s="577">
        <f t="shared" si="403"/>
        <v>16869.125822989739</v>
      </c>
      <c r="T502" s="577">
        <f t="shared" si="403"/>
        <v>17435.713937548928</v>
      </c>
      <c r="U502" s="577">
        <f t="shared" si="403"/>
        <v>17857.351468331635</v>
      </c>
      <c r="V502" s="577">
        <f t="shared" si="403"/>
        <v>18180.915159416094</v>
      </c>
      <c r="W502" s="577">
        <f t="shared" si="403"/>
        <v>18504.479097296215</v>
      </c>
      <c r="X502" s="577">
        <f t="shared" si="403"/>
        <v>18828.043324421287</v>
      </c>
      <c r="Y502" s="577">
        <f t="shared" si="403"/>
        <v>19151.442882082854</v>
      </c>
      <c r="Z502" s="577">
        <f t="shared" si="403"/>
        <v>19475.007841115694</v>
      </c>
      <c r="AA502" s="577">
        <f t="shared" si="403"/>
        <v>19798.408250293367</v>
      </c>
      <c r="AB502" s="577">
        <f t="shared" si="403"/>
        <v>20121.974198515862</v>
      </c>
      <c r="AC502" s="577">
        <f t="shared" si="403"/>
        <v>20445.540761468044</v>
      </c>
      <c r="AD502" s="577">
        <f t="shared" si="403"/>
        <v>20768.943025014618</v>
      </c>
      <c r="AE502" s="577">
        <f t="shared" si="403"/>
        <v>21092.511114393601</v>
      </c>
      <c r="AF502" s="577">
        <f t="shared" si="403"/>
        <v>21416.080142934457</v>
      </c>
      <c r="AG502" s="725">
        <f t="shared" si="403"/>
        <v>21739.485237948207</v>
      </c>
      <c r="AH502" s="18"/>
      <c r="AI502" s="18"/>
      <c r="AJ502" s="18"/>
      <c r="AK502" s="18"/>
      <c r="AL502" s="18"/>
      <c r="AM502" s="18"/>
      <c r="AN502" s="18"/>
    </row>
    <row r="503" spans="1:40" ht="21.95" customHeight="1" x14ac:dyDescent="0.2">
      <c r="B503" s="705"/>
      <c r="C503" s="715"/>
      <c r="D503" s="715"/>
      <c r="E503" s="116"/>
      <c r="F503" s="116" t="s">
        <v>346</v>
      </c>
      <c r="G503" s="116" t="s">
        <v>343</v>
      </c>
      <c r="H503" s="577">
        <f t="shared" ref="H503:AG503" si="404">H443+H473</f>
        <v>3433.8483209342858</v>
      </c>
      <c r="I503" s="577">
        <f t="shared" si="404"/>
        <v>3531.3063694879775</v>
      </c>
      <c r="J503" s="577">
        <f t="shared" si="404"/>
        <v>3639.4590541383932</v>
      </c>
      <c r="K503" s="577">
        <f t="shared" si="404"/>
        <v>3791.2622944819923</v>
      </c>
      <c r="L503" s="577">
        <f t="shared" si="404"/>
        <v>3943.092662233938</v>
      </c>
      <c r="M503" s="577">
        <f t="shared" si="404"/>
        <v>4094.9546832734477</v>
      </c>
      <c r="N503" s="577">
        <f t="shared" si="404"/>
        <v>4246.7580035081864</v>
      </c>
      <c r="O503" s="577">
        <f t="shared" si="404"/>
        <v>4398.5704102615491</v>
      </c>
      <c r="P503" s="577">
        <f t="shared" si="404"/>
        <v>4569.2013130102168</v>
      </c>
      <c r="Q503" s="577">
        <f t="shared" si="404"/>
        <v>4739.7736010189374</v>
      </c>
      <c r="R503" s="577">
        <f t="shared" si="404"/>
        <v>4910.4047960087373</v>
      </c>
      <c r="S503" s="577">
        <f t="shared" si="404"/>
        <v>5081.0362245767774</v>
      </c>
      <c r="T503" s="577">
        <f t="shared" si="404"/>
        <v>5251.6950801781377</v>
      </c>
      <c r="U503" s="577">
        <f t="shared" si="404"/>
        <v>5378.6943472404309</v>
      </c>
      <c r="V503" s="577">
        <f t="shared" si="404"/>
        <v>5476.1534219734112</v>
      </c>
      <c r="W503" s="577">
        <f t="shared" si="404"/>
        <v>5573.6126989403265</v>
      </c>
      <c r="X503" s="577">
        <f t="shared" si="404"/>
        <v>5671.0722129257765</v>
      </c>
      <c r="Y503" s="577">
        <f t="shared" si="404"/>
        <v>5768.4823025216501</v>
      </c>
      <c r="Z503" s="577">
        <f t="shared" si="404"/>
        <v>5865.9424162607083</v>
      </c>
      <c r="AA503" s="577">
        <f t="shared" si="404"/>
        <v>5963.3532036218994</v>
      </c>
      <c r="AB503" s="577">
        <f t="shared" si="404"/>
        <v>6060.8141279413267</v>
      </c>
      <c r="AC503" s="577">
        <f t="shared" si="404"/>
        <v>6158.2755559940924</v>
      </c>
      <c r="AD503" s="577">
        <f t="shared" si="404"/>
        <v>6255.6878628970826</v>
      </c>
      <c r="AE503" s="577">
        <f t="shared" si="404"/>
        <v>6353.1505417631652</v>
      </c>
      <c r="AF503" s="577">
        <f t="shared" si="404"/>
        <v>6450.6139902149152</v>
      </c>
      <c r="AG503" s="725">
        <f t="shared" si="404"/>
        <v>6548.0286173319164</v>
      </c>
      <c r="AH503" s="18"/>
      <c r="AI503" s="18"/>
      <c r="AJ503" s="18"/>
      <c r="AK503" s="18"/>
      <c r="AL503" s="18"/>
      <c r="AM503" s="18"/>
      <c r="AN503" s="18"/>
    </row>
    <row r="504" spans="1:40" ht="21.95" customHeight="1" x14ac:dyDescent="0.2">
      <c r="B504" s="705"/>
      <c r="C504" s="715"/>
      <c r="D504" s="715"/>
      <c r="E504" s="116"/>
      <c r="F504" s="116" t="s">
        <v>343</v>
      </c>
      <c r="G504" s="116" t="s">
        <v>350</v>
      </c>
      <c r="H504" s="577">
        <f t="shared" ref="H504:AG504" si="405">H444+H474</f>
        <v>8810.531796712874</v>
      </c>
      <c r="I504" s="577">
        <f t="shared" si="405"/>
        <v>9060.3691127620968</v>
      </c>
      <c r="J504" s="577">
        <f t="shared" si="405"/>
        <v>9345.0520836105425</v>
      </c>
      <c r="K504" s="577">
        <f t="shared" si="405"/>
        <v>9708.8095809397528</v>
      </c>
      <c r="L504" s="577">
        <f t="shared" si="405"/>
        <v>10072.684555763755</v>
      </c>
      <c r="M504" s="577">
        <f t="shared" si="405"/>
        <v>10436.500798904592</v>
      </c>
      <c r="N504" s="577">
        <f t="shared" si="405"/>
        <v>10800.258312310603</v>
      </c>
      <c r="O504" s="577">
        <f t="shared" si="405"/>
        <v>11164.089256545276</v>
      </c>
      <c r="P504" s="577">
        <f t="shared" si="405"/>
        <v>11575.306197999951</v>
      </c>
      <c r="Q504" s="577">
        <f t="shared" si="405"/>
        <v>11986.508478432728</v>
      </c>
      <c r="R504" s="577">
        <f t="shared" si="405"/>
        <v>12397.666737939287</v>
      </c>
      <c r="S504" s="577">
        <f t="shared" si="405"/>
        <v>12808.883777326171</v>
      </c>
      <c r="T504" s="577">
        <f t="shared" si="405"/>
        <v>13220.174295493773</v>
      </c>
      <c r="U504" s="577">
        <f t="shared" si="405"/>
        <v>13552.302199962967</v>
      </c>
      <c r="V504" s="577">
        <f t="shared" si="405"/>
        <v>13802.139722201126</v>
      </c>
      <c r="W504" s="577">
        <f t="shared" si="405"/>
        <v>14051.977285931709</v>
      </c>
      <c r="X504" s="577">
        <f t="shared" si="405"/>
        <v>14301.814898422479</v>
      </c>
      <c r="Y504" s="577">
        <f t="shared" si="405"/>
        <v>14551.579146838299</v>
      </c>
      <c r="Z504" s="577">
        <f t="shared" si="405"/>
        <v>14801.416883215599</v>
      </c>
      <c r="AA504" s="577">
        <f t="shared" si="405"/>
        <v>15051.181276152151</v>
      </c>
      <c r="AB504" s="577">
        <f t="shared" si="405"/>
        <v>15301.019180782423</v>
      </c>
      <c r="AC504" s="577">
        <f t="shared" si="405"/>
        <v>15550.857190314353</v>
      </c>
      <c r="AD504" s="577">
        <f t="shared" si="405"/>
        <v>15800.621899845381</v>
      </c>
      <c r="AE504" s="577">
        <f t="shared" si="405"/>
        <v>16050.460170759208</v>
      </c>
      <c r="AF504" s="577">
        <f t="shared" si="405"/>
        <v>16300.29860296868</v>
      </c>
      <c r="AG504" s="725">
        <f t="shared" si="405"/>
        <v>16550.063799009629</v>
      </c>
      <c r="AH504" s="18"/>
      <c r="AI504" s="18"/>
      <c r="AJ504" s="18"/>
      <c r="AK504" s="18"/>
      <c r="AL504" s="18"/>
      <c r="AM504" s="18"/>
      <c r="AN504" s="18"/>
    </row>
    <row r="505" spans="1:40" ht="21.95" customHeight="1" x14ac:dyDescent="0.2">
      <c r="B505" s="705"/>
      <c r="C505" s="715"/>
      <c r="D505" s="715"/>
      <c r="E505" s="116"/>
      <c r="F505" s="116" t="s">
        <v>350</v>
      </c>
      <c r="G505" s="116" t="s">
        <v>280</v>
      </c>
      <c r="H505" s="577">
        <f t="shared" ref="H505:AG505" si="406">H445+H475</f>
        <v>60064.136465598429</v>
      </c>
      <c r="I505" s="577">
        <f t="shared" si="406"/>
        <v>61767.355168825023</v>
      </c>
      <c r="J505" s="577">
        <f t="shared" si="406"/>
        <v>63708.127535640131</v>
      </c>
      <c r="K505" s="577">
        <f t="shared" si="406"/>
        <v>66187.975536268277</v>
      </c>
      <c r="L505" s="577">
        <f t="shared" si="406"/>
        <v>68668.624401414942</v>
      </c>
      <c r="M505" s="577">
        <f t="shared" si="406"/>
        <v>71148.872852004308</v>
      </c>
      <c r="N505" s="577">
        <f t="shared" si="406"/>
        <v>73628.720892918616</v>
      </c>
      <c r="O505" s="577">
        <f t="shared" si="406"/>
        <v>76109.069492686336</v>
      </c>
      <c r="P505" s="577">
        <f t="shared" si="406"/>
        <v>78912.463090797522</v>
      </c>
      <c r="Q505" s="577">
        <f t="shared" si="406"/>
        <v>81715.756640144915</v>
      </c>
      <c r="R505" s="577">
        <f t="shared" si="406"/>
        <v>84518.749948327706</v>
      </c>
      <c r="S505" s="577">
        <f t="shared" si="406"/>
        <v>87322.143791843002</v>
      </c>
      <c r="T505" s="577">
        <f t="shared" si="406"/>
        <v>90126.038314372621</v>
      </c>
      <c r="U505" s="577">
        <f t="shared" si="406"/>
        <v>92390.256607081421</v>
      </c>
      <c r="V505" s="577">
        <f t="shared" si="406"/>
        <v>94093.475826987866</v>
      </c>
      <c r="W505" s="577">
        <f t="shared" si="406"/>
        <v>95796.695150868371</v>
      </c>
      <c r="X505" s="577">
        <f t="shared" si="406"/>
        <v>97499.91459693489</v>
      </c>
      <c r="Y505" s="577">
        <f t="shared" si="406"/>
        <v>99202.63365142321</v>
      </c>
      <c r="Z505" s="577">
        <f t="shared" si="406"/>
        <v>100905.85340793154</v>
      </c>
      <c r="AA505" s="577">
        <f t="shared" si="406"/>
        <v>102608.57282456808</v>
      </c>
      <c r="AB505" s="577">
        <f t="shared" si="406"/>
        <v>104311.79300269426</v>
      </c>
      <c r="AC505" s="577">
        <f t="shared" si="406"/>
        <v>106015.01344368892</v>
      </c>
      <c r="AD505" s="577">
        <f t="shared" si="406"/>
        <v>107717.73365366572</v>
      </c>
      <c r="AE505" s="577">
        <f t="shared" si="406"/>
        <v>109420.95474964587</v>
      </c>
      <c r="AF505" s="577">
        <f t="shared" si="406"/>
        <v>111124.17624980977</v>
      </c>
      <c r="AG505" s="725">
        <f t="shared" si="406"/>
        <v>112826.89767891055</v>
      </c>
      <c r="AH505" s="18"/>
      <c r="AI505" s="18"/>
      <c r="AJ505" s="18"/>
      <c r="AK505" s="18"/>
      <c r="AL505" s="18"/>
      <c r="AM505" s="18"/>
      <c r="AN505" s="18"/>
    </row>
    <row r="506" spans="1:40" ht="21.95" customHeight="1" thickBot="1" x14ac:dyDescent="0.25">
      <c r="B506" s="705"/>
      <c r="C506" s="715"/>
      <c r="D506" s="715"/>
      <c r="E506" s="116"/>
      <c r="F506" s="116" t="s">
        <v>280</v>
      </c>
      <c r="G506" s="116" t="s">
        <v>333</v>
      </c>
      <c r="H506" s="577">
        <f t="shared" ref="H506:AG506" si="407">H446+H476</f>
        <v>1500.0830564292053</v>
      </c>
      <c r="I506" s="577">
        <f t="shared" si="407"/>
        <v>1542.6206970041326</v>
      </c>
      <c r="J506" s="577">
        <f t="shared" si="407"/>
        <v>1591.0913271609174</v>
      </c>
      <c r="K506" s="577">
        <f t="shared" si="407"/>
        <v>1653.0255790936376</v>
      </c>
      <c r="L506" s="577">
        <f t="shared" si="407"/>
        <v>1714.980222283463</v>
      </c>
      <c r="M506" s="577">
        <f t="shared" si="407"/>
        <v>1776.9254072623949</v>
      </c>
      <c r="N506" s="577">
        <f t="shared" si="407"/>
        <v>1838.861337414517</v>
      </c>
      <c r="O506" s="577">
        <f t="shared" si="407"/>
        <v>1900.8107839873219</v>
      </c>
      <c r="P506" s="577">
        <f t="shared" si="407"/>
        <v>1970.8303039901414</v>
      </c>
      <c r="Q506" s="577">
        <f t="shared" si="407"/>
        <v>2040.849745413655</v>
      </c>
      <c r="R506" s="577">
        <f t="shared" si="407"/>
        <v>2110.8649989294072</v>
      </c>
      <c r="S506" s="577">
        <f t="shared" si="407"/>
        <v>2180.8947418411367</v>
      </c>
      <c r="T506" s="577">
        <f t="shared" si="407"/>
        <v>2250.943006774366</v>
      </c>
      <c r="U506" s="577">
        <f t="shared" si="407"/>
        <v>2307.5145385494761</v>
      </c>
      <c r="V506" s="577">
        <f t="shared" si="407"/>
        <v>2350.0737026937231</v>
      </c>
      <c r="W506" s="577">
        <f t="shared" si="407"/>
        <v>2392.6371981333941</v>
      </c>
      <c r="X506" s="577">
        <f t="shared" si="407"/>
        <v>2435.2057835323271</v>
      </c>
      <c r="Y506" s="577">
        <f t="shared" si="407"/>
        <v>2477.7678207706026</v>
      </c>
      <c r="Z506" s="577">
        <f t="shared" si="407"/>
        <v>2520.3493383884343</v>
      </c>
      <c r="AA506" s="577">
        <f t="shared" si="407"/>
        <v>2562.9264618005363</v>
      </c>
      <c r="AB506" s="577">
        <f t="shared" si="407"/>
        <v>2605.5255429432427</v>
      </c>
      <c r="AC506" s="577">
        <f t="shared" si="407"/>
        <v>2648.1355745184419</v>
      </c>
      <c r="AD506" s="577">
        <f t="shared" si="407"/>
        <v>2690.7457464705576</v>
      </c>
      <c r="AE506" s="577">
        <f t="shared" si="407"/>
        <v>2733.3830630767343</v>
      </c>
      <c r="AF506" s="577">
        <f t="shared" si="407"/>
        <v>2776.0372169498569</v>
      </c>
      <c r="AG506" s="725">
        <f t="shared" si="407"/>
        <v>2818.698174508042</v>
      </c>
      <c r="AH506" s="18"/>
      <c r="AI506" s="18"/>
      <c r="AJ506" s="18"/>
      <c r="AK506" s="18"/>
      <c r="AL506" s="18"/>
      <c r="AM506" s="18"/>
      <c r="AN506" s="18"/>
    </row>
    <row r="507" spans="1:40" ht="21.95" customHeight="1" thickBot="1" x14ac:dyDescent="0.25">
      <c r="A507" s="468"/>
      <c r="B507" s="708"/>
      <c r="C507" s="737"/>
      <c r="D507" s="737"/>
      <c r="E507" s="738" t="s">
        <v>181</v>
      </c>
      <c r="F507" s="738"/>
      <c r="G507" s="738"/>
      <c r="H507" s="739">
        <f>SUM(H478:H498,H500:H506)</f>
        <v>1759474.6299385913</v>
      </c>
      <c r="I507" s="739">
        <f t="shared" ref="I507" si="408">SUM(I478:I498,I500:I506)</f>
        <v>1816626.5734800636</v>
      </c>
      <c r="J507" s="739">
        <f t="shared" ref="J507" si="409">SUM(J478:J498,J500:J506)</f>
        <v>1921725.0399396238</v>
      </c>
      <c r="K507" s="739">
        <f t="shared" ref="K507" si="410">SUM(K478:K498,K500:K506)</f>
        <v>2088797.3582001184</v>
      </c>
      <c r="L507" s="739">
        <f t="shared" ref="L507" si="411">SUM(L478:L498,L500:L506)</f>
        <v>2256813.6881491863</v>
      </c>
      <c r="M507" s="739">
        <f t="shared" ref="M507" si="412">SUM(M478:M498,M500:M506)</f>
        <v>2426179.2039511767</v>
      </c>
      <c r="N507" s="739">
        <f t="shared" ref="N507" si="413">SUM(N478:N498,N500:N506)</f>
        <v>2597689.823404687</v>
      </c>
      <c r="O507" s="739">
        <f t="shared" ref="O507" si="414">SUM(O478:O498,O500:O506)</f>
        <v>2774114.5460306434</v>
      </c>
      <c r="P507" s="739">
        <f t="shared" ref="P507" si="415">SUM(P478:P498,P500:P506)</f>
        <v>2945725.2596237506</v>
      </c>
      <c r="Q507" s="739">
        <f t="shared" ref="Q507" si="416">SUM(Q478:Q498,Q500:Q506)</f>
        <v>3130024.726591161</v>
      </c>
      <c r="R507" s="739">
        <f t="shared" ref="R507" si="417">SUM(R478:R498,R500:R506)</f>
        <v>3345486.2627483639</v>
      </c>
      <c r="S507" s="739">
        <f t="shared" ref="S507" si="418">SUM(S478:S498,S500:S506)</f>
        <v>3612324.3116676086</v>
      </c>
      <c r="T507" s="739">
        <f t="shared" ref="T507" si="419">SUM(T478:T498,T500:T506)</f>
        <v>3950322.8828693135</v>
      </c>
      <c r="U507" s="739">
        <f t="shared" ref="U507" si="420">SUM(U478:U498,U500:U506)</f>
        <v>4138221.8316389043</v>
      </c>
      <c r="V507" s="739">
        <f t="shared" ref="V507" si="421">SUM(V478:V498,V500:V506)</f>
        <v>4246727.7299044142</v>
      </c>
      <c r="W507" s="739">
        <f t="shared" ref="W507" si="422">SUM(W478:W498,W500:W506)</f>
        <v>4347528.2138538267</v>
      </c>
      <c r="X507" s="739">
        <f t="shared" ref="X507" si="423">SUM(X478:X498,X500:X506)</f>
        <v>4425341.141742276</v>
      </c>
      <c r="Y507" s="739">
        <f t="shared" ref="Y507" si="424">SUM(Y478:Y498,Y500:Y506)</f>
        <v>4504716.1133580878</v>
      </c>
      <c r="Z507" s="739">
        <f t="shared" ref="Z507" si="425">SUM(Z478:Z498,Z500:Z506)</f>
        <v>4585757.6262542196</v>
      </c>
      <c r="AA507" s="739">
        <f t="shared" ref="AA507" si="426">SUM(AA478:AA498,AA500:AA506)</f>
        <v>4668841.2442056546</v>
      </c>
      <c r="AB507" s="739">
        <f t="shared" ref="AB507" si="427">SUM(AB478:AB498,AB500:AB506)</f>
        <v>4754131.6585817002</v>
      </c>
      <c r="AC507" s="739">
        <f t="shared" ref="AC507" si="428">SUM(AC478:AC498,AC500:AC506)</f>
        <v>4842014.1360075679</v>
      </c>
      <c r="AD507" s="739">
        <f t="shared" ref="AD507" si="429">SUM(AD478:AD498,AD500:AD506)</f>
        <v>4932917.4321177509</v>
      </c>
      <c r="AE507" s="739">
        <f t="shared" ref="AE507" si="430">SUM(AE478:AE498,AE500:AE506)</f>
        <v>5027126.4170881659</v>
      </c>
      <c r="AF507" s="739">
        <f t="shared" ref="AF507" si="431">SUM(AF478:AF498,AF500:AF506)</f>
        <v>5125165.1549672624</v>
      </c>
      <c r="AG507" s="740">
        <f t="shared" ref="AG507" si="432">SUM(AG478:AG498,AG500:AG506)</f>
        <v>5227618.3165993886</v>
      </c>
      <c r="AH507" s="18"/>
      <c r="AI507" s="18"/>
      <c r="AJ507" s="18"/>
      <c r="AK507" s="18"/>
      <c r="AL507" s="18"/>
      <c r="AM507" s="18"/>
      <c r="AN507" s="18"/>
    </row>
    <row r="508" spans="1:40" ht="21.75" customHeight="1" x14ac:dyDescent="0.2">
      <c r="C508" s="116"/>
      <c r="D508" s="116"/>
      <c r="E508" s="240"/>
      <c r="F508" s="240"/>
      <c r="G508" s="240"/>
      <c r="H508" s="741"/>
      <c r="I508" s="741"/>
      <c r="J508" s="741"/>
      <c r="K508" s="741"/>
      <c r="L508" s="741"/>
      <c r="M508" s="741"/>
      <c r="N508" s="741"/>
      <c r="O508" s="741"/>
      <c r="P508" s="741"/>
      <c r="Q508" s="741"/>
      <c r="R508" s="741"/>
      <c r="S508" s="741"/>
      <c r="T508" s="741"/>
      <c r="U508" s="741"/>
      <c r="V508" s="741"/>
      <c r="W508" s="741"/>
      <c r="X508" s="741"/>
      <c r="Y508" s="741"/>
      <c r="Z508" s="741"/>
      <c r="AA508" s="741"/>
      <c r="AB508" s="741"/>
      <c r="AC508" s="741"/>
      <c r="AD508" s="741"/>
      <c r="AE508" s="741"/>
      <c r="AF508" s="741"/>
      <c r="AG508" s="741"/>
      <c r="AH508" s="18"/>
      <c r="AI508" s="18"/>
      <c r="AJ508" s="18"/>
      <c r="AK508" s="18"/>
      <c r="AL508" s="18"/>
      <c r="AM508" s="18"/>
      <c r="AN508" s="18"/>
    </row>
    <row r="509" spans="1:40" ht="21.95" customHeight="1" x14ac:dyDescent="0.2">
      <c r="A509" s="551"/>
      <c r="B509" s="552" t="s">
        <v>486</v>
      </c>
      <c r="C509" s="116"/>
      <c r="D509" s="116"/>
      <c r="E509" s="228"/>
      <c r="F509" s="228"/>
      <c r="G509" s="228"/>
      <c r="H509" s="228"/>
      <c r="I509" s="228"/>
      <c r="J509" s="228"/>
      <c r="K509" s="228"/>
      <c r="L509" s="228"/>
      <c r="M509" s="228"/>
      <c r="N509" s="228"/>
      <c r="O509" s="228"/>
      <c r="P509" s="228"/>
      <c r="Q509" s="228"/>
      <c r="R509" s="228"/>
      <c r="S509" s="228"/>
      <c r="T509" s="228"/>
      <c r="U509" s="228"/>
      <c r="V509" s="228"/>
      <c r="W509" s="228"/>
      <c r="X509" s="228"/>
      <c r="Y509" s="228"/>
      <c r="Z509" s="228"/>
      <c r="AA509" s="228"/>
      <c r="AB509" s="116"/>
      <c r="AC509" s="116"/>
      <c r="AD509" s="116"/>
      <c r="AE509" s="116"/>
      <c r="AF509" s="116"/>
      <c r="AG509" s="116"/>
    </row>
    <row r="510" spans="1:40" ht="21.75" customHeight="1" x14ac:dyDescent="0.2">
      <c r="C510" s="116"/>
      <c r="D510" s="116"/>
      <c r="E510" s="240"/>
      <c r="F510" s="240"/>
      <c r="G510" s="240"/>
      <c r="H510" s="741"/>
      <c r="I510" s="741"/>
      <c r="J510" s="741"/>
      <c r="K510" s="741"/>
      <c r="L510" s="741"/>
      <c r="M510" s="741"/>
      <c r="N510" s="741"/>
      <c r="O510" s="741"/>
      <c r="P510" s="741"/>
      <c r="Q510" s="741"/>
      <c r="R510" s="741"/>
      <c r="S510" s="741"/>
      <c r="T510" s="741"/>
      <c r="U510" s="741"/>
      <c r="V510" s="741"/>
      <c r="W510" s="741"/>
      <c r="X510" s="741"/>
      <c r="Y510" s="741"/>
      <c r="Z510" s="741"/>
      <c r="AA510" s="741"/>
      <c r="AB510" s="741"/>
      <c r="AC510" s="741"/>
      <c r="AD510" s="741"/>
      <c r="AE510" s="741"/>
      <c r="AF510" s="741"/>
      <c r="AG510" s="741"/>
      <c r="AH510" s="18"/>
      <c r="AI510" s="18"/>
      <c r="AJ510" s="18"/>
      <c r="AK510" s="18"/>
      <c r="AL510" s="18"/>
      <c r="AM510" s="18"/>
      <c r="AN510" s="18"/>
    </row>
    <row r="511" spans="1:40" ht="21.95" customHeight="1" x14ac:dyDescent="0.2">
      <c r="B511" s="50" t="s">
        <v>64</v>
      </c>
      <c r="C511" s="228"/>
      <c r="D511" s="228"/>
      <c r="E511" s="228"/>
      <c r="F511" s="228"/>
      <c r="G511" s="228"/>
      <c r="H511" s="742"/>
      <c r="I511" s="116"/>
      <c r="J511" s="228"/>
      <c r="K511" s="228"/>
      <c r="L511" s="228"/>
      <c r="M511" s="743"/>
      <c r="N511" s="228"/>
      <c r="O511" s="228"/>
      <c r="P511" s="116"/>
      <c r="Q511" s="228"/>
      <c r="R511" s="116"/>
      <c r="S511" s="116"/>
      <c r="T511" s="116"/>
      <c r="U511" s="228"/>
      <c r="V511" s="228"/>
      <c r="W511" s="228"/>
      <c r="X511" s="228"/>
      <c r="Y511" s="228"/>
      <c r="Z511" s="228"/>
      <c r="AA511" s="228"/>
      <c r="AB511" s="228"/>
      <c r="AC511" s="228"/>
      <c r="AD511" s="228"/>
      <c r="AE511" s="116"/>
      <c r="AF511" s="116"/>
      <c r="AG511" s="116"/>
    </row>
    <row r="512" spans="1:40" s="7" customFormat="1" ht="21.95" customHeight="1" x14ac:dyDescent="0.2">
      <c r="B512" s="491"/>
      <c r="C512" s="711" t="s">
        <v>2</v>
      </c>
      <c r="D512" s="711" t="s">
        <v>473</v>
      </c>
      <c r="E512" s="711" t="s">
        <v>328</v>
      </c>
      <c r="F512" s="711" t="s">
        <v>329</v>
      </c>
      <c r="G512" s="711" t="s">
        <v>330</v>
      </c>
      <c r="H512" s="712">
        <v>2023</v>
      </c>
      <c r="I512" s="712">
        <v>2024</v>
      </c>
      <c r="J512" s="712">
        <v>2025</v>
      </c>
      <c r="K512" s="712">
        <v>2026</v>
      </c>
      <c r="L512" s="712">
        <v>2027</v>
      </c>
      <c r="M512" s="712">
        <v>2028</v>
      </c>
      <c r="N512" s="712">
        <v>2029</v>
      </c>
      <c r="O512" s="712">
        <v>2030</v>
      </c>
      <c r="P512" s="712">
        <v>2031</v>
      </c>
      <c r="Q512" s="712">
        <v>2032</v>
      </c>
      <c r="R512" s="712">
        <v>2033</v>
      </c>
      <c r="S512" s="712">
        <v>2034</v>
      </c>
      <c r="T512" s="712">
        <v>2035</v>
      </c>
      <c r="U512" s="712">
        <v>2036</v>
      </c>
      <c r="V512" s="712">
        <v>2037</v>
      </c>
      <c r="W512" s="712">
        <v>2038</v>
      </c>
      <c r="X512" s="712">
        <v>2039</v>
      </c>
      <c r="Y512" s="712">
        <v>2040</v>
      </c>
      <c r="Z512" s="712">
        <v>2041</v>
      </c>
      <c r="AA512" s="712">
        <v>2042</v>
      </c>
      <c r="AB512" s="712">
        <v>2043</v>
      </c>
      <c r="AC512" s="712">
        <v>2044</v>
      </c>
      <c r="AD512" s="712">
        <v>2045</v>
      </c>
      <c r="AE512" s="712">
        <v>2046</v>
      </c>
      <c r="AF512" s="712">
        <v>2047</v>
      </c>
      <c r="AG512" s="713">
        <v>2048</v>
      </c>
      <c r="AH512" s="32"/>
      <c r="AI512" s="32"/>
      <c r="AJ512" s="32"/>
      <c r="AK512" s="32"/>
      <c r="AL512" s="32"/>
      <c r="AM512" s="32"/>
      <c r="AN512" s="32"/>
    </row>
    <row r="513" spans="2:40" ht="21.95" customHeight="1" x14ac:dyDescent="0.2">
      <c r="B513" s="703" t="s">
        <v>480</v>
      </c>
      <c r="C513" s="579" t="s">
        <v>105</v>
      </c>
      <c r="D513" s="579"/>
      <c r="E513" s="1340" t="s">
        <v>331</v>
      </c>
      <c r="F513" s="220" t="s">
        <v>332</v>
      </c>
      <c r="G513" s="220" t="s">
        <v>282</v>
      </c>
      <c r="H513" s="576">
        <f>'Traffic Data'!J65*annualizationFactor*'Traffic Data'!$H65</f>
        <v>554800</v>
      </c>
      <c r="I513" s="576">
        <f>'Traffic Data'!K65*annualizationFactor*'Traffic Data'!$H65</f>
        <v>580027.79625000001</v>
      </c>
      <c r="J513" s="576">
        <f>'Traffic Data'!L65*annualizationFactor*'Traffic Data'!$H65</f>
        <v>615571.40500000014</v>
      </c>
      <c r="K513" s="576">
        <f>'Traffic Data'!M65*annualizationFactor*'Traffic Data'!$H65</f>
        <v>667854.37000000011</v>
      </c>
      <c r="L513" s="576">
        <f>'Traffic Data'!N65*annualizationFactor*'Traffic Data'!$H65</f>
        <v>720156.40625</v>
      </c>
      <c r="M513" s="576">
        <f>'Traffic Data'!O65*annualizationFactor*'Traffic Data'!$H65</f>
        <v>772458.44249999989</v>
      </c>
      <c r="N513" s="576">
        <f>'Traffic Data'!P65*annualizationFactor*'Traffic Data'!$H65</f>
        <v>824741.40749999997</v>
      </c>
      <c r="O513" s="576">
        <f>'Traffic Data'!Q65*annualizationFactor*'Traffic Data'!$H65</f>
        <v>877062.51499999978</v>
      </c>
      <c r="P513" s="576">
        <f>'Traffic Data'!R65*annualizationFactor*'Traffic Data'!$H65</f>
        <v>928764.67374999996</v>
      </c>
      <c r="Q513" s="576">
        <f>'Traffic Data'!S65*annualizationFactor*'Traffic Data'!$H65</f>
        <v>980477.23499999999</v>
      </c>
      <c r="R513" s="576">
        <f>'Traffic Data'!T65*annualizationFactor*'Traffic Data'!$H65</f>
        <v>1032179.3937500002</v>
      </c>
      <c r="S513" s="576">
        <f>'Traffic Data'!U65*annualizationFactor*'Traffic Data'!$H65</f>
        <v>1083881.5525000002</v>
      </c>
      <c r="T513" s="576">
        <f>'Traffic Data'!V65*annualizationFactor*'Traffic Data'!$H65</f>
        <v>1135621.85375</v>
      </c>
      <c r="U513" s="576">
        <f>'Traffic Data'!W65*annualizationFactor*'Traffic Data'!$H65</f>
        <v>1170565.5850000002</v>
      </c>
      <c r="V513" s="576">
        <f>'Traffic Data'!X65*annualizationFactor*'Traffic Data'!$H65</f>
        <v>1195793.3812500001</v>
      </c>
      <c r="W513" s="576">
        <f>'Traffic Data'!Y65*annualizationFactor*'Traffic Data'!$H65</f>
        <v>1221021.1774999998</v>
      </c>
      <c r="X513" s="576">
        <f>'Traffic Data'!Z65*annualizationFactor*'Traffic Data'!$H65</f>
        <v>1246248.9737500001</v>
      </c>
      <c r="Y513" s="576">
        <f>'Traffic Data'!AA65*annualizationFactor*'Traffic Data'!$H65</f>
        <v>1271485.43875</v>
      </c>
      <c r="Z513" s="576">
        <f>'Traffic Data'!AB65*annualizationFactor*'Traffic Data'!$H65</f>
        <v>1296713.2350000001</v>
      </c>
      <c r="AA513" s="576">
        <f>'Traffic Data'!AC65*annualizationFactor*'Traffic Data'!$H65</f>
        <v>1321949.7</v>
      </c>
      <c r="AB513" s="576">
        <f>'Traffic Data'!AD65*annualizationFactor*'Traffic Data'!$H65</f>
        <v>1347177.4962500001</v>
      </c>
      <c r="AC513" s="576">
        <f>'Traffic Data'!AE65*annualizationFactor*'Traffic Data'!$H65</f>
        <v>1372405.2925</v>
      </c>
      <c r="AD513" s="576">
        <f>'Traffic Data'!AF65*annualizationFactor*'Traffic Data'!$H65</f>
        <v>1397641.7574999998</v>
      </c>
      <c r="AE513" s="576">
        <f>'Traffic Data'!AG65*annualizationFactor*'Traffic Data'!$H65</f>
        <v>1422869.5537499997</v>
      </c>
      <c r="AF513" s="576">
        <f>'Traffic Data'!AH65*annualizationFactor*'Traffic Data'!$H65</f>
        <v>1448097.35</v>
      </c>
      <c r="AG513" s="714">
        <f>'Traffic Data'!AI65*annualizationFactor*'Traffic Data'!$H65</f>
        <v>1473333.8149999999</v>
      </c>
      <c r="AH513" s="5"/>
      <c r="AI513" s="5"/>
      <c r="AJ513" s="5"/>
      <c r="AK513" s="5"/>
      <c r="AL513" s="5"/>
      <c r="AM513" s="5"/>
      <c r="AN513" s="5"/>
    </row>
    <row r="514" spans="2:40" ht="21.95" customHeight="1" x14ac:dyDescent="0.2">
      <c r="B514" s="704" t="s">
        <v>640</v>
      </c>
      <c r="C514" s="579"/>
      <c r="D514" s="579"/>
      <c r="E514" s="1339"/>
      <c r="F514" s="116" t="s">
        <v>282</v>
      </c>
      <c r="G514" s="116" t="s">
        <v>280</v>
      </c>
      <c r="H514" s="576">
        <f>'Traffic Data'!J66*annualizationFactor*'Traffic Data'!$H66</f>
        <v>17839789.772727273</v>
      </c>
      <c r="I514" s="576">
        <f>'Traffic Data'!K66*annualizationFactor*'Traffic Data'!$H66</f>
        <v>18781466.37954545</v>
      </c>
      <c r="J514" s="576">
        <f>'Traffic Data'!L66*annualizationFactor*'Traffic Data'!$H66</f>
        <v>20195038.462500002</v>
      </c>
      <c r="K514" s="576">
        <f>'Traffic Data'!M66*annualizationFactor*'Traffic Data'!$H66</f>
        <v>22530465.16363636</v>
      </c>
      <c r="L514" s="576">
        <f>'Traffic Data'!N66*annualizationFactor*'Traffic Data'!$H66</f>
        <v>24866949.037500001</v>
      </c>
      <c r="M514" s="576">
        <f>'Traffic Data'!O66*annualizationFactor*'Traffic Data'!$H66</f>
        <v>27203300.764772724</v>
      </c>
      <c r="N514" s="576">
        <f>'Traffic Data'!P66*annualizationFactor*'Traffic Data'!$H66</f>
        <v>29538727.465909094</v>
      </c>
      <c r="O514" s="576">
        <f>'Traffic Data'!Q66*annualizationFactor*'Traffic Data'!$H66</f>
        <v>31876268.512500003</v>
      </c>
      <c r="P514" s="576">
        <f>'Traffic Data'!R66*annualizationFactor*'Traffic Data'!$H66</f>
        <v>34234556.573863633</v>
      </c>
      <c r="Q514" s="576">
        <f>'Traffic Data'!S66*annualizationFactor*'Traffic Data'!$H66</f>
        <v>36593637.514772721</v>
      </c>
      <c r="R514" s="576">
        <f>'Traffic Data'!T66*annualizationFactor*'Traffic Data'!$H66</f>
        <v>38951925.576136358</v>
      </c>
      <c r="S514" s="576">
        <f>'Traffic Data'!U66*annualizationFactor*'Traffic Data'!$H66</f>
        <v>41310213.637500003</v>
      </c>
      <c r="T514" s="576">
        <f>'Traffic Data'!V66*annualizationFactor*'Traffic Data'!$H66</f>
        <v>43670616.044318184</v>
      </c>
      <c r="U514" s="576">
        <f>'Traffic Data'!W66*annualizationFactor*'Traffic Data'!$H66</f>
        <v>45105992.314772733</v>
      </c>
      <c r="V514" s="576">
        <f>'Traffic Data'!X66*annualizationFactor*'Traffic Data'!$H66</f>
        <v>46047668.921590902</v>
      </c>
      <c r="W514" s="576">
        <f>'Traffic Data'!Y66*annualizationFactor*'Traffic Data'!$H66</f>
        <v>46989345.528409094</v>
      </c>
      <c r="X514" s="576">
        <f>'Traffic Data'!Z66*annualizationFactor*'Traffic Data'!$H66</f>
        <v>47931022.135227278</v>
      </c>
      <c r="Y514" s="576">
        <f>'Traffic Data'!AA66*annualizationFactor*'Traffic Data'!$H66</f>
        <v>48873227.328409091</v>
      </c>
      <c r="Z514" s="576">
        <f>'Traffic Data'!AB66*annualizationFactor*'Traffic Data'!$H66</f>
        <v>49814903.935227267</v>
      </c>
      <c r="AA514" s="576">
        <f>'Traffic Data'!AC66*annualizationFactor*'Traffic Data'!$H66</f>
        <v>50757109.128409103</v>
      </c>
      <c r="AB514" s="576">
        <f>'Traffic Data'!AD66*annualizationFactor*'Traffic Data'!$H66</f>
        <v>51698785.735227279</v>
      </c>
      <c r="AC514" s="576">
        <f>'Traffic Data'!AE66*annualizationFactor*'Traffic Data'!$H66</f>
        <v>52640462.342045456</v>
      </c>
      <c r="AD514" s="576">
        <f>'Traffic Data'!AF66*annualizationFactor*'Traffic Data'!$H66</f>
        <v>53582667.535227291</v>
      </c>
      <c r="AE514" s="576">
        <f>'Traffic Data'!AG66*annualizationFactor*'Traffic Data'!$H66</f>
        <v>54524344.142045453</v>
      </c>
      <c r="AF514" s="576">
        <f>'Traffic Data'!AH66*annualizationFactor*'Traffic Data'!$H66</f>
        <v>55466020.748863637</v>
      </c>
      <c r="AG514" s="714">
        <f>'Traffic Data'!AI66*annualizationFactor*'Traffic Data'!$H66</f>
        <v>56408225.942045458</v>
      </c>
      <c r="AH514" s="5"/>
      <c r="AI514" s="5"/>
      <c r="AJ514" s="5"/>
      <c r="AK514" s="5"/>
      <c r="AL514" s="5"/>
      <c r="AM514" s="5"/>
      <c r="AN514" s="5"/>
    </row>
    <row r="515" spans="2:40" ht="21.95" customHeight="1" x14ac:dyDescent="0.2">
      <c r="B515" s="703"/>
      <c r="C515" s="579"/>
      <c r="D515" s="579"/>
      <c r="E515" s="1339"/>
      <c r="F515" s="116" t="s">
        <v>280</v>
      </c>
      <c r="G515" s="116" t="s">
        <v>333</v>
      </c>
      <c r="H515" s="576">
        <f>'Traffic Data'!J67*annualizationFactor*'Traffic Data'!$H67</f>
        <v>416100</v>
      </c>
      <c r="I515" s="576">
        <f>'Traffic Data'!K67*annualizationFactor*'Traffic Data'!$H67</f>
        <v>433475.6424999999</v>
      </c>
      <c r="J515" s="576">
        <f>'Traffic Data'!L67*annualizationFactor*'Traffic Data'!$H67</f>
        <v>454981.0774999999</v>
      </c>
      <c r="K515" s="576">
        <f>'Traffic Data'!M67*annualizationFactor*'Traffic Data'!$H67</f>
        <v>483934.70250000001</v>
      </c>
      <c r="L515" s="576">
        <f>'Traffic Data'!N67*annualizationFactor*'Traffic Data'!$H67</f>
        <v>512898.7300000001</v>
      </c>
      <c r="M515" s="576">
        <f>'Traffic Data'!O67*annualizationFactor*'Traffic Data'!$H67</f>
        <v>541859.29</v>
      </c>
      <c r="N515" s="576">
        <f>'Traffic Data'!P67*annualizationFactor*'Traffic Data'!$H67</f>
        <v>570812.91500000004</v>
      </c>
      <c r="O515" s="576">
        <f>'Traffic Data'!Q67*annualizationFactor*'Traffic Data'!$H67</f>
        <v>599787.3450000002</v>
      </c>
      <c r="P515" s="576">
        <f>'Traffic Data'!R67*annualizationFactor*'Traffic Data'!$H67</f>
        <v>627860.22499999998</v>
      </c>
      <c r="Q515" s="576">
        <f>'Traffic Data'!S67*annualizationFactor*'Traffic Data'!$H67</f>
        <v>655943.50749999983</v>
      </c>
      <c r="R515" s="576">
        <f>'Traffic Data'!T67*annualizationFactor*'Traffic Data'!$H67</f>
        <v>684016.38749999995</v>
      </c>
      <c r="S515" s="576">
        <f>'Traffic Data'!U67*annualizationFactor*'Traffic Data'!$H67</f>
        <v>712089.26749999996</v>
      </c>
      <c r="T515" s="576">
        <f>'Traffic Data'!V67*annualizationFactor*'Traffic Data'!$H67</f>
        <v>740182.95250000013</v>
      </c>
      <c r="U515" s="576">
        <f>'Traffic Data'!W67*annualizationFactor*'Traffic Data'!$H67</f>
        <v>760797.24</v>
      </c>
      <c r="V515" s="576">
        <f>'Traffic Data'!X67*annualizationFactor*'Traffic Data'!$H67</f>
        <v>778172.88250000007</v>
      </c>
      <c r="W515" s="576">
        <f>'Traffic Data'!Y67*annualizationFactor*'Traffic Data'!$H67</f>
        <v>795548.52499999991</v>
      </c>
      <c r="X515" s="576">
        <f>'Traffic Data'!Z67*annualizationFactor*'Traffic Data'!$H67</f>
        <v>812924.16749999998</v>
      </c>
      <c r="Y515" s="576">
        <f>'Traffic Data'!AA67*annualizationFactor*'Traffic Data'!$H67</f>
        <v>830306.745</v>
      </c>
      <c r="Z515" s="576">
        <f>'Traffic Data'!AB67*annualizationFactor*'Traffic Data'!$H67</f>
        <v>847682.38749999995</v>
      </c>
      <c r="AA515" s="576">
        <f>'Traffic Data'!AC67*annualizationFactor*'Traffic Data'!$H67</f>
        <v>865064.96499999997</v>
      </c>
      <c r="AB515" s="576">
        <f>'Traffic Data'!AD67*annualizationFactor*'Traffic Data'!$H67</f>
        <v>882440.60750000016</v>
      </c>
      <c r="AC515" s="576">
        <f>'Traffic Data'!AE67*annualizationFactor*'Traffic Data'!$H67</f>
        <v>899816.24999999988</v>
      </c>
      <c r="AD515" s="576">
        <f>'Traffic Data'!AF67*annualizationFactor*'Traffic Data'!$H67</f>
        <v>917198.82750000001</v>
      </c>
      <c r="AE515" s="576">
        <f>'Traffic Data'!AG67*annualizationFactor*'Traffic Data'!$H67</f>
        <v>934574.47</v>
      </c>
      <c r="AF515" s="576">
        <f>'Traffic Data'!AH67*annualizationFactor*'Traffic Data'!$H67</f>
        <v>951950.11249999981</v>
      </c>
      <c r="AG515" s="714">
        <f>'Traffic Data'!AI67*annualizationFactor*'Traffic Data'!$H67</f>
        <v>969332.69000000006</v>
      </c>
      <c r="AH515" s="5"/>
      <c r="AI515" s="5"/>
      <c r="AJ515" s="5"/>
      <c r="AK515" s="5"/>
      <c r="AL515" s="5"/>
      <c r="AM515" s="5"/>
      <c r="AN515" s="5"/>
    </row>
    <row r="516" spans="2:40" ht="21.95" customHeight="1" x14ac:dyDescent="0.2">
      <c r="B516" s="703"/>
      <c r="C516" s="579"/>
      <c r="D516" s="579"/>
      <c r="E516" s="1340" t="s">
        <v>280</v>
      </c>
      <c r="F516" s="220" t="s">
        <v>281</v>
      </c>
      <c r="G516" s="220" t="s">
        <v>335</v>
      </c>
      <c r="H516" s="576">
        <f>'Traffic Data'!J68*annualizationFactor*'Traffic Data'!$H68</f>
        <v>3781400</v>
      </c>
      <c r="I516" s="576">
        <f>'Traffic Data'!K68*annualizationFactor*'Traffic Data'!$H68</f>
        <v>4163907.517</v>
      </c>
      <c r="J516" s="576">
        <f>'Traffic Data'!L68*annualizationFactor*'Traffic Data'!$H68</f>
        <v>5019090.0339999991</v>
      </c>
      <c r="K516" s="576">
        <f>'Traffic Data'!M68*annualizationFactor*'Traffic Data'!$H68</f>
        <v>6736790.9840000002</v>
      </c>
      <c r="L516" s="576">
        <f>'Traffic Data'!N68*annualizationFactor*'Traffic Data'!$H68</f>
        <v>8455550.7259999979</v>
      </c>
      <c r="M516" s="576">
        <f>'Traffic Data'!O68*annualizationFactor*'Traffic Data'!$H68</f>
        <v>10174121.397999998</v>
      </c>
      <c r="N516" s="576">
        <f>'Traffic Data'!P68*annualizationFactor*'Traffic Data'!$H68</f>
        <v>11891822.347999997</v>
      </c>
      <c r="O516" s="576">
        <f>'Traffic Data'!Q68*annualizationFactor*'Traffic Data'!$H68</f>
        <v>13611640.881999999</v>
      </c>
      <c r="P516" s="576">
        <f>'Traffic Data'!R68*annualizationFactor*'Traffic Data'!$H68</f>
        <v>15299204.073999995</v>
      </c>
      <c r="Q516" s="576">
        <f>'Traffic Data'!S68*annualizationFactor*'Traffic Data'!$H68</f>
        <v>16987618.080999997</v>
      </c>
      <c r="R516" s="576">
        <f>'Traffic Data'!T68*annualizationFactor*'Traffic Data'!$H68</f>
        <v>18675181.272999998</v>
      </c>
      <c r="S516" s="576">
        <f>'Traffic Data'!U68*annualizationFactor*'Traffic Data'!$H68</f>
        <v>20362744.465</v>
      </c>
      <c r="T516" s="576">
        <f>'Traffic Data'!V68*annualizationFactor*'Traffic Data'!$H68</f>
        <v>22052425.241</v>
      </c>
      <c r="U516" s="576">
        <f>'Traffic Data'!W68*annualizationFactor*'Traffic Data'!$H68</f>
        <v>22876411.207999997</v>
      </c>
      <c r="V516" s="576">
        <f>'Traffic Data'!X68*annualizationFactor*'Traffic Data'!$H68</f>
        <v>23258918.724999994</v>
      </c>
      <c r="W516" s="576">
        <f>'Traffic Data'!Y68*annualizationFactor*'Traffic Data'!$H68</f>
        <v>23641426.241999995</v>
      </c>
      <c r="X516" s="576">
        <f>'Traffic Data'!Z68*annualizationFactor*'Traffic Data'!$H68</f>
        <v>24023933.758999996</v>
      </c>
      <c r="Y516" s="576">
        <f>'Traffic Data'!AA68*annualizationFactor*'Traffic Data'!$H68</f>
        <v>24407027.392999995</v>
      </c>
      <c r="Z516" s="576">
        <f>'Traffic Data'!AB68*annualizationFactor*'Traffic Data'!$H68</f>
        <v>24789534.91</v>
      </c>
      <c r="AA516" s="576">
        <f>'Traffic Data'!AC68*annualizationFactor*'Traffic Data'!$H68</f>
        <v>25172628.543999996</v>
      </c>
      <c r="AB516" s="576">
        <f>'Traffic Data'!AD68*annualizationFactor*'Traffic Data'!$H68</f>
        <v>25555136.060999993</v>
      </c>
      <c r="AC516" s="576">
        <f>'Traffic Data'!AE68*annualizationFactor*'Traffic Data'!$H68</f>
        <v>25937643.577999998</v>
      </c>
      <c r="AD516" s="576">
        <f>'Traffic Data'!AF68*annualizationFactor*'Traffic Data'!$H68</f>
        <v>26320737.212000001</v>
      </c>
      <c r="AE516" s="576">
        <f>'Traffic Data'!AG68*annualizationFactor*'Traffic Data'!$H68</f>
        <v>26703244.728999998</v>
      </c>
      <c r="AF516" s="576">
        <f>'Traffic Data'!AH68*annualizationFactor*'Traffic Data'!$H68</f>
        <v>27085752.245999996</v>
      </c>
      <c r="AG516" s="714">
        <f>'Traffic Data'!AI68*annualizationFactor*'Traffic Data'!$H68</f>
        <v>27468845.879999995</v>
      </c>
      <c r="AH516" s="5"/>
      <c r="AI516" s="5"/>
      <c r="AJ516" s="5"/>
      <c r="AK516" s="5"/>
      <c r="AL516" s="5"/>
      <c r="AM516" s="5"/>
      <c r="AN516" s="5"/>
    </row>
    <row r="517" spans="2:40" ht="21.95" customHeight="1" x14ac:dyDescent="0.2">
      <c r="B517" s="703"/>
      <c r="C517" s="579"/>
      <c r="D517" s="579"/>
      <c r="E517" s="1339"/>
      <c r="F517" s="116" t="s">
        <v>335</v>
      </c>
      <c r="G517" s="116" t="s">
        <v>323</v>
      </c>
      <c r="H517" s="576">
        <f>'Traffic Data'!J69*annualizationFactor*'Traffic Data'!$H69</f>
        <v>438000</v>
      </c>
      <c r="I517" s="576">
        <f>'Traffic Data'!K69*annualizationFactor*'Traffic Data'!$H69</f>
        <v>479584.44999999995</v>
      </c>
      <c r="J517" s="576">
        <f>'Traffic Data'!L69*annualizationFactor*'Traffic Data'!$H69</f>
        <v>538575.75</v>
      </c>
      <c r="K517" s="576">
        <f>'Traffic Data'!M69*annualizationFactor*'Traffic Data'!$H69</f>
        <v>634694.85</v>
      </c>
      <c r="L517" s="576">
        <f>'Traffic Data'!N69*annualizationFactor*'Traffic Data'!$H69</f>
        <v>730843.15</v>
      </c>
      <c r="M517" s="576">
        <f>'Traffic Data'!O69*annualizationFactor*'Traffic Data'!$H69</f>
        <v>827000.57500000007</v>
      </c>
      <c r="N517" s="576">
        <f>'Traffic Data'!P69*annualizationFactor*'Traffic Data'!$H69</f>
        <v>923119.67500000005</v>
      </c>
      <c r="O517" s="576">
        <f>'Traffic Data'!Q69*annualizationFactor*'Traffic Data'!$H69</f>
        <v>1019342.8</v>
      </c>
      <c r="P517" s="576">
        <f>'Traffic Data'!R69*annualizationFactor*'Traffic Data'!$H69</f>
        <v>1128817.2499999998</v>
      </c>
      <c r="Q517" s="576">
        <f>'Traffic Data'!S69*annualizationFactor*'Traffic Data'!$H69</f>
        <v>1238342.8000000003</v>
      </c>
      <c r="R517" s="576">
        <f>'Traffic Data'!T69*annualizationFactor*'Traffic Data'!$H69</f>
        <v>1347811.7750000001</v>
      </c>
      <c r="S517" s="576">
        <f>'Traffic Data'!U69*annualizationFactor*'Traffic Data'!$H69</f>
        <v>1457286.2250000001</v>
      </c>
      <c r="T517" s="576">
        <f>'Traffic Data'!V69*annualizationFactor*'Traffic Data'!$H69</f>
        <v>1566861.0499999998</v>
      </c>
      <c r="U517" s="576">
        <f>'Traffic Data'!W69*annualizationFactor*'Traffic Data'!$H69</f>
        <v>1639127.4000000001</v>
      </c>
      <c r="V517" s="576">
        <f>'Traffic Data'!X69*annualizationFactor*'Traffic Data'!$H69</f>
        <v>1680711.8499999999</v>
      </c>
      <c r="W517" s="576">
        <f>'Traffic Data'!Y69*annualizationFactor*'Traffic Data'!$H69</f>
        <v>1722296.2999999996</v>
      </c>
      <c r="X517" s="576">
        <f>'Traffic Data'!Z69*annualizationFactor*'Traffic Data'!$H69</f>
        <v>1763880.7499999998</v>
      </c>
      <c r="Y517" s="576">
        <f>'Traffic Data'!AA69*annualizationFactor*'Traffic Data'!$H69</f>
        <v>1805512.6499999994</v>
      </c>
      <c r="Z517" s="576">
        <f>'Traffic Data'!AB69*annualizationFactor*'Traffic Data'!$H69</f>
        <v>1847097.0999999996</v>
      </c>
      <c r="AA517" s="576">
        <f>'Traffic Data'!AC69*annualizationFactor*'Traffic Data'!$H69</f>
        <v>1888728.9999999998</v>
      </c>
      <c r="AB517" s="576">
        <f>'Traffic Data'!AD69*annualizationFactor*'Traffic Data'!$H69</f>
        <v>1930313.45</v>
      </c>
      <c r="AC517" s="576">
        <f>'Traffic Data'!AE69*annualizationFactor*'Traffic Data'!$H69</f>
        <v>1971897.9</v>
      </c>
      <c r="AD517" s="576">
        <f>'Traffic Data'!AF69*annualizationFactor*'Traffic Data'!$H69</f>
        <v>2013529.7999999998</v>
      </c>
      <c r="AE517" s="576">
        <f>'Traffic Data'!AG69*annualizationFactor*'Traffic Data'!$H69</f>
        <v>2055114.2499999995</v>
      </c>
      <c r="AF517" s="576">
        <f>'Traffic Data'!AH69*annualizationFactor*'Traffic Data'!$H69</f>
        <v>2096698.6999999997</v>
      </c>
      <c r="AG517" s="714">
        <f>'Traffic Data'!AI69*annualizationFactor*'Traffic Data'!$H69</f>
        <v>2138330.5999999996</v>
      </c>
      <c r="AH517" s="5"/>
      <c r="AI517" s="5"/>
      <c r="AJ517" s="5"/>
      <c r="AK517" s="5"/>
      <c r="AL517" s="5"/>
      <c r="AM517" s="5"/>
      <c r="AN517" s="5"/>
    </row>
    <row r="518" spans="2:40" ht="21.95" customHeight="1" x14ac:dyDescent="0.2">
      <c r="B518" s="703"/>
      <c r="C518" s="579"/>
      <c r="D518" s="579"/>
      <c r="E518" s="1353"/>
      <c r="F518" s="254" t="s">
        <v>323</v>
      </c>
      <c r="G518" s="254" t="s">
        <v>338</v>
      </c>
      <c r="H518" s="576">
        <f>'Traffic Data'!J70*annualizationFactor*'Traffic Data'!$H70</f>
        <v>5869200</v>
      </c>
      <c r="I518" s="576">
        <f>'Traffic Data'!K70*annualizationFactor*'Traffic Data'!$H70</f>
        <v>6033557.1639999999</v>
      </c>
      <c r="J518" s="576">
        <f>'Traffic Data'!L70*annualizationFactor*'Traffic Data'!$H70</f>
        <v>6267777.3720000004</v>
      </c>
      <c r="K518" s="576">
        <f>'Traffic Data'!M70*annualizationFactor*'Traffic Data'!$H70</f>
        <v>6596511.2640000014</v>
      </c>
      <c r="L518" s="576">
        <f>'Traffic Data'!N70*annualizationFactor*'Traffic Data'!$H70</f>
        <v>6925382.1039999984</v>
      </c>
      <c r="M518" s="576">
        <f>'Traffic Data'!O70*annualizationFactor*'Traffic Data'!$H70</f>
        <v>7254223.5980000021</v>
      </c>
      <c r="N518" s="576">
        <f>'Traffic Data'!P70*annualizationFactor*'Traffic Data'!$H70</f>
        <v>7582957.4900000021</v>
      </c>
      <c r="O518" s="576">
        <f>'Traffic Data'!Q70*annualizationFactor*'Traffic Data'!$H70</f>
        <v>7911955.4960000012</v>
      </c>
      <c r="P518" s="576">
        <f>'Traffic Data'!R70*annualizationFactor*'Traffic Data'!$H70</f>
        <v>8244073.959999999</v>
      </c>
      <c r="Q518" s="576">
        <f>'Traffic Data'!S70*annualizationFactor*'Traffic Data'!$H70</f>
        <v>8576290.2440000009</v>
      </c>
      <c r="R518" s="576">
        <f>'Traffic Data'!T70*annualizationFactor*'Traffic Data'!$H70</f>
        <v>8908379.3619999997</v>
      </c>
      <c r="S518" s="576">
        <f>'Traffic Data'!U70*annualizationFactor*'Traffic Data'!$H70</f>
        <v>9240497.8260000013</v>
      </c>
      <c r="T518" s="576">
        <f>'Traffic Data'!V70*annualizationFactor*'Traffic Data'!$H70</f>
        <v>9572880.404000001</v>
      </c>
      <c r="U518" s="576">
        <f>'Traffic Data'!W70*annualizationFactor*'Traffic Data'!$H70</f>
        <v>9810328.6720000021</v>
      </c>
      <c r="V518" s="576">
        <f>'Traffic Data'!X70*annualizationFactor*'Traffic Data'!$H70</f>
        <v>9974685.8359999992</v>
      </c>
      <c r="W518" s="576">
        <f>'Traffic Data'!Y70*annualizationFactor*'Traffic Data'!$H70</f>
        <v>10139043</v>
      </c>
      <c r="X518" s="576">
        <f>'Traffic Data'!Z70*annualizationFactor*'Traffic Data'!$H70</f>
        <v>10303400.163999999</v>
      </c>
      <c r="Y518" s="576">
        <f>'Traffic Data'!AA70*annualizationFactor*'Traffic Data'!$H70</f>
        <v>10467835.584000001</v>
      </c>
      <c r="Z518" s="576">
        <f>'Traffic Data'!AB70*annualizationFactor*'Traffic Data'!$H70</f>
        <v>10632192.748000002</v>
      </c>
      <c r="AA518" s="576">
        <f>'Traffic Data'!AC70*annualizationFactor*'Traffic Data'!$H70</f>
        <v>10796628.168000001</v>
      </c>
      <c r="AB518" s="576">
        <f>'Traffic Data'!AD70*annualizationFactor*'Traffic Data'!$H70</f>
        <v>10960985.332</v>
      </c>
      <c r="AC518" s="576">
        <f>'Traffic Data'!AE70*annualizationFactor*'Traffic Data'!$H70</f>
        <v>11125342.496000001</v>
      </c>
      <c r="AD518" s="576">
        <f>'Traffic Data'!AF70*annualizationFactor*'Traffic Data'!$H70</f>
        <v>11289777.915999999</v>
      </c>
      <c r="AE518" s="576">
        <f>'Traffic Data'!AG70*annualizationFactor*'Traffic Data'!$H70</f>
        <v>11454135.079999998</v>
      </c>
      <c r="AF518" s="576">
        <f>'Traffic Data'!AH70*annualizationFactor*'Traffic Data'!$H70</f>
        <v>11618492.244000001</v>
      </c>
      <c r="AG518" s="714">
        <f>'Traffic Data'!AI70*annualizationFactor*'Traffic Data'!$H70</f>
        <v>11782927.664000001</v>
      </c>
      <c r="AH518" s="5"/>
      <c r="AI518" s="5"/>
      <c r="AJ518" s="5"/>
      <c r="AK518" s="5"/>
      <c r="AL518" s="5"/>
      <c r="AM518" s="5"/>
      <c r="AN518" s="5"/>
    </row>
    <row r="519" spans="2:40" ht="21.95" customHeight="1" x14ac:dyDescent="0.2">
      <c r="B519" s="703"/>
      <c r="C519" s="579"/>
      <c r="D519" s="579"/>
      <c r="E519" s="116" t="s">
        <v>339</v>
      </c>
      <c r="F519" s="116" t="s">
        <v>335</v>
      </c>
      <c r="G519" s="116" t="s">
        <v>323</v>
      </c>
      <c r="H519" s="576">
        <f>'Traffic Data'!J71*annualizationFactor*'Traffic Data'!$H71</f>
        <v>17155</v>
      </c>
      <c r="I519" s="576">
        <f>'Traffic Data'!K71*annualizationFactor*'Traffic Data'!$H71</f>
        <v>71253.292499999996</v>
      </c>
      <c r="J519" s="576">
        <f>'Traffic Data'!L71*annualizationFactor*'Traffic Data'!$H71</f>
        <v>635669.94750000001</v>
      </c>
      <c r="K519" s="576">
        <f>'Traffic Data'!M71*annualizationFactor*'Traffic Data'!$H71</f>
        <v>1503515.665</v>
      </c>
      <c r="L519" s="576">
        <f>'Traffic Data'!N71*annualizationFactor*'Traffic Data'!$H71</f>
        <v>2371978.9625000004</v>
      </c>
      <c r="M519" s="576">
        <f>'Traffic Data'!O71*annualizationFactor*'Traffic Data'!$H71</f>
        <v>3240099.1599999997</v>
      </c>
      <c r="N519" s="576">
        <f>'Traffic Data'!P71*annualizationFactor*'Traffic Data'!$H71</f>
        <v>4107944.8774999999</v>
      </c>
      <c r="O519" s="576">
        <f>'Traffic Data'!Q71*annualizationFactor*'Traffic Data'!$H71</f>
        <v>4976982.8675000006</v>
      </c>
      <c r="P519" s="576">
        <f>'Traffic Data'!R71*annualizationFactor*'Traffic Data'!$H71</f>
        <v>5334896.21</v>
      </c>
      <c r="Q519" s="576">
        <f>'Traffic Data'!S71*annualizationFactor*'Traffic Data'!$H71</f>
        <v>5693084.0325000007</v>
      </c>
      <c r="R519" s="576">
        <f>'Traffic Data'!T71*annualizationFactor*'Traffic Data'!$H71</f>
        <v>6051186.080000001</v>
      </c>
      <c r="S519" s="576">
        <f>'Traffic Data'!U71*annualizationFactor*'Traffic Data'!$H71</f>
        <v>6409099.4225000003</v>
      </c>
      <c r="T519" s="576">
        <f>'Traffic Data'!V71*annualizationFactor*'Traffic Data'!$H71</f>
        <v>6767861.9375</v>
      </c>
      <c r="U519" s="576">
        <f>'Traffic Data'!W71*annualizationFactor*'Traffic Data'!$H71</f>
        <v>6821960.2300000014</v>
      </c>
      <c r="V519" s="576">
        <f>'Traffic Data'!X71*annualizationFactor*'Traffic Data'!$H71</f>
        <v>6876058.5225000009</v>
      </c>
      <c r="W519" s="576">
        <f>'Traffic Data'!Y71*annualizationFactor*'Traffic Data'!$H71</f>
        <v>6930156.8150000013</v>
      </c>
      <c r="X519" s="576">
        <f>'Traffic Data'!Z71*annualizationFactor*'Traffic Data'!$H71</f>
        <v>6984255.1074999999</v>
      </c>
      <c r="Y519" s="576">
        <f>'Traffic Data'!AA71*annualizationFactor*'Traffic Data'!$H71</f>
        <v>7038739.3875000011</v>
      </c>
      <c r="Z519" s="576">
        <f>'Traffic Data'!AB71*annualizationFactor*'Traffic Data'!$H71</f>
        <v>7092837.6800000006</v>
      </c>
      <c r="AA519" s="576">
        <f>'Traffic Data'!AC71*annualizationFactor*'Traffic Data'!$H71</f>
        <v>7147107.5225000018</v>
      </c>
      <c r="AB519" s="576">
        <f>'Traffic Data'!AD71*annualizationFactor*'Traffic Data'!$H71</f>
        <v>7201205.8150000013</v>
      </c>
      <c r="AC519" s="576">
        <f>'Traffic Data'!AE71*annualizationFactor*'Traffic Data'!$H71</f>
        <v>7255304.1075000009</v>
      </c>
      <c r="AD519" s="576">
        <f>'Traffic Data'!AF71*annualizationFactor*'Traffic Data'!$H71</f>
        <v>7309788.3875000011</v>
      </c>
      <c r="AE519" s="576">
        <f>'Traffic Data'!AG71*annualizationFactor*'Traffic Data'!$H71</f>
        <v>7363886.6800000006</v>
      </c>
      <c r="AF519" s="576">
        <f>'Traffic Data'!AH71*annualizationFactor*'Traffic Data'!$H71</f>
        <v>7417984.9725000001</v>
      </c>
      <c r="AG519" s="714">
        <f>'Traffic Data'!AI71*annualizationFactor*'Traffic Data'!$H71</f>
        <v>7472254.8150000004</v>
      </c>
      <c r="AH519" s="5"/>
      <c r="AI519" s="5"/>
      <c r="AJ519" s="5"/>
      <c r="AK519" s="5"/>
      <c r="AL519" s="5"/>
      <c r="AM519" s="5"/>
      <c r="AN519" s="5"/>
    </row>
    <row r="520" spans="2:40" ht="21.95" customHeight="1" x14ac:dyDescent="0.2">
      <c r="B520" s="703"/>
      <c r="C520" s="579"/>
      <c r="D520" s="579"/>
      <c r="E520" s="1340" t="s">
        <v>323</v>
      </c>
      <c r="F520" s="220" t="s">
        <v>282</v>
      </c>
      <c r="G520" s="220" t="s">
        <v>339</v>
      </c>
      <c r="H520" s="576">
        <f>'Traffic Data'!J72*annualizationFactor*'Traffic Data'!$H72</f>
        <v>49275</v>
      </c>
      <c r="I520" s="576">
        <f>'Traffic Data'!K72*annualizationFactor*'Traffic Data'!$H72</f>
        <v>109513.68749999999</v>
      </c>
      <c r="J520" s="576">
        <f>'Traffic Data'!L72*annualizationFactor*'Traffic Data'!$H72</f>
        <v>462864.71250000002</v>
      </c>
      <c r="K520" s="576">
        <f>'Traffic Data'!M72*annualizationFactor*'Traffic Data'!$H72</f>
        <v>1040490.9</v>
      </c>
      <c r="L520" s="576">
        <f>'Traffic Data'!N72*annualizationFactor*'Traffic Data'!$H72</f>
        <v>1618437.3750000005</v>
      </c>
      <c r="M520" s="576">
        <f>'Traffic Data'!O72*annualizationFactor*'Traffic Data'!$H72</f>
        <v>2196408.4874999993</v>
      </c>
      <c r="N520" s="576">
        <f>'Traffic Data'!P72*annualizationFactor*'Traffic Data'!$H72</f>
        <v>2774034.6750000003</v>
      </c>
      <c r="O520" s="576">
        <f>'Traffic Data'!Q72*annualizationFactor*'Traffic Data'!$H72</f>
        <v>3352326.0750000002</v>
      </c>
      <c r="P520" s="576">
        <f>'Traffic Data'!R72*annualizationFactor*'Traffic Data'!$H72</f>
        <v>3798264.8250000007</v>
      </c>
      <c r="Q520" s="576">
        <f>'Traffic Data'!S72*annualizationFactor*'Traffic Data'!$H72</f>
        <v>4244277.4875000007</v>
      </c>
      <c r="R520" s="576">
        <f>'Traffic Data'!T72*annualizationFactor*'Traffic Data'!$H72</f>
        <v>4690216.2374999998</v>
      </c>
      <c r="S520" s="576">
        <f>'Traffic Data'!U72*annualizationFactor*'Traffic Data'!$H72</f>
        <v>5136154.9874999998</v>
      </c>
      <c r="T520" s="576">
        <f>'Traffic Data'!V72*annualizationFactor*'Traffic Data'!$H72</f>
        <v>5582685.0375000006</v>
      </c>
      <c r="U520" s="576">
        <f>'Traffic Data'!W72*annualizationFactor*'Traffic Data'!$H72</f>
        <v>5804003.7000000002</v>
      </c>
      <c r="V520" s="576">
        <f>'Traffic Data'!X72*annualizationFactor*'Traffic Data'!$H72</f>
        <v>5864242.3875000002</v>
      </c>
      <c r="W520" s="576">
        <f>'Traffic Data'!Y72*annualizationFactor*'Traffic Data'!$H72</f>
        <v>5924481.0750000002</v>
      </c>
      <c r="X520" s="576">
        <f>'Traffic Data'!Z72*annualizationFactor*'Traffic Data'!$H72</f>
        <v>5984719.7625000002</v>
      </c>
      <c r="Y520" s="576">
        <f>'Traffic Data'!AA72*annualizationFactor*'Traffic Data'!$H72</f>
        <v>6045130.9125000015</v>
      </c>
      <c r="Z520" s="576">
        <f>'Traffic Data'!AB72*annualizationFactor*'Traffic Data'!$H72</f>
        <v>6105369.6000000006</v>
      </c>
      <c r="AA520" s="576">
        <f>'Traffic Data'!AC72*annualizationFactor*'Traffic Data'!$H72</f>
        <v>6165780.7499999991</v>
      </c>
      <c r="AB520" s="576">
        <f>'Traffic Data'!AD72*annualizationFactor*'Traffic Data'!$H72</f>
        <v>6226019.4374999991</v>
      </c>
      <c r="AC520" s="576">
        <f>'Traffic Data'!AE72*annualizationFactor*'Traffic Data'!$H72</f>
        <v>6286258.1249999991</v>
      </c>
      <c r="AD520" s="576">
        <f>'Traffic Data'!AF72*annualizationFactor*'Traffic Data'!$H72</f>
        <v>6346669.2749999994</v>
      </c>
      <c r="AE520" s="576">
        <f>'Traffic Data'!AG72*annualizationFactor*'Traffic Data'!$H72</f>
        <v>6406907.9624999994</v>
      </c>
      <c r="AF520" s="576">
        <f>'Traffic Data'!AH72*annualizationFactor*'Traffic Data'!$H72</f>
        <v>6467146.6499999994</v>
      </c>
      <c r="AG520" s="714">
        <f>'Traffic Data'!AI72*annualizationFactor*'Traffic Data'!$H72</f>
        <v>6527557.8000000007</v>
      </c>
      <c r="AH520" s="5"/>
      <c r="AI520" s="5"/>
      <c r="AJ520" s="5"/>
      <c r="AK520" s="5"/>
      <c r="AL520" s="5"/>
      <c r="AM520" s="5"/>
      <c r="AN520" s="5"/>
    </row>
    <row r="521" spans="2:40" ht="21.95" customHeight="1" x14ac:dyDescent="0.2">
      <c r="B521" s="703"/>
      <c r="C521" s="579"/>
      <c r="D521" s="579"/>
      <c r="E521" s="1339"/>
      <c r="F521" s="116" t="s">
        <v>339</v>
      </c>
      <c r="G521" s="116" t="s">
        <v>288</v>
      </c>
      <c r="H521" s="576">
        <f>'Traffic Data'!J73*annualizationFactor*'Traffic Data'!$H73</f>
        <v>0</v>
      </c>
      <c r="I521" s="576">
        <f>'Traffic Data'!K73*annualizationFactor*'Traffic Data'!$H73</f>
        <v>33215</v>
      </c>
      <c r="J521" s="576">
        <f>'Traffic Data'!L73*annualizationFactor*'Traffic Data'!$H73</f>
        <v>96001.57</v>
      </c>
      <c r="K521" s="576">
        <f>'Traffic Data'!M73*annualizationFactor*'Traffic Data'!$H73</f>
        <v>215805.52000000002</v>
      </c>
      <c r="L521" s="576">
        <f>'Traffic Data'!N73*annualizationFactor*'Traffic Data'!$H73</f>
        <v>335675.90000000008</v>
      </c>
      <c r="M521" s="576">
        <f>'Traffic Data'!O73*annualizationFactor*'Traffic Data'!$H73</f>
        <v>455551.3899999999</v>
      </c>
      <c r="N521" s="576">
        <f>'Traffic Data'!P73*annualizationFactor*'Traffic Data'!$H73</f>
        <v>575355.34000000008</v>
      </c>
      <c r="O521" s="576">
        <f>'Traffic Data'!Q73*annualizationFactor*'Traffic Data'!$H73</f>
        <v>695297.26</v>
      </c>
      <c r="P521" s="576">
        <f>'Traffic Data'!R73*annualizationFactor*'Traffic Data'!$H73</f>
        <v>787788.26000000024</v>
      </c>
      <c r="Q521" s="576">
        <f>'Traffic Data'!S73*annualizationFactor*'Traffic Data'!$H73</f>
        <v>880294.5900000002</v>
      </c>
      <c r="R521" s="576">
        <f>'Traffic Data'!T73*annualizationFactor*'Traffic Data'!$H73</f>
        <v>972785.59</v>
      </c>
      <c r="S521" s="576">
        <f>'Traffic Data'!U73*annualizationFactor*'Traffic Data'!$H73</f>
        <v>1065276.5900000001</v>
      </c>
      <c r="T521" s="576">
        <f>'Traffic Data'!V73*annualizationFactor*'Traffic Data'!$H73</f>
        <v>1157890.2300000002</v>
      </c>
      <c r="U521" s="576">
        <f>'Traffic Data'!W73*annualizationFactor*'Traffic Data'!$H73</f>
        <v>1203793.3600000001</v>
      </c>
      <c r="V521" s="576">
        <f>'Traffic Data'!X73*annualizationFactor*'Traffic Data'!$H73</f>
        <v>1216287.31</v>
      </c>
      <c r="W521" s="576">
        <f>'Traffic Data'!Y73*annualizationFactor*'Traffic Data'!$H73</f>
        <v>1228781.26</v>
      </c>
      <c r="X521" s="576">
        <f>'Traffic Data'!Z73*annualizationFactor*'Traffic Data'!$H73</f>
        <v>1241275.2100000002</v>
      </c>
      <c r="Y521" s="576">
        <f>'Traffic Data'!AA73*annualizationFactor*'Traffic Data'!$H73</f>
        <v>1253804.9300000004</v>
      </c>
      <c r="Z521" s="576">
        <f>'Traffic Data'!AB73*annualizationFactor*'Traffic Data'!$H73</f>
        <v>1266298.8800000001</v>
      </c>
      <c r="AA521" s="576">
        <f>'Traffic Data'!AC73*annualizationFactor*'Traffic Data'!$H73</f>
        <v>1278828.5999999999</v>
      </c>
      <c r="AB521" s="576">
        <f>'Traffic Data'!AD73*annualizationFactor*'Traffic Data'!$H73</f>
        <v>1291322.5499999998</v>
      </c>
      <c r="AC521" s="576">
        <f>'Traffic Data'!AE73*annualizationFactor*'Traffic Data'!$H73</f>
        <v>1303816.4999999998</v>
      </c>
      <c r="AD521" s="576">
        <f>'Traffic Data'!AF73*annualizationFactor*'Traffic Data'!$H73</f>
        <v>1316346.22</v>
      </c>
      <c r="AE521" s="576">
        <f>'Traffic Data'!AG73*annualizationFactor*'Traffic Data'!$H73</f>
        <v>1328840.17</v>
      </c>
      <c r="AF521" s="576">
        <f>'Traffic Data'!AH73*annualizationFactor*'Traffic Data'!$H73</f>
        <v>1341334.1199999999</v>
      </c>
      <c r="AG521" s="714">
        <f>'Traffic Data'!AI73*annualizationFactor*'Traffic Data'!$H73</f>
        <v>1353863.84</v>
      </c>
      <c r="AH521" s="5"/>
      <c r="AI521" s="5"/>
      <c r="AJ521" s="5"/>
      <c r="AK521" s="5"/>
      <c r="AL521" s="5"/>
      <c r="AM521" s="5"/>
      <c r="AN521" s="5"/>
    </row>
    <row r="522" spans="2:40" ht="21.95" customHeight="1" x14ac:dyDescent="0.2">
      <c r="B522" s="703"/>
      <c r="C522" s="579"/>
      <c r="D522" s="579"/>
      <c r="E522" s="1339"/>
      <c r="F522" s="116" t="s">
        <v>288</v>
      </c>
      <c r="G522" s="116" t="s">
        <v>340</v>
      </c>
      <c r="H522" s="576">
        <f>'Traffic Data'!J74*annualizationFactor*'Traffic Data'!$H74</f>
        <v>0</v>
      </c>
      <c r="I522" s="576">
        <f>'Traffic Data'!K74*annualizationFactor*'Traffic Data'!$H74</f>
        <v>86596.25</v>
      </c>
      <c r="J522" s="576">
        <f>'Traffic Data'!L74*annualizationFactor*'Traffic Data'!$H74</f>
        <v>250289.8075</v>
      </c>
      <c r="K522" s="576">
        <f>'Traffic Data'!M74*annualizationFactor*'Traffic Data'!$H74</f>
        <v>562635.81999999995</v>
      </c>
      <c r="L522" s="576">
        <f>'Traffic Data'!N74*annualizationFactor*'Traffic Data'!$H74</f>
        <v>875155.02500000014</v>
      </c>
      <c r="M522" s="576">
        <f>'Traffic Data'!O74*annualizationFactor*'Traffic Data'!$H74</f>
        <v>1187687.5524999995</v>
      </c>
      <c r="N522" s="576">
        <f>'Traffic Data'!P74*annualizationFactor*'Traffic Data'!$H74</f>
        <v>1500033.5649999999</v>
      </c>
      <c r="O522" s="576">
        <f>'Traffic Data'!Q74*annualizationFactor*'Traffic Data'!$H74</f>
        <v>1812739.2849999999</v>
      </c>
      <c r="P522" s="576">
        <f>'Traffic Data'!R74*annualizationFactor*'Traffic Data'!$H74</f>
        <v>2053876.5350000004</v>
      </c>
      <c r="Q522" s="576">
        <f>'Traffic Data'!S74*annualizationFactor*'Traffic Data'!$H74</f>
        <v>2295053.7525000004</v>
      </c>
      <c r="R522" s="576">
        <f>'Traffic Data'!T74*annualizationFactor*'Traffic Data'!$H74</f>
        <v>2536191.0024999995</v>
      </c>
      <c r="S522" s="576">
        <f>'Traffic Data'!U74*annualizationFactor*'Traffic Data'!$H74</f>
        <v>2777328.2524999995</v>
      </c>
      <c r="T522" s="576">
        <f>'Traffic Data'!V74*annualizationFactor*'Traffic Data'!$H74</f>
        <v>3018785.2424999997</v>
      </c>
      <c r="U522" s="576">
        <f>'Traffic Data'!W74*annualizationFactor*'Traffic Data'!$H74</f>
        <v>3138461.26</v>
      </c>
      <c r="V522" s="576">
        <f>'Traffic Data'!X74*annualizationFactor*'Traffic Data'!$H74</f>
        <v>3171034.7725</v>
      </c>
      <c r="W522" s="576">
        <f>'Traffic Data'!Y74*annualizationFactor*'Traffic Data'!$H74</f>
        <v>3203608.2850000001</v>
      </c>
      <c r="X522" s="576">
        <f>'Traffic Data'!Z74*annualizationFactor*'Traffic Data'!$H74</f>
        <v>3236181.7974999999</v>
      </c>
      <c r="Y522" s="576">
        <f>'Traffic Data'!AA74*annualizationFactor*'Traffic Data'!$H74</f>
        <v>3268848.5675000008</v>
      </c>
      <c r="Z522" s="576">
        <f>'Traffic Data'!AB74*annualizationFactor*'Traffic Data'!$H74</f>
        <v>3301422.08</v>
      </c>
      <c r="AA522" s="576">
        <f>'Traffic Data'!AC74*annualizationFactor*'Traffic Data'!$H74</f>
        <v>3334088.8499999992</v>
      </c>
      <c r="AB522" s="576">
        <f>'Traffic Data'!AD74*annualizationFactor*'Traffic Data'!$H74</f>
        <v>3366662.3624999993</v>
      </c>
      <c r="AC522" s="576">
        <f>'Traffic Data'!AE74*annualizationFactor*'Traffic Data'!$H74</f>
        <v>3399235.8749999991</v>
      </c>
      <c r="AD522" s="576">
        <f>'Traffic Data'!AF74*annualizationFactor*'Traffic Data'!$H74</f>
        <v>3431902.6449999991</v>
      </c>
      <c r="AE522" s="576">
        <f>'Traffic Data'!AG74*annualizationFactor*'Traffic Data'!$H74</f>
        <v>3464476.1574999993</v>
      </c>
      <c r="AF522" s="576">
        <f>'Traffic Data'!AH74*annualizationFactor*'Traffic Data'!$H74</f>
        <v>3497049.6699999995</v>
      </c>
      <c r="AG522" s="714">
        <f>'Traffic Data'!AI74*annualizationFactor*'Traffic Data'!$H74</f>
        <v>3529716.44</v>
      </c>
      <c r="AH522" s="5"/>
      <c r="AI522" s="5"/>
      <c r="AJ522" s="5"/>
      <c r="AK522" s="5"/>
      <c r="AL522" s="5"/>
      <c r="AM522" s="5"/>
      <c r="AN522" s="5"/>
    </row>
    <row r="523" spans="2:40" ht="21.95" customHeight="1" x14ac:dyDescent="0.2">
      <c r="B523" s="703"/>
      <c r="C523" s="579"/>
      <c r="D523" s="579"/>
      <c r="E523" s="1353"/>
      <c r="F523" s="254" t="s">
        <v>340</v>
      </c>
      <c r="G523" s="254" t="s">
        <v>280</v>
      </c>
      <c r="H523" s="576">
        <f>'Traffic Data'!J75*annualizationFactor*'Traffic Data'!$H75</f>
        <v>114975</v>
      </c>
      <c r="I523" s="576">
        <f>'Traffic Data'!K75*annualizationFactor*'Traffic Data'!$H75</f>
        <v>169921.55249999999</v>
      </c>
      <c r="J523" s="576">
        <f>'Traffic Data'!L75*annualizationFactor*'Traffic Data'!$H75</f>
        <v>238373.83500000002</v>
      </c>
      <c r="K523" s="576">
        <f>'Traffic Data'!M75*annualizationFactor*'Traffic Data'!$H75</f>
        <v>384943.96500000003</v>
      </c>
      <c r="L523" s="576">
        <f>'Traffic Data'!N75*annualizationFactor*'Traffic Data'!$H75</f>
        <v>531533.25750000007</v>
      </c>
      <c r="M523" s="576">
        <f>'Traffic Data'!O75*annualizationFactor*'Traffic Data'!$H75</f>
        <v>678183.87</v>
      </c>
      <c r="N523" s="576">
        <f>'Traffic Data'!P75*annualizationFactor*'Traffic Data'!$H75</f>
        <v>824754</v>
      </c>
      <c r="O523" s="576">
        <f>'Traffic Data'!Q75*annualizationFactor*'Traffic Data'!$H75</f>
        <v>971247.4800000001</v>
      </c>
      <c r="P523" s="576">
        <f>'Traffic Data'!R75*annualizationFactor*'Traffic Data'!$H75</f>
        <v>1265399.52</v>
      </c>
      <c r="Q523" s="576">
        <f>'Traffic Data'!S75*annualizationFactor*'Traffic Data'!$H75</f>
        <v>1559382.9300000002</v>
      </c>
      <c r="R523" s="576">
        <f>'Traffic Data'!T75*annualizationFactor*'Traffic Data'!$H75</f>
        <v>1853431.4925000002</v>
      </c>
      <c r="S523" s="576">
        <f>'Traffic Data'!U75*annualizationFactor*'Traffic Data'!$H75</f>
        <v>2147583.5325000002</v>
      </c>
      <c r="T523" s="576">
        <f>'Traffic Data'!V75*annualizationFactor*'Traffic Data'!$H75</f>
        <v>2441658.9225000003</v>
      </c>
      <c r="U523" s="576">
        <f>'Traffic Data'!W75*annualizationFactor*'Traffic Data'!$H75</f>
        <v>2657685.4500000002</v>
      </c>
      <c r="V523" s="576">
        <f>'Traffic Data'!X75*annualizationFactor*'Traffic Data'!$H75</f>
        <v>2712632.0025000004</v>
      </c>
      <c r="W523" s="576">
        <f>'Traffic Data'!Y75*annualizationFactor*'Traffic Data'!$H75</f>
        <v>2767578.5550000002</v>
      </c>
      <c r="X523" s="576">
        <f>'Traffic Data'!Z75*annualizationFactor*'Traffic Data'!$H75</f>
        <v>2822525.1074999999</v>
      </c>
      <c r="Y523" s="576">
        <f>'Traffic Data'!AA75*annualizationFactor*'Traffic Data'!$H75</f>
        <v>2877306.8624999998</v>
      </c>
      <c r="Z523" s="576">
        <f>'Traffic Data'!AB75*annualizationFactor*'Traffic Data'!$H75</f>
        <v>2932253.415</v>
      </c>
      <c r="AA523" s="576">
        <f>'Traffic Data'!AC75*annualizationFactor*'Traffic Data'!$H75</f>
        <v>2987035.17</v>
      </c>
      <c r="AB523" s="576">
        <f>'Traffic Data'!AD75*annualizationFactor*'Traffic Data'!$H75</f>
        <v>3041981.7225000001</v>
      </c>
      <c r="AC523" s="576">
        <f>'Traffic Data'!AE75*annualizationFactor*'Traffic Data'!$H75</f>
        <v>3096928.2749999999</v>
      </c>
      <c r="AD523" s="576">
        <f>'Traffic Data'!AF75*annualizationFactor*'Traffic Data'!$H75</f>
        <v>3151710.03</v>
      </c>
      <c r="AE523" s="576">
        <f>'Traffic Data'!AG75*annualizationFactor*'Traffic Data'!$H75</f>
        <v>3206656.5824999996</v>
      </c>
      <c r="AF523" s="576">
        <f>'Traffic Data'!AH75*annualizationFactor*'Traffic Data'!$H75</f>
        <v>3261603.1349999998</v>
      </c>
      <c r="AG523" s="714">
        <f>'Traffic Data'!AI75*annualizationFactor*'Traffic Data'!$H75</f>
        <v>3316384.8899999997</v>
      </c>
      <c r="AH523" s="5"/>
      <c r="AI523" s="5"/>
      <c r="AJ523" s="5"/>
      <c r="AK523" s="5"/>
      <c r="AL523" s="5"/>
      <c r="AM523" s="5"/>
      <c r="AN523" s="5"/>
    </row>
    <row r="524" spans="2:40" ht="21.95" customHeight="1" x14ac:dyDescent="0.2">
      <c r="B524" s="703"/>
      <c r="C524" s="579"/>
      <c r="D524" s="579"/>
      <c r="E524" s="1340" t="s">
        <v>334</v>
      </c>
      <c r="F524" s="116" t="s">
        <v>336</v>
      </c>
      <c r="G524" s="116" t="s">
        <v>337</v>
      </c>
      <c r="H524" s="576">
        <f>'Traffic Data'!J76*annualizationFactor*'Traffic Data'!$H76</f>
        <v>2555000</v>
      </c>
      <c r="I524" s="576">
        <f>'Traffic Data'!K76*annualizationFactor*'Traffic Data'!$H76</f>
        <v>2625773.5</v>
      </c>
      <c r="J524" s="576">
        <f>'Traffic Data'!L76*annualizationFactor*'Traffic Data'!$H76</f>
        <v>2739991.125</v>
      </c>
      <c r="K524" s="576">
        <f>'Traffic Data'!M76*annualizationFactor*'Traffic Data'!$H76</f>
        <v>2903164.375</v>
      </c>
      <c r="L524" s="576">
        <f>'Traffic Data'!N76*annualizationFactor*'Traffic Data'!$H76</f>
        <v>3066410.6250000005</v>
      </c>
      <c r="M524" s="576">
        <f>'Traffic Data'!O76*annualizationFactor*'Traffic Data'!$H76</f>
        <v>3229647.7500000009</v>
      </c>
      <c r="N524" s="576">
        <f>'Traffic Data'!P76*annualizationFactor*'Traffic Data'!$H76</f>
        <v>3392821.0000000014</v>
      </c>
      <c r="O524" s="576">
        <f>'Traffic Data'!Q76*annualizationFactor*'Traffic Data'!$H76</f>
        <v>3556140.25</v>
      </c>
      <c r="P524" s="576">
        <f>'Traffic Data'!R76*annualizationFactor*'Traffic Data'!$H76</f>
        <v>3701510.6249999995</v>
      </c>
      <c r="Q524" s="576">
        <f>'Traffic Data'!S76*annualizationFactor*'Traffic Data'!$H76</f>
        <v>3846926.625</v>
      </c>
      <c r="R524" s="576">
        <f>'Traffic Data'!T76*annualizationFactor*'Traffic Data'!$H76</f>
        <v>3992296.9999999995</v>
      </c>
      <c r="S524" s="576">
        <f>'Traffic Data'!U76*annualizationFactor*'Traffic Data'!$H76</f>
        <v>4137667.3749999995</v>
      </c>
      <c r="T524" s="576">
        <f>'Traffic Data'!V76*annualizationFactor*'Traffic Data'!$H76</f>
        <v>4283183.75</v>
      </c>
      <c r="U524" s="576">
        <f>'Traffic Data'!W76*annualizationFactor*'Traffic Data'!$H76</f>
        <v>4379525.5</v>
      </c>
      <c r="V524" s="576">
        <f>'Traffic Data'!X76*annualizationFactor*'Traffic Data'!$H76</f>
        <v>4450299</v>
      </c>
      <c r="W524" s="576">
        <f>'Traffic Data'!Y76*annualizationFactor*'Traffic Data'!$H76</f>
        <v>4521072.5</v>
      </c>
      <c r="X524" s="576">
        <f>'Traffic Data'!Z76*annualizationFactor*'Traffic Data'!$H76</f>
        <v>4591846</v>
      </c>
      <c r="Y524" s="576">
        <f>'Traffic Data'!AA76*annualizationFactor*'Traffic Data'!$H76</f>
        <v>4662665.125</v>
      </c>
      <c r="Z524" s="576">
        <f>'Traffic Data'!AB76*annualizationFactor*'Traffic Data'!$H76</f>
        <v>4733438.6250000009</v>
      </c>
      <c r="AA524" s="576">
        <f>'Traffic Data'!AC76*annualizationFactor*'Traffic Data'!$H76</f>
        <v>4804257.7499999991</v>
      </c>
      <c r="AB524" s="576">
        <f>'Traffic Data'!AD76*annualizationFactor*'Traffic Data'!$H76</f>
        <v>4875031.2499999991</v>
      </c>
      <c r="AC524" s="576">
        <f>'Traffic Data'!AE76*annualizationFactor*'Traffic Data'!$H76</f>
        <v>4945804.75</v>
      </c>
      <c r="AD524" s="576">
        <f>'Traffic Data'!AF76*annualizationFactor*'Traffic Data'!$H76</f>
        <v>5016623.875</v>
      </c>
      <c r="AE524" s="576">
        <f>'Traffic Data'!AG76*annualizationFactor*'Traffic Data'!$H76</f>
        <v>5087397.3749999991</v>
      </c>
      <c r="AF524" s="576">
        <f>'Traffic Data'!AH76*annualizationFactor*'Traffic Data'!$H76</f>
        <v>5158170.8749999991</v>
      </c>
      <c r="AG524" s="714">
        <f>'Traffic Data'!AI76*annualizationFactor*'Traffic Data'!$H76</f>
        <v>5228989.9999999991</v>
      </c>
      <c r="AH524" s="5"/>
      <c r="AI524" s="5"/>
      <c r="AJ524" s="5"/>
      <c r="AK524" s="5"/>
      <c r="AL524" s="5"/>
      <c r="AM524" s="5"/>
      <c r="AN524" s="5"/>
    </row>
    <row r="525" spans="2:40" ht="21.95" customHeight="1" x14ac:dyDescent="0.2">
      <c r="B525" s="703"/>
      <c r="C525" s="579"/>
      <c r="D525" s="579"/>
      <c r="E525" s="1339"/>
      <c r="F525" s="116" t="s">
        <v>337</v>
      </c>
      <c r="G525" s="116" t="s">
        <v>386</v>
      </c>
      <c r="H525" s="576">
        <f>'Traffic Data'!J77*annualizationFactor*'Traffic Data'!$H77</f>
        <v>4015000</v>
      </c>
      <c r="I525" s="576">
        <f>'Traffic Data'!K77*annualizationFactor*'Traffic Data'!$H77</f>
        <v>4021022.5</v>
      </c>
      <c r="J525" s="576">
        <f>'Traffic Data'!L77*annualizationFactor*'Traffic Data'!$H77</f>
        <v>4027044.9999999995</v>
      </c>
      <c r="K525" s="576">
        <f>'Traffic Data'!M77*annualizationFactor*'Traffic Data'!$H77</f>
        <v>4033067.5</v>
      </c>
      <c r="L525" s="576">
        <f>'Traffic Data'!N77*annualizationFactor*'Traffic Data'!$H77</f>
        <v>4039090</v>
      </c>
      <c r="M525" s="576">
        <f>'Traffic Data'!O77*annualizationFactor*'Traffic Data'!$H77</f>
        <v>4045112.5</v>
      </c>
      <c r="N525" s="576">
        <f>'Traffic Data'!P77*annualizationFactor*'Traffic Data'!$H77</f>
        <v>4051134.9999999995</v>
      </c>
      <c r="O525" s="576">
        <f>'Traffic Data'!Q77*annualizationFactor*'Traffic Data'!$H77</f>
        <v>4057157.5</v>
      </c>
      <c r="P525" s="576">
        <f>'Traffic Data'!R77*annualizationFactor*'Traffic Data'!$H77</f>
        <v>4063180</v>
      </c>
      <c r="Q525" s="576">
        <f>'Traffic Data'!S77*annualizationFactor*'Traffic Data'!$H77</f>
        <v>4063180</v>
      </c>
      <c r="R525" s="576">
        <f>'Traffic Data'!T77*annualizationFactor*'Traffic Data'!$H77</f>
        <v>4063180</v>
      </c>
      <c r="S525" s="576">
        <f>'Traffic Data'!U77*annualizationFactor*'Traffic Data'!$H77</f>
        <v>4063180</v>
      </c>
      <c r="T525" s="576">
        <f>'Traffic Data'!V77*annualizationFactor*'Traffic Data'!$H77</f>
        <v>4063180</v>
      </c>
      <c r="U525" s="576">
        <f>'Traffic Data'!W77*annualizationFactor*'Traffic Data'!$H77</f>
        <v>4063180</v>
      </c>
      <c r="V525" s="576">
        <f>'Traffic Data'!X77*annualizationFactor*'Traffic Data'!$H77</f>
        <v>4089859.4924999997</v>
      </c>
      <c r="W525" s="576">
        <f>'Traffic Data'!Y77*annualizationFactor*'Traffic Data'!$H77</f>
        <v>4153202.5049999994</v>
      </c>
      <c r="X525" s="576">
        <f>'Traffic Data'!Z77*annualizationFactor*'Traffic Data'!$H77</f>
        <v>4216545.5174999991</v>
      </c>
      <c r="Y525" s="576">
        <f>'Traffic Data'!AA77*annualizationFactor*'Traffic Data'!$H77</f>
        <v>4279903.3125</v>
      </c>
      <c r="Z525" s="576">
        <f>'Traffic Data'!AB77*annualizationFactor*'Traffic Data'!$H77</f>
        <v>4343246.3249999993</v>
      </c>
      <c r="AA525" s="576">
        <f>'Traffic Data'!AC77*annualizationFactor*'Traffic Data'!$H77</f>
        <v>4406604.1199999992</v>
      </c>
      <c r="AB525" s="576">
        <f>'Traffic Data'!AD77*annualizationFactor*'Traffic Data'!$H77</f>
        <v>4469947.1324999994</v>
      </c>
      <c r="AC525" s="576">
        <f>'Traffic Data'!AE77*annualizationFactor*'Traffic Data'!$H77</f>
        <v>4533290.1449999996</v>
      </c>
      <c r="AD525" s="576">
        <f>'Traffic Data'!AF77*annualizationFactor*'Traffic Data'!$H77</f>
        <v>4596647.9400000004</v>
      </c>
      <c r="AE525" s="576">
        <f>'Traffic Data'!AG77*annualizationFactor*'Traffic Data'!$H77</f>
        <v>4659990.9524999997</v>
      </c>
      <c r="AF525" s="576">
        <f>'Traffic Data'!AH77*annualizationFactor*'Traffic Data'!$H77</f>
        <v>4723333.9649999999</v>
      </c>
      <c r="AG525" s="714">
        <f>'Traffic Data'!AI77*annualizationFactor*'Traffic Data'!$H77</f>
        <v>4786691.76</v>
      </c>
      <c r="AH525" s="5"/>
      <c r="AI525" s="5"/>
      <c r="AJ525" s="5"/>
      <c r="AK525" s="5"/>
      <c r="AL525" s="5"/>
      <c r="AM525" s="5"/>
      <c r="AN525" s="5"/>
    </row>
    <row r="526" spans="2:40" ht="21.95" customHeight="1" x14ac:dyDescent="0.2">
      <c r="B526" s="703"/>
      <c r="C526" s="579"/>
      <c r="D526" s="579"/>
      <c r="E526" s="1339"/>
      <c r="F526" s="116" t="s">
        <v>342</v>
      </c>
      <c r="G526" s="116" t="s">
        <v>341</v>
      </c>
      <c r="H526" s="576">
        <f>'Traffic Data'!J78*annualizationFactor*'Traffic Data'!$H78</f>
        <v>5219500</v>
      </c>
      <c r="I526" s="576">
        <f>'Traffic Data'!K78*annualizationFactor*'Traffic Data'!$H78</f>
        <v>5227329.25</v>
      </c>
      <c r="J526" s="576">
        <f>'Traffic Data'!L78*annualizationFactor*'Traffic Data'!$H78</f>
        <v>5235158.5</v>
      </c>
      <c r="K526" s="576">
        <f>'Traffic Data'!M78*annualizationFactor*'Traffic Data'!$H78</f>
        <v>5242987.75</v>
      </c>
      <c r="L526" s="576">
        <f>'Traffic Data'!N78*annualizationFactor*'Traffic Data'!$H78</f>
        <v>5250817</v>
      </c>
      <c r="M526" s="576">
        <f>'Traffic Data'!O78*annualizationFactor*'Traffic Data'!$H78</f>
        <v>5258646.25</v>
      </c>
      <c r="N526" s="576">
        <f>'Traffic Data'!P78*annualizationFactor*'Traffic Data'!$H78</f>
        <v>5266475.5</v>
      </c>
      <c r="O526" s="576">
        <f>'Traffic Data'!Q78*annualizationFactor*'Traffic Data'!$H78</f>
        <v>5274304.75</v>
      </c>
      <c r="P526" s="576">
        <f>'Traffic Data'!R78*annualizationFactor*'Traffic Data'!$H78</f>
        <v>5282134</v>
      </c>
      <c r="Q526" s="576">
        <f>'Traffic Data'!S78*annualizationFactor*'Traffic Data'!$H78</f>
        <v>5282134</v>
      </c>
      <c r="R526" s="576">
        <f>'Traffic Data'!T78*annualizationFactor*'Traffic Data'!$H78</f>
        <v>5282134</v>
      </c>
      <c r="S526" s="576">
        <f>'Traffic Data'!U78*annualizationFactor*'Traffic Data'!$H78</f>
        <v>5282134</v>
      </c>
      <c r="T526" s="576">
        <f>'Traffic Data'!V78*annualizationFactor*'Traffic Data'!$H78</f>
        <v>5282134</v>
      </c>
      <c r="U526" s="576">
        <f>'Traffic Data'!W78*annualizationFactor*'Traffic Data'!$H78</f>
        <v>5282134</v>
      </c>
      <c r="V526" s="576">
        <f>'Traffic Data'!X78*annualizationFactor*'Traffic Data'!$H78</f>
        <v>5316817.3402499994</v>
      </c>
      <c r="W526" s="576">
        <f>'Traffic Data'!Y78*annualizationFactor*'Traffic Data'!$H78</f>
        <v>5399163.2564999992</v>
      </c>
      <c r="X526" s="576">
        <f>'Traffic Data'!Z78*annualizationFactor*'Traffic Data'!$H78</f>
        <v>5481509.172749999</v>
      </c>
      <c r="Y526" s="576">
        <f>'Traffic Data'!AA78*annualizationFactor*'Traffic Data'!$H78</f>
        <v>5563874.3062500004</v>
      </c>
      <c r="Z526" s="576">
        <f>'Traffic Data'!AB78*annualizationFactor*'Traffic Data'!$H78</f>
        <v>5646220.2224999992</v>
      </c>
      <c r="AA526" s="576">
        <f>'Traffic Data'!AC78*annualizationFactor*'Traffic Data'!$H78</f>
        <v>5728585.3559999987</v>
      </c>
      <c r="AB526" s="576">
        <f>'Traffic Data'!AD78*annualizationFactor*'Traffic Data'!$H78</f>
        <v>5810931.2722499995</v>
      </c>
      <c r="AC526" s="576">
        <f>'Traffic Data'!AE78*annualizationFactor*'Traffic Data'!$H78</f>
        <v>5893277.1884999992</v>
      </c>
      <c r="AD526" s="576">
        <f>'Traffic Data'!AF78*annualizationFactor*'Traffic Data'!$H78</f>
        <v>5975642.3220000006</v>
      </c>
      <c r="AE526" s="576">
        <f>'Traffic Data'!AG78*annualizationFactor*'Traffic Data'!$H78</f>
        <v>6057988.2382499995</v>
      </c>
      <c r="AF526" s="576">
        <f>'Traffic Data'!AH78*annualizationFactor*'Traffic Data'!$H78</f>
        <v>6140334.1545000002</v>
      </c>
      <c r="AG526" s="714">
        <f>'Traffic Data'!AI78*annualizationFactor*'Traffic Data'!$H78</f>
        <v>6222699.2879999997</v>
      </c>
      <c r="AH526" s="5"/>
      <c r="AI526" s="5"/>
      <c r="AJ526" s="5"/>
      <c r="AK526" s="5"/>
      <c r="AL526" s="5"/>
      <c r="AM526" s="5"/>
      <c r="AN526" s="5"/>
    </row>
    <row r="527" spans="2:40" ht="21.95" customHeight="1" x14ac:dyDescent="0.2">
      <c r="B527" s="703"/>
      <c r="C527" s="579"/>
      <c r="D527" s="579"/>
      <c r="E527" s="1339"/>
      <c r="F527" s="116" t="s">
        <v>341</v>
      </c>
      <c r="G527" s="116" t="s">
        <v>344</v>
      </c>
      <c r="H527" s="576">
        <f>'Traffic Data'!J79*annualizationFactor*'Traffic Data'!$H79</f>
        <v>5788900</v>
      </c>
      <c r="I527" s="576">
        <f>'Traffic Data'!K79*annualizationFactor*'Traffic Data'!$H79</f>
        <v>5797583.3499999996</v>
      </c>
      <c r="J527" s="576">
        <f>'Traffic Data'!L79*annualizationFactor*'Traffic Data'!$H79</f>
        <v>5806266.6999999983</v>
      </c>
      <c r="K527" s="576">
        <f>'Traffic Data'!M79*annualizationFactor*'Traffic Data'!$H79</f>
        <v>5814950.0499999998</v>
      </c>
      <c r="L527" s="576">
        <f>'Traffic Data'!N79*annualizationFactor*'Traffic Data'!$H79</f>
        <v>5823633.3999999994</v>
      </c>
      <c r="M527" s="576">
        <f>'Traffic Data'!O79*annualizationFactor*'Traffic Data'!$H79</f>
        <v>5832316.75</v>
      </c>
      <c r="N527" s="576">
        <f>'Traffic Data'!P79*annualizationFactor*'Traffic Data'!$H79</f>
        <v>5841000.0999999987</v>
      </c>
      <c r="O527" s="576">
        <f>'Traffic Data'!Q79*annualizationFactor*'Traffic Data'!$H79</f>
        <v>5849683.4500000002</v>
      </c>
      <c r="P527" s="576">
        <f>'Traffic Data'!R79*annualizationFactor*'Traffic Data'!$H79</f>
        <v>5858366.7999999998</v>
      </c>
      <c r="Q527" s="576">
        <f>'Traffic Data'!S79*annualizationFactor*'Traffic Data'!$H79</f>
        <v>5858366.7999999998</v>
      </c>
      <c r="R527" s="576">
        <f>'Traffic Data'!T79*annualizationFactor*'Traffic Data'!$H79</f>
        <v>5858366.7999999998</v>
      </c>
      <c r="S527" s="576">
        <f>'Traffic Data'!U79*annualizationFactor*'Traffic Data'!$H79</f>
        <v>5858366.7999999998</v>
      </c>
      <c r="T527" s="576">
        <f>'Traffic Data'!V79*annualizationFactor*'Traffic Data'!$H79</f>
        <v>5858366.7999999998</v>
      </c>
      <c r="U527" s="576">
        <f>'Traffic Data'!W79*annualizationFactor*'Traffic Data'!$H79</f>
        <v>5858366.7999999998</v>
      </c>
      <c r="V527" s="576">
        <f>'Traffic Data'!X79*annualizationFactor*'Traffic Data'!$H79</f>
        <v>5858366.7999999998</v>
      </c>
      <c r="W527" s="576">
        <f>'Traffic Data'!Y79*annualizationFactor*'Traffic Data'!$H79</f>
        <v>5858366.7999999998</v>
      </c>
      <c r="X527" s="576">
        <f>'Traffic Data'!Z79*annualizationFactor*'Traffic Data'!$H79</f>
        <v>5858366.7999999998</v>
      </c>
      <c r="Y527" s="576">
        <f>'Traffic Data'!AA79*annualizationFactor*'Traffic Data'!$H79</f>
        <v>5858366.7999999998</v>
      </c>
      <c r="Z527" s="576">
        <f>'Traffic Data'!AB79*annualizationFactor*'Traffic Data'!$H79</f>
        <v>5934611.7784799999</v>
      </c>
      <c r="AA527" s="576">
        <f>'Traffic Data'!AC79*annualizationFactor*'Traffic Data'!$H79</f>
        <v>6021183.8695680005</v>
      </c>
      <c r="AB527" s="576">
        <f>'Traffic Data'!AD79*annualizationFactor*'Traffic Data'!$H79</f>
        <v>6107735.7618479999</v>
      </c>
      <c r="AC527" s="576">
        <f>'Traffic Data'!AE79*annualizationFactor*'Traffic Data'!$H79</f>
        <v>6194287.6541280001</v>
      </c>
      <c r="AD527" s="576">
        <f>'Traffic Data'!AF79*annualizationFactor*'Traffic Data'!$H79</f>
        <v>6280859.7452159999</v>
      </c>
      <c r="AE527" s="576">
        <f>'Traffic Data'!AG79*annualizationFactor*'Traffic Data'!$H79</f>
        <v>6367411.6374960002</v>
      </c>
      <c r="AF527" s="576">
        <f>'Traffic Data'!AH79*annualizationFactor*'Traffic Data'!$H79</f>
        <v>6453963.5297760004</v>
      </c>
      <c r="AG527" s="714">
        <f>'Traffic Data'!AI79*annualizationFactor*'Traffic Data'!$H79</f>
        <v>6540535.6208640002</v>
      </c>
      <c r="AH527" s="5"/>
      <c r="AI527" s="5"/>
      <c r="AJ527" s="5"/>
      <c r="AK527" s="5"/>
      <c r="AL527" s="5"/>
      <c r="AM527" s="5"/>
      <c r="AN527" s="5"/>
    </row>
    <row r="528" spans="2:40" ht="21.95" customHeight="1" x14ac:dyDescent="0.2">
      <c r="B528" s="703"/>
      <c r="C528" s="579"/>
      <c r="D528" s="579"/>
      <c r="E528" s="1339"/>
      <c r="F528" s="116" t="s">
        <v>344</v>
      </c>
      <c r="G528" s="116" t="s">
        <v>345</v>
      </c>
      <c r="H528" s="576">
        <f>'Traffic Data'!J80*annualizationFactor*'Traffic Data'!$H80</f>
        <v>2372500</v>
      </c>
      <c r="I528" s="576">
        <f>'Traffic Data'!K80*annualizationFactor*'Traffic Data'!$H80</f>
        <v>2376058.75</v>
      </c>
      <c r="J528" s="576">
        <f>'Traffic Data'!L80*annualizationFactor*'Traffic Data'!$H80</f>
        <v>2379617.4999999995</v>
      </c>
      <c r="K528" s="576">
        <f>'Traffic Data'!M80*annualizationFactor*'Traffic Data'!$H80</f>
        <v>2383176.25</v>
      </c>
      <c r="L528" s="576">
        <f>'Traffic Data'!N80*annualizationFactor*'Traffic Data'!$H80</f>
        <v>2386735</v>
      </c>
      <c r="M528" s="576">
        <f>'Traffic Data'!O80*annualizationFactor*'Traffic Data'!$H80</f>
        <v>2390293.75</v>
      </c>
      <c r="N528" s="576">
        <f>'Traffic Data'!P80*annualizationFactor*'Traffic Data'!$H80</f>
        <v>2393852.4999999995</v>
      </c>
      <c r="O528" s="576">
        <f>'Traffic Data'!Q80*annualizationFactor*'Traffic Data'!$H80</f>
        <v>2397411.25</v>
      </c>
      <c r="P528" s="576">
        <f>'Traffic Data'!R80*annualizationFactor*'Traffic Data'!$H80</f>
        <v>2400970</v>
      </c>
      <c r="Q528" s="576">
        <f>'Traffic Data'!S80*annualizationFactor*'Traffic Data'!$H80</f>
        <v>2400970</v>
      </c>
      <c r="R528" s="576">
        <f>'Traffic Data'!T80*annualizationFactor*'Traffic Data'!$H80</f>
        <v>2400970</v>
      </c>
      <c r="S528" s="576">
        <f>'Traffic Data'!U80*annualizationFactor*'Traffic Data'!$H80</f>
        <v>2400970</v>
      </c>
      <c r="T528" s="576">
        <f>'Traffic Data'!V80*annualizationFactor*'Traffic Data'!$H80</f>
        <v>2400970</v>
      </c>
      <c r="U528" s="576">
        <f>'Traffic Data'!W80*annualizationFactor*'Traffic Data'!$H80</f>
        <v>2400970</v>
      </c>
      <c r="V528" s="576">
        <f>'Traffic Data'!X80*annualizationFactor*'Traffic Data'!$H80</f>
        <v>2400970</v>
      </c>
      <c r="W528" s="576">
        <f>'Traffic Data'!Y80*annualizationFactor*'Traffic Data'!$H80</f>
        <v>2400970</v>
      </c>
      <c r="X528" s="576">
        <f>'Traffic Data'!Z80*annualizationFactor*'Traffic Data'!$H80</f>
        <v>2400970</v>
      </c>
      <c r="Y528" s="576">
        <f>'Traffic Data'!AA80*annualizationFactor*'Traffic Data'!$H80</f>
        <v>2400970</v>
      </c>
      <c r="Z528" s="576">
        <f>'Traffic Data'!AB80*annualizationFactor*'Traffic Data'!$H80</f>
        <v>2432217.9419999998</v>
      </c>
      <c r="AA528" s="576">
        <f>'Traffic Data'!AC80*annualizationFactor*'Traffic Data'!$H80</f>
        <v>2467698.3072000002</v>
      </c>
      <c r="AB528" s="576">
        <f>'Traffic Data'!AD80*annualizationFactor*'Traffic Data'!$H80</f>
        <v>2503170.3942</v>
      </c>
      <c r="AC528" s="576">
        <f>'Traffic Data'!AE80*annualizationFactor*'Traffic Data'!$H80</f>
        <v>2538642.4812000003</v>
      </c>
      <c r="AD528" s="576">
        <f>'Traffic Data'!AF80*annualizationFactor*'Traffic Data'!$H80</f>
        <v>2574122.8464000002</v>
      </c>
      <c r="AE528" s="576">
        <f>'Traffic Data'!AG80*annualizationFactor*'Traffic Data'!$H80</f>
        <v>2609594.9334</v>
      </c>
      <c r="AF528" s="576">
        <f>'Traffic Data'!AH80*annualizationFactor*'Traffic Data'!$H80</f>
        <v>2645067.0204000003</v>
      </c>
      <c r="AG528" s="714">
        <f>'Traffic Data'!AI80*annualizationFactor*'Traffic Data'!$H80</f>
        <v>2680547.3856000002</v>
      </c>
      <c r="AH528" s="5"/>
      <c r="AI528" s="5"/>
      <c r="AJ528" s="5"/>
      <c r="AK528" s="5"/>
      <c r="AL528" s="5"/>
      <c r="AM528" s="5"/>
      <c r="AN528" s="5"/>
    </row>
    <row r="529" spans="2:40" ht="21.95" customHeight="1" x14ac:dyDescent="0.2">
      <c r="B529" s="703"/>
      <c r="C529" s="579"/>
      <c r="D529" s="579"/>
      <c r="E529" s="1339"/>
      <c r="F529" s="116" t="s">
        <v>345</v>
      </c>
      <c r="G529" s="116" t="s">
        <v>323</v>
      </c>
      <c r="H529" s="576">
        <f>'Traffic Data'!J81*annualizationFactor*'Traffic Data'!$H81</f>
        <v>28616000</v>
      </c>
      <c r="I529" s="576">
        <f>'Traffic Data'!K81*annualizationFactor*'Traffic Data'!$H81</f>
        <v>29272890.5</v>
      </c>
      <c r="J529" s="576">
        <f>'Traffic Data'!L81*annualizationFactor*'Traffic Data'!$H81</f>
        <v>30233723.799999997</v>
      </c>
      <c r="K529" s="576">
        <f>'Traffic Data'!M81*annualizationFactor*'Traffic Data'!$H81</f>
        <v>31386028.799999997</v>
      </c>
      <c r="L529" s="576">
        <f>'Traffic Data'!N81*annualizationFactor*'Traffic Data'!$H81</f>
        <v>32538640.399999999</v>
      </c>
      <c r="M529" s="576">
        <f>'Traffic Data'!O81*annualizationFactor*'Traffic Data'!$H81</f>
        <v>33691354.20000001</v>
      </c>
      <c r="N529" s="576">
        <f>'Traffic Data'!P81*annualizationFactor*'Traffic Data'!$H81</f>
        <v>34843659.200000003</v>
      </c>
      <c r="O529" s="576">
        <f>'Traffic Data'!Q81*annualizationFactor*'Traffic Data'!$H81</f>
        <v>35996577.400000006</v>
      </c>
      <c r="P529" s="576">
        <f>'Traffic Data'!R81*annualizationFactor*'Traffic Data'!$H81</f>
        <v>36988428.399999991</v>
      </c>
      <c r="Q529" s="576">
        <f>'Traffic Data'!S81*annualizationFactor*'Traffic Data'!$H81</f>
        <v>37980228.299999997</v>
      </c>
      <c r="R529" s="576">
        <f>'Traffic Data'!T81*annualizationFactor*'Traffic Data'!$H81</f>
        <v>38972079.299999997</v>
      </c>
      <c r="S529" s="576">
        <f>'Traffic Data'!U81*annualizationFactor*'Traffic Data'!$H81</f>
        <v>39963930.29999999</v>
      </c>
      <c r="T529" s="576">
        <f>'Traffic Data'!V81*annualizationFactor*'Traffic Data'!$H81</f>
        <v>40956394.499999993</v>
      </c>
      <c r="U529" s="576">
        <f>'Traffic Data'!W81*annualizationFactor*'Traffic Data'!$H81</f>
        <v>41756467.199999996</v>
      </c>
      <c r="V529" s="576">
        <f>'Traffic Data'!X81*annualizationFactor*'Traffic Data'!$H81</f>
        <v>42413357.699999988</v>
      </c>
      <c r="W529" s="576">
        <f>'Traffic Data'!Y81*annualizationFactor*'Traffic Data'!$H81</f>
        <v>43070248.199999988</v>
      </c>
      <c r="X529" s="576">
        <f>'Traffic Data'!Z81*annualizationFactor*'Traffic Data'!$H81</f>
        <v>43727138.699999988</v>
      </c>
      <c r="Y529" s="576">
        <f>'Traffic Data'!AA81*annualizationFactor*'Traffic Data'!$H81</f>
        <v>44384182.499999993</v>
      </c>
      <c r="Z529" s="576">
        <f>'Traffic Data'!AB81*annualizationFactor*'Traffic Data'!$H81</f>
        <v>45041072.999999993</v>
      </c>
      <c r="AA529" s="576">
        <f>'Traffic Data'!AC81*annualizationFactor*'Traffic Data'!$H81</f>
        <v>45698116.79999999</v>
      </c>
      <c r="AB529" s="576">
        <f>'Traffic Data'!AD81*annualizationFactor*'Traffic Data'!$H81</f>
        <v>46355007.29999999</v>
      </c>
      <c r="AC529" s="576">
        <f>'Traffic Data'!AE81*annualizationFactor*'Traffic Data'!$H81</f>
        <v>47011897.79999999</v>
      </c>
      <c r="AD529" s="576">
        <f>'Traffic Data'!AF81*annualizationFactor*'Traffic Data'!$H81</f>
        <v>47668941.599999994</v>
      </c>
      <c r="AE529" s="576">
        <f>'Traffic Data'!AG81*annualizationFactor*'Traffic Data'!$H81</f>
        <v>48325832.099999987</v>
      </c>
      <c r="AF529" s="576">
        <f>'Traffic Data'!AH81*annualizationFactor*'Traffic Data'!$H81</f>
        <v>48982722.599999994</v>
      </c>
      <c r="AG529" s="714">
        <f>'Traffic Data'!AI81*annualizationFactor*'Traffic Data'!$H81</f>
        <v>49639766.399999999</v>
      </c>
      <c r="AH529" s="5"/>
      <c r="AI529" s="5"/>
      <c r="AJ529" s="5"/>
      <c r="AK529" s="5"/>
      <c r="AL529" s="5"/>
      <c r="AM529" s="5"/>
      <c r="AN529" s="5"/>
    </row>
    <row r="530" spans="2:40" ht="21.95" customHeight="1" x14ac:dyDescent="0.2">
      <c r="B530" s="703"/>
      <c r="C530" s="579"/>
      <c r="D530" s="579"/>
      <c r="E530" s="1339"/>
      <c r="F530" s="116" t="s">
        <v>323</v>
      </c>
      <c r="G530" s="116" t="s">
        <v>347</v>
      </c>
      <c r="H530" s="576">
        <f>'Traffic Data'!J82*annualizationFactor*'Traffic Data'!$H82</f>
        <v>5110000</v>
      </c>
      <c r="I530" s="576">
        <f>'Traffic Data'!K82*annualizationFactor*'Traffic Data'!$H82</f>
        <v>5222912.75</v>
      </c>
      <c r="J530" s="576">
        <f>'Traffic Data'!L82*annualizationFactor*'Traffic Data'!$H82</f>
        <v>5390091.875</v>
      </c>
      <c r="K530" s="576">
        <f>'Traffic Data'!M82*annualizationFactor*'Traffic Data'!$H82</f>
        <v>5602257.25</v>
      </c>
      <c r="L530" s="576">
        <f>'Traffic Data'!N82*annualizationFactor*'Traffic Data'!$H82</f>
        <v>5814486.5000000009</v>
      </c>
      <c r="M530" s="576">
        <f>'Traffic Data'!O82*annualizationFactor*'Traffic Data'!$H82</f>
        <v>6026702.9749999996</v>
      </c>
      <c r="N530" s="576">
        <f>'Traffic Data'!P82*annualizationFactor*'Traffic Data'!$H82</f>
        <v>6238868.3499999987</v>
      </c>
      <c r="O530" s="576">
        <f>'Traffic Data'!Q82*annualizationFactor*'Traffic Data'!$H82</f>
        <v>6451148.6999999993</v>
      </c>
      <c r="P530" s="576">
        <f>'Traffic Data'!R82*annualizationFactor*'Traffic Data'!$H82</f>
        <v>6639780.7000000002</v>
      </c>
      <c r="Q530" s="576">
        <f>'Traffic Data'!S82*annualizationFactor*'Traffic Data'!$H82</f>
        <v>6828430.9499999993</v>
      </c>
      <c r="R530" s="576">
        <f>'Traffic Data'!T82*annualizationFactor*'Traffic Data'!$H82</f>
        <v>7017062.9499999993</v>
      </c>
      <c r="S530" s="576">
        <f>'Traffic Data'!U82*annualizationFactor*'Traffic Data'!$H82</f>
        <v>7205694.9500000002</v>
      </c>
      <c r="T530" s="576">
        <f>'Traffic Data'!V82*annualizationFactor*'Traffic Data'!$H82</f>
        <v>7394414.5499999998</v>
      </c>
      <c r="U530" s="576">
        <f>'Traffic Data'!W82*annualizationFactor*'Traffic Data'!$H82</f>
        <v>7538009.1999999993</v>
      </c>
      <c r="V530" s="576">
        <f>'Traffic Data'!X82*annualizationFactor*'Traffic Data'!$H82</f>
        <v>7650921.9500000002</v>
      </c>
      <c r="W530" s="576">
        <f>'Traffic Data'!Y82*annualizationFactor*'Traffic Data'!$H82</f>
        <v>7763834.7000000011</v>
      </c>
      <c r="X530" s="576">
        <f>'Traffic Data'!Z82*annualizationFactor*'Traffic Data'!$H82</f>
        <v>7876747.450000002</v>
      </c>
      <c r="Y530" s="576">
        <f>'Traffic Data'!AA82*annualizationFactor*'Traffic Data'!$H82</f>
        <v>7989678.4500000011</v>
      </c>
      <c r="Z530" s="576">
        <f>'Traffic Data'!AB82*annualizationFactor*'Traffic Data'!$H82</f>
        <v>8102591.1999999993</v>
      </c>
      <c r="AA530" s="576">
        <f>'Traffic Data'!AC82*annualizationFactor*'Traffic Data'!$H82</f>
        <v>8215522.2000000011</v>
      </c>
      <c r="AB530" s="576">
        <f>'Traffic Data'!AD82*annualizationFactor*'Traffic Data'!$H82</f>
        <v>8328434.950000002</v>
      </c>
      <c r="AC530" s="576">
        <f>'Traffic Data'!AE82*annualizationFactor*'Traffic Data'!$H82</f>
        <v>8441347.7000000011</v>
      </c>
      <c r="AD530" s="576">
        <f>'Traffic Data'!AF82*annualizationFactor*'Traffic Data'!$H82</f>
        <v>8554278.7000000011</v>
      </c>
      <c r="AE530" s="576">
        <f>'Traffic Data'!AG82*annualizationFactor*'Traffic Data'!$H82</f>
        <v>8667191.450000003</v>
      </c>
      <c r="AF530" s="576">
        <f>'Traffic Data'!AH82*annualizationFactor*'Traffic Data'!$H82</f>
        <v>8780104.2000000011</v>
      </c>
      <c r="AG530" s="714">
        <f>'Traffic Data'!AI82*annualizationFactor*'Traffic Data'!$H82</f>
        <v>8893035.2000000011</v>
      </c>
      <c r="AH530" s="5"/>
      <c r="AI530" s="5"/>
      <c r="AJ530" s="5"/>
      <c r="AK530" s="5"/>
      <c r="AL530" s="5"/>
      <c r="AM530" s="5"/>
      <c r="AN530" s="5"/>
    </row>
    <row r="531" spans="2:40" ht="21.95" customHeight="1" x14ac:dyDescent="0.2">
      <c r="B531" s="703"/>
      <c r="C531" s="579"/>
      <c r="D531" s="579"/>
      <c r="E531" s="1339"/>
      <c r="F531" s="116" t="s">
        <v>347</v>
      </c>
      <c r="G531" s="116" t="s">
        <v>348</v>
      </c>
      <c r="H531" s="576">
        <f>'Traffic Data'!J83*annualizationFactor*'Traffic Data'!$H83</f>
        <v>3577000</v>
      </c>
      <c r="I531" s="576">
        <f>'Traffic Data'!K83*annualizationFactor*'Traffic Data'!$H83</f>
        <v>3656038.9249999998</v>
      </c>
      <c r="J531" s="576">
        <f>'Traffic Data'!L83*annualizationFactor*'Traffic Data'!$H83</f>
        <v>3773064.3124999995</v>
      </c>
      <c r="K531" s="576">
        <f>'Traffic Data'!M83*annualizationFactor*'Traffic Data'!$H83</f>
        <v>3921580.0749999997</v>
      </c>
      <c r="L531" s="576">
        <f>'Traffic Data'!N83*annualizationFactor*'Traffic Data'!$H83</f>
        <v>4070140.5500000003</v>
      </c>
      <c r="M531" s="576">
        <f>'Traffic Data'!O83*annualizationFactor*'Traffic Data'!$H83</f>
        <v>4218692.0824999996</v>
      </c>
      <c r="N531" s="576">
        <f>'Traffic Data'!P83*annualizationFactor*'Traffic Data'!$H83</f>
        <v>4367207.8449999988</v>
      </c>
      <c r="O531" s="576">
        <f>'Traffic Data'!Q83*annualizationFactor*'Traffic Data'!$H83</f>
        <v>4515804.0899999989</v>
      </c>
      <c r="P531" s="576">
        <f>'Traffic Data'!R83*annualizationFactor*'Traffic Data'!$H83</f>
        <v>4647846.49</v>
      </c>
      <c r="Q531" s="576">
        <f>'Traffic Data'!S83*annualizationFactor*'Traffic Data'!$H83</f>
        <v>4779901.6649999991</v>
      </c>
      <c r="R531" s="576">
        <f>'Traffic Data'!T83*annualizationFactor*'Traffic Data'!$H83</f>
        <v>4911944.0649999995</v>
      </c>
      <c r="S531" s="576">
        <f>'Traffic Data'!U83*annualizationFactor*'Traffic Data'!$H83</f>
        <v>5043986.4649999999</v>
      </c>
      <c r="T531" s="576">
        <f>'Traffic Data'!V83*annualizationFactor*'Traffic Data'!$H83</f>
        <v>5176090.1849999996</v>
      </c>
      <c r="U531" s="576">
        <f>'Traffic Data'!W83*annualizationFactor*'Traffic Data'!$H83</f>
        <v>5276606.4399999995</v>
      </c>
      <c r="V531" s="576">
        <f>'Traffic Data'!X83*annualizationFactor*'Traffic Data'!$H83</f>
        <v>5355645.3650000002</v>
      </c>
      <c r="W531" s="576">
        <f>'Traffic Data'!Y83*annualizationFactor*'Traffic Data'!$H83</f>
        <v>5434684.29</v>
      </c>
      <c r="X531" s="576">
        <f>'Traffic Data'!Z83*annualizationFactor*'Traffic Data'!$H83</f>
        <v>5513723.2150000008</v>
      </c>
      <c r="Y531" s="576">
        <f>'Traffic Data'!AA83*annualizationFactor*'Traffic Data'!$H83</f>
        <v>5592774.915</v>
      </c>
      <c r="Z531" s="576">
        <f>'Traffic Data'!AB83*annualizationFactor*'Traffic Data'!$H83</f>
        <v>5671813.8399999989</v>
      </c>
      <c r="AA531" s="576">
        <f>'Traffic Data'!AC83*annualizationFactor*'Traffic Data'!$H83</f>
        <v>5750865.54</v>
      </c>
      <c r="AB531" s="576">
        <f>'Traffic Data'!AD83*annualizationFactor*'Traffic Data'!$H83</f>
        <v>5829904.4650000008</v>
      </c>
      <c r="AC531" s="576">
        <f>'Traffic Data'!AE83*annualizationFactor*'Traffic Data'!$H83</f>
        <v>5908943.3900000006</v>
      </c>
      <c r="AD531" s="576">
        <f>'Traffic Data'!AF83*annualizationFactor*'Traffic Data'!$H83</f>
        <v>5987995.0900000008</v>
      </c>
      <c r="AE531" s="576">
        <f>'Traffic Data'!AG83*annualizationFactor*'Traffic Data'!$H83</f>
        <v>6067034.0150000015</v>
      </c>
      <c r="AF531" s="576">
        <f>'Traffic Data'!AH83*annualizationFactor*'Traffic Data'!$H83</f>
        <v>6146072.9400000004</v>
      </c>
      <c r="AG531" s="714">
        <f>'Traffic Data'!AI83*annualizationFactor*'Traffic Data'!$H83</f>
        <v>6225124.6400000006</v>
      </c>
      <c r="AH531" s="5"/>
      <c r="AI531" s="5"/>
      <c r="AJ531" s="5"/>
      <c r="AK531" s="5"/>
      <c r="AL531" s="5"/>
      <c r="AM531" s="5"/>
      <c r="AN531" s="5"/>
    </row>
    <row r="532" spans="2:40" ht="21.95" customHeight="1" x14ac:dyDescent="0.2">
      <c r="B532" s="703"/>
      <c r="C532" s="579"/>
      <c r="D532" s="579"/>
      <c r="E532" s="1353"/>
      <c r="F532" s="254" t="s">
        <v>348</v>
      </c>
      <c r="G532" s="254" t="s">
        <v>349</v>
      </c>
      <c r="H532" s="576">
        <f>'Traffic Data'!J84*annualizationFactor*'Traffic Data'!$H84</f>
        <v>5840000</v>
      </c>
      <c r="I532" s="576">
        <f>'Traffic Data'!K84*annualizationFactor*'Traffic Data'!$H84</f>
        <v>5979493.875</v>
      </c>
      <c r="J532" s="576">
        <f>'Traffic Data'!L84*annualizationFactor*'Traffic Data'!$H84</f>
        <v>6173263.25</v>
      </c>
      <c r="K532" s="576">
        <f>'Traffic Data'!M84*annualizationFactor*'Traffic Data'!$H84</f>
        <v>6430606.4999999991</v>
      </c>
      <c r="L532" s="576">
        <f>'Traffic Data'!N84*annualizationFactor*'Traffic Data'!$H84</f>
        <v>6688022.7500000009</v>
      </c>
      <c r="M532" s="576">
        <f>'Traffic Data'!O84*annualizationFactor*'Traffic Data'!$H84</f>
        <v>6945457.2500000009</v>
      </c>
      <c r="N532" s="576">
        <f>'Traffic Data'!P84*annualizationFactor*'Traffic Data'!$H84</f>
        <v>7202800.5</v>
      </c>
      <c r="O532" s="576">
        <f>'Traffic Data'!Q84*annualizationFactor*'Traffic Data'!$H84</f>
        <v>7460289.7500000019</v>
      </c>
      <c r="P532" s="576">
        <f>'Traffic Data'!R84*annualizationFactor*'Traffic Data'!$H84</f>
        <v>7706044.25</v>
      </c>
      <c r="Q532" s="576">
        <f>'Traffic Data'!S84*annualizationFactor*'Traffic Data'!$H84</f>
        <v>7951807.8749999991</v>
      </c>
      <c r="R532" s="576">
        <f>'Traffic Data'!T84*annualizationFactor*'Traffic Data'!$H84</f>
        <v>8197562.3749999991</v>
      </c>
      <c r="S532" s="576">
        <f>'Traffic Data'!U84*annualizationFactor*'Traffic Data'!$H84</f>
        <v>8443316.875</v>
      </c>
      <c r="T532" s="576">
        <f>'Traffic Data'!V84*annualizationFactor*'Traffic Data'!$H84</f>
        <v>8689217.375</v>
      </c>
      <c r="U532" s="576">
        <f>'Traffic Data'!W84*annualizationFactor*'Traffic Data'!$H84</f>
        <v>8871325</v>
      </c>
      <c r="V532" s="576">
        <f>'Traffic Data'!X84*annualizationFactor*'Traffic Data'!$H84</f>
        <v>9010818.875</v>
      </c>
      <c r="W532" s="576">
        <f>'Traffic Data'!Y84*annualizationFactor*'Traffic Data'!$H84</f>
        <v>9150312.75</v>
      </c>
      <c r="X532" s="576">
        <f>'Traffic Data'!Z84*annualizationFactor*'Traffic Data'!$H84</f>
        <v>9289806.625</v>
      </c>
      <c r="Y532" s="576">
        <f>'Traffic Data'!AA84*annualizationFactor*'Traffic Data'!$H84</f>
        <v>9429327.875</v>
      </c>
      <c r="Z532" s="576">
        <f>'Traffic Data'!AB84*annualizationFactor*'Traffic Data'!$H84</f>
        <v>9568821.7499999981</v>
      </c>
      <c r="AA532" s="576">
        <f>'Traffic Data'!AC84*annualizationFactor*'Traffic Data'!$H84</f>
        <v>9708343</v>
      </c>
      <c r="AB532" s="576">
        <f>'Traffic Data'!AD84*annualizationFactor*'Traffic Data'!$H84</f>
        <v>9847836.875</v>
      </c>
      <c r="AC532" s="576">
        <f>'Traffic Data'!AE84*annualizationFactor*'Traffic Data'!$H84</f>
        <v>9987330.75</v>
      </c>
      <c r="AD532" s="576">
        <f>'Traffic Data'!AF84*annualizationFactor*'Traffic Data'!$H84</f>
        <v>10126852</v>
      </c>
      <c r="AE532" s="576">
        <f>'Traffic Data'!AG84*annualizationFactor*'Traffic Data'!$H84</f>
        <v>10266345.875</v>
      </c>
      <c r="AF532" s="576">
        <f>'Traffic Data'!AH84*annualizationFactor*'Traffic Data'!$H84</f>
        <v>10405839.75</v>
      </c>
      <c r="AG532" s="714">
        <f>'Traffic Data'!AI84*annualizationFactor*'Traffic Data'!$H84</f>
        <v>10545361</v>
      </c>
      <c r="AH532" s="5"/>
      <c r="AI532" s="5"/>
      <c r="AJ532" s="5"/>
      <c r="AK532" s="5"/>
      <c r="AL532" s="5"/>
      <c r="AM532" s="5"/>
      <c r="AN532" s="5"/>
    </row>
    <row r="533" spans="2:40" ht="21.95" customHeight="1" x14ac:dyDescent="0.2">
      <c r="B533" s="703"/>
      <c r="C533" s="579"/>
      <c r="D533" s="579"/>
      <c r="E533" s="116" t="s">
        <v>288</v>
      </c>
      <c r="F533" s="116" t="s">
        <v>323</v>
      </c>
      <c r="G533" s="116" t="s">
        <v>348</v>
      </c>
      <c r="H533" s="576">
        <f>'Traffic Data'!J85*annualizationFactor*'Traffic Data'!$H85</f>
        <v>657000</v>
      </c>
      <c r="I533" s="576">
        <f>'Traffic Data'!K85*annualizationFactor*'Traffic Data'!$H85</f>
        <v>697398.20000000007</v>
      </c>
      <c r="J533" s="576">
        <f>'Traffic Data'!L85*annualizationFactor*'Traffic Data'!$H85</f>
        <v>750859.75</v>
      </c>
      <c r="K533" s="576">
        <f>'Traffic Data'!M85*annualizationFactor*'Traffic Data'!$H85</f>
        <v>821906.99999999988</v>
      </c>
      <c r="L533" s="576">
        <f>'Traffic Data'!N85*annualizationFactor*'Traffic Data'!$H85</f>
        <v>892976.14999999991</v>
      </c>
      <c r="M533" s="576">
        <f>'Traffic Data'!O85*annualizationFactor*'Traffic Data'!$H85</f>
        <v>964198.60000000009</v>
      </c>
      <c r="N533" s="576">
        <f>'Traffic Data'!P85*annualizationFactor*'Traffic Data'!$H85</f>
        <v>1035245.8499999999</v>
      </c>
      <c r="O533" s="576">
        <f>'Traffic Data'!Q85*annualizationFactor*'Traffic Data'!$H85</f>
        <v>1106369.7499999998</v>
      </c>
      <c r="P533" s="576">
        <f>'Traffic Data'!R85*annualizationFactor*'Traffic Data'!$H85</f>
        <v>1171222.95</v>
      </c>
      <c r="Q533" s="576">
        <f>'Traffic Data'!S85*annualizationFactor*'Traffic Data'!$H85</f>
        <v>1236021.4000000001</v>
      </c>
      <c r="R533" s="576">
        <f>'Traffic Data'!T85*annualizationFactor*'Traffic Data'!$H85</f>
        <v>1300878.25</v>
      </c>
      <c r="S533" s="576">
        <f>'Traffic Data'!U85*annualizationFactor*'Traffic Data'!$H85</f>
        <v>1365731.45</v>
      </c>
      <c r="T533" s="576">
        <f>'Traffic Data'!V85*annualizationFactor*'Traffic Data'!$H85</f>
        <v>1430814.6</v>
      </c>
      <c r="U533" s="576">
        <f>'Traffic Data'!W85*annualizationFactor*'Traffic Data'!$H85</f>
        <v>1478031</v>
      </c>
      <c r="V533" s="576">
        <f>'Traffic Data'!X85*annualizationFactor*'Traffic Data'!$H85</f>
        <v>1518429.2</v>
      </c>
      <c r="W533" s="576">
        <f>'Traffic Data'!Y85*annualizationFactor*'Traffic Data'!$H85</f>
        <v>1558827.3999999997</v>
      </c>
      <c r="X533" s="576">
        <f>'Traffic Data'!Z85*annualizationFactor*'Traffic Data'!$H85</f>
        <v>1599225.5999999999</v>
      </c>
      <c r="Y533" s="576">
        <f>'Traffic Data'!AA85*annualizationFactor*'Traffic Data'!$H85</f>
        <v>1639667.5999999999</v>
      </c>
      <c r="Z533" s="576">
        <f>'Traffic Data'!AB85*annualizationFactor*'Traffic Data'!$H85</f>
        <v>1680065.7999999996</v>
      </c>
      <c r="AA533" s="576">
        <f>'Traffic Data'!AC85*annualizationFactor*'Traffic Data'!$H85</f>
        <v>1720562.55</v>
      </c>
      <c r="AB533" s="576">
        <f>'Traffic Data'!AD85*annualizationFactor*'Traffic Data'!$H85</f>
        <v>1760960.7499999998</v>
      </c>
      <c r="AC533" s="576">
        <f>'Traffic Data'!AE85*annualizationFactor*'Traffic Data'!$H85</f>
        <v>1801358.95</v>
      </c>
      <c r="AD533" s="576">
        <f>'Traffic Data'!AF85*annualizationFactor*'Traffic Data'!$H85</f>
        <v>1841800.9499999995</v>
      </c>
      <c r="AE533" s="576">
        <f>'Traffic Data'!AG85*annualizationFactor*'Traffic Data'!$H85</f>
        <v>1882199.15</v>
      </c>
      <c r="AF533" s="576">
        <f>'Traffic Data'!AH85*annualizationFactor*'Traffic Data'!$H85</f>
        <v>1922597.3499999999</v>
      </c>
      <c r="AG533" s="714">
        <f>'Traffic Data'!AI85*annualizationFactor*'Traffic Data'!$H85</f>
        <v>1963094.0999999996</v>
      </c>
      <c r="AH533" s="5"/>
      <c r="AI533" s="5"/>
      <c r="AJ533" s="5"/>
      <c r="AK533" s="5"/>
      <c r="AL533" s="5"/>
      <c r="AM533" s="5"/>
      <c r="AN533" s="5"/>
    </row>
    <row r="534" spans="2:40" ht="21.95" customHeight="1" x14ac:dyDescent="0.2">
      <c r="B534" s="703"/>
      <c r="C534" s="579"/>
      <c r="D534" s="579"/>
      <c r="E534" s="277" t="s">
        <v>340</v>
      </c>
      <c r="F534" s="277" t="s">
        <v>335</v>
      </c>
      <c r="G534" s="277" t="s">
        <v>323</v>
      </c>
      <c r="H534" s="576">
        <f>'Traffic Data'!J86*annualizationFactor*'Traffic Data'!$H86</f>
        <v>0</v>
      </c>
      <c r="I534" s="576">
        <f>'Traffic Data'!K86*annualizationFactor*'Traffic Data'!$H86</f>
        <v>1101889.1560000002</v>
      </c>
      <c r="J534" s="576">
        <f>'Traffic Data'!L86*annualizationFactor*'Traffic Data'!$H86</f>
        <v>1186358.405</v>
      </c>
      <c r="K534" s="576">
        <f>'Traffic Data'!M86*annualizationFactor*'Traffic Data'!$H86</f>
        <v>1298613.0599999998</v>
      </c>
      <c r="L534" s="576">
        <f>'Traffic Data'!N86*annualizationFactor*'Traffic Data'!$H86</f>
        <v>1410902.3169999998</v>
      </c>
      <c r="M534" s="576">
        <f>'Traffic Data'!O86*annualizationFactor*'Traffic Data'!$H86</f>
        <v>1523433.7880000002</v>
      </c>
      <c r="N534" s="576">
        <f>'Traffic Data'!P86*annualizationFactor*'Traffic Data'!$H86</f>
        <v>1635688.4429999997</v>
      </c>
      <c r="O534" s="576">
        <f>'Traffic Data'!Q86*annualizationFactor*'Traffic Data'!$H86</f>
        <v>1748064.2049999996</v>
      </c>
      <c r="P534" s="576">
        <f>'Traffic Data'!R86*annualizationFactor*'Traffic Data'!$H86</f>
        <v>1850532.2609999999</v>
      </c>
      <c r="Q534" s="576">
        <f>'Traffic Data'!S86*annualizationFactor*'Traffic Data'!$H86</f>
        <v>1952913.8120000004</v>
      </c>
      <c r="R534" s="576">
        <f>'Traffic Data'!T86*annualizationFactor*'Traffic Data'!$H86</f>
        <v>2055387.635</v>
      </c>
      <c r="S534" s="576">
        <f>'Traffic Data'!U86*annualizationFactor*'Traffic Data'!$H86</f>
        <v>2157855.6910000001</v>
      </c>
      <c r="T534" s="576">
        <f>'Traffic Data'!V86*annualizationFactor*'Traffic Data'!$H86</f>
        <v>2260687.0680000004</v>
      </c>
      <c r="U534" s="576">
        <f>'Traffic Data'!W86*annualizationFactor*'Traffic Data'!$H86</f>
        <v>2335288.98</v>
      </c>
      <c r="V534" s="576">
        <f>'Traffic Data'!X86*annualizationFactor*'Traffic Data'!$H86</f>
        <v>2399118.1359999999</v>
      </c>
      <c r="W534" s="576">
        <f>'Traffic Data'!Y86*annualizationFactor*'Traffic Data'!$H86</f>
        <v>2462947.2919999994</v>
      </c>
      <c r="X534" s="576">
        <f>'Traffic Data'!Z86*annualizationFactor*'Traffic Data'!$H86</f>
        <v>2526776.4479999999</v>
      </c>
      <c r="Y534" s="576">
        <f>'Traffic Data'!AA86*annualizationFactor*'Traffic Data'!$H86</f>
        <v>2590674.8079999997</v>
      </c>
      <c r="Z534" s="576">
        <f>'Traffic Data'!AB86*annualizationFactor*'Traffic Data'!$H86</f>
        <v>2654503.9639999997</v>
      </c>
      <c r="AA534" s="576">
        <f>'Traffic Data'!AC86*annualizationFactor*'Traffic Data'!$H86</f>
        <v>2718488.8290000004</v>
      </c>
      <c r="AB534" s="576">
        <f>'Traffic Data'!AD86*annualizationFactor*'Traffic Data'!$H86</f>
        <v>2782317.9849999999</v>
      </c>
      <c r="AC534" s="576">
        <f>'Traffic Data'!AE86*annualizationFactor*'Traffic Data'!$H86</f>
        <v>2846147.1409999998</v>
      </c>
      <c r="AD534" s="576">
        <f>'Traffic Data'!AF86*annualizationFactor*'Traffic Data'!$H86</f>
        <v>2910045.5009999992</v>
      </c>
      <c r="AE534" s="576">
        <f>'Traffic Data'!AG86*annualizationFactor*'Traffic Data'!$H86</f>
        <v>2973874.6570000001</v>
      </c>
      <c r="AF534" s="576">
        <f>'Traffic Data'!AH86*annualizationFactor*'Traffic Data'!$H86</f>
        <v>3037703.8130000001</v>
      </c>
      <c r="AG534" s="714">
        <f>'Traffic Data'!AI86*annualizationFactor*'Traffic Data'!$H86</f>
        <v>3101688.6779999994</v>
      </c>
      <c r="AH534" s="5"/>
      <c r="AI534" s="5"/>
      <c r="AJ534" s="5"/>
      <c r="AK534" s="5"/>
      <c r="AL534" s="5"/>
      <c r="AM534" s="5"/>
      <c r="AN534" s="5"/>
    </row>
    <row r="535" spans="2:40" ht="21.95" customHeight="1" x14ac:dyDescent="0.2">
      <c r="B535" s="703"/>
      <c r="C535" s="579"/>
      <c r="D535" s="579"/>
      <c r="E535" s="277" t="s">
        <v>357</v>
      </c>
      <c r="F535" s="277" t="s">
        <v>338</v>
      </c>
      <c r="G535" s="277" t="s">
        <v>323</v>
      </c>
      <c r="H535" s="576">
        <f>'Traffic Data'!J87*annualizationFactor*'Traffic Data'!$H87</f>
        <v>1218436.3636363635</v>
      </c>
      <c r="I535" s="576">
        <f>'Traffic Data'!K87*annualizationFactor*'Traffic Data'!$H87</f>
        <v>1235166.1718181816</v>
      </c>
      <c r="J535" s="576">
        <f>'Traffic Data'!L87*annualizationFactor*'Traffic Data'!$H87</f>
        <v>1264083.7281818183</v>
      </c>
      <c r="K535" s="576">
        <f>'Traffic Data'!M87*annualizationFactor*'Traffic Data'!$H87</f>
        <v>1303784.4463636365</v>
      </c>
      <c r="L535" s="576">
        <f>'Traffic Data'!N87*annualizationFactor*'Traffic Data'!$H87</f>
        <v>1343502.0872727274</v>
      </c>
      <c r="M535" s="576">
        <f>'Traffic Data'!O87*annualizationFactor*'Traffic Data'!$H87</f>
        <v>1383277.2654545454</v>
      </c>
      <c r="N535" s="576">
        <f>'Traffic Data'!P87*annualizationFactor*'Traffic Data'!$H87</f>
        <v>1422977.9836363636</v>
      </c>
      <c r="O535" s="576">
        <f>'Traffic Data'!Q87*annualizationFactor*'Traffic Data'!$H87</f>
        <v>1462817.4681818183</v>
      </c>
      <c r="P535" s="576">
        <f>'Traffic Data'!R87*annualizationFactor*'Traffic Data'!$H87</f>
        <v>1490445.5127272729</v>
      </c>
      <c r="Q535" s="576">
        <f>'Traffic Data'!S87*annualizationFactor*'Traffic Data'!$H87</f>
        <v>1518076.9418181817</v>
      </c>
      <c r="R535" s="576">
        <f>'Traffic Data'!T87*annualizationFactor*'Traffic Data'!$H87</f>
        <v>1545711.7554545454</v>
      </c>
      <c r="S535" s="576">
        <f>'Traffic Data'!U87*annualizationFactor*'Traffic Data'!$H87</f>
        <v>1573339.8000000003</v>
      </c>
      <c r="T535" s="576">
        <f>'Traffic Data'!V87*annualizationFactor*'Traffic Data'!$H87</f>
        <v>1601164.148181818</v>
      </c>
      <c r="U535" s="576">
        <f>'Traffic Data'!W87*annualizationFactor*'Traffic Data'!$H87</f>
        <v>1617893.9563636363</v>
      </c>
      <c r="V535" s="576">
        <f>'Traffic Data'!X87*annualizationFactor*'Traffic Data'!$H87</f>
        <v>1634623.7645454542</v>
      </c>
      <c r="W535" s="576">
        <f>'Traffic Data'!Y87*annualizationFactor*'Traffic Data'!$H87</f>
        <v>1651353.572727273</v>
      </c>
      <c r="X535" s="576">
        <f>'Traffic Data'!Z87*annualizationFactor*'Traffic Data'!$H87</f>
        <v>1668083.3809090904</v>
      </c>
      <c r="Y535" s="576">
        <f>'Traffic Data'!AA87*annualizationFactor*'Traffic Data'!$H87</f>
        <v>1684928.2636363637</v>
      </c>
      <c r="Z535" s="576">
        <f>'Traffic Data'!AB87*annualizationFactor*'Traffic Data'!$H87</f>
        <v>1701658.0718181818</v>
      </c>
      <c r="AA535" s="576">
        <f>'Traffic Data'!AC87*annualizationFactor*'Traffic Data'!$H87</f>
        <v>1718452.1863636365</v>
      </c>
      <c r="AB535" s="576">
        <f>'Traffic Data'!AD87*annualizationFactor*'Traffic Data'!$H87</f>
        <v>1735181.9945454544</v>
      </c>
      <c r="AC535" s="576">
        <f>'Traffic Data'!AE87*annualizationFactor*'Traffic Data'!$H87</f>
        <v>1751911.802727273</v>
      </c>
      <c r="AD535" s="576">
        <f>'Traffic Data'!AF87*annualizationFactor*'Traffic Data'!$H87</f>
        <v>1768756.6854545455</v>
      </c>
      <c r="AE535" s="576">
        <f>'Traffic Data'!AG87*annualizationFactor*'Traffic Data'!$H87</f>
        <v>1785486.4936363639</v>
      </c>
      <c r="AF535" s="576">
        <f>'Traffic Data'!AH87*annualizationFactor*'Traffic Data'!$H87</f>
        <v>1802216.3018181818</v>
      </c>
      <c r="AG535" s="714">
        <f>'Traffic Data'!AI87*annualizationFactor*'Traffic Data'!$H87</f>
        <v>1819010.4163636363</v>
      </c>
      <c r="AH535" s="5"/>
      <c r="AI535" s="5"/>
      <c r="AJ535" s="5"/>
      <c r="AK535" s="5"/>
      <c r="AL535" s="5"/>
      <c r="AM535" s="5"/>
      <c r="AN535" s="5"/>
    </row>
    <row r="536" spans="2:40" ht="21.95" customHeight="1" x14ac:dyDescent="0.2">
      <c r="B536" s="703"/>
      <c r="C536" s="579"/>
      <c r="D536" s="579"/>
      <c r="E536" s="116" t="s">
        <v>338</v>
      </c>
      <c r="F536" s="116" t="s">
        <v>282</v>
      </c>
      <c r="G536" s="116" t="s">
        <v>357</v>
      </c>
      <c r="H536" s="576">
        <f>'Traffic Data'!J88*annualizationFactor*'Traffic Data'!$H88</f>
        <v>4375852.2727272734</v>
      </c>
      <c r="I536" s="576">
        <f>'Traffic Data'!K88*annualizationFactor*'Traffic Data'!$H88</f>
        <v>4501994.9661931833</v>
      </c>
      <c r="J536" s="576">
        <f>'Traffic Data'!L88*annualizationFactor*'Traffic Data'!$H88</f>
        <v>4638530.3088068189</v>
      </c>
      <c r="K536" s="576">
        <f>'Traffic Data'!M88*annualizationFactor*'Traffic Data'!$H88</f>
        <v>4819668.7136363639</v>
      </c>
      <c r="L536" s="576">
        <f>'Traffic Data'!N88*annualizationFactor*'Traffic Data'!$H88</f>
        <v>5000837.7494318178</v>
      </c>
      <c r="M536" s="576">
        <f>'Traffic Data'!O88*annualizationFactor*'Traffic Data'!$H88</f>
        <v>5182081.1747159092</v>
      </c>
      <c r="N536" s="576">
        <f>'Traffic Data'!P88*annualizationFactor*'Traffic Data'!$H88</f>
        <v>5363219.579545456</v>
      </c>
      <c r="O536" s="576">
        <f>'Traffic Data'!Q88*annualizationFactor*'Traffic Data'!$H88</f>
        <v>5544406.1187500013</v>
      </c>
      <c r="P536" s="576">
        <f>'Traffic Data'!R88*annualizationFactor*'Traffic Data'!$H88</f>
        <v>5743778.7000000011</v>
      </c>
      <c r="Q536" s="576">
        <f>'Traffic Data'!S88*annualizationFactor*'Traffic Data'!$H88</f>
        <v>5943085.6434659092</v>
      </c>
      <c r="R536" s="576">
        <f>'Traffic Data'!T88*annualizationFactor*'Traffic Data'!$H88</f>
        <v>6142458.224715909</v>
      </c>
      <c r="S536" s="576">
        <f>'Traffic Data'!U88*annualizationFactor*'Traffic Data'!$H88</f>
        <v>6341830.8059659088</v>
      </c>
      <c r="T536" s="576">
        <f>'Traffic Data'!V88*annualizationFactor*'Traffic Data'!$H88</f>
        <v>6541317.1593750017</v>
      </c>
      <c r="U536" s="576">
        <f>'Traffic Data'!W88*annualizationFactor*'Traffic Data'!$H88</f>
        <v>6696069.1750000007</v>
      </c>
      <c r="V536" s="576">
        <f>'Traffic Data'!X88*annualizationFactor*'Traffic Data'!$H88</f>
        <v>6822211.8684659088</v>
      </c>
      <c r="W536" s="576">
        <f>'Traffic Data'!Y88*annualizationFactor*'Traffic Data'!$H88</f>
        <v>6948354.5619318197</v>
      </c>
      <c r="X536" s="576">
        <f>'Traffic Data'!Z88*annualizationFactor*'Traffic Data'!$H88</f>
        <v>7074497.2553977277</v>
      </c>
      <c r="Y536" s="576">
        <f>'Traffic Data'!AA88*annualizationFactor*'Traffic Data'!$H88</f>
        <v>7200626.8213068182</v>
      </c>
      <c r="Z536" s="576">
        <f>'Traffic Data'!AB88*annualizationFactor*'Traffic Data'!$H88</f>
        <v>7326769.5147727262</v>
      </c>
      <c r="AA536" s="576">
        <f>'Traffic Data'!AC88*annualizationFactor*'Traffic Data'!$H88</f>
        <v>7452899.0806818157</v>
      </c>
      <c r="AB536" s="576">
        <f>'Traffic Data'!AD88*annualizationFactor*'Traffic Data'!$H88</f>
        <v>7579041.7741477294</v>
      </c>
      <c r="AC536" s="576">
        <f>'Traffic Data'!AE88*annualizationFactor*'Traffic Data'!$H88</f>
        <v>7705184.4676136374</v>
      </c>
      <c r="AD536" s="576">
        <f>'Traffic Data'!AF88*annualizationFactor*'Traffic Data'!$H88</f>
        <v>7831314.0335227288</v>
      </c>
      <c r="AE536" s="576">
        <f>'Traffic Data'!AG88*annualizationFactor*'Traffic Data'!$H88</f>
        <v>7957456.7269886369</v>
      </c>
      <c r="AF536" s="576">
        <f>'Traffic Data'!AH88*annualizationFactor*'Traffic Data'!$H88</f>
        <v>8083599.4204545459</v>
      </c>
      <c r="AG536" s="714">
        <f>'Traffic Data'!AI88*annualizationFactor*'Traffic Data'!$H88</f>
        <v>8209728.9863636373</v>
      </c>
      <c r="AH536" s="5"/>
      <c r="AI536" s="5"/>
      <c r="AJ536" s="5"/>
      <c r="AK536" s="5"/>
      <c r="AL536" s="5"/>
      <c r="AM536" s="5"/>
      <c r="AN536" s="5"/>
    </row>
    <row r="537" spans="2:40" ht="21.95" customHeight="1" x14ac:dyDescent="0.2">
      <c r="B537" s="703"/>
      <c r="C537" s="579"/>
      <c r="D537" s="579"/>
      <c r="E537" s="116"/>
      <c r="F537" s="116" t="s">
        <v>357</v>
      </c>
      <c r="G537" s="116" t="s">
        <v>346</v>
      </c>
      <c r="H537" s="576">
        <f>'Traffic Data'!J89*annualizationFactor*'Traffic Data'!$H89</f>
        <v>637284.46969696973</v>
      </c>
      <c r="I537" s="576">
        <f>'Traffic Data'!K89*annualizationFactor*'Traffic Data'!$H89</f>
        <v>655371.60918560601</v>
      </c>
      <c r="J537" s="576">
        <f>'Traffic Data'!L89*annualizationFactor*'Traffic Data'!$H89</f>
        <v>675443.55438446964</v>
      </c>
      <c r="K537" s="576">
        <f>'Traffic Data'!M89*annualizationFactor*'Traffic Data'!$H89</f>
        <v>703616.55913825752</v>
      </c>
      <c r="L537" s="576">
        <f>'Traffic Data'!N89*annualizationFactor*'Traffic Data'!$H89</f>
        <v>731794.59508522728</v>
      </c>
      <c r="M537" s="576">
        <f>'Traffic Data'!O89*annualizationFactor*'Traffic Data'!$H89</f>
        <v>759978.50075757562</v>
      </c>
      <c r="N537" s="576">
        <f>'Traffic Data'!P89*annualizationFactor*'Traffic Data'!$H89</f>
        <v>788151.50551136374</v>
      </c>
      <c r="O537" s="576">
        <f>'Traffic Data'!Q89*annualizationFactor*'Traffic Data'!$H89</f>
        <v>816326.1873295455</v>
      </c>
      <c r="P537" s="576">
        <f>'Traffic Data'!R89*annualizationFactor*'Traffic Data'!$H89</f>
        <v>847993.35574810626</v>
      </c>
      <c r="Q537" s="576">
        <f>'Traffic Data'!S89*annualizationFactor*'Traffic Data'!$H89</f>
        <v>879649.62324810599</v>
      </c>
      <c r="R537" s="576">
        <f>'Traffic Data'!T89*annualizationFactor*'Traffic Data'!$H89</f>
        <v>911316.79166666651</v>
      </c>
      <c r="S537" s="576">
        <f>'Traffic Data'!U89*annualizationFactor*'Traffic Data'!$H89</f>
        <v>942983.96008522704</v>
      </c>
      <c r="T537" s="576">
        <f>'Traffic Data'!V89*annualizationFactor*'Traffic Data'!$H89</f>
        <v>974656.15969696979</v>
      </c>
      <c r="U537" s="576">
        <f>'Traffic Data'!W89*annualizationFactor*'Traffic Data'!$H89</f>
        <v>998225.62268939381</v>
      </c>
      <c r="V537" s="576">
        <f>'Traffic Data'!X89*annualizationFactor*'Traffic Data'!$H89</f>
        <v>1016312.7621780302</v>
      </c>
      <c r="W537" s="576">
        <f>'Traffic Data'!Y89*annualizationFactor*'Traffic Data'!$H89</f>
        <v>1034399.9016666666</v>
      </c>
      <c r="X537" s="576">
        <f>'Traffic Data'!Z89*annualizationFactor*'Traffic Data'!$H89</f>
        <v>1052487.0411553029</v>
      </c>
      <c r="Y537" s="576">
        <f>'Traffic Data'!AA89*annualizationFactor*'Traffic Data'!$H89</f>
        <v>1070564.9567897725</v>
      </c>
      <c r="Z537" s="576">
        <f>'Traffic Data'!AB89*annualizationFactor*'Traffic Data'!$H89</f>
        <v>1088652.096278409</v>
      </c>
      <c r="AA537" s="576">
        <f>'Traffic Data'!AC89*annualizationFactor*'Traffic Data'!$H89</f>
        <v>1106730.0119128788</v>
      </c>
      <c r="AB537" s="576">
        <f>'Traffic Data'!AD89*annualizationFactor*'Traffic Data'!$H89</f>
        <v>1124817.1514015151</v>
      </c>
      <c r="AC537" s="576">
        <f>'Traffic Data'!AE89*annualizationFactor*'Traffic Data'!$H89</f>
        <v>1142904.2908901514</v>
      </c>
      <c r="AD537" s="576">
        <f>'Traffic Data'!AF89*annualizationFactor*'Traffic Data'!$H89</f>
        <v>1160982.206524621</v>
      </c>
      <c r="AE537" s="576">
        <f>'Traffic Data'!AG89*annualizationFactor*'Traffic Data'!$H89</f>
        <v>1179069.3460132575</v>
      </c>
      <c r="AF537" s="576">
        <f>'Traffic Data'!AH89*annualizationFactor*'Traffic Data'!$H89</f>
        <v>1197156.4855018938</v>
      </c>
      <c r="AG537" s="714">
        <f>'Traffic Data'!AI89*annualizationFactor*'Traffic Data'!$H89</f>
        <v>1215234.4011363634</v>
      </c>
      <c r="AH537" s="5"/>
      <c r="AI537" s="5"/>
      <c r="AJ537" s="5"/>
      <c r="AK537" s="5"/>
      <c r="AL537" s="5"/>
      <c r="AM537" s="5"/>
      <c r="AN537" s="5"/>
    </row>
    <row r="538" spans="2:40" ht="21.95" customHeight="1" x14ac:dyDescent="0.2">
      <c r="B538" s="703"/>
      <c r="C538" s="579"/>
      <c r="D538" s="579"/>
      <c r="E538" s="116"/>
      <c r="F538" s="116" t="s">
        <v>346</v>
      </c>
      <c r="G538" s="116" t="s">
        <v>343</v>
      </c>
      <c r="H538" s="576">
        <f>'Traffic Data'!J90*annualizationFactor*'Traffic Data'!$H90</f>
        <v>157613.63636363635</v>
      </c>
      <c r="I538" s="576">
        <f>'Traffic Data'!K90*annualizationFactor*'Traffic Data'!$H90</f>
        <v>162086.96022727274</v>
      </c>
      <c r="J538" s="576">
        <f>'Traffic Data'!L90*annualizationFactor*'Traffic Data'!$H90</f>
        <v>167051.16761363635</v>
      </c>
      <c r="K538" s="576">
        <f>'Traffic Data'!M90*annualizationFactor*'Traffic Data'!$H90</f>
        <v>174018.93465909088</v>
      </c>
      <c r="L538" s="576">
        <f>'Traffic Data'!N90*annualizationFactor*'Traffic Data'!$H90</f>
        <v>180987.94602272726</v>
      </c>
      <c r="M538" s="576">
        <f>'Traffic Data'!O90*annualizationFactor*'Traffic Data'!$H90</f>
        <v>187958.40909090906</v>
      </c>
      <c r="N538" s="576">
        <f>'Traffic Data'!P90*annualizationFactor*'Traffic Data'!$H90</f>
        <v>194926.17613636365</v>
      </c>
      <c r="O538" s="576">
        <f>'Traffic Data'!Q90*annualizationFactor*'Traffic Data'!$H90</f>
        <v>201894.35795454547</v>
      </c>
      <c r="P538" s="576">
        <f>'Traffic Data'!R90*annualizationFactor*'Traffic Data'!$H90</f>
        <v>209726.30397727276</v>
      </c>
      <c r="Q538" s="576">
        <f>'Traffic Data'!S90*annualizationFactor*'Traffic Data'!$H90</f>
        <v>217555.55397727271</v>
      </c>
      <c r="R538" s="576">
        <f>'Traffic Data'!T90*annualizationFactor*'Traffic Data'!$H90</f>
        <v>225387.49999999997</v>
      </c>
      <c r="S538" s="576">
        <f>'Traffic Data'!U90*annualizationFactor*'Traffic Data'!$H90</f>
        <v>233219.44602272721</v>
      </c>
      <c r="T538" s="576">
        <f>'Traffic Data'!V90*annualizationFactor*'Traffic Data'!$H90</f>
        <v>241052.63636363638</v>
      </c>
      <c r="U538" s="576">
        <f>'Traffic Data'!W90*annualizationFactor*'Traffic Data'!$H90</f>
        <v>246881.85227272724</v>
      </c>
      <c r="V538" s="576">
        <f>'Traffic Data'!X90*annualizationFactor*'Traffic Data'!$H90</f>
        <v>251355.17613636362</v>
      </c>
      <c r="W538" s="576">
        <f>'Traffic Data'!Y90*annualizationFactor*'Traffic Data'!$H90</f>
        <v>255828.49999999997</v>
      </c>
      <c r="X538" s="576">
        <f>'Traffic Data'!Z90*annualizationFactor*'Traffic Data'!$H90</f>
        <v>260301.82386363632</v>
      </c>
      <c r="Y538" s="576">
        <f>'Traffic Data'!AA90*annualizationFactor*'Traffic Data'!$H90</f>
        <v>264772.86647727265</v>
      </c>
      <c r="Z538" s="576">
        <f>'Traffic Data'!AB90*annualizationFactor*'Traffic Data'!$H90</f>
        <v>269246.19034090906</v>
      </c>
      <c r="AA538" s="576">
        <f>'Traffic Data'!AC90*annualizationFactor*'Traffic Data'!$H90</f>
        <v>273717.23295454541</v>
      </c>
      <c r="AB538" s="576">
        <f>'Traffic Data'!AD90*annualizationFactor*'Traffic Data'!$H90</f>
        <v>278190.55681818182</v>
      </c>
      <c r="AC538" s="576">
        <f>'Traffic Data'!AE90*annualizationFactor*'Traffic Data'!$H90</f>
        <v>282663.88068181818</v>
      </c>
      <c r="AD538" s="576">
        <f>'Traffic Data'!AF90*annualizationFactor*'Traffic Data'!$H90</f>
        <v>287134.92329545453</v>
      </c>
      <c r="AE538" s="576">
        <f>'Traffic Data'!AG90*annualizationFactor*'Traffic Data'!$H90</f>
        <v>291608.24715909088</v>
      </c>
      <c r="AF538" s="576">
        <f>'Traffic Data'!AH90*annualizationFactor*'Traffic Data'!$H90</f>
        <v>296081.57102272724</v>
      </c>
      <c r="AG538" s="714">
        <f>'Traffic Data'!AI90*annualizationFactor*'Traffic Data'!$H90</f>
        <v>300552.61363636359</v>
      </c>
      <c r="AH538" s="5"/>
      <c r="AI538" s="5"/>
      <c r="AJ538" s="5"/>
      <c r="AK538" s="5"/>
      <c r="AL538" s="5"/>
      <c r="AM538" s="5"/>
      <c r="AN538" s="5"/>
    </row>
    <row r="539" spans="2:40" ht="21.95" customHeight="1" x14ac:dyDescent="0.2">
      <c r="B539" s="703"/>
      <c r="C539" s="579"/>
      <c r="D539" s="579"/>
      <c r="E539" s="116"/>
      <c r="F539" s="116" t="s">
        <v>343</v>
      </c>
      <c r="G539" s="116" t="s">
        <v>350</v>
      </c>
      <c r="H539" s="576">
        <f>'Traffic Data'!J91*annualizationFactor*'Traffic Data'!$H91</f>
        <v>404403.40909090912</v>
      </c>
      <c r="I539" s="576">
        <f>'Traffic Data'!K91*annualizationFactor*'Traffic Data'!$H91</f>
        <v>415870.94176136365</v>
      </c>
      <c r="J539" s="576">
        <f>'Traffic Data'!L91*annualizationFactor*'Traffic Data'!$H91</f>
        <v>428937.88991477271</v>
      </c>
      <c r="K539" s="576">
        <f>'Traffic Data'!M91*annualizationFactor*'Traffic Data'!$H91</f>
        <v>445634.35866477276</v>
      </c>
      <c r="L539" s="576">
        <f>'Traffic Data'!N91*annualizationFactor*'Traffic Data'!$H91</f>
        <v>462336.21946022724</v>
      </c>
      <c r="M539" s="576">
        <f>'Traffic Data'!O91*annualizationFactor*'Traffic Data'!$H91</f>
        <v>479035.38423295476</v>
      </c>
      <c r="N539" s="576">
        <f>'Traffic Data'!P91*annualizationFactor*'Traffic Data'!$H91</f>
        <v>495731.85298295465</v>
      </c>
      <c r="O539" s="576">
        <f>'Traffic Data'!Q91*annualizationFactor*'Traffic Data'!$H91</f>
        <v>512431.69176136376</v>
      </c>
      <c r="P539" s="576">
        <f>'Traffic Data'!R91*annualizationFactor*'Traffic Data'!$H91</f>
        <v>531306.546875</v>
      </c>
      <c r="Q539" s="576">
        <f>'Traffic Data'!S91*annualizationFactor*'Traffic Data'!$H91</f>
        <v>550180.72798295459</v>
      </c>
      <c r="R539" s="576">
        <f>'Traffic Data'!T91*annualizationFactor*'Traffic Data'!$H91</f>
        <v>569052.88707386365</v>
      </c>
      <c r="S539" s="576">
        <f>'Traffic Data'!U91*annualizationFactor*'Traffic Data'!$H91</f>
        <v>587927.74218750012</v>
      </c>
      <c r="T539" s="576">
        <f>'Traffic Data'!V91*annualizationFactor*'Traffic Data'!$H91</f>
        <v>606805.96732954541</v>
      </c>
      <c r="U539" s="576">
        <f>'Traffic Data'!W91*annualizationFactor*'Traffic Data'!$H91</f>
        <v>622050.62784090906</v>
      </c>
      <c r="V539" s="576">
        <f>'Traffic Data'!X91*annualizationFactor*'Traffic Data'!$H91</f>
        <v>633518.16051136376</v>
      </c>
      <c r="W539" s="576">
        <f>'Traffic Data'!Y91*annualizationFactor*'Traffic Data'!$H91</f>
        <v>644985.69318181835</v>
      </c>
      <c r="X539" s="576">
        <f>'Traffic Data'!Z91*annualizationFactor*'Traffic Data'!$H91</f>
        <v>656453.22585227282</v>
      </c>
      <c r="Y539" s="576">
        <f>'Traffic Data'!AA91*annualizationFactor*'Traffic Data'!$H91</f>
        <v>667917.38849431835</v>
      </c>
      <c r="Z539" s="576">
        <f>'Traffic Data'!AB91*annualizationFactor*'Traffic Data'!$H91</f>
        <v>679384.92116477259</v>
      </c>
      <c r="AA539" s="576">
        <f>'Traffic Data'!AC91*annualizationFactor*'Traffic Data'!$H91</f>
        <v>690849.083806818</v>
      </c>
      <c r="AB539" s="576">
        <f>'Traffic Data'!AD91*annualizationFactor*'Traffic Data'!$H91</f>
        <v>702316.61647727259</v>
      </c>
      <c r="AC539" s="576">
        <f>'Traffic Data'!AE91*annualizationFactor*'Traffic Data'!$H91</f>
        <v>713784.14914772718</v>
      </c>
      <c r="AD539" s="576">
        <f>'Traffic Data'!AF91*annualizationFactor*'Traffic Data'!$H91</f>
        <v>725248.31178977247</v>
      </c>
      <c r="AE539" s="576">
        <f>'Traffic Data'!AG91*annualizationFactor*'Traffic Data'!$H91</f>
        <v>736715.84446022718</v>
      </c>
      <c r="AF539" s="576">
        <f>'Traffic Data'!AH91*annualizationFactor*'Traffic Data'!$H91</f>
        <v>748183.37713068165</v>
      </c>
      <c r="AG539" s="714">
        <f>'Traffic Data'!AI91*annualizationFactor*'Traffic Data'!$H91</f>
        <v>759647.53977272718</v>
      </c>
      <c r="AH539" s="5"/>
      <c r="AI539" s="5"/>
      <c r="AJ539" s="5"/>
      <c r="AK539" s="5"/>
      <c r="AL539" s="5"/>
      <c r="AM539" s="5"/>
      <c r="AN539" s="5"/>
    </row>
    <row r="540" spans="2:40" ht="21.95" customHeight="1" x14ac:dyDescent="0.2">
      <c r="B540" s="703"/>
      <c r="C540" s="579"/>
      <c r="D540" s="579"/>
      <c r="E540" s="116"/>
      <c r="F540" s="116" t="s">
        <v>350</v>
      </c>
      <c r="G540" s="116" t="s">
        <v>280</v>
      </c>
      <c r="H540" s="576">
        <f>'Traffic Data'!J92*annualizationFactor*'Traffic Data'!$H92</f>
        <v>3357585.2272727275</v>
      </c>
      <c r="I540" s="576">
        <f>'Traffic Data'!K92*annualizationFactor*'Traffic Data'!$H92</f>
        <v>3452795.1523674247</v>
      </c>
      <c r="J540" s="576">
        <f>'Traffic Data'!L92*annualizationFactor*'Traffic Data'!$H92</f>
        <v>3561284.327035985</v>
      </c>
      <c r="K540" s="576">
        <f>'Traffic Data'!M92*annualizationFactor*'Traffic Data'!$H92</f>
        <v>3699907.8291193186</v>
      </c>
      <c r="L540" s="576">
        <f>'Traffic Data'!N92*annualizationFactor*'Traffic Data'!$H92</f>
        <v>3838576.0990056815</v>
      </c>
      <c r="M540" s="576">
        <f>'Traffic Data'!O92*annualizationFactor*'Traffic Data'!$H92</f>
        <v>3977221.984990532</v>
      </c>
      <c r="N540" s="576">
        <f>'Traffic Data'!P92*annualizationFactor*'Traffic Data'!$H92</f>
        <v>4115845.4870738643</v>
      </c>
      <c r="O540" s="576">
        <f>'Traffic Data'!Q92*annualizationFactor*'Traffic Data'!$H92</f>
        <v>4254496.9690340925</v>
      </c>
      <c r="P540" s="576">
        <f>'Traffic Data'!R92*annualizationFactor*'Traffic Data'!$H92</f>
        <v>4411206.6635416662</v>
      </c>
      <c r="Q540" s="576">
        <f>'Traffic Data'!S92*annualizationFactor*'Traffic Data'!$H92</f>
        <v>4567910.7620738642</v>
      </c>
      <c r="R540" s="576">
        <f>'Traffic Data'!T92*annualizationFactor*'Traffic Data'!$H92</f>
        <v>4724598.0726799248</v>
      </c>
      <c r="S540" s="576">
        <f>'Traffic Data'!U92*annualizationFactor*'Traffic Data'!$H92</f>
        <v>4881307.7671875013</v>
      </c>
      <c r="T540" s="576">
        <f>'Traffic Data'!V92*annualizationFactor*'Traffic Data'!$H92</f>
        <v>5038045.4415719695</v>
      </c>
      <c r="U540" s="576">
        <f>'Traffic Data'!W92*annualizationFactor*'Traffic Data'!$H92</f>
        <v>5164615.2126893941</v>
      </c>
      <c r="V540" s="576">
        <f>'Traffic Data'!X92*annualizationFactor*'Traffic Data'!$H92</f>
        <v>5259825.1377840918</v>
      </c>
      <c r="W540" s="576">
        <f>'Traffic Data'!Y92*annualizationFactor*'Traffic Data'!$H92</f>
        <v>5355035.0628787894</v>
      </c>
      <c r="X540" s="576">
        <f>'Traffic Data'!Z92*annualizationFactor*'Traffic Data'!$H92</f>
        <v>5450244.9879734861</v>
      </c>
      <c r="Y540" s="576">
        <f>'Traffic Data'!AA92*annualizationFactor*'Traffic Data'!$H92</f>
        <v>5545426.9331912892</v>
      </c>
      <c r="Z540" s="576">
        <f>'Traffic Data'!AB92*annualizationFactor*'Traffic Data'!$H92</f>
        <v>5640636.8582859831</v>
      </c>
      <c r="AA540" s="576">
        <f>'Traffic Data'!AC92*annualizationFactor*'Traffic Data'!$H92</f>
        <v>5735818.8035037862</v>
      </c>
      <c r="AB540" s="576">
        <f>'Traffic Data'!AD92*annualizationFactor*'Traffic Data'!$H92</f>
        <v>5831028.7285984838</v>
      </c>
      <c r="AC540" s="576">
        <f>'Traffic Data'!AE92*annualizationFactor*'Traffic Data'!$H92</f>
        <v>5926238.6536931805</v>
      </c>
      <c r="AD540" s="576">
        <f>'Traffic Data'!AF92*annualizationFactor*'Traffic Data'!$H92</f>
        <v>6021420.5989109837</v>
      </c>
      <c r="AE540" s="576">
        <f>'Traffic Data'!AG92*annualizationFactor*'Traffic Data'!$H92</f>
        <v>6116630.5240056813</v>
      </c>
      <c r="AF540" s="576">
        <f>'Traffic Data'!AH92*annualizationFactor*'Traffic Data'!$H92</f>
        <v>6211840.449100378</v>
      </c>
      <c r="AG540" s="714">
        <f>'Traffic Data'!AI92*annualizationFactor*'Traffic Data'!$H92</f>
        <v>6307022.3943181811</v>
      </c>
      <c r="AH540" s="5"/>
      <c r="AI540" s="5"/>
      <c r="AJ540" s="5"/>
      <c r="AK540" s="5"/>
      <c r="AL540" s="5"/>
      <c r="AM540" s="5"/>
      <c r="AN540" s="5"/>
    </row>
    <row r="541" spans="2:40" ht="21.95" customHeight="1" thickBot="1" x14ac:dyDescent="0.25">
      <c r="B541" s="705"/>
      <c r="C541" s="715"/>
      <c r="D541" s="579"/>
      <c r="E541" s="278"/>
      <c r="F541" s="278" t="s">
        <v>280</v>
      </c>
      <c r="G541" s="278" t="s">
        <v>333</v>
      </c>
      <c r="H541" s="576">
        <f>'Traffic Data'!J93*annualizationFactor*'Traffic Data'!$H93</f>
        <v>82954.545454545456</v>
      </c>
      <c r="I541" s="576">
        <f>'Traffic Data'!K93*annualizationFactor*'Traffic Data'!$H93</f>
        <v>85306.859848484863</v>
      </c>
      <c r="J541" s="576">
        <f>'Traffic Data'!L93*annualizationFactor*'Traffic Data'!$H93</f>
        <v>87987.259469696961</v>
      </c>
      <c r="K541" s="576">
        <f>'Traffic Data'!M93*annualizationFactor*'Traffic Data'!$H93</f>
        <v>91412.176136363647</v>
      </c>
      <c r="L541" s="576">
        <f>'Traffic Data'!N93*annualizationFactor*'Traffic Data'!$H93</f>
        <v>94838.198863636368</v>
      </c>
      <c r="M541" s="576">
        <f>'Traffic Data'!O93*annualizationFactor*'Traffic Data'!$H93</f>
        <v>98263.668560606107</v>
      </c>
      <c r="N541" s="576">
        <f>'Traffic Data'!P93*annualizationFactor*'Traffic Data'!$H93</f>
        <v>101688.58522727275</v>
      </c>
      <c r="O541" s="576">
        <f>'Traffic Data'!Q93*annualizationFactor*'Traffic Data'!$H93</f>
        <v>105114.19318181822</v>
      </c>
      <c r="P541" s="576">
        <f>'Traffic Data'!R93*annualizationFactor*'Traffic Data'!$H93</f>
        <v>108985.95833333333</v>
      </c>
      <c r="Q541" s="576">
        <f>'Traffic Data'!S93*annualizationFactor*'Traffic Data'!$H93</f>
        <v>112857.58522727274</v>
      </c>
      <c r="R541" s="576">
        <f>'Traffic Data'!T93*annualizationFactor*'Traffic Data'!$H93</f>
        <v>116728.79734848486</v>
      </c>
      <c r="S541" s="576">
        <f>'Traffic Data'!U93*annualizationFactor*'Traffic Data'!$H93</f>
        <v>120600.56250000004</v>
      </c>
      <c r="T541" s="576">
        <f>'Traffic Data'!V93*annualizationFactor*'Traffic Data'!$H93</f>
        <v>124473.01893939395</v>
      </c>
      <c r="U541" s="576">
        <f>'Traffic Data'!W93*annualizationFactor*'Traffic Data'!$H93</f>
        <v>127600.1287878788</v>
      </c>
      <c r="V541" s="576">
        <f>'Traffic Data'!X93*annualizationFactor*'Traffic Data'!$H93</f>
        <v>129952.44318181821</v>
      </c>
      <c r="W541" s="576">
        <f>'Traffic Data'!Y93*annualizationFactor*'Traffic Data'!$H93</f>
        <v>132304.75757575763</v>
      </c>
      <c r="X541" s="576">
        <f>'Traffic Data'!Z93*annualizationFactor*'Traffic Data'!$H93</f>
        <v>134657.07196969702</v>
      </c>
      <c r="Y541" s="576">
        <f>'Traffic Data'!AA93*annualizationFactor*'Traffic Data'!$H93</f>
        <v>137008.6950757576</v>
      </c>
      <c r="Z541" s="576">
        <f>'Traffic Data'!AB93*annualizationFactor*'Traffic Data'!$H93</f>
        <v>139361.00946969696</v>
      </c>
      <c r="AA541" s="576">
        <f>'Traffic Data'!AC93*annualizationFactor*'Traffic Data'!$H93</f>
        <v>141712.63257575754</v>
      </c>
      <c r="AB541" s="576">
        <f>'Traffic Data'!AD93*annualizationFactor*'Traffic Data'!$H93</f>
        <v>144064.94696969693</v>
      </c>
      <c r="AC541" s="576">
        <f>'Traffic Data'!AE93*annualizationFactor*'Traffic Data'!$H93</f>
        <v>146417.26136363635</v>
      </c>
      <c r="AD541" s="576">
        <f>'Traffic Data'!AF93*annualizationFactor*'Traffic Data'!$H93</f>
        <v>148768.88446969693</v>
      </c>
      <c r="AE541" s="576">
        <f>'Traffic Data'!AG93*annualizationFactor*'Traffic Data'!$H93</f>
        <v>151121.19886363635</v>
      </c>
      <c r="AF541" s="576">
        <f>'Traffic Data'!AH93*annualizationFactor*'Traffic Data'!$H93</f>
        <v>153473.51325757575</v>
      </c>
      <c r="AG541" s="714">
        <f>'Traffic Data'!AI93*annualizationFactor*'Traffic Data'!$H93</f>
        <v>155825.13636363632</v>
      </c>
      <c r="AH541" s="5"/>
      <c r="AI541" s="5"/>
      <c r="AJ541" s="5"/>
      <c r="AK541" s="5"/>
      <c r="AL541" s="5"/>
      <c r="AM541" s="5"/>
      <c r="AN541" s="5"/>
    </row>
    <row r="542" spans="2:40" ht="21.95" customHeight="1" x14ac:dyDescent="0.2">
      <c r="B542" s="184"/>
      <c r="C542" s="124"/>
      <c r="D542" s="124"/>
      <c r="E542" s="125" t="s">
        <v>25</v>
      </c>
      <c r="F542" s="125"/>
      <c r="G542" s="125"/>
      <c r="H542" s="716">
        <f>SUM(H513:H541)</f>
        <v>103065724.6969697</v>
      </c>
      <c r="I542" s="716">
        <f t="shared" ref="I542" si="433">SUM(I513:I541)</f>
        <v>107429502.14919697</v>
      </c>
      <c r="J542" s="716">
        <f t="shared" ref="J542" si="434">SUM(J513:J541)</f>
        <v>113292992.42640719</v>
      </c>
      <c r="K542" s="716">
        <f t="shared" ref="K542" si="435">SUM(K513:K541)</f>
        <v>122434024.83185418</v>
      </c>
      <c r="L542" s="716">
        <f>SUM(L513:L541)</f>
        <v>131579288.26089208</v>
      </c>
      <c r="M542" s="716">
        <f t="shared" ref="M542" si="436">SUM(M513:M541)</f>
        <v>140724566.81157577</v>
      </c>
      <c r="N542" s="716">
        <f t="shared" ref="N542" si="437">SUM(N513:N541)</f>
        <v>149865599.21702272</v>
      </c>
      <c r="O542" s="716">
        <f t="shared" ref="O542" si="438">SUM(O513:O541)</f>
        <v>159015088.59919319</v>
      </c>
      <c r="P542" s="716">
        <f t="shared" ref="P542" si="439">SUM(P513:P541)</f>
        <v>167356961.62381628</v>
      </c>
      <c r="Q542" s="716">
        <f t="shared" ref="Q542" si="440">SUM(Q513:Q541)</f>
        <v>175674600.43956628</v>
      </c>
      <c r="R542" s="716">
        <f t="shared" ref="R542" si="441">SUM(R513:R541)</f>
        <v>183990420.57382575</v>
      </c>
      <c r="S542" s="716">
        <f t="shared" ref="S542" si="442">SUM(S513:S541)</f>
        <v>192306199.74844882</v>
      </c>
      <c r="T542" s="716">
        <f t="shared" ref="T542" si="443">SUM(T513:T541)</f>
        <v>200630436.27502653</v>
      </c>
      <c r="U542" s="716">
        <f t="shared" ref="U542" si="444">SUM(U513:U541)</f>
        <v>205702367.11541668</v>
      </c>
      <c r="V542" s="716">
        <f t="shared" ref="V542" si="445">SUM(V513:V541)</f>
        <v>208988609.76289392</v>
      </c>
      <c r="W542" s="716">
        <f t="shared" ref="W542" si="446">SUM(W513:W541)</f>
        <v>212359178.50637117</v>
      </c>
      <c r="X542" s="716">
        <f t="shared" ref="X542" si="447">SUM(X513:X541)</f>
        <v>215729747.24984846</v>
      </c>
      <c r="Y542" s="716">
        <f t="shared" ref="Y542" si="448">SUM(Y513:Y541)</f>
        <v>219102557.41588065</v>
      </c>
      <c r="Z542" s="716">
        <f t="shared" ref="Z542" si="449">SUM(Z513:Z541)</f>
        <v>222580619.07983789</v>
      </c>
      <c r="AA542" s="716">
        <f t="shared" ref="AA542" si="450">SUM(AA513:AA541)</f>
        <v>226075357.75147629</v>
      </c>
      <c r="AB542" s="716">
        <f t="shared" ref="AB542" si="451">SUM(AB513:AB541)</f>
        <v>229567950.47423357</v>
      </c>
      <c r="AC542" s="716">
        <f t="shared" ref="AC542" si="452">SUM(AC513:AC541)</f>
        <v>233060543.19699082</v>
      </c>
      <c r="AD542" s="716">
        <f t="shared" ref="AD542" si="453">SUM(AD513:AD541)</f>
        <v>236555405.81931105</v>
      </c>
      <c r="AE542" s="716">
        <f t="shared" ref="AE542" si="454">SUM(AE513:AE541)</f>
        <v>240047998.54206836</v>
      </c>
      <c r="AF542" s="716">
        <f t="shared" ref="AF542" si="455">SUM(AF513:AF541)</f>
        <v>243540591.26482558</v>
      </c>
      <c r="AG542" s="717">
        <f>SUM(AG513:AG541)</f>
        <v>247035329.93646401</v>
      </c>
      <c r="AH542" s="47"/>
      <c r="AI542" s="47"/>
      <c r="AJ542" s="47"/>
      <c r="AK542" s="47"/>
      <c r="AL542" s="47"/>
      <c r="AM542" s="47"/>
      <c r="AN542" s="47"/>
    </row>
    <row r="543" spans="2:40" ht="21.95" customHeight="1" x14ac:dyDescent="0.2">
      <c r="B543" s="703" t="s">
        <v>481</v>
      </c>
      <c r="C543" s="579" t="s">
        <v>65</v>
      </c>
      <c r="D543" s="718" t="s">
        <v>474</v>
      </c>
      <c r="E543" s="1340" t="s">
        <v>331</v>
      </c>
      <c r="F543" s="220" t="s">
        <v>332</v>
      </c>
      <c r="G543" s="220" t="s">
        <v>282</v>
      </c>
      <c r="H543" s="576" cm="1">
        <f t="array" ref="H543">_xlfn.ANCHORARRAY(H513) * $F$15</f>
        <v>181974.39999999999</v>
      </c>
      <c r="I543" s="576" cm="1">
        <f t="array" ref="I543">_xlfn.ANCHORARRAY(I513) * $F$15</f>
        <v>190249.11717000001</v>
      </c>
      <c r="J543" s="576" cm="1">
        <f t="array" ref="J543">_xlfn.ANCHORARRAY(J513) * $F$15</f>
        <v>201907.42084000006</v>
      </c>
      <c r="K543" s="576" cm="1">
        <f t="array" ref="K543">_xlfn.ANCHORARRAY(K513) * $F$15</f>
        <v>219056.23336000004</v>
      </c>
      <c r="L543" s="576" cm="1">
        <f t="array" ref="L543">_xlfn.ANCHORARRAY(L513) * $F$15</f>
        <v>236211.30125000002</v>
      </c>
      <c r="M543" s="576" cm="1">
        <f t="array" ref="M543">_xlfn.ANCHORARRAY(M513) * $F$15</f>
        <v>253366.36913999997</v>
      </c>
      <c r="N543" s="576" cm="1">
        <f t="array" ref="N543">_xlfn.ANCHORARRAY(N513) * $F$15</f>
        <v>270515.18166</v>
      </c>
      <c r="O543" s="576" cm="1">
        <f t="array" ref="O543">_xlfn.ANCHORARRAY(O513) * $F$15</f>
        <v>287676.50491999992</v>
      </c>
      <c r="P543" s="576" cm="1">
        <f t="array" ref="P543">_xlfn.ANCHORARRAY(P513) * $F$15</f>
        <v>304634.81299000001</v>
      </c>
      <c r="Q543" s="576" cm="1">
        <f t="array" ref="Q543">_xlfn.ANCHORARRAY(Q513) * $F$15</f>
        <v>321596.53308000002</v>
      </c>
      <c r="R543" s="576" cm="1">
        <f t="array" ref="R543">_xlfn.ANCHORARRAY(R513) * $F$15</f>
        <v>338554.84115000005</v>
      </c>
      <c r="S543" s="576" cm="1">
        <f t="array" ref="S543">_xlfn.ANCHORARRAY(S513) * $F$15</f>
        <v>355513.14922000008</v>
      </c>
      <c r="T543" s="576" cm="1">
        <f t="array" ref="T543">_xlfn.ANCHORARRAY(T513) * $F$15</f>
        <v>372483.96803000005</v>
      </c>
      <c r="U543" s="576" cm="1">
        <f t="array" ref="U543">_xlfn.ANCHORARRAY(U513) * $F$15</f>
        <v>383945.51188000006</v>
      </c>
      <c r="V543" s="576" cm="1">
        <f t="array" ref="V543">_xlfn.ANCHORARRAY(V513) * $F$15</f>
        <v>392220.22905000002</v>
      </c>
      <c r="W543" s="576" cm="1">
        <f t="array" ref="W543">_xlfn.ANCHORARRAY(W513) * $F$15</f>
        <v>400494.94621999993</v>
      </c>
      <c r="X543" s="576" cm="1">
        <f t="array" ref="X543">_xlfn.ANCHORARRAY(X513) * $F$15</f>
        <v>408769.66339000006</v>
      </c>
      <c r="Y543" s="576" cm="1">
        <f t="array" ref="Y543">_xlfn.ANCHORARRAY(Y513) * $F$15</f>
        <v>417047.22391</v>
      </c>
      <c r="Z543" s="576" cm="1">
        <f t="array" ref="Z543">_xlfn.ANCHORARRAY(Z513) * $F$15</f>
        <v>425321.94108000008</v>
      </c>
      <c r="AA543" s="576" cm="1">
        <f t="array" ref="AA543">_xlfn.ANCHORARRAY(AA513) * $F$15</f>
        <v>433599.50160000002</v>
      </c>
      <c r="AB543" s="576" cm="1">
        <f t="array" ref="AB543">_xlfn.ANCHORARRAY(AB513) * $F$15</f>
        <v>441874.21877000004</v>
      </c>
      <c r="AC543" s="576" cm="1">
        <f t="array" ref="AC543">_xlfn.ANCHORARRAY(AC513) * $F$15</f>
        <v>450148.93594</v>
      </c>
      <c r="AD543" s="576" cm="1">
        <f t="array" ref="AD543">_xlfn.ANCHORARRAY(AD513) * $F$15</f>
        <v>458426.49645999994</v>
      </c>
      <c r="AE543" s="576" cm="1">
        <f t="array" ref="AE543">_xlfn.ANCHORARRAY(AE513) * $F$15</f>
        <v>466701.21362999995</v>
      </c>
      <c r="AF543" s="576" cm="1">
        <f t="array" ref="AF543">_xlfn.ANCHORARRAY(AF513) * $F$15</f>
        <v>474975.93080000003</v>
      </c>
      <c r="AG543" s="714" cm="1">
        <f t="array" ref="AG543">_xlfn.ANCHORARRAY(AG513) * $F$15</f>
        <v>483253.49132000003</v>
      </c>
      <c r="AH543" s="5"/>
      <c r="AI543" s="5"/>
      <c r="AJ543" s="5"/>
      <c r="AK543" s="5"/>
      <c r="AL543" s="5"/>
      <c r="AM543" s="5"/>
      <c r="AN543" s="5"/>
    </row>
    <row r="544" spans="2:40" ht="21.95" customHeight="1" x14ac:dyDescent="0.2">
      <c r="B544" s="704" t="s">
        <v>475</v>
      </c>
      <c r="C544" s="715"/>
      <c r="D544" s="719"/>
      <c r="E544" s="1339"/>
      <c r="F544" s="116" t="s">
        <v>282</v>
      </c>
      <c r="G544" s="116" t="s">
        <v>280</v>
      </c>
      <c r="H544" s="576" cm="1">
        <f t="array" ref="H544">_xlfn.ANCHORARRAY(H514) * $F$15</f>
        <v>5851451.0454545459</v>
      </c>
      <c r="I544" s="576" cm="1">
        <f t="array" ref="I544">_xlfn.ANCHORARRAY(I514) * $F$15</f>
        <v>6160320.9724909076</v>
      </c>
      <c r="J544" s="576" cm="1">
        <f t="array" ref="J544">_xlfn.ANCHORARRAY(J514) * $F$15</f>
        <v>6623972.6157000009</v>
      </c>
      <c r="K544" s="576" cm="1">
        <f t="array" ref="K544">_xlfn.ANCHORARRAY(K514) * $F$15</f>
        <v>7389992.5736727268</v>
      </c>
      <c r="L544" s="576" cm="1">
        <f t="array" ref="L544">_xlfn.ANCHORARRAY(L514) * $F$15</f>
        <v>8156359.2843000004</v>
      </c>
      <c r="M544" s="576" cm="1">
        <f t="array" ref="M544">_xlfn.ANCHORARRAY(M514) * $F$15</f>
        <v>8922682.6508454531</v>
      </c>
      <c r="N544" s="576" cm="1">
        <f t="array" ref="N544">_xlfn.ANCHORARRAY(N514) * $F$15</f>
        <v>9688702.6088181827</v>
      </c>
      <c r="O544" s="576" cm="1">
        <f t="array" ref="O544">_xlfn.ANCHORARRAY(O514) * $F$15</f>
        <v>10455416.072100002</v>
      </c>
      <c r="P544" s="576" cm="1">
        <f t="array" ref="P544">_xlfn.ANCHORARRAY(P514) * $F$15</f>
        <v>11228934.556227272</v>
      </c>
      <c r="Q544" s="576" cm="1">
        <f t="array" ref="Q544">_xlfn.ANCHORARRAY(Q514) * $F$15</f>
        <v>12002713.104845453</v>
      </c>
      <c r="R544" s="576" cm="1">
        <f t="array" ref="R544">_xlfn.ANCHORARRAY(R514) * $F$15</f>
        <v>12776231.588972727</v>
      </c>
      <c r="S544" s="576" cm="1">
        <f t="array" ref="S544">_xlfn.ANCHORARRAY(S514) * $F$15</f>
        <v>13549750.073100001</v>
      </c>
      <c r="T544" s="576" cm="1">
        <f t="array" ref="T544">_xlfn.ANCHORARRAY(T514) * $F$15</f>
        <v>14323962.062536364</v>
      </c>
      <c r="U544" s="576" cm="1">
        <f t="array" ref="U544">_xlfn.ANCHORARRAY(U514) * $F$15</f>
        <v>14794765.479245458</v>
      </c>
      <c r="V544" s="576" cm="1">
        <f t="array" ref="V544">_xlfn.ANCHORARRAY(V514) * $F$15</f>
        <v>15103635.406281816</v>
      </c>
      <c r="W544" s="576" cm="1">
        <f t="array" ref="W544">_xlfn.ANCHORARRAY(W514) * $F$15</f>
        <v>15412505.333318183</v>
      </c>
      <c r="X544" s="576" cm="1">
        <f t="array" ref="X544">_xlfn.ANCHORARRAY(X514) * $F$15</f>
        <v>15721375.260354549</v>
      </c>
      <c r="Y544" s="576" cm="1">
        <f t="array" ref="Y544">_xlfn.ANCHORARRAY(Y514) * $F$15</f>
        <v>16030418.563718183</v>
      </c>
      <c r="Z544" s="576" cm="1">
        <f t="array" ref="Z544">_xlfn.ANCHORARRAY(Z514) * $F$15</f>
        <v>16339288.490754545</v>
      </c>
      <c r="AA544" s="576" cm="1">
        <f t="array" ref="AA544">_xlfn.ANCHORARRAY(AA514) * $F$15</f>
        <v>16648331.794118186</v>
      </c>
      <c r="AB544" s="576" cm="1">
        <f t="array" ref="AB544">_xlfn.ANCHORARRAY(AB514) * $F$15</f>
        <v>16957201.721154548</v>
      </c>
      <c r="AC544" s="576" cm="1">
        <f t="array" ref="AC544">_xlfn.ANCHORARRAY(AC514) * $F$15</f>
        <v>17266071.648190912</v>
      </c>
      <c r="AD544" s="576" cm="1">
        <f t="array" ref="AD544">_xlfn.ANCHORARRAY(AD514) * $F$15</f>
        <v>17575114.951554552</v>
      </c>
      <c r="AE544" s="576" cm="1">
        <f t="array" ref="AE544">_xlfn.ANCHORARRAY(AE514) * $F$15</f>
        <v>17883984.878590908</v>
      </c>
      <c r="AF544" s="576" cm="1">
        <f t="array" ref="AF544">_xlfn.ANCHORARRAY(AF514) * $F$15</f>
        <v>18192854.805627275</v>
      </c>
      <c r="AG544" s="714" cm="1">
        <f t="array" ref="AG544">_xlfn.ANCHORARRAY(AG514) * $F$15</f>
        <v>18501898.108990911</v>
      </c>
      <c r="AH544" s="5"/>
      <c r="AI544" s="5"/>
      <c r="AJ544" s="5"/>
      <c r="AK544" s="5"/>
      <c r="AL544" s="5"/>
      <c r="AM544" s="5"/>
      <c r="AN544" s="5"/>
    </row>
    <row r="545" spans="2:40" ht="21.95" customHeight="1" x14ac:dyDescent="0.2">
      <c r="B545" s="704"/>
      <c r="C545" s="715"/>
      <c r="D545" s="719"/>
      <c r="E545" s="1339"/>
      <c r="F545" s="116" t="s">
        <v>280</v>
      </c>
      <c r="G545" s="116" t="s">
        <v>333</v>
      </c>
      <c r="H545" s="576" cm="1">
        <f t="array" ref="H545">_xlfn.ANCHORARRAY(H515) * $F$15</f>
        <v>136480.80000000002</v>
      </c>
      <c r="I545" s="576" cm="1">
        <f t="array" ref="I545">_xlfn.ANCHORARRAY(I515) * $F$15</f>
        <v>142180.01073999997</v>
      </c>
      <c r="J545" s="576" cm="1">
        <f t="array" ref="J545">_xlfn.ANCHORARRAY(J515) * $F$15</f>
        <v>149233.79341999997</v>
      </c>
      <c r="K545" s="576" cm="1">
        <f t="array" ref="K545">_xlfn.ANCHORARRAY(K515) * $F$15</f>
        <v>158730.58242000002</v>
      </c>
      <c r="L545" s="576" cm="1">
        <f t="array" ref="L545">_xlfn.ANCHORARRAY(L515) * $F$15</f>
        <v>168230.78344000003</v>
      </c>
      <c r="M545" s="576" cm="1">
        <f t="array" ref="M545">_xlfn.ANCHORARRAY(M515) * $F$15</f>
        <v>177729.84712000002</v>
      </c>
      <c r="N545" s="576" cm="1">
        <f t="array" ref="N545">_xlfn.ANCHORARRAY(N515) * $F$15</f>
        <v>187226.63612000001</v>
      </c>
      <c r="O545" s="576" cm="1">
        <f t="array" ref="O545">_xlfn.ANCHORARRAY(O515) * $F$15</f>
        <v>196730.24916000006</v>
      </c>
      <c r="P545" s="576" cm="1">
        <f t="array" ref="P545">_xlfn.ANCHORARRAY(P515) * $F$15</f>
        <v>205938.1538</v>
      </c>
      <c r="Q545" s="576" cm="1">
        <f t="array" ref="Q545">_xlfn.ANCHORARRAY(Q515) * $F$15</f>
        <v>215149.47045999995</v>
      </c>
      <c r="R545" s="576" cm="1">
        <f t="array" ref="R545">_xlfn.ANCHORARRAY(R515) * $F$15</f>
        <v>224357.3751</v>
      </c>
      <c r="S545" s="576" cm="1">
        <f t="array" ref="S545">_xlfn.ANCHORARRAY(S515) * $F$15</f>
        <v>233565.27974</v>
      </c>
      <c r="T545" s="576" cm="1">
        <f t="array" ref="T545">_xlfn.ANCHORARRAY(T515) * $F$15</f>
        <v>242780.00842000006</v>
      </c>
      <c r="U545" s="576" cm="1">
        <f t="array" ref="U545">_xlfn.ANCHORARRAY(U515) * $F$15</f>
        <v>249541.49472000002</v>
      </c>
      <c r="V545" s="576" cm="1">
        <f t="array" ref="V545">_xlfn.ANCHORARRAY(V515) * $F$15</f>
        <v>255240.70546000003</v>
      </c>
      <c r="W545" s="576" cm="1">
        <f t="array" ref="W545">_xlfn.ANCHORARRAY(W515) * $F$15</f>
        <v>260939.91619999998</v>
      </c>
      <c r="X545" s="576" cm="1">
        <f t="array" ref="X545">_xlfn.ANCHORARRAY(X515) * $F$15</f>
        <v>266639.12693999999</v>
      </c>
      <c r="Y545" s="576" cm="1">
        <f t="array" ref="Y545">_xlfn.ANCHORARRAY(Y515) * $F$15</f>
        <v>272340.61236000003</v>
      </c>
      <c r="Z545" s="576" cm="1">
        <f t="array" ref="Z545">_xlfn.ANCHORARRAY(Z515) * $F$15</f>
        <v>278039.82309999998</v>
      </c>
      <c r="AA545" s="576" cm="1">
        <f t="array" ref="AA545">_xlfn.ANCHORARRAY(AA515) * $F$15</f>
        <v>283741.30852000002</v>
      </c>
      <c r="AB545" s="576" cm="1">
        <f t="array" ref="AB545">_xlfn.ANCHORARRAY(AB515) * $F$15</f>
        <v>289440.51926000009</v>
      </c>
      <c r="AC545" s="576" cm="1">
        <f t="array" ref="AC545">_xlfn.ANCHORARRAY(AC515) * $F$15</f>
        <v>295139.73</v>
      </c>
      <c r="AD545" s="576" cm="1">
        <f t="array" ref="AD545">_xlfn.ANCHORARRAY(AD515) * $F$15</f>
        <v>300841.21542000002</v>
      </c>
      <c r="AE545" s="576" cm="1">
        <f t="array" ref="AE545">_xlfn.ANCHORARRAY(AE515) * $F$15</f>
        <v>306540.42616000003</v>
      </c>
      <c r="AF545" s="576" cm="1">
        <f t="array" ref="AF545">_xlfn.ANCHORARRAY(AF515) * $F$15</f>
        <v>312239.63689999992</v>
      </c>
      <c r="AG545" s="714" cm="1">
        <f t="array" ref="AG545">_xlfn.ANCHORARRAY(AG515) * $F$15</f>
        <v>317941.12232000002</v>
      </c>
      <c r="AH545" s="5"/>
      <c r="AI545" s="5"/>
      <c r="AJ545" s="5"/>
      <c r="AK545" s="5"/>
      <c r="AL545" s="5"/>
      <c r="AM545" s="5"/>
      <c r="AN545" s="5"/>
    </row>
    <row r="546" spans="2:40" ht="21.95" customHeight="1" x14ac:dyDescent="0.2">
      <c r="B546" s="704"/>
      <c r="C546" s="715"/>
      <c r="D546" s="719"/>
      <c r="E546" s="1340" t="s">
        <v>280</v>
      </c>
      <c r="F546" s="220" t="s">
        <v>281</v>
      </c>
      <c r="G546" s="220" t="s">
        <v>335</v>
      </c>
      <c r="H546" s="576" cm="1">
        <f t="array" ref="H546">_xlfn.ANCHORARRAY(H516) * $F$15</f>
        <v>1240299.2</v>
      </c>
      <c r="I546" s="576" cm="1">
        <f t="array" ref="I546">_xlfn.ANCHORARRAY(I516) * $F$15</f>
        <v>1365761.665576</v>
      </c>
      <c r="J546" s="576" cm="1">
        <f t="array" ref="J546">_xlfn.ANCHORARRAY(J516) * $F$15</f>
        <v>1646261.5311519997</v>
      </c>
      <c r="K546" s="576" cm="1">
        <f t="array" ref="K546">_xlfn.ANCHORARRAY(K516) * $F$15</f>
        <v>2209667.4427519999</v>
      </c>
      <c r="L546" s="576" cm="1">
        <f t="array" ref="L546">_xlfn.ANCHORARRAY(L516) * $F$15</f>
        <v>2773420.6381279994</v>
      </c>
      <c r="M546" s="576" cm="1">
        <f t="array" ref="M546">_xlfn.ANCHORARRAY(M516) * $F$15</f>
        <v>3337111.8185439995</v>
      </c>
      <c r="N546" s="576" cm="1">
        <f t="array" ref="N546">_xlfn.ANCHORARRAY(N516) * $F$15</f>
        <v>3900517.7301439992</v>
      </c>
      <c r="O546" s="576" cm="1">
        <f t="array" ref="O546">_xlfn.ANCHORARRAY(O516) * $F$15</f>
        <v>4464618.2092960002</v>
      </c>
      <c r="P546" s="576" cm="1">
        <f t="array" ref="P546">_xlfn.ANCHORARRAY(P516) * $F$15</f>
        <v>5018138.936271999</v>
      </c>
      <c r="Q546" s="576" cm="1">
        <f t="array" ref="Q546">_xlfn.ANCHORARRAY(Q516) * $F$15</f>
        <v>5571938.7305679992</v>
      </c>
      <c r="R546" s="576" cm="1">
        <f t="array" ref="R546">_xlfn.ANCHORARRAY(R516) * $F$15</f>
        <v>6125459.4575439999</v>
      </c>
      <c r="S546" s="576" cm="1">
        <f t="array" ref="S546">_xlfn.ANCHORARRAY(S516) * $F$15</f>
        <v>6678980.1845200006</v>
      </c>
      <c r="T546" s="576" cm="1">
        <f t="array" ref="T546">_xlfn.ANCHORARRAY(T516) * $F$15</f>
        <v>7233195.4790480006</v>
      </c>
      <c r="U546" s="576" cm="1">
        <f t="array" ref="U546">_xlfn.ANCHORARRAY(U516) * $F$15</f>
        <v>7503462.8762239991</v>
      </c>
      <c r="V546" s="576" cm="1">
        <f t="array" ref="V546">_xlfn.ANCHORARRAY(V516) * $F$15</f>
        <v>7628925.3417999987</v>
      </c>
      <c r="W546" s="576" cm="1">
        <f t="array" ref="W546">_xlfn.ANCHORARRAY(W516) * $F$15</f>
        <v>7754387.8073759982</v>
      </c>
      <c r="X546" s="576" cm="1">
        <f t="array" ref="X546">_xlfn.ANCHORARRAY(X516) * $F$15</f>
        <v>7879850.2729519987</v>
      </c>
      <c r="Y546" s="576" cm="1">
        <f t="array" ref="Y546">_xlfn.ANCHORARRAY(Y516) * $F$15</f>
        <v>8005504.9849039987</v>
      </c>
      <c r="Z546" s="576" cm="1">
        <f t="array" ref="Z546">_xlfn.ANCHORARRAY(Z516) * $F$15</f>
        <v>8130967.4504800001</v>
      </c>
      <c r="AA546" s="576" cm="1">
        <f t="array" ref="AA546">_xlfn.ANCHORARRAY(AA516) * $F$15</f>
        <v>8256622.1624319991</v>
      </c>
      <c r="AB546" s="576" cm="1">
        <f t="array" ref="AB546">_xlfn.ANCHORARRAY(AB516) * $F$15</f>
        <v>8382084.6280079978</v>
      </c>
      <c r="AC546" s="576" cm="1">
        <f t="array" ref="AC546">_xlfn.ANCHORARRAY(AC516) * $F$15</f>
        <v>8507547.0935839992</v>
      </c>
      <c r="AD546" s="576" cm="1">
        <f t="array" ref="AD546">_xlfn.ANCHORARRAY(AD516) * $F$15</f>
        <v>8633201.8055360001</v>
      </c>
      <c r="AE546" s="576" cm="1">
        <f t="array" ref="AE546">_xlfn.ANCHORARRAY(AE516) * $F$15</f>
        <v>8758664.2711120006</v>
      </c>
      <c r="AF546" s="576" cm="1">
        <f t="array" ref="AF546">_xlfn.ANCHORARRAY(AF516) * $F$15</f>
        <v>8884126.7366879992</v>
      </c>
      <c r="AG546" s="714" cm="1">
        <f t="array" ref="AG546">_xlfn.ANCHORARRAY(AG516) * $F$15</f>
        <v>9009781.4486399982</v>
      </c>
      <c r="AH546" s="5"/>
      <c r="AI546" s="5"/>
      <c r="AJ546" s="5"/>
      <c r="AK546" s="5"/>
      <c r="AL546" s="5"/>
      <c r="AM546" s="5"/>
      <c r="AN546" s="5"/>
    </row>
    <row r="547" spans="2:40" ht="21.95" customHeight="1" x14ac:dyDescent="0.2">
      <c r="B547" s="704"/>
      <c r="C547" s="715"/>
      <c r="D547" s="719"/>
      <c r="E547" s="1339"/>
      <c r="F547" s="116" t="s">
        <v>335</v>
      </c>
      <c r="G547" s="116" t="s">
        <v>323</v>
      </c>
      <c r="H547" s="576" cm="1">
        <f t="array" ref="H547">_xlfn.ANCHORARRAY(H517) * $F$15</f>
        <v>143664</v>
      </c>
      <c r="I547" s="576" cm="1">
        <f t="array" ref="I547">_xlfn.ANCHORARRAY(I517) * $F$15</f>
        <v>157303.69959999999</v>
      </c>
      <c r="J547" s="576" cm="1">
        <f t="array" ref="J547">_xlfn.ANCHORARRAY(J517) * $F$15</f>
        <v>176652.84600000002</v>
      </c>
      <c r="K547" s="576" cm="1">
        <f t="array" ref="K547">_xlfn.ANCHORARRAY(K517) * $F$15</f>
        <v>208179.91080000001</v>
      </c>
      <c r="L547" s="576" cm="1">
        <f t="array" ref="L547">_xlfn.ANCHORARRAY(L517) * $F$15</f>
        <v>239716.55320000002</v>
      </c>
      <c r="M547" s="576" cm="1">
        <f t="array" ref="M547">_xlfn.ANCHORARRAY(M517) * $F$15</f>
        <v>271256.18860000005</v>
      </c>
      <c r="N547" s="576" cm="1">
        <f t="array" ref="N547">_xlfn.ANCHORARRAY(N517) * $F$15</f>
        <v>302783.25340000005</v>
      </c>
      <c r="O547" s="576" cm="1">
        <f t="array" ref="O547">_xlfn.ANCHORARRAY(O517) * $F$15</f>
        <v>334344.43840000004</v>
      </c>
      <c r="P547" s="576" cm="1">
        <f t="array" ref="P547">_xlfn.ANCHORARRAY(P517) * $F$15</f>
        <v>370252.05799999996</v>
      </c>
      <c r="Q547" s="576" cm="1">
        <f t="array" ref="Q547">_xlfn.ANCHORARRAY(Q517) * $F$15</f>
        <v>406176.4384000001</v>
      </c>
      <c r="R547" s="576" cm="1">
        <f t="array" ref="R547">_xlfn.ANCHORARRAY(R517) * $F$15</f>
        <v>442082.26220000006</v>
      </c>
      <c r="S547" s="576" cm="1">
        <f t="array" ref="S547">_xlfn.ANCHORARRAY(S517) * $F$15</f>
        <v>477989.88180000003</v>
      </c>
      <c r="T547" s="576" cm="1">
        <f t="array" ref="T547">_xlfn.ANCHORARRAY(T517) * $F$15</f>
        <v>513930.42439999996</v>
      </c>
      <c r="U547" s="576" cm="1">
        <f t="array" ref="U547">_xlfn.ANCHORARRAY(U517) * $F$15</f>
        <v>537633.78720000002</v>
      </c>
      <c r="V547" s="576" cm="1">
        <f t="array" ref="V547">_xlfn.ANCHORARRAY(V517) * $F$15</f>
        <v>551273.48679999996</v>
      </c>
      <c r="W547" s="576" cm="1">
        <f t="array" ref="W547">_xlfn.ANCHORARRAY(W517) * $F$15</f>
        <v>564913.18639999989</v>
      </c>
      <c r="X547" s="576" cm="1">
        <f t="array" ref="X547">_xlfn.ANCHORARRAY(X517) * $F$15</f>
        <v>578552.88599999994</v>
      </c>
      <c r="Y547" s="576" cm="1">
        <f t="array" ref="Y547">_xlfn.ANCHORARRAY(Y517) * $F$15</f>
        <v>592208.14919999987</v>
      </c>
      <c r="Z547" s="576" cm="1">
        <f t="array" ref="Z547">_xlfn.ANCHORARRAY(Z517) * $F$15</f>
        <v>605847.84879999992</v>
      </c>
      <c r="AA547" s="576" cm="1">
        <f t="array" ref="AA547">_xlfn.ANCHORARRAY(AA517) * $F$15</f>
        <v>619503.11199999996</v>
      </c>
      <c r="AB547" s="576" cm="1">
        <f t="array" ref="AB547">_xlfn.ANCHORARRAY(AB517) * $F$15</f>
        <v>633142.81160000002</v>
      </c>
      <c r="AC547" s="576" cm="1">
        <f t="array" ref="AC547">_xlfn.ANCHORARRAY(AC517) * $F$15</f>
        <v>646782.51119999995</v>
      </c>
      <c r="AD547" s="576" cm="1">
        <f t="array" ref="AD547">_xlfn.ANCHORARRAY(AD517) * $F$15</f>
        <v>660437.77439999999</v>
      </c>
      <c r="AE547" s="576" cm="1">
        <f t="array" ref="AE547">_xlfn.ANCHORARRAY(AE517) * $F$15</f>
        <v>674077.47399999993</v>
      </c>
      <c r="AF547" s="576" cm="1">
        <f t="array" ref="AF547">_xlfn.ANCHORARRAY(AF517) * $F$15</f>
        <v>687717.17359999998</v>
      </c>
      <c r="AG547" s="714" cm="1">
        <f t="array" ref="AG547">_xlfn.ANCHORARRAY(AG517) * $F$15</f>
        <v>701372.43679999991</v>
      </c>
      <c r="AH547" s="5"/>
      <c r="AI547" s="5"/>
      <c r="AJ547" s="5"/>
      <c r="AK547" s="5"/>
      <c r="AL547" s="5"/>
      <c r="AM547" s="5"/>
      <c r="AN547" s="5"/>
    </row>
    <row r="548" spans="2:40" ht="21.95" customHeight="1" x14ac:dyDescent="0.2">
      <c r="B548" s="704"/>
      <c r="C548" s="715"/>
      <c r="D548" s="719"/>
      <c r="E548" s="1353"/>
      <c r="F548" s="254" t="s">
        <v>323</v>
      </c>
      <c r="G548" s="254" t="s">
        <v>338</v>
      </c>
      <c r="H548" s="576" cm="1">
        <f t="array" ref="H548">_xlfn.ANCHORARRAY(H518) * $F$15</f>
        <v>1925097.6</v>
      </c>
      <c r="I548" s="576" cm="1">
        <f t="array" ref="I548">_xlfn.ANCHORARRAY(I518) * $F$15</f>
        <v>1979006.749792</v>
      </c>
      <c r="J548" s="576" cm="1">
        <f t="array" ref="J548">_xlfn.ANCHORARRAY(J518) * $F$15</f>
        <v>2055830.9780160002</v>
      </c>
      <c r="K548" s="576" cm="1">
        <f t="array" ref="K548">_xlfn.ANCHORARRAY(K518) * $F$15</f>
        <v>2163655.6945920005</v>
      </c>
      <c r="L548" s="576" cm="1">
        <f t="array" ref="L548">_xlfn.ANCHORARRAY(L518) * $F$15</f>
        <v>2271525.3301119995</v>
      </c>
      <c r="M548" s="576" cm="1">
        <f t="array" ref="M548">_xlfn.ANCHORARRAY(M518) * $F$15</f>
        <v>2379385.3401440009</v>
      </c>
      <c r="N548" s="576" cm="1">
        <f t="array" ref="N548">_xlfn.ANCHORARRAY(N518) * $F$15</f>
        <v>2487210.0567200007</v>
      </c>
      <c r="O548" s="576" cm="1">
        <f t="array" ref="O548">_xlfn.ANCHORARRAY(O518) * $F$15</f>
        <v>2595121.4026880004</v>
      </c>
      <c r="P548" s="576" cm="1">
        <f t="array" ref="P548">_xlfn.ANCHORARRAY(P518) * $F$15</f>
        <v>2704056.2588799996</v>
      </c>
      <c r="Q548" s="576" cm="1">
        <f t="array" ref="Q548">_xlfn.ANCHORARRAY(Q518) * $F$15</f>
        <v>2813023.2000320004</v>
      </c>
      <c r="R548" s="576" cm="1">
        <f t="array" ref="R548">_xlfn.ANCHORARRAY(R518) * $F$15</f>
        <v>2921948.4307360002</v>
      </c>
      <c r="S548" s="576" cm="1">
        <f t="array" ref="S548">_xlfn.ANCHORARRAY(S518) * $F$15</f>
        <v>3030883.2869280004</v>
      </c>
      <c r="T548" s="576" cm="1">
        <f t="array" ref="T548">_xlfn.ANCHORARRAY(T518) * $F$15</f>
        <v>3139904.7725120005</v>
      </c>
      <c r="U548" s="576" cm="1">
        <f t="array" ref="U548">_xlfn.ANCHORARRAY(U518) * $F$15</f>
        <v>3217787.8044160008</v>
      </c>
      <c r="V548" s="576" cm="1">
        <f t="array" ref="V548">_xlfn.ANCHORARRAY(V518) * $F$15</f>
        <v>3271696.9542080001</v>
      </c>
      <c r="W548" s="576" cm="1">
        <f t="array" ref="W548">_xlfn.ANCHORARRAY(W518) * $F$15</f>
        <v>3325606.1040000003</v>
      </c>
      <c r="X548" s="576" cm="1">
        <f t="array" ref="X548">_xlfn.ANCHORARRAY(X518) * $F$15</f>
        <v>3379515.253792</v>
      </c>
      <c r="Y548" s="576" cm="1">
        <f t="array" ref="Y548">_xlfn.ANCHORARRAY(Y518) * $F$15</f>
        <v>3433450.0715520005</v>
      </c>
      <c r="Z548" s="576" cm="1">
        <f t="array" ref="Z548">_xlfn.ANCHORARRAY(Z518) * $F$15</f>
        <v>3487359.2213440007</v>
      </c>
      <c r="AA548" s="576" cm="1">
        <f t="array" ref="AA548">_xlfn.ANCHORARRAY(AA518) * $F$15</f>
        <v>3541294.0391040007</v>
      </c>
      <c r="AB548" s="576" cm="1">
        <f t="array" ref="AB548">_xlfn.ANCHORARRAY(AB518) * $F$15</f>
        <v>3595203.1888960004</v>
      </c>
      <c r="AC548" s="576" cm="1">
        <f t="array" ref="AC548">_xlfn.ANCHORARRAY(AC518) * $F$15</f>
        <v>3649112.3386880006</v>
      </c>
      <c r="AD548" s="576" cm="1">
        <f t="array" ref="AD548">_xlfn.ANCHORARRAY(AD518) * $F$15</f>
        <v>3703047.1564480001</v>
      </c>
      <c r="AE548" s="576" cm="1">
        <f t="array" ref="AE548">_xlfn.ANCHORARRAY(AE518) * $F$15</f>
        <v>3756956.3062399994</v>
      </c>
      <c r="AF548" s="576" cm="1">
        <f t="array" ref="AF548">_xlfn.ANCHORARRAY(AF518) * $F$15</f>
        <v>3810865.4560320005</v>
      </c>
      <c r="AG548" s="714" cm="1">
        <f t="array" ref="AG548">_xlfn.ANCHORARRAY(AG518) * $F$15</f>
        <v>3864800.2737920005</v>
      </c>
      <c r="AH548" s="5"/>
      <c r="AI548" s="5"/>
      <c r="AJ548" s="5"/>
      <c r="AK548" s="5"/>
      <c r="AL548" s="5"/>
      <c r="AM548" s="5"/>
      <c r="AN548" s="5"/>
    </row>
    <row r="549" spans="2:40" ht="21.95" customHeight="1" x14ac:dyDescent="0.2">
      <c r="B549" s="704"/>
      <c r="C549" s="715"/>
      <c r="D549" s="719"/>
      <c r="E549" s="116" t="s">
        <v>339</v>
      </c>
      <c r="F549" s="116" t="s">
        <v>335</v>
      </c>
      <c r="G549" s="116" t="s">
        <v>323</v>
      </c>
      <c r="H549" s="576" cm="1">
        <f t="array" ref="H549">_xlfn.ANCHORARRAY(H519) * $F$15</f>
        <v>5626.84</v>
      </c>
      <c r="I549" s="576" cm="1">
        <f t="array" ref="I549">_xlfn.ANCHORARRAY(I519) * $F$15</f>
        <v>23371.07994</v>
      </c>
      <c r="J549" s="576" cm="1">
        <f t="array" ref="J549">_xlfn.ANCHORARRAY(J519) * $F$15</f>
        <v>208499.74278</v>
      </c>
      <c r="K549" s="576" cm="1">
        <f t="array" ref="K549">_xlfn.ANCHORARRAY(K519) * $F$15</f>
        <v>493153.13812000002</v>
      </c>
      <c r="L549" s="576" cm="1">
        <f t="array" ref="L549">_xlfn.ANCHORARRAY(L519) * $F$15</f>
        <v>778009.09970000014</v>
      </c>
      <c r="M549" s="576" cm="1">
        <f t="array" ref="M549">_xlfn.ANCHORARRAY(M519) * $F$15</f>
        <v>1062752.5244799999</v>
      </c>
      <c r="N549" s="576" cm="1">
        <f t="array" ref="N549">_xlfn.ANCHORARRAY(N519) * $F$15</f>
        <v>1347405.91982</v>
      </c>
      <c r="O549" s="576" cm="1">
        <f t="array" ref="O549">_xlfn.ANCHORARRAY(O519) * $F$15</f>
        <v>1632450.3805400003</v>
      </c>
      <c r="P549" s="576" cm="1">
        <f t="array" ref="P549">_xlfn.ANCHORARRAY(P519) * $F$15</f>
        <v>1749845.95688</v>
      </c>
      <c r="Q549" s="576" cm="1">
        <f t="array" ref="Q549">_xlfn.ANCHORARRAY(Q519) * $F$15</f>
        <v>1867331.5626600003</v>
      </c>
      <c r="R549" s="576" cm="1">
        <f t="array" ref="R549">_xlfn.ANCHORARRAY(R519) * $F$15</f>
        <v>1984789.0342400004</v>
      </c>
      <c r="S549" s="576" cm="1">
        <f t="array" ref="S549">_xlfn.ANCHORARRAY(S519) * $F$15</f>
        <v>2102184.6105800001</v>
      </c>
      <c r="T549" s="576" cm="1">
        <f t="array" ref="T549">_xlfn.ANCHORARRAY(T519) * $F$15</f>
        <v>2219858.7154999999</v>
      </c>
      <c r="U549" s="576" cm="1">
        <f t="array" ref="U549">_xlfn.ANCHORARRAY(U519) * $F$15</f>
        <v>2237602.9554400006</v>
      </c>
      <c r="V549" s="576" cm="1">
        <f t="array" ref="V549">_xlfn.ANCHORARRAY(V519) * $F$15</f>
        <v>2255347.1953800004</v>
      </c>
      <c r="W549" s="576" cm="1">
        <f t="array" ref="W549">_xlfn.ANCHORARRAY(W519) * $F$15</f>
        <v>2273091.4353200006</v>
      </c>
      <c r="X549" s="576" cm="1">
        <f t="array" ref="X549">_xlfn.ANCHORARRAY(X519) * $F$15</f>
        <v>2290835.6752599999</v>
      </c>
      <c r="Y549" s="576" cm="1">
        <f t="array" ref="Y549">_xlfn.ANCHORARRAY(Y519) * $F$15</f>
        <v>2308706.5191000006</v>
      </c>
      <c r="Z549" s="576" cm="1">
        <f t="array" ref="Z549">_xlfn.ANCHORARRAY(Z519) * $F$15</f>
        <v>2326450.7590400004</v>
      </c>
      <c r="AA549" s="576" cm="1">
        <f t="array" ref="AA549">_xlfn.ANCHORARRAY(AA519) * $F$15</f>
        <v>2344251.2673800006</v>
      </c>
      <c r="AB549" s="576" cm="1">
        <f t="array" ref="AB549">_xlfn.ANCHORARRAY(AB519) * $F$15</f>
        <v>2361995.5073200003</v>
      </c>
      <c r="AC549" s="576" cm="1">
        <f t="array" ref="AC549">_xlfn.ANCHORARRAY(AC519) * $F$15</f>
        <v>2379739.7472600006</v>
      </c>
      <c r="AD549" s="576" cm="1">
        <f t="array" ref="AD549">_xlfn.ANCHORARRAY(AD519) * $F$15</f>
        <v>2397610.5911000003</v>
      </c>
      <c r="AE549" s="576" cm="1">
        <f t="array" ref="AE549">_xlfn.ANCHORARRAY(AE519) * $F$15</f>
        <v>2415354.8310400001</v>
      </c>
      <c r="AF549" s="576" cm="1">
        <f t="array" ref="AF549">_xlfn.ANCHORARRAY(AF519) * $F$15</f>
        <v>2433099.0709800003</v>
      </c>
      <c r="AG549" s="714" cm="1">
        <f t="array" ref="AG549">_xlfn.ANCHORARRAY(AG519) * $F$15</f>
        <v>2450899.57932</v>
      </c>
      <c r="AH549" s="5"/>
      <c r="AI549" s="5"/>
      <c r="AJ549" s="5"/>
      <c r="AK549" s="5"/>
      <c r="AL549" s="5"/>
      <c r="AM549" s="5"/>
      <c r="AN549" s="5"/>
    </row>
    <row r="550" spans="2:40" ht="21.95" customHeight="1" x14ac:dyDescent="0.2">
      <c r="B550" s="704"/>
      <c r="C550" s="715"/>
      <c r="D550" s="719"/>
      <c r="E550" s="1340" t="s">
        <v>323</v>
      </c>
      <c r="F550" s="220" t="s">
        <v>282</v>
      </c>
      <c r="G550" s="220" t="s">
        <v>339</v>
      </c>
      <c r="H550" s="576" cm="1">
        <f t="array" ref="H550">_xlfn.ANCHORARRAY(H520) * $F$15</f>
        <v>16162.2</v>
      </c>
      <c r="I550" s="576" cm="1">
        <f t="array" ref="I550">_xlfn.ANCHORARRAY(I520) * $F$15</f>
        <v>35920.489499999996</v>
      </c>
      <c r="J550" s="576" cm="1">
        <f t="array" ref="J550">_xlfn.ANCHORARRAY(J520) * $F$15</f>
        <v>151819.6257</v>
      </c>
      <c r="K550" s="576" cm="1">
        <f t="array" ref="K550">_xlfn.ANCHORARRAY(K520) * $F$15</f>
        <v>341281.01520000002</v>
      </c>
      <c r="L550" s="576" cm="1">
        <f t="array" ref="L550">_xlfn.ANCHORARRAY(L520) * $F$15</f>
        <v>530847.45900000015</v>
      </c>
      <c r="M550" s="576" cm="1">
        <f t="array" ref="M550">_xlfn.ANCHORARRAY(M520) * $F$15</f>
        <v>720421.98389999976</v>
      </c>
      <c r="N550" s="576" cm="1">
        <f t="array" ref="N550">_xlfn.ANCHORARRAY(N520) * $F$15</f>
        <v>909883.37340000016</v>
      </c>
      <c r="O550" s="576" cm="1">
        <f t="array" ref="O550">_xlfn.ANCHORARRAY(O520) * $F$15</f>
        <v>1099562.9526000002</v>
      </c>
      <c r="P550" s="576" cm="1">
        <f t="array" ref="P550">_xlfn.ANCHORARRAY(P520) * $F$15</f>
        <v>1245830.8626000003</v>
      </c>
      <c r="Q550" s="576" cm="1">
        <f t="array" ref="Q550">_xlfn.ANCHORARRAY(Q520) * $F$15</f>
        <v>1392123.0159000002</v>
      </c>
      <c r="R550" s="576" cm="1">
        <f t="array" ref="R550">_xlfn.ANCHORARRAY(R520) * $F$15</f>
        <v>1538390.9258999999</v>
      </c>
      <c r="S550" s="576" cm="1">
        <f t="array" ref="S550">_xlfn.ANCHORARRAY(S520) * $F$15</f>
        <v>1684658.8359000001</v>
      </c>
      <c r="T550" s="576" cm="1">
        <f t="array" ref="T550">_xlfn.ANCHORARRAY(T520) * $F$15</f>
        <v>1831120.6923000002</v>
      </c>
      <c r="U550" s="576" cm="1">
        <f t="array" ref="U550">_xlfn.ANCHORARRAY(U520) * $F$15</f>
        <v>1903713.2136000001</v>
      </c>
      <c r="V550" s="576" cm="1">
        <f t="array" ref="V550">_xlfn.ANCHORARRAY(V520) * $F$15</f>
        <v>1923471.5031000001</v>
      </c>
      <c r="W550" s="576" cm="1">
        <f t="array" ref="W550">_xlfn.ANCHORARRAY(W520) * $F$15</f>
        <v>1943229.7926</v>
      </c>
      <c r="X550" s="576" cm="1">
        <f t="array" ref="X550">_xlfn.ANCHORARRAY(X520) * $F$15</f>
        <v>1962988.0821000002</v>
      </c>
      <c r="Y550" s="576" cm="1">
        <f t="array" ref="Y550">_xlfn.ANCHORARRAY(Y520) * $F$15</f>
        <v>1982802.9393000007</v>
      </c>
      <c r="Z550" s="576" cm="1">
        <f t="array" ref="Z550">_xlfn.ANCHORARRAY(Z520) * $F$15</f>
        <v>2002561.2288000002</v>
      </c>
      <c r="AA550" s="576" cm="1">
        <f t="array" ref="AA550">_xlfn.ANCHORARRAY(AA520) * $F$15</f>
        <v>2022376.0859999999</v>
      </c>
      <c r="AB550" s="576" cm="1">
        <f t="array" ref="AB550">_xlfn.ANCHORARRAY(AB520) * $F$15</f>
        <v>2042134.3754999998</v>
      </c>
      <c r="AC550" s="576" cm="1">
        <f t="array" ref="AC550">_xlfn.ANCHORARRAY(AC520) * $F$15</f>
        <v>2061892.6649999998</v>
      </c>
      <c r="AD550" s="576" cm="1">
        <f t="array" ref="AD550">_xlfn.ANCHORARRAY(AD520) * $F$15</f>
        <v>2081707.5222</v>
      </c>
      <c r="AE550" s="576" cm="1">
        <f t="array" ref="AE550">_xlfn.ANCHORARRAY(AE520) * $F$15</f>
        <v>2101465.8117</v>
      </c>
      <c r="AF550" s="576" cm="1">
        <f t="array" ref="AF550">_xlfn.ANCHORARRAY(AF520) * $F$15</f>
        <v>2121224.1011999999</v>
      </c>
      <c r="AG550" s="714" cm="1">
        <f t="array" ref="AG550">_xlfn.ANCHORARRAY(AG520) * $F$15</f>
        <v>2141038.9584000004</v>
      </c>
      <c r="AH550" s="5"/>
      <c r="AI550" s="5"/>
      <c r="AJ550" s="5"/>
      <c r="AK550" s="5"/>
      <c r="AL550" s="5"/>
      <c r="AM550" s="5"/>
      <c r="AN550" s="5"/>
    </row>
    <row r="551" spans="2:40" ht="21.95" customHeight="1" x14ac:dyDescent="0.2">
      <c r="B551" s="704"/>
      <c r="C551" s="715"/>
      <c r="D551" s="719"/>
      <c r="E551" s="1339"/>
      <c r="F551" s="116" t="s">
        <v>339</v>
      </c>
      <c r="G551" s="116" t="s">
        <v>288</v>
      </c>
      <c r="H551" s="576" cm="1">
        <f t="array" ref="H551">_xlfn.ANCHORARRAY(H521) * $F$15</f>
        <v>0</v>
      </c>
      <c r="I551" s="576" cm="1">
        <f t="array" ref="I551">_xlfn.ANCHORARRAY(I521) * $F$15</f>
        <v>10894.52</v>
      </c>
      <c r="J551" s="576" cm="1">
        <f t="array" ref="J551">_xlfn.ANCHORARRAY(J521) * $F$15</f>
        <v>31488.514960000004</v>
      </c>
      <c r="K551" s="576" cm="1">
        <f t="array" ref="K551">_xlfn.ANCHORARRAY(K521) * $F$15</f>
        <v>70784.210560000007</v>
      </c>
      <c r="L551" s="576" cm="1">
        <f t="array" ref="L551">_xlfn.ANCHORARRAY(L521) * $F$15</f>
        <v>110101.69520000003</v>
      </c>
      <c r="M551" s="576" cm="1">
        <f t="array" ref="M551">_xlfn.ANCHORARRAY(M521) * $F$15</f>
        <v>149420.85591999997</v>
      </c>
      <c r="N551" s="576" cm="1">
        <f t="array" ref="N551">_xlfn.ANCHORARRAY(N521) * $F$15</f>
        <v>188716.55152000004</v>
      </c>
      <c r="O551" s="576" cm="1">
        <f t="array" ref="O551">_xlfn.ANCHORARRAY(O521) * $F$15</f>
        <v>228057.50128000003</v>
      </c>
      <c r="P551" s="576" cm="1">
        <f t="array" ref="P551">_xlfn.ANCHORARRAY(P521) * $F$15</f>
        <v>258394.54928000009</v>
      </c>
      <c r="Q551" s="576" cm="1">
        <f t="array" ref="Q551">_xlfn.ANCHORARRAY(Q521) * $F$15</f>
        <v>288736.62552000006</v>
      </c>
      <c r="R551" s="576" cm="1">
        <f t="array" ref="R551">_xlfn.ANCHORARRAY(R521) * $F$15</f>
        <v>319073.67352000001</v>
      </c>
      <c r="S551" s="576" cm="1">
        <f t="array" ref="S551">_xlfn.ANCHORARRAY(S521) * $F$15</f>
        <v>349410.72152000002</v>
      </c>
      <c r="T551" s="576" cm="1">
        <f t="array" ref="T551">_xlfn.ANCHORARRAY(T521) * $F$15</f>
        <v>379787.99544000009</v>
      </c>
      <c r="U551" s="576" cm="1">
        <f t="array" ref="U551">_xlfn.ANCHORARRAY(U521) * $F$15</f>
        <v>394844.22208000004</v>
      </c>
      <c r="V551" s="576" cm="1">
        <f t="array" ref="V551">_xlfn.ANCHORARRAY(V521) * $F$15</f>
        <v>398942.23768000002</v>
      </c>
      <c r="W551" s="576" cm="1">
        <f t="array" ref="W551">_xlfn.ANCHORARRAY(W521) * $F$15</f>
        <v>403040.25328</v>
      </c>
      <c r="X551" s="576" cm="1">
        <f t="array" ref="X551">_xlfn.ANCHORARRAY(X521) * $F$15</f>
        <v>407138.26888000011</v>
      </c>
      <c r="Y551" s="576" cm="1">
        <f t="array" ref="Y551">_xlfn.ANCHORARRAY(Y521) * $F$15</f>
        <v>411248.01704000012</v>
      </c>
      <c r="Z551" s="576" cm="1">
        <f t="array" ref="Z551">_xlfn.ANCHORARRAY(Z521) * $F$15</f>
        <v>415346.03264000005</v>
      </c>
      <c r="AA551" s="576" cm="1">
        <f t="array" ref="AA551">_xlfn.ANCHORARRAY(AA521) * $F$15</f>
        <v>419455.78079999995</v>
      </c>
      <c r="AB551" s="576" cm="1">
        <f t="array" ref="AB551">_xlfn.ANCHORARRAY(AB521) * $F$15</f>
        <v>423553.79639999993</v>
      </c>
      <c r="AC551" s="576" cm="1">
        <f t="array" ref="AC551">_xlfn.ANCHORARRAY(AC521) * $F$15</f>
        <v>427651.81199999992</v>
      </c>
      <c r="AD551" s="576" cm="1">
        <f t="array" ref="AD551">_xlfn.ANCHORARRAY(AD521) * $F$15</f>
        <v>431761.56015999999</v>
      </c>
      <c r="AE551" s="576" cm="1">
        <f t="array" ref="AE551">_xlfn.ANCHORARRAY(AE521) * $F$15</f>
        <v>435859.57575999998</v>
      </c>
      <c r="AF551" s="576" cm="1">
        <f t="array" ref="AF551">_xlfn.ANCHORARRAY(AF521) * $F$15</f>
        <v>439957.59135999996</v>
      </c>
      <c r="AG551" s="714" cm="1">
        <f t="array" ref="AG551">_xlfn.ANCHORARRAY(AG521) * $F$15</f>
        <v>444067.33952000004</v>
      </c>
      <c r="AH551" s="5"/>
      <c r="AI551" s="5"/>
      <c r="AJ551" s="5"/>
      <c r="AK551" s="5"/>
      <c r="AL551" s="5"/>
      <c r="AM551" s="5"/>
      <c r="AN551" s="5"/>
    </row>
    <row r="552" spans="2:40" ht="21.95" customHeight="1" x14ac:dyDescent="0.2">
      <c r="B552" s="704"/>
      <c r="C552" s="715"/>
      <c r="D552" s="719"/>
      <c r="E552" s="1339"/>
      <c r="F552" s="116" t="s">
        <v>288</v>
      </c>
      <c r="G552" s="116" t="s">
        <v>340</v>
      </c>
      <c r="H552" s="576" cm="1">
        <f t="array" ref="H552">_xlfn.ANCHORARRAY(H522) * $F$15</f>
        <v>0</v>
      </c>
      <c r="I552" s="576" cm="1">
        <f t="array" ref="I552">_xlfn.ANCHORARRAY(I522) * $F$15</f>
        <v>28403.57</v>
      </c>
      <c r="J552" s="576" cm="1">
        <f t="array" ref="J552">_xlfn.ANCHORARRAY(J522) * $F$15</f>
        <v>82095.056859999997</v>
      </c>
      <c r="K552" s="576" cm="1">
        <f t="array" ref="K552">_xlfn.ANCHORARRAY(K522) * $F$15</f>
        <v>184544.54895999999</v>
      </c>
      <c r="L552" s="576" cm="1">
        <f t="array" ref="L552">_xlfn.ANCHORARRAY(L522) * $F$15</f>
        <v>287050.84820000007</v>
      </c>
      <c r="M552" s="576" cm="1">
        <f t="array" ref="M552">_xlfn.ANCHORARRAY(M522) * $F$15</f>
        <v>389561.51721999986</v>
      </c>
      <c r="N552" s="576" cm="1">
        <f t="array" ref="N552">_xlfn.ANCHORARRAY(N522) * $F$15</f>
        <v>492011.00932000001</v>
      </c>
      <c r="O552" s="576" cm="1">
        <f t="array" ref="O552">_xlfn.ANCHORARRAY(O522) * $F$15</f>
        <v>594578.48548000003</v>
      </c>
      <c r="P552" s="576" cm="1">
        <f t="array" ref="P552">_xlfn.ANCHORARRAY(P522) * $F$15</f>
        <v>673671.50348000019</v>
      </c>
      <c r="Q552" s="576" cm="1">
        <f t="array" ref="Q552">_xlfn.ANCHORARRAY(Q522) * $F$15</f>
        <v>752777.63082000019</v>
      </c>
      <c r="R552" s="576" cm="1">
        <f t="array" ref="R552">_xlfn.ANCHORARRAY(R522) * $F$15</f>
        <v>831870.64881999989</v>
      </c>
      <c r="S552" s="576" cm="1">
        <f t="array" ref="S552">_xlfn.ANCHORARRAY(S522) * $F$15</f>
        <v>910963.66681999981</v>
      </c>
      <c r="T552" s="576" cm="1">
        <f t="array" ref="T552">_xlfn.ANCHORARRAY(T522) * $F$15</f>
        <v>990161.55953999993</v>
      </c>
      <c r="U552" s="576" cm="1">
        <f t="array" ref="U552">_xlfn.ANCHORARRAY(U522) * $F$15</f>
        <v>1029415.29328</v>
      </c>
      <c r="V552" s="576" cm="1">
        <f t="array" ref="V552">_xlfn.ANCHORARRAY(V522) * $F$15</f>
        <v>1040099.40538</v>
      </c>
      <c r="W552" s="576" cm="1">
        <f t="array" ref="W552">_xlfn.ANCHORARRAY(W522) * $F$15</f>
        <v>1050783.5174800002</v>
      </c>
      <c r="X552" s="576" cm="1">
        <f t="array" ref="X552">_xlfn.ANCHORARRAY(X522) * $F$15</f>
        <v>1061467.6295799999</v>
      </c>
      <c r="Y552" s="576" cm="1">
        <f t="array" ref="Y552">_xlfn.ANCHORARRAY(Y522) * $F$15</f>
        <v>1072182.3301400002</v>
      </c>
      <c r="Z552" s="576" cm="1">
        <f t="array" ref="Z552">_xlfn.ANCHORARRAY(Z522) * $F$15</f>
        <v>1082866.44224</v>
      </c>
      <c r="AA552" s="576" cm="1">
        <f t="array" ref="AA552">_xlfn.ANCHORARRAY(AA522) * $F$15</f>
        <v>1093581.1427999998</v>
      </c>
      <c r="AB552" s="576" cm="1">
        <f t="array" ref="AB552">_xlfn.ANCHORARRAY(AB522) * $F$15</f>
        <v>1104265.2548999998</v>
      </c>
      <c r="AC552" s="576" cm="1">
        <f t="array" ref="AC552">_xlfn.ANCHORARRAY(AC522) * $F$15</f>
        <v>1114949.3669999999</v>
      </c>
      <c r="AD552" s="576" cm="1">
        <f t="array" ref="AD552">_xlfn.ANCHORARRAY(AD522) * $F$15</f>
        <v>1125664.0675599996</v>
      </c>
      <c r="AE552" s="576" cm="1">
        <f t="array" ref="AE552">_xlfn.ANCHORARRAY(AE522) * $F$15</f>
        <v>1136348.1796599999</v>
      </c>
      <c r="AF552" s="576" cm="1">
        <f t="array" ref="AF552">_xlfn.ANCHORARRAY(AF522) * $F$15</f>
        <v>1147032.2917599999</v>
      </c>
      <c r="AG552" s="714" cm="1">
        <f t="array" ref="AG552">_xlfn.ANCHORARRAY(AG522) * $F$15</f>
        <v>1157746.99232</v>
      </c>
      <c r="AH552" s="5"/>
      <c r="AI552" s="5"/>
      <c r="AJ552" s="5"/>
      <c r="AK552" s="5"/>
      <c r="AL552" s="5"/>
      <c r="AM552" s="5"/>
      <c r="AN552" s="5"/>
    </row>
    <row r="553" spans="2:40" ht="21.95" customHeight="1" x14ac:dyDescent="0.2">
      <c r="B553" s="704"/>
      <c r="C553" s="715"/>
      <c r="D553" s="719"/>
      <c r="E553" s="1353"/>
      <c r="F553" s="254" t="s">
        <v>340</v>
      </c>
      <c r="G553" s="254" t="s">
        <v>280</v>
      </c>
      <c r="H553" s="576" cm="1">
        <f t="array" ref="H553">_xlfn.ANCHORARRAY(H523) * $F$15</f>
        <v>37711.800000000003</v>
      </c>
      <c r="I553" s="576" cm="1">
        <f t="array" ref="I553">_xlfn.ANCHORARRAY(I523) * $F$15</f>
        <v>55734.269220000002</v>
      </c>
      <c r="J553" s="576" cm="1">
        <f t="array" ref="J553">_xlfn.ANCHORARRAY(J523) * $F$15</f>
        <v>78186.617880000005</v>
      </c>
      <c r="K553" s="576" cm="1">
        <f t="array" ref="K553">_xlfn.ANCHORARRAY(K523) * $F$15</f>
        <v>126261.62052000001</v>
      </c>
      <c r="L553" s="576" cm="1">
        <f t="array" ref="L553">_xlfn.ANCHORARRAY(L523) * $F$15</f>
        <v>174342.90846000004</v>
      </c>
      <c r="M553" s="576" cm="1">
        <f t="array" ref="M553">_xlfn.ANCHORARRAY(M523) * $F$15</f>
        <v>222444.30936000001</v>
      </c>
      <c r="N553" s="576" cm="1">
        <f t="array" ref="N553">_xlfn.ANCHORARRAY(N523) * $F$15</f>
        <v>270519.31200000003</v>
      </c>
      <c r="O553" s="576" cm="1">
        <f t="array" ref="O553">_xlfn.ANCHORARRAY(O523) * $F$15</f>
        <v>318569.17344000004</v>
      </c>
      <c r="P553" s="576" cm="1">
        <f t="array" ref="P553">_xlfn.ANCHORARRAY(P523) * $F$15</f>
        <v>415051.04256000003</v>
      </c>
      <c r="Q553" s="576" cm="1">
        <f t="array" ref="Q553">_xlfn.ANCHORARRAY(Q523) * $F$15</f>
        <v>511477.6010400001</v>
      </c>
      <c r="R553" s="576" cm="1">
        <f t="array" ref="R553">_xlfn.ANCHORARRAY(R523) * $F$15</f>
        <v>607925.52954000013</v>
      </c>
      <c r="S553" s="576" cm="1">
        <f t="array" ref="S553">_xlfn.ANCHORARRAY(S523) * $F$15</f>
        <v>704407.39866000006</v>
      </c>
      <c r="T553" s="576" cm="1">
        <f t="array" ref="T553">_xlfn.ANCHORARRAY(T523) * $F$15</f>
        <v>800864.12658000016</v>
      </c>
      <c r="U553" s="576" cm="1">
        <f t="array" ref="U553">_xlfn.ANCHORARRAY(U523) * $F$15</f>
        <v>871720.82760000008</v>
      </c>
      <c r="V553" s="576" cm="1">
        <f t="array" ref="V553">_xlfn.ANCHORARRAY(V523) * $F$15</f>
        <v>889743.29682000016</v>
      </c>
      <c r="W553" s="576" cm="1">
        <f t="array" ref="W553">_xlfn.ANCHORARRAY(W523) * $F$15</f>
        <v>907765.76604000013</v>
      </c>
      <c r="X553" s="576" cm="1">
        <f t="array" ref="X553">_xlfn.ANCHORARRAY(X523) * $F$15</f>
        <v>925788.23525999999</v>
      </c>
      <c r="Y553" s="576" cm="1">
        <f t="array" ref="Y553">_xlfn.ANCHORARRAY(Y523) * $F$15</f>
        <v>943756.65090000001</v>
      </c>
      <c r="Z553" s="576" cm="1">
        <f t="array" ref="Z553">_xlfn.ANCHORARRAY(Z523) * $F$15</f>
        <v>961779.12012000009</v>
      </c>
      <c r="AA553" s="576" cm="1">
        <f t="array" ref="AA553">_xlfn.ANCHORARRAY(AA523) * $F$15</f>
        <v>979747.53576</v>
      </c>
      <c r="AB553" s="576" cm="1">
        <f t="array" ref="AB553">_xlfn.ANCHORARRAY(AB523) * $F$15</f>
        <v>997770.00498000009</v>
      </c>
      <c r="AC553" s="576" cm="1">
        <f t="array" ref="AC553">_xlfn.ANCHORARRAY(AC523) * $F$15</f>
        <v>1015792.4742000001</v>
      </c>
      <c r="AD553" s="576" cm="1">
        <f t="array" ref="AD553">_xlfn.ANCHORARRAY(AD523) * $F$15</f>
        <v>1033760.88984</v>
      </c>
      <c r="AE553" s="576" cm="1">
        <f t="array" ref="AE553">_xlfn.ANCHORARRAY(AE523) * $F$15</f>
        <v>1051783.3590599999</v>
      </c>
      <c r="AF553" s="576" cm="1">
        <f t="array" ref="AF553">_xlfn.ANCHORARRAY(AF523) * $F$15</f>
        <v>1069805.82828</v>
      </c>
      <c r="AG553" s="714" cm="1">
        <f t="array" ref="AG553">_xlfn.ANCHORARRAY(AG523) * $F$15</f>
        <v>1087774.24392</v>
      </c>
      <c r="AH553" s="5"/>
      <c r="AI553" s="5"/>
      <c r="AJ553" s="5"/>
      <c r="AK553" s="5"/>
      <c r="AL553" s="5"/>
      <c r="AM553" s="5"/>
      <c r="AN553" s="5"/>
    </row>
    <row r="554" spans="2:40" ht="21.95" customHeight="1" x14ac:dyDescent="0.2">
      <c r="B554" s="704"/>
      <c r="C554" s="715"/>
      <c r="D554" s="719"/>
      <c r="E554" s="1340" t="s">
        <v>334</v>
      </c>
      <c r="F554" s="116" t="s">
        <v>336</v>
      </c>
      <c r="G554" s="116" t="s">
        <v>337</v>
      </c>
      <c r="H554" s="576" cm="1">
        <f t="array" ref="H554">_xlfn.ANCHORARRAY(H524) * $F$15</f>
        <v>838040</v>
      </c>
      <c r="I554" s="576" cm="1">
        <f t="array" ref="I554">_xlfn.ANCHORARRAY(I524) * $F$15</f>
        <v>861253.70799999998</v>
      </c>
      <c r="J554" s="576" cm="1">
        <f t="array" ref="J554">_xlfn.ANCHORARRAY(J524) * $F$15</f>
        <v>898717.08900000004</v>
      </c>
      <c r="K554" s="576" cm="1">
        <f t="array" ref="K554">_xlfn.ANCHORARRAY(K524) * $F$15</f>
        <v>952237.91500000004</v>
      </c>
      <c r="L554" s="576" cm="1">
        <f t="array" ref="L554">_xlfn.ANCHORARRAY(L524) * $F$15</f>
        <v>1005782.6850000002</v>
      </c>
      <c r="M554" s="576" cm="1">
        <f t="array" ref="M554">_xlfn.ANCHORARRAY(M524) * $F$15</f>
        <v>1059324.4620000003</v>
      </c>
      <c r="N554" s="576" cm="1">
        <f t="array" ref="N554">_xlfn.ANCHORARRAY(N524) * $F$15</f>
        <v>1112845.2880000004</v>
      </c>
      <c r="O554" s="576" cm="1">
        <f t="array" ref="O554">_xlfn.ANCHORARRAY(O524) * $F$15</f>
        <v>1166414.0020000001</v>
      </c>
      <c r="P554" s="576" cm="1">
        <f t="array" ref="P554">_xlfn.ANCHORARRAY(P524) * $F$15</f>
        <v>1214095.4849999999</v>
      </c>
      <c r="Q554" s="576" cm="1">
        <f t="array" ref="Q554">_xlfn.ANCHORARRAY(Q524) * $F$15</f>
        <v>1261791.933</v>
      </c>
      <c r="R554" s="576" cm="1">
        <f t="array" ref="R554">_xlfn.ANCHORARRAY(R524) * $F$15</f>
        <v>1309473.416</v>
      </c>
      <c r="S554" s="576" cm="1">
        <f t="array" ref="S554">_xlfn.ANCHORARRAY(S524) * $F$15</f>
        <v>1357154.899</v>
      </c>
      <c r="T554" s="576" cm="1">
        <f t="array" ref="T554">_xlfn.ANCHORARRAY(T524) * $F$15</f>
        <v>1404884.27</v>
      </c>
      <c r="U554" s="576" cm="1">
        <f t="array" ref="U554">_xlfn.ANCHORARRAY(U524) * $F$15</f>
        <v>1436484.3640000001</v>
      </c>
      <c r="V554" s="576" cm="1">
        <f t="array" ref="V554">_xlfn.ANCHORARRAY(V524) * $F$15</f>
        <v>1459698.0720000002</v>
      </c>
      <c r="W554" s="576" cm="1">
        <f t="array" ref="W554">_xlfn.ANCHORARRAY(W524) * $F$15</f>
        <v>1482911.78</v>
      </c>
      <c r="X554" s="576" cm="1">
        <f t="array" ref="X554">_xlfn.ANCHORARRAY(X524) * $F$15</f>
        <v>1506125.4880000001</v>
      </c>
      <c r="Y554" s="576" cm="1">
        <f t="array" ref="Y554">_xlfn.ANCHORARRAY(Y524) * $F$15</f>
        <v>1529354.1610000001</v>
      </c>
      <c r="Z554" s="576" cm="1">
        <f t="array" ref="Z554">_xlfn.ANCHORARRAY(Z524) * $F$15</f>
        <v>1552567.8690000004</v>
      </c>
      <c r="AA554" s="576" cm="1">
        <f t="array" ref="AA554">_xlfn.ANCHORARRAY(AA524) * $F$15</f>
        <v>1575796.5419999997</v>
      </c>
      <c r="AB554" s="576" cm="1">
        <f t="array" ref="AB554">_xlfn.ANCHORARRAY(AB524) * $F$15</f>
        <v>1599010.2499999998</v>
      </c>
      <c r="AC554" s="576" cm="1">
        <f t="array" ref="AC554">_xlfn.ANCHORARRAY(AC524) * $F$15</f>
        <v>1622223.9580000001</v>
      </c>
      <c r="AD554" s="576" cm="1">
        <f t="array" ref="AD554">_xlfn.ANCHORARRAY(AD524) * $F$15</f>
        <v>1645452.6310000001</v>
      </c>
      <c r="AE554" s="576" cm="1">
        <f t="array" ref="AE554">_xlfn.ANCHORARRAY(AE524) * $F$15</f>
        <v>1668666.3389999997</v>
      </c>
      <c r="AF554" s="576" cm="1">
        <f t="array" ref="AF554">_xlfn.ANCHORARRAY(AF524) * $F$15</f>
        <v>1691880.0469999998</v>
      </c>
      <c r="AG554" s="714" cm="1">
        <f t="array" ref="AG554">_xlfn.ANCHORARRAY(AG524) * $F$15</f>
        <v>1715108.7199999997</v>
      </c>
      <c r="AH554" s="5"/>
      <c r="AI554" s="5"/>
      <c r="AJ554" s="5"/>
      <c r="AK554" s="5"/>
      <c r="AL554" s="5"/>
      <c r="AM554" s="5"/>
      <c r="AN554" s="5"/>
    </row>
    <row r="555" spans="2:40" ht="21.95" customHeight="1" x14ac:dyDescent="0.2">
      <c r="B555" s="704"/>
      <c r="C555" s="715"/>
      <c r="D555" s="719"/>
      <c r="E555" s="1339"/>
      <c r="F555" s="116" t="s">
        <v>337</v>
      </c>
      <c r="G555" s="116" t="s">
        <v>386</v>
      </c>
      <c r="H555" s="576" cm="1">
        <f t="array" ref="H555">_xlfn.ANCHORARRAY(H525) * $F$15</f>
        <v>1316920</v>
      </c>
      <c r="I555" s="576" cm="1">
        <f t="array" ref="I555">_xlfn.ANCHORARRAY(I525) * $F$15</f>
        <v>1318895.3800000001</v>
      </c>
      <c r="J555" s="576" cm="1">
        <f t="array" ref="J555">_xlfn.ANCHORARRAY(J525) * $F$15</f>
        <v>1320870.76</v>
      </c>
      <c r="K555" s="576" cm="1">
        <f t="array" ref="K555">_xlfn.ANCHORARRAY(K525) * $F$15</f>
        <v>1322846.1400000001</v>
      </c>
      <c r="L555" s="576" cm="1">
        <f t="array" ref="L555">_xlfn.ANCHORARRAY(L525) * $F$15</f>
        <v>1324821.52</v>
      </c>
      <c r="M555" s="576" cm="1">
        <f t="array" ref="M555">_xlfn.ANCHORARRAY(M525) * $F$15</f>
        <v>1326796.9000000001</v>
      </c>
      <c r="N555" s="576" cm="1">
        <f t="array" ref="N555">_xlfn.ANCHORARRAY(N525) * $F$15</f>
        <v>1328772.2799999998</v>
      </c>
      <c r="O555" s="576" cm="1">
        <f t="array" ref="O555">_xlfn.ANCHORARRAY(O525) * $F$15</f>
        <v>1330747.6600000001</v>
      </c>
      <c r="P555" s="576" cm="1">
        <f t="array" ref="P555">_xlfn.ANCHORARRAY(P525) * $F$15</f>
        <v>1332723.04</v>
      </c>
      <c r="Q555" s="576" cm="1">
        <f t="array" ref="Q555">_xlfn.ANCHORARRAY(Q525) * $F$15</f>
        <v>1332723.04</v>
      </c>
      <c r="R555" s="576" cm="1">
        <f t="array" ref="R555">_xlfn.ANCHORARRAY(R525) * $F$15</f>
        <v>1332723.04</v>
      </c>
      <c r="S555" s="576" cm="1">
        <f t="array" ref="S555">_xlfn.ANCHORARRAY(S525) * $F$15</f>
        <v>1332723.04</v>
      </c>
      <c r="T555" s="576" cm="1">
        <f t="array" ref="T555">_xlfn.ANCHORARRAY(T525) * $F$15</f>
        <v>1332723.04</v>
      </c>
      <c r="U555" s="576" cm="1">
        <f t="array" ref="U555">_xlfn.ANCHORARRAY(U525) * $F$15</f>
        <v>1332723.04</v>
      </c>
      <c r="V555" s="576" cm="1">
        <f t="array" ref="V555">_xlfn.ANCHORARRAY(V525) * $F$15</f>
        <v>1341473.9135399999</v>
      </c>
      <c r="W555" s="576" cm="1">
        <f t="array" ref="W555">_xlfn.ANCHORARRAY(W525) * $F$15</f>
        <v>1362250.4216399998</v>
      </c>
      <c r="X555" s="576" cm="1">
        <f t="array" ref="X555">_xlfn.ANCHORARRAY(X525) * $F$15</f>
        <v>1383026.9297399998</v>
      </c>
      <c r="Y555" s="576" cm="1">
        <f t="array" ref="Y555">_xlfn.ANCHORARRAY(Y525) * $F$15</f>
        <v>1403808.2865000002</v>
      </c>
      <c r="Z555" s="576" cm="1">
        <f t="array" ref="Z555">_xlfn.ANCHORARRAY(Z525) * $F$15</f>
        <v>1424584.7945999999</v>
      </c>
      <c r="AA555" s="576" cm="1">
        <f t="array" ref="AA555">_xlfn.ANCHORARRAY(AA525) * $F$15</f>
        <v>1445366.1513599998</v>
      </c>
      <c r="AB555" s="576" cm="1">
        <f t="array" ref="AB555">_xlfn.ANCHORARRAY(AB525) * $F$15</f>
        <v>1466142.6594599998</v>
      </c>
      <c r="AC555" s="576" cm="1">
        <f t="array" ref="AC555">_xlfn.ANCHORARRAY(AC525) * $F$15</f>
        <v>1486919.16756</v>
      </c>
      <c r="AD555" s="576" cm="1">
        <f t="array" ref="AD555">_xlfn.ANCHORARRAY(AD525) * $F$15</f>
        <v>1507700.5243200001</v>
      </c>
      <c r="AE555" s="576" cm="1">
        <f t="array" ref="AE555">_xlfn.ANCHORARRAY(AE525) * $F$15</f>
        <v>1528477.0324200001</v>
      </c>
      <c r="AF555" s="576" cm="1">
        <f t="array" ref="AF555">_xlfn.ANCHORARRAY(AF525) * $F$15</f>
        <v>1549253.54052</v>
      </c>
      <c r="AG555" s="714" cm="1">
        <f t="array" ref="AG555">_xlfn.ANCHORARRAY(AG525) * $F$15</f>
        <v>1570034.8972799999</v>
      </c>
      <c r="AH555" s="5"/>
      <c r="AI555" s="5"/>
      <c r="AJ555" s="5"/>
      <c r="AK555" s="5"/>
      <c r="AL555" s="5"/>
      <c r="AM555" s="5"/>
      <c r="AN555" s="5"/>
    </row>
    <row r="556" spans="2:40" ht="21.95" customHeight="1" x14ac:dyDescent="0.2">
      <c r="B556" s="704"/>
      <c r="C556" s="715"/>
      <c r="D556" s="719"/>
      <c r="E556" s="1339"/>
      <c r="F556" s="116" t="s">
        <v>342</v>
      </c>
      <c r="G556" s="116" t="s">
        <v>341</v>
      </c>
      <c r="H556" s="576" cm="1">
        <f t="array" ref="H556">_xlfn.ANCHORARRAY(H526) * $F$15</f>
        <v>1711996</v>
      </c>
      <c r="I556" s="576" cm="1">
        <f t="array" ref="I556">_xlfn.ANCHORARRAY(I526) * $F$15</f>
        <v>1714563.9940000002</v>
      </c>
      <c r="J556" s="576" cm="1">
        <f t="array" ref="J556">_xlfn.ANCHORARRAY(J526) * $F$15</f>
        <v>1717131.9880000001</v>
      </c>
      <c r="K556" s="576" cm="1">
        <f t="array" ref="K556">_xlfn.ANCHORARRAY(K526) * $F$15</f>
        <v>1719699.9820000001</v>
      </c>
      <c r="L556" s="576" cm="1">
        <f t="array" ref="L556">_xlfn.ANCHORARRAY(L526) * $F$15</f>
        <v>1722267.976</v>
      </c>
      <c r="M556" s="576" cm="1">
        <f t="array" ref="M556">_xlfn.ANCHORARRAY(M526) * $F$15</f>
        <v>1724835.97</v>
      </c>
      <c r="N556" s="576" cm="1">
        <f t="array" ref="N556">_xlfn.ANCHORARRAY(N526) * $F$15</f>
        <v>1727403.9640000002</v>
      </c>
      <c r="O556" s="576" cm="1">
        <f t="array" ref="O556">_xlfn.ANCHORARRAY(O526) * $F$15</f>
        <v>1729971.9580000001</v>
      </c>
      <c r="P556" s="576" cm="1">
        <f t="array" ref="P556">_xlfn.ANCHORARRAY(P526) * $F$15</f>
        <v>1732539.952</v>
      </c>
      <c r="Q556" s="576" cm="1">
        <f t="array" ref="Q556">_xlfn.ANCHORARRAY(Q526) * $F$15</f>
        <v>1732539.952</v>
      </c>
      <c r="R556" s="576" cm="1">
        <f t="array" ref="R556">_xlfn.ANCHORARRAY(R526) * $F$15</f>
        <v>1732539.952</v>
      </c>
      <c r="S556" s="576" cm="1">
        <f t="array" ref="S556">_xlfn.ANCHORARRAY(S526) * $F$15</f>
        <v>1732539.952</v>
      </c>
      <c r="T556" s="576" cm="1">
        <f t="array" ref="T556">_xlfn.ANCHORARRAY(T526) * $F$15</f>
        <v>1732539.952</v>
      </c>
      <c r="U556" s="576" cm="1">
        <f t="array" ref="U556">_xlfn.ANCHORARRAY(U526) * $F$15</f>
        <v>1732539.952</v>
      </c>
      <c r="V556" s="576" cm="1">
        <f t="array" ref="V556">_xlfn.ANCHORARRAY(V526) * $F$15</f>
        <v>1743916.087602</v>
      </c>
      <c r="W556" s="576" cm="1">
        <f t="array" ref="W556">_xlfn.ANCHORARRAY(W526) * $F$15</f>
        <v>1770925.5481319998</v>
      </c>
      <c r="X556" s="576" cm="1">
        <f t="array" ref="X556">_xlfn.ANCHORARRAY(X526) * $F$15</f>
        <v>1797935.0086619998</v>
      </c>
      <c r="Y556" s="576" cm="1">
        <f t="array" ref="Y556">_xlfn.ANCHORARRAY(Y526) * $F$15</f>
        <v>1824950.7724500003</v>
      </c>
      <c r="Z556" s="576" cm="1">
        <f t="array" ref="Z556">_xlfn.ANCHORARRAY(Z526) * $F$15</f>
        <v>1851960.2329799999</v>
      </c>
      <c r="AA556" s="576" cm="1">
        <f t="array" ref="AA556">_xlfn.ANCHORARRAY(AA526) * $F$15</f>
        <v>1878975.9967679996</v>
      </c>
      <c r="AB556" s="576" cm="1">
        <f t="array" ref="AB556">_xlfn.ANCHORARRAY(AB526) * $F$15</f>
        <v>1905985.4572979999</v>
      </c>
      <c r="AC556" s="576" cm="1">
        <f t="array" ref="AC556">_xlfn.ANCHORARRAY(AC526) * $F$15</f>
        <v>1932994.9178279999</v>
      </c>
      <c r="AD556" s="576" cm="1">
        <f t="array" ref="AD556">_xlfn.ANCHORARRAY(AD526) * $F$15</f>
        <v>1960010.6816160004</v>
      </c>
      <c r="AE556" s="576" cm="1">
        <f t="array" ref="AE556">_xlfn.ANCHORARRAY(AE526) * $F$15</f>
        <v>1987020.1421459999</v>
      </c>
      <c r="AF556" s="576" cm="1">
        <f t="array" ref="AF556">_xlfn.ANCHORARRAY(AF526) * $F$15</f>
        <v>2014029.6026760002</v>
      </c>
      <c r="AG556" s="714" cm="1">
        <f t="array" ref="AG556">_xlfn.ANCHORARRAY(AG526) * $F$15</f>
        <v>2041045.366464</v>
      </c>
      <c r="AH556" s="5"/>
      <c r="AI556" s="5"/>
      <c r="AJ556" s="5"/>
      <c r="AK556" s="5"/>
      <c r="AL556" s="5"/>
      <c r="AM556" s="5"/>
      <c r="AN556" s="5"/>
    </row>
    <row r="557" spans="2:40" ht="21.95" customHeight="1" x14ac:dyDescent="0.2">
      <c r="B557" s="704"/>
      <c r="C557" s="715"/>
      <c r="D557" s="719"/>
      <c r="E557" s="1339"/>
      <c r="F557" s="116" t="s">
        <v>341</v>
      </c>
      <c r="G557" s="116" t="s">
        <v>344</v>
      </c>
      <c r="H557" s="576" cm="1">
        <f t="array" ref="H557">_xlfn.ANCHORARRAY(H527) * $F$15</f>
        <v>1898759.2000000002</v>
      </c>
      <c r="I557" s="576" cm="1">
        <f t="array" ref="I557">_xlfn.ANCHORARRAY(I527) * $F$15</f>
        <v>1901607.3388</v>
      </c>
      <c r="J557" s="576" cm="1">
        <f t="array" ref="J557">_xlfn.ANCHORARRAY(J527) * $F$15</f>
        <v>1904455.4775999996</v>
      </c>
      <c r="K557" s="576" cm="1">
        <f t="array" ref="K557">_xlfn.ANCHORARRAY(K527) * $F$15</f>
        <v>1907303.6163999999</v>
      </c>
      <c r="L557" s="576" cm="1">
        <f t="array" ref="L557">_xlfn.ANCHORARRAY(L527) * $F$15</f>
        <v>1910151.7551999998</v>
      </c>
      <c r="M557" s="576" cm="1">
        <f t="array" ref="M557">_xlfn.ANCHORARRAY(M527) * $F$15</f>
        <v>1912999.8940000001</v>
      </c>
      <c r="N557" s="576" cm="1">
        <f t="array" ref="N557">_xlfn.ANCHORARRAY(N527) * $F$15</f>
        <v>1915848.0327999997</v>
      </c>
      <c r="O557" s="576" cm="1">
        <f t="array" ref="O557">_xlfn.ANCHORARRAY(O527) * $F$15</f>
        <v>1918696.1716000002</v>
      </c>
      <c r="P557" s="576" cm="1">
        <f t="array" ref="P557">_xlfn.ANCHORARRAY(P527) * $F$15</f>
        <v>1921544.3104000001</v>
      </c>
      <c r="Q557" s="576" cm="1">
        <f t="array" ref="Q557">_xlfn.ANCHORARRAY(Q527) * $F$15</f>
        <v>1921544.3104000001</v>
      </c>
      <c r="R557" s="576" cm="1">
        <f t="array" ref="R557">_xlfn.ANCHORARRAY(R527) * $F$15</f>
        <v>1921544.3104000001</v>
      </c>
      <c r="S557" s="576" cm="1">
        <f t="array" ref="S557">_xlfn.ANCHORARRAY(S527) * $F$15</f>
        <v>1921544.3104000001</v>
      </c>
      <c r="T557" s="576" cm="1">
        <f t="array" ref="T557">_xlfn.ANCHORARRAY(T527) * $F$15</f>
        <v>1921544.3104000001</v>
      </c>
      <c r="U557" s="576" cm="1">
        <f t="array" ref="U557">_xlfn.ANCHORARRAY(U527) * $F$15</f>
        <v>1921544.3104000001</v>
      </c>
      <c r="V557" s="576" cm="1">
        <f t="array" ref="V557">_xlfn.ANCHORARRAY(V527) * $F$15</f>
        <v>1921544.3104000001</v>
      </c>
      <c r="W557" s="576" cm="1">
        <f t="array" ref="W557">_xlfn.ANCHORARRAY(W527) * $F$15</f>
        <v>1921544.3104000001</v>
      </c>
      <c r="X557" s="576" cm="1">
        <f t="array" ref="X557">_xlfn.ANCHORARRAY(X527) * $F$15</f>
        <v>1921544.3104000001</v>
      </c>
      <c r="Y557" s="576" cm="1">
        <f t="array" ref="Y557">_xlfn.ANCHORARRAY(Y527) * $F$15</f>
        <v>1921544.3104000001</v>
      </c>
      <c r="Z557" s="576" cm="1">
        <f t="array" ref="Z557">_xlfn.ANCHORARRAY(Z527) * $F$15</f>
        <v>1946552.66334144</v>
      </c>
      <c r="AA557" s="576" cm="1">
        <f t="array" ref="AA557">_xlfn.ANCHORARRAY(AA527) * $F$15</f>
        <v>1974948.3092183042</v>
      </c>
      <c r="AB557" s="576" cm="1">
        <f t="array" ref="AB557">_xlfn.ANCHORARRAY(AB527) * $F$15</f>
        <v>2003337.329886144</v>
      </c>
      <c r="AC557" s="576" cm="1">
        <f t="array" ref="AC557">_xlfn.ANCHORARRAY(AC527) * $F$15</f>
        <v>2031726.3505539841</v>
      </c>
      <c r="AD557" s="576" cm="1">
        <f t="array" ref="AD557">_xlfn.ANCHORARRAY(AD527) * $F$15</f>
        <v>2060121.996430848</v>
      </c>
      <c r="AE557" s="576" cm="1">
        <f t="array" ref="AE557">_xlfn.ANCHORARRAY(AE527) * $F$15</f>
        <v>2088511.0170986881</v>
      </c>
      <c r="AF557" s="576" cm="1">
        <f t="array" ref="AF557">_xlfn.ANCHORARRAY(AF527) * $F$15</f>
        <v>2116900.0377665283</v>
      </c>
      <c r="AG557" s="714" cm="1">
        <f t="array" ref="AG557">_xlfn.ANCHORARRAY(AG527) * $F$15</f>
        <v>2145295.6836433923</v>
      </c>
      <c r="AH557" s="5"/>
      <c r="AI557" s="5"/>
      <c r="AJ557" s="5"/>
      <c r="AK557" s="5"/>
      <c r="AL557" s="5"/>
      <c r="AM557" s="5"/>
      <c r="AN557" s="5"/>
    </row>
    <row r="558" spans="2:40" ht="21.95" customHeight="1" x14ac:dyDescent="0.2">
      <c r="B558" s="704"/>
      <c r="C558" s="715"/>
      <c r="D558" s="719"/>
      <c r="E558" s="1339"/>
      <c r="F558" s="116" t="s">
        <v>344</v>
      </c>
      <c r="G558" s="116" t="s">
        <v>345</v>
      </c>
      <c r="H558" s="576" cm="1">
        <f t="array" ref="H558">_xlfn.ANCHORARRAY(H528) * $F$15</f>
        <v>778180</v>
      </c>
      <c r="I558" s="576" cm="1">
        <f t="array" ref="I558">_xlfn.ANCHORARRAY(I528) * $F$15</f>
        <v>779347.27</v>
      </c>
      <c r="J558" s="576" cm="1">
        <f t="array" ref="J558">_xlfn.ANCHORARRAY(J528) * $F$15</f>
        <v>780514.53999999992</v>
      </c>
      <c r="K558" s="576" cm="1">
        <f t="array" ref="K558">_xlfn.ANCHORARRAY(K528) * $F$15</f>
        <v>781681.81</v>
      </c>
      <c r="L558" s="576" cm="1">
        <f t="array" ref="L558">_xlfn.ANCHORARRAY(L528) * $F$15</f>
        <v>782849.08000000007</v>
      </c>
      <c r="M558" s="576" cm="1">
        <f t="array" ref="M558">_xlfn.ANCHORARRAY(M528) * $F$15</f>
        <v>784016.35</v>
      </c>
      <c r="N558" s="576" cm="1">
        <f t="array" ref="N558">_xlfn.ANCHORARRAY(N528) * $F$15</f>
        <v>785183.61999999988</v>
      </c>
      <c r="O558" s="576" cm="1">
        <f t="array" ref="O558">_xlfn.ANCHORARRAY(O528) * $F$15</f>
        <v>786350.89</v>
      </c>
      <c r="P558" s="576" cm="1">
        <f t="array" ref="P558">_xlfn.ANCHORARRAY(P528) * $F$15</f>
        <v>787518.16</v>
      </c>
      <c r="Q558" s="576" cm="1">
        <f t="array" ref="Q558">_xlfn.ANCHORARRAY(Q528) * $F$15</f>
        <v>787518.16</v>
      </c>
      <c r="R558" s="576" cm="1">
        <f t="array" ref="R558">_xlfn.ANCHORARRAY(R528) * $F$15</f>
        <v>787518.16</v>
      </c>
      <c r="S558" s="576" cm="1">
        <f t="array" ref="S558">_xlfn.ANCHORARRAY(S528) * $F$15</f>
        <v>787518.16</v>
      </c>
      <c r="T558" s="576" cm="1">
        <f t="array" ref="T558">_xlfn.ANCHORARRAY(T528) * $F$15</f>
        <v>787518.16</v>
      </c>
      <c r="U558" s="576" cm="1">
        <f t="array" ref="U558">_xlfn.ANCHORARRAY(U528) * $F$15</f>
        <v>787518.16</v>
      </c>
      <c r="V558" s="576" cm="1">
        <f t="array" ref="V558">_xlfn.ANCHORARRAY(V528) * $F$15</f>
        <v>787518.16</v>
      </c>
      <c r="W558" s="576" cm="1">
        <f t="array" ref="W558">_xlfn.ANCHORARRAY(W528) * $F$15</f>
        <v>787518.16</v>
      </c>
      <c r="X558" s="576" cm="1">
        <f t="array" ref="X558">_xlfn.ANCHORARRAY(X528) * $F$15</f>
        <v>787518.16</v>
      </c>
      <c r="Y558" s="576" cm="1">
        <f t="array" ref="Y558">_xlfn.ANCHORARRAY(Y528) * $F$15</f>
        <v>787518.16</v>
      </c>
      <c r="Z558" s="576" cm="1">
        <f t="array" ref="Z558">_xlfn.ANCHORARRAY(Z528) * $F$15</f>
        <v>797767.48497599992</v>
      </c>
      <c r="AA558" s="576" cm="1">
        <f t="array" ref="AA558">_xlfn.ANCHORARRAY(AA528) * $F$15</f>
        <v>809405.04476160009</v>
      </c>
      <c r="AB558" s="576" cm="1">
        <f t="array" ref="AB558">_xlfn.ANCHORARRAY(AB528) * $F$15</f>
        <v>821039.88929760002</v>
      </c>
      <c r="AC558" s="576" cm="1">
        <f t="array" ref="AC558">_xlfn.ANCHORARRAY(AC528) * $F$15</f>
        <v>832674.73383360007</v>
      </c>
      <c r="AD558" s="576" cm="1">
        <f t="array" ref="AD558">_xlfn.ANCHORARRAY(AD528) * $F$15</f>
        <v>844312.29361920012</v>
      </c>
      <c r="AE558" s="576" cm="1">
        <f t="array" ref="AE558">_xlfn.ANCHORARRAY(AE528) * $F$15</f>
        <v>855947.13815520005</v>
      </c>
      <c r="AF558" s="576" cm="1">
        <f t="array" ref="AF558">_xlfn.ANCHORARRAY(AF528) * $F$15</f>
        <v>867581.9826912001</v>
      </c>
      <c r="AG558" s="714" cm="1">
        <f t="array" ref="AG558">_xlfn.ANCHORARRAY(AG528) * $F$15</f>
        <v>879219.54247680004</v>
      </c>
      <c r="AH558" s="5"/>
      <c r="AI558" s="5"/>
      <c r="AJ558" s="5"/>
      <c r="AK558" s="5"/>
      <c r="AL558" s="5"/>
      <c r="AM558" s="5"/>
      <c r="AN558" s="5"/>
    </row>
    <row r="559" spans="2:40" ht="21.95" customHeight="1" x14ac:dyDescent="0.2">
      <c r="B559" s="704"/>
      <c r="C559" s="715"/>
      <c r="D559" s="719"/>
      <c r="E559" s="1339"/>
      <c r="F559" s="116" t="s">
        <v>345</v>
      </c>
      <c r="G559" s="116" t="s">
        <v>323</v>
      </c>
      <c r="H559" s="576" cm="1">
        <f t="array" ref="H559">_xlfn.ANCHORARRAY(H529) * $F$15</f>
        <v>9386048</v>
      </c>
      <c r="I559" s="576" cm="1">
        <f t="array" ref="I559">_xlfn.ANCHORARRAY(I529) * $F$15</f>
        <v>9601508.0840000007</v>
      </c>
      <c r="J559" s="576" cm="1">
        <f t="array" ref="J559">_xlfn.ANCHORARRAY(J529) * $F$15</f>
        <v>9916661.4063999988</v>
      </c>
      <c r="K559" s="576" cm="1">
        <f t="array" ref="K559">_xlfn.ANCHORARRAY(K529) * $F$15</f>
        <v>10294617.4464</v>
      </c>
      <c r="L559" s="576" cm="1">
        <f t="array" ref="L559">_xlfn.ANCHORARRAY(L529) * $F$15</f>
        <v>10672674.051200001</v>
      </c>
      <c r="M559" s="576" cm="1">
        <f t="array" ref="M559">_xlfn.ANCHORARRAY(M529) * $F$15</f>
        <v>11050764.177600004</v>
      </c>
      <c r="N559" s="576" cm="1">
        <f t="array" ref="N559">_xlfn.ANCHORARRAY(N529) * $F$15</f>
        <v>11428720.217600001</v>
      </c>
      <c r="O559" s="576" cm="1">
        <f t="array" ref="O559">_xlfn.ANCHORARRAY(O529) * $F$15</f>
        <v>11806877.387200002</v>
      </c>
      <c r="P559" s="576" cm="1">
        <f t="array" ref="P559">_xlfn.ANCHORARRAY(P529) * $F$15</f>
        <v>12132204.515199998</v>
      </c>
      <c r="Q559" s="576" cm="1">
        <f t="array" ref="Q559">_xlfn.ANCHORARRAY(Q529) * $F$15</f>
        <v>12457514.8824</v>
      </c>
      <c r="R559" s="576" cm="1">
        <f t="array" ref="R559">_xlfn.ANCHORARRAY(R529) * $F$15</f>
        <v>12782842.010399999</v>
      </c>
      <c r="S559" s="576" cm="1">
        <f t="array" ref="S559">_xlfn.ANCHORARRAY(S529) * $F$15</f>
        <v>13108169.138399998</v>
      </c>
      <c r="T559" s="576" cm="1">
        <f t="array" ref="T559">_xlfn.ANCHORARRAY(T529) * $F$15</f>
        <v>13433697.395999998</v>
      </c>
      <c r="U559" s="576" cm="1">
        <f t="array" ref="U559">_xlfn.ANCHORARRAY(U529) * $F$15</f>
        <v>13696121.241599999</v>
      </c>
      <c r="V559" s="576" cm="1">
        <f t="array" ref="V559">_xlfn.ANCHORARRAY(V529) * $F$15</f>
        <v>13911581.325599996</v>
      </c>
      <c r="W559" s="576" cm="1">
        <f t="array" ref="W559">_xlfn.ANCHORARRAY(W529) * $F$15</f>
        <v>14127041.409599997</v>
      </c>
      <c r="X559" s="576" cm="1">
        <f t="array" ref="X559">_xlfn.ANCHORARRAY(X529) * $F$15</f>
        <v>14342501.493599996</v>
      </c>
      <c r="Y559" s="576" cm="1">
        <f t="array" ref="Y559">_xlfn.ANCHORARRAY(Y529) * $F$15</f>
        <v>14558011.859999998</v>
      </c>
      <c r="Z559" s="576" cm="1">
        <f t="array" ref="Z559">_xlfn.ANCHORARRAY(Z529) * $F$15</f>
        <v>14773471.943999998</v>
      </c>
      <c r="AA559" s="576" cm="1">
        <f t="array" ref="AA559">_xlfn.ANCHORARRAY(AA529) * $F$15</f>
        <v>14988982.310399998</v>
      </c>
      <c r="AB559" s="576" cm="1">
        <f t="array" ref="AB559">_xlfn.ANCHORARRAY(AB529) * $F$15</f>
        <v>15204442.394399997</v>
      </c>
      <c r="AC559" s="576" cm="1">
        <f t="array" ref="AC559">_xlfn.ANCHORARRAY(AC529) * $F$15</f>
        <v>15419902.478399998</v>
      </c>
      <c r="AD559" s="576" cm="1">
        <f t="array" ref="AD559">_xlfn.ANCHORARRAY(AD529) * $F$15</f>
        <v>15635412.844799999</v>
      </c>
      <c r="AE559" s="576" cm="1">
        <f t="array" ref="AE559">_xlfn.ANCHORARRAY(AE529) * $F$15</f>
        <v>15850872.928799996</v>
      </c>
      <c r="AF559" s="576" cm="1">
        <f t="array" ref="AF559">_xlfn.ANCHORARRAY(AF529) * $F$15</f>
        <v>16066333.012799999</v>
      </c>
      <c r="AG559" s="714" cm="1">
        <f t="array" ref="AG559">_xlfn.ANCHORARRAY(AG529) * $F$15</f>
        <v>16281843.3792</v>
      </c>
      <c r="AH559" s="5"/>
      <c r="AI559" s="5"/>
      <c r="AJ559" s="5"/>
      <c r="AK559" s="5"/>
      <c r="AL559" s="5"/>
      <c r="AM559" s="5"/>
      <c r="AN559" s="5"/>
    </row>
    <row r="560" spans="2:40" ht="21.95" customHeight="1" x14ac:dyDescent="0.2">
      <c r="B560" s="704"/>
      <c r="C560" s="715"/>
      <c r="D560" s="719"/>
      <c r="E560" s="1339"/>
      <c r="F560" s="116" t="s">
        <v>323</v>
      </c>
      <c r="G560" s="116" t="s">
        <v>347</v>
      </c>
      <c r="H560" s="576" cm="1">
        <f t="array" ref="H560">_xlfn.ANCHORARRAY(H530) * $F$15</f>
        <v>1676080</v>
      </c>
      <c r="I560" s="576" cm="1">
        <f t="array" ref="I560">_xlfn.ANCHORARRAY(I530) * $F$15</f>
        <v>1713115.382</v>
      </c>
      <c r="J560" s="576" cm="1">
        <f t="array" ref="J560">_xlfn.ANCHORARRAY(J530) * $F$15</f>
        <v>1767950.135</v>
      </c>
      <c r="K560" s="576" cm="1">
        <f t="array" ref="K560">_xlfn.ANCHORARRAY(K530) * $F$15</f>
        <v>1837540.378</v>
      </c>
      <c r="L560" s="576" cm="1">
        <f t="array" ref="L560">_xlfn.ANCHORARRAY(L530) * $F$15</f>
        <v>1907151.5720000004</v>
      </c>
      <c r="M560" s="576" cm="1">
        <f t="array" ref="M560">_xlfn.ANCHORARRAY(M530) * $F$15</f>
        <v>1976758.5758</v>
      </c>
      <c r="N560" s="576" cm="1">
        <f t="array" ref="N560">_xlfn.ANCHORARRAY(N530) * $F$15</f>
        <v>2046348.8187999995</v>
      </c>
      <c r="O560" s="576" cm="1">
        <f t="array" ref="O560">_xlfn.ANCHORARRAY(O530) * $F$15</f>
        <v>2115976.7736</v>
      </c>
      <c r="P560" s="576" cm="1">
        <f t="array" ref="P560">_xlfn.ANCHORARRAY(P530) * $F$15</f>
        <v>2177848.0696</v>
      </c>
      <c r="Q560" s="576" cm="1">
        <f t="array" ref="Q560">_xlfn.ANCHORARRAY(Q530) * $F$15</f>
        <v>2239725.3515999997</v>
      </c>
      <c r="R560" s="576" cm="1">
        <f t="array" ref="R560">_xlfn.ANCHORARRAY(R530) * $F$15</f>
        <v>2301596.6475999998</v>
      </c>
      <c r="S560" s="576" cm="1">
        <f t="array" ref="S560">_xlfn.ANCHORARRAY(S530) * $F$15</f>
        <v>2363467.9436000003</v>
      </c>
      <c r="T560" s="576" cm="1">
        <f t="array" ref="T560">_xlfn.ANCHORARRAY(T530) * $F$15</f>
        <v>2425367.9723999999</v>
      </c>
      <c r="U560" s="576" cm="1">
        <f t="array" ref="U560">_xlfn.ANCHORARRAY(U530) * $F$15</f>
        <v>2472467.0175999999</v>
      </c>
      <c r="V560" s="576" cm="1">
        <f t="array" ref="V560">_xlfn.ANCHORARRAY(V530) * $F$15</f>
        <v>2509502.3996000001</v>
      </c>
      <c r="W560" s="576" cm="1">
        <f t="array" ref="W560">_xlfn.ANCHORARRAY(W530) * $F$15</f>
        <v>2546537.7816000003</v>
      </c>
      <c r="X560" s="576" cm="1">
        <f t="array" ref="X560">_xlfn.ANCHORARRAY(X530) * $F$15</f>
        <v>2583573.1636000006</v>
      </c>
      <c r="Y560" s="576" cm="1">
        <f t="array" ref="Y560">_xlfn.ANCHORARRAY(Y530) * $F$15</f>
        <v>2620614.5316000003</v>
      </c>
      <c r="Z560" s="576" cm="1">
        <f t="array" ref="Z560">_xlfn.ANCHORARRAY(Z530) * $F$15</f>
        <v>2657649.9136000001</v>
      </c>
      <c r="AA560" s="576" cm="1">
        <f t="array" ref="AA560">_xlfn.ANCHORARRAY(AA530) * $F$15</f>
        <v>2694691.2816000003</v>
      </c>
      <c r="AB560" s="576" cm="1">
        <f t="array" ref="AB560">_xlfn.ANCHORARRAY(AB530) * $F$15</f>
        <v>2731726.663600001</v>
      </c>
      <c r="AC560" s="576" cm="1">
        <f t="array" ref="AC560">_xlfn.ANCHORARRAY(AC530) * $F$15</f>
        <v>2768762.0456000003</v>
      </c>
      <c r="AD560" s="576" cm="1">
        <f t="array" ref="AD560">_xlfn.ANCHORARRAY(AD530) * $F$15</f>
        <v>2805803.4136000006</v>
      </c>
      <c r="AE560" s="576" cm="1">
        <f t="array" ref="AE560">_xlfn.ANCHORARRAY(AE530) * $F$15</f>
        <v>2842838.7956000012</v>
      </c>
      <c r="AF560" s="576" cm="1">
        <f t="array" ref="AF560">_xlfn.ANCHORARRAY(AF530) * $F$15</f>
        <v>2879874.1776000005</v>
      </c>
      <c r="AG560" s="714" cm="1">
        <f t="array" ref="AG560">_xlfn.ANCHORARRAY(AG530) * $F$15</f>
        <v>2916915.5456000003</v>
      </c>
      <c r="AH560" s="5"/>
      <c r="AI560" s="5"/>
      <c r="AJ560" s="5"/>
      <c r="AK560" s="5"/>
      <c r="AL560" s="5"/>
      <c r="AM560" s="5"/>
      <c r="AN560" s="5"/>
    </row>
    <row r="561" spans="1:40" ht="21.95" customHeight="1" x14ac:dyDescent="0.2">
      <c r="B561" s="704"/>
      <c r="C561" s="715"/>
      <c r="D561" s="719"/>
      <c r="E561" s="1339"/>
      <c r="F561" s="116" t="s">
        <v>347</v>
      </c>
      <c r="G561" s="116" t="s">
        <v>348</v>
      </c>
      <c r="H561" s="576" cm="1">
        <f t="array" ref="H561">_xlfn.ANCHORARRAY(H531) * $F$15</f>
        <v>1173256</v>
      </c>
      <c r="I561" s="576" cm="1">
        <f t="array" ref="I561">_xlfn.ANCHORARRAY(I531) * $F$15</f>
        <v>1199180.7674</v>
      </c>
      <c r="J561" s="576" cm="1">
        <f t="array" ref="J561">_xlfn.ANCHORARRAY(J531) * $F$15</f>
        <v>1237565.0944999999</v>
      </c>
      <c r="K561" s="576" cm="1">
        <f t="array" ref="K561">_xlfn.ANCHORARRAY(K531) * $F$15</f>
        <v>1286278.2645999999</v>
      </c>
      <c r="L561" s="576" cm="1">
        <f t="array" ref="L561">_xlfn.ANCHORARRAY(L531) * $F$15</f>
        <v>1335006.1004000001</v>
      </c>
      <c r="M561" s="576" cm="1">
        <f t="array" ref="M561">_xlfn.ANCHORARRAY(M531) * $F$15</f>
        <v>1383731.00306</v>
      </c>
      <c r="N561" s="576" cm="1">
        <f t="array" ref="N561">_xlfn.ANCHORARRAY(N531) * $F$15</f>
        <v>1432444.1731599998</v>
      </c>
      <c r="O561" s="576" cm="1">
        <f t="array" ref="O561">_xlfn.ANCHORARRAY(O531) * $F$15</f>
        <v>1481183.7415199997</v>
      </c>
      <c r="P561" s="576" cm="1">
        <f t="array" ref="P561">_xlfn.ANCHORARRAY(P531) * $F$15</f>
        <v>1524493.6487200002</v>
      </c>
      <c r="Q561" s="576" cm="1">
        <f t="array" ref="Q561">_xlfn.ANCHORARRAY(Q531) * $F$15</f>
        <v>1567807.7461199998</v>
      </c>
      <c r="R561" s="576" cm="1">
        <f t="array" ref="R561">_xlfn.ANCHORARRAY(R531) * $F$15</f>
        <v>1611117.6533199998</v>
      </c>
      <c r="S561" s="576" cm="1">
        <f t="array" ref="S561">_xlfn.ANCHORARRAY(S531) * $F$15</f>
        <v>1654427.5605200001</v>
      </c>
      <c r="T561" s="576" cm="1">
        <f t="array" ref="T561">_xlfn.ANCHORARRAY(T531) * $F$15</f>
        <v>1697757.5806799999</v>
      </c>
      <c r="U561" s="576" cm="1">
        <f t="array" ref="U561">_xlfn.ANCHORARRAY(U531) * $F$15</f>
        <v>1730726.9123199999</v>
      </c>
      <c r="V561" s="576" cm="1">
        <f t="array" ref="V561">_xlfn.ANCHORARRAY(V531) * $F$15</f>
        <v>1756651.6797200001</v>
      </c>
      <c r="W561" s="576" cm="1">
        <f t="array" ref="W561">_xlfn.ANCHORARRAY(W531) * $F$15</f>
        <v>1782576.4471200001</v>
      </c>
      <c r="X561" s="576" cm="1">
        <f t="array" ref="X561">_xlfn.ANCHORARRAY(X531) * $F$15</f>
        <v>1808501.2145200004</v>
      </c>
      <c r="Y561" s="576" cm="1">
        <f t="array" ref="Y561">_xlfn.ANCHORARRAY(Y531) * $F$15</f>
        <v>1834430.17212</v>
      </c>
      <c r="Z561" s="576" cm="1">
        <f t="array" ref="Z561">_xlfn.ANCHORARRAY(Z531) * $F$15</f>
        <v>1860354.9395199998</v>
      </c>
      <c r="AA561" s="576" cm="1">
        <f t="array" ref="AA561">_xlfn.ANCHORARRAY(AA531) * $F$15</f>
        <v>1886283.8971200001</v>
      </c>
      <c r="AB561" s="576" cm="1">
        <f t="array" ref="AB561">_xlfn.ANCHORARRAY(AB531) * $F$15</f>
        <v>1912208.6645200003</v>
      </c>
      <c r="AC561" s="576" cm="1">
        <f t="array" ref="AC561">_xlfn.ANCHORARRAY(AC531) * $F$15</f>
        <v>1938133.4319200004</v>
      </c>
      <c r="AD561" s="576" cm="1">
        <f t="array" ref="AD561">_xlfn.ANCHORARRAY(AD531) * $F$15</f>
        <v>1964062.3895200004</v>
      </c>
      <c r="AE561" s="576" cm="1">
        <f t="array" ref="AE561">_xlfn.ANCHORARRAY(AE531) * $F$15</f>
        <v>1989987.1569200007</v>
      </c>
      <c r="AF561" s="576" cm="1">
        <f t="array" ref="AF561">_xlfn.ANCHORARRAY(AF531) * $F$15</f>
        <v>2015911.9243200002</v>
      </c>
      <c r="AG561" s="714" cm="1">
        <f t="array" ref="AG561">_xlfn.ANCHORARRAY(AG531) * $F$15</f>
        <v>2041840.8819200003</v>
      </c>
      <c r="AH561" s="5"/>
      <c r="AI561" s="5"/>
      <c r="AJ561" s="5"/>
      <c r="AK561" s="5"/>
      <c r="AL561" s="5"/>
      <c r="AM561" s="5"/>
      <c r="AN561" s="5"/>
    </row>
    <row r="562" spans="1:40" ht="21.95" customHeight="1" x14ac:dyDescent="0.2">
      <c r="B562" s="704"/>
      <c r="C562" s="715"/>
      <c r="D562" s="719"/>
      <c r="E562" s="1353"/>
      <c r="F562" s="254" t="s">
        <v>348</v>
      </c>
      <c r="G562" s="254" t="s">
        <v>349</v>
      </c>
      <c r="H562" s="576" cm="1">
        <f t="array" ref="H562">_xlfn.ANCHORARRAY(H532) * $F$15</f>
        <v>1915520</v>
      </c>
      <c r="I562" s="576" cm="1">
        <f t="array" ref="I562">_xlfn.ANCHORARRAY(I532) * $F$15</f>
        <v>1961273.9910000002</v>
      </c>
      <c r="J562" s="576" cm="1">
        <f t="array" ref="J562">_xlfn.ANCHORARRAY(J532) * $F$15</f>
        <v>2024830.3460000001</v>
      </c>
      <c r="K562" s="576" cm="1">
        <f t="array" ref="K562">_xlfn.ANCHORARRAY(K532) * $F$15</f>
        <v>2109238.9319999996</v>
      </c>
      <c r="L562" s="576" cm="1">
        <f t="array" ref="L562">_xlfn.ANCHORARRAY(L532) * $F$15</f>
        <v>2193671.4620000003</v>
      </c>
      <c r="M562" s="576" cm="1">
        <f t="array" ref="M562">_xlfn.ANCHORARRAY(M532) * $F$15</f>
        <v>2278109.9780000006</v>
      </c>
      <c r="N562" s="576" cm="1">
        <f t="array" ref="N562">_xlfn.ANCHORARRAY(N532) * $F$15</f>
        <v>2362518.5640000002</v>
      </c>
      <c r="O562" s="576" cm="1">
        <f t="array" ref="O562">_xlfn.ANCHORARRAY(O532) * $F$15</f>
        <v>2446975.0380000006</v>
      </c>
      <c r="P562" s="576" cm="1">
        <f t="array" ref="P562">_xlfn.ANCHORARRAY(P532) * $F$15</f>
        <v>2527582.514</v>
      </c>
      <c r="Q562" s="576" cm="1">
        <f t="array" ref="Q562">_xlfn.ANCHORARRAY(Q532) * $F$15</f>
        <v>2608192.983</v>
      </c>
      <c r="R562" s="576" cm="1">
        <f t="array" ref="R562">_xlfn.ANCHORARRAY(R532) * $F$15</f>
        <v>2688800.4589999998</v>
      </c>
      <c r="S562" s="576" cm="1">
        <f t="array" ref="S562">_xlfn.ANCHORARRAY(S532) * $F$15</f>
        <v>2769407.9350000001</v>
      </c>
      <c r="T562" s="576" cm="1">
        <f t="array" ref="T562">_xlfn.ANCHORARRAY(T532) * $F$15</f>
        <v>2850063.2990000001</v>
      </c>
      <c r="U562" s="576" cm="1">
        <f t="array" ref="U562">_xlfn.ANCHORARRAY(U532) * $F$15</f>
        <v>2909794.6</v>
      </c>
      <c r="V562" s="576" cm="1">
        <f t="array" ref="V562">_xlfn.ANCHORARRAY(V532) * $F$15</f>
        <v>2955548.591</v>
      </c>
      <c r="W562" s="576" cm="1">
        <f t="array" ref="W562">_xlfn.ANCHORARRAY(W532) * $F$15</f>
        <v>3001302.5819999999</v>
      </c>
      <c r="X562" s="576" cm="1">
        <f t="array" ref="X562">_xlfn.ANCHORARRAY(X532) * $F$15</f>
        <v>3047056.5730000003</v>
      </c>
      <c r="Y562" s="576" cm="1">
        <f t="array" ref="Y562">_xlfn.ANCHORARRAY(Y532) * $F$15</f>
        <v>3092819.5430000001</v>
      </c>
      <c r="Z562" s="576" cm="1">
        <f t="array" ref="Z562">_xlfn.ANCHORARRAY(Z532) * $F$15</f>
        <v>3138573.5339999995</v>
      </c>
      <c r="AA562" s="576" cm="1">
        <f t="array" ref="AA562">_xlfn.ANCHORARRAY(AA532) * $F$15</f>
        <v>3184336.5040000002</v>
      </c>
      <c r="AB562" s="576" cm="1">
        <f t="array" ref="AB562">_xlfn.ANCHORARRAY(AB532) * $F$15</f>
        <v>3230090.4950000001</v>
      </c>
      <c r="AC562" s="576" cm="1">
        <f t="array" ref="AC562">_xlfn.ANCHORARRAY(AC532) * $F$15</f>
        <v>3275844.486</v>
      </c>
      <c r="AD562" s="576" cm="1">
        <f t="array" ref="AD562">_xlfn.ANCHORARRAY(AD532) * $F$15</f>
        <v>3321607.4560000002</v>
      </c>
      <c r="AE562" s="576" cm="1">
        <f t="array" ref="AE562">_xlfn.ANCHORARRAY(AE532) * $F$15</f>
        <v>3367361.4470000002</v>
      </c>
      <c r="AF562" s="576" cm="1">
        <f t="array" ref="AF562">_xlfn.ANCHORARRAY(AF532) * $F$15</f>
        <v>3413115.4380000001</v>
      </c>
      <c r="AG562" s="714" cm="1">
        <f t="array" ref="AG562">_xlfn.ANCHORARRAY(AG532) * $F$15</f>
        <v>3458878.4080000003</v>
      </c>
      <c r="AH562" s="5"/>
      <c r="AI562" s="5"/>
      <c r="AJ562" s="5"/>
      <c r="AK562" s="5"/>
      <c r="AL562" s="5"/>
      <c r="AM562" s="5"/>
      <c r="AN562" s="5"/>
    </row>
    <row r="563" spans="1:40" ht="21.95" customHeight="1" x14ac:dyDescent="0.2">
      <c r="B563" s="704"/>
      <c r="C563" s="715"/>
      <c r="D563" s="719"/>
      <c r="E563" s="116" t="s">
        <v>288</v>
      </c>
      <c r="F563" s="116" t="s">
        <v>323</v>
      </c>
      <c r="G563" s="116" t="s">
        <v>348</v>
      </c>
      <c r="H563" s="576" cm="1">
        <f t="array" ref="H563">_xlfn.ANCHORARRAY(H533) * $F$15</f>
        <v>215496</v>
      </c>
      <c r="I563" s="576" cm="1">
        <f t="array" ref="I563">_xlfn.ANCHORARRAY(I533) * $F$15</f>
        <v>228746.60960000003</v>
      </c>
      <c r="J563" s="576" cm="1">
        <f t="array" ref="J563">_xlfn.ANCHORARRAY(J533) * $F$15</f>
        <v>246281.99800000002</v>
      </c>
      <c r="K563" s="576" cm="1">
        <f t="array" ref="K563">_xlfn.ANCHORARRAY(K533) * $F$15</f>
        <v>269585.49599999998</v>
      </c>
      <c r="L563" s="576" cm="1">
        <f t="array" ref="L563">_xlfn.ANCHORARRAY(L533) * $F$15</f>
        <v>292896.17719999998</v>
      </c>
      <c r="M563" s="576" cm="1">
        <f t="array" ref="M563">_xlfn.ANCHORARRAY(M533) * $F$15</f>
        <v>316257.14080000005</v>
      </c>
      <c r="N563" s="576" cm="1">
        <f t="array" ref="N563">_xlfn.ANCHORARRAY(N533) * $F$15</f>
        <v>339560.63879999996</v>
      </c>
      <c r="O563" s="576" cm="1">
        <f t="array" ref="O563">_xlfn.ANCHORARRAY(O533) * $F$15</f>
        <v>362889.27799999993</v>
      </c>
      <c r="P563" s="576" cm="1">
        <f t="array" ref="P563">_xlfn.ANCHORARRAY(P533) * $F$15</f>
        <v>384161.12760000001</v>
      </c>
      <c r="Q563" s="576" cm="1">
        <f t="array" ref="Q563">_xlfn.ANCHORARRAY(Q533) * $F$15</f>
        <v>405415.01920000004</v>
      </c>
      <c r="R563" s="576" cm="1">
        <f t="array" ref="R563">_xlfn.ANCHORARRAY(R533) * $F$15</f>
        <v>426688.06599999999</v>
      </c>
      <c r="S563" s="576" cm="1">
        <f t="array" ref="S563">_xlfn.ANCHORARRAY(S533) * $F$15</f>
        <v>447959.91560000001</v>
      </c>
      <c r="T563" s="576" cm="1">
        <f t="array" ref="T563">_xlfn.ANCHORARRAY(T533) * $F$15</f>
        <v>469307.18880000006</v>
      </c>
      <c r="U563" s="576" cm="1">
        <f t="array" ref="U563">_xlfn.ANCHORARRAY(U533) * $F$15</f>
        <v>484794.16800000001</v>
      </c>
      <c r="V563" s="576" cm="1">
        <f t="array" ref="V563">_xlfn.ANCHORARRAY(V533) * $F$15</f>
        <v>498044.77760000003</v>
      </c>
      <c r="W563" s="576" cm="1">
        <f t="array" ref="W563">_xlfn.ANCHORARRAY(W533) * $F$15</f>
        <v>511295.38719999994</v>
      </c>
      <c r="X563" s="576" cm="1">
        <f t="array" ref="X563">_xlfn.ANCHORARRAY(X533) * $F$15</f>
        <v>524545.99679999996</v>
      </c>
      <c r="Y563" s="576" cm="1">
        <f t="array" ref="Y563">_xlfn.ANCHORARRAY(Y533) * $F$15</f>
        <v>537810.97279999999</v>
      </c>
      <c r="Z563" s="576" cm="1">
        <f t="array" ref="Z563">_xlfn.ANCHORARRAY(Z533) * $F$15</f>
        <v>551061.58239999984</v>
      </c>
      <c r="AA563" s="576" cm="1">
        <f t="array" ref="AA563">_xlfn.ANCHORARRAY(AA533) * $F$15</f>
        <v>564344.51640000008</v>
      </c>
      <c r="AB563" s="576" cm="1">
        <f t="array" ref="AB563">_xlfn.ANCHORARRAY(AB533) * $F$15</f>
        <v>577595.12599999993</v>
      </c>
      <c r="AC563" s="576" cm="1">
        <f t="array" ref="AC563">_xlfn.ANCHORARRAY(AC533) * $F$15</f>
        <v>590845.73560000001</v>
      </c>
      <c r="AD563" s="576" cm="1">
        <f t="array" ref="AD563">_xlfn.ANCHORARRAY(AD533) * $F$15</f>
        <v>604110.71159999981</v>
      </c>
      <c r="AE563" s="576" cm="1">
        <f t="array" ref="AE563">_xlfn.ANCHORARRAY(AE533) * $F$15</f>
        <v>617361.32120000001</v>
      </c>
      <c r="AF563" s="576" cm="1">
        <f t="array" ref="AF563">_xlfn.ANCHORARRAY(AF533) * $F$15</f>
        <v>630611.93079999997</v>
      </c>
      <c r="AG563" s="714" cm="1">
        <f t="array" ref="AG563">_xlfn.ANCHORARRAY(AG533) * $F$15</f>
        <v>643894.86479999986</v>
      </c>
      <c r="AH563" s="5"/>
      <c r="AI563" s="5"/>
      <c r="AJ563" s="5"/>
      <c r="AK563" s="5"/>
      <c r="AL563" s="5"/>
      <c r="AM563" s="5"/>
      <c r="AN563" s="5"/>
    </row>
    <row r="564" spans="1:40" ht="21.95" customHeight="1" x14ac:dyDescent="0.2">
      <c r="B564" s="704"/>
      <c r="C564" s="715"/>
      <c r="D564" s="719"/>
      <c r="E564" s="277" t="s">
        <v>340</v>
      </c>
      <c r="F564" s="277" t="s">
        <v>335</v>
      </c>
      <c r="G564" s="277" t="s">
        <v>323</v>
      </c>
      <c r="H564" s="576" cm="1">
        <f t="array" ref="H564">_xlfn.ANCHORARRAY(H534) * $F$15</f>
        <v>0</v>
      </c>
      <c r="I564" s="576" cm="1">
        <f t="array" ref="I564">_xlfn.ANCHORARRAY(I534) * $F$15</f>
        <v>361419.6431680001</v>
      </c>
      <c r="J564" s="576" cm="1">
        <f t="array" ref="J564">_xlfn.ANCHORARRAY(J534) * $F$15</f>
        <v>389125.55684000003</v>
      </c>
      <c r="K564" s="576" cm="1">
        <f t="array" ref="K564">_xlfn.ANCHORARRAY(K534) * $F$15</f>
        <v>425945.08367999998</v>
      </c>
      <c r="L564" s="576" cm="1">
        <f t="array" ref="L564">_xlfn.ANCHORARRAY(L534) * $F$15</f>
        <v>462775.95997599995</v>
      </c>
      <c r="M564" s="576" cm="1">
        <f t="array" ref="M564">_xlfn.ANCHORARRAY(M534) * $F$15</f>
        <v>499686.28246400011</v>
      </c>
      <c r="N564" s="576" cm="1">
        <f t="array" ref="N564">_xlfn.ANCHORARRAY(N534) * $F$15</f>
        <v>536505.80930399988</v>
      </c>
      <c r="O564" s="576" cm="1">
        <f t="array" ref="O564">_xlfn.ANCHORARRAY(O534) * $F$15</f>
        <v>573365.05923999986</v>
      </c>
      <c r="P564" s="576" cm="1">
        <f t="array" ref="P564">_xlfn.ANCHORARRAY(P534) * $F$15</f>
        <v>606974.58160799998</v>
      </c>
      <c r="Q564" s="576" cm="1">
        <f t="array" ref="Q564">_xlfn.ANCHORARRAY(Q534) * $F$15</f>
        <v>640555.7303360001</v>
      </c>
      <c r="R564" s="576" cm="1">
        <f t="array" ref="R564">_xlfn.ANCHORARRAY(R534) * $F$15</f>
        <v>674167.14428000001</v>
      </c>
      <c r="S564" s="576" cm="1">
        <f t="array" ref="S564">_xlfn.ANCHORARRAY(S534) * $F$15</f>
        <v>707776.66664800001</v>
      </c>
      <c r="T564" s="576" cm="1">
        <f t="array" ref="T564">_xlfn.ANCHORARRAY(T534) * $F$15</f>
        <v>741505.35830400023</v>
      </c>
      <c r="U564" s="576" cm="1">
        <f t="array" ref="U564">_xlfn.ANCHORARRAY(U534) * $F$15</f>
        <v>765974.78544000001</v>
      </c>
      <c r="V564" s="576" cm="1">
        <f t="array" ref="V564">_xlfn.ANCHORARRAY(V534) * $F$15</f>
        <v>786910.74860799999</v>
      </c>
      <c r="W564" s="576" cm="1">
        <f t="array" ref="W564">_xlfn.ANCHORARRAY(W534) * $F$15</f>
        <v>807846.71177599987</v>
      </c>
      <c r="X564" s="576" cm="1">
        <f t="array" ref="X564">_xlfn.ANCHORARRAY(X534) * $F$15</f>
        <v>828782.67494399997</v>
      </c>
      <c r="Y564" s="576" cm="1">
        <f t="array" ref="Y564">_xlfn.ANCHORARRAY(Y534) * $F$15</f>
        <v>849741.33702399989</v>
      </c>
      <c r="Z564" s="576" cm="1">
        <f t="array" ref="Z564">_xlfn.ANCHORARRAY(Z534) * $F$15</f>
        <v>870677.30019199988</v>
      </c>
      <c r="AA564" s="576" cm="1">
        <f t="array" ref="AA564">_xlfn.ANCHORARRAY(AA534) * $F$15</f>
        <v>891664.33591200016</v>
      </c>
      <c r="AB564" s="576" cm="1">
        <f t="array" ref="AB564">_xlfn.ANCHORARRAY(AB534) * $F$15</f>
        <v>912600.29908000003</v>
      </c>
      <c r="AC564" s="576" cm="1">
        <f t="array" ref="AC564">_xlfn.ANCHORARRAY(AC534) * $F$15</f>
        <v>933536.26224800001</v>
      </c>
      <c r="AD564" s="576" cm="1">
        <f t="array" ref="AD564">_xlfn.ANCHORARRAY(AD534) * $F$15</f>
        <v>954494.92432799982</v>
      </c>
      <c r="AE564" s="576" cm="1">
        <f t="array" ref="AE564">_xlfn.ANCHORARRAY(AE534) * $F$15</f>
        <v>975430.88749600004</v>
      </c>
      <c r="AF564" s="576" cm="1">
        <f t="array" ref="AF564">_xlfn.ANCHORARRAY(AF534) * $F$15</f>
        <v>996366.85066400003</v>
      </c>
      <c r="AG564" s="714" cm="1">
        <f t="array" ref="AG564">_xlfn.ANCHORARRAY(AG534) * $F$15</f>
        <v>1017353.8863839998</v>
      </c>
      <c r="AH564" s="5"/>
      <c r="AI564" s="5"/>
      <c r="AJ564" s="5"/>
      <c r="AK564" s="5"/>
      <c r="AL564" s="5"/>
      <c r="AM564" s="5"/>
      <c r="AN564" s="5"/>
    </row>
    <row r="565" spans="1:40" ht="21.95" customHeight="1" x14ac:dyDescent="0.2">
      <c r="B565" s="704"/>
      <c r="C565" s="715"/>
      <c r="D565" s="719"/>
      <c r="E565" s="277" t="s">
        <v>357</v>
      </c>
      <c r="F565" s="277" t="s">
        <v>338</v>
      </c>
      <c r="G565" s="277" t="s">
        <v>323</v>
      </c>
      <c r="H565" s="576" cm="1">
        <f t="array" ref="H565">_xlfn.ANCHORARRAY(H535) * $F$15</f>
        <v>399647.12727272726</v>
      </c>
      <c r="I565" s="576" cm="1">
        <f t="array" ref="I565">_xlfn.ANCHORARRAY(I535) * $F$15</f>
        <v>405134.50435636361</v>
      </c>
      <c r="J565" s="576" cm="1">
        <f t="array" ref="J565">_xlfn.ANCHORARRAY(J535) * $F$15</f>
        <v>414619.4628436364</v>
      </c>
      <c r="K565" s="576" cm="1">
        <f t="array" ref="K565">_xlfn.ANCHORARRAY(K535) * $F$15</f>
        <v>427641.29840727278</v>
      </c>
      <c r="L565" s="576" cm="1">
        <f t="array" ref="L565">_xlfn.ANCHORARRAY(L535) * $F$15</f>
        <v>440668.6846254546</v>
      </c>
      <c r="M565" s="576" cm="1">
        <f t="array" ref="M565">_xlfn.ANCHORARRAY(M535) * $F$15</f>
        <v>453714.94306909089</v>
      </c>
      <c r="N565" s="576" cm="1">
        <f t="array" ref="N565">_xlfn.ANCHORARRAY(N535) * $F$15</f>
        <v>466736.77863272728</v>
      </c>
      <c r="O565" s="576" cm="1">
        <f t="array" ref="O565">_xlfn.ANCHORARRAY(O535) * $F$15</f>
        <v>479804.12956363644</v>
      </c>
      <c r="P565" s="576" cm="1">
        <f t="array" ref="P565">_xlfn.ANCHORARRAY(P535) * $F$15</f>
        <v>488866.12817454553</v>
      </c>
      <c r="Q565" s="576" cm="1">
        <f t="array" ref="Q565">_xlfn.ANCHORARRAY(Q535) * $F$15</f>
        <v>497929.23691636359</v>
      </c>
      <c r="R565" s="576" cm="1">
        <f t="array" ref="R565">_xlfn.ANCHORARRAY(R535) * $F$15</f>
        <v>506993.45578909089</v>
      </c>
      <c r="S565" s="576" cm="1">
        <f t="array" ref="S565">_xlfn.ANCHORARRAY(S535) * $F$15</f>
        <v>516055.4544000001</v>
      </c>
      <c r="T565" s="576" cm="1">
        <f t="array" ref="T565">_xlfn.ANCHORARRAY(T535) * $F$15</f>
        <v>525181.84060363634</v>
      </c>
      <c r="U565" s="576" cm="1">
        <f t="array" ref="U565">_xlfn.ANCHORARRAY(U535) * $F$15</f>
        <v>530669.2176872727</v>
      </c>
      <c r="V565" s="576" cm="1">
        <f t="array" ref="V565">_xlfn.ANCHORARRAY(V535) * $F$15</f>
        <v>536156.59477090894</v>
      </c>
      <c r="W565" s="576" cm="1">
        <f t="array" ref="W565">_xlfn.ANCHORARRAY(W535) * $F$15</f>
        <v>541643.97185454553</v>
      </c>
      <c r="X565" s="576" cm="1">
        <f t="array" ref="X565">_xlfn.ANCHORARRAY(X535) * $F$15</f>
        <v>547131.34893818165</v>
      </c>
      <c r="Y565" s="576" cm="1">
        <f t="array" ref="Y565">_xlfn.ANCHORARRAY(Y535) * $F$15</f>
        <v>552656.47047272732</v>
      </c>
      <c r="Z565" s="576" cm="1">
        <f t="array" ref="Z565">_xlfn.ANCHORARRAY(Z535) * $F$15</f>
        <v>558143.84755636367</v>
      </c>
      <c r="AA565" s="576" cm="1">
        <f t="array" ref="AA565">_xlfn.ANCHORARRAY(AA535) * $F$15</f>
        <v>563652.31712727284</v>
      </c>
      <c r="AB565" s="576" cm="1">
        <f t="array" ref="AB565">_xlfn.ANCHORARRAY(AB535) * $F$15</f>
        <v>569139.69421090907</v>
      </c>
      <c r="AC565" s="576" cm="1">
        <f t="array" ref="AC565">_xlfn.ANCHORARRAY(AC535) * $F$15</f>
        <v>574627.07129454555</v>
      </c>
      <c r="AD565" s="576" cm="1">
        <f t="array" ref="AD565">_xlfn.ANCHORARRAY(AD535) * $F$15</f>
        <v>580152.19282909099</v>
      </c>
      <c r="AE565" s="576" cm="1">
        <f t="array" ref="AE565">_xlfn.ANCHORARRAY(AE535) * $F$15</f>
        <v>585639.56991272734</v>
      </c>
      <c r="AF565" s="576" cm="1">
        <f t="array" ref="AF565">_xlfn.ANCHORARRAY(AF535) * $F$15</f>
        <v>591126.94699636369</v>
      </c>
      <c r="AG565" s="714" cm="1">
        <f t="array" ref="AG565">_xlfn.ANCHORARRAY(AG535) * $F$15</f>
        <v>596635.41656727274</v>
      </c>
      <c r="AH565" s="5"/>
      <c r="AI565" s="5"/>
      <c r="AJ565" s="5"/>
      <c r="AK565" s="5"/>
      <c r="AL565" s="5"/>
      <c r="AM565" s="5"/>
      <c r="AN565" s="5"/>
    </row>
    <row r="566" spans="1:40" ht="21.95" customHeight="1" x14ac:dyDescent="0.2">
      <c r="B566" s="704"/>
      <c r="C566" s="715"/>
      <c r="D566" s="719"/>
      <c r="E566" s="116" t="s">
        <v>338</v>
      </c>
      <c r="F566" s="116" t="s">
        <v>282</v>
      </c>
      <c r="G566" s="116" t="s">
        <v>357</v>
      </c>
      <c r="H566" s="576" cm="1">
        <f t="array" ref="H566">_xlfn.ANCHORARRAY(H536) * $F$15</f>
        <v>1435279.5454545456</v>
      </c>
      <c r="I566" s="576" cm="1">
        <f t="array" ref="I566">_xlfn.ANCHORARRAY(I536) * $F$15</f>
        <v>1476654.3489113641</v>
      </c>
      <c r="J566" s="576" cm="1">
        <f t="array" ref="J566">_xlfn.ANCHORARRAY(J536) * $F$15</f>
        <v>1521437.9412886368</v>
      </c>
      <c r="K566" s="576" cm="1">
        <f t="array" ref="K566">_xlfn.ANCHORARRAY(K536) * $F$15</f>
        <v>1580851.3380727274</v>
      </c>
      <c r="L566" s="576" cm="1">
        <f t="array" ref="L566">_xlfn.ANCHORARRAY(L536) * $F$15</f>
        <v>1640274.7818136362</v>
      </c>
      <c r="M566" s="576" cm="1">
        <f t="array" ref="M566">_xlfn.ANCHORARRAY(M536) * $F$15</f>
        <v>1699722.6253068182</v>
      </c>
      <c r="N566" s="576" cm="1">
        <f t="array" ref="N566">_xlfn.ANCHORARRAY(N536) * $F$15</f>
        <v>1759136.0220909095</v>
      </c>
      <c r="O566" s="576" cm="1">
        <f t="array" ref="O566">_xlfn.ANCHORARRAY(O536) * $F$15</f>
        <v>1818565.2069500005</v>
      </c>
      <c r="P566" s="576" cm="1">
        <f t="array" ref="P566">_xlfn.ANCHORARRAY(P536) * $F$15</f>
        <v>1883959.4136000006</v>
      </c>
      <c r="Q566" s="576" cm="1">
        <f t="array" ref="Q566">_xlfn.ANCHORARRAY(Q536) * $F$15</f>
        <v>1949332.0910568184</v>
      </c>
      <c r="R566" s="576" cm="1">
        <f t="array" ref="R566">_xlfn.ANCHORARRAY(R536) * $F$15</f>
        <v>2014726.2977068182</v>
      </c>
      <c r="S566" s="576" cm="1">
        <f t="array" ref="S566">_xlfn.ANCHORARRAY(S536) * $F$15</f>
        <v>2080120.5043568183</v>
      </c>
      <c r="T566" s="576" cm="1">
        <f t="array" ref="T566">_xlfn.ANCHORARRAY(T536) * $F$15</f>
        <v>2145552.0282750009</v>
      </c>
      <c r="U566" s="576" cm="1">
        <f t="array" ref="U566">_xlfn.ANCHORARRAY(U536) * $F$15</f>
        <v>2196310.6894000005</v>
      </c>
      <c r="V566" s="576" cm="1">
        <f t="array" ref="V566">_xlfn.ANCHORARRAY(V536) * $F$15</f>
        <v>2237685.4928568183</v>
      </c>
      <c r="W566" s="576" cm="1">
        <f t="array" ref="W566">_xlfn.ANCHORARRAY(W536) * $F$15</f>
        <v>2279060.2963136369</v>
      </c>
      <c r="X566" s="576" cm="1">
        <f t="array" ref="X566">_xlfn.ANCHORARRAY(X536) * $F$15</f>
        <v>2320435.0997704547</v>
      </c>
      <c r="Y566" s="576" cm="1">
        <f t="array" ref="Y566">_xlfn.ANCHORARRAY(Y536) * $F$15</f>
        <v>2361805.5973886363</v>
      </c>
      <c r="Z566" s="576" cm="1">
        <f t="array" ref="Z566">_xlfn.ANCHORARRAY(Z536) * $F$15</f>
        <v>2403180.4008454541</v>
      </c>
      <c r="AA566" s="576" cm="1">
        <f t="array" ref="AA566">_xlfn.ANCHORARRAY(AA536) * $F$15</f>
        <v>2444550.8984636357</v>
      </c>
      <c r="AB566" s="576" cm="1">
        <f t="array" ref="AB566">_xlfn.ANCHORARRAY(AB536) * $F$15</f>
        <v>2485925.7019204553</v>
      </c>
      <c r="AC566" s="576" cm="1">
        <f t="array" ref="AC566">_xlfn.ANCHORARRAY(AC536) * $F$15</f>
        <v>2527300.5053772731</v>
      </c>
      <c r="AD566" s="576" cm="1">
        <f t="array" ref="AD566">_xlfn.ANCHORARRAY(AD536) * $F$15</f>
        <v>2568671.0029954552</v>
      </c>
      <c r="AE566" s="576" cm="1">
        <f t="array" ref="AE566">_xlfn.ANCHORARRAY(AE536) * $F$15</f>
        <v>2610045.8064522729</v>
      </c>
      <c r="AF566" s="576" cm="1">
        <f t="array" ref="AF566">_xlfn.ANCHORARRAY(AF536) * $F$15</f>
        <v>2651420.6099090911</v>
      </c>
      <c r="AG566" s="714" cm="1">
        <f t="array" ref="AG566">_xlfn.ANCHORARRAY(AG536) * $F$15</f>
        <v>2692791.1075272732</v>
      </c>
      <c r="AH566" s="5"/>
      <c r="AI566" s="5"/>
      <c r="AJ566" s="5"/>
      <c r="AK566" s="5"/>
      <c r="AL566" s="5"/>
      <c r="AM566" s="5"/>
      <c r="AN566" s="5"/>
    </row>
    <row r="567" spans="1:40" ht="21.95" customHeight="1" x14ac:dyDescent="0.2">
      <c r="B567" s="704"/>
      <c r="C567" s="715"/>
      <c r="D567" s="719"/>
      <c r="E567" s="116"/>
      <c r="F567" s="116" t="s">
        <v>357</v>
      </c>
      <c r="G567" s="116" t="s">
        <v>346</v>
      </c>
      <c r="H567" s="576" cm="1">
        <f t="array" ref="H567">_xlfn.ANCHORARRAY(H537) * $F$15</f>
        <v>209029.30606060609</v>
      </c>
      <c r="I567" s="576" cm="1">
        <f t="array" ref="I567">_xlfn.ANCHORARRAY(I537) * $F$15</f>
        <v>214961.88781287879</v>
      </c>
      <c r="J567" s="576" cm="1">
        <f t="array" ref="J567">_xlfn.ANCHORARRAY(J537) * $F$15</f>
        <v>221545.48583810605</v>
      </c>
      <c r="K567" s="576" cm="1">
        <f t="array" ref="K567">_xlfn.ANCHORARRAY(K537) * $F$15</f>
        <v>230786.23139734849</v>
      </c>
      <c r="L567" s="576" cm="1">
        <f t="array" ref="L567">_xlfn.ANCHORARRAY(L537) * $F$15</f>
        <v>240028.62718795455</v>
      </c>
      <c r="M567" s="576" cm="1">
        <f t="array" ref="M567">_xlfn.ANCHORARRAY(M537) * $F$15</f>
        <v>249272.94824848481</v>
      </c>
      <c r="N567" s="576" cm="1">
        <f t="array" ref="N567">_xlfn.ANCHORARRAY(N537) * $F$15</f>
        <v>258513.69380772731</v>
      </c>
      <c r="O567" s="576" cm="1">
        <f t="array" ref="O567">_xlfn.ANCHORARRAY(O537) * $F$15</f>
        <v>267754.98944409093</v>
      </c>
      <c r="P567" s="576" cm="1">
        <f t="array" ref="P567">_xlfn.ANCHORARRAY(P537) * $F$15</f>
        <v>278141.82068537886</v>
      </c>
      <c r="Q567" s="576" cm="1">
        <f t="array" ref="Q567">_xlfn.ANCHORARRAY(Q537) * $F$15</f>
        <v>288525.07642537879</v>
      </c>
      <c r="R567" s="576" cm="1">
        <f t="array" ref="R567">_xlfn.ANCHORARRAY(R537) * $F$15</f>
        <v>298911.90766666661</v>
      </c>
      <c r="S567" s="576" cm="1">
        <f t="array" ref="S567">_xlfn.ANCHORARRAY(S537) * $F$15</f>
        <v>309298.73890795448</v>
      </c>
      <c r="T567" s="576" cm="1">
        <f t="array" ref="T567">_xlfn.ANCHORARRAY(T537) * $F$15</f>
        <v>319687.22038060613</v>
      </c>
      <c r="U567" s="576" cm="1">
        <f t="array" ref="U567">_xlfn.ANCHORARRAY(U537) * $F$15</f>
        <v>327418.00424212118</v>
      </c>
      <c r="V567" s="576" cm="1">
        <f t="array" ref="V567">_xlfn.ANCHORARRAY(V537) * $F$15</f>
        <v>333350.58599439391</v>
      </c>
      <c r="W567" s="576" cm="1">
        <f t="array" ref="W567">_xlfn.ANCHORARRAY(W537) * $F$15</f>
        <v>339283.16774666664</v>
      </c>
      <c r="X567" s="576" cm="1">
        <f t="array" ref="X567">_xlfn.ANCHORARRAY(X537) * $F$15</f>
        <v>345215.74949893937</v>
      </c>
      <c r="Y567" s="576" cm="1">
        <f t="array" ref="Y567">_xlfn.ANCHORARRAY(Y537) * $F$15</f>
        <v>351145.30582704541</v>
      </c>
      <c r="Z567" s="576" cm="1">
        <f t="array" ref="Z567">_xlfn.ANCHORARRAY(Z537) * $F$15</f>
        <v>357077.88757931819</v>
      </c>
      <c r="AA567" s="576" cm="1">
        <f t="array" ref="AA567">_xlfn.ANCHORARRAY(AA537) * $F$15</f>
        <v>363007.44390742428</v>
      </c>
      <c r="AB567" s="576" cm="1">
        <f t="array" ref="AB567">_xlfn.ANCHORARRAY(AB537) * $F$15</f>
        <v>368940.02565969696</v>
      </c>
      <c r="AC567" s="576" cm="1">
        <f t="array" ref="AC567">_xlfn.ANCHORARRAY(AC537) * $F$15</f>
        <v>374872.60741196969</v>
      </c>
      <c r="AD567" s="576" cm="1">
        <f t="array" ref="AD567">_xlfn.ANCHORARRAY(AD537) * $F$15</f>
        <v>380802.16374007572</v>
      </c>
      <c r="AE567" s="576" cm="1">
        <f t="array" ref="AE567">_xlfn.ANCHORARRAY(AE537) * $F$15</f>
        <v>386734.74549234851</v>
      </c>
      <c r="AF567" s="576" cm="1">
        <f t="array" ref="AF567">_xlfn.ANCHORARRAY(AF537) * $F$15</f>
        <v>392667.32724462118</v>
      </c>
      <c r="AG567" s="714" cm="1">
        <f t="array" ref="AG567">_xlfn.ANCHORARRAY(AG537) * $F$15</f>
        <v>398596.88357272721</v>
      </c>
      <c r="AH567" s="5"/>
      <c r="AI567" s="5"/>
      <c r="AJ567" s="5"/>
      <c r="AK567" s="5"/>
      <c r="AL567" s="5"/>
      <c r="AM567" s="5"/>
      <c r="AN567" s="5"/>
    </row>
    <row r="568" spans="1:40" ht="21.95" customHeight="1" x14ac:dyDescent="0.2">
      <c r="B568" s="704"/>
      <c r="C568" s="715"/>
      <c r="D568" s="719"/>
      <c r="E568" s="116"/>
      <c r="F568" s="116" t="s">
        <v>346</v>
      </c>
      <c r="G568" s="116" t="s">
        <v>343</v>
      </c>
      <c r="H568" s="576" cm="1">
        <f t="array" ref="H568">_xlfn.ANCHORARRAY(H538) * $F$15</f>
        <v>51697.272727272728</v>
      </c>
      <c r="I568" s="576" cm="1">
        <f t="array" ref="I568">_xlfn.ANCHORARRAY(I538) * $F$15</f>
        <v>53164.522954545457</v>
      </c>
      <c r="J568" s="576" cm="1">
        <f t="array" ref="J568">_xlfn.ANCHORARRAY(J538) * $F$15</f>
        <v>54792.782977272727</v>
      </c>
      <c r="K568" s="576" cm="1">
        <f t="array" ref="K568">_xlfn.ANCHORARRAY(K538) * $F$15</f>
        <v>57078.210568181814</v>
      </c>
      <c r="L568" s="576" cm="1">
        <f t="array" ref="L568">_xlfn.ANCHORARRAY(L538) * $F$15</f>
        <v>59364.046295454544</v>
      </c>
      <c r="M568" s="576" cm="1">
        <f t="array" ref="M568">_xlfn.ANCHORARRAY(M538) * $F$15</f>
        <v>61650.358181818177</v>
      </c>
      <c r="N568" s="576" cm="1">
        <f t="array" ref="N568">_xlfn.ANCHORARRAY(N538) * $F$15</f>
        <v>63935.785772727279</v>
      </c>
      <c r="O568" s="576" cm="1">
        <f t="array" ref="O568">_xlfn.ANCHORARRAY(O538) * $F$15</f>
        <v>66221.349409090923</v>
      </c>
      <c r="P568" s="576" cm="1">
        <f t="array" ref="P568">_xlfn.ANCHORARRAY(P538) * $F$15</f>
        <v>68790.227704545468</v>
      </c>
      <c r="Q568" s="576" cm="1">
        <f t="array" ref="Q568">_xlfn.ANCHORARRAY(Q538) * $F$15</f>
        <v>71358.221704545445</v>
      </c>
      <c r="R568" s="576" cm="1">
        <f t="array" ref="R568">_xlfn.ANCHORARRAY(R538) * $F$15</f>
        <v>73927.099999999991</v>
      </c>
      <c r="S568" s="576" cm="1">
        <f t="array" ref="S568">_xlfn.ANCHORARRAY(S538) * $F$15</f>
        <v>76495.978295454523</v>
      </c>
      <c r="T568" s="576" cm="1">
        <f t="array" ref="T568">_xlfn.ANCHORARRAY(T538) * $F$15</f>
        <v>79065.264727272734</v>
      </c>
      <c r="U568" s="576" cm="1">
        <f t="array" ref="U568">_xlfn.ANCHORARRAY(U538) * $F$15</f>
        <v>80977.247545454535</v>
      </c>
      <c r="V568" s="576" cm="1">
        <f t="array" ref="V568">_xlfn.ANCHORARRAY(V538) * $F$15</f>
        <v>82444.497772727264</v>
      </c>
      <c r="W568" s="576" cm="1">
        <f t="array" ref="W568">_xlfn.ANCHORARRAY(W538) * $F$15</f>
        <v>83911.747999999992</v>
      </c>
      <c r="X568" s="576" cm="1">
        <f t="array" ref="X568">_xlfn.ANCHORARRAY(X538) * $F$15</f>
        <v>85378.998227272721</v>
      </c>
      <c r="Y568" s="576" cm="1">
        <f t="array" ref="Y568">_xlfn.ANCHORARRAY(Y538) * $F$15</f>
        <v>86845.500204545431</v>
      </c>
      <c r="Z568" s="576" cm="1">
        <f t="array" ref="Z568">_xlfn.ANCHORARRAY(Z538) * $F$15</f>
        <v>88312.750431818175</v>
      </c>
      <c r="AA568" s="576" cm="1">
        <f t="array" ref="AA568">_xlfn.ANCHORARRAY(AA538) * $F$15</f>
        <v>89779.252409090899</v>
      </c>
      <c r="AB568" s="576" cm="1">
        <f t="array" ref="AB568">_xlfn.ANCHORARRAY(AB538) * $F$15</f>
        <v>91246.502636363643</v>
      </c>
      <c r="AC568" s="576" cm="1">
        <f t="array" ref="AC568">_xlfn.ANCHORARRAY(AC538) * $F$15</f>
        <v>92713.752863636371</v>
      </c>
      <c r="AD568" s="576" cm="1">
        <f t="array" ref="AD568">_xlfn.ANCHORARRAY(AD538) * $F$15</f>
        <v>94180.254840909096</v>
      </c>
      <c r="AE568" s="576" cm="1">
        <f t="array" ref="AE568">_xlfn.ANCHORARRAY(AE538) * $F$15</f>
        <v>95647.50506818181</v>
      </c>
      <c r="AF568" s="576" cm="1">
        <f t="array" ref="AF568">_xlfn.ANCHORARRAY(AF538) * $F$15</f>
        <v>97114.755295454539</v>
      </c>
      <c r="AG568" s="714" cm="1">
        <f t="array" ref="AG568">_xlfn.ANCHORARRAY(AG538) * $F$15</f>
        <v>98581.257272727264</v>
      </c>
      <c r="AH568" s="5"/>
      <c r="AI568" s="5"/>
      <c r="AJ568" s="5"/>
      <c r="AK568" s="5"/>
      <c r="AL568" s="5"/>
      <c r="AM568" s="5"/>
      <c r="AN568" s="5"/>
    </row>
    <row r="569" spans="1:40" ht="21.95" customHeight="1" x14ac:dyDescent="0.2">
      <c r="B569" s="704"/>
      <c r="C569" s="715"/>
      <c r="D569" s="719"/>
      <c r="E569" s="116"/>
      <c r="F569" s="116" t="s">
        <v>343</v>
      </c>
      <c r="G569" s="116" t="s">
        <v>350</v>
      </c>
      <c r="H569" s="576" cm="1">
        <f t="array" ref="H569">_xlfn.ANCHORARRAY(H539) * $F$15</f>
        <v>132644.31818181821</v>
      </c>
      <c r="I569" s="576" cm="1">
        <f t="array" ref="I569">_xlfn.ANCHORARRAY(I539) * $F$15</f>
        <v>136405.66889772727</v>
      </c>
      <c r="J569" s="576" cm="1">
        <f t="array" ref="J569">_xlfn.ANCHORARRAY(J539) * $F$15</f>
        <v>140691.62789204545</v>
      </c>
      <c r="K569" s="576" cm="1">
        <f t="array" ref="K569">_xlfn.ANCHORARRAY(K539) * $F$15</f>
        <v>146168.06964204548</v>
      </c>
      <c r="L569" s="576" cm="1">
        <f t="array" ref="L569">_xlfn.ANCHORARRAY(L539) * $F$15</f>
        <v>151646.27998295453</v>
      </c>
      <c r="M569" s="576" cm="1">
        <f t="array" ref="M569">_xlfn.ANCHORARRAY(M539) * $F$15</f>
        <v>157123.60602840918</v>
      </c>
      <c r="N569" s="576" cm="1">
        <f t="array" ref="N569">_xlfn.ANCHORARRAY(N539) * $F$15</f>
        <v>162600.04777840912</v>
      </c>
      <c r="O569" s="576" cm="1">
        <f t="array" ref="O569">_xlfn.ANCHORARRAY(O539) * $F$15</f>
        <v>168077.59489772731</v>
      </c>
      <c r="P569" s="576" cm="1">
        <f t="array" ref="P569">_xlfn.ANCHORARRAY(P539) * $F$15</f>
        <v>174268.54737499999</v>
      </c>
      <c r="Q569" s="576" cm="1">
        <f t="array" ref="Q569">_xlfn.ANCHORARRAY(Q539) * $F$15</f>
        <v>180459.27877840912</v>
      </c>
      <c r="R569" s="576" cm="1">
        <f t="array" ref="R569">_xlfn.ANCHORARRAY(R539) * $F$15</f>
        <v>186649.3469602273</v>
      </c>
      <c r="S569" s="576" cm="1">
        <f t="array" ref="S569">_xlfn.ANCHORARRAY(S539) * $F$15</f>
        <v>192840.29943750004</v>
      </c>
      <c r="T569" s="576" cm="1">
        <f t="array" ref="T569">_xlfn.ANCHORARRAY(T539) * $F$15</f>
        <v>199032.35728409089</v>
      </c>
      <c r="U569" s="576" cm="1">
        <f t="array" ref="U569">_xlfn.ANCHORARRAY(U539) * $F$15</f>
        <v>204032.60593181819</v>
      </c>
      <c r="V569" s="576" cm="1">
        <f t="array" ref="V569">_xlfn.ANCHORARRAY(V539) * $F$15</f>
        <v>207793.95664772732</v>
      </c>
      <c r="W569" s="576" cm="1">
        <f t="array" ref="W569">_xlfn.ANCHORARRAY(W539) * $F$15</f>
        <v>211555.30736363644</v>
      </c>
      <c r="X569" s="576" cm="1">
        <f t="array" ref="X569">_xlfn.ANCHORARRAY(X539) * $F$15</f>
        <v>215316.65807954551</v>
      </c>
      <c r="Y569" s="576" cm="1">
        <f t="array" ref="Y569">_xlfn.ANCHORARRAY(Y539) * $F$15</f>
        <v>219076.90342613641</v>
      </c>
      <c r="Z569" s="576" cm="1">
        <f t="array" ref="Z569">_xlfn.ANCHORARRAY(Z539) * $F$15</f>
        <v>222838.25414204542</v>
      </c>
      <c r="AA569" s="576" cm="1">
        <f t="array" ref="AA569">_xlfn.ANCHORARRAY(AA539) * $F$15</f>
        <v>226598.49948863633</v>
      </c>
      <c r="AB569" s="576" cm="1">
        <f t="array" ref="AB569">_xlfn.ANCHORARRAY(AB539) * $F$15</f>
        <v>230359.85020454542</v>
      </c>
      <c r="AC569" s="576" cm="1">
        <f t="array" ref="AC569">_xlfn.ANCHORARRAY(AC539) * $F$15</f>
        <v>234121.20092045452</v>
      </c>
      <c r="AD569" s="576" cm="1">
        <f t="array" ref="AD569">_xlfn.ANCHORARRAY(AD539) * $F$15</f>
        <v>237881.44626704539</v>
      </c>
      <c r="AE569" s="576" cm="1">
        <f t="array" ref="AE569">_xlfn.ANCHORARRAY(AE539) * $F$15</f>
        <v>241642.79698295452</v>
      </c>
      <c r="AF569" s="576" cm="1">
        <f t="array" ref="AF569">_xlfn.ANCHORARRAY(AF539) * $F$15</f>
        <v>245404.14769886358</v>
      </c>
      <c r="AG569" s="714" cm="1">
        <f t="array" ref="AG569">_xlfn.ANCHORARRAY(AG539) * $F$15</f>
        <v>249164.39304545452</v>
      </c>
      <c r="AH569" s="5"/>
      <c r="AI569" s="5"/>
      <c r="AJ569" s="5"/>
      <c r="AK569" s="5"/>
      <c r="AL569" s="5"/>
      <c r="AM569" s="5"/>
      <c r="AN569" s="5"/>
    </row>
    <row r="570" spans="1:40" ht="21.95" customHeight="1" x14ac:dyDescent="0.2">
      <c r="B570" s="705"/>
      <c r="C570" s="715"/>
      <c r="D570" s="719"/>
      <c r="E570" s="116"/>
      <c r="F570" s="116" t="s">
        <v>350</v>
      </c>
      <c r="G570" s="116" t="s">
        <v>280</v>
      </c>
      <c r="H570" s="576" cm="1">
        <f t="array" ref="H570">_xlfn.ANCHORARRAY(H540) * $F$15</f>
        <v>1101287.9545454546</v>
      </c>
      <c r="I570" s="576" cm="1">
        <f t="array" ref="I570">_xlfn.ANCHORARRAY(I540) * $F$15</f>
        <v>1132516.8099765154</v>
      </c>
      <c r="J570" s="576" cm="1">
        <f t="array" ref="J570">_xlfn.ANCHORARRAY(J540) * $F$15</f>
        <v>1168101.259267803</v>
      </c>
      <c r="K570" s="576" cm="1">
        <f t="array" ref="K570">_xlfn.ANCHORARRAY(K540) * $F$15</f>
        <v>1213569.7679511365</v>
      </c>
      <c r="L570" s="576" cm="1">
        <f t="array" ref="L570">_xlfn.ANCHORARRAY(L540) * $F$15</f>
        <v>1259052.9604738636</v>
      </c>
      <c r="M570" s="576" cm="1">
        <f t="array" ref="M570">_xlfn.ANCHORARRAY(M540) * $F$15</f>
        <v>1304528.8110768946</v>
      </c>
      <c r="N570" s="576" cm="1">
        <f t="array" ref="N570">_xlfn.ANCHORARRAY(N540) * $F$15</f>
        <v>1349997.3197602276</v>
      </c>
      <c r="O570" s="576" cm="1">
        <f t="array" ref="O570">_xlfn.ANCHORARRAY(O540) * $F$15</f>
        <v>1395475.0058431823</v>
      </c>
      <c r="P570" s="576" cm="1">
        <f t="array" ref="P570">_xlfn.ANCHORARRAY(P540) * $F$15</f>
        <v>1446875.7856416665</v>
      </c>
      <c r="Q570" s="576" cm="1">
        <f t="array" ref="Q570">_xlfn.ANCHORARRAY(Q540) * $F$15</f>
        <v>1498274.7299602276</v>
      </c>
      <c r="R570" s="576" cm="1">
        <f t="array" ref="R570">_xlfn.ANCHORARRAY(R540) * $F$15</f>
        <v>1549668.1678390154</v>
      </c>
      <c r="S570" s="576" cm="1">
        <f t="array" ref="S570">_xlfn.ANCHORARRAY(S540) * $F$15</f>
        <v>1601068.9476375005</v>
      </c>
      <c r="T570" s="576" cm="1">
        <f t="array" ref="T570">_xlfn.ANCHORARRAY(T540) * $F$15</f>
        <v>1652478.904835606</v>
      </c>
      <c r="U570" s="576" cm="1">
        <f t="array" ref="U570">_xlfn.ANCHORARRAY(U540) * $F$15</f>
        <v>1693993.7897621214</v>
      </c>
      <c r="V570" s="576" cm="1">
        <f t="array" ref="V570">_xlfn.ANCHORARRAY(V540) * $F$15</f>
        <v>1725222.6451931822</v>
      </c>
      <c r="W570" s="576" cm="1">
        <f t="array" ref="W570">_xlfn.ANCHORARRAY(W540) * $F$15</f>
        <v>1756451.5006242429</v>
      </c>
      <c r="X570" s="576" cm="1">
        <f t="array" ref="X570">_xlfn.ANCHORARRAY(X540) * $F$15</f>
        <v>1787680.3560553035</v>
      </c>
      <c r="Y570" s="576" cm="1">
        <f t="array" ref="Y570">_xlfn.ANCHORARRAY(Y540) * $F$15</f>
        <v>1818900.0340867429</v>
      </c>
      <c r="Z570" s="576" cm="1">
        <f t="array" ref="Z570">_xlfn.ANCHORARRAY(Z540) * $F$15</f>
        <v>1850128.8895178025</v>
      </c>
      <c r="AA570" s="576" cm="1">
        <f t="array" ref="AA570">_xlfn.ANCHORARRAY(AA540) * $F$15</f>
        <v>1881348.5675492419</v>
      </c>
      <c r="AB570" s="576" cm="1">
        <f t="array" ref="AB570">_xlfn.ANCHORARRAY(AB540) * $F$15</f>
        <v>1912577.4229803027</v>
      </c>
      <c r="AC570" s="576" cm="1">
        <f t="array" ref="AC570">_xlfn.ANCHORARRAY(AC540) * $F$15</f>
        <v>1943806.2784113633</v>
      </c>
      <c r="AD570" s="576" cm="1">
        <f t="array" ref="AD570">_xlfn.ANCHORARRAY(AD540) * $F$15</f>
        <v>1975025.9564428027</v>
      </c>
      <c r="AE570" s="576" cm="1">
        <f t="array" ref="AE570">_xlfn.ANCHORARRAY(AE540) * $F$15</f>
        <v>2006254.8118738635</v>
      </c>
      <c r="AF570" s="576" cm="1">
        <f t="array" ref="AF570">_xlfn.ANCHORARRAY(AF540) * $F$15</f>
        <v>2037483.667304924</v>
      </c>
      <c r="AG570" s="714" cm="1">
        <f t="array" ref="AG570">_xlfn.ANCHORARRAY(AG540) * $F$15</f>
        <v>2068703.3453363634</v>
      </c>
      <c r="AH570" s="5"/>
      <c r="AI570" s="5"/>
      <c r="AJ570" s="5"/>
      <c r="AK570" s="5"/>
      <c r="AL570" s="5"/>
      <c r="AM570" s="5"/>
      <c r="AN570" s="5"/>
    </row>
    <row r="571" spans="1:40" ht="21.95" customHeight="1" thickBot="1" x14ac:dyDescent="0.25">
      <c r="B571" s="183"/>
      <c r="C571" s="116"/>
      <c r="D571" s="719"/>
      <c r="E571" s="278"/>
      <c r="F571" s="278" t="s">
        <v>280</v>
      </c>
      <c r="G571" s="278" t="s">
        <v>333</v>
      </c>
      <c r="H571" s="576" cm="1">
        <f t="array" ref="H571">_xlfn.ANCHORARRAY(H541) * $F$15</f>
        <v>27209.090909090912</v>
      </c>
      <c r="I571" s="576" cm="1">
        <f t="array" ref="I571">_xlfn.ANCHORARRAY(I541) * $F$15</f>
        <v>27980.650030303037</v>
      </c>
      <c r="J571" s="576" cm="1">
        <f t="array" ref="J571">_xlfn.ANCHORARRAY(J541) * $F$15</f>
        <v>28859.821106060605</v>
      </c>
      <c r="K571" s="576" cm="1">
        <f t="array" ref="K571">_xlfn.ANCHORARRAY(K541) * $F$15</f>
        <v>29983.193772727278</v>
      </c>
      <c r="L571" s="576" cm="1">
        <f t="array" ref="L571">_xlfn.ANCHORARRAY(L541) * $F$15</f>
        <v>31106.929227272729</v>
      </c>
      <c r="M571" s="576" cm="1">
        <f t="array" ref="M571">_xlfn.ANCHORARRAY(M541) * $F$15</f>
        <v>32230.483287878804</v>
      </c>
      <c r="N571" s="576" cm="1">
        <f t="array" ref="N571">_xlfn.ANCHORARRAY(N541) * $F$15</f>
        <v>33353.855954545463</v>
      </c>
      <c r="O571" s="576" cm="1">
        <f t="array" ref="O571">_xlfn.ANCHORARRAY(O541) * $F$15</f>
        <v>34477.455363636378</v>
      </c>
      <c r="P571" s="576" cm="1">
        <f t="array" ref="P571">_xlfn.ANCHORARRAY(P541) * $F$15</f>
        <v>35747.39433333333</v>
      </c>
      <c r="Q571" s="576" cm="1">
        <f t="array" ref="Q571">_xlfn.ANCHORARRAY(Q541) * $F$15</f>
        <v>37017.287954545456</v>
      </c>
      <c r="R571" s="576" cm="1">
        <f t="array" ref="R571">_xlfn.ANCHORARRAY(R541) * $F$15</f>
        <v>38287.045530303039</v>
      </c>
      <c r="S571" s="576" cm="1">
        <f t="array" ref="S571">_xlfn.ANCHORARRAY(S541) * $F$15</f>
        <v>39556.984500000013</v>
      </c>
      <c r="T571" s="576" cm="1">
        <f t="array" ref="T571">_xlfn.ANCHORARRAY(T541) * $F$15</f>
        <v>40827.150212121218</v>
      </c>
      <c r="U571" s="576" cm="1">
        <f t="array" ref="U571">_xlfn.ANCHORARRAY(U541) * $F$15</f>
        <v>41852.842242424245</v>
      </c>
      <c r="V571" s="576" cm="1">
        <f t="array" ref="V571">_xlfn.ANCHORARRAY(V541) * $F$15</f>
        <v>42624.401363636374</v>
      </c>
      <c r="W571" s="576" cm="1">
        <f t="array" ref="W571">_xlfn.ANCHORARRAY(W541) * $F$15</f>
        <v>43395.960484848503</v>
      </c>
      <c r="X571" s="576" cm="1">
        <f t="array" ref="X571">_xlfn.ANCHORARRAY(X541) * $F$15</f>
        <v>44167.519606060625</v>
      </c>
      <c r="Y571" s="576" cm="1">
        <f t="array" ref="Y571">_xlfn.ANCHORARRAY(Y541) * $F$15</f>
        <v>44938.851984848494</v>
      </c>
      <c r="Z571" s="576" cm="1">
        <f t="array" ref="Z571">_xlfn.ANCHORARRAY(Z541) * $F$15</f>
        <v>45710.411106060608</v>
      </c>
      <c r="AA571" s="576" cm="1">
        <f t="array" ref="AA571">_xlfn.ANCHORARRAY(AA541) * $F$15</f>
        <v>46481.743484848477</v>
      </c>
      <c r="AB571" s="576" cm="1">
        <f t="array" ref="AB571">_xlfn.ANCHORARRAY(AB541) * $F$15</f>
        <v>47253.302606060599</v>
      </c>
      <c r="AC571" s="576" cm="1">
        <f t="array" ref="AC571">_xlfn.ANCHORARRAY(AC541) * $F$15</f>
        <v>48024.861727272728</v>
      </c>
      <c r="AD571" s="576" cm="1">
        <f t="array" ref="AD571">_xlfn.ANCHORARRAY(AD541) * $F$15</f>
        <v>48796.194106060597</v>
      </c>
      <c r="AE571" s="576" cm="1">
        <f t="array" ref="AE571">_xlfn.ANCHORARRAY(AE541) * $F$15</f>
        <v>49567.753227272726</v>
      </c>
      <c r="AF571" s="576" cm="1">
        <f t="array" ref="AF571">_xlfn.ANCHORARRAY(AF541) * $F$15</f>
        <v>50339.312348484847</v>
      </c>
      <c r="AG571" s="714" cm="1">
        <f t="array" ref="AG571">_xlfn.ANCHORARRAY(AG541) * $F$15</f>
        <v>51110.644727272716</v>
      </c>
      <c r="AH571" s="5"/>
      <c r="AI571" s="5"/>
      <c r="AJ571" s="5"/>
      <c r="AK571" s="5"/>
      <c r="AL571" s="5"/>
      <c r="AM571" s="5"/>
      <c r="AN571" s="5"/>
    </row>
    <row r="572" spans="1:40" ht="21.95" customHeight="1" x14ac:dyDescent="0.2">
      <c r="B572" s="183"/>
      <c r="C572" s="116"/>
      <c r="D572" s="720"/>
      <c r="E572" s="125" t="s">
        <v>25</v>
      </c>
      <c r="F572" s="125"/>
      <c r="G572" s="125"/>
      <c r="H572" s="716">
        <f>SUM(H543:H571)</f>
        <v>33805557.700606063</v>
      </c>
      <c r="I572" s="716">
        <f t="shared" ref="I572" si="456">SUM(I543:I571)</f>
        <v>35236876.704936601</v>
      </c>
      <c r="J572" s="716">
        <f t="shared" ref="J572" si="457">SUM(J543:J571)</f>
        <v>37160101.515861563</v>
      </c>
      <c r="K572" s="716">
        <f t="shared" ref="K572" si="458">SUM(K543:K571)</f>
        <v>40158360.144848153</v>
      </c>
      <c r="L572" s="716">
        <f t="shared" ref="L572" si="459">SUM(L543:L571)</f>
        <v>43158006.549572587</v>
      </c>
      <c r="M572" s="716">
        <f t="shared" ref="M572" si="460">SUM(M543:M571)</f>
        <v>46157657.914196841</v>
      </c>
      <c r="N572" s="716">
        <f t="shared" ref="N572" si="461">SUM(N543:N571)</f>
        <v>49155916.543183468</v>
      </c>
      <c r="O572" s="716">
        <f t="shared" ref="O572" si="462">SUM(O543:O571)</f>
        <v>52156949.060535364</v>
      </c>
      <c r="P572" s="716">
        <f t="shared" ref="P572" si="463">SUM(P543:P571)</f>
        <v>54893083.412611738</v>
      </c>
      <c r="Q572" s="716">
        <f t="shared" ref="Q572" si="464">SUM(Q543:Q571)</f>
        <v>57621268.944177739</v>
      </c>
      <c r="R572" s="716">
        <f t="shared" ref="R572" si="465">SUM(R543:R571)</f>
        <v>60348857.948214844</v>
      </c>
      <c r="S572" s="716">
        <f t="shared" ref="S572" si="466">SUM(S543:S571)</f>
        <v>63076433.517491229</v>
      </c>
      <c r="T572" s="716">
        <f t="shared" ref="T572" si="467">SUM(T543:T571)</f>
        <v>65806783.098208696</v>
      </c>
      <c r="U572" s="716">
        <f t="shared" ref="U572" si="468">SUM(U543:U571)</f>
        <v>67470376.413856655</v>
      </c>
      <c r="V572" s="716">
        <f t="shared" ref="V572" si="469">SUM(V543:V571)</f>
        <v>68548264.002229199</v>
      </c>
      <c r="W572" s="716">
        <f t="shared" ref="W572" si="470">SUM(W543:W571)</f>
        <v>69653810.550089747</v>
      </c>
      <c r="X572" s="716">
        <f t="shared" ref="X572" si="471">SUM(X543:X571)</f>
        <v>70759357.09795028</v>
      </c>
      <c r="Y572" s="716">
        <f t="shared" ref="Y572" si="472">SUM(Y543:Y571)</f>
        <v>71865638.832408875</v>
      </c>
      <c r="Z572" s="716">
        <f t="shared" ref="Z572" si="473">SUM(Z543:Z571)</f>
        <v>73006443.058186874</v>
      </c>
      <c r="AA572" s="716">
        <f t="shared" ref="AA572" si="474">SUM(AA543:AA571)</f>
        <v>74152717.342484251</v>
      </c>
      <c r="AB572" s="716">
        <f t="shared" ref="AB572" si="475">SUM(AB543:AB571)</f>
        <v>75298287.755548611</v>
      </c>
      <c r="AC572" s="716">
        <f t="shared" ref="AC572" si="476">SUM(AC543:AC571)</f>
        <v>76443858.168612972</v>
      </c>
      <c r="AD572" s="716">
        <f t="shared" ref="AD572" si="477">SUM(AD543:AD571)</f>
        <v>77590173.108734041</v>
      </c>
      <c r="AE572" s="716">
        <f t="shared" ref="AE572" si="478">SUM(AE543:AE571)</f>
        <v>78735743.521798432</v>
      </c>
      <c r="AF572" s="716">
        <f t="shared" ref="AF572" si="479">SUM(AF543:AF571)</f>
        <v>79881313.934862807</v>
      </c>
      <c r="AG572" s="717">
        <f t="shared" ref="AG572" si="480">SUM(AG543:AG571)</f>
        <v>81027588.219160184</v>
      </c>
      <c r="AH572" s="47"/>
      <c r="AI572" s="47"/>
      <c r="AJ572" s="47"/>
      <c r="AK572" s="47"/>
      <c r="AL572" s="47"/>
      <c r="AM572" s="47"/>
      <c r="AN572" s="47"/>
    </row>
    <row r="573" spans="1:40" ht="21.95" customHeight="1" x14ac:dyDescent="0.2">
      <c r="A573" s="9"/>
      <c r="B573" s="705"/>
      <c r="C573" s="715"/>
      <c r="D573" s="718" t="s">
        <v>476</v>
      </c>
      <c r="E573" s="1340" t="s">
        <v>331</v>
      </c>
      <c r="F573" s="220" t="s">
        <v>332</v>
      </c>
      <c r="G573" s="220" t="s">
        <v>282</v>
      </c>
      <c r="H573" s="576">
        <f>H513 * (1-$F$15)</f>
        <v>372825.59999999998</v>
      </c>
      <c r="I573" s="576">
        <f t="shared" ref="I573:AG573" si="481">I513 * (1-$F$15)</f>
        <v>389778.67907999997</v>
      </c>
      <c r="J573" s="576">
        <f t="shared" si="481"/>
        <v>413663.98416000005</v>
      </c>
      <c r="K573" s="576">
        <f t="shared" si="481"/>
        <v>448798.13664000004</v>
      </c>
      <c r="L573" s="576">
        <f t="shared" si="481"/>
        <v>483945.10499999992</v>
      </c>
      <c r="M573" s="576">
        <f t="shared" si="481"/>
        <v>519092.07335999986</v>
      </c>
      <c r="N573" s="576">
        <f t="shared" si="481"/>
        <v>554226.22583999997</v>
      </c>
      <c r="O573" s="576">
        <f t="shared" si="481"/>
        <v>589386.0100799998</v>
      </c>
      <c r="P573" s="576">
        <f t="shared" si="481"/>
        <v>624129.86075999995</v>
      </c>
      <c r="Q573" s="576">
        <f t="shared" si="481"/>
        <v>658880.7019199999</v>
      </c>
      <c r="R573" s="576">
        <f t="shared" si="481"/>
        <v>693624.55260000005</v>
      </c>
      <c r="S573" s="576">
        <f t="shared" si="481"/>
        <v>728368.40328000009</v>
      </c>
      <c r="T573" s="576">
        <f t="shared" si="481"/>
        <v>763137.8857199999</v>
      </c>
      <c r="U573" s="576">
        <f t="shared" si="481"/>
        <v>786620.07312000007</v>
      </c>
      <c r="V573" s="576">
        <f t="shared" si="481"/>
        <v>803573.15220000001</v>
      </c>
      <c r="W573" s="576">
        <f t="shared" si="481"/>
        <v>820526.23127999972</v>
      </c>
      <c r="X573" s="576">
        <f t="shared" si="481"/>
        <v>837479.31036</v>
      </c>
      <c r="Y573" s="576">
        <f t="shared" si="481"/>
        <v>854438.21483999991</v>
      </c>
      <c r="Z573" s="576">
        <f t="shared" si="481"/>
        <v>871391.29391999997</v>
      </c>
      <c r="AA573" s="576">
        <f t="shared" si="481"/>
        <v>888350.19839999988</v>
      </c>
      <c r="AB573" s="576">
        <f t="shared" si="481"/>
        <v>905303.27747999993</v>
      </c>
      <c r="AC573" s="576">
        <f t="shared" si="481"/>
        <v>922256.35655999987</v>
      </c>
      <c r="AD573" s="576">
        <f t="shared" si="481"/>
        <v>939215.26103999978</v>
      </c>
      <c r="AE573" s="576">
        <f t="shared" si="481"/>
        <v>956168.34011999972</v>
      </c>
      <c r="AF573" s="576">
        <f t="shared" si="481"/>
        <v>973121.4192</v>
      </c>
      <c r="AG573" s="714">
        <f t="shared" si="481"/>
        <v>990080.32367999991</v>
      </c>
      <c r="AH573" s="5"/>
      <c r="AI573" s="5"/>
      <c r="AJ573" s="5"/>
      <c r="AK573" s="5"/>
      <c r="AL573" s="5"/>
      <c r="AM573" s="5"/>
      <c r="AN573" s="5"/>
    </row>
    <row r="574" spans="1:40" ht="21.95" customHeight="1" x14ac:dyDescent="0.2">
      <c r="A574" s="9"/>
      <c r="B574" s="705"/>
      <c r="C574" s="715"/>
      <c r="D574" s="718"/>
      <c r="E574" s="1339"/>
      <c r="F574" s="116" t="s">
        <v>282</v>
      </c>
      <c r="G574" s="116" t="s">
        <v>280</v>
      </c>
      <c r="H574" s="576">
        <f t="shared" ref="H574:AG574" si="482">H514 * (1-$F$15)</f>
        <v>11988338.727272727</v>
      </c>
      <c r="I574" s="576">
        <f t="shared" si="482"/>
        <v>12621145.407054542</v>
      </c>
      <c r="J574" s="576">
        <f t="shared" si="482"/>
        <v>13571065.846799999</v>
      </c>
      <c r="K574" s="576">
        <f t="shared" si="482"/>
        <v>15140472.589963632</v>
      </c>
      <c r="L574" s="576">
        <f t="shared" si="482"/>
        <v>16710589.7532</v>
      </c>
      <c r="M574" s="576">
        <f t="shared" si="482"/>
        <v>18280618.113927267</v>
      </c>
      <c r="N574" s="576">
        <f t="shared" si="482"/>
        <v>19850024.857090909</v>
      </c>
      <c r="O574" s="576">
        <f t="shared" si="482"/>
        <v>21420852.440400001</v>
      </c>
      <c r="P574" s="576">
        <f t="shared" si="482"/>
        <v>23005622.017636359</v>
      </c>
      <c r="Q574" s="576">
        <f t="shared" si="482"/>
        <v>24590924.409927268</v>
      </c>
      <c r="R574" s="576">
        <f t="shared" si="482"/>
        <v>26175693.987163629</v>
      </c>
      <c r="S574" s="576">
        <f t="shared" si="482"/>
        <v>27760463.564399999</v>
      </c>
      <c r="T574" s="576">
        <f t="shared" si="482"/>
        <v>29346653.981781818</v>
      </c>
      <c r="U574" s="576">
        <f t="shared" si="482"/>
        <v>30311226.835527275</v>
      </c>
      <c r="V574" s="576">
        <f t="shared" si="482"/>
        <v>30944033.515309084</v>
      </c>
      <c r="W574" s="576">
        <f t="shared" si="482"/>
        <v>31576840.195090909</v>
      </c>
      <c r="X574" s="576">
        <f t="shared" si="482"/>
        <v>32209646.874872729</v>
      </c>
      <c r="Y574" s="576">
        <f t="shared" si="482"/>
        <v>32842808.764690906</v>
      </c>
      <c r="Z574" s="576">
        <f t="shared" si="482"/>
        <v>33475615.444472719</v>
      </c>
      <c r="AA574" s="576">
        <f t="shared" si="482"/>
        <v>34108777.334290914</v>
      </c>
      <c r="AB574" s="576">
        <f t="shared" si="482"/>
        <v>34741584.014072731</v>
      </c>
      <c r="AC574" s="576">
        <f t="shared" si="482"/>
        <v>35374390.693854541</v>
      </c>
      <c r="AD574" s="576">
        <f t="shared" si="482"/>
        <v>36007552.58367274</v>
      </c>
      <c r="AE574" s="576">
        <f t="shared" si="482"/>
        <v>36640359.263454542</v>
      </c>
      <c r="AF574" s="576">
        <f t="shared" si="482"/>
        <v>37273165.943236358</v>
      </c>
      <c r="AG574" s="714">
        <f t="shared" si="482"/>
        <v>37906327.833054543</v>
      </c>
      <c r="AH574" s="5"/>
      <c r="AI574" s="5"/>
      <c r="AJ574" s="5"/>
      <c r="AK574" s="5"/>
      <c r="AL574" s="5"/>
      <c r="AM574" s="5"/>
      <c r="AN574" s="5"/>
    </row>
    <row r="575" spans="1:40" ht="21.95" customHeight="1" x14ac:dyDescent="0.2">
      <c r="A575" s="9"/>
      <c r="B575" s="705"/>
      <c r="C575" s="715"/>
      <c r="D575" s="718"/>
      <c r="E575" s="1339"/>
      <c r="F575" s="116" t="s">
        <v>280</v>
      </c>
      <c r="G575" s="116" t="s">
        <v>333</v>
      </c>
      <c r="H575" s="576">
        <f t="shared" ref="H575:AG575" si="483">H515 * (1-$F$15)</f>
        <v>279619.19999999995</v>
      </c>
      <c r="I575" s="576">
        <f t="shared" si="483"/>
        <v>291295.6317599999</v>
      </c>
      <c r="J575" s="576">
        <f t="shared" si="483"/>
        <v>305747.2840799999</v>
      </c>
      <c r="K575" s="576">
        <f t="shared" si="483"/>
        <v>325204.12007999996</v>
      </c>
      <c r="L575" s="576">
        <f t="shared" si="483"/>
        <v>344667.94656000001</v>
      </c>
      <c r="M575" s="576">
        <f t="shared" si="483"/>
        <v>364129.44287999999</v>
      </c>
      <c r="N575" s="576">
        <f t="shared" si="483"/>
        <v>383586.27888</v>
      </c>
      <c r="O575" s="576">
        <f t="shared" si="483"/>
        <v>403057.09584000008</v>
      </c>
      <c r="P575" s="576">
        <f t="shared" si="483"/>
        <v>421922.07119999995</v>
      </c>
      <c r="Q575" s="576">
        <f t="shared" si="483"/>
        <v>440794.03703999985</v>
      </c>
      <c r="R575" s="576">
        <f t="shared" si="483"/>
        <v>459659.01239999995</v>
      </c>
      <c r="S575" s="576">
        <f t="shared" si="483"/>
        <v>478523.98775999993</v>
      </c>
      <c r="T575" s="576">
        <f t="shared" si="483"/>
        <v>497402.94408000004</v>
      </c>
      <c r="U575" s="576">
        <f t="shared" si="483"/>
        <v>511255.74527999992</v>
      </c>
      <c r="V575" s="576">
        <f t="shared" si="483"/>
        <v>522932.17703999998</v>
      </c>
      <c r="W575" s="576">
        <f t="shared" si="483"/>
        <v>534608.60879999993</v>
      </c>
      <c r="X575" s="576">
        <f t="shared" si="483"/>
        <v>546285.04055999988</v>
      </c>
      <c r="Y575" s="576">
        <f t="shared" si="483"/>
        <v>557966.13263999997</v>
      </c>
      <c r="Z575" s="576">
        <f t="shared" si="483"/>
        <v>569642.56439999992</v>
      </c>
      <c r="AA575" s="576">
        <f t="shared" si="483"/>
        <v>581323.65647999989</v>
      </c>
      <c r="AB575" s="576">
        <f t="shared" si="483"/>
        <v>593000.08824000007</v>
      </c>
      <c r="AC575" s="576">
        <f t="shared" si="483"/>
        <v>604676.5199999999</v>
      </c>
      <c r="AD575" s="576">
        <f t="shared" si="483"/>
        <v>616357.61207999999</v>
      </c>
      <c r="AE575" s="576">
        <f t="shared" si="483"/>
        <v>628034.04383999994</v>
      </c>
      <c r="AF575" s="576">
        <f t="shared" si="483"/>
        <v>639710.47559999977</v>
      </c>
      <c r="AG575" s="714">
        <f t="shared" si="483"/>
        <v>651391.56767999998</v>
      </c>
      <c r="AH575" s="5"/>
      <c r="AI575" s="5"/>
      <c r="AJ575" s="5"/>
      <c r="AK575" s="5"/>
      <c r="AL575" s="5"/>
      <c r="AM575" s="5"/>
      <c r="AN575" s="5"/>
    </row>
    <row r="576" spans="1:40" ht="21.95" customHeight="1" x14ac:dyDescent="0.2">
      <c r="A576" s="9"/>
      <c r="B576" s="705"/>
      <c r="C576" s="715"/>
      <c r="D576" s="718"/>
      <c r="E576" s="1340" t="s">
        <v>280</v>
      </c>
      <c r="F576" s="220" t="s">
        <v>281</v>
      </c>
      <c r="G576" s="220" t="s">
        <v>335</v>
      </c>
      <c r="H576" s="576">
        <f t="shared" ref="H576:AG576" si="484">H516 * (1-$F$15)</f>
        <v>2541100.7999999998</v>
      </c>
      <c r="I576" s="576">
        <f t="shared" si="484"/>
        <v>2798145.8514239998</v>
      </c>
      <c r="J576" s="576">
        <f t="shared" si="484"/>
        <v>3372828.5028479989</v>
      </c>
      <c r="K576" s="576">
        <f t="shared" si="484"/>
        <v>4527123.5412479993</v>
      </c>
      <c r="L576" s="576">
        <f t="shared" si="484"/>
        <v>5682130.0878719976</v>
      </c>
      <c r="M576" s="576">
        <f t="shared" si="484"/>
        <v>6837009.5794559978</v>
      </c>
      <c r="N576" s="576">
        <f t="shared" si="484"/>
        <v>7991304.6178559978</v>
      </c>
      <c r="O576" s="576">
        <f t="shared" si="484"/>
        <v>9147022.6727039982</v>
      </c>
      <c r="P576" s="576">
        <f t="shared" si="484"/>
        <v>10281065.137727996</v>
      </c>
      <c r="Q576" s="576">
        <f t="shared" si="484"/>
        <v>11415679.350431997</v>
      </c>
      <c r="R576" s="576">
        <f t="shared" si="484"/>
        <v>12549721.815455997</v>
      </c>
      <c r="S576" s="576">
        <f t="shared" si="484"/>
        <v>13683764.280479999</v>
      </c>
      <c r="T576" s="576">
        <f t="shared" si="484"/>
        <v>14819229.761951998</v>
      </c>
      <c r="U576" s="576">
        <f t="shared" si="484"/>
        <v>15372948.331775997</v>
      </c>
      <c r="V576" s="576">
        <f t="shared" si="484"/>
        <v>15629993.383199994</v>
      </c>
      <c r="W576" s="576">
        <f t="shared" si="484"/>
        <v>15887038.434623996</v>
      </c>
      <c r="X576" s="576">
        <f t="shared" si="484"/>
        <v>16144083.486047996</v>
      </c>
      <c r="Y576" s="576">
        <f t="shared" si="484"/>
        <v>16401522.408095995</v>
      </c>
      <c r="Z576" s="576">
        <f t="shared" si="484"/>
        <v>16658567.459519999</v>
      </c>
      <c r="AA576" s="576">
        <f t="shared" si="484"/>
        <v>16916006.381567996</v>
      </c>
      <c r="AB576" s="576">
        <f t="shared" si="484"/>
        <v>17173051.432991993</v>
      </c>
      <c r="AC576" s="576">
        <f t="shared" si="484"/>
        <v>17430096.484415997</v>
      </c>
      <c r="AD576" s="576">
        <f t="shared" si="484"/>
        <v>17687535.406463999</v>
      </c>
      <c r="AE576" s="576">
        <f t="shared" si="484"/>
        <v>17944580.457887996</v>
      </c>
      <c r="AF576" s="576">
        <f t="shared" si="484"/>
        <v>18201625.509311996</v>
      </c>
      <c r="AG576" s="714">
        <f t="shared" si="484"/>
        <v>18459064.431359995</v>
      </c>
      <c r="AH576" s="5"/>
      <c r="AI576" s="5"/>
      <c r="AJ576" s="5"/>
      <c r="AK576" s="5"/>
      <c r="AL576" s="5"/>
      <c r="AM576" s="5"/>
      <c r="AN576" s="5"/>
    </row>
    <row r="577" spans="1:40" ht="21.95" customHeight="1" x14ac:dyDescent="0.2">
      <c r="A577" s="9"/>
      <c r="B577" s="705"/>
      <c r="C577" s="715"/>
      <c r="D577" s="718"/>
      <c r="E577" s="1339"/>
      <c r="F577" s="116" t="s">
        <v>335</v>
      </c>
      <c r="G577" s="116" t="s">
        <v>323</v>
      </c>
      <c r="H577" s="576">
        <f t="shared" ref="H577:AG577" si="485">H517 * (1-$F$15)</f>
        <v>294335.99999999994</v>
      </c>
      <c r="I577" s="576">
        <f t="shared" si="485"/>
        <v>322280.75039999996</v>
      </c>
      <c r="J577" s="576">
        <f t="shared" si="485"/>
        <v>361922.90399999998</v>
      </c>
      <c r="K577" s="576">
        <f t="shared" si="485"/>
        <v>426514.93919999996</v>
      </c>
      <c r="L577" s="576">
        <f t="shared" si="485"/>
        <v>491126.59679999994</v>
      </c>
      <c r="M577" s="576">
        <f t="shared" si="485"/>
        <v>555744.38639999996</v>
      </c>
      <c r="N577" s="576">
        <f t="shared" si="485"/>
        <v>620336.4216</v>
      </c>
      <c r="O577" s="576">
        <f t="shared" si="485"/>
        <v>684998.36159999995</v>
      </c>
      <c r="P577" s="576">
        <f t="shared" si="485"/>
        <v>758565.19199999981</v>
      </c>
      <c r="Q577" s="576">
        <f t="shared" si="485"/>
        <v>832166.36160000006</v>
      </c>
      <c r="R577" s="576">
        <f t="shared" si="485"/>
        <v>905729.51280000003</v>
      </c>
      <c r="S577" s="576">
        <f t="shared" si="485"/>
        <v>979296.3432</v>
      </c>
      <c r="T577" s="576">
        <f t="shared" si="485"/>
        <v>1052930.6255999997</v>
      </c>
      <c r="U577" s="576">
        <f t="shared" si="485"/>
        <v>1101493.6128</v>
      </c>
      <c r="V577" s="576">
        <f t="shared" si="485"/>
        <v>1129438.3631999998</v>
      </c>
      <c r="W577" s="576">
        <f t="shared" si="485"/>
        <v>1157383.1135999996</v>
      </c>
      <c r="X577" s="576">
        <f t="shared" si="485"/>
        <v>1185327.8639999998</v>
      </c>
      <c r="Y577" s="576">
        <f t="shared" si="485"/>
        <v>1213304.5007999996</v>
      </c>
      <c r="Z577" s="576">
        <f t="shared" si="485"/>
        <v>1241249.2511999996</v>
      </c>
      <c r="AA577" s="576">
        <f t="shared" si="485"/>
        <v>1269225.8879999998</v>
      </c>
      <c r="AB577" s="576">
        <f t="shared" si="485"/>
        <v>1297170.6383999998</v>
      </c>
      <c r="AC577" s="576">
        <f t="shared" si="485"/>
        <v>1325115.3887999998</v>
      </c>
      <c r="AD577" s="576">
        <f t="shared" si="485"/>
        <v>1353092.0255999998</v>
      </c>
      <c r="AE577" s="576">
        <f t="shared" si="485"/>
        <v>1381036.7759999996</v>
      </c>
      <c r="AF577" s="576">
        <f t="shared" si="485"/>
        <v>1408981.5263999996</v>
      </c>
      <c r="AG577" s="714">
        <f t="shared" si="485"/>
        <v>1436958.1631999996</v>
      </c>
      <c r="AH577" s="5"/>
      <c r="AI577" s="5"/>
      <c r="AJ577" s="5"/>
      <c r="AK577" s="5"/>
      <c r="AL577" s="5"/>
      <c r="AM577" s="5"/>
      <c r="AN577" s="5"/>
    </row>
    <row r="578" spans="1:40" ht="21.95" customHeight="1" x14ac:dyDescent="0.2">
      <c r="A578" s="9"/>
      <c r="B578" s="705"/>
      <c r="C578" s="715"/>
      <c r="D578" s="718"/>
      <c r="E578" s="1353"/>
      <c r="F578" s="254" t="s">
        <v>323</v>
      </c>
      <c r="G578" s="254" t="s">
        <v>338</v>
      </c>
      <c r="H578" s="576">
        <f t="shared" ref="H578:AG578" si="486">H518 * (1-$F$15)</f>
        <v>3944102.3999999994</v>
      </c>
      <c r="I578" s="576">
        <f t="shared" si="486"/>
        <v>4054550.4142079996</v>
      </c>
      <c r="J578" s="576">
        <f t="shared" si="486"/>
        <v>4211946.3939840002</v>
      </c>
      <c r="K578" s="576">
        <f t="shared" si="486"/>
        <v>4432855.5694080004</v>
      </c>
      <c r="L578" s="576">
        <f t="shared" si="486"/>
        <v>4653856.7738879984</v>
      </c>
      <c r="M578" s="576">
        <f t="shared" si="486"/>
        <v>4874838.2578560011</v>
      </c>
      <c r="N578" s="576">
        <f t="shared" si="486"/>
        <v>5095747.4332800005</v>
      </c>
      <c r="O578" s="576">
        <f t="shared" si="486"/>
        <v>5316834.0933119999</v>
      </c>
      <c r="P578" s="576">
        <f t="shared" si="486"/>
        <v>5540017.7011199985</v>
      </c>
      <c r="Q578" s="576">
        <f t="shared" si="486"/>
        <v>5763267.0439680004</v>
      </c>
      <c r="R578" s="576">
        <f t="shared" si="486"/>
        <v>5986430.9312639991</v>
      </c>
      <c r="S578" s="576">
        <f t="shared" si="486"/>
        <v>6209614.5390720004</v>
      </c>
      <c r="T578" s="576">
        <f t="shared" si="486"/>
        <v>6432975.631488</v>
      </c>
      <c r="U578" s="576">
        <f t="shared" si="486"/>
        <v>6592540.8675840003</v>
      </c>
      <c r="V578" s="576">
        <f t="shared" si="486"/>
        <v>6702988.8817919986</v>
      </c>
      <c r="W578" s="576">
        <f t="shared" si="486"/>
        <v>6813436.8959999997</v>
      </c>
      <c r="X578" s="576">
        <f t="shared" si="486"/>
        <v>6923884.9102079989</v>
      </c>
      <c r="Y578" s="576">
        <f t="shared" si="486"/>
        <v>7034385.5124479998</v>
      </c>
      <c r="Z578" s="576">
        <f t="shared" si="486"/>
        <v>7144833.5266559999</v>
      </c>
      <c r="AA578" s="576">
        <f t="shared" si="486"/>
        <v>7255334.1288959999</v>
      </c>
      <c r="AB578" s="576">
        <f t="shared" si="486"/>
        <v>7365782.1431039991</v>
      </c>
      <c r="AC578" s="576">
        <f t="shared" si="486"/>
        <v>7476230.1573120002</v>
      </c>
      <c r="AD578" s="576">
        <f t="shared" si="486"/>
        <v>7586730.7595519992</v>
      </c>
      <c r="AE578" s="576">
        <f t="shared" si="486"/>
        <v>7697178.7737599984</v>
      </c>
      <c r="AF578" s="576">
        <f t="shared" si="486"/>
        <v>7807626.7879679995</v>
      </c>
      <c r="AG578" s="714">
        <f t="shared" si="486"/>
        <v>7918127.3902079994</v>
      </c>
      <c r="AH578" s="5"/>
      <c r="AI578" s="5"/>
      <c r="AJ578" s="5"/>
      <c r="AK578" s="5"/>
      <c r="AL578" s="5"/>
      <c r="AM578" s="5"/>
      <c r="AN578" s="5"/>
    </row>
    <row r="579" spans="1:40" ht="21.95" customHeight="1" x14ac:dyDescent="0.2">
      <c r="A579" s="9"/>
      <c r="B579" s="705"/>
      <c r="C579" s="715"/>
      <c r="D579" s="718"/>
      <c r="E579" s="116" t="s">
        <v>339</v>
      </c>
      <c r="F579" s="116" t="s">
        <v>335</v>
      </c>
      <c r="G579" s="116" t="s">
        <v>323</v>
      </c>
      <c r="H579" s="576">
        <f t="shared" ref="H579:AG579" si="487">H519 * (1-$F$15)</f>
        <v>11528.159999999998</v>
      </c>
      <c r="I579" s="576">
        <f t="shared" si="487"/>
        <v>47882.212559999993</v>
      </c>
      <c r="J579" s="576">
        <f t="shared" si="487"/>
        <v>427170.20471999998</v>
      </c>
      <c r="K579" s="576">
        <f t="shared" si="487"/>
        <v>1010362.5268799999</v>
      </c>
      <c r="L579" s="576">
        <f t="shared" si="487"/>
        <v>1593969.8628</v>
      </c>
      <c r="M579" s="576">
        <f t="shared" si="487"/>
        <v>2177346.6355199995</v>
      </c>
      <c r="N579" s="576">
        <f t="shared" si="487"/>
        <v>2760538.9576799995</v>
      </c>
      <c r="O579" s="576">
        <f t="shared" si="487"/>
        <v>3344532.4869599999</v>
      </c>
      <c r="P579" s="576">
        <f t="shared" si="487"/>
        <v>3585050.2531199995</v>
      </c>
      <c r="Q579" s="576">
        <f t="shared" si="487"/>
        <v>3825752.4698399999</v>
      </c>
      <c r="R579" s="576">
        <f t="shared" si="487"/>
        <v>4066397.0457600001</v>
      </c>
      <c r="S579" s="576">
        <f t="shared" si="487"/>
        <v>4306914.8119200002</v>
      </c>
      <c r="T579" s="576">
        <f t="shared" si="487"/>
        <v>4548003.2219999991</v>
      </c>
      <c r="U579" s="576">
        <f t="shared" si="487"/>
        <v>4584357.2745600007</v>
      </c>
      <c r="V579" s="576">
        <f t="shared" si="487"/>
        <v>4620711.3271200005</v>
      </c>
      <c r="W579" s="576">
        <f t="shared" si="487"/>
        <v>4657065.3796800002</v>
      </c>
      <c r="X579" s="576">
        <f t="shared" si="487"/>
        <v>4693419.4322399991</v>
      </c>
      <c r="Y579" s="576">
        <f t="shared" si="487"/>
        <v>4730032.8684</v>
      </c>
      <c r="Z579" s="576">
        <f t="shared" si="487"/>
        <v>4766386.9209599998</v>
      </c>
      <c r="AA579" s="576">
        <f t="shared" si="487"/>
        <v>4802856.2551200008</v>
      </c>
      <c r="AB579" s="576">
        <f t="shared" si="487"/>
        <v>4839210.3076800006</v>
      </c>
      <c r="AC579" s="576">
        <f t="shared" si="487"/>
        <v>4875564.3602400003</v>
      </c>
      <c r="AD579" s="576">
        <f t="shared" si="487"/>
        <v>4912177.7964000003</v>
      </c>
      <c r="AE579" s="576">
        <f t="shared" si="487"/>
        <v>4948531.8489600001</v>
      </c>
      <c r="AF579" s="576">
        <f t="shared" si="487"/>
        <v>4984885.9015199998</v>
      </c>
      <c r="AG579" s="714">
        <f t="shared" si="487"/>
        <v>5021355.2356799999</v>
      </c>
      <c r="AH579" s="5"/>
      <c r="AI579" s="5"/>
      <c r="AJ579" s="5"/>
      <c r="AK579" s="5"/>
      <c r="AL579" s="5"/>
      <c r="AM579" s="5"/>
      <c r="AN579" s="5"/>
    </row>
    <row r="580" spans="1:40" ht="21.95" customHeight="1" x14ac:dyDescent="0.2">
      <c r="A580" s="9"/>
      <c r="B580" s="705"/>
      <c r="C580" s="715"/>
      <c r="D580" s="718"/>
      <c r="E580" s="1340" t="s">
        <v>323</v>
      </c>
      <c r="F580" s="220" t="s">
        <v>282</v>
      </c>
      <c r="G580" s="220" t="s">
        <v>339</v>
      </c>
      <c r="H580" s="576">
        <f t="shared" ref="H580:AG580" si="488">H520 * (1-$F$15)</f>
        <v>33112.799999999996</v>
      </c>
      <c r="I580" s="576">
        <f t="shared" si="488"/>
        <v>73593.197999999989</v>
      </c>
      <c r="J580" s="576">
        <f t="shared" si="488"/>
        <v>311045.08679999999</v>
      </c>
      <c r="K580" s="576">
        <f t="shared" si="488"/>
        <v>699209.8848</v>
      </c>
      <c r="L580" s="576">
        <f t="shared" si="488"/>
        <v>1087589.9160000002</v>
      </c>
      <c r="M580" s="576">
        <f t="shared" si="488"/>
        <v>1475986.5035999995</v>
      </c>
      <c r="N580" s="576">
        <f t="shared" si="488"/>
        <v>1864151.3015999999</v>
      </c>
      <c r="O580" s="576">
        <f t="shared" si="488"/>
        <v>2252763.1223999998</v>
      </c>
      <c r="P580" s="576">
        <f t="shared" si="488"/>
        <v>2552433.9624000001</v>
      </c>
      <c r="Q580" s="576">
        <f t="shared" si="488"/>
        <v>2852154.4716000003</v>
      </c>
      <c r="R580" s="576">
        <f t="shared" si="488"/>
        <v>3151825.3115999997</v>
      </c>
      <c r="S580" s="576">
        <f t="shared" si="488"/>
        <v>3451496.1515999995</v>
      </c>
      <c r="T580" s="576">
        <f t="shared" si="488"/>
        <v>3751564.3451999999</v>
      </c>
      <c r="U580" s="576">
        <f t="shared" si="488"/>
        <v>3900290.4863999998</v>
      </c>
      <c r="V580" s="576">
        <f t="shared" si="488"/>
        <v>3940770.8843999999</v>
      </c>
      <c r="W580" s="576">
        <f t="shared" si="488"/>
        <v>3981251.2823999999</v>
      </c>
      <c r="X580" s="576">
        <f t="shared" si="488"/>
        <v>4021731.6803999995</v>
      </c>
      <c r="Y580" s="576">
        <f t="shared" si="488"/>
        <v>4062327.9732000004</v>
      </c>
      <c r="Z580" s="576">
        <f t="shared" si="488"/>
        <v>4102808.3711999999</v>
      </c>
      <c r="AA580" s="576">
        <f t="shared" si="488"/>
        <v>4143404.6639999989</v>
      </c>
      <c r="AB580" s="576">
        <f t="shared" si="488"/>
        <v>4183885.061999999</v>
      </c>
      <c r="AC580" s="576">
        <f t="shared" si="488"/>
        <v>4224365.459999999</v>
      </c>
      <c r="AD580" s="576">
        <f t="shared" si="488"/>
        <v>4264961.752799999</v>
      </c>
      <c r="AE580" s="576">
        <f t="shared" si="488"/>
        <v>4305442.150799999</v>
      </c>
      <c r="AF580" s="576">
        <f t="shared" si="488"/>
        <v>4345922.5487999991</v>
      </c>
      <c r="AG580" s="714">
        <f t="shared" si="488"/>
        <v>4386518.8415999999</v>
      </c>
      <c r="AH580" s="5"/>
      <c r="AI580" s="5"/>
      <c r="AJ580" s="5"/>
      <c r="AK580" s="5"/>
      <c r="AL580" s="5"/>
      <c r="AM580" s="5"/>
      <c r="AN580" s="5"/>
    </row>
    <row r="581" spans="1:40" ht="21.95" customHeight="1" x14ac:dyDescent="0.2">
      <c r="A581" s="9"/>
      <c r="B581" s="705"/>
      <c r="C581" s="715"/>
      <c r="D581" s="718"/>
      <c r="E581" s="1339"/>
      <c r="F581" s="116" t="s">
        <v>339</v>
      </c>
      <c r="G581" s="116" t="s">
        <v>288</v>
      </c>
      <c r="H581" s="576">
        <f t="shared" ref="H581:AG581" si="489">H521 * (1-$F$15)</f>
        <v>0</v>
      </c>
      <c r="I581" s="576">
        <f t="shared" si="489"/>
        <v>22320.479999999996</v>
      </c>
      <c r="J581" s="576">
        <f t="shared" si="489"/>
        <v>64513.055039999999</v>
      </c>
      <c r="K581" s="576">
        <f t="shared" si="489"/>
        <v>145021.30944000001</v>
      </c>
      <c r="L581" s="576">
        <f t="shared" si="489"/>
        <v>225574.20480000004</v>
      </c>
      <c r="M581" s="576">
        <f t="shared" si="489"/>
        <v>306130.5340799999</v>
      </c>
      <c r="N581" s="576">
        <f t="shared" si="489"/>
        <v>386638.78847999999</v>
      </c>
      <c r="O581" s="576">
        <f t="shared" si="489"/>
        <v>467239.75871999998</v>
      </c>
      <c r="P581" s="576">
        <f t="shared" si="489"/>
        <v>529393.71072000009</v>
      </c>
      <c r="Q581" s="576">
        <f t="shared" si="489"/>
        <v>591557.96448000008</v>
      </c>
      <c r="R581" s="576">
        <f t="shared" si="489"/>
        <v>653711.9164799999</v>
      </c>
      <c r="S581" s="576">
        <f t="shared" si="489"/>
        <v>715865.86847999995</v>
      </c>
      <c r="T581" s="576">
        <f t="shared" si="489"/>
        <v>778102.23456000001</v>
      </c>
      <c r="U581" s="576">
        <f t="shared" si="489"/>
        <v>808949.13792000001</v>
      </c>
      <c r="V581" s="576">
        <f t="shared" si="489"/>
        <v>817345.07231999992</v>
      </c>
      <c r="W581" s="576">
        <f t="shared" si="489"/>
        <v>825741.00671999995</v>
      </c>
      <c r="X581" s="576">
        <f t="shared" si="489"/>
        <v>834136.94112000009</v>
      </c>
      <c r="Y581" s="576">
        <f t="shared" si="489"/>
        <v>842556.91296000022</v>
      </c>
      <c r="Z581" s="576">
        <f t="shared" si="489"/>
        <v>850952.84736000001</v>
      </c>
      <c r="AA581" s="576">
        <f t="shared" si="489"/>
        <v>859372.81919999979</v>
      </c>
      <c r="AB581" s="576">
        <f t="shared" si="489"/>
        <v>867768.75359999982</v>
      </c>
      <c r="AC581" s="576">
        <f t="shared" si="489"/>
        <v>876164.68799999973</v>
      </c>
      <c r="AD581" s="576">
        <f t="shared" si="489"/>
        <v>884584.65983999986</v>
      </c>
      <c r="AE581" s="576">
        <f t="shared" si="489"/>
        <v>892980.59423999989</v>
      </c>
      <c r="AF581" s="576">
        <f t="shared" si="489"/>
        <v>901376.5286399998</v>
      </c>
      <c r="AG581" s="714">
        <f t="shared" si="489"/>
        <v>909796.50047999993</v>
      </c>
      <c r="AH581" s="5"/>
      <c r="AI581" s="5"/>
      <c r="AJ581" s="5"/>
      <c r="AK581" s="5"/>
      <c r="AL581" s="5"/>
      <c r="AM581" s="5"/>
      <c r="AN581" s="5"/>
    </row>
    <row r="582" spans="1:40" ht="21.95" customHeight="1" x14ac:dyDescent="0.2">
      <c r="A582" s="9"/>
      <c r="B582" s="705"/>
      <c r="C582" s="715"/>
      <c r="D582" s="718"/>
      <c r="E582" s="1339"/>
      <c r="F582" s="116" t="s">
        <v>288</v>
      </c>
      <c r="G582" s="116" t="s">
        <v>340</v>
      </c>
      <c r="H582" s="576">
        <f t="shared" ref="H582:AG582" si="490">H522 * (1-$F$15)</f>
        <v>0</v>
      </c>
      <c r="I582" s="576">
        <f t="shared" si="490"/>
        <v>58192.679999999993</v>
      </c>
      <c r="J582" s="576">
        <f t="shared" si="490"/>
        <v>168194.75063999998</v>
      </c>
      <c r="K582" s="576">
        <f t="shared" si="490"/>
        <v>378091.27103999991</v>
      </c>
      <c r="L582" s="576">
        <f t="shared" si="490"/>
        <v>588104.17680000002</v>
      </c>
      <c r="M582" s="576">
        <f t="shared" si="490"/>
        <v>798126.0352799996</v>
      </c>
      <c r="N582" s="576">
        <f t="shared" si="490"/>
        <v>1008022.5556799999</v>
      </c>
      <c r="O582" s="576">
        <f t="shared" si="490"/>
        <v>1218160.7995199999</v>
      </c>
      <c r="P582" s="576">
        <f t="shared" si="490"/>
        <v>1380205.0315200002</v>
      </c>
      <c r="Q582" s="576">
        <f t="shared" si="490"/>
        <v>1542276.1216800001</v>
      </c>
      <c r="R582" s="576">
        <f t="shared" si="490"/>
        <v>1704320.3536799995</v>
      </c>
      <c r="S582" s="576">
        <f t="shared" si="490"/>
        <v>1866364.5856799996</v>
      </c>
      <c r="T582" s="576">
        <f t="shared" si="490"/>
        <v>2028623.6829599997</v>
      </c>
      <c r="U582" s="576">
        <f t="shared" si="490"/>
        <v>2109045.9667199994</v>
      </c>
      <c r="V582" s="576">
        <f t="shared" si="490"/>
        <v>2130935.3671199996</v>
      </c>
      <c r="W582" s="576">
        <f t="shared" si="490"/>
        <v>2152824.7675199998</v>
      </c>
      <c r="X582" s="576">
        <f t="shared" si="490"/>
        <v>2174714.1679199999</v>
      </c>
      <c r="Y582" s="576">
        <f t="shared" si="490"/>
        <v>2196666.2373600001</v>
      </c>
      <c r="Z582" s="576">
        <f t="shared" si="490"/>
        <v>2218555.6377599998</v>
      </c>
      <c r="AA582" s="576">
        <f t="shared" si="490"/>
        <v>2240507.7071999991</v>
      </c>
      <c r="AB582" s="576">
        <f t="shared" si="490"/>
        <v>2262397.1075999993</v>
      </c>
      <c r="AC582" s="576">
        <f t="shared" si="490"/>
        <v>2284286.507999999</v>
      </c>
      <c r="AD582" s="576">
        <f t="shared" si="490"/>
        <v>2306238.5774399992</v>
      </c>
      <c r="AE582" s="576">
        <f t="shared" si="490"/>
        <v>2328127.9778399994</v>
      </c>
      <c r="AF582" s="576">
        <f t="shared" si="490"/>
        <v>2350017.3782399995</v>
      </c>
      <c r="AG582" s="714">
        <f t="shared" si="490"/>
        <v>2371969.4476799998</v>
      </c>
      <c r="AH582" s="5"/>
      <c r="AI582" s="5"/>
      <c r="AJ582" s="5"/>
      <c r="AK582" s="5"/>
      <c r="AL582" s="5"/>
      <c r="AM582" s="5"/>
      <c r="AN582" s="5"/>
    </row>
    <row r="583" spans="1:40" ht="21.95" customHeight="1" x14ac:dyDescent="0.2">
      <c r="A583" s="9"/>
      <c r="B583" s="705"/>
      <c r="C583" s="715"/>
      <c r="D583" s="718"/>
      <c r="E583" s="1353"/>
      <c r="F583" s="254" t="s">
        <v>340</v>
      </c>
      <c r="G583" s="254" t="s">
        <v>280</v>
      </c>
      <c r="H583" s="576">
        <f t="shared" ref="H583:AG583" si="491">H523 * (1-$F$15)</f>
        <v>77263.199999999997</v>
      </c>
      <c r="I583" s="576">
        <f t="shared" si="491"/>
        <v>114187.28327999999</v>
      </c>
      <c r="J583" s="576">
        <f t="shared" si="491"/>
        <v>160187.21711999999</v>
      </c>
      <c r="K583" s="576">
        <f t="shared" si="491"/>
        <v>258682.34448</v>
      </c>
      <c r="L583" s="576">
        <f t="shared" si="491"/>
        <v>357190.34904</v>
      </c>
      <c r="M583" s="576">
        <f t="shared" si="491"/>
        <v>455739.56063999992</v>
      </c>
      <c r="N583" s="576">
        <f t="shared" si="491"/>
        <v>554234.68799999997</v>
      </c>
      <c r="O583" s="576">
        <f t="shared" si="491"/>
        <v>652678.30656000006</v>
      </c>
      <c r="P583" s="576">
        <f t="shared" si="491"/>
        <v>850348.47743999993</v>
      </c>
      <c r="Q583" s="576">
        <f t="shared" si="491"/>
        <v>1047905.32896</v>
      </c>
      <c r="R583" s="576">
        <f t="shared" si="491"/>
        <v>1245505.9629599999</v>
      </c>
      <c r="S583" s="576">
        <f t="shared" si="491"/>
        <v>1443176.13384</v>
      </c>
      <c r="T583" s="576">
        <f t="shared" si="491"/>
        <v>1640794.7959199999</v>
      </c>
      <c r="U583" s="576">
        <f t="shared" si="491"/>
        <v>1785964.6224</v>
      </c>
      <c r="V583" s="576">
        <f t="shared" si="491"/>
        <v>1822888.7056800001</v>
      </c>
      <c r="W583" s="576">
        <f t="shared" si="491"/>
        <v>1859812.78896</v>
      </c>
      <c r="X583" s="576">
        <f t="shared" si="491"/>
        <v>1896736.8722399997</v>
      </c>
      <c r="Y583" s="576">
        <f t="shared" si="491"/>
        <v>1933550.2115999996</v>
      </c>
      <c r="Z583" s="576">
        <f t="shared" si="491"/>
        <v>1970474.2948799997</v>
      </c>
      <c r="AA583" s="576">
        <f t="shared" si="491"/>
        <v>2007287.6342399998</v>
      </c>
      <c r="AB583" s="576">
        <f t="shared" si="491"/>
        <v>2044211.7175199999</v>
      </c>
      <c r="AC583" s="576">
        <f t="shared" si="491"/>
        <v>2081135.8007999996</v>
      </c>
      <c r="AD583" s="576">
        <f t="shared" si="491"/>
        <v>2117949.1401599995</v>
      </c>
      <c r="AE583" s="576">
        <f t="shared" si="491"/>
        <v>2154873.2234399994</v>
      </c>
      <c r="AF583" s="576">
        <f t="shared" si="491"/>
        <v>2191797.3067199998</v>
      </c>
      <c r="AG583" s="714">
        <f t="shared" si="491"/>
        <v>2228610.6460799994</v>
      </c>
      <c r="AH583" s="5"/>
      <c r="AI583" s="5"/>
      <c r="AJ583" s="5"/>
      <c r="AK583" s="5"/>
      <c r="AL583" s="5"/>
      <c r="AM583" s="5"/>
      <c r="AN583" s="5"/>
    </row>
    <row r="584" spans="1:40" ht="21.95" customHeight="1" x14ac:dyDescent="0.2">
      <c r="A584" s="9"/>
      <c r="B584" s="705"/>
      <c r="C584" s="715"/>
      <c r="D584" s="718"/>
      <c r="E584" s="1340" t="s">
        <v>334</v>
      </c>
      <c r="F584" s="116" t="s">
        <v>336</v>
      </c>
      <c r="G584" s="116" t="s">
        <v>337</v>
      </c>
      <c r="H584" s="576">
        <f t="shared" ref="H584:AG584" si="492">H524 * (1-$F$15)</f>
        <v>1716959.9999999998</v>
      </c>
      <c r="I584" s="576">
        <f t="shared" si="492"/>
        <v>1764519.7919999999</v>
      </c>
      <c r="J584" s="576">
        <f t="shared" si="492"/>
        <v>1841274.0359999998</v>
      </c>
      <c r="K584" s="576">
        <f t="shared" si="492"/>
        <v>1950926.4599999997</v>
      </c>
      <c r="L584" s="576">
        <f t="shared" si="492"/>
        <v>2060627.9400000002</v>
      </c>
      <c r="M584" s="576">
        <f t="shared" si="492"/>
        <v>2170323.2880000002</v>
      </c>
      <c r="N584" s="576">
        <f t="shared" si="492"/>
        <v>2279975.7120000008</v>
      </c>
      <c r="O584" s="576">
        <f t="shared" si="492"/>
        <v>2389726.2479999997</v>
      </c>
      <c r="P584" s="576">
        <f t="shared" si="492"/>
        <v>2487415.1399999992</v>
      </c>
      <c r="Q584" s="576">
        <f t="shared" si="492"/>
        <v>2585134.6919999998</v>
      </c>
      <c r="R584" s="576">
        <f t="shared" si="492"/>
        <v>2682823.5839999993</v>
      </c>
      <c r="S584" s="576">
        <f t="shared" si="492"/>
        <v>2780512.4759999993</v>
      </c>
      <c r="T584" s="576">
        <f t="shared" si="492"/>
        <v>2878299.4799999995</v>
      </c>
      <c r="U584" s="576">
        <f t="shared" si="492"/>
        <v>2943041.1359999995</v>
      </c>
      <c r="V584" s="576">
        <f t="shared" si="492"/>
        <v>2990600.9279999998</v>
      </c>
      <c r="W584" s="576">
        <f t="shared" si="492"/>
        <v>3038160.7199999997</v>
      </c>
      <c r="X584" s="576">
        <f t="shared" si="492"/>
        <v>3085720.5119999996</v>
      </c>
      <c r="Y584" s="576">
        <f t="shared" si="492"/>
        <v>3133310.9639999997</v>
      </c>
      <c r="Z584" s="576">
        <f t="shared" si="492"/>
        <v>3180870.7560000005</v>
      </c>
      <c r="AA584" s="576">
        <f t="shared" si="492"/>
        <v>3228461.2079999992</v>
      </c>
      <c r="AB584" s="576">
        <f t="shared" si="492"/>
        <v>3276020.9999999991</v>
      </c>
      <c r="AC584" s="576">
        <f t="shared" si="492"/>
        <v>3323580.7919999994</v>
      </c>
      <c r="AD584" s="576">
        <f t="shared" si="492"/>
        <v>3371171.2439999995</v>
      </c>
      <c r="AE584" s="576">
        <f t="shared" si="492"/>
        <v>3418731.0359999989</v>
      </c>
      <c r="AF584" s="576">
        <f t="shared" si="492"/>
        <v>3466290.8279999988</v>
      </c>
      <c r="AG584" s="714">
        <f t="shared" si="492"/>
        <v>3513881.2799999989</v>
      </c>
      <c r="AH584" s="5"/>
      <c r="AI584" s="5"/>
      <c r="AJ584" s="5"/>
      <c r="AK584" s="5"/>
      <c r="AL584" s="5"/>
      <c r="AM584" s="5"/>
      <c r="AN584" s="5"/>
    </row>
    <row r="585" spans="1:40" ht="21.95" customHeight="1" x14ac:dyDescent="0.2">
      <c r="A585" s="9"/>
      <c r="B585" s="705"/>
      <c r="C585" s="715"/>
      <c r="D585" s="718"/>
      <c r="E585" s="1339"/>
      <c r="F585" s="116" t="s">
        <v>337</v>
      </c>
      <c r="G585" s="116" t="s">
        <v>386</v>
      </c>
      <c r="H585" s="576">
        <f t="shared" ref="H585:AG585" si="493">H525 * (1-$F$15)</f>
        <v>2698079.9999999995</v>
      </c>
      <c r="I585" s="576">
        <f t="shared" si="493"/>
        <v>2702127.1199999996</v>
      </c>
      <c r="J585" s="576">
        <f t="shared" si="493"/>
        <v>2706174.2399999993</v>
      </c>
      <c r="K585" s="576">
        <f t="shared" si="493"/>
        <v>2710221.36</v>
      </c>
      <c r="L585" s="576">
        <f t="shared" si="493"/>
        <v>2714268.4799999995</v>
      </c>
      <c r="M585" s="576">
        <f t="shared" si="493"/>
        <v>2718315.5999999996</v>
      </c>
      <c r="N585" s="576">
        <f t="shared" si="493"/>
        <v>2722362.7199999993</v>
      </c>
      <c r="O585" s="576">
        <f t="shared" si="493"/>
        <v>2726409.84</v>
      </c>
      <c r="P585" s="576">
        <f t="shared" si="493"/>
        <v>2730456.9599999995</v>
      </c>
      <c r="Q585" s="576">
        <f t="shared" si="493"/>
        <v>2730456.9599999995</v>
      </c>
      <c r="R585" s="576">
        <f t="shared" si="493"/>
        <v>2730456.9599999995</v>
      </c>
      <c r="S585" s="576">
        <f t="shared" si="493"/>
        <v>2730456.9599999995</v>
      </c>
      <c r="T585" s="576">
        <f t="shared" si="493"/>
        <v>2730456.9599999995</v>
      </c>
      <c r="U585" s="576">
        <f t="shared" si="493"/>
        <v>2730456.9599999995</v>
      </c>
      <c r="V585" s="576">
        <f t="shared" si="493"/>
        <v>2748385.5789599996</v>
      </c>
      <c r="W585" s="576">
        <f t="shared" si="493"/>
        <v>2790952.0833599991</v>
      </c>
      <c r="X585" s="576">
        <f t="shared" si="493"/>
        <v>2833518.5877599991</v>
      </c>
      <c r="Y585" s="576">
        <f t="shared" si="493"/>
        <v>2876095.0259999996</v>
      </c>
      <c r="Z585" s="576">
        <f t="shared" si="493"/>
        <v>2918661.5303999991</v>
      </c>
      <c r="AA585" s="576">
        <f t="shared" si="493"/>
        <v>2961237.9686399992</v>
      </c>
      <c r="AB585" s="576">
        <f t="shared" si="493"/>
        <v>3003804.4730399991</v>
      </c>
      <c r="AC585" s="576">
        <f t="shared" si="493"/>
        <v>3046370.9774399996</v>
      </c>
      <c r="AD585" s="576">
        <f t="shared" si="493"/>
        <v>3088947.4156800001</v>
      </c>
      <c r="AE585" s="576">
        <f t="shared" si="493"/>
        <v>3131513.9200799996</v>
      </c>
      <c r="AF585" s="576">
        <f t="shared" si="493"/>
        <v>3174080.4244799996</v>
      </c>
      <c r="AG585" s="714">
        <f t="shared" si="493"/>
        <v>3216656.8627199996</v>
      </c>
      <c r="AH585" s="5"/>
      <c r="AI585" s="5"/>
      <c r="AJ585" s="5"/>
      <c r="AK585" s="5"/>
      <c r="AL585" s="5"/>
      <c r="AM585" s="5"/>
      <c r="AN585" s="5"/>
    </row>
    <row r="586" spans="1:40" ht="21.95" customHeight="1" x14ac:dyDescent="0.2">
      <c r="A586" s="9"/>
      <c r="B586" s="705"/>
      <c r="C586" s="715"/>
      <c r="D586" s="718"/>
      <c r="E586" s="1339"/>
      <c r="F586" s="116" t="s">
        <v>342</v>
      </c>
      <c r="G586" s="116" t="s">
        <v>341</v>
      </c>
      <c r="H586" s="576">
        <f t="shared" ref="H586:AG586" si="494">H526 * (1-$F$15)</f>
        <v>3507503.9999999995</v>
      </c>
      <c r="I586" s="576">
        <f t="shared" si="494"/>
        <v>3512765.2559999996</v>
      </c>
      <c r="J586" s="576">
        <f t="shared" si="494"/>
        <v>3518026.5119999996</v>
      </c>
      <c r="K586" s="576">
        <f t="shared" si="494"/>
        <v>3523287.7679999997</v>
      </c>
      <c r="L586" s="576">
        <f t="shared" si="494"/>
        <v>3528549.0239999997</v>
      </c>
      <c r="M586" s="576">
        <f t="shared" si="494"/>
        <v>3533810.28</v>
      </c>
      <c r="N586" s="576">
        <f t="shared" si="494"/>
        <v>3539071.5359999998</v>
      </c>
      <c r="O586" s="576">
        <f t="shared" si="494"/>
        <v>3544332.7919999994</v>
      </c>
      <c r="P586" s="576">
        <f t="shared" si="494"/>
        <v>3549594.0479999995</v>
      </c>
      <c r="Q586" s="576">
        <f t="shared" si="494"/>
        <v>3549594.0479999995</v>
      </c>
      <c r="R586" s="576">
        <f t="shared" si="494"/>
        <v>3549594.0479999995</v>
      </c>
      <c r="S586" s="576">
        <f t="shared" si="494"/>
        <v>3549594.0479999995</v>
      </c>
      <c r="T586" s="576">
        <f t="shared" si="494"/>
        <v>3549594.0479999995</v>
      </c>
      <c r="U586" s="576">
        <f t="shared" si="494"/>
        <v>3549594.0479999995</v>
      </c>
      <c r="V586" s="576">
        <f t="shared" si="494"/>
        <v>3572901.2526479992</v>
      </c>
      <c r="W586" s="576">
        <f t="shared" si="494"/>
        <v>3628237.7083679992</v>
      </c>
      <c r="X586" s="576">
        <f t="shared" si="494"/>
        <v>3683574.1640879991</v>
      </c>
      <c r="Y586" s="576">
        <f t="shared" si="494"/>
        <v>3738923.5337999999</v>
      </c>
      <c r="Z586" s="576">
        <f t="shared" si="494"/>
        <v>3794259.9895199989</v>
      </c>
      <c r="AA586" s="576">
        <f t="shared" si="494"/>
        <v>3849609.3592319987</v>
      </c>
      <c r="AB586" s="576">
        <f t="shared" si="494"/>
        <v>3904945.8149519991</v>
      </c>
      <c r="AC586" s="576">
        <f t="shared" si="494"/>
        <v>3960282.2706719991</v>
      </c>
      <c r="AD586" s="576">
        <f t="shared" si="494"/>
        <v>4015631.6403839998</v>
      </c>
      <c r="AE586" s="576">
        <f t="shared" si="494"/>
        <v>4070968.0961039993</v>
      </c>
      <c r="AF586" s="576">
        <f t="shared" si="494"/>
        <v>4126304.5518239997</v>
      </c>
      <c r="AG586" s="714">
        <f t="shared" si="494"/>
        <v>4181653.9215359995</v>
      </c>
      <c r="AH586" s="5"/>
      <c r="AI586" s="5"/>
      <c r="AJ586" s="5"/>
      <c r="AK586" s="5"/>
      <c r="AL586" s="5"/>
      <c r="AM586" s="5"/>
      <c r="AN586" s="5"/>
    </row>
    <row r="587" spans="1:40" ht="21.95" customHeight="1" x14ac:dyDescent="0.2">
      <c r="A587" s="9"/>
      <c r="B587" s="705"/>
      <c r="C587" s="715"/>
      <c r="D587" s="718"/>
      <c r="E587" s="1339"/>
      <c r="F587" s="116" t="s">
        <v>341</v>
      </c>
      <c r="G587" s="116" t="s">
        <v>344</v>
      </c>
      <c r="H587" s="576">
        <f t="shared" ref="H587:AG587" si="495">H527 * (1-$F$15)</f>
        <v>3890140.8</v>
      </c>
      <c r="I587" s="576">
        <f t="shared" si="495"/>
        <v>3895976.0111999991</v>
      </c>
      <c r="J587" s="576">
        <f t="shared" si="495"/>
        <v>3901811.2223999985</v>
      </c>
      <c r="K587" s="576">
        <f t="shared" si="495"/>
        <v>3907646.4335999996</v>
      </c>
      <c r="L587" s="576">
        <f t="shared" si="495"/>
        <v>3913481.6447999994</v>
      </c>
      <c r="M587" s="576">
        <f t="shared" si="495"/>
        <v>3919316.8559999997</v>
      </c>
      <c r="N587" s="576">
        <f t="shared" si="495"/>
        <v>3925152.0671999985</v>
      </c>
      <c r="O587" s="576">
        <f t="shared" si="495"/>
        <v>3930987.2783999997</v>
      </c>
      <c r="P587" s="576">
        <f t="shared" si="495"/>
        <v>3936822.4895999995</v>
      </c>
      <c r="Q587" s="576">
        <f t="shared" si="495"/>
        <v>3936822.4895999995</v>
      </c>
      <c r="R587" s="576">
        <f t="shared" si="495"/>
        <v>3936822.4895999995</v>
      </c>
      <c r="S587" s="576">
        <f t="shared" si="495"/>
        <v>3936822.4895999995</v>
      </c>
      <c r="T587" s="576">
        <f t="shared" si="495"/>
        <v>3936822.4895999995</v>
      </c>
      <c r="U587" s="576">
        <f t="shared" si="495"/>
        <v>3936822.4895999995</v>
      </c>
      <c r="V587" s="576">
        <f t="shared" si="495"/>
        <v>3936822.4895999995</v>
      </c>
      <c r="W587" s="576">
        <f t="shared" si="495"/>
        <v>3936822.4895999995</v>
      </c>
      <c r="X587" s="576">
        <f t="shared" si="495"/>
        <v>3936822.4895999995</v>
      </c>
      <c r="Y587" s="576">
        <f t="shared" si="495"/>
        <v>3936822.4895999995</v>
      </c>
      <c r="Z587" s="576">
        <f t="shared" si="495"/>
        <v>3988059.1151385596</v>
      </c>
      <c r="AA587" s="576">
        <f t="shared" si="495"/>
        <v>4046235.5603496959</v>
      </c>
      <c r="AB587" s="576">
        <f t="shared" si="495"/>
        <v>4104398.4319618554</v>
      </c>
      <c r="AC587" s="576">
        <f t="shared" si="495"/>
        <v>4162561.3035740159</v>
      </c>
      <c r="AD587" s="576">
        <f t="shared" si="495"/>
        <v>4220737.7487851512</v>
      </c>
      <c r="AE587" s="576">
        <f t="shared" si="495"/>
        <v>4278900.6203973116</v>
      </c>
      <c r="AF587" s="576">
        <f t="shared" si="495"/>
        <v>4337063.4920094721</v>
      </c>
      <c r="AG587" s="714">
        <f t="shared" si="495"/>
        <v>4395239.9372206079</v>
      </c>
      <c r="AH587" s="5"/>
      <c r="AI587" s="5"/>
      <c r="AJ587" s="5"/>
      <c r="AK587" s="5"/>
      <c r="AL587" s="5"/>
      <c r="AM587" s="5"/>
      <c r="AN587" s="5"/>
    </row>
    <row r="588" spans="1:40" ht="21.95" customHeight="1" x14ac:dyDescent="0.2">
      <c r="A588" s="9"/>
      <c r="B588" s="705"/>
      <c r="C588" s="715"/>
      <c r="D588" s="718"/>
      <c r="E588" s="1339"/>
      <c r="F588" s="116" t="s">
        <v>344</v>
      </c>
      <c r="G588" s="116" t="s">
        <v>345</v>
      </c>
      <c r="H588" s="576">
        <f t="shared" ref="H588:AG588" si="496">H528 * (1-$F$15)</f>
        <v>1594319.9999999998</v>
      </c>
      <c r="I588" s="576">
        <f t="shared" si="496"/>
        <v>1596711.4799999997</v>
      </c>
      <c r="J588" s="576">
        <f t="shared" si="496"/>
        <v>1599102.9599999995</v>
      </c>
      <c r="K588" s="576">
        <f t="shared" si="496"/>
        <v>1601494.44</v>
      </c>
      <c r="L588" s="576">
        <f t="shared" si="496"/>
        <v>1603885.92</v>
      </c>
      <c r="M588" s="576">
        <f t="shared" si="496"/>
        <v>1606277.4</v>
      </c>
      <c r="N588" s="576">
        <f t="shared" si="496"/>
        <v>1608668.8799999994</v>
      </c>
      <c r="O588" s="576">
        <f t="shared" si="496"/>
        <v>1611060.3599999999</v>
      </c>
      <c r="P588" s="576">
        <f t="shared" si="496"/>
        <v>1613451.8399999999</v>
      </c>
      <c r="Q588" s="576">
        <f t="shared" si="496"/>
        <v>1613451.8399999999</v>
      </c>
      <c r="R588" s="576">
        <f t="shared" si="496"/>
        <v>1613451.8399999999</v>
      </c>
      <c r="S588" s="576">
        <f t="shared" si="496"/>
        <v>1613451.8399999999</v>
      </c>
      <c r="T588" s="576">
        <f t="shared" si="496"/>
        <v>1613451.8399999999</v>
      </c>
      <c r="U588" s="576">
        <f t="shared" si="496"/>
        <v>1613451.8399999999</v>
      </c>
      <c r="V588" s="576">
        <f t="shared" si="496"/>
        <v>1613451.8399999999</v>
      </c>
      <c r="W588" s="576">
        <f t="shared" si="496"/>
        <v>1613451.8399999999</v>
      </c>
      <c r="X588" s="576">
        <f t="shared" si="496"/>
        <v>1613451.8399999999</v>
      </c>
      <c r="Y588" s="576">
        <f t="shared" si="496"/>
        <v>1613451.8399999999</v>
      </c>
      <c r="Z588" s="576">
        <f t="shared" si="496"/>
        <v>1634450.4570239997</v>
      </c>
      <c r="AA588" s="576">
        <f t="shared" si="496"/>
        <v>1658293.2624384</v>
      </c>
      <c r="AB588" s="576">
        <f t="shared" si="496"/>
        <v>1682130.5049023998</v>
      </c>
      <c r="AC588" s="576">
        <f t="shared" si="496"/>
        <v>1705967.7473664</v>
      </c>
      <c r="AD588" s="576">
        <f t="shared" si="496"/>
        <v>1729810.5527808</v>
      </c>
      <c r="AE588" s="576">
        <f t="shared" si="496"/>
        <v>1753647.7952447997</v>
      </c>
      <c r="AF588" s="576">
        <f t="shared" si="496"/>
        <v>1777485.0377088001</v>
      </c>
      <c r="AG588" s="714">
        <f t="shared" si="496"/>
        <v>1801327.8431231999</v>
      </c>
      <c r="AH588" s="5"/>
      <c r="AI588" s="5"/>
      <c r="AJ588" s="5"/>
      <c r="AK588" s="5"/>
      <c r="AL588" s="5"/>
      <c r="AM588" s="5"/>
      <c r="AN588" s="5"/>
    </row>
    <row r="589" spans="1:40" ht="21.95" customHeight="1" x14ac:dyDescent="0.2">
      <c r="A589" s="9"/>
      <c r="B589" s="705"/>
      <c r="C589" s="715"/>
      <c r="D589" s="718"/>
      <c r="E589" s="1339"/>
      <c r="F589" s="116" t="s">
        <v>345</v>
      </c>
      <c r="G589" s="116" t="s">
        <v>323</v>
      </c>
      <c r="H589" s="576">
        <f t="shared" ref="H589:AG589" si="497">H529 * (1-$F$15)</f>
        <v>19229951.999999996</v>
      </c>
      <c r="I589" s="576">
        <f t="shared" si="497"/>
        <v>19671382.415999997</v>
      </c>
      <c r="J589" s="576">
        <f t="shared" si="497"/>
        <v>20317062.393599994</v>
      </c>
      <c r="K589" s="576">
        <f t="shared" si="497"/>
        <v>21091411.353599995</v>
      </c>
      <c r="L589" s="576">
        <f t="shared" si="497"/>
        <v>21865966.348799996</v>
      </c>
      <c r="M589" s="576">
        <f t="shared" si="497"/>
        <v>22640590.022400003</v>
      </c>
      <c r="N589" s="576">
        <f t="shared" si="497"/>
        <v>23414938.9824</v>
      </c>
      <c r="O589" s="576">
        <f t="shared" si="497"/>
        <v>24189700.012800001</v>
      </c>
      <c r="P589" s="576">
        <f t="shared" si="497"/>
        <v>24856223.884799991</v>
      </c>
      <c r="Q589" s="576">
        <f t="shared" si="497"/>
        <v>25522713.417599995</v>
      </c>
      <c r="R589" s="576">
        <f t="shared" si="497"/>
        <v>26189237.289599996</v>
      </c>
      <c r="S589" s="576">
        <f t="shared" si="497"/>
        <v>26855761.16159999</v>
      </c>
      <c r="T589" s="576">
        <f t="shared" si="497"/>
        <v>27522697.103999991</v>
      </c>
      <c r="U589" s="576">
        <f t="shared" si="497"/>
        <v>28060345.958399992</v>
      </c>
      <c r="V589" s="576">
        <f t="shared" si="497"/>
        <v>28501776.37439999</v>
      </c>
      <c r="W589" s="576">
        <f t="shared" si="497"/>
        <v>28943206.790399987</v>
      </c>
      <c r="X589" s="576">
        <f t="shared" si="497"/>
        <v>29384637.206399988</v>
      </c>
      <c r="Y589" s="576">
        <f t="shared" si="497"/>
        <v>29826170.639999993</v>
      </c>
      <c r="Z589" s="576">
        <f t="shared" si="497"/>
        <v>30267601.055999991</v>
      </c>
      <c r="AA589" s="576">
        <f t="shared" si="497"/>
        <v>30709134.489599992</v>
      </c>
      <c r="AB589" s="576">
        <f t="shared" si="497"/>
        <v>31150564.905599989</v>
      </c>
      <c r="AC589" s="576">
        <f t="shared" si="497"/>
        <v>31591995.32159999</v>
      </c>
      <c r="AD589" s="576">
        <f t="shared" si="497"/>
        <v>32033528.755199991</v>
      </c>
      <c r="AE589" s="576">
        <f t="shared" si="497"/>
        <v>32474959.171199989</v>
      </c>
      <c r="AF589" s="576">
        <f t="shared" si="497"/>
        <v>32916389.587199993</v>
      </c>
      <c r="AG589" s="714">
        <f t="shared" si="497"/>
        <v>33357923.020799994</v>
      </c>
      <c r="AH589" s="5"/>
      <c r="AI589" s="5"/>
      <c r="AJ589" s="5"/>
      <c r="AK589" s="5"/>
      <c r="AL589" s="5"/>
      <c r="AM589" s="5"/>
      <c r="AN589" s="5"/>
    </row>
    <row r="590" spans="1:40" ht="21.95" customHeight="1" x14ac:dyDescent="0.2">
      <c r="A590" s="9"/>
      <c r="B590" s="705"/>
      <c r="C590" s="715"/>
      <c r="D590" s="718"/>
      <c r="E590" s="1339"/>
      <c r="F590" s="116" t="s">
        <v>323</v>
      </c>
      <c r="G590" s="116" t="s">
        <v>347</v>
      </c>
      <c r="H590" s="576">
        <f t="shared" ref="H590:AG590" si="498">H530 * (1-$F$15)</f>
        <v>3433919.9999999995</v>
      </c>
      <c r="I590" s="576">
        <f t="shared" si="498"/>
        <v>3509797.3679999998</v>
      </c>
      <c r="J590" s="576">
        <f t="shared" si="498"/>
        <v>3622141.7399999998</v>
      </c>
      <c r="K590" s="576">
        <f t="shared" si="498"/>
        <v>3764716.8719999995</v>
      </c>
      <c r="L590" s="576">
        <f t="shared" si="498"/>
        <v>3907334.9280000003</v>
      </c>
      <c r="M590" s="576">
        <f t="shared" si="498"/>
        <v>4049944.3991999994</v>
      </c>
      <c r="N590" s="576">
        <f t="shared" si="498"/>
        <v>4192519.5311999987</v>
      </c>
      <c r="O590" s="576">
        <f t="shared" si="498"/>
        <v>4335171.9263999993</v>
      </c>
      <c r="P590" s="576">
        <f t="shared" si="498"/>
        <v>4461932.6303999992</v>
      </c>
      <c r="Q590" s="576">
        <f t="shared" si="498"/>
        <v>4588705.5983999986</v>
      </c>
      <c r="R590" s="576">
        <f t="shared" si="498"/>
        <v>4715466.3023999995</v>
      </c>
      <c r="S590" s="576">
        <f t="shared" si="498"/>
        <v>4842227.0063999994</v>
      </c>
      <c r="T590" s="576">
        <f t="shared" si="498"/>
        <v>4969046.5775999995</v>
      </c>
      <c r="U590" s="576">
        <f t="shared" si="498"/>
        <v>5065542.1823999994</v>
      </c>
      <c r="V590" s="576">
        <f t="shared" si="498"/>
        <v>5141419.5503999991</v>
      </c>
      <c r="W590" s="576">
        <f t="shared" si="498"/>
        <v>5217296.9183999998</v>
      </c>
      <c r="X590" s="576">
        <f t="shared" si="498"/>
        <v>5293174.2864000006</v>
      </c>
      <c r="Y590" s="576">
        <f t="shared" si="498"/>
        <v>5369063.9183999998</v>
      </c>
      <c r="Z590" s="576">
        <f t="shared" si="498"/>
        <v>5444941.2863999987</v>
      </c>
      <c r="AA590" s="576">
        <f t="shared" si="498"/>
        <v>5520830.9183999998</v>
      </c>
      <c r="AB590" s="576">
        <f t="shared" si="498"/>
        <v>5596708.2864000006</v>
      </c>
      <c r="AC590" s="576">
        <f t="shared" si="498"/>
        <v>5672585.6544000003</v>
      </c>
      <c r="AD590" s="576">
        <f t="shared" si="498"/>
        <v>5748475.2864000006</v>
      </c>
      <c r="AE590" s="576">
        <f t="shared" si="498"/>
        <v>5824352.6544000013</v>
      </c>
      <c r="AF590" s="576">
        <f t="shared" si="498"/>
        <v>5900230.0224000001</v>
      </c>
      <c r="AG590" s="714">
        <f t="shared" si="498"/>
        <v>5976119.6544000003</v>
      </c>
      <c r="AH590" s="5"/>
      <c r="AI590" s="5"/>
      <c r="AJ590" s="5"/>
      <c r="AK590" s="5"/>
      <c r="AL590" s="5"/>
      <c r="AM590" s="5"/>
      <c r="AN590" s="5"/>
    </row>
    <row r="591" spans="1:40" ht="21.95" customHeight="1" x14ac:dyDescent="0.2">
      <c r="A591" s="9"/>
      <c r="B591" s="705"/>
      <c r="C591" s="715"/>
      <c r="D591" s="718"/>
      <c r="E591" s="1339"/>
      <c r="F591" s="116" t="s">
        <v>347</v>
      </c>
      <c r="G591" s="116" t="s">
        <v>348</v>
      </c>
      <c r="H591" s="576">
        <f t="shared" ref="H591:AG591" si="499">H531 * (1-$F$15)</f>
        <v>2403743.9999999995</v>
      </c>
      <c r="I591" s="576">
        <f t="shared" si="499"/>
        <v>2456858.1575999996</v>
      </c>
      <c r="J591" s="576">
        <f t="shared" si="499"/>
        <v>2535499.2179999994</v>
      </c>
      <c r="K591" s="576">
        <f t="shared" si="499"/>
        <v>2635301.8103999994</v>
      </c>
      <c r="L591" s="576">
        <f t="shared" si="499"/>
        <v>2735134.4495999999</v>
      </c>
      <c r="M591" s="576">
        <f t="shared" si="499"/>
        <v>2834961.0794399995</v>
      </c>
      <c r="N591" s="576">
        <f t="shared" si="499"/>
        <v>2934763.671839999</v>
      </c>
      <c r="O591" s="576">
        <f t="shared" si="499"/>
        <v>3034620.3484799988</v>
      </c>
      <c r="P591" s="576">
        <f t="shared" si="499"/>
        <v>3123352.8412799998</v>
      </c>
      <c r="Q591" s="576">
        <f t="shared" si="499"/>
        <v>3212093.9188799988</v>
      </c>
      <c r="R591" s="576">
        <f t="shared" si="499"/>
        <v>3300826.4116799994</v>
      </c>
      <c r="S591" s="576">
        <f t="shared" si="499"/>
        <v>3389558.9044799996</v>
      </c>
      <c r="T591" s="576">
        <f t="shared" si="499"/>
        <v>3478332.6043199995</v>
      </c>
      <c r="U591" s="576">
        <f t="shared" si="499"/>
        <v>3545879.5276799994</v>
      </c>
      <c r="V591" s="576">
        <f t="shared" si="499"/>
        <v>3598993.6852799999</v>
      </c>
      <c r="W591" s="576">
        <f t="shared" si="499"/>
        <v>3652107.8428799994</v>
      </c>
      <c r="X591" s="576">
        <f t="shared" si="499"/>
        <v>3705222.0004799999</v>
      </c>
      <c r="Y591" s="576">
        <f t="shared" si="499"/>
        <v>3758344.7428799998</v>
      </c>
      <c r="Z591" s="576">
        <f t="shared" si="499"/>
        <v>3811458.9004799989</v>
      </c>
      <c r="AA591" s="576">
        <f t="shared" si="499"/>
        <v>3864581.6428799997</v>
      </c>
      <c r="AB591" s="576">
        <f t="shared" si="499"/>
        <v>3917695.8004800002</v>
      </c>
      <c r="AC591" s="576">
        <f t="shared" si="499"/>
        <v>3970809.9580799998</v>
      </c>
      <c r="AD591" s="576">
        <f t="shared" si="499"/>
        <v>4023932.7004800001</v>
      </c>
      <c r="AE591" s="576">
        <f t="shared" si="499"/>
        <v>4077046.8580800006</v>
      </c>
      <c r="AF591" s="576">
        <f t="shared" si="499"/>
        <v>4130161.0156799997</v>
      </c>
      <c r="AG591" s="714">
        <f t="shared" si="499"/>
        <v>4183283.7580800001</v>
      </c>
      <c r="AH591" s="5"/>
      <c r="AI591" s="5"/>
      <c r="AJ591" s="5"/>
      <c r="AK591" s="5"/>
      <c r="AL591" s="5"/>
      <c r="AM591" s="5"/>
      <c r="AN591" s="5"/>
    </row>
    <row r="592" spans="1:40" ht="21.95" customHeight="1" x14ac:dyDescent="0.2">
      <c r="A592" s="9"/>
      <c r="B592" s="705"/>
      <c r="C592" s="715"/>
      <c r="D592" s="718"/>
      <c r="E592" s="1353"/>
      <c r="F592" s="254" t="s">
        <v>348</v>
      </c>
      <c r="G592" s="254" t="s">
        <v>349</v>
      </c>
      <c r="H592" s="576">
        <f t="shared" ref="H592:AG592" si="500">H532 * (1-$F$15)</f>
        <v>3924479.9999999995</v>
      </c>
      <c r="I592" s="576">
        <f t="shared" si="500"/>
        <v>4018219.8839999996</v>
      </c>
      <c r="J592" s="576">
        <f t="shared" si="500"/>
        <v>4148432.9039999996</v>
      </c>
      <c r="K592" s="576">
        <f t="shared" si="500"/>
        <v>4321367.567999999</v>
      </c>
      <c r="L592" s="576">
        <f t="shared" si="500"/>
        <v>4494351.2879999997</v>
      </c>
      <c r="M592" s="576">
        <f t="shared" si="500"/>
        <v>4667347.2719999999</v>
      </c>
      <c r="N592" s="576">
        <f t="shared" si="500"/>
        <v>4840281.9359999998</v>
      </c>
      <c r="O592" s="576">
        <f t="shared" si="500"/>
        <v>5013314.7120000003</v>
      </c>
      <c r="P592" s="576">
        <f t="shared" si="500"/>
        <v>5178461.7359999996</v>
      </c>
      <c r="Q592" s="576">
        <f t="shared" si="500"/>
        <v>5343614.8919999991</v>
      </c>
      <c r="R592" s="576">
        <f t="shared" si="500"/>
        <v>5508761.9159999993</v>
      </c>
      <c r="S592" s="576">
        <f t="shared" si="500"/>
        <v>5673908.9399999995</v>
      </c>
      <c r="T592" s="576">
        <f t="shared" si="500"/>
        <v>5839154.0759999994</v>
      </c>
      <c r="U592" s="576">
        <f t="shared" si="500"/>
        <v>5961530.3999999994</v>
      </c>
      <c r="V592" s="576">
        <f t="shared" si="500"/>
        <v>6055270.2839999991</v>
      </c>
      <c r="W592" s="576">
        <f t="shared" si="500"/>
        <v>6149010.1679999996</v>
      </c>
      <c r="X592" s="576">
        <f t="shared" si="500"/>
        <v>6242750.0519999992</v>
      </c>
      <c r="Y592" s="576">
        <f t="shared" si="500"/>
        <v>6336508.3319999995</v>
      </c>
      <c r="Z592" s="576">
        <f t="shared" si="500"/>
        <v>6430248.2159999982</v>
      </c>
      <c r="AA592" s="576">
        <f t="shared" si="500"/>
        <v>6524006.4959999993</v>
      </c>
      <c r="AB592" s="576">
        <f t="shared" si="500"/>
        <v>6617746.379999999</v>
      </c>
      <c r="AC592" s="576">
        <f t="shared" si="500"/>
        <v>6711486.2639999995</v>
      </c>
      <c r="AD592" s="576">
        <f t="shared" si="500"/>
        <v>6805244.5439999998</v>
      </c>
      <c r="AE592" s="576">
        <f t="shared" si="500"/>
        <v>6898984.4279999994</v>
      </c>
      <c r="AF592" s="576">
        <f t="shared" si="500"/>
        <v>6992724.311999999</v>
      </c>
      <c r="AG592" s="714">
        <f t="shared" si="500"/>
        <v>7086482.5919999992</v>
      </c>
      <c r="AH592" s="5"/>
      <c r="AI592" s="5"/>
      <c r="AJ592" s="5"/>
      <c r="AK592" s="5"/>
      <c r="AL592" s="5"/>
      <c r="AM592" s="5"/>
      <c r="AN592" s="5"/>
    </row>
    <row r="593" spans="1:40" ht="21.95" customHeight="1" x14ac:dyDescent="0.2">
      <c r="A593" s="9"/>
      <c r="B593" s="705"/>
      <c r="C593" s="715"/>
      <c r="D593" s="718"/>
      <c r="E593" s="116" t="s">
        <v>288</v>
      </c>
      <c r="F593" s="116" t="s">
        <v>323</v>
      </c>
      <c r="G593" s="116" t="s">
        <v>348</v>
      </c>
      <c r="H593" s="576">
        <f t="shared" ref="H593:AG593" si="501">H533 * (1-$F$15)</f>
        <v>441503.99999999994</v>
      </c>
      <c r="I593" s="576">
        <f t="shared" si="501"/>
        <v>468651.59039999999</v>
      </c>
      <c r="J593" s="576">
        <f t="shared" si="501"/>
        <v>504577.75199999992</v>
      </c>
      <c r="K593" s="576">
        <f t="shared" si="501"/>
        <v>552321.50399999984</v>
      </c>
      <c r="L593" s="576">
        <f t="shared" si="501"/>
        <v>600079.97279999987</v>
      </c>
      <c r="M593" s="576">
        <f t="shared" si="501"/>
        <v>647941.45920000004</v>
      </c>
      <c r="N593" s="576">
        <f t="shared" si="501"/>
        <v>695685.21119999979</v>
      </c>
      <c r="O593" s="576">
        <f t="shared" si="501"/>
        <v>743480.47199999972</v>
      </c>
      <c r="P593" s="576">
        <f t="shared" si="501"/>
        <v>787061.82239999983</v>
      </c>
      <c r="Q593" s="576">
        <f t="shared" si="501"/>
        <v>830606.38080000004</v>
      </c>
      <c r="R593" s="576">
        <f t="shared" si="501"/>
        <v>874190.18399999989</v>
      </c>
      <c r="S593" s="576">
        <f t="shared" si="501"/>
        <v>917771.53439999989</v>
      </c>
      <c r="T593" s="576">
        <f t="shared" si="501"/>
        <v>961507.41119999997</v>
      </c>
      <c r="U593" s="576">
        <f t="shared" si="501"/>
        <v>993236.83199999994</v>
      </c>
      <c r="V593" s="576">
        <f t="shared" si="501"/>
        <v>1020384.4223999998</v>
      </c>
      <c r="W593" s="576">
        <f t="shared" si="501"/>
        <v>1047532.0127999997</v>
      </c>
      <c r="X593" s="576">
        <f t="shared" si="501"/>
        <v>1074679.6031999998</v>
      </c>
      <c r="Y593" s="576">
        <f t="shared" si="501"/>
        <v>1101856.6271999998</v>
      </c>
      <c r="Z593" s="576">
        <f t="shared" si="501"/>
        <v>1129004.2175999996</v>
      </c>
      <c r="AA593" s="576">
        <f t="shared" si="501"/>
        <v>1156218.0336</v>
      </c>
      <c r="AB593" s="576">
        <f t="shared" si="501"/>
        <v>1183365.6239999998</v>
      </c>
      <c r="AC593" s="576">
        <f t="shared" si="501"/>
        <v>1210513.2143999999</v>
      </c>
      <c r="AD593" s="576">
        <f t="shared" si="501"/>
        <v>1237690.2383999994</v>
      </c>
      <c r="AE593" s="576">
        <f t="shared" si="501"/>
        <v>1264837.8287999998</v>
      </c>
      <c r="AF593" s="576">
        <f t="shared" si="501"/>
        <v>1291985.4191999999</v>
      </c>
      <c r="AG593" s="714">
        <f t="shared" si="501"/>
        <v>1319199.2351999995</v>
      </c>
      <c r="AH593" s="5"/>
      <c r="AI593" s="5"/>
      <c r="AJ593" s="5"/>
      <c r="AK593" s="5"/>
      <c r="AL593" s="5"/>
      <c r="AM593" s="5"/>
      <c r="AN593" s="5"/>
    </row>
    <row r="594" spans="1:40" ht="21.95" customHeight="1" x14ac:dyDescent="0.2">
      <c r="A594" s="9"/>
      <c r="B594" s="705"/>
      <c r="C594" s="715"/>
      <c r="D594" s="718"/>
      <c r="E594" s="277" t="s">
        <v>340</v>
      </c>
      <c r="F594" s="277" t="s">
        <v>335</v>
      </c>
      <c r="G594" s="277" t="s">
        <v>323</v>
      </c>
      <c r="H594" s="576">
        <f t="shared" ref="H594:AG594" si="502">H534 * (1-$F$15)</f>
        <v>0</v>
      </c>
      <c r="I594" s="576">
        <f t="shared" si="502"/>
        <v>740469.51283200004</v>
      </c>
      <c r="J594" s="576">
        <f t="shared" si="502"/>
        <v>797232.84815999994</v>
      </c>
      <c r="K594" s="576">
        <f t="shared" si="502"/>
        <v>872667.97631999978</v>
      </c>
      <c r="L594" s="576">
        <f t="shared" si="502"/>
        <v>948126.35702399979</v>
      </c>
      <c r="M594" s="576">
        <f t="shared" si="502"/>
        <v>1023747.505536</v>
      </c>
      <c r="N594" s="576">
        <f t="shared" si="502"/>
        <v>1099182.6336959996</v>
      </c>
      <c r="O594" s="576">
        <f t="shared" si="502"/>
        <v>1174699.1457599995</v>
      </c>
      <c r="P594" s="576">
        <f t="shared" si="502"/>
        <v>1243557.6793919997</v>
      </c>
      <c r="Q594" s="576">
        <f t="shared" si="502"/>
        <v>1312358.0816640002</v>
      </c>
      <c r="R594" s="576">
        <f t="shared" si="502"/>
        <v>1381220.4907199999</v>
      </c>
      <c r="S594" s="576">
        <f t="shared" si="502"/>
        <v>1450079.0243519999</v>
      </c>
      <c r="T594" s="576">
        <f t="shared" si="502"/>
        <v>1519181.7096960002</v>
      </c>
      <c r="U594" s="576">
        <f t="shared" si="502"/>
        <v>1569314.1945599997</v>
      </c>
      <c r="V594" s="576">
        <f t="shared" si="502"/>
        <v>1612207.3873919998</v>
      </c>
      <c r="W594" s="576">
        <f t="shared" si="502"/>
        <v>1655100.5802239995</v>
      </c>
      <c r="X594" s="576">
        <f t="shared" si="502"/>
        <v>1697993.7730559998</v>
      </c>
      <c r="Y594" s="576">
        <f t="shared" si="502"/>
        <v>1740933.4709759997</v>
      </c>
      <c r="Z594" s="576">
        <f t="shared" si="502"/>
        <v>1783826.6638079996</v>
      </c>
      <c r="AA594" s="576">
        <f t="shared" si="502"/>
        <v>1826824.493088</v>
      </c>
      <c r="AB594" s="576">
        <f t="shared" si="502"/>
        <v>1869717.6859199996</v>
      </c>
      <c r="AC594" s="576">
        <f t="shared" si="502"/>
        <v>1912610.8787519997</v>
      </c>
      <c r="AD594" s="576">
        <f t="shared" si="502"/>
        <v>1955550.5766719992</v>
      </c>
      <c r="AE594" s="576">
        <f t="shared" si="502"/>
        <v>1998443.769504</v>
      </c>
      <c r="AF594" s="576">
        <f t="shared" si="502"/>
        <v>2041336.9623359998</v>
      </c>
      <c r="AG594" s="714">
        <f t="shared" si="502"/>
        <v>2084334.7916159993</v>
      </c>
      <c r="AH594" s="5"/>
      <c r="AI594" s="5"/>
      <c r="AJ594" s="5"/>
      <c r="AK594" s="5"/>
      <c r="AL594" s="5"/>
      <c r="AM594" s="5"/>
      <c r="AN594" s="5"/>
    </row>
    <row r="595" spans="1:40" ht="21.95" customHeight="1" x14ac:dyDescent="0.2">
      <c r="A595" s="9"/>
      <c r="B595" s="705"/>
      <c r="C595" s="715"/>
      <c r="D595" s="718"/>
      <c r="E595" s="277" t="s">
        <v>357</v>
      </c>
      <c r="F595" s="277" t="s">
        <v>338</v>
      </c>
      <c r="G595" s="277" t="s">
        <v>323</v>
      </c>
      <c r="H595" s="576">
        <f t="shared" ref="H595:AG595" si="503">H535 * (1-$F$15)</f>
        <v>818789.23636363621</v>
      </c>
      <c r="I595" s="576">
        <f t="shared" si="503"/>
        <v>830031.66746181797</v>
      </c>
      <c r="J595" s="576">
        <f t="shared" si="503"/>
        <v>849464.26533818175</v>
      </c>
      <c r="K595" s="576">
        <f t="shared" si="503"/>
        <v>876143.14795636362</v>
      </c>
      <c r="L595" s="576">
        <f t="shared" si="503"/>
        <v>902833.40264727268</v>
      </c>
      <c r="M595" s="576">
        <f t="shared" si="503"/>
        <v>929562.32238545443</v>
      </c>
      <c r="N595" s="576">
        <f t="shared" si="503"/>
        <v>956241.20500363631</v>
      </c>
      <c r="O595" s="576">
        <f t="shared" si="503"/>
        <v>983013.33861818176</v>
      </c>
      <c r="P595" s="576">
        <f t="shared" si="503"/>
        <v>1001579.3845527273</v>
      </c>
      <c r="Q595" s="576">
        <f t="shared" si="503"/>
        <v>1020147.704901818</v>
      </c>
      <c r="R595" s="576">
        <f t="shared" si="503"/>
        <v>1038718.2996654544</v>
      </c>
      <c r="S595" s="576">
        <f t="shared" si="503"/>
        <v>1057284.3456000001</v>
      </c>
      <c r="T595" s="576">
        <f t="shared" si="503"/>
        <v>1075982.3075781816</v>
      </c>
      <c r="U595" s="576">
        <f t="shared" si="503"/>
        <v>1087224.7386763634</v>
      </c>
      <c r="V595" s="576">
        <f t="shared" si="503"/>
        <v>1098467.1697745451</v>
      </c>
      <c r="W595" s="576">
        <f t="shared" si="503"/>
        <v>1109709.6008727273</v>
      </c>
      <c r="X595" s="576">
        <f t="shared" si="503"/>
        <v>1120952.0319709086</v>
      </c>
      <c r="Y595" s="576">
        <f t="shared" si="503"/>
        <v>1132271.7931636362</v>
      </c>
      <c r="Z595" s="576">
        <f t="shared" si="503"/>
        <v>1143514.224261818</v>
      </c>
      <c r="AA595" s="576">
        <f t="shared" si="503"/>
        <v>1154799.8692363636</v>
      </c>
      <c r="AB595" s="576">
        <f t="shared" si="503"/>
        <v>1166042.3003345453</v>
      </c>
      <c r="AC595" s="576">
        <f t="shared" si="503"/>
        <v>1177284.7314327273</v>
      </c>
      <c r="AD595" s="576">
        <f t="shared" si="503"/>
        <v>1188604.4926254544</v>
      </c>
      <c r="AE595" s="576">
        <f t="shared" si="503"/>
        <v>1199846.9237236364</v>
      </c>
      <c r="AF595" s="576">
        <f t="shared" si="503"/>
        <v>1211089.3548218179</v>
      </c>
      <c r="AG595" s="714">
        <f t="shared" si="503"/>
        <v>1222374.9997963635</v>
      </c>
      <c r="AH595" s="5"/>
      <c r="AI595" s="5"/>
      <c r="AJ595" s="5"/>
      <c r="AK595" s="5"/>
      <c r="AL595" s="5"/>
      <c r="AM595" s="5"/>
      <c r="AN595" s="5"/>
    </row>
    <row r="596" spans="1:40" ht="21.95" customHeight="1" x14ac:dyDescent="0.2">
      <c r="A596" s="9"/>
      <c r="B596" s="705"/>
      <c r="C596" s="715"/>
      <c r="D596" s="718"/>
      <c r="E596" s="116" t="s">
        <v>338</v>
      </c>
      <c r="F596" s="116" t="s">
        <v>282</v>
      </c>
      <c r="G596" s="116" t="s">
        <v>357</v>
      </c>
      <c r="H596" s="576">
        <f t="shared" ref="H596:AG596" si="504">H536 * (1-$F$15)</f>
        <v>2940572.7272727275</v>
      </c>
      <c r="I596" s="576">
        <f t="shared" si="504"/>
        <v>3025340.6172818188</v>
      </c>
      <c r="J596" s="576">
        <f t="shared" si="504"/>
        <v>3117092.3675181819</v>
      </c>
      <c r="K596" s="576">
        <f t="shared" si="504"/>
        <v>3238817.375563636</v>
      </c>
      <c r="L596" s="576">
        <f t="shared" si="504"/>
        <v>3360562.9676181814</v>
      </c>
      <c r="M596" s="576">
        <f t="shared" si="504"/>
        <v>3482358.5494090905</v>
      </c>
      <c r="N596" s="576">
        <f t="shared" si="504"/>
        <v>3604083.557454546</v>
      </c>
      <c r="O596" s="576">
        <f t="shared" si="504"/>
        <v>3725840.9118000004</v>
      </c>
      <c r="P596" s="576">
        <f t="shared" si="504"/>
        <v>3859819.2864000006</v>
      </c>
      <c r="Q596" s="576">
        <f t="shared" si="504"/>
        <v>3993753.5524090906</v>
      </c>
      <c r="R596" s="576">
        <f t="shared" si="504"/>
        <v>4127731.9270090903</v>
      </c>
      <c r="S596" s="576">
        <f t="shared" si="504"/>
        <v>4261710.3016090905</v>
      </c>
      <c r="T596" s="576">
        <f t="shared" si="504"/>
        <v>4395765.1311000008</v>
      </c>
      <c r="U596" s="576">
        <f t="shared" si="504"/>
        <v>4499758.4856000002</v>
      </c>
      <c r="V596" s="576">
        <f t="shared" si="504"/>
        <v>4584526.3756090906</v>
      </c>
      <c r="W596" s="576">
        <f t="shared" si="504"/>
        <v>4669294.2656181827</v>
      </c>
      <c r="X596" s="576">
        <f t="shared" si="504"/>
        <v>4754062.1556272721</v>
      </c>
      <c r="Y596" s="576">
        <f t="shared" si="504"/>
        <v>4838821.2239181809</v>
      </c>
      <c r="Z596" s="576">
        <f t="shared" si="504"/>
        <v>4923589.1139272712</v>
      </c>
      <c r="AA596" s="576">
        <f t="shared" si="504"/>
        <v>5008348.18221818</v>
      </c>
      <c r="AB596" s="576">
        <f t="shared" si="504"/>
        <v>5093116.0722272741</v>
      </c>
      <c r="AC596" s="576">
        <f t="shared" si="504"/>
        <v>5177883.9622363634</v>
      </c>
      <c r="AD596" s="576">
        <f t="shared" si="504"/>
        <v>5262643.0305272732</v>
      </c>
      <c r="AE596" s="576">
        <f t="shared" si="504"/>
        <v>5347410.9205363635</v>
      </c>
      <c r="AF596" s="576">
        <f t="shared" si="504"/>
        <v>5432178.8105454547</v>
      </c>
      <c r="AG596" s="714">
        <f t="shared" si="504"/>
        <v>5516937.8788363636</v>
      </c>
      <c r="AH596" s="5"/>
      <c r="AI596" s="5"/>
      <c r="AJ596" s="5"/>
      <c r="AK596" s="5"/>
      <c r="AL596" s="5"/>
      <c r="AM596" s="5"/>
      <c r="AN596" s="5"/>
    </row>
    <row r="597" spans="1:40" ht="21.95" customHeight="1" x14ac:dyDescent="0.2">
      <c r="A597" s="9"/>
      <c r="B597" s="705"/>
      <c r="C597" s="715"/>
      <c r="D597" s="718"/>
      <c r="E597" s="116"/>
      <c r="F597" s="116" t="s">
        <v>357</v>
      </c>
      <c r="G597" s="116" t="s">
        <v>346</v>
      </c>
      <c r="H597" s="576">
        <f t="shared" ref="H597:AG597" si="505">H537 * (1-$F$15)</f>
        <v>428255.16363636364</v>
      </c>
      <c r="I597" s="576">
        <f t="shared" si="505"/>
        <v>440409.72137272719</v>
      </c>
      <c r="J597" s="576">
        <f t="shared" si="505"/>
        <v>453898.06854636356</v>
      </c>
      <c r="K597" s="576">
        <f t="shared" si="505"/>
        <v>472830.32774090901</v>
      </c>
      <c r="L597" s="576">
        <f t="shared" si="505"/>
        <v>491765.96789727267</v>
      </c>
      <c r="M597" s="576">
        <f t="shared" si="505"/>
        <v>510705.55250909075</v>
      </c>
      <c r="N597" s="576">
        <f t="shared" si="505"/>
        <v>529637.81170363643</v>
      </c>
      <c r="O597" s="576">
        <f t="shared" si="505"/>
        <v>548571.19788545452</v>
      </c>
      <c r="P597" s="576">
        <f t="shared" si="505"/>
        <v>569851.5350627274</v>
      </c>
      <c r="Q597" s="576">
        <f t="shared" si="505"/>
        <v>591124.54682272719</v>
      </c>
      <c r="R597" s="576">
        <f t="shared" si="505"/>
        <v>612404.88399999985</v>
      </c>
      <c r="S597" s="576">
        <f t="shared" si="505"/>
        <v>633685.2211772725</v>
      </c>
      <c r="T597" s="576">
        <f t="shared" si="505"/>
        <v>654968.93931636366</v>
      </c>
      <c r="U597" s="576">
        <f t="shared" si="505"/>
        <v>670807.61844727257</v>
      </c>
      <c r="V597" s="576">
        <f t="shared" si="505"/>
        <v>682962.17618363618</v>
      </c>
      <c r="W597" s="576">
        <f t="shared" si="505"/>
        <v>695116.73391999991</v>
      </c>
      <c r="X597" s="576">
        <f t="shared" si="505"/>
        <v>707271.29165636352</v>
      </c>
      <c r="Y597" s="576">
        <f t="shared" si="505"/>
        <v>719419.65096272703</v>
      </c>
      <c r="Z597" s="576">
        <f t="shared" si="505"/>
        <v>731574.20869909076</v>
      </c>
      <c r="AA597" s="576">
        <f t="shared" si="505"/>
        <v>743722.56800545449</v>
      </c>
      <c r="AB597" s="576">
        <f t="shared" si="505"/>
        <v>755877.1257418181</v>
      </c>
      <c r="AC597" s="576">
        <f t="shared" si="505"/>
        <v>768031.68347818172</v>
      </c>
      <c r="AD597" s="576">
        <f t="shared" si="505"/>
        <v>780180.04278454522</v>
      </c>
      <c r="AE597" s="576">
        <f t="shared" si="505"/>
        <v>792334.60052090895</v>
      </c>
      <c r="AF597" s="576">
        <f t="shared" si="505"/>
        <v>804489.15825727256</v>
      </c>
      <c r="AG597" s="714">
        <f t="shared" si="505"/>
        <v>816637.51756363607</v>
      </c>
      <c r="AH597" s="5"/>
      <c r="AI597" s="5"/>
      <c r="AJ597" s="5"/>
      <c r="AK597" s="5"/>
      <c r="AL597" s="5"/>
      <c r="AM597" s="5"/>
      <c r="AN597" s="5"/>
    </row>
    <row r="598" spans="1:40" ht="21.95" customHeight="1" x14ac:dyDescent="0.2">
      <c r="A598" s="9"/>
      <c r="B598" s="705"/>
      <c r="C598" s="715"/>
      <c r="D598" s="718"/>
      <c r="E598" s="116"/>
      <c r="F598" s="116" t="s">
        <v>346</v>
      </c>
      <c r="G598" s="116" t="s">
        <v>343</v>
      </c>
      <c r="H598" s="576">
        <f t="shared" ref="H598:AG598" si="506">H538 * (1-$F$15)</f>
        <v>105916.36363636362</v>
      </c>
      <c r="I598" s="576">
        <f t="shared" si="506"/>
        <v>108922.43727272727</v>
      </c>
      <c r="J598" s="576">
        <f t="shared" si="506"/>
        <v>112258.38463636361</v>
      </c>
      <c r="K598" s="576">
        <f t="shared" si="506"/>
        <v>116940.72409090906</v>
      </c>
      <c r="L598" s="576">
        <f t="shared" si="506"/>
        <v>121623.89972727271</v>
      </c>
      <c r="M598" s="576">
        <f t="shared" si="506"/>
        <v>126308.05090909087</v>
      </c>
      <c r="N598" s="576">
        <f t="shared" si="506"/>
        <v>130990.39036363635</v>
      </c>
      <c r="O598" s="576">
        <f t="shared" si="506"/>
        <v>135673.00854545453</v>
      </c>
      <c r="P598" s="576">
        <f t="shared" si="506"/>
        <v>140936.07627272728</v>
      </c>
      <c r="Q598" s="576">
        <f t="shared" si="506"/>
        <v>146197.33227272725</v>
      </c>
      <c r="R598" s="576">
        <f t="shared" si="506"/>
        <v>151460.39999999997</v>
      </c>
      <c r="S598" s="576">
        <f t="shared" si="506"/>
        <v>156723.46772727265</v>
      </c>
      <c r="T598" s="576">
        <f t="shared" si="506"/>
        <v>161987.37163636362</v>
      </c>
      <c r="U598" s="576">
        <f t="shared" si="506"/>
        <v>165904.60472727267</v>
      </c>
      <c r="V598" s="576">
        <f t="shared" si="506"/>
        <v>168910.67836363634</v>
      </c>
      <c r="W598" s="576">
        <f t="shared" si="506"/>
        <v>171916.75199999995</v>
      </c>
      <c r="X598" s="576">
        <f t="shared" si="506"/>
        <v>174922.82563636359</v>
      </c>
      <c r="Y598" s="576">
        <f t="shared" si="506"/>
        <v>177927.3662727272</v>
      </c>
      <c r="Z598" s="576">
        <f t="shared" si="506"/>
        <v>180933.43990909087</v>
      </c>
      <c r="AA598" s="576">
        <f t="shared" si="506"/>
        <v>183937.98054545448</v>
      </c>
      <c r="AB598" s="576">
        <f t="shared" si="506"/>
        <v>186944.05418181815</v>
      </c>
      <c r="AC598" s="576">
        <f t="shared" si="506"/>
        <v>189950.12781818179</v>
      </c>
      <c r="AD598" s="576">
        <f t="shared" si="506"/>
        <v>192954.66845454543</v>
      </c>
      <c r="AE598" s="576">
        <f t="shared" si="506"/>
        <v>195960.74209090904</v>
      </c>
      <c r="AF598" s="576">
        <f t="shared" si="506"/>
        <v>198966.81572727268</v>
      </c>
      <c r="AG598" s="714">
        <f t="shared" si="506"/>
        <v>201971.35636363633</v>
      </c>
      <c r="AH598" s="5"/>
      <c r="AI598" s="5"/>
      <c r="AJ598" s="5"/>
      <c r="AK598" s="5"/>
      <c r="AL598" s="5"/>
      <c r="AM598" s="5"/>
      <c r="AN598" s="5"/>
    </row>
    <row r="599" spans="1:40" ht="21.95" customHeight="1" x14ac:dyDescent="0.2">
      <c r="B599" s="705"/>
      <c r="C599" s="715"/>
      <c r="D599" s="715"/>
      <c r="E599" s="116"/>
      <c r="F599" s="116" t="s">
        <v>343</v>
      </c>
      <c r="G599" s="116" t="s">
        <v>350</v>
      </c>
      <c r="H599" s="576">
        <f t="shared" ref="H599:AG599" si="507">H539 * (1-$F$15)</f>
        <v>271759.09090909088</v>
      </c>
      <c r="I599" s="576">
        <f t="shared" si="507"/>
        <v>279465.27286363632</v>
      </c>
      <c r="J599" s="576">
        <f t="shared" si="507"/>
        <v>288246.26202272723</v>
      </c>
      <c r="K599" s="576">
        <f t="shared" si="507"/>
        <v>299466.28902272729</v>
      </c>
      <c r="L599" s="576">
        <f t="shared" si="507"/>
        <v>310689.93947727268</v>
      </c>
      <c r="M599" s="576">
        <f t="shared" si="507"/>
        <v>321911.77820454555</v>
      </c>
      <c r="N599" s="576">
        <f t="shared" si="507"/>
        <v>333131.8052045455</v>
      </c>
      <c r="O599" s="576">
        <f t="shared" si="507"/>
        <v>344354.0968636364</v>
      </c>
      <c r="P599" s="576">
        <f t="shared" si="507"/>
        <v>357037.99949999998</v>
      </c>
      <c r="Q599" s="576">
        <f t="shared" si="507"/>
        <v>369721.44920454547</v>
      </c>
      <c r="R599" s="576">
        <f t="shared" si="507"/>
        <v>382403.54011363635</v>
      </c>
      <c r="S599" s="576">
        <f t="shared" si="507"/>
        <v>395087.44275000005</v>
      </c>
      <c r="T599" s="576">
        <f t="shared" si="507"/>
        <v>407773.61004545446</v>
      </c>
      <c r="U599" s="576">
        <f t="shared" si="507"/>
        <v>418018.02190909086</v>
      </c>
      <c r="V599" s="576">
        <f t="shared" si="507"/>
        <v>425724.20386363642</v>
      </c>
      <c r="W599" s="576">
        <f t="shared" si="507"/>
        <v>433430.38581818191</v>
      </c>
      <c r="X599" s="576">
        <f t="shared" si="507"/>
        <v>441136.56777272729</v>
      </c>
      <c r="Y599" s="576">
        <f t="shared" si="507"/>
        <v>448840.48506818188</v>
      </c>
      <c r="Z599" s="576">
        <f t="shared" si="507"/>
        <v>456546.66702272714</v>
      </c>
      <c r="AA599" s="576">
        <f t="shared" si="507"/>
        <v>464250.58431818167</v>
      </c>
      <c r="AB599" s="576">
        <f t="shared" si="507"/>
        <v>471956.76627272711</v>
      </c>
      <c r="AC599" s="576">
        <f t="shared" si="507"/>
        <v>479662.9482272726</v>
      </c>
      <c r="AD599" s="576">
        <f t="shared" si="507"/>
        <v>487366.86552272708</v>
      </c>
      <c r="AE599" s="576">
        <f t="shared" si="507"/>
        <v>495073.04747727263</v>
      </c>
      <c r="AF599" s="576">
        <f t="shared" si="507"/>
        <v>502779.22943181801</v>
      </c>
      <c r="AG599" s="714">
        <f t="shared" si="507"/>
        <v>510483.1467272726</v>
      </c>
      <c r="AH599" s="5"/>
      <c r="AI599" s="5"/>
      <c r="AJ599" s="5"/>
      <c r="AK599" s="5"/>
      <c r="AL599" s="5"/>
      <c r="AM599" s="5"/>
      <c r="AN599" s="5"/>
    </row>
    <row r="600" spans="1:40" ht="21.95" customHeight="1" x14ac:dyDescent="0.2">
      <c r="B600" s="705"/>
      <c r="C600" s="715"/>
      <c r="D600" s="715"/>
      <c r="E600" s="116"/>
      <c r="F600" s="116" t="s">
        <v>350</v>
      </c>
      <c r="G600" s="116" t="s">
        <v>280</v>
      </c>
      <c r="H600" s="576">
        <f t="shared" ref="H600:AG600" si="508">H540 * (1-$F$15)</f>
        <v>2256297.2727272725</v>
      </c>
      <c r="I600" s="576">
        <f t="shared" si="508"/>
        <v>2320278.3423909093</v>
      </c>
      <c r="J600" s="576">
        <f t="shared" si="508"/>
        <v>2393183.0677681817</v>
      </c>
      <c r="K600" s="576">
        <f t="shared" si="508"/>
        <v>2486338.0611681817</v>
      </c>
      <c r="L600" s="576">
        <f t="shared" si="508"/>
        <v>2579523.1385318176</v>
      </c>
      <c r="M600" s="576">
        <f t="shared" si="508"/>
        <v>2672693.1739136372</v>
      </c>
      <c r="N600" s="576">
        <f t="shared" si="508"/>
        <v>2765848.1673136367</v>
      </c>
      <c r="O600" s="576">
        <f t="shared" si="508"/>
        <v>2859021.9631909099</v>
      </c>
      <c r="P600" s="576">
        <f t="shared" si="508"/>
        <v>2964330.8778999993</v>
      </c>
      <c r="Q600" s="576">
        <f t="shared" si="508"/>
        <v>3069636.0321136364</v>
      </c>
      <c r="R600" s="576">
        <f t="shared" si="508"/>
        <v>3174929.9048409089</v>
      </c>
      <c r="S600" s="576">
        <f t="shared" si="508"/>
        <v>3280238.8195500006</v>
      </c>
      <c r="T600" s="576">
        <f t="shared" si="508"/>
        <v>3385566.5367363631</v>
      </c>
      <c r="U600" s="576">
        <f t="shared" si="508"/>
        <v>3470621.4229272725</v>
      </c>
      <c r="V600" s="576">
        <f t="shared" si="508"/>
        <v>3534602.4925909094</v>
      </c>
      <c r="W600" s="576">
        <f t="shared" si="508"/>
        <v>3598583.5622545462</v>
      </c>
      <c r="X600" s="576">
        <f t="shared" si="508"/>
        <v>3662564.6319181821</v>
      </c>
      <c r="Y600" s="576">
        <f t="shared" si="508"/>
        <v>3726526.8991045458</v>
      </c>
      <c r="Z600" s="576">
        <f t="shared" si="508"/>
        <v>3790507.9687681803</v>
      </c>
      <c r="AA600" s="576">
        <f t="shared" si="508"/>
        <v>3854470.235954544</v>
      </c>
      <c r="AB600" s="576">
        <f t="shared" si="508"/>
        <v>3918451.3056181809</v>
      </c>
      <c r="AC600" s="576">
        <f t="shared" si="508"/>
        <v>3982432.3752818168</v>
      </c>
      <c r="AD600" s="576">
        <f t="shared" si="508"/>
        <v>4046394.6424681805</v>
      </c>
      <c r="AE600" s="576">
        <f t="shared" si="508"/>
        <v>4110375.7121318174</v>
      </c>
      <c r="AF600" s="576">
        <f t="shared" si="508"/>
        <v>4174356.7817954537</v>
      </c>
      <c r="AG600" s="714">
        <f t="shared" si="508"/>
        <v>4238319.0489818174</v>
      </c>
      <c r="AH600" s="5"/>
      <c r="AI600" s="5"/>
      <c r="AJ600" s="5"/>
      <c r="AK600" s="5"/>
      <c r="AL600" s="5"/>
      <c r="AM600" s="5"/>
      <c r="AN600" s="5"/>
    </row>
    <row r="601" spans="1:40" ht="21.95" customHeight="1" thickBot="1" x14ac:dyDescent="0.25">
      <c r="B601" s="705"/>
      <c r="C601" s="715"/>
      <c r="D601" s="715"/>
      <c r="E601" s="278"/>
      <c r="F601" s="278" t="s">
        <v>280</v>
      </c>
      <c r="G601" s="278" t="s">
        <v>333</v>
      </c>
      <c r="H601" s="576">
        <f t="shared" ref="H601:AG601" si="509">H541 * (1-$F$15)</f>
        <v>55745.454545454544</v>
      </c>
      <c r="I601" s="576">
        <f t="shared" si="509"/>
        <v>57326.209818181822</v>
      </c>
      <c r="J601" s="576">
        <f t="shared" si="509"/>
        <v>59127.438363636349</v>
      </c>
      <c r="K601" s="576">
        <f t="shared" si="509"/>
        <v>61428.982363636365</v>
      </c>
      <c r="L601" s="576">
        <f t="shared" si="509"/>
        <v>63731.269636363635</v>
      </c>
      <c r="M601" s="576">
        <f t="shared" si="509"/>
        <v>66033.185272727293</v>
      </c>
      <c r="N601" s="576">
        <f t="shared" si="509"/>
        <v>68334.729272727287</v>
      </c>
      <c r="O601" s="576">
        <f t="shared" si="509"/>
        <v>70636.737818181835</v>
      </c>
      <c r="P601" s="576">
        <f t="shared" si="509"/>
        <v>73238.563999999984</v>
      </c>
      <c r="Q601" s="576">
        <f t="shared" si="509"/>
        <v>75840.297272727272</v>
      </c>
      <c r="R601" s="576">
        <f t="shared" si="509"/>
        <v>78441.751818181816</v>
      </c>
      <c r="S601" s="576">
        <f t="shared" si="509"/>
        <v>81043.578000000023</v>
      </c>
      <c r="T601" s="576">
        <f t="shared" si="509"/>
        <v>83645.868727272726</v>
      </c>
      <c r="U601" s="576">
        <f t="shared" si="509"/>
        <v>85747.286545454539</v>
      </c>
      <c r="V601" s="576">
        <f t="shared" si="509"/>
        <v>87328.041818181824</v>
      </c>
      <c r="W601" s="576">
        <f t="shared" si="509"/>
        <v>88908.797090909109</v>
      </c>
      <c r="X601" s="576">
        <f t="shared" si="509"/>
        <v>90489.552363636394</v>
      </c>
      <c r="Y601" s="576">
        <f t="shared" si="509"/>
        <v>92069.843090909097</v>
      </c>
      <c r="Z601" s="576">
        <f t="shared" si="509"/>
        <v>93650.598363636353</v>
      </c>
      <c r="AA601" s="576">
        <f t="shared" si="509"/>
        <v>95230.889090909055</v>
      </c>
      <c r="AB601" s="576">
        <f t="shared" si="509"/>
        <v>96811.644363636326</v>
      </c>
      <c r="AC601" s="576">
        <f t="shared" si="509"/>
        <v>98392.399636363625</v>
      </c>
      <c r="AD601" s="576">
        <f t="shared" si="509"/>
        <v>99972.690363636328</v>
      </c>
      <c r="AE601" s="576">
        <f t="shared" si="509"/>
        <v>101553.44563636361</v>
      </c>
      <c r="AF601" s="576">
        <f t="shared" si="509"/>
        <v>103134.20090909088</v>
      </c>
      <c r="AG601" s="714">
        <f t="shared" si="509"/>
        <v>104714.4916363636</v>
      </c>
      <c r="AH601" s="5"/>
      <c r="AI601" s="5"/>
      <c r="AJ601" s="5"/>
      <c r="AK601" s="5"/>
      <c r="AL601" s="5"/>
      <c r="AM601" s="5"/>
      <c r="AN601" s="5"/>
    </row>
    <row r="602" spans="1:40" ht="21.95" customHeight="1" x14ac:dyDescent="0.2">
      <c r="B602" s="184"/>
      <c r="C602" s="124"/>
      <c r="D602" s="124"/>
      <c r="E602" s="125" t="s">
        <v>25</v>
      </c>
      <c r="F602" s="125"/>
      <c r="G602" s="125"/>
      <c r="H602" s="716">
        <f>SUM(H573:H601)</f>
        <v>69260166.996363625</v>
      </c>
      <c r="I602" s="716">
        <f t="shared" ref="I602" si="510">SUM(I573:I601)</f>
        <v>72192625.444260374</v>
      </c>
      <c r="J602" s="716">
        <f t="shared" ref="J602" si="511">SUM(J573:J601)</f>
        <v>76132890.910545662</v>
      </c>
      <c r="K602" s="716">
        <f t="shared" ref="K602" si="512">SUM(K573:K601)</f>
        <v>82275664.687005967</v>
      </c>
      <c r="L602" s="716">
        <f t="shared" ref="L602" si="513">SUM(L573:L601)</f>
        <v>88421281.711319432</v>
      </c>
      <c r="M602" s="716">
        <f t="shared" ref="M602" si="514">SUM(M573:M601)</f>
        <v>94566908.897378892</v>
      </c>
      <c r="N602" s="716">
        <f t="shared" ref="N602" si="515">SUM(N573:N601)</f>
        <v>100709682.67383924</v>
      </c>
      <c r="O602" s="716">
        <f t="shared" ref="O602" si="516">SUM(O573:O601)</f>
        <v>106858139.53865784</v>
      </c>
      <c r="P602" s="716">
        <f t="shared" ref="P602" si="517">SUM(P573:P601)</f>
        <v>112463878.21120454</v>
      </c>
      <c r="Q602" s="716">
        <f t="shared" ref="Q602" si="518">SUM(Q573:Q601)</f>
        <v>118053331.49538852</v>
      </c>
      <c r="R602" s="716">
        <f t="shared" ref="R602" si="519">SUM(R573:R601)</f>
        <v>123641562.62561089</v>
      </c>
      <c r="S602" s="716">
        <f t="shared" ref="S602" si="520">SUM(S573:S601)</f>
        <v>129229766.23095761</v>
      </c>
      <c r="T602" s="716">
        <f t="shared" ref="T602" si="521">SUM(T573:T601)</f>
        <v>134823653.17681777</v>
      </c>
      <c r="U602" s="716">
        <f t="shared" ref="U602" si="522">SUM(U573:U601)</f>
        <v>138231990.70155999</v>
      </c>
      <c r="V602" s="716">
        <f t="shared" ref="V602" si="523">SUM(V573:V601)</f>
        <v>140440345.76066473</v>
      </c>
      <c r="W602" s="716">
        <f t="shared" ref="W602" si="524">SUM(W573:W601)</f>
        <v>142705367.95628145</v>
      </c>
      <c r="X602" s="716">
        <f t="shared" ref="X602" si="525">SUM(X573:X601)</f>
        <v>144970390.15189821</v>
      </c>
      <c r="Y602" s="716">
        <f t="shared" ref="Y602" si="526">SUM(Y573:Y601)</f>
        <v>147236918.58347178</v>
      </c>
      <c r="Z602" s="716">
        <f t="shared" ref="Z602" si="527">SUM(Z573:Z601)</f>
        <v>149574176.02165106</v>
      </c>
      <c r="AA602" s="716">
        <f t="shared" ref="AA602" si="528">SUM(AA573:AA601)</f>
        <v>151922640.40899208</v>
      </c>
      <c r="AB602" s="716">
        <f t="shared" ref="AB602" si="529">SUM(AB573:AB601)</f>
        <v>154269662.71868494</v>
      </c>
      <c r="AC602" s="716">
        <f t="shared" ref="AC602" si="530">SUM(AC573:AC601)</f>
        <v>156616685.0283778</v>
      </c>
      <c r="AD602" s="716">
        <f t="shared" ref="AD602" si="531">SUM(AD573:AD601)</f>
        <v>158965232.71057704</v>
      </c>
      <c r="AE602" s="716">
        <f t="shared" ref="AE602" si="532">SUM(AE573:AE601)</f>
        <v>161312255.02026996</v>
      </c>
      <c r="AF602" s="716">
        <f t="shared" ref="AF602" si="533">SUM(AF573:AF601)</f>
        <v>163659277.32996276</v>
      </c>
      <c r="AG602" s="717">
        <f t="shared" ref="AG602" si="534">SUM(AG573:AG601)</f>
        <v>166007741.71730375</v>
      </c>
      <c r="AH602" s="47"/>
      <c r="AI602" s="47"/>
      <c r="AJ602" s="47"/>
      <c r="AK602" s="47"/>
      <c r="AL602" s="47"/>
      <c r="AM602" s="47"/>
      <c r="AN602" s="47"/>
    </row>
    <row r="603" spans="1:40" ht="21.95" customHeight="1" x14ac:dyDescent="0.2">
      <c r="B603" s="183"/>
      <c r="C603" s="116"/>
      <c r="D603" s="116"/>
      <c r="E603" s="240"/>
      <c r="F603" s="240"/>
      <c r="G603" s="240"/>
      <c r="H603" s="724"/>
      <c r="I603" s="724"/>
      <c r="J603" s="724"/>
      <c r="K603" s="724"/>
      <c r="L603" s="724"/>
      <c r="M603" s="724"/>
      <c r="N603" s="724"/>
      <c r="O603" s="724"/>
      <c r="P603" s="724"/>
      <c r="Q603" s="724"/>
      <c r="R603" s="724"/>
      <c r="S603" s="724"/>
      <c r="T603" s="724"/>
      <c r="U603" s="724"/>
      <c r="V603" s="724"/>
      <c r="W603" s="724"/>
      <c r="X603" s="724"/>
      <c r="Y603" s="724"/>
      <c r="Z603" s="724"/>
      <c r="AA603" s="724"/>
      <c r="AB603" s="724"/>
      <c r="AC603" s="724"/>
      <c r="AD603" s="724"/>
      <c r="AE603" s="724"/>
      <c r="AF603" s="724"/>
      <c r="AG603" s="744"/>
      <c r="AH603" s="18"/>
      <c r="AI603" s="18"/>
      <c r="AJ603" s="18"/>
      <c r="AK603" s="18"/>
      <c r="AL603" s="18"/>
      <c r="AM603" s="18"/>
      <c r="AN603" s="18"/>
    </row>
    <row r="604" spans="1:40" ht="21.95" customHeight="1" x14ac:dyDescent="0.2">
      <c r="B604" s="709"/>
      <c r="C604" s="46" t="s">
        <v>2</v>
      </c>
      <c r="D604" s="46" t="s">
        <v>473</v>
      </c>
      <c r="E604" s="46" t="s">
        <v>328</v>
      </c>
      <c r="F604" s="46" t="s">
        <v>329</v>
      </c>
      <c r="G604" s="46" t="s">
        <v>330</v>
      </c>
      <c r="H604" s="745">
        <v>2023</v>
      </c>
      <c r="I604" s="745">
        <v>2024</v>
      </c>
      <c r="J604" s="745">
        <v>2025</v>
      </c>
      <c r="K604" s="745">
        <v>2026</v>
      </c>
      <c r="L604" s="745">
        <v>2027</v>
      </c>
      <c r="M604" s="745">
        <v>2028</v>
      </c>
      <c r="N604" s="745">
        <v>2029</v>
      </c>
      <c r="O604" s="745">
        <v>2030</v>
      </c>
      <c r="P604" s="745">
        <v>2031</v>
      </c>
      <c r="Q604" s="745">
        <v>2032</v>
      </c>
      <c r="R604" s="745">
        <v>2033</v>
      </c>
      <c r="S604" s="745">
        <v>2034</v>
      </c>
      <c r="T604" s="745">
        <v>2035</v>
      </c>
      <c r="U604" s="745">
        <v>2036</v>
      </c>
      <c r="V604" s="745">
        <v>2037</v>
      </c>
      <c r="W604" s="745">
        <v>2038</v>
      </c>
      <c r="X604" s="745">
        <v>2039</v>
      </c>
      <c r="Y604" s="745">
        <v>2040</v>
      </c>
      <c r="Z604" s="745">
        <v>2041</v>
      </c>
      <c r="AA604" s="745">
        <v>2042</v>
      </c>
      <c r="AB604" s="745">
        <v>2043</v>
      </c>
      <c r="AC604" s="745">
        <v>2044</v>
      </c>
      <c r="AD604" s="745">
        <v>2045</v>
      </c>
      <c r="AE604" s="745">
        <v>2046</v>
      </c>
      <c r="AF604" s="745">
        <v>2047</v>
      </c>
      <c r="AG604" s="746">
        <v>2048</v>
      </c>
      <c r="AH604" s="18"/>
      <c r="AI604" s="18"/>
      <c r="AJ604" s="18"/>
      <c r="AK604" s="18"/>
      <c r="AL604" s="18"/>
      <c r="AM604" s="18"/>
      <c r="AN604" s="18"/>
    </row>
    <row r="605" spans="1:40" ht="21.95" customHeight="1" x14ac:dyDescent="0.2">
      <c r="B605" s="182" t="s">
        <v>482</v>
      </c>
      <c r="C605" s="116" t="s">
        <v>127</v>
      </c>
      <c r="D605" s="240" t="s">
        <v>474</v>
      </c>
      <c r="E605" s="1340" t="s">
        <v>331</v>
      </c>
      <c r="F605" s="220" t="s">
        <v>332</v>
      </c>
      <c r="G605" s="220" t="s">
        <v>282</v>
      </c>
      <c r="H605" s="577">
        <f>Speed!X146</f>
        <v>71.779575441467983</v>
      </c>
      <c r="I605" s="577">
        <f>Speed!Y146</f>
        <v>71.779337692497165</v>
      </c>
      <c r="J605" s="577">
        <f>Speed!Z146</f>
        <v>71.778799526082096</v>
      </c>
      <c r="K605" s="577">
        <f>Speed!AA146</f>
        <v>71.777287455159794</v>
      </c>
      <c r="L605" s="577">
        <f>Speed!AB146</f>
        <v>71.774234871140152</v>
      </c>
      <c r="M605" s="577">
        <f>Speed!AC146</f>
        <v>71.768378651101727</v>
      </c>
      <c r="N605" s="577">
        <f>Speed!AD146</f>
        <v>71.757632458033441</v>
      </c>
      <c r="O605" s="577">
        <f>Speed!AE146</f>
        <v>71.73863521477162</v>
      </c>
      <c r="P605" s="577">
        <f>Speed!AF146</f>
        <v>71.706685699239998</v>
      </c>
      <c r="Q605" s="577">
        <f>Speed!AG146</f>
        <v>71.65405292978302</v>
      </c>
      <c r="R605" s="577">
        <f>Speed!AH146</f>
        <v>71.56969327224563</v>
      </c>
      <c r="S605" s="577">
        <f>Speed!AI146</f>
        <v>71.437769825234398</v>
      </c>
      <c r="T605" s="577">
        <f>Speed!AJ146</f>
        <v>71.235987315589725</v>
      </c>
      <c r="U605" s="577">
        <f>Speed!AK146</f>
        <v>71.045375357220195</v>
      </c>
      <c r="V605" s="577">
        <f>Speed!AL146</f>
        <v>70.872985264960491</v>
      </c>
      <c r="W605" s="577">
        <f>Speed!AM146</f>
        <v>70.665673065412804</v>
      </c>
      <c r="X605" s="577">
        <f>Speed!AN146</f>
        <v>70.417609586805895</v>
      </c>
      <c r="Y605" s="577">
        <f>Speed!AO146</f>
        <v>70.122164682268675</v>
      </c>
      <c r="Z605" s="577">
        <f>Speed!AP146</f>
        <v>69.772318785628528</v>
      </c>
      <c r="AA605" s="577">
        <f>Speed!AQ146</f>
        <v>69.359918218350188</v>
      </c>
      <c r="AB605" s="577">
        <f>Speed!AR146</f>
        <v>68.876695017192887</v>
      </c>
      <c r="AC605" s="577">
        <f>Speed!AS146</f>
        <v>68.313413872388836</v>
      </c>
      <c r="AD605" s="577">
        <f>Speed!AT146</f>
        <v>67.660307442602388</v>
      </c>
      <c r="AE605" s="577">
        <f>Speed!AU146</f>
        <v>66.908064856115161</v>
      </c>
      <c r="AF605" s="577">
        <f>Speed!AV146</f>
        <v>66.046746067464582</v>
      </c>
      <c r="AG605" s="725">
        <f>Speed!AW146</f>
        <v>65.066609539338799</v>
      </c>
      <c r="AH605" s="18"/>
      <c r="AI605" s="18"/>
      <c r="AJ605" s="18"/>
      <c r="AK605" s="18"/>
      <c r="AL605" s="18"/>
      <c r="AM605" s="18"/>
      <c r="AN605" s="18"/>
    </row>
    <row r="606" spans="1:40" ht="21.95" customHeight="1" x14ac:dyDescent="0.2">
      <c r="B606" s="705" t="s">
        <v>484</v>
      </c>
      <c r="C606" s="116"/>
      <c r="D606" s="720"/>
      <c r="E606" s="1339"/>
      <c r="F606" s="116" t="s">
        <v>282</v>
      </c>
      <c r="G606" s="116" t="s">
        <v>280</v>
      </c>
      <c r="H606" s="577">
        <f>Speed!X147</f>
        <v>71.779922361429513</v>
      </c>
      <c r="I606" s="577">
        <f>Speed!Y147</f>
        <v>71.779870140159986</v>
      </c>
      <c r="J606" s="577">
        <f>Speed!Z147</f>
        <v>71.779731696770284</v>
      </c>
      <c r="K606" s="577">
        <f>Speed!AA147</f>
        <v>71.779198548195836</v>
      </c>
      <c r="L606" s="577">
        <f>Speed!AB147</f>
        <v>71.777850226458511</v>
      </c>
      <c r="M606" s="577">
        <f>Speed!AC147</f>
        <v>71.774723271101763</v>
      </c>
      <c r="N606" s="577">
        <f>Speed!AD147</f>
        <v>71.767976642938976</v>
      </c>
      <c r="O606" s="577">
        <f>Speed!AE147</f>
        <v>71.754254599892576</v>
      </c>
      <c r="P606" s="577">
        <f>Speed!AF147</f>
        <v>71.727457621211542</v>
      </c>
      <c r="Q606" s="577">
        <f>Speed!AG147</f>
        <v>71.677760793362395</v>
      </c>
      <c r="R606" s="577">
        <f>Speed!AH147</f>
        <v>71.58931578090673</v>
      </c>
      <c r="S606" s="577">
        <f>Speed!AI147</f>
        <v>71.437486417586626</v>
      </c>
      <c r="T606" s="577">
        <f>Speed!AJ147</f>
        <v>71.185078892135678</v>
      </c>
      <c r="U606" s="577">
        <f>Speed!AK147</f>
        <v>70.960523600555177</v>
      </c>
      <c r="V606" s="577">
        <f>Speed!AL147</f>
        <v>70.775074067968333</v>
      </c>
      <c r="W606" s="577">
        <f>Speed!AM147</f>
        <v>70.553438386344823</v>
      </c>
      <c r="X606" s="577">
        <f>Speed!AN147</f>
        <v>70.289827294499659</v>
      </c>
      <c r="Y606" s="577">
        <f>Speed!AO147</f>
        <v>69.977619125023239</v>
      </c>
      <c r="Z606" s="577">
        <f>Speed!AP147</f>
        <v>69.610086758821055</v>
      </c>
      <c r="AA606" s="577">
        <f>Speed!AQ147</f>
        <v>69.179115784248154</v>
      </c>
      <c r="AB606" s="577">
        <f>Speed!AR147</f>
        <v>68.676930328298084</v>
      </c>
      <c r="AC606" s="577">
        <f>Speed!AS147</f>
        <v>68.09458216520747</v>
      </c>
      <c r="AD606" s="577">
        <f>Speed!AT147</f>
        <v>67.422613233705889</v>
      </c>
      <c r="AE606" s="577">
        <f>Speed!AU147</f>
        <v>66.652582214756762</v>
      </c>
      <c r="AF606" s="577">
        <f>Speed!AV147</f>
        <v>65.775061244386137</v>
      </c>
      <c r="AG606" s="725">
        <f>Speed!AW147</f>
        <v>64.780806702343909</v>
      </c>
      <c r="AH606" s="18"/>
      <c r="AI606" s="18"/>
      <c r="AJ606" s="18"/>
      <c r="AK606" s="18"/>
      <c r="AL606" s="18"/>
      <c r="AM606" s="18"/>
      <c r="AN606" s="18"/>
    </row>
    <row r="607" spans="1:40" ht="21.95" customHeight="1" x14ac:dyDescent="0.2">
      <c r="B607" s="705"/>
      <c r="C607" s="116"/>
      <c r="D607" s="240"/>
      <c r="E607" s="1339"/>
      <c r="F607" s="116" t="s">
        <v>280</v>
      </c>
      <c r="G607" s="116" t="s">
        <v>333</v>
      </c>
      <c r="H607" s="577">
        <f>Speed!X148</f>
        <v>71.755526018311912</v>
      </c>
      <c r="I607" s="577">
        <f>Speed!Y148</f>
        <v>71.743161696449491</v>
      </c>
      <c r="J607" s="577">
        <f>Speed!Z148</f>
        <v>71.720234965730725</v>
      </c>
      <c r="K607" s="577">
        <f>Speed!AA148</f>
        <v>71.669319003923277</v>
      </c>
      <c r="L607" s="577">
        <f>Speed!AB148</f>
        <v>71.582305748696626</v>
      </c>
      <c r="M607" s="577">
        <f>Speed!AC148</f>
        <v>71.438281606652495</v>
      </c>
      <c r="N607" s="577">
        <f>Speed!AD148</f>
        <v>71.206766853758566</v>
      </c>
      <c r="O607" s="577">
        <f>Speed!AE148</f>
        <v>70.844271532614499</v>
      </c>
      <c r="P607" s="577">
        <f>Speed!AF148</f>
        <v>70.312644758821733</v>
      </c>
      <c r="Q607" s="577">
        <f>Speed!AG148</f>
        <v>69.532376463984818</v>
      </c>
      <c r="R607" s="577">
        <f>Speed!AH148</f>
        <v>68.417189343985243</v>
      </c>
      <c r="S607" s="577">
        <f>Speed!AI148</f>
        <v>66.866140034472735</v>
      </c>
      <c r="T607" s="577">
        <f>Speed!AJ148</f>
        <v>64.771182807847893</v>
      </c>
      <c r="U607" s="577">
        <f>Speed!AK148</f>
        <v>62.831705789659914</v>
      </c>
      <c r="V607" s="577">
        <f>Speed!AL148</f>
        <v>60.908043725249321</v>
      </c>
      <c r="W607" s="577">
        <f>Speed!AM148</f>
        <v>58.710606458403596</v>
      </c>
      <c r="X607" s="577">
        <f>Speed!AN148</f>
        <v>56.240931679326636</v>
      </c>
      <c r="Y607" s="577">
        <f>Speed!AO148</f>
        <v>53.511436807151526</v>
      </c>
      <c r="Z607" s="577">
        <f>Speed!AP148</f>
        <v>50.550864619289428</v>
      </c>
      <c r="AA607" s="577">
        <f>Speed!AQ148</f>
        <v>47.396144709908796</v>
      </c>
      <c r="AB607" s="577">
        <f>Speed!AR148</f>
        <v>44.100020621091744</v>
      </c>
      <c r="AC607" s="577">
        <f>Speed!AS148</f>
        <v>40.719320117146118</v>
      </c>
      <c r="AD607" s="577">
        <f>Speed!AT148</f>
        <v>37.314497010899572</v>
      </c>
      <c r="AE607" s="577">
        <f>Speed!AU148</f>
        <v>33.949394830545792</v>
      </c>
      <c r="AF607" s="577">
        <f>Speed!AV148</f>
        <v>30.678885671043421</v>
      </c>
      <c r="AG607" s="725">
        <f>Speed!AW148</f>
        <v>27.54978984047548</v>
      </c>
      <c r="AH607" s="18"/>
      <c r="AI607" s="18"/>
      <c r="AJ607" s="18"/>
      <c r="AK607" s="18"/>
      <c r="AL607" s="18"/>
      <c r="AM607" s="18"/>
      <c r="AN607" s="18"/>
    </row>
    <row r="608" spans="1:40" ht="21.95" customHeight="1" x14ac:dyDescent="0.2">
      <c r="B608" s="705"/>
      <c r="C608" s="116"/>
      <c r="D608" s="240"/>
      <c r="E608" s="1340" t="s">
        <v>280</v>
      </c>
      <c r="F608" s="220" t="s">
        <v>281</v>
      </c>
      <c r="G608" s="220" t="s">
        <v>335</v>
      </c>
      <c r="H608" s="577">
        <f>Speed!X149</f>
        <v>57.499999998954948</v>
      </c>
      <c r="I608" s="577">
        <f>Speed!Y149</f>
        <v>57.499999997260808</v>
      </c>
      <c r="J608" s="577">
        <f>Speed!Z149</f>
        <v>57.499999982263745</v>
      </c>
      <c r="K608" s="577">
        <f>Speed!AA149</f>
        <v>57.499999663377778</v>
      </c>
      <c r="L608" s="577">
        <f>Speed!AB149</f>
        <v>57.499996733888452</v>
      </c>
      <c r="M608" s="577">
        <f>Speed!AC149</f>
        <v>57.499979223086079</v>
      </c>
      <c r="N608" s="577">
        <f>Speed!AD149</f>
        <v>57.499901122967536</v>
      </c>
      <c r="O608" s="577">
        <f>Speed!AE149</f>
        <v>57.499618307183773</v>
      </c>
      <c r="P608" s="577">
        <f>Speed!AF149</f>
        <v>57.498771737638904</v>
      </c>
      <c r="Q608" s="577">
        <f>Speed!AG149</f>
        <v>57.496501269404725</v>
      </c>
      <c r="R608" s="577">
        <f>Speed!AH149</f>
        <v>57.490980298321674</v>
      </c>
      <c r="S608" s="577">
        <f>Speed!AI149</f>
        <v>57.478580301932901</v>
      </c>
      <c r="T608" s="577">
        <f>Speed!AJ149</f>
        <v>57.452486544796656</v>
      </c>
      <c r="U608" s="577">
        <f>Speed!AK149</f>
        <v>57.431455444181232</v>
      </c>
      <c r="V608" s="577">
        <f>Speed!AL149</f>
        <v>57.419109808126251</v>
      </c>
      <c r="W608" s="577">
        <f>Speed!AM149</f>
        <v>57.404801709008908</v>
      </c>
      <c r="X608" s="577">
        <f>Speed!AN149</f>
        <v>57.388260049648146</v>
      </c>
      <c r="Y608" s="577">
        <f>Speed!AO149</f>
        <v>57.369150669342481</v>
      </c>
      <c r="Z608" s="577">
        <f>Speed!AP149</f>
        <v>57.34719408676677</v>
      </c>
      <c r="AA608" s="577">
        <f>Speed!AQ149</f>
        <v>57.321946382980464</v>
      </c>
      <c r="AB608" s="577">
        <f>Speed!AR149</f>
        <v>57.293067715705277</v>
      </c>
      <c r="AC608" s="577">
        <f>Speed!AS149</f>
        <v>57.260060811746925</v>
      </c>
      <c r="AD608" s="577">
        <f>Speed!AT149</f>
        <v>57.222354642739909</v>
      </c>
      <c r="AE608" s="577">
        <f>Speed!AU149</f>
        <v>57.17950229063684</v>
      </c>
      <c r="AF608" s="577">
        <f>Speed!AV149</f>
        <v>57.130832240042295</v>
      </c>
      <c r="AG608" s="725">
        <f>Speed!AW149</f>
        <v>57.075577266051368</v>
      </c>
      <c r="AH608" s="18"/>
      <c r="AI608" s="18"/>
      <c r="AJ608" s="18"/>
      <c r="AK608" s="18"/>
      <c r="AL608" s="18"/>
      <c r="AM608" s="18"/>
      <c r="AN608" s="18"/>
    </row>
    <row r="609" spans="2:40" ht="21.95" customHeight="1" x14ac:dyDescent="0.2">
      <c r="B609" s="705"/>
      <c r="C609" s="116"/>
      <c r="D609" s="240"/>
      <c r="E609" s="1339"/>
      <c r="F609" s="116" t="s">
        <v>335</v>
      </c>
      <c r="G609" s="116" t="s">
        <v>323</v>
      </c>
      <c r="H609" s="577">
        <f>Speed!X150</f>
        <v>49.499913467275938</v>
      </c>
      <c r="I609" s="577">
        <f>Speed!Y150</f>
        <v>49.499785666981339</v>
      </c>
      <c r="J609" s="577">
        <f>Speed!Z150</f>
        <v>49.499316242694249</v>
      </c>
      <c r="K609" s="577">
        <f>Speed!AA150</f>
        <v>49.496467690238326</v>
      </c>
      <c r="L609" s="577">
        <f>Speed!AB150</f>
        <v>49.485527124057349</v>
      </c>
      <c r="M609" s="577">
        <f>Speed!AC150</f>
        <v>49.450219280691485</v>
      </c>
      <c r="N609" s="577">
        <f>Speed!AD150</f>
        <v>49.350820453556558</v>
      </c>
      <c r="O609" s="577">
        <f>Speed!AE150</f>
        <v>49.0999461599189</v>
      </c>
      <c r="P609" s="577">
        <f>Speed!AF150</f>
        <v>48.406115574951635</v>
      </c>
      <c r="Q609" s="577">
        <f>Speed!AG150</f>
        <v>46.82850737224696</v>
      </c>
      <c r="R609" s="577">
        <f>Speed!AH150</f>
        <v>43.686064426472953</v>
      </c>
      <c r="S609" s="577">
        <f>Speed!AI150</f>
        <v>38.354496069582517</v>
      </c>
      <c r="T609" s="577">
        <f>Speed!AJ150</f>
        <v>30.937809135873806</v>
      </c>
      <c r="U609" s="577">
        <f>Speed!AK150</f>
        <v>25.491719316982543</v>
      </c>
      <c r="V609" s="577">
        <f>Speed!AL150</f>
        <v>22.398696011530582</v>
      </c>
      <c r="W609" s="577">
        <f>Speed!AM150</f>
        <v>19.450308689114188</v>
      </c>
      <c r="X609" s="577">
        <f>Speed!AN150</f>
        <v>16.716064792628121</v>
      </c>
      <c r="Y609" s="577">
        <f>Speed!AO150</f>
        <v>14.238414913159847</v>
      </c>
      <c r="Z609" s="577">
        <f>Speed!AP150</f>
        <v>12.044389357345507</v>
      </c>
      <c r="AA609" s="577">
        <f>Speed!AQ150</f>
        <v>10.130457351435144</v>
      </c>
      <c r="AB609" s="577">
        <f>Speed!AR150</f>
        <v>10</v>
      </c>
      <c r="AC609" s="577">
        <f>Speed!AS150</f>
        <v>10</v>
      </c>
      <c r="AD609" s="577">
        <f>Speed!AT150</f>
        <v>10</v>
      </c>
      <c r="AE609" s="577">
        <f>Speed!AU150</f>
        <v>10</v>
      </c>
      <c r="AF609" s="577">
        <f>Speed!AV150</f>
        <v>10</v>
      </c>
      <c r="AG609" s="725">
        <f>Speed!AW150</f>
        <v>10</v>
      </c>
      <c r="AH609" s="18"/>
      <c r="AI609" s="18"/>
      <c r="AJ609" s="18"/>
      <c r="AK609" s="18"/>
      <c r="AL609" s="18"/>
      <c r="AM609" s="18"/>
      <c r="AN609" s="18"/>
    </row>
    <row r="610" spans="2:40" ht="21.95" customHeight="1" x14ac:dyDescent="0.2">
      <c r="B610" s="705"/>
      <c r="C610" s="116"/>
      <c r="D610" s="240"/>
      <c r="E610" s="1353"/>
      <c r="F610" s="254" t="s">
        <v>323</v>
      </c>
      <c r="G610" s="254" t="s">
        <v>338</v>
      </c>
      <c r="H610" s="577">
        <f>Speed!X151</f>
        <v>46.22928606898175</v>
      </c>
      <c r="I610" s="577">
        <f>Speed!Y151</f>
        <v>45.989400680781124</v>
      </c>
      <c r="J610" s="577">
        <f>Speed!Z151</f>
        <v>45.535554594085283</v>
      </c>
      <c r="K610" s="577">
        <f>Speed!AA151</f>
        <v>44.608096213610324</v>
      </c>
      <c r="L610" s="577">
        <f>Speed!AB151</f>
        <v>43.229455244226074</v>
      </c>
      <c r="M610" s="577">
        <f>Speed!AC151</f>
        <v>41.274908515000931</v>
      </c>
      <c r="N610" s="577">
        <f>Speed!AD151</f>
        <v>38.649428106960258</v>
      </c>
      <c r="O610" s="577">
        <f>Speed!AE151</f>
        <v>35.328018908242882</v>
      </c>
      <c r="P610" s="577">
        <f>Speed!AF151</f>
        <v>31.366125947155084</v>
      </c>
      <c r="Q610" s="577">
        <f>Speed!AG151</f>
        <v>27.012819009421765</v>
      </c>
      <c r="R610" s="577">
        <f>Speed!AH151</f>
        <v>22.575887347812159</v>
      </c>
      <c r="S610" s="577">
        <f>Speed!AI151</f>
        <v>18.358962122918228</v>
      </c>
      <c r="T610" s="577">
        <f>Speed!AJ151</f>
        <v>14.590242621737195</v>
      </c>
      <c r="U610" s="577">
        <f>Speed!AK151</f>
        <v>12.245750450281898</v>
      </c>
      <c r="V610" s="577">
        <f>Speed!AL151</f>
        <v>10.802023161382403</v>
      </c>
      <c r="W610" s="577">
        <f>Speed!AM151</f>
        <v>10</v>
      </c>
      <c r="X610" s="577">
        <f>Speed!AN151</f>
        <v>10</v>
      </c>
      <c r="Y610" s="577">
        <f>Speed!AO151</f>
        <v>10</v>
      </c>
      <c r="Z610" s="577">
        <f>Speed!AP151</f>
        <v>10</v>
      </c>
      <c r="AA610" s="577">
        <f>Speed!AQ151</f>
        <v>10</v>
      </c>
      <c r="AB610" s="577">
        <f>Speed!AR151</f>
        <v>10</v>
      </c>
      <c r="AC610" s="577">
        <f>Speed!AS151</f>
        <v>10</v>
      </c>
      <c r="AD610" s="577">
        <f>Speed!AT151</f>
        <v>10</v>
      </c>
      <c r="AE610" s="577">
        <f>Speed!AU151</f>
        <v>10</v>
      </c>
      <c r="AF610" s="577">
        <f>Speed!AV151</f>
        <v>10</v>
      </c>
      <c r="AG610" s="725">
        <f>Speed!AW151</f>
        <v>10</v>
      </c>
      <c r="AH610" s="18"/>
      <c r="AI610" s="18"/>
      <c r="AJ610" s="18"/>
      <c r="AK610" s="18"/>
      <c r="AL610" s="18"/>
      <c r="AM610" s="18"/>
      <c r="AN610" s="18"/>
    </row>
    <row r="611" spans="2:40" ht="21.95" customHeight="1" x14ac:dyDescent="0.2">
      <c r="B611" s="705"/>
      <c r="C611" s="116"/>
      <c r="D611" s="240"/>
      <c r="E611" s="116" t="s">
        <v>339</v>
      </c>
      <c r="F611" s="116" t="s">
        <v>335</v>
      </c>
      <c r="G611" s="116" t="s">
        <v>323</v>
      </c>
      <c r="H611" s="577">
        <f>Speed!X152</f>
        <v>43.2</v>
      </c>
      <c r="I611" s="577">
        <f>Speed!Y152</f>
        <v>43.2</v>
      </c>
      <c r="J611" s="577">
        <f>Speed!Z152</f>
        <v>43.199999999254835</v>
      </c>
      <c r="K611" s="577">
        <f>Speed!AA152</f>
        <v>43.199995916637803</v>
      </c>
      <c r="L611" s="577">
        <f>Speed!AB152</f>
        <v>43.199610019600925</v>
      </c>
      <c r="M611" s="577">
        <f>Speed!AC152</f>
        <v>43.19118072841755</v>
      </c>
      <c r="N611" s="577">
        <f>Speed!AD152</f>
        <v>43.105543071541632</v>
      </c>
      <c r="O611" s="577">
        <f>Speed!AE152</f>
        <v>42.564430700421724</v>
      </c>
      <c r="P611" s="577">
        <f>Speed!AF152</f>
        <v>41.945698891632006</v>
      </c>
      <c r="Q611" s="577">
        <f>Speed!AG152</f>
        <v>40.859933383409171</v>
      </c>
      <c r="R611" s="577">
        <f>Speed!AH152</f>
        <v>39.080711860249295</v>
      </c>
      <c r="S611" s="577">
        <f>Speed!AI152</f>
        <v>36.386569581847269</v>
      </c>
      <c r="T611" s="577">
        <f>Speed!AJ152</f>
        <v>32.657337473550307</v>
      </c>
      <c r="U611" s="577">
        <f>Speed!AK152</f>
        <v>32.009960963488716</v>
      </c>
      <c r="V611" s="577">
        <f>Speed!AL152</f>
        <v>31.342682856462009</v>
      </c>
      <c r="W611" s="577">
        <f>Speed!AM152</f>
        <v>30.656723819302918</v>
      </c>
      <c r="X611" s="577">
        <f>Speed!AN152</f>
        <v>29.953457761994514</v>
      </c>
      <c r="Y611" s="577">
        <f>Speed!AO152</f>
        <v>29.22921886496578</v>
      </c>
      <c r="Z611" s="577">
        <f>Speed!AP152</f>
        <v>28.495927562150335</v>
      </c>
      <c r="AA611" s="577">
        <f>Speed!AQ152</f>
        <v>27.74789102810854</v>
      </c>
      <c r="AB611" s="577">
        <f>Speed!AR152</f>
        <v>26.991708598550034</v>
      </c>
      <c r="AC611" s="577">
        <f>Speed!AS152</f>
        <v>26.226980157041623</v>
      </c>
      <c r="AD611" s="577">
        <f>Speed!AT152</f>
        <v>25.450190208634254</v>
      </c>
      <c r="AE611" s="577">
        <f>Speed!AU152</f>
        <v>24.674402204963897</v>
      </c>
      <c r="AF611" s="577">
        <f>Speed!AV152</f>
        <v>23.896196278598335</v>
      </c>
      <c r="AG611" s="725">
        <f>Speed!AW152</f>
        <v>23.115162784521527</v>
      </c>
      <c r="AH611" s="18"/>
      <c r="AI611" s="18"/>
      <c r="AJ611" s="18"/>
      <c r="AK611" s="18"/>
      <c r="AL611" s="18"/>
      <c r="AM611" s="18"/>
      <c r="AN611" s="18"/>
    </row>
    <row r="612" spans="2:40" ht="21.95" customHeight="1" x14ac:dyDescent="0.2">
      <c r="B612" s="705"/>
      <c r="C612" s="116"/>
      <c r="D612" s="240"/>
      <c r="E612" s="1340" t="s">
        <v>323</v>
      </c>
      <c r="F612" s="220" t="s">
        <v>282</v>
      </c>
      <c r="G612" s="220" t="s">
        <v>339</v>
      </c>
      <c r="H612" s="577">
        <f>Speed!X153</f>
        <v>41.1</v>
      </c>
      <c r="I612" s="577">
        <f>Speed!Y153</f>
        <v>41.1</v>
      </c>
      <c r="J612" s="577">
        <f>Speed!Z153</f>
        <v>41.1</v>
      </c>
      <c r="K612" s="577">
        <f>Speed!AA153</f>
        <v>41.099999999994417</v>
      </c>
      <c r="L612" s="577">
        <f>Speed!AB153</f>
        <v>41.099999999537111</v>
      </c>
      <c r="M612" s="577">
        <f>Speed!AC153</f>
        <v>41.099999990190398</v>
      </c>
      <c r="N612" s="577">
        <f>Speed!AD153</f>
        <v>41.099999898693142</v>
      </c>
      <c r="O612" s="577">
        <f>Speed!AE153</f>
        <v>41.099999327050369</v>
      </c>
      <c r="P612" s="577">
        <f>Speed!AF153</f>
        <v>41.099997653760163</v>
      </c>
      <c r="Q612" s="577">
        <f>Speed!AG153</f>
        <v>41.099992878726958</v>
      </c>
      <c r="R612" s="577">
        <f>Speed!AH153</f>
        <v>41.099980660356351</v>
      </c>
      <c r="S612" s="577">
        <f>Speed!AI153</f>
        <v>41.099952037621648</v>
      </c>
      <c r="T612" s="577">
        <f>Speed!AJ153</f>
        <v>41.099889604819737</v>
      </c>
      <c r="U612" s="577">
        <f>Speed!AK153</f>
        <v>41.099837147249247</v>
      </c>
      <c r="V612" s="577">
        <f>Speed!AL153</f>
        <v>41.099819433478061</v>
      </c>
      <c r="W612" s="577">
        <f>Speed!AM153</f>
        <v>41.099800004112645</v>
      </c>
      <c r="X612" s="577">
        <f>Speed!AN153</f>
        <v>41.099778713017592</v>
      </c>
      <c r="Y612" s="577">
        <f>Speed!AO153</f>
        <v>41.099755333487764</v>
      </c>
      <c r="Z612" s="577">
        <f>Speed!AP153</f>
        <v>41.099729830227254</v>
      </c>
      <c r="AA612" s="577">
        <f>Speed!AQ153</f>
        <v>41.099701875520481</v>
      </c>
      <c r="AB612" s="577">
        <f>Speed!AR153</f>
        <v>41.099671435026814</v>
      </c>
      <c r="AC612" s="577">
        <f>Speed!AS153</f>
        <v>41.099638225218428</v>
      </c>
      <c r="AD612" s="577">
        <f>Speed!AT153</f>
        <v>41.099601916217836</v>
      </c>
      <c r="AE612" s="577">
        <f>Speed!AU153</f>
        <v>41.099562477650608</v>
      </c>
      <c r="AF612" s="577">
        <f>Speed!AV153</f>
        <v>41.099519556825001</v>
      </c>
      <c r="AG612" s="725">
        <f>Speed!AW153</f>
        <v>41.099472743791047</v>
      </c>
      <c r="AH612" s="18"/>
      <c r="AI612" s="18"/>
      <c r="AJ612" s="18"/>
      <c r="AK612" s="18"/>
      <c r="AL612" s="18"/>
      <c r="AM612" s="18"/>
      <c r="AN612" s="18"/>
    </row>
    <row r="613" spans="2:40" ht="21.95" customHeight="1" x14ac:dyDescent="0.2">
      <c r="B613" s="705"/>
      <c r="C613" s="116"/>
      <c r="D613" s="240"/>
      <c r="E613" s="1339"/>
      <c r="F613" s="116" t="s">
        <v>339</v>
      </c>
      <c r="G613" s="116" t="s">
        <v>288</v>
      </c>
      <c r="H613" s="577">
        <f>Speed!X154</f>
        <v>41.1</v>
      </c>
      <c r="I613" s="577">
        <f>Speed!Y154</f>
        <v>41.1</v>
      </c>
      <c r="J613" s="577">
        <f>Speed!Z154</f>
        <v>41.1</v>
      </c>
      <c r="K613" s="577">
        <f>Speed!AA154</f>
        <v>41.099999999994417</v>
      </c>
      <c r="L613" s="577">
        <f>Speed!AB154</f>
        <v>41.099999999537111</v>
      </c>
      <c r="M613" s="577">
        <f>Speed!AC154</f>
        <v>41.099999990190398</v>
      </c>
      <c r="N613" s="577">
        <f>Speed!AD154</f>
        <v>41.099999898693142</v>
      </c>
      <c r="O613" s="577">
        <f>Speed!AE154</f>
        <v>41.099999327050369</v>
      </c>
      <c r="P613" s="577">
        <f>Speed!AF154</f>
        <v>41.099997653760163</v>
      </c>
      <c r="Q613" s="577">
        <f>Speed!AG154</f>
        <v>41.099992878726958</v>
      </c>
      <c r="R613" s="577">
        <f>Speed!AH154</f>
        <v>41.099980660356351</v>
      </c>
      <c r="S613" s="577">
        <f>Speed!AI154</f>
        <v>41.099952037621648</v>
      </c>
      <c r="T613" s="577">
        <f>Speed!AJ154</f>
        <v>41.099889604819737</v>
      </c>
      <c r="U613" s="577">
        <f>Speed!AK154</f>
        <v>41.099837147249247</v>
      </c>
      <c r="V613" s="577">
        <f>Speed!AL154</f>
        <v>41.099819433478061</v>
      </c>
      <c r="W613" s="577">
        <f>Speed!AM154</f>
        <v>41.099800004112645</v>
      </c>
      <c r="X613" s="577">
        <f>Speed!AN154</f>
        <v>41.099778713017592</v>
      </c>
      <c r="Y613" s="577">
        <f>Speed!AO154</f>
        <v>41.099755333487764</v>
      </c>
      <c r="Z613" s="577">
        <f>Speed!AP154</f>
        <v>41.099729830227254</v>
      </c>
      <c r="AA613" s="577">
        <f>Speed!AQ154</f>
        <v>41.099701875520481</v>
      </c>
      <c r="AB613" s="577">
        <f>Speed!AR154</f>
        <v>41.099671435026814</v>
      </c>
      <c r="AC613" s="577">
        <f>Speed!AS154</f>
        <v>41.099638225218428</v>
      </c>
      <c r="AD613" s="577">
        <f>Speed!AT154</f>
        <v>41.099601916217836</v>
      </c>
      <c r="AE613" s="577">
        <f>Speed!AU154</f>
        <v>41.099562477650608</v>
      </c>
      <c r="AF613" s="577">
        <f>Speed!AV154</f>
        <v>41.099519556825001</v>
      </c>
      <c r="AG613" s="725">
        <f>Speed!AW154</f>
        <v>41.099472743791047</v>
      </c>
      <c r="AH613" s="18"/>
      <c r="AI613" s="18"/>
      <c r="AJ613" s="18"/>
      <c r="AK613" s="18"/>
      <c r="AL613" s="18"/>
      <c r="AM613" s="18"/>
      <c r="AN613" s="18"/>
    </row>
    <row r="614" spans="2:40" ht="21.95" customHeight="1" x14ac:dyDescent="0.2">
      <c r="B614" s="705"/>
      <c r="C614" s="116"/>
      <c r="D614" s="240"/>
      <c r="E614" s="1339"/>
      <c r="F614" s="116" t="s">
        <v>288</v>
      </c>
      <c r="G614" s="116" t="s">
        <v>340</v>
      </c>
      <c r="H614" s="577">
        <f>Speed!X155</f>
        <v>41.1</v>
      </c>
      <c r="I614" s="577">
        <f>Speed!Y155</f>
        <v>41.1</v>
      </c>
      <c r="J614" s="577">
        <f>Speed!Z155</f>
        <v>41.1</v>
      </c>
      <c r="K614" s="577">
        <f>Speed!AA155</f>
        <v>41.099999999994417</v>
      </c>
      <c r="L614" s="577">
        <f>Speed!AB155</f>
        <v>41.099999999537111</v>
      </c>
      <c r="M614" s="577">
        <f>Speed!AC155</f>
        <v>41.099999990190398</v>
      </c>
      <c r="N614" s="577">
        <f>Speed!AD155</f>
        <v>41.099999898693142</v>
      </c>
      <c r="O614" s="577">
        <f>Speed!AE155</f>
        <v>41.099999327050369</v>
      </c>
      <c r="P614" s="577">
        <f>Speed!AF155</f>
        <v>41.099997653760163</v>
      </c>
      <c r="Q614" s="577">
        <f>Speed!AG155</f>
        <v>41.099992878726958</v>
      </c>
      <c r="R614" s="577">
        <f>Speed!AH155</f>
        <v>41.099980660356351</v>
      </c>
      <c r="S614" s="577">
        <f>Speed!AI155</f>
        <v>41.099952037621648</v>
      </c>
      <c r="T614" s="577">
        <f>Speed!AJ155</f>
        <v>41.099889604819737</v>
      </c>
      <c r="U614" s="577">
        <f>Speed!AK155</f>
        <v>41.099837147249247</v>
      </c>
      <c r="V614" s="577">
        <f>Speed!AL155</f>
        <v>41.099819433478061</v>
      </c>
      <c r="W614" s="577">
        <f>Speed!AM155</f>
        <v>41.099800004112645</v>
      </c>
      <c r="X614" s="577">
        <f>Speed!AN155</f>
        <v>41.099778713017592</v>
      </c>
      <c r="Y614" s="577">
        <f>Speed!AO155</f>
        <v>41.099755333487764</v>
      </c>
      <c r="Z614" s="577">
        <f>Speed!AP155</f>
        <v>41.099729830227254</v>
      </c>
      <c r="AA614" s="577">
        <f>Speed!AQ155</f>
        <v>41.099701875520481</v>
      </c>
      <c r="AB614" s="577">
        <f>Speed!AR155</f>
        <v>41.099671435026814</v>
      </c>
      <c r="AC614" s="577">
        <f>Speed!AS155</f>
        <v>41.099638225218428</v>
      </c>
      <c r="AD614" s="577">
        <f>Speed!AT155</f>
        <v>41.099601916217836</v>
      </c>
      <c r="AE614" s="577">
        <f>Speed!AU155</f>
        <v>41.099562477650608</v>
      </c>
      <c r="AF614" s="577">
        <f>Speed!AV155</f>
        <v>41.099519556825001</v>
      </c>
      <c r="AG614" s="725">
        <f>Speed!AW155</f>
        <v>41.099472743791047</v>
      </c>
      <c r="AH614" s="18"/>
      <c r="AI614" s="18"/>
      <c r="AJ614" s="18"/>
      <c r="AK614" s="18"/>
      <c r="AL614" s="18"/>
      <c r="AM614" s="18"/>
      <c r="AN614" s="18"/>
    </row>
    <row r="615" spans="2:40" ht="21.95" customHeight="1" x14ac:dyDescent="0.2">
      <c r="B615" s="705"/>
      <c r="C615" s="116"/>
      <c r="D615" s="240"/>
      <c r="E615" s="1353"/>
      <c r="F615" s="254" t="s">
        <v>340</v>
      </c>
      <c r="G615" s="254" t="s">
        <v>280</v>
      </c>
      <c r="H615" s="577">
        <f>Speed!X156</f>
        <v>41.1</v>
      </c>
      <c r="I615" s="577">
        <f>Speed!Y156</f>
        <v>41.1</v>
      </c>
      <c r="J615" s="577">
        <f>Speed!Z156</f>
        <v>41.1</v>
      </c>
      <c r="K615" s="577">
        <f>Speed!AA156</f>
        <v>41.1</v>
      </c>
      <c r="L615" s="577">
        <f>Speed!AB156</f>
        <v>41.099999999999916</v>
      </c>
      <c r="M615" s="577">
        <f>Speed!AC156</f>
        <v>41.099999999999042</v>
      </c>
      <c r="N615" s="577">
        <f>Speed!AD156</f>
        <v>41.099999999993258</v>
      </c>
      <c r="O615" s="577">
        <f>Speed!AE156</f>
        <v>41.099999999965384</v>
      </c>
      <c r="P615" s="577">
        <f>Speed!AF156</f>
        <v>41.099999999512207</v>
      </c>
      <c r="Q615" s="577">
        <f>Speed!AG156</f>
        <v>41.099999996060035</v>
      </c>
      <c r="R615" s="577">
        <f>Speed!AH156</f>
        <v>41.099999977831814</v>
      </c>
      <c r="S615" s="577">
        <f>Speed!AI156</f>
        <v>41.099999903291348</v>
      </c>
      <c r="T615" s="577">
        <f>Speed!AJ156</f>
        <v>41.099999651008645</v>
      </c>
      <c r="U615" s="577">
        <f>Speed!AK156</f>
        <v>41.099999185294806</v>
      </c>
      <c r="V615" s="577">
        <f>Speed!AL156</f>
        <v>41.09999900029122</v>
      </c>
      <c r="W615" s="577">
        <f>Speed!AM156</f>
        <v>41.099998778300879</v>
      </c>
      <c r="X615" s="577">
        <f>Speed!AN156</f>
        <v>41.099998512890906</v>
      </c>
      <c r="Y615" s="577">
        <f>Speed!AO156</f>
        <v>41.099998197702412</v>
      </c>
      <c r="Z615" s="577">
        <f>Speed!AP156</f>
        <v>41.099997822392055</v>
      </c>
      <c r="AA615" s="577">
        <f>Speed!AQ156</f>
        <v>41.099997379597283</v>
      </c>
      <c r="AB615" s="577">
        <f>Speed!AR156</f>
        <v>41.099996855651483</v>
      </c>
      <c r="AC615" s="577">
        <f>Speed!AS156</f>
        <v>41.099996239235494</v>
      </c>
      <c r="AD615" s="577">
        <f>Speed!AT156</f>
        <v>41.099995518460808</v>
      </c>
      <c r="AE615" s="577">
        <f>Speed!AU156</f>
        <v>41.099994672920644</v>
      </c>
      <c r="AF615" s="577">
        <f>Speed!AV156</f>
        <v>41.099993686418372</v>
      </c>
      <c r="AG615" s="725">
        <f>Speed!AW156</f>
        <v>41.0999925421455</v>
      </c>
      <c r="AH615" s="18"/>
      <c r="AI615" s="18"/>
      <c r="AJ615" s="18"/>
      <c r="AK615" s="18"/>
      <c r="AL615" s="18"/>
      <c r="AM615" s="18"/>
      <c r="AN615" s="18"/>
    </row>
    <row r="616" spans="2:40" ht="21.95" customHeight="1" x14ac:dyDescent="0.2">
      <c r="B616" s="705"/>
      <c r="C616" s="116"/>
      <c r="D616" s="240"/>
      <c r="E616" s="1340" t="s">
        <v>334</v>
      </c>
      <c r="F616" s="116" t="s">
        <v>336</v>
      </c>
      <c r="G616" s="116" t="s">
        <v>337</v>
      </c>
      <c r="H616" s="577">
        <f>Speed!X157</f>
        <v>50.899207421863686</v>
      </c>
      <c r="I616" s="577">
        <f>Speed!Y157</f>
        <v>50.898958393866977</v>
      </c>
      <c r="J616" s="577">
        <f>Speed!Z157</f>
        <v>50.898405524824092</v>
      </c>
      <c r="K616" s="577">
        <f>Speed!AA157</f>
        <v>50.897156640296394</v>
      </c>
      <c r="L616" s="577">
        <f>Speed!AB157</f>
        <v>50.895086386526913</v>
      </c>
      <c r="M616" s="577">
        <f>Speed!AC157</f>
        <v>50.891746826862978</v>
      </c>
      <c r="N616" s="577">
        <f>Speed!AD157</f>
        <v>50.886490664104329</v>
      </c>
      <c r="O616" s="577">
        <f>Speed!AE157</f>
        <v>50.878385551815718</v>
      </c>
      <c r="P616" s="577">
        <f>Speed!AF157</f>
        <v>50.867740734420245</v>
      </c>
      <c r="Q616" s="577">
        <f>Speed!AG157</f>
        <v>50.852589544851853</v>
      </c>
      <c r="R616" s="577">
        <f>Speed!AH157</f>
        <v>50.831327651402091</v>
      </c>
      <c r="S616" s="577">
        <f>Speed!AI157</f>
        <v>50.801857443852072</v>
      </c>
      <c r="T616" s="577">
        <f>Speed!AJ157</f>
        <v>50.761444726714103</v>
      </c>
      <c r="U616" s="577">
        <f>Speed!AK157</f>
        <v>50.727045373166348</v>
      </c>
      <c r="V616" s="577">
        <f>Speed!AL157</f>
        <v>50.697093019619736</v>
      </c>
      <c r="W616" s="577">
        <f>Speed!AM157</f>
        <v>50.662576332658645</v>
      </c>
      <c r="X616" s="577">
        <f>Speed!AN157</f>
        <v>50.622896406863703</v>
      </c>
      <c r="Y616" s="577">
        <f>Speed!AO157</f>
        <v>50.577358358034388</v>
      </c>
      <c r="Z616" s="577">
        <f>Speed!AP157</f>
        <v>50.525287380872633</v>
      </c>
      <c r="AA616" s="577">
        <f>Speed!AQ157</f>
        <v>50.465807572598884</v>
      </c>
      <c r="AB616" s="577">
        <f>Speed!AR157</f>
        <v>50.398107973981887</v>
      </c>
      <c r="AC616" s="577">
        <f>Speed!AS157</f>
        <v>50.32118133829379</v>
      </c>
      <c r="AD616" s="577">
        <f>Speed!AT157</f>
        <v>50.233907729476044</v>
      </c>
      <c r="AE616" s="577">
        <f>Speed!AU157</f>
        <v>50.135245944337747</v>
      </c>
      <c r="AF616" s="577">
        <f>Speed!AV157</f>
        <v>50.023893774738667</v>
      </c>
      <c r="AG616" s="725">
        <f>Speed!AW157</f>
        <v>49.898417091031263</v>
      </c>
      <c r="AH616" s="18"/>
      <c r="AI616" s="18"/>
      <c r="AJ616" s="18"/>
      <c r="AK616" s="18"/>
      <c r="AL616" s="18"/>
      <c r="AM616" s="18"/>
      <c r="AN616" s="18"/>
    </row>
    <row r="617" spans="2:40" ht="21.95" customHeight="1" x14ac:dyDescent="0.2">
      <c r="B617" s="705"/>
      <c r="C617" s="116"/>
      <c r="D617" s="240"/>
      <c r="E617" s="1339"/>
      <c r="F617" s="116" t="s">
        <v>337</v>
      </c>
      <c r="G617" s="116" t="s">
        <v>386</v>
      </c>
      <c r="H617" s="577">
        <f>Speed!X158</f>
        <v>48.371121965139949</v>
      </c>
      <c r="I617" s="577">
        <f>Speed!Y158</f>
        <v>48.370686123121111</v>
      </c>
      <c r="J617" s="577">
        <f>Speed!Z158</f>
        <v>48.37024437429438</v>
      </c>
      <c r="K617" s="577">
        <f>Speed!AA158</f>
        <v>48.369796647742888</v>
      </c>
      <c r="L617" s="577">
        <f>Speed!AB158</f>
        <v>48.369342871809742</v>
      </c>
      <c r="M617" s="577">
        <f>Speed!AC158</f>
        <v>48.368882974091527</v>
      </c>
      <c r="N617" s="577">
        <f>Speed!AD158</f>
        <v>48.368416881431735</v>
      </c>
      <c r="O617" s="577">
        <f>Speed!AE158</f>
        <v>48.367944519914204</v>
      </c>
      <c r="P617" s="577">
        <f>Speed!AF158</f>
        <v>48.36746581485643</v>
      </c>
      <c r="Q617" s="577">
        <f>Speed!AG158</f>
        <v>48.36746581485643</v>
      </c>
      <c r="R617" s="577">
        <f>Speed!AH158</f>
        <v>48.36746581485643</v>
      </c>
      <c r="S617" s="577">
        <f>Speed!AI158</f>
        <v>48.36746581485643</v>
      </c>
      <c r="T617" s="577">
        <f>Speed!AJ158</f>
        <v>48.36746581485643</v>
      </c>
      <c r="U617" s="577">
        <f>Speed!AK158</f>
        <v>48.36746581485643</v>
      </c>
      <c r="V617" s="577">
        <f>Speed!AL158</f>
        <v>48.365266907861773</v>
      </c>
      <c r="W617" s="577">
        <f>Speed!AM158</f>
        <v>48.359501506562133</v>
      </c>
      <c r="X617" s="577">
        <f>Speed!AN158</f>
        <v>48.352889648843124</v>
      </c>
      <c r="Y617" s="577">
        <f>Speed!AO158</f>
        <v>48.345321069969856</v>
      </c>
      <c r="Z617" s="577">
        <f>Speed!AP158</f>
        <v>48.336679053655146</v>
      </c>
      <c r="AA617" s="577">
        <f>Speed!AQ158</f>
        <v>48.326826367190272</v>
      </c>
      <c r="AB617" s="577">
        <f>Speed!AR158</f>
        <v>48.315620410925931</v>
      </c>
      <c r="AC617" s="577">
        <f>Speed!AS158</f>
        <v>48.30289662691014</v>
      </c>
      <c r="AD617" s="577">
        <f>Speed!AT158</f>
        <v>48.28847252530224</v>
      </c>
      <c r="AE617" s="577">
        <f>Speed!AU158</f>
        <v>48.272158037503047</v>
      </c>
      <c r="AF617" s="577">
        <f>Speed!AV158</f>
        <v>48.253733981057451</v>
      </c>
      <c r="AG617" s="725">
        <f>Speed!AW158</f>
        <v>48.232958454621865</v>
      </c>
      <c r="AH617" s="18"/>
      <c r="AI617" s="18"/>
      <c r="AJ617" s="18"/>
      <c r="AK617" s="18"/>
      <c r="AL617" s="18"/>
      <c r="AM617" s="18"/>
      <c r="AN617" s="18"/>
    </row>
    <row r="618" spans="2:40" ht="21.95" customHeight="1" x14ac:dyDescent="0.2">
      <c r="B618" s="705"/>
      <c r="C618" s="116"/>
      <c r="D618" s="240"/>
      <c r="E618" s="1339"/>
      <c r="F618" s="116" t="s">
        <v>342</v>
      </c>
      <c r="G618" s="116" t="s">
        <v>341</v>
      </c>
      <c r="H618" s="577">
        <f>Speed!X159</f>
        <v>43.366197288242411</v>
      </c>
      <c r="I618" s="577">
        <f>Speed!Y159</f>
        <v>43.365687214907204</v>
      </c>
      <c r="J618" s="577">
        <f>Speed!Z159</f>
        <v>43.365170231598562</v>
      </c>
      <c r="K618" s="577">
        <f>Speed!AA159</f>
        <v>43.364646255438068</v>
      </c>
      <c r="L618" s="577">
        <f>Speed!AB159</f>
        <v>43.364115202684729</v>
      </c>
      <c r="M618" s="577">
        <f>Speed!AC159</f>
        <v>43.363576988727409</v>
      </c>
      <c r="N618" s="577">
        <f>Speed!AD159</f>
        <v>43.363031528077286</v>
      </c>
      <c r="O618" s="577">
        <f>Speed!AE159</f>
        <v>43.362478734360188</v>
      </c>
      <c r="P618" s="577">
        <f>Speed!AF159</f>
        <v>43.361918520308997</v>
      </c>
      <c r="Q618" s="577">
        <f>Speed!AG159</f>
        <v>43.361918520308997</v>
      </c>
      <c r="R618" s="577">
        <f>Speed!AH159</f>
        <v>43.361918520308997</v>
      </c>
      <c r="S618" s="577">
        <f>Speed!AI159</f>
        <v>43.361918520308997</v>
      </c>
      <c r="T618" s="577">
        <f>Speed!AJ159</f>
        <v>43.361918520308997</v>
      </c>
      <c r="U618" s="577">
        <f>Speed!AK159</f>
        <v>43.361918520308997</v>
      </c>
      <c r="V618" s="577">
        <f>Speed!AL159</f>
        <v>43.359345249456737</v>
      </c>
      <c r="W618" s="577">
        <f>Speed!AM159</f>
        <v>43.352598627965122</v>
      </c>
      <c r="X618" s="577">
        <f>Speed!AN159</f>
        <v>43.344862095208583</v>
      </c>
      <c r="Y618" s="577">
        <f>Speed!AO159</f>
        <v>43.336006896036302</v>
      </c>
      <c r="Z618" s="577">
        <f>Speed!AP159</f>
        <v>43.325896815054421</v>
      </c>
      <c r="AA618" s="577">
        <f>Speed!AQ159</f>
        <v>43.31437174653594</v>
      </c>
      <c r="AB618" s="577">
        <f>Speed!AR159</f>
        <v>43.301265448114165</v>
      </c>
      <c r="AC618" s="577">
        <f>Speed!AS159</f>
        <v>43.286386171136421</v>
      </c>
      <c r="AD618" s="577">
        <f>Speed!AT159</f>
        <v>43.269521421091547</v>
      </c>
      <c r="AE618" s="577">
        <f>Speed!AU159</f>
        <v>43.250450119155701</v>
      </c>
      <c r="AF618" s="577">
        <f>Speed!AV159</f>
        <v>43.228917494759294</v>
      </c>
      <c r="AG618" s="725">
        <f>Speed!AW159</f>
        <v>43.204642656431908</v>
      </c>
      <c r="AH618" s="18"/>
      <c r="AI618" s="18"/>
      <c r="AJ618" s="18"/>
      <c r="AK618" s="18"/>
      <c r="AL618" s="18"/>
      <c r="AM618" s="18"/>
      <c r="AN618" s="18"/>
    </row>
    <row r="619" spans="2:40" ht="21.95" customHeight="1" x14ac:dyDescent="0.2">
      <c r="B619" s="705"/>
      <c r="C619" s="116"/>
      <c r="D619" s="240"/>
      <c r="E619" s="1339"/>
      <c r="F619" s="116" t="s">
        <v>341</v>
      </c>
      <c r="G619" s="116" t="s">
        <v>344</v>
      </c>
      <c r="H619" s="577">
        <f>Speed!X160</f>
        <v>46.452599766464537</v>
      </c>
      <c r="I619" s="577">
        <f>Speed!Y160</f>
        <v>46.450380925833961</v>
      </c>
      <c r="J619" s="577">
        <f>Speed!Z160</f>
        <v>46.448132189556212</v>
      </c>
      <c r="K619" s="577">
        <f>Speed!AA160</f>
        <v>46.445853203735467</v>
      </c>
      <c r="L619" s="577">
        <f>Speed!AB160</f>
        <v>46.4435436109191</v>
      </c>
      <c r="M619" s="577">
        <f>Speed!AC160</f>
        <v>46.441203050069838</v>
      </c>
      <c r="N619" s="577">
        <f>Speed!AD160</f>
        <v>46.438831156537894</v>
      </c>
      <c r="O619" s="577">
        <f>Speed!AE160</f>
        <v>46.436427562032954</v>
      </c>
      <c r="P619" s="577">
        <f>Speed!AF160</f>
        <v>46.433991894596041</v>
      </c>
      <c r="Q619" s="577">
        <f>Speed!AG160</f>
        <v>46.433991894596041</v>
      </c>
      <c r="R619" s="577">
        <f>Speed!AH160</f>
        <v>46.433991894596041</v>
      </c>
      <c r="S619" s="577">
        <f>Speed!AI160</f>
        <v>46.433991894596041</v>
      </c>
      <c r="T619" s="577">
        <f>Speed!AJ160</f>
        <v>46.433991894596041</v>
      </c>
      <c r="U619" s="577">
        <f>Speed!AK160</f>
        <v>46.433991894596041</v>
      </c>
      <c r="V619" s="577">
        <f>Speed!AL160</f>
        <v>46.433991894596041</v>
      </c>
      <c r="W619" s="577">
        <f>Speed!AM160</f>
        <v>46.433991894596041</v>
      </c>
      <c r="X619" s="577">
        <f>Speed!AN160</f>
        <v>46.433991894596041</v>
      </c>
      <c r="Y619" s="577">
        <f>Speed!AO160</f>
        <v>46.433991894596041</v>
      </c>
      <c r="Z619" s="577">
        <f>Speed!AP160</f>
        <v>46.411168987479904</v>
      </c>
      <c r="AA619" s="577">
        <f>Speed!AQ160</f>
        <v>46.381880286681906</v>
      </c>
      <c r="AB619" s="577">
        <f>Speed!AR160</f>
        <v>46.34859918287593</v>
      </c>
      <c r="AC619" s="577">
        <f>Speed!AS160</f>
        <v>46.310849389101357</v>
      </c>
      <c r="AD619" s="577">
        <f>Speed!AT160</f>
        <v>46.268105280647056</v>
      </c>
      <c r="AE619" s="577">
        <f>Speed!AU160</f>
        <v>46.219823538674682</v>
      </c>
      <c r="AF619" s="577">
        <f>Speed!AV160</f>
        <v>46.165380546018625</v>
      </c>
      <c r="AG619" s="725">
        <f>Speed!AW160</f>
        <v>46.104092922144119</v>
      </c>
      <c r="AH619" s="18"/>
      <c r="AI619" s="18"/>
      <c r="AJ619" s="18"/>
      <c r="AK619" s="18"/>
      <c r="AL619" s="18"/>
      <c r="AM619" s="18"/>
      <c r="AN619" s="18"/>
    </row>
    <row r="620" spans="2:40" ht="21.95" customHeight="1" x14ac:dyDescent="0.2">
      <c r="B620" s="705"/>
      <c r="C620" s="116"/>
      <c r="D620" s="240"/>
      <c r="E620" s="1339"/>
      <c r="F620" s="116" t="s">
        <v>344</v>
      </c>
      <c r="G620" s="116" t="s">
        <v>345</v>
      </c>
      <c r="H620" s="577">
        <f>Speed!X161</f>
        <v>56.534061146242856</v>
      </c>
      <c r="I620" s="577">
        <f>Speed!Y161</f>
        <v>56.533066537938616</v>
      </c>
      <c r="J620" s="577">
        <f>Speed!Z161</f>
        <v>56.532058467492348</v>
      </c>
      <c r="K620" s="577">
        <f>Speed!AA161</f>
        <v>56.531036773779185</v>
      </c>
      <c r="L620" s="577">
        <f>Speed!AB161</f>
        <v>56.53000129400651</v>
      </c>
      <c r="M620" s="577">
        <f>Speed!AC161</f>
        <v>56.528951863699689</v>
      </c>
      <c r="N620" s="577">
        <f>Speed!AD161</f>
        <v>56.527888316687637</v>
      </c>
      <c r="O620" s="577">
        <f>Speed!AE161</f>
        <v>56.526810485088355</v>
      </c>
      <c r="P620" s="577">
        <f>Speed!AF161</f>
        <v>56.52571819929436</v>
      </c>
      <c r="Q620" s="577">
        <f>Speed!AG161</f>
        <v>56.52571819929436</v>
      </c>
      <c r="R620" s="577">
        <f>Speed!AH161</f>
        <v>56.52571819929436</v>
      </c>
      <c r="S620" s="577">
        <f>Speed!AI161</f>
        <v>56.52571819929436</v>
      </c>
      <c r="T620" s="577">
        <f>Speed!AJ161</f>
        <v>56.52571819929436</v>
      </c>
      <c r="U620" s="577">
        <f>Speed!AK161</f>
        <v>56.52571819929436</v>
      </c>
      <c r="V620" s="577">
        <f>Speed!AL161</f>
        <v>56.52571819929436</v>
      </c>
      <c r="W620" s="577">
        <f>Speed!AM161</f>
        <v>56.52571819929436</v>
      </c>
      <c r="X620" s="577">
        <f>Speed!AN161</f>
        <v>56.52571819929436</v>
      </c>
      <c r="Y620" s="577">
        <f>Speed!AO161</f>
        <v>56.52571819929436</v>
      </c>
      <c r="Z620" s="577">
        <f>Speed!AP161</f>
        <v>56.515479648511167</v>
      </c>
      <c r="AA620" s="577">
        <f>Speed!AQ161</f>
        <v>56.502331167569416</v>
      </c>
      <c r="AB620" s="577">
        <f>Speed!AR161</f>
        <v>56.487377659616641</v>
      </c>
      <c r="AC620" s="577">
        <f>Speed!AS161</f>
        <v>56.470399912950398</v>
      </c>
      <c r="AD620" s="577">
        <f>Speed!AT161</f>
        <v>56.451154907256999</v>
      </c>
      <c r="AE620" s="577">
        <f>Speed!AU161</f>
        <v>56.429389657023314</v>
      </c>
      <c r="AF620" s="577">
        <f>Speed!AV161</f>
        <v>56.404812516790344</v>
      </c>
      <c r="AG620" s="725">
        <f>Speed!AW161</f>
        <v>56.3771017632397</v>
      </c>
      <c r="AH620" s="18"/>
      <c r="AI620" s="18"/>
      <c r="AJ620" s="18"/>
      <c r="AK620" s="18"/>
      <c r="AL620" s="18"/>
      <c r="AM620" s="18"/>
      <c r="AN620" s="18"/>
    </row>
    <row r="621" spans="2:40" ht="21.95" customHeight="1" x14ac:dyDescent="0.2">
      <c r="B621" s="705"/>
      <c r="C621" s="116"/>
      <c r="D621" s="240"/>
      <c r="E621" s="1339"/>
      <c r="F621" s="116" t="s">
        <v>345</v>
      </c>
      <c r="G621" s="116" t="s">
        <v>323</v>
      </c>
      <c r="H621" s="577">
        <f>Speed!X162</f>
        <v>69.031979009162399</v>
      </c>
      <c r="I621" s="577">
        <f>Speed!Y162</f>
        <v>69.014670174543994</v>
      </c>
      <c r="J621" s="577">
        <f>Speed!Z162</f>
        <v>68.98219688011622</v>
      </c>
      <c r="K621" s="577">
        <f>Speed!AA162</f>
        <v>68.92889277417791</v>
      </c>
      <c r="L621" s="577">
        <f>Speed!AB162</f>
        <v>68.854849988229958</v>
      </c>
      <c r="M621" s="577">
        <f>Speed!AC162</f>
        <v>68.753277965477466</v>
      </c>
      <c r="N621" s="577">
        <f>Speed!AD162</f>
        <v>68.615644673730856</v>
      </c>
      <c r="O621" s="577">
        <f>Speed!AE162</f>
        <v>68.431088135663373</v>
      </c>
      <c r="P621" s="577">
        <f>Speed!AF162</f>
        <v>68.224805749018742</v>
      </c>
      <c r="Q621" s="577">
        <f>Speed!AG162</f>
        <v>67.964052307669832</v>
      </c>
      <c r="R621" s="577">
        <f>Speed!AH162</f>
        <v>67.637068766043967</v>
      </c>
      <c r="S621" s="577">
        <f>Speed!AI162</f>
        <v>67.230390438158878</v>
      </c>
      <c r="T621" s="577">
        <f>Speed!AJ162</f>
        <v>66.728453767099225</v>
      </c>
      <c r="U621" s="577">
        <f>Speed!AK162</f>
        <v>66.243185456457041</v>
      </c>
      <c r="V621" s="577">
        <f>Speed!AL162</f>
        <v>65.783740734859308</v>
      </c>
      <c r="W621" s="577">
        <f>Speed!AM162</f>
        <v>65.263397696689594</v>
      </c>
      <c r="X621" s="577">
        <f>Speed!AN162</f>
        <v>64.676553030248073</v>
      </c>
      <c r="Y621" s="577">
        <f>Speed!AO162</f>
        <v>64.017424833747171</v>
      </c>
      <c r="Z621" s="577">
        <f>Speed!AP162</f>
        <v>63.280808392532784</v>
      </c>
      <c r="AA621" s="577">
        <f>Speed!AQ162</f>
        <v>62.461101474809546</v>
      </c>
      <c r="AB621" s="577">
        <f>Speed!AR162</f>
        <v>61.553854879804902</v>
      </c>
      <c r="AC621" s="577">
        <f>Speed!AS162</f>
        <v>60.554670084845313</v>
      </c>
      <c r="AD621" s="577">
        <f>Speed!AT162</f>
        <v>59.459879231480571</v>
      </c>
      <c r="AE621" s="577">
        <f>Speed!AU162</f>
        <v>58.267616678798341</v>
      </c>
      <c r="AF621" s="577">
        <f>Speed!AV162</f>
        <v>56.976492699931377</v>
      </c>
      <c r="AG621" s="725">
        <f>Speed!AW162</f>
        <v>55.586446610236621</v>
      </c>
      <c r="AH621" s="18"/>
      <c r="AI621" s="18"/>
      <c r="AJ621" s="18"/>
      <c r="AK621" s="18"/>
      <c r="AL621" s="18"/>
      <c r="AM621" s="18"/>
      <c r="AN621" s="18"/>
    </row>
    <row r="622" spans="2:40" ht="21.95" customHeight="1" x14ac:dyDescent="0.2">
      <c r="B622" s="705"/>
      <c r="C622" s="116"/>
      <c r="D622" s="240"/>
      <c r="E622" s="1339"/>
      <c r="F622" s="116" t="s">
        <v>323</v>
      </c>
      <c r="G622" s="116" t="s">
        <v>347</v>
      </c>
      <c r="H622" s="577">
        <f>Speed!X163</f>
        <v>69.031979009162399</v>
      </c>
      <c r="I622" s="577">
        <f>Speed!Y163</f>
        <v>69.015383074682219</v>
      </c>
      <c r="J622" s="577">
        <f>Speed!Z163</f>
        <v>68.984097102897081</v>
      </c>
      <c r="K622" s="577">
        <f>Speed!AA163</f>
        <v>68.929619463044517</v>
      </c>
      <c r="L622" s="577">
        <f>Speed!AB163</f>
        <v>68.853156809839035</v>
      </c>
      <c r="M622" s="577">
        <f>Speed!AC163</f>
        <v>68.747274391199539</v>
      </c>
      <c r="N622" s="577">
        <f>Speed!AD163</f>
        <v>68.602512850923659</v>
      </c>
      <c r="O622" s="577">
        <f>Speed!AE163</f>
        <v>68.406808097768675</v>
      </c>
      <c r="P622" s="577">
        <f>Speed!AF163</f>
        <v>68.178346976186262</v>
      </c>
      <c r="Q622" s="577">
        <f>Speed!AG163</f>
        <v>67.885575956749335</v>
      </c>
      <c r="R622" s="577">
        <f>Speed!AH163</f>
        <v>67.513900051545292</v>
      </c>
      <c r="S622" s="577">
        <f>Speed!AI163</f>
        <v>67.046390999525158</v>
      </c>
      <c r="T622" s="577">
        <f>Speed!AJ163</f>
        <v>66.463634258710584</v>
      </c>
      <c r="U622" s="577">
        <f>Speed!AK163</f>
        <v>65.930180554442344</v>
      </c>
      <c r="V622" s="577">
        <f>Speed!AL163</f>
        <v>65.448900253606325</v>
      </c>
      <c r="W622" s="577">
        <f>Speed!AM163</f>
        <v>64.907787970885323</v>
      </c>
      <c r="X622" s="577">
        <f>Speed!AN163</f>
        <v>64.301824440603596</v>
      </c>
      <c r="Y622" s="577">
        <f>Speed!AO163</f>
        <v>63.625924926356085</v>
      </c>
      <c r="Z622" s="577">
        <f>Speed!AP163</f>
        <v>62.875501447389126</v>
      </c>
      <c r="AA622" s="577">
        <f>Speed!AQ163</f>
        <v>62.04580023370108</v>
      </c>
      <c r="AB622" s="577">
        <f>Speed!AR163</f>
        <v>61.13302434537588</v>
      </c>
      <c r="AC622" s="577">
        <f>Speed!AS163</f>
        <v>60.133588924286251</v>
      </c>
      <c r="AD622" s="577">
        <f>Speed!AT163</f>
        <v>59.044631308147167</v>
      </c>
      <c r="AE622" s="577">
        <f>Speed!AU163</f>
        <v>57.864774536307792</v>
      </c>
      <c r="AF622" s="577">
        <f>Speed!AV163</f>
        <v>56.593238320545105</v>
      </c>
      <c r="AG622" s="725">
        <f>Speed!AW163</f>
        <v>55.230451199483852</v>
      </c>
      <c r="AH622" s="18"/>
      <c r="AI622" s="18"/>
      <c r="AJ622" s="18"/>
      <c r="AK622" s="18"/>
      <c r="AL622" s="18"/>
      <c r="AM622" s="18"/>
      <c r="AN622" s="18"/>
    </row>
    <row r="623" spans="2:40" ht="21.95" customHeight="1" x14ac:dyDescent="0.2">
      <c r="B623" s="705"/>
      <c r="C623" s="116"/>
      <c r="D623" s="240"/>
      <c r="E623" s="1339"/>
      <c r="F623" s="116" t="s">
        <v>347</v>
      </c>
      <c r="G623" s="116" t="s">
        <v>348</v>
      </c>
      <c r="H623" s="577">
        <f>Speed!X164</f>
        <v>59.009308891513932</v>
      </c>
      <c r="I623" s="577">
        <f>Speed!Y164</f>
        <v>58.987197000201441</v>
      </c>
      <c r="J623" s="577">
        <f>Speed!Z164</f>
        <v>58.945528726565954</v>
      </c>
      <c r="K623" s="577">
        <f>Speed!AA164</f>
        <v>58.873022927878154</v>
      </c>
      <c r="L623" s="577">
        <f>Speed!AB164</f>
        <v>58.771364391321178</v>
      </c>
      <c r="M623" s="577">
        <f>Speed!AC164</f>
        <v>58.630799061298291</v>
      </c>
      <c r="N623" s="577">
        <f>Speed!AD164</f>
        <v>58.439007959745048</v>
      </c>
      <c r="O623" s="577">
        <f>Speed!AE164</f>
        <v>58.180434505558281</v>
      </c>
      <c r="P623" s="577">
        <f>Speed!AF164</f>
        <v>57.87961139600133</v>
      </c>
      <c r="Q623" s="577">
        <f>Speed!AG164</f>
        <v>57.495720900908978</v>
      </c>
      <c r="R623" s="577">
        <f>Speed!AH164</f>
        <v>57.010957657304381</v>
      </c>
      <c r="S623" s="577">
        <f>Speed!AI164</f>
        <v>56.405279885378057</v>
      </c>
      <c r="T623" s="577">
        <f>Speed!AJ164</f>
        <v>55.656582650478214</v>
      </c>
      <c r="U623" s="577">
        <f>Speed!AK164</f>
        <v>54.977269214414385</v>
      </c>
      <c r="V623" s="577">
        <f>Speed!AL164</f>
        <v>54.369287674319118</v>
      </c>
      <c r="W623" s="577">
        <f>Speed!AM164</f>
        <v>53.691198070003203</v>
      </c>
      <c r="X623" s="577">
        <f>Speed!AN164</f>
        <v>52.938632552274143</v>
      </c>
      <c r="Y623" s="577">
        <f>Speed!AO164</f>
        <v>52.107557427510997</v>
      </c>
      <c r="Z623" s="577">
        <f>Speed!AP164</f>
        <v>51.194997893058947</v>
      </c>
      <c r="AA623" s="577">
        <f>Speed!AQ164</f>
        <v>50.198248262259597</v>
      </c>
      <c r="AB623" s="577">
        <f>Speed!AR164</f>
        <v>49.116237309107696</v>
      </c>
      <c r="AC623" s="577">
        <f>Speed!AS164</f>
        <v>47.948608119204295</v>
      </c>
      <c r="AD623" s="577">
        <f>Speed!AT164</f>
        <v>46.69629203999375</v>
      </c>
      <c r="AE623" s="577">
        <f>Speed!AU164</f>
        <v>45.362297158409071</v>
      </c>
      <c r="AF623" s="577">
        <f>Speed!AV164</f>
        <v>43.950567406607256</v>
      </c>
      <c r="AG623" s="725">
        <f>Speed!AW164</f>
        <v>42.46655173688626</v>
      </c>
      <c r="AH623" s="18"/>
      <c r="AI623" s="18"/>
      <c r="AJ623" s="18"/>
      <c r="AK623" s="18"/>
      <c r="AL623" s="18"/>
      <c r="AM623" s="18"/>
      <c r="AN623" s="18"/>
    </row>
    <row r="624" spans="2:40" ht="21.95" customHeight="1" x14ac:dyDescent="0.2">
      <c r="B624" s="705"/>
      <c r="C624" s="116"/>
      <c r="D624" s="240"/>
      <c r="E624" s="1353"/>
      <c r="F624" s="254" t="s">
        <v>348</v>
      </c>
      <c r="G624" s="254" t="s">
        <v>349</v>
      </c>
      <c r="H624" s="577">
        <f>Speed!X165</f>
        <v>58.7567414573777</v>
      </c>
      <c r="I624" s="577">
        <f>Speed!Y165</f>
        <v>58.666023625896827</v>
      </c>
      <c r="J624" s="577">
        <f>Speed!Z165</f>
        <v>58.504648398108976</v>
      </c>
      <c r="K624" s="577">
        <f>Speed!AA165</f>
        <v>58.208864672459995</v>
      </c>
      <c r="L624" s="577">
        <f>Speed!AB165</f>
        <v>57.790017706889039</v>
      </c>
      <c r="M624" s="577">
        <f>Speed!AC165</f>
        <v>57.208087548465706</v>
      </c>
      <c r="N624" s="577">
        <f>Speed!AD165</f>
        <v>56.415593968511743</v>
      </c>
      <c r="O624" s="577">
        <f>Speed!AE165</f>
        <v>55.357445162192178</v>
      </c>
      <c r="P624" s="577">
        <f>Speed!AF165</f>
        <v>54.047293024344299</v>
      </c>
      <c r="Q624" s="577">
        <f>Speed!AG165</f>
        <v>52.395204928997302</v>
      </c>
      <c r="R624" s="577">
        <f>Speed!AH165</f>
        <v>50.362455920665731</v>
      </c>
      <c r="S624" s="577">
        <f>Speed!AI165</f>
        <v>47.927490023640047</v>
      </c>
      <c r="T624" s="577">
        <f>Speed!AJ165</f>
        <v>45.092857249595966</v>
      </c>
      <c r="U624" s="577">
        <f>Speed!AK165</f>
        <v>42.757121850661385</v>
      </c>
      <c r="V624" s="577">
        <f>Speed!AL165</f>
        <v>40.849797446708081</v>
      </c>
      <c r="W624" s="577">
        <f>Speed!AM165</f>
        <v>38.857338507664856</v>
      </c>
      <c r="X624" s="577">
        <f>Speed!AN165</f>
        <v>36.798565199850039</v>
      </c>
      <c r="Y624" s="577">
        <f>Speed!AO165</f>
        <v>34.693989446626723</v>
      </c>
      <c r="Z624" s="577">
        <f>Speed!AP165</f>
        <v>32.566622166207132</v>
      </c>
      <c r="AA624" s="577">
        <f>Speed!AQ165</f>
        <v>30.4381387123425</v>
      </c>
      <c r="AB624" s="577">
        <f>Speed!AR165</f>
        <v>28.331266141812385</v>
      </c>
      <c r="AC624" s="577">
        <f>Speed!AS165</f>
        <v>26.266011663519865</v>
      </c>
      <c r="AD624" s="577">
        <f>Speed!AT165</f>
        <v>24.260248277764166</v>
      </c>
      <c r="AE624" s="577">
        <f>Speed!AU165</f>
        <v>22.330345809069733</v>
      </c>
      <c r="AF624" s="577">
        <f>Speed!AV165</f>
        <v>20.488499824138039</v>
      </c>
      <c r="AG624" s="725">
        <f>Speed!AW165</f>
        <v>18.743886289291154</v>
      </c>
      <c r="AH624" s="18"/>
      <c r="AI624" s="18"/>
      <c r="AJ624" s="18"/>
      <c r="AK624" s="18"/>
      <c r="AL624" s="18"/>
      <c r="AM624" s="18"/>
      <c r="AN624" s="18"/>
    </row>
    <row r="625" spans="2:40" ht="21.95" customHeight="1" x14ac:dyDescent="0.2">
      <c r="B625" s="705"/>
      <c r="C625" s="116"/>
      <c r="D625" s="240"/>
      <c r="E625" s="116" t="s">
        <v>288</v>
      </c>
      <c r="F625" s="116" t="s">
        <v>323</v>
      </c>
      <c r="G625" s="116" t="s">
        <v>348</v>
      </c>
      <c r="H625" s="577">
        <f>Speed!X166</f>
        <v>26.799999999999567</v>
      </c>
      <c r="I625" s="577">
        <f>Speed!Y166</f>
        <v>26.799999999999219</v>
      </c>
      <c r="J625" s="577">
        <f>Speed!Z166</f>
        <v>26.799999999998366</v>
      </c>
      <c r="K625" s="577">
        <f>Speed!AA166</f>
        <v>26.799999999995961</v>
      </c>
      <c r="L625" s="577">
        <f>Speed!AB166</f>
        <v>26.799999999990757</v>
      </c>
      <c r="M625" s="577">
        <f>Speed!AC166</f>
        <v>26.799999999980091</v>
      </c>
      <c r="N625" s="577">
        <f>Speed!AD166</f>
        <v>26.799999999959471</v>
      </c>
      <c r="O625" s="577">
        <f>Speed!AE166</f>
        <v>26.799999999921233</v>
      </c>
      <c r="P625" s="577">
        <f>Speed!AF166</f>
        <v>26.799999999860773</v>
      </c>
      <c r="Q625" s="577">
        <f>Speed!AG166</f>
        <v>26.799999999761447</v>
      </c>
      <c r="R625" s="577">
        <f>Speed!AH166</f>
        <v>26.799999999602182</v>
      </c>
      <c r="S625" s="577">
        <f>Speed!AI166</f>
        <v>26.799999999352895</v>
      </c>
      <c r="T625" s="577">
        <f>Speed!AJ166</f>
        <v>26.799999998969248</v>
      </c>
      <c r="U625" s="577">
        <f>Speed!AK166</f>
        <v>26.799999998573885</v>
      </c>
      <c r="V625" s="577">
        <f>Speed!AL166</f>
        <v>26.799999998132481</v>
      </c>
      <c r="W625" s="577">
        <f>Speed!AM166</f>
        <v>26.799999997571717</v>
      </c>
      <c r="X625" s="577">
        <f>Speed!AN166</f>
        <v>26.799999996863708</v>
      </c>
      <c r="Y625" s="577">
        <f>Speed!AO166</f>
        <v>26.79999999597397</v>
      </c>
      <c r="Z625" s="577">
        <f>Speed!AP166</f>
        <v>26.799999994864507</v>
      </c>
      <c r="AA625" s="577">
        <f>Speed!AQ166</f>
        <v>26.799999993483365</v>
      </c>
      <c r="AB625" s="577">
        <f>Speed!AR166</f>
        <v>26.799999991781061</v>
      </c>
      <c r="AC625" s="577">
        <f>Speed!AS166</f>
        <v>26.799999989688505</v>
      </c>
      <c r="AD625" s="577">
        <f>Speed!AT166</f>
        <v>26.799999987125041</v>
      </c>
      <c r="AE625" s="577">
        <f>Speed!AU166</f>
        <v>26.799999984005353</v>
      </c>
      <c r="AF625" s="577">
        <f>Speed!AV166</f>
        <v>26.799999980221095</v>
      </c>
      <c r="AG625" s="725">
        <f>Speed!AW166</f>
        <v>26.799999975637043</v>
      </c>
      <c r="AH625" s="18"/>
      <c r="AI625" s="18"/>
      <c r="AJ625" s="18"/>
      <c r="AK625" s="18"/>
      <c r="AL625" s="18"/>
      <c r="AM625" s="18"/>
      <c r="AN625" s="18"/>
    </row>
    <row r="626" spans="2:40" ht="21.95" customHeight="1" x14ac:dyDescent="0.2">
      <c r="B626" s="705"/>
      <c r="C626" s="116"/>
      <c r="D626" s="240"/>
      <c r="E626" s="277" t="s">
        <v>340</v>
      </c>
      <c r="F626" s="277" t="s">
        <v>335</v>
      </c>
      <c r="G626" s="277" t="s">
        <v>323</v>
      </c>
      <c r="H626" s="577">
        <f>Speed!X167</f>
        <v>43.2</v>
      </c>
      <c r="I626" s="577">
        <f>Speed!Y167</f>
        <v>43.199990330030204</v>
      </c>
      <c r="J626" s="577">
        <f>Speed!Z167</f>
        <v>43.199979760255054</v>
      </c>
      <c r="K626" s="577">
        <f>Speed!AA167</f>
        <v>43.199950014587102</v>
      </c>
      <c r="L626" s="577">
        <f>Speed!AB167</f>
        <v>43.199885444897205</v>
      </c>
      <c r="M626" s="577">
        <f>Speed!AC167</f>
        <v>43.199753237319761</v>
      </c>
      <c r="N626" s="577">
        <f>Speed!AD167</f>
        <v>43.199497603129608</v>
      </c>
      <c r="O626" s="577">
        <f>Speed!AE167</f>
        <v>43.19902363971034</v>
      </c>
      <c r="P626" s="577">
        <f>Speed!AF167</f>
        <v>43.198274180462398</v>
      </c>
      <c r="Q626" s="577">
        <f>Speed!AG167</f>
        <v>43.19704302831186</v>
      </c>
      <c r="R626" s="577">
        <f>Speed!AH167</f>
        <v>43.195069012007146</v>
      </c>
      <c r="S626" s="577">
        <f>Speed!AI167</f>
        <v>43.191979721263735</v>
      </c>
      <c r="T626" s="577">
        <f>Speed!AJ167</f>
        <v>43.18722613893847</v>
      </c>
      <c r="U626" s="577">
        <f>Speed!AK167</f>
        <v>43.182328446363329</v>
      </c>
      <c r="V626" s="577">
        <f>Speed!AL167</f>
        <v>43.176861788383917</v>
      </c>
      <c r="W626" s="577">
        <f>Speed!AM167</f>
        <v>43.169918825549892</v>
      </c>
      <c r="X626" s="577">
        <f>Speed!AN167</f>
        <v>43.161156026624681</v>
      </c>
      <c r="Y626" s="577">
        <f>Speed!AO167</f>
        <v>43.150149020332186</v>
      </c>
      <c r="Z626" s="577">
        <f>Speed!AP167</f>
        <v>43.136431732267205</v>
      </c>
      <c r="AA626" s="577">
        <f>Speed!AQ167</f>
        <v>43.119367470146734</v>
      </c>
      <c r="AB626" s="577">
        <f>Speed!AR167</f>
        <v>43.098353906779693</v>
      </c>
      <c r="AC626" s="577">
        <f>Speed!AS167</f>
        <v>43.072550992571571</v>
      </c>
      <c r="AD626" s="577">
        <f>Speed!AT167</f>
        <v>43.040983438076388</v>
      </c>
      <c r="AE626" s="577">
        <f>Speed!AU167</f>
        <v>43.002628709380055</v>
      </c>
      <c r="AF626" s="577">
        <f>Speed!AV167</f>
        <v>42.95619509044262</v>
      </c>
      <c r="AG626" s="725">
        <f>Speed!AW167</f>
        <v>42.900081988991758</v>
      </c>
      <c r="AH626" s="18"/>
      <c r="AI626" s="18"/>
      <c r="AJ626" s="18"/>
      <c r="AK626" s="18"/>
      <c r="AL626" s="18"/>
      <c r="AM626" s="18"/>
      <c r="AN626" s="18"/>
    </row>
    <row r="627" spans="2:40" ht="21.95" customHeight="1" x14ac:dyDescent="0.2">
      <c r="B627" s="705"/>
      <c r="C627" s="116"/>
      <c r="D627" s="240"/>
      <c r="E627" s="277" t="s">
        <v>357</v>
      </c>
      <c r="F627" s="277" t="s">
        <v>338</v>
      </c>
      <c r="G627" s="277" t="s">
        <v>323</v>
      </c>
      <c r="H627" s="577">
        <f>Speed!X168</f>
        <v>31.89597447271742</v>
      </c>
      <c r="I627" s="577">
        <f>Speed!Y168</f>
        <v>31.895386397882593</v>
      </c>
      <c r="J627" s="577">
        <f>Speed!Z168</f>
        <v>31.894185286739393</v>
      </c>
      <c r="K627" s="577">
        <f>Speed!AA168</f>
        <v>31.892078650684784</v>
      </c>
      <c r="L627" s="577">
        <f>Speed!AB168</f>
        <v>31.88930731133809</v>
      </c>
      <c r="M627" s="577">
        <f>Speed!AC168</f>
        <v>31.885686476842388</v>
      </c>
      <c r="N627" s="577">
        <f>Speed!AD168</f>
        <v>31.881007933094075</v>
      </c>
      <c r="O627" s="577">
        <f>Speed!AE168</f>
        <v>31.874972954449184</v>
      </c>
      <c r="P627" s="577">
        <f>Speed!AF168</f>
        <v>31.869828344256412</v>
      </c>
      <c r="Q627" s="577">
        <f>Speed!AG168</f>
        <v>31.863751242752929</v>
      </c>
      <c r="R627" s="577">
        <f>Speed!AH168</f>
        <v>31.856594693279405</v>
      </c>
      <c r="S627" s="577">
        <f>Speed!AI168</f>
        <v>31.848195379185306</v>
      </c>
      <c r="T627" s="577">
        <f>Speed!AJ168</f>
        <v>31.838288419997181</v>
      </c>
      <c r="U627" s="577">
        <f>Speed!AK168</f>
        <v>31.831543198799192</v>
      </c>
      <c r="V627" s="577">
        <f>Speed!AL168</f>
        <v>31.824143432118834</v>
      </c>
      <c r="W627" s="577">
        <f>Speed!AM168</f>
        <v>31.816033679455259</v>
      </c>
      <c r="X627" s="577">
        <f>Speed!AN168</f>
        <v>31.807154522338521</v>
      </c>
      <c r="Y627" s="577">
        <f>Speed!AO168</f>
        <v>31.797372495361824</v>
      </c>
      <c r="Z627" s="577">
        <f>Speed!AP168</f>
        <v>31.786752785984007</v>
      </c>
      <c r="AA627" s="577">
        <f>Speed!AQ168</f>
        <v>31.775112203344161</v>
      </c>
      <c r="AB627" s="577">
        <f>Speed!AR168</f>
        <v>31.762461949675718</v>
      </c>
      <c r="AC627" s="577">
        <f>Speed!AS168</f>
        <v>31.748676495119984</v>
      </c>
      <c r="AD627" s="577">
        <f>Speed!AT168</f>
        <v>31.733559842314076</v>
      </c>
      <c r="AE627" s="577">
        <f>Speed!AU168</f>
        <v>31.717223968705103</v>
      </c>
      <c r="AF627" s="577">
        <f>Speed!AV168</f>
        <v>31.699469923924529</v>
      </c>
      <c r="AG627" s="725">
        <f>Speed!AW168</f>
        <v>31.68011430277004</v>
      </c>
      <c r="AH627" s="18"/>
      <c r="AI627" s="18"/>
      <c r="AJ627" s="18"/>
      <c r="AK627" s="18"/>
      <c r="AL627" s="18"/>
      <c r="AM627" s="18"/>
      <c r="AN627" s="18"/>
    </row>
    <row r="628" spans="2:40" ht="21.95" customHeight="1" x14ac:dyDescent="0.2">
      <c r="B628" s="705"/>
      <c r="C628" s="116"/>
      <c r="D628" s="240"/>
      <c r="E628" s="116" t="s">
        <v>338</v>
      </c>
      <c r="F628" s="116" t="s">
        <v>282</v>
      </c>
      <c r="G628" s="116" t="s">
        <v>357</v>
      </c>
      <c r="H628" s="577">
        <f>Speed!X169</f>
        <v>55.89999031092723</v>
      </c>
      <c r="I628" s="577">
        <f>Speed!Y169</f>
        <v>55.899987126230656</v>
      </c>
      <c r="J628" s="577">
        <f>Speed!Z169</f>
        <v>55.899982643601014</v>
      </c>
      <c r="K628" s="577">
        <f>Speed!AA169</f>
        <v>55.899974541814309</v>
      </c>
      <c r="L628" s="577">
        <f>Speed!AB169</f>
        <v>55.899963180055515</v>
      </c>
      <c r="M628" s="577">
        <f>Speed!AC169</f>
        <v>55.899947434901584</v>
      </c>
      <c r="N628" s="577">
        <f>Speed!AD169</f>
        <v>55.899925884169683</v>
      </c>
      <c r="O628" s="577">
        <f>Speed!AE169</f>
        <v>55.899896675024308</v>
      </c>
      <c r="P628" s="577">
        <f>Speed!AF169</f>
        <v>55.899852893582882</v>
      </c>
      <c r="Q628" s="577">
        <f>Speed!AG169</f>
        <v>55.899793093538648</v>
      </c>
      <c r="R628" s="577">
        <f>Speed!AH169</f>
        <v>55.899712210031119</v>
      </c>
      <c r="S628" s="577">
        <f>Speed!AI169</f>
        <v>55.899603905138264</v>
      </c>
      <c r="T628" s="577">
        <f>Speed!AJ169</f>
        <v>55.89946011203655</v>
      </c>
      <c r="U628" s="577">
        <f>Speed!AK169</f>
        <v>55.899317897267252</v>
      </c>
      <c r="V628" s="577">
        <f>Speed!AL169</f>
        <v>55.89917794398319</v>
      </c>
      <c r="W628" s="577">
        <f>Speed!AM169</f>
        <v>55.899012657530136</v>
      </c>
      <c r="X628" s="577">
        <f>Speed!AN169</f>
        <v>55.898818040992687</v>
      </c>
      <c r="Y628" s="577">
        <f>Speed!AO169</f>
        <v>55.898589581962291</v>
      </c>
      <c r="Z628" s="577">
        <f>Speed!AP169</f>
        <v>55.898322092426035</v>
      </c>
      <c r="AA628" s="577">
        <f>Speed!AQ169</f>
        <v>55.898009818357338</v>
      </c>
      <c r="AB628" s="577">
        <f>Speed!AR169</f>
        <v>55.897646140733599</v>
      </c>
      <c r="AC628" s="577">
        <f>Speed!AS169</f>
        <v>55.897223711409815</v>
      </c>
      <c r="AD628" s="577">
        <f>Speed!AT169</f>
        <v>55.896734296175971</v>
      </c>
      <c r="AE628" s="577">
        <f>Speed!AU169</f>
        <v>55.896168499729342</v>
      </c>
      <c r="AF628" s="577">
        <f>Speed!AV169</f>
        <v>55.895515967253118</v>
      </c>
      <c r="AG628" s="725">
        <f>Speed!AW169</f>
        <v>55.894765161250419</v>
      </c>
      <c r="AH628" s="18"/>
      <c r="AI628" s="18"/>
      <c r="AJ628" s="18"/>
      <c r="AK628" s="18"/>
      <c r="AL628" s="18"/>
      <c r="AM628" s="18"/>
      <c r="AN628" s="18"/>
    </row>
    <row r="629" spans="2:40" ht="21.95" customHeight="1" x14ac:dyDescent="0.2">
      <c r="B629" s="705"/>
      <c r="C629" s="116"/>
      <c r="D629" s="240"/>
      <c r="E629" s="116"/>
      <c r="F629" s="116" t="s">
        <v>357</v>
      </c>
      <c r="G629" s="116" t="s">
        <v>346</v>
      </c>
      <c r="H629" s="577">
        <f>Speed!X170</f>
        <v>55.899999377100173</v>
      </c>
      <c r="I629" s="577">
        <f>Speed!Y170</f>
        <v>55.899999175935712</v>
      </c>
      <c r="J629" s="577">
        <f>Speed!Z170</f>
        <v>55.899998885768397</v>
      </c>
      <c r="K629" s="577">
        <f>Speed!AA170</f>
        <v>55.899998323338593</v>
      </c>
      <c r="L629" s="577">
        <f>Speed!AB170</f>
        <v>55.89999751699942</v>
      </c>
      <c r="M629" s="577">
        <f>Speed!AC170</f>
        <v>55.899996376753322</v>
      </c>
      <c r="N629" s="577">
        <f>Speed!AD170</f>
        <v>55.899994785869225</v>
      </c>
      <c r="O629" s="577">
        <f>Speed!AE170</f>
        <v>55.899992591639737</v>
      </c>
      <c r="P629" s="577">
        <f>Speed!AF170</f>
        <v>55.899989160499366</v>
      </c>
      <c r="Q629" s="577">
        <f>Speed!AG170</f>
        <v>55.899984361973189</v>
      </c>
      <c r="R629" s="577">
        <f>Speed!AH170</f>
        <v>55.89997772701539</v>
      </c>
      <c r="S629" s="577">
        <f>Speed!AI170</f>
        <v>55.899968657929954</v>
      </c>
      <c r="T629" s="577">
        <f>Speed!AJ170</f>
        <v>55.899956388718934</v>
      </c>
      <c r="U629" s="577">
        <f>Speed!AK170</f>
        <v>55.899944617626161</v>
      </c>
      <c r="V629" s="577">
        <f>Speed!AL170</f>
        <v>55.899933723717304</v>
      </c>
      <c r="W629" s="577">
        <f>Speed!AM170</f>
        <v>55.899920937788821</v>
      </c>
      <c r="X629" s="577">
        <f>Speed!AN170</f>
        <v>55.89990597318905</v>
      </c>
      <c r="Y629" s="577">
        <f>Speed!AO170</f>
        <v>55.899888515566317</v>
      </c>
      <c r="Z629" s="577">
        <f>Speed!AP170</f>
        <v>55.899868181922834</v>
      </c>
      <c r="AA629" s="577">
        <f>Speed!AQ170</f>
        <v>55.899844582281716</v>
      </c>
      <c r="AB629" s="577">
        <f>Speed!AR170</f>
        <v>55.899817230912355</v>
      </c>
      <c r="AC629" s="577">
        <f>Speed!AS170</f>
        <v>55.899785621202099</v>
      </c>
      <c r="AD629" s="577">
        <f>Speed!AT170</f>
        <v>55.899749193635479</v>
      </c>
      <c r="AE629" s="577">
        <f>Speed!AU170</f>
        <v>55.89970726403952</v>
      </c>
      <c r="AF629" s="577">
        <f>Speed!AV170</f>
        <v>55.899659127910603</v>
      </c>
      <c r="AG629" s="725">
        <f>Speed!AW170</f>
        <v>55.899604011713457</v>
      </c>
      <c r="AH629" s="18"/>
      <c r="AI629" s="18"/>
      <c r="AJ629" s="18"/>
      <c r="AK629" s="18"/>
      <c r="AL629" s="18"/>
      <c r="AM629" s="18"/>
      <c r="AN629" s="18"/>
    </row>
    <row r="630" spans="2:40" ht="21.95" customHeight="1" x14ac:dyDescent="0.2">
      <c r="B630" s="705"/>
      <c r="C630" s="116"/>
      <c r="D630" s="240"/>
      <c r="E630" s="116"/>
      <c r="F630" s="116" t="s">
        <v>346</v>
      </c>
      <c r="G630" s="116" t="s">
        <v>343</v>
      </c>
      <c r="H630" s="577">
        <f>Speed!X171</f>
        <v>45.899998608523049</v>
      </c>
      <c r="I630" s="577">
        <f>Speed!Y171</f>
        <v>45.899998159147884</v>
      </c>
      <c r="J630" s="577">
        <f>Speed!Z171</f>
        <v>45.899997510951991</v>
      </c>
      <c r="K630" s="577">
        <f>Speed!AA171</f>
        <v>45.899996254557266</v>
      </c>
      <c r="L630" s="577">
        <f>Speed!AB171</f>
        <v>45.899994453300941</v>
      </c>
      <c r="M630" s="577">
        <f>Speed!AC171</f>
        <v>45.899991906140343</v>
      </c>
      <c r="N630" s="577">
        <f>Speed!AD171</f>
        <v>45.89998835231372</v>
      </c>
      <c r="O630" s="577">
        <f>Speed!AE171</f>
        <v>45.899983450693085</v>
      </c>
      <c r="P630" s="577">
        <f>Speed!AF171</f>
        <v>45.899975785977276</v>
      </c>
      <c r="Q630" s="577">
        <f>Speed!AG171</f>
        <v>45.899965066704318</v>
      </c>
      <c r="R630" s="577">
        <f>Speed!AH171</f>
        <v>45.899950245091176</v>
      </c>
      <c r="S630" s="577">
        <f>Speed!AI171</f>
        <v>45.899929985970488</v>
      </c>
      <c r="T630" s="577">
        <f>Speed!AJ171</f>
        <v>45.899902578216363</v>
      </c>
      <c r="U630" s="577">
        <f>Speed!AK171</f>
        <v>45.899876283210311</v>
      </c>
      <c r="V630" s="577">
        <f>Speed!AL171</f>
        <v>45.899851947729779</v>
      </c>
      <c r="W630" s="577">
        <f>Speed!AM171</f>
        <v>45.899823385760769</v>
      </c>
      <c r="X630" s="577">
        <f>Speed!AN171</f>
        <v>45.899789956974537</v>
      </c>
      <c r="Y630" s="577">
        <f>Speed!AO171</f>
        <v>45.899750959168742</v>
      </c>
      <c r="Z630" s="577">
        <f>Speed!AP171</f>
        <v>45.899705536801093</v>
      </c>
      <c r="AA630" s="577">
        <f>Speed!AQ171</f>
        <v>45.899652818746638</v>
      </c>
      <c r="AB630" s="577">
        <f>Speed!AR171</f>
        <v>45.899591719990426</v>
      </c>
      <c r="AC630" s="577">
        <f>Speed!AS171</f>
        <v>45.899521108883178</v>
      </c>
      <c r="AD630" s="577">
        <f>Speed!AT171</f>
        <v>45.89943973561509</v>
      </c>
      <c r="AE630" s="577">
        <f>Speed!AU171</f>
        <v>45.899346071932868</v>
      </c>
      <c r="AF630" s="577">
        <f>Speed!AV171</f>
        <v>45.899238544195455</v>
      </c>
      <c r="AG630" s="725">
        <f>Speed!AW171</f>
        <v>45.899115424591251</v>
      </c>
      <c r="AH630" s="18"/>
      <c r="AI630" s="18"/>
      <c r="AJ630" s="18"/>
      <c r="AK630" s="18"/>
      <c r="AL630" s="18"/>
      <c r="AM630" s="18"/>
      <c r="AN630" s="18"/>
    </row>
    <row r="631" spans="2:40" ht="21.95" customHeight="1" x14ac:dyDescent="0.2">
      <c r="B631" s="705"/>
      <c r="C631" s="116"/>
      <c r="D631" s="240"/>
      <c r="E631" s="116"/>
      <c r="F631" s="116" t="s">
        <v>343</v>
      </c>
      <c r="G631" s="116" t="s">
        <v>350</v>
      </c>
      <c r="H631" s="577">
        <f>Speed!X172</f>
        <v>45.899999869126233</v>
      </c>
      <c r="I631" s="577">
        <f>Speed!Y172</f>
        <v>45.8999998269027</v>
      </c>
      <c r="J631" s="577">
        <f>Speed!Z172</f>
        <v>45.899999764143068</v>
      </c>
      <c r="K631" s="577">
        <f>Speed!AA172</f>
        <v>45.899999654465667</v>
      </c>
      <c r="L631" s="577">
        <f>Speed!AB172</f>
        <v>45.899999500789512</v>
      </c>
      <c r="M631" s="577">
        <f>Speed!AC172</f>
        <v>45.899999288163151</v>
      </c>
      <c r="N631" s="577">
        <f>Speed!AD172</f>
        <v>45.899998997295938</v>
      </c>
      <c r="O631" s="577">
        <f>Speed!AE172</f>
        <v>45.899998603424784</v>
      </c>
      <c r="P631" s="577">
        <f>Speed!AF172</f>
        <v>45.899997994806959</v>
      </c>
      <c r="Q631" s="577">
        <f>Speed!AG172</f>
        <v>45.899997157121881</v>
      </c>
      <c r="R631" s="577">
        <f>Speed!AH172</f>
        <v>45.899996016811997</v>
      </c>
      <c r="S631" s="577">
        <f>Speed!AI172</f>
        <v>45.899994479937256</v>
      </c>
      <c r="T631" s="577">
        <f>Speed!AJ172</f>
        <v>45.899992428134517</v>
      </c>
      <c r="U631" s="577">
        <f>Speed!AK172</f>
        <v>45.899990295754669</v>
      </c>
      <c r="V631" s="577">
        <f>Speed!AL172</f>
        <v>45.899988350826568</v>
      </c>
      <c r="W631" s="577">
        <f>Speed!AM172</f>
        <v>45.899986061847436</v>
      </c>
      <c r="X631" s="577">
        <f>Speed!AN172</f>
        <v>45.899983375743055</v>
      </c>
      <c r="Y631" s="577">
        <f>Speed!AO172</f>
        <v>45.899980233405877</v>
      </c>
      <c r="Z631" s="577">
        <f>Speed!AP172</f>
        <v>45.899976565087002</v>
      </c>
      <c r="AA631" s="577">
        <f>Speed!AQ172</f>
        <v>45.899972296405011</v>
      </c>
      <c r="AB631" s="577">
        <f>Speed!AR172</f>
        <v>45.899967338685457</v>
      </c>
      <c r="AC631" s="577">
        <f>Speed!AS172</f>
        <v>45.899961596291647</v>
      </c>
      <c r="AD631" s="577">
        <f>Speed!AT172</f>
        <v>45.899954962801154</v>
      </c>
      <c r="AE631" s="577">
        <f>Speed!AU172</f>
        <v>45.899947312919259</v>
      </c>
      <c r="AF631" s="577">
        <f>Speed!AV172</f>
        <v>45.899938512830701</v>
      </c>
      <c r="AG631" s="725">
        <f>Speed!AW172</f>
        <v>45.899928414475553</v>
      </c>
      <c r="AH631" s="18"/>
      <c r="AI631" s="18"/>
      <c r="AJ631" s="18"/>
      <c r="AK631" s="18"/>
      <c r="AL631" s="18"/>
      <c r="AM631" s="18"/>
      <c r="AN631" s="18"/>
    </row>
    <row r="632" spans="2:40" ht="21.95" customHeight="1" x14ac:dyDescent="0.2">
      <c r="B632" s="705"/>
      <c r="C632" s="116"/>
      <c r="D632" s="240"/>
      <c r="E632" s="116"/>
      <c r="F632" s="116" t="s">
        <v>350</v>
      </c>
      <c r="G632" s="116" t="s">
        <v>280</v>
      </c>
      <c r="H632" s="577">
        <f>Speed!X173</f>
        <v>55.899999941413874</v>
      </c>
      <c r="I632" s="577">
        <f>Speed!Y173</f>
        <v>55.89999992251235</v>
      </c>
      <c r="J632" s="577">
        <f>Speed!Z173</f>
        <v>55.899999894417768</v>
      </c>
      <c r="K632" s="577">
        <f>Speed!AA173</f>
        <v>55.899999845320266</v>
      </c>
      <c r="L632" s="577">
        <f>Speed!AB173</f>
        <v>55.899999776526577</v>
      </c>
      <c r="M632" s="577">
        <f>Speed!AC173</f>
        <v>55.899999681343601</v>
      </c>
      <c r="N632" s="577">
        <f>Speed!AD173</f>
        <v>55.899999551135799</v>
      </c>
      <c r="O632" s="577">
        <f>Speed!AE173</f>
        <v>55.899999374817924</v>
      </c>
      <c r="P632" s="577">
        <f>Speed!AF173</f>
        <v>55.899999102367879</v>
      </c>
      <c r="Q632" s="577">
        <f>Speed!AG173</f>
        <v>55.899998727375021</v>
      </c>
      <c r="R632" s="577">
        <f>Speed!AH173</f>
        <v>55.89999821691103</v>
      </c>
      <c r="S632" s="577">
        <f>Speed!AI173</f>
        <v>55.899997528923265</v>
      </c>
      <c r="T632" s="577">
        <f>Speed!AJ173</f>
        <v>55.899996610425994</v>
      </c>
      <c r="U632" s="577">
        <f>Speed!AK173</f>
        <v>55.899995655858021</v>
      </c>
      <c r="V632" s="577">
        <f>Speed!AL173</f>
        <v>55.899994785203496</v>
      </c>
      <c r="W632" s="577">
        <f>Speed!AM173</f>
        <v>55.89999376053315</v>
      </c>
      <c r="X632" s="577">
        <f>Speed!AN173</f>
        <v>55.899992558088066</v>
      </c>
      <c r="Y632" s="577">
        <f>Speed!AO173</f>
        <v>55.899991151408472</v>
      </c>
      <c r="Z632" s="577">
        <f>Speed!AP173</f>
        <v>55.899989509270952</v>
      </c>
      <c r="AA632" s="577">
        <f>Speed!AQ173</f>
        <v>55.899987598378296</v>
      </c>
      <c r="AB632" s="577">
        <f>Speed!AR173</f>
        <v>55.899985379034909</v>
      </c>
      <c r="AC632" s="577">
        <f>Speed!AS173</f>
        <v>55.899982808428518</v>
      </c>
      <c r="AD632" s="577">
        <f>Speed!AT173</f>
        <v>55.899979838918505</v>
      </c>
      <c r="AE632" s="577">
        <f>Speed!AU173</f>
        <v>55.899976414415917</v>
      </c>
      <c r="AF632" s="577">
        <f>Speed!AV173</f>
        <v>55.899972475017449</v>
      </c>
      <c r="AG632" s="725">
        <f>Speed!AW173</f>
        <v>55.899967954443063</v>
      </c>
      <c r="AH632" s="18"/>
      <c r="AI632" s="18"/>
      <c r="AJ632" s="18"/>
      <c r="AK632" s="18"/>
      <c r="AL632" s="18"/>
      <c r="AM632" s="18"/>
      <c r="AN632" s="18"/>
    </row>
    <row r="633" spans="2:40" ht="21.95" customHeight="1" thickBot="1" x14ac:dyDescent="0.25">
      <c r="B633" s="705"/>
      <c r="C633" s="116"/>
      <c r="D633" s="240"/>
      <c r="E633" s="278"/>
      <c r="F633" s="278" t="s">
        <v>280</v>
      </c>
      <c r="G633" s="278" t="s">
        <v>333</v>
      </c>
      <c r="H633" s="577">
        <f>Speed!X174</f>
        <v>55.299903328088064</v>
      </c>
      <c r="I633" s="577">
        <f>Speed!Y174</f>
        <v>55.299872139104522</v>
      </c>
      <c r="J633" s="577">
        <f>Speed!Z174</f>
        <v>55.299825780914766</v>
      </c>
      <c r="K633" s="577">
        <f>Speed!AA174</f>
        <v>55.299744766508944</v>
      </c>
      <c r="L633" s="577">
        <f>Speed!AB174</f>
        <v>55.299631252346366</v>
      </c>
      <c r="M633" s="577">
        <f>Speed!AC174</f>
        <v>55.299474194895502</v>
      </c>
      <c r="N633" s="577">
        <f>Speed!AD174</f>
        <v>55.299259345915843</v>
      </c>
      <c r="O633" s="577">
        <f>Speed!AE174</f>
        <v>55.29896841576236</v>
      </c>
      <c r="P633" s="577">
        <f>Speed!AF174</f>
        <v>55.298518870509625</v>
      </c>
      <c r="Q633" s="577">
        <f>Speed!AG174</f>
        <v>55.297900140526224</v>
      </c>
      <c r="R633" s="577">
        <f>Speed!AH174</f>
        <v>55.297057908389334</v>
      </c>
      <c r="S633" s="577">
        <f>Speed!AI174</f>
        <v>55.295922814221832</v>
      </c>
      <c r="T633" s="577">
        <f>Speed!AJ174</f>
        <v>55.294407480664205</v>
      </c>
      <c r="U633" s="577">
        <f>Speed!AK174</f>
        <v>55.292832725739309</v>
      </c>
      <c r="V633" s="577">
        <f>Speed!AL174</f>
        <v>55.291396481356756</v>
      </c>
      <c r="W633" s="577">
        <f>Speed!AM174</f>
        <v>55.289706265740314</v>
      </c>
      <c r="X633" s="577">
        <f>Speed!AN174</f>
        <v>55.287722938607139</v>
      </c>
      <c r="Y633" s="577">
        <f>Speed!AO174</f>
        <v>55.285402925155033</v>
      </c>
      <c r="Z633" s="577">
        <f>Speed!AP174</f>
        <v>55.282694820980794</v>
      </c>
      <c r="AA633" s="577">
        <f>Speed!AQ174</f>
        <v>55.279543837445445</v>
      </c>
      <c r="AB633" s="577">
        <f>Speed!AR174</f>
        <v>55.275884681881749</v>
      </c>
      <c r="AC633" s="577">
        <f>Speed!AS174</f>
        <v>55.271646984448161</v>
      </c>
      <c r="AD633" s="577">
        <f>Speed!AT174</f>
        <v>55.26675249445433</v>
      </c>
      <c r="AE633" s="577">
        <f>Speed!AU174</f>
        <v>55.26110913919279</v>
      </c>
      <c r="AF633" s="577">
        <f>Speed!AV174</f>
        <v>55.254618693819353</v>
      </c>
      <c r="AG633" s="725">
        <f>Speed!AW174</f>
        <v>55.24717259603203</v>
      </c>
      <c r="AH633" s="18"/>
      <c r="AI633" s="18"/>
      <c r="AJ633" s="18"/>
      <c r="AK633" s="18"/>
      <c r="AL633" s="18"/>
      <c r="AM633" s="18"/>
      <c r="AN633" s="18"/>
    </row>
    <row r="634" spans="2:40" ht="21.95" customHeight="1" x14ac:dyDescent="0.2">
      <c r="B634" s="182"/>
      <c r="C634" s="116"/>
      <c r="D634" s="240" t="s">
        <v>476</v>
      </c>
      <c r="E634" s="1340" t="s">
        <v>331</v>
      </c>
      <c r="F634" s="220" t="s">
        <v>332</v>
      </c>
      <c r="G634" s="220" t="s">
        <v>282</v>
      </c>
      <c r="H634" s="726">
        <f>Speed!AX146</f>
        <v>71.779999996865541</v>
      </c>
      <c r="I634" s="726">
        <f>Speed!AY146</f>
        <v>71.779999996865541</v>
      </c>
      <c r="J634" s="726">
        <f>Speed!AZ146</f>
        <v>71.779999995110273</v>
      </c>
      <c r="K634" s="726">
        <f>Speed!BA146</f>
        <v>71.779999991136975</v>
      </c>
      <c r="L634" s="726">
        <f>Speed!BB146</f>
        <v>71.779999979973041</v>
      </c>
      <c r="M634" s="726">
        <f>Speed!BC146</f>
        <v>71.779999957433731</v>
      </c>
      <c r="N634" s="726">
        <f>Speed!BD146</f>
        <v>71.779999914187897</v>
      </c>
      <c r="O634" s="726">
        <f>Speed!BE146</f>
        <v>71.779999834813211</v>
      </c>
      <c r="P634" s="726">
        <f>Speed!BF146</f>
        <v>71.77999969443556</v>
      </c>
      <c r="Q634" s="726">
        <f>Speed!BG146</f>
        <v>71.779999458181052</v>
      </c>
      <c r="R634" s="726">
        <f>Speed!BH146</f>
        <v>71.779999068522343</v>
      </c>
      <c r="S634" s="726">
        <f>Speed!BI146</f>
        <v>71.779998442782983</v>
      </c>
      <c r="T634" s="726">
        <f>Speed!BJ146</f>
        <v>71.779997461275727</v>
      </c>
      <c r="U634" s="726">
        <f>Speed!BK146</f>
        <v>71.779995952986113</v>
      </c>
      <c r="V634" s="726">
        <f>Speed!BL146</f>
        <v>71.779994520325175</v>
      </c>
      <c r="W634" s="726">
        <f>Speed!BM146</f>
        <v>71.779993217985478</v>
      </c>
      <c r="X634" s="726">
        <f>Speed!BN146</f>
        <v>71.779991643407612</v>
      </c>
      <c r="Y634" s="726">
        <f>Speed!BO146</f>
        <v>71.779989747131694</v>
      </c>
      <c r="Z634" s="726">
        <f>Speed!BP146</f>
        <v>71.779987471152083</v>
      </c>
      <c r="AA634" s="726">
        <f>Speed!BQ146</f>
        <v>71.779984751165628</v>
      </c>
      <c r="AB634" s="726">
        <f>Speed!BR146</f>
        <v>71.779981509591806</v>
      </c>
      <c r="AC634" s="726">
        <f>Speed!BS146</f>
        <v>71.779977661944514</v>
      </c>
      <c r="AD634" s="726">
        <f>Speed!BT146</f>
        <v>71.779973108131216</v>
      </c>
      <c r="AE634" s="726">
        <f>Speed!BU146</f>
        <v>71.779967733208309</v>
      </c>
      <c r="AF634" s="726">
        <f>Speed!BV146</f>
        <v>71.779961412385049</v>
      </c>
      <c r="AG634" s="727">
        <f>Speed!BW146</f>
        <v>71.77995399822241</v>
      </c>
      <c r="AH634" s="18"/>
      <c r="AI634" s="18"/>
      <c r="AJ634" s="18"/>
      <c r="AK634" s="18"/>
      <c r="AL634" s="18"/>
      <c r="AM634" s="18"/>
      <c r="AN634" s="18"/>
    </row>
    <row r="635" spans="2:40" ht="21.95" customHeight="1" x14ac:dyDescent="0.2">
      <c r="B635" s="182"/>
      <c r="C635" s="116"/>
      <c r="D635" s="240"/>
      <c r="E635" s="1339"/>
      <c r="F635" s="116" t="s">
        <v>282</v>
      </c>
      <c r="G635" s="116" t="s">
        <v>280</v>
      </c>
      <c r="H635" s="577">
        <f>Speed!AX147</f>
        <v>71.779999999426806</v>
      </c>
      <c r="I635" s="577">
        <f>Speed!AY147</f>
        <v>71.779999999426806</v>
      </c>
      <c r="J635" s="577">
        <f>Speed!AZ147</f>
        <v>71.77999999904128</v>
      </c>
      <c r="K635" s="577">
        <f>Speed!BA147</f>
        <v>71.779999998019164</v>
      </c>
      <c r="L635" s="577">
        <f>Speed!BB147</f>
        <v>71.779999994082971</v>
      </c>
      <c r="M635" s="577">
        <f>Speed!BC147</f>
        <v>71.779999984128153</v>
      </c>
      <c r="N635" s="577">
        <f>Speed!BD147</f>
        <v>71.779999961040048</v>
      </c>
      <c r="O635" s="577">
        <f>Speed!BE147</f>
        <v>71.779999911218979</v>
      </c>
      <c r="P635" s="577">
        <f>Speed!BF147</f>
        <v>71.77999980985841</v>
      </c>
      <c r="Q635" s="577">
        <f>Speed!BG147</f>
        <v>71.779999611805451</v>
      </c>
      <c r="R635" s="577">
        <f>Speed!BH147</f>
        <v>71.779999244110741</v>
      </c>
      <c r="S635" s="577">
        <f>Speed!BI147</f>
        <v>71.77999858846492</v>
      </c>
      <c r="T635" s="577">
        <f>Speed!BJ147</f>
        <v>71.779997459163283</v>
      </c>
      <c r="U635" s="577">
        <f>Speed!BK147</f>
        <v>71.779995571103598</v>
      </c>
      <c r="V635" s="577">
        <f>Speed!BL147</f>
        <v>71.779993880094111</v>
      </c>
      <c r="W635" s="577">
        <f>Speed!BM147</f>
        <v>71.779992475479744</v>
      </c>
      <c r="X635" s="577">
        <f>Speed!BN147</f>
        <v>71.779990787101838</v>
      </c>
      <c r="Y635" s="577">
        <f>Speed!BO147</f>
        <v>71.779988765100271</v>
      </c>
      <c r="Z635" s="577">
        <f>Speed!BP147</f>
        <v>71.779986350634417</v>
      </c>
      <c r="AA635" s="577">
        <f>Speed!BQ147</f>
        <v>71.779983480563246</v>
      </c>
      <c r="AB635" s="577">
        <f>Speed!BR147</f>
        <v>71.779980076252357</v>
      </c>
      <c r="AC635" s="577">
        <f>Speed!BS147</f>
        <v>71.779976055506907</v>
      </c>
      <c r="AD635" s="577">
        <f>Speed!BT147</f>
        <v>71.779971318679614</v>
      </c>
      <c r="AE635" s="577">
        <f>Speed!BU147</f>
        <v>71.779965751191895</v>
      </c>
      <c r="AF635" s="577">
        <f>Speed!BV147</f>
        <v>71.779959233200245</v>
      </c>
      <c r="AG635" s="725">
        <f>Speed!BW147</f>
        <v>71.779951619297606</v>
      </c>
      <c r="AH635" s="18"/>
      <c r="AI635" s="18"/>
      <c r="AJ635" s="18"/>
      <c r="AK635" s="18"/>
      <c r="AL635" s="18"/>
      <c r="AM635" s="18"/>
      <c r="AN635" s="18"/>
    </row>
    <row r="636" spans="2:40" ht="21.95" customHeight="1" x14ac:dyDescent="0.2">
      <c r="B636" s="182"/>
      <c r="C636" s="116"/>
      <c r="D636" s="240"/>
      <c r="E636" s="1339"/>
      <c r="F636" s="116" t="s">
        <v>280</v>
      </c>
      <c r="G636" s="116" t="s">
        <v>333</v>
      </c>
      <c r="H636" s="577">
        <f>Speed!AX148</f>
        <v>71.779999819251614</v>
      </c>
      <c r="I636" s="577">
        <f>Speed!AY148</f>
        <v>71.779999819251614</v>
      </c>
      <c r="J636" s="577">
        <f>Speed!AZ148</f>
        <v>71.779999727890157</v>
      </c>
      <c r="K636" s="577">
        <f>Speed!BA148</f>
        <v>71.77999955839843</v>
      </c>
      <c r="L636" s="577">
        <f>Speed!BB148</f>
        <v>71.779999181601326</v>
      </c>
      <c r="M636" s="577">
        <f>Speed!BC148</f>
        <v>71.779998536430028</v>
      </c>
      <c r="N636" s="577">
        <f>Speed!BD148</f>
        <v>71.779997465090375</v>
      </c>
      <c r="O636" s="577">
        <f>Speed!BE148</f>
        <v>71.779995733859622</v>
      </c>
      <c r="P636" s="577">
        <f>Speed!BF148</f>
        <v>71.779993000448698</v>
      </c>
      <c r="Q636" s="577">
        <f>Speed!BG148</f>
        <v>71.779988940718624</v>
      </c>
      <c r="R636" s="577">
        <f>Speed!BH148</f>
        <v>71.779982869835422</v>
      </c>
      <c r="S636" s="577">
        <f>Speed!BI148</f>
        <v>71.779973952732561</v>
      </c>
      <c r="T636" s="577">
        <f>Speed!BJ148</f>
        <v>71.779961055921902</v>
      </c>
      <c r="U636" s="577">
        <f>Speed!BK148</f>
        <v>71.779942656037662</v>
      </c>
      <c r="V636" s="577">
        <f>Speed!BL148</f>
        <v>71.779924527960091</v>
      </c>
      <c r="W636" s="577">
        <f>Speed!BM148</f>
        <v>71.779905407301584</v>
      </c>
      <c r="X636" s="577">
        <f>Speed!BN148</f>
        <v>71.779882032250057</v>
      </c>
      <c r="Y636" s="577">
        <f>Speed!BO148</f>
        <v>71.779853581240047</v>
      </c>
      <c r="Z636" s="577">
        <f>Speed!BP148</f>
        <v>71.779819081980165</v>
      </c>
      <c r="AA636" s="577">
        <f>Speed!BQ148</f>
        <v>71.779777450044065</v>
      </c>
      <c r="AB636" s="577">
        <f>Speed!BR148</f>
        <v>71.779727364222694</v>
      </c>
      <c r="AC636" s="577">
        <f>Speed!BS148</f>
        <v>71.779667378668378</v>
      </c>
      <c r="AD636" s="577">
        <f>Speed!BT148</f>
        <v>71.779595765724977</v>
      </c>
      <c r="AE636" s="577">
        <f>Speed!BU148</f>
        <v>71.779510526472762</v>
      </c>
      <c r="AF636" s="577">
        <f>Speed!BV148</f>
        <v>71.779409482436193</v>
      </c>
      <c r="AG636" s="725">
        <f>Speed!BW148</f>
        <v>71.779290038397932</v>
      </c>
      <c r="AH636" s="18"/>
      <c r="AI636" s="18"/>
      <c r="AJ636" s="18"/>
      <c r="AK636" s="18"/>
      <c r="AL636" s="18"/>
      <c r="AM636" s="18"/>
      <c r="AN636" s="18"/>
    </row>
    <row r="637" spans="2:40" ht="21.95" customHeight="1" x14ac:dyDescent="0.2">
      <c r="B637" s="182"/>
      <c r="C637" s="116"/>
      <c r="D637" s="240"/>
      <c r="E637" s="1340" t="s">
        <v>280</v>
      </c>
      <c r="F637" s="220" t="s">
        <v>281</v>
      </c>
      <c r="G637" s="220" t="s">
        <v>335</v>
      </c>
      <c r="H637" s="577">
        <f>Speed!AX149</f>
        <v>57.499999999999986</v>
      </c>
      <c r="I637" s="577">
        <f>Speed!AY149</f>
        <v>57.499999999999986</v>
      </c>
      <c r="J637" s="577">
        <f>Speed!AZ149</f>
        <v>57.499999999999972</v>
      </c>
      <c r="K637" s="577">
        <f>Speed!BA149</f>
        <v>57.499999999999872</v>
      </c>
      <c r="L637" s="577">
        <f>Speed!BB149</f>
        <v>57.499999999997513</v>
      </c>
      <c r="M637" s="577">
        <f>Speed!BC149</f>
        <v>57.499999999975884</v>
      </c>
      <c r="N637" s="577">
        <f>Speed!BD149</f>
        <v>57.499999999846608</v>
      </c>
      <c r="O637" s="577">
        <f>Speed!BE149</f>
        <v>57.499999999270017</v>
      </c>
      <c r="P637" s="577">
        <f>Speed!BF149</f>
        <v>57.499999997182023</v>
      </c>
      <c r="Q637" s="577">
        <f>Speed!BG149</f>
        <v>57.499999990931776</v>
      </c>
      <c r="R637" s="577">
        <f>Speed!BH149</f>
        <v>57.499999974167963</v>
      </c>
      <c r="S637" s="577">
        <f>Speed!BI149</f>
        <v>57.499999933398819</v>
      </c>
      <c r="T637" s="577">
        <f>Speed!BJ149</f>
        <v>57.499999841803515</v>
      </c>
      <c r="U637" s="577">
        <f>Speed!BK149</f>
        <v>57.499999648927094</v>
      </c>
      <c r="V637" s="577">
        <f>Speed!BL149</f>
        <v>57.499999493344603</v>
      </c>
      <c r="W637" s="577">
        <f>Speed!BM149</f>
        <v>57.49999940196178</v>
      </c>
      <c r="X637" s="577">
        <f>Speed!BN149</f>
        <v>57.499999296003573</v>
      </c>
      <c r="Y637" s="577">
        <f>Speed!BO149</f>
        <v>57.499999173438937</v>
      </c>
      <c r="Z637" s="577">
        <f>Speed!BP149</f>
        <v>57.499999031760915</v>
      </c>
      <c r="AA637" s="577">
        <f>Speed!BQ149</f>
        <v>57.499998868857006</v>
      </c>
      <c r="AB637" s="577">
        <f>Speed!BR149</f>
        <v>57.499998681380802</v>
      </c>
      <c r="AC637" s="577">
        <f>Speed!BS149</f>
        <v>57.499998466740387</v>
      </c>
      <c r="AD637" s="577">
        <f>Speed!BT149</f>
        <v>57.499998221151763</v>
      </c>
      <c r="AE637" s="577">
        <f>Speed!BU149</f>
        <v>57.49999794025144</v>
      </c>
      <c r="AF637" s="577">
        <f>Speed!BV149</f>
        <v>57.499997620563761</v>
      </c>
      <c r="AG637" s="725">
        <f>Speed!BW149</f>
        <v>57.499997256893138</v>
      </c>
      <c r="AH637" s="18"/>
      <c r="AI637" s="18"/>
      <c r="AJ637" s="18"/>
      <c r="AK637" s="18"/>
      <c r="AL637" s="18"/>
      <c r="AM637" s="18"/>
      <c r="AN637" s="18"/>
    </row>
    <row r="638" spans="2:40" ht="21.95" customHeight="1" x14ac:dyDescent="0.2">
      <c r="B638" s="182"/>
      <c r="C638" s="116"/>
      <c r="D638" s="240"/>
      <c r="E638" s="1339"/>
      <c r="F638" s="116" t="s">
        <v>335</v>
      </c>
      <c r="G638" s="116" t="s">
        <v>323</v>
      </c>
      <c r="H638" s="577">
        <f>Speed!AX150</f>
        <v>49.499999999361144</v>
      </c>
      <c r="I638" s="577">
        <f>Speed!AY150</f>
        <v>49.499999999361144</v>
      </c>
      <c r="J638" s="577">
        <f>Speed!AZ150</f>
        <v>49.499999998417621</v>
      </c>
      <c r="K638" s="577">
        <f>Speed!BA150</f>
        <v>49.499999994951878</v>
      </c>
      <c r="L638" s="577">
        <f>Speed!BB150</f>
        <v>49.499999973919763</v>
      </c>
      <c r="M638" s="577">
        <f>Speed!BC150</f>
        <v>49.499999893118265</v>
      </c>
      <c r="N638" s="577">
        <f>Speed!BD150</f>
        <v>49.499999632108434</v>
      </c>
      <c r="O638" s="577">
        <f>Speed!BE150</f>
        <v>49.499998895306547</v>
      </c>
      <c r="P638" s="577">
        <f>Speed!BF150</f>
        <v>49.499997022414185</v>
      </c>
      <c r="Q638" s="577">
        <f>Speed!BG150</f>
        <v>49.499991741559988</v>
      </c>
      <c r="R638" s="577">
        <f>Speed!BH150</f>
        <v>49.499979151713454</v>
      </c>
      <c r="S638" s="577">
        <f>Speed!BI150</f>
        <v>49.499951364458923</v>
      </c>
      <c r="T638" s="577">
        <f>Speed!BJ150</f>
        <v>49.49989380370085</v>
      </c>
      <c r="U638" s="577">
        <f>Speed!BK150</f>
        <v>49.49978073735943</v>
      </c>
      <c r="V638" s="577">
        <f>Speed!BL150</f>
        <v>49.499655819867222</v>
      </c>
      <c r="W638" s="577">
        <f>Speed!BM150</f>
        <v>49.499557828794018</v>
      </c>
      <c r="X638" s="577">
        <f>Speed!BN150</f>
        <v>49.499435407052658</v>
      </c>
      <c r="Y638" s="577">
        <f>Speed!BO150</f>
        <v>49.49928328311794</v>
      </c>
      <c r="Z638" s="577">
        <f>Speed!BP150</f>
        <v>49.499094978009765</v>
      </c>
      <c r="AA638" s="577">
        <f>Speed!BQ150</f>
        <v>49.498863553461639</v>
      </c>
      <c r="AB638" s="577">
        <f>Speed!BR150</f>
        <v>49.498579812315064</v>
      </c>
      <c r="AC638" s="577">
        <f>Speed!BS150</f>
        <v>49.498234268796423</v>
      </c>
      <c r="AD638" s="577">
        <f>Speed!BT150</f>
        <v>49.497814822153323</v>
      </c>
      <c r="AE638" s="577">
        <f>Speed!BU150</f>
        <v>49.49730710943723</v>
      </c>
      <c r="AF638" s="577">
        <f>Speed!BV150</f>
        <v>49.496696362122648</v>
      </c>
      <c r="AG638" s="725">
        <f>Speed!BW150</f>
        <v>49.49596367097466</v>
      </c>
      <c r="AH638" s="18"/>
      <c r="AI638" s="18"/>
      <c r="AJ638" s="18"/>
      <c r="AK638" s="18"/>
      <c r="AL638" s="18"/>
      <c r="AM638" s="18"/>
      <c r="AN638" s="18"/>
    </row>
    <row r="639" spans="2:40" ht="21.95" customHeight="1" x14ac:dyDescent="0.2">
      <c r="B639" s="182"/>
      <c r="C639" s="116"/>
      <c r="D639" s="240"/>
      <c r="E639" s="1353"/>
      <c r="F639" s="254" t="s">
        <v>323</v>
      </c>
      <c r="G639" s="254" t="s">
        <v>338</v>
      </c>
      <c r="H639" s="577">
        <f>Speed!AX151</f>
        <v>46.99999421510455</v>
      </c>
      <c r="I639" s="577">
        <f>Speed!AY151</f>
        <v>46.99999421510455</v>
      </c>
      <c r="J639" s="577">
        <f>Speed!AZ151</f>
        <v>46.9999923749846</v>
      </c>
      <c r="K639" s="577">
        <f>Speed!BA151</f>
        <v>46.999988840570389</v>
      </c>
      <c r="L639" s="577">
        <f>Speed!BB151</f>
        <v>46.999981394155355</v>
      </c>
      <c r="M639" s="577">
        <f>Speed!BC151</f>
        <v>46.999969734796231</v>
      </c>
      <c r="N639" s="577">
        <f>Speed!BD151</f>
        <v>46.999951870049891</v>
      </c>
      <c r="O639" s="577">
        <f>Speed!BE151</f>
        <v>46.999925029225203</v>
      </c>
      <c r="P639" s="577">
        <f>Speed!BF151</f>
        <v>46.999885357994067</v>
      </c>
      <c r="Q639" s="577">
        <f>Speed!BG151</f>
        <v>46.999827048762654</v>
      </c>
      <c r="R639" s="577">
        <f>Speed!BH151</f>
        <v>46.999743256883484</v>
      </c>
      <c r="S639" s="577">
        <f>Speed!BI151</f>
        <v>46.999624603654084</v>
      </c>
      <c r="T639" s="577">
        <f>Speed!BJ151</f>
        <v>46.999458678634817</v>
      </c>
      <c r="U639" s="577">
        <f>Speed!BK151</f>
        <v>46.999229228427964</v>
      </c>
      <c r="V639" s="577">
        <f>Speed!BL151</f>
        <v>46.999015234205181</v>
      </c>
      <c r="W639" s="577">
        <f>Speed!BM151</f>
        <v>46.998837245593748</v>
      </c>
      <c r="X639" s="577">
        <f>Speed!BN151</f>
        <v>46.998630810765583</v>
      </c>
      <c r="Y639" s="577">
        <f>Speed!BO151</f>
        <v>46.998391958352798</v>
      </c>
      <c r="Z639" s="577">
        <f>Speed!BP151</f>
        <v>46.998116099346127</v>
      </c>
      <c r="AA639" s="577">
        <f>Speed!BQ151</f>
        <v>46.997798520996518</v>
      </c>
      <c r="AB639" s="577">
        <f>Speed!BR151</f>
        <v>46.997433364432972</v>
      </c>
      <c r="AC639" s="577">
        <f>Speed!BS151</f>
        <v>46.997014790196872</v>
      </c>
      <c r="AD639" s="577">
        <f>Speed!BT151</f>
        <v>46.99653575687546</v>
      </c>
      <c r="AE639" s="577">
        <f>Speed!BU151</f>
        <v>46.99598834666201</v>
      </c>
      <c r="AF639" s="577">
        <f>Speed!BV151</f>
        <v>46.995364606057848</v>
      </c>
      <c r="AG639" s="725">
        <f>Speed!BW151</f>
        <v>46.99465491261757</v>
      </c>
      <c r="AH639" s="18"/>
      <c r="AI639" s="18"/>
      <c r="AJ639" s="18"/>
      <c r="AK639" s="18"/>
      <c r="AL639" s="18"/>
      <c r="AM639" s="18"/>
      <c r="AN639" s="18"/>
    </row>
    <row r="640" spans="2:40" ht="21.95" customHeight="1" x14ac:dyDescent="0.2">
      <c r="B640" s="182"/>
      <c r="C640" s="116"/>
      <c r="D640" s="240"/>
      <c r="E640" s="116" t="s">
        <v>339</v>
      </c>
      <c r="F640" s="116" t="s">
        <v>335</v>
      </c>
      <c r="G640" s="116" t="s">
        <v>323</v>
      </c>
      <c r="H640" s="577">
        <f>Speed!AX152</f>
        <v>43.2</v>
      </c>
      <c r="I640" s="577">
        <f>Speed!AY152</f>
        <v>43.2</v>
      </c>
      <c r="J640" s="577">
        <f>Speed!AZ152</f>
        <v>43.2</v>
      </c>
      <c r="K640" s="577">
        <f>Speed!BA152</f>
        <v>43.199999999999996</v>
      </c>
      <c r="L640" s="577">
        <f>Speed!BB152</f>
        <v>43.199999999969855</v>
      </c>
      <c r="M640" s="577">
        <f>Speed!BC152</f>
        <v>43.199999997120827</v>
      </c>
      <c r="N640" s="577">
        <f>Speed!BD152</f>
        <v>43.199999934875699</v>
      </c>
      <c r="O640" s="577">
        <f>Speed!BE152</f>
        <v>43.199999301114353</v>
      </c>
      <c r="P640" s="577">
        <f>Speed!BF152</f>
        <v>43.199995237648281</v>
      </c>
      <c r="Q640" s="577">
        <f>Speed!BG152</f>
        <v>43.199990462825944</v>
      </c>
      <c r="R640" s="577">
        <f>Speed!BH152</f>
        <v>43.199981734321192</v>
      </c>
      <c r="S640" s="577">
        <f>Speed!BI152</f>
        <v>43.199966382547409</v>
      </c>
      <c r="T640" s="577">
        <f>Speed!BJ152</f>
        <v>43.199940278659867</v>
      </c>
      <c r="U640" s="577">
        <f>Speed!BK152</f>
        <v>43.199897038720927</v>
      </c>
      <c r="V640" s="577">
        <f>Speed!BL152</f>
        <v>43.199888506186639</v>
      </c>
      <c r="W640" s="577">
        <f>Speed!BM152</f>
        <v>43.19987934245399</v>
      </c>
      <c r="X640" s="577">
        <f>Speed!BN152</f>
        <v>43.199869506354162</v>
      </c>
      <c r="Y640" s="577">
        <f>Speed!BO152</f>
        <v>43.199858954387686</v>
      </c>
      <c r="Z640" s="577">
        <f>Speed!BP152</f>
        <v>43.199847557037231</v>
      </c>
      <c r="AA640" s="577">
        <f>Speed!BQ152</f>
        <v>43.199835426989218</v>
      </c>
      <c r="AB640" s="577">
        <f>Speed!BR152</f>
        <v>43.199822392447345</v>
      </c>
      <c r="AC640" s="577">
        <f>Speed!BS152</f>
        <v>43.199808481660547</v>
      </c>
      <c r="AD640" s="577">
        <f>Speed!BT152</f>
        <v>43.199793597862858</v>
      </c>
      <c r="AE640" s="577">
        <f>Speed!BU152</f>
        <v>43.199777563594566</v>
      </c>
      <c r="AF640" s="577">
        <f>Speed!BV152</f>
        <v>43.199760542404377</v>
      </c>
      <c r="AG640" s="725">
        <f>Speed!BW152</f>
        <v>43.199742357823311</v>
      </c>
      <c r="AH640" s="18"/>
      <c r="AI640" s="18"/>
      <c r="AJ640" s="18"/>
      <c r="AK640" s="18"/>
      <c r="AL640" s="18"/>
      <c r="AM640" s="18"/>
      <c r="AN640" s="18"/>
    </row>
    <row r="641" spans="2:40" ht="21.95" customHeight="1" x14ac:dyDescent="0.2">
      <c r="B641" s="182"/>
      <c r="C641" s="116"/>
      <c r="D641" s="240"/>
      <c r="E641" s="1340" t="s">
        <v>323</v>
      </c>
      <c r="F641" s="220" t="s">
        <v>282</v>
      </c>
      <c r="G641" s="220" t="s">
        <v>339</v>
      </c>
      <c r="H641" s="577">
        <f>Speed!AX153</f>
        <v>41.1</v>
      </c>
      <c r="I641" s="577">
        <f>Speed!AY153</f>
        <v>41.1</v>
      </c>
      <c r="J641" s="577">
        <f>Speed!AZ153</f>
        <v>41.1</v>
      </c>
      <c r="K641" s="577">
        <f>Speed!BA153</f>
        <v>41.1</v>
      </c>
      <c r="L641" s="577">
        <f>Speed!BB153</f>
        <v>41.1</v>
      </c>
      <c r="M641" s="577">
        <f>Speed!BC153</f>
        <v>41.1</v>
      </c>
      <c r="N641" s="577">
        <f>Speed!BD153</f>
        <v>41.09999999999993</v>
      </c>
      <c r="O641" s="577">
        <f>Speed!BE153</f>
        <v>41.099999999999255</v>
      </c>
      <c r="P641" s="577">
        <f>Speed!BF153</f>
        <v>41.099999999995035</v>
      </c>
      <c r="Q641" s="577">
        <f>Speed!BG153</f>
        <v>41.099999999982678</v>
      </c>
      <c r="R641" s="577">
        <f>Speed!BH153</f>
        <v>41.099999999947428</v>
      </c>
      <c r="S641" s="577">
        <f>Speed!BI153</f>
        <v>41.099999999857225</v>
      </c>
      <c r="T641" s="577">
        <f>Speed!BJ153</f>
        <v>41.099999999645902</v>
      </c>
      <c r="U641" s="577">
        <f>Speed!BK153</f>
        <v>41.099999999184973</v>
      </c>
      <c r="V641" s="577">
        <f>Speed!BL153</f>
        <v>41.099999998797685</v>
      </c>
      <c r="W641" s="577">
        <f>Speed!BM153</f>
        <v>41.09999999866691</v>
      </c>
      <c r="X641" s="577">
        <f>Speed!BN153</f>
        <v>41.099999998523465</v>
      </c>
      <c r="Y641" s="577">
        <f>Speed!BO153</f>
        <v>41.099999998366279</v>
      </c>
      <c r="Z641" s="577">
        <f>Speed!BP153</f>
        <v>41.099999998193667</v>
      </c>
      <c r="AA641" s="577">
        <f>Speed!BQ153</f>
        <v>41.09999999800538</v>
      </c>
      <c r="AB641" s="577">
        <f>Speed!BR153</f>
        <v>41.099999997798982</v>
      </c>
      <c r="AC641" s="577">
        <f>Speed!BS153</f>
        <v>41.099999997574244</v>
      </c>
      <c r="AD641" s="577">
        <f>Speed!BT153</f>
        <v>41.099999997329064</v>
      </c>
      <c r="AE641" s="577">
        <f>Speed!BU153</f>
        <v>41.099999997060998</v>
      </c>
      <c r="AF641" s="577">
        <f>Speed!BV153</f>
        <v>41.099999996769824</v>
      </c>
      <c r="AG641" s="725">
        <f>Speed!BW153</f>
        <v>41.099999996452944</v>
      </c>
      <c r="AH641" s="18"/>
      <c r="AI641" s="18"/>
      <c r="AJ641" s="18"/>
      <c r="AK641" s="18"/>
      <c r="AL641" s="18"/>
      <c r="AM641" s="18"/>
      <c r="AN641" s="18"/>
    </row>
    <row r="642" spans="2:40" ht="21.95" customHeight="1" x14ac:dyDescent="0.2">
      <c r="B642" s="182"/>
      <c r="C642" s="116"/>
      <c r="D642" s="240"/>
      <c r="E642" s="1339"/>
      <c r="F642" s="116" t="s">
        <v>339</v>
      </c>
      <c r="G642" s="116" t="s">
        <v>288</v>
      </c>
      <c r="H642" s="577">
        <f>Speed!AX154</f>
        <v>41.1</v>
      </c>
      <c r="I642" s="577">
        <f>Speed!AY154</f>
        <v>41.1</v>
      </c>
      <c r="J642" s="577">
        <f>Speed!AZ154</f>
        <v>41.1</v>
      </c>
      <c r="K642" s="577">
        <f>Speed!BA154</f>
        <v>41.1</v>
      </c>
      <c r="L642" s="577">
        <f>Speed!BB154</f>
        <v>41.1</v>
      </c>
      <c r="M642" s="577">
        <f>Speed!BC154</f>
        <v>41.1</v>
      </c>
      <c r="N642" s="577">
        <f>Speed!BD154</f>
        <v>41.09999999999993</v>
      </c>
      <c r="O642" s="577">
        <f>Speed!BE154</f>
        <v>41.099999999999255</v>
      </c>
      <c r="P642" s="577">
        <f>Speed!BF154</f>
        <v>41.099999999995035</v>
      </c>
      <c r="Q642" s="577">
        <f>Speed!BG154</f>
        <v>41.099999999982678</v>
      </c>
      <c r="R642" s="577">
        <f>Speed!BH154</f>
        <v>41.099999999947428</v>
      </c>
      <c r="S642" s="577">
        <f>Speed!BI154</f>
        <v>41.099999999857225</v>
      </c>
      <c r="T642" s="577">
        <f>Speed!BJ154</f>
        <v>41.099999999645902</v>
      </c>
      <c r="U642" s="577">
        <f>Speed!BK154</f>
        <v>41.099999999184973</v>
      </c>
      <c r="V642" s="577">
        <f>Speed!BL154</f>
        <v>41.099999998797685</v>
      </c>
      <c r="W642" s="577">
        <f>Speed!BM154</f>
        <v>41.09999999866691</v>
      </c>
      <c r="X642" s="577">
        <f>Speed!BN154</f>
        <v>41.099999998523465</v>
      </c>
      <c r="Y642" s="577">
        <f>Speed!BO154</f>
        <v>41.099999998366279</v>
      </c>
      <c r="Z642" s="577">
        <f>Speed!BP154</f>
        <v>41.099999998193667</v>
      </c>
      <c r="AA642" s="577">
        <f>Speed!BQ154</f>
        <v>41.09999999800538</v>
      </c>
      <c r="AB642" s="577">
        <f>Speed!BR154</f>
        <v>41.099999997798982</v>
      </c>
      <c r="AC642" s="577">
        <f>Speed!BS154</f>
        <v>41.099999997574244</v>
      </c>
      <c r="AD642" s="577">
        <f>Speed!BT154</f>
        <v>41.099999997329064</v>
      </c>
      <c r="AE642" s="577">
        <f>Speed!BU154</f>
        <v>41.099999997060998</v>
      </c>
      <c r="AF642" s="577">
        <f>Speed!BV154</f>
        <v>41.099999996769824</v>
      </c>
      <c r="AG642" s="725">
        <f>Speed!BW154</f>
        <v>41.099999996452944</v>
      </c>
      <c r="AH642" s="18"/>
      <c r="AI642" s="18"/>
      <c r="AJ642" s="18"/>
      <c r="AK642" s="18"/>
      <c r="AL642" s="18"/>
      <c r="AM642" s="18"/>
      <c r="AN642" s="18"/>
    </row>
    <row r="643" spans="2:40" ht="21.95" customHeight="1" x14ac:dyDescent="0.2">
      <c r="B643" s="182"/>
      <c r="C643" s="116"/>
      <c r="D643" s="240"/>
      <c r="E643" s="1339"/>
      <c r="F643" s="116" t="s">
        <v>288</v>
      </c>
      <c r="G643" s="116" t="s">
        <v>340</v>
      </c>
      <c r="H643" s="577">
        <f>Speed!AX155</f>
        <v>41.1</v>
      </c>
      <c r="I643" s="577">
        <f>Speed!AY155</f>
        <v>41.1</v>
      </c>
      <c r="J643" s="577">
        <f>Speed!AZ155</f>
        <v>41.1</v>
      </c>
      <c r="K643" s="577">
        <f>Speed!BA155</f>
        <v>41.1</v>
      </c>
      <c r="L643" s="577">
        <f>Speed!BB155</f>
        <v>41.1</v>
      </c>
      <c r="M643" s="577">
        <f>Speed!BC155</f>
        <v>41.1</v>
      </c>
      <c r="N643" s="577">
        <f>Speed!BD155</f>
        <v>41.09999999999993</v>
      </c>
      <c r="O643" s="577">
        <f>Speed!BE155</f>
        <v>41.099999999999255</v>
      </c>
      <c r="P643" s="577">
        <f>Speed!BF155</f>
        <v>41.099999999995035</v>
      </c>
      <c r="Q643" s="577">
        <f>Speed!BG155</f>
        <v>41.099999999982678</v>
      </c>
      <c r="R643" s="577">
        <f>Speed!BH155</f>
        <v>41.099999999947428</v>
      </c>
      <c r="S643" s="577">
        <f>Speed!BI155</f>
        <v>41.099999999857225</v>
      </c>
      <c r="T643" s="577">
        <f>Speed!BJ155</f>
        <v>41.099999999645902</v>
      </c>
      <c r="U643" s="577">
        <f>Speed!BK155</f>
        <v>41.099999999184973</v>
      </c>
      <c r="V643" s="577">
        <f>Speed!BL155</f>
        <v>41.099999998797685</v>
      </c>
      <c r="W643" s="577">
        <f>Speed!BM155</f>
        <v>41.09999999866691</v>
      </c>
      <c r="X643" s="577">
        <f>Speed!BN155</f>
        <v>41.099999998523465</v>
      </c>
      <c r="Y643" s="577">
        <f>Speed!BO155</f>
        <v>41.099999998366279</v>
      </c>
      <c r="Z643" s="577">
        <f>Speed!BP155</f>
        <v>41.099999998193667</v>
      </c>
      <c r="AA643" s="577">
        <f>Speed!BQ155</f>
        <v>41.09999999800538</v>
      </c>
      <c r="AB643" s="577">
        <f>Speed!BR155</f>
        <v>41.099999997798982</v>
      </c>
      <c r="AC643" s="577">
        <f>Speed!BS155</f>
        <v>41.099999997574244</v>
      </c>
      <c r="AD643" s="577">
        <f>Speed!BT155</f>
        <v>41.099999997329064</v>
      </c>
      <c r="AE643" s="577">
        <f>Speed!BU155</f>
        <v>41.099999997060998</v>
      </c>
      <c r="AF643" s="577">
        <f>Speed!BV155</f>
        <v>41.099999996769824</v>
      </c>
      <c r="AG643" s="725">
        <f>Speed!BW155</f>
        <v>41.099999996452944</v>
      </c>
      <c r="AH643" s="18"/>
      <c r="AI643" s="18"/>
      <c r="AJ643" s="18"/>
      <c r="AK643" s="18"/>
      <c r="AL643" s="18"/>
      <c r="AM643" s="18"/>
      <c r="AN643" s="18"/>
    </row>
    <row r="644" spans="2:40" ht="21.95" customHeight="1" x14ac:dyDescent="0.2">
      <c r="B644" s="182"/>
      <c r="C644" s="116"/>
      <c r="D644" s="240"/>
      <c r="E644" s="1353"/>
      <c r="F644" s="254" t="s">
        <v>340</v>
      </c>
      <c r="G644" s="254" t="s">
        <v>280</v>
      </c>
      <c r="H644" s="577">
        <f>Speed!AX156</f>
        <v>41.1</v>
      </c>
      <c r="I644" s="577">
        <f>Speed!AY156</f>
        <v>41.1</v>
      </c>
      <c r="J644" s="577">
        <f>Speed!AZ156</f>
        <v>41.1</v>
      </c>
      <c r="K644" s="577">
        <f>Speed!BA156</f>
        <v>41.1</v>
      </c>
      <c r="L644" s="577">
        <f>Speed!BB156</f>
        <v>41.1</v>
      </c>
      <c r="M644" s="577">
        <f>Speed!BC156</f>
        <v>41.1</v>
      </c>
      <c r="N644" s="577">
        <f>Speed!BD156</f>
        <v>41.1</v>
      </c>
      <c r="O644" s="577">
        <f>Speed!BE156</f>
        <v>41.1</v>
      </c>
      <c r="P644" s="577">
        <f>Speed!BF156</f>
        <v>41.1</v>
      </c>
      <c r="Q644" s="577">
        <f>Speed!BG156</f>
        <v>41.1</v>
      </c>
      <c r="R644" s="577">
        <f>Speed!BH156</f>
        <v>41.099999999999973</v>
      </c>
      <c r="S644" s="577">
        <f>Speed!BI156</f>
        <v>41.099999999999838</v>
      </c>
      <c r="T644" s="577">
        <f>Speed!BJ156</f>
        <v>41.099999999999291</v>
      </c>
      <c r="U644" s="577">
        <f>Speed!BK156</f>
        <v>41.099999999997429</v>
      </c>
      <c r="V644" s="577">
        <f>Speed!BL156</f>
        <v>41.09999999999399</v>
      </c>
      <c r="W644" s="577">
        <f>Speed!BM156</f>
        <v>41.099999999992619</v>
      </c>
      <c r="X644" s="577">
        <f>Speed!BN156</f>
        <v>41.099999999990985</v>
      </c>
      <c r="Y644" s="577">
        <f>Speed!BO156</f>
        <v>41.099999999989024</v>
      </c>
      <c r="Z644" s="577">
        <f>Speed!BP156</f>
        <v>41.099999999986693</v>
      </c>
      <c r="AA644" s="577">
        <f>Speed!BQ156</f>
        <v>41.099999999983922</v>
      </c>
      <c r="AB644" s="577">
        <f>Speed!BR156</f>
        <v>41.099999999980653</v>
      </c>
      <c r="AC644" s="577">
        <f>Speed!BS156</f>
        <v>41.099999999976788</v>
      </c>
      <c r="AD644" s="577">
        <f>Speed!BT156</f>
        <v>41.099999999972241</v>
      </c>
      <c r="AE644" s="577">
        <f>Speed!BU156</f>
        <v>41.099999999966919</v>
      </c>
      <c r="AF644" s="577">
        <f>Speed!BV156</f>
        <v>41.099999999960666</v>
      </c>
      <c r="AG644" s="725">
        <f>Speed!BW156</f>
        <v>41.099999999953383</v>
      </c>
      <c r="AH644" s="18"/>
      <c r="AI644" s="18"/>
      <c r="AJ644" s="18"/>
      <c r="AK644" s="18"/>
      <c r="AL644" s="18"/>
      <c r="AM644" s="18"/>
      <c r="AN644" s="18"/>
    </row>
    <row r="645" spans="2:40" ht="21.95" customHeight="1" x14ac:dyDescent="0.2">
      <c r="B645" s="182"/>
      <c r="C645" s="116"/>
      <c r="D645" s="240"/>
      <c r="E645" s="1340" t="s">
        <v>334</v>
      </c>
      <c r="F645" s="116" t="s">
        <v>336</v>
      </c>
      <c r="G645" s="116" t="s">
        <v>337</v>
      </c>
      <c r="H645" s="577">
        <f>Speed!AX157</f>
        <v>50.899999994148452</v>
      </c>
      <c r="I645" s="577">
        <f>Speed!AY157</f>
        <v>50.899999994148452</v>
      </c>
      <c r="J645" s="577">
        <f>Speed!AZ157</f>
        <v>50.899999992309866</v>
      </c>
      <c r="K645" s="577">
        <f>Speed!BA157</f>
        <v>50.899999988227918</v>
      </c>
      <c r="L645" s="577">
        <f>Speed!BB157</f>
        <v>50.899999979006843</v>
      </c>
      <c r="M645" s="577">
        <f>Speed!BC157</f>
        <v>50.899999963720219</v>
      </c>
      <c r="N645" s="577">
        <f>Speed!BD157</f>
        <v>50.89999993905851</v>
      </c>
      <c r="O645" s="577">
        <f>Speed!BE157</f>
        <v>50.899999900236658</v>
      </c>
      <c r="P645" s="577">
        <f>Speed!BF157</f>
        <v>50.899999840356841</v>
      </c>
      <c r="Q645" s="577">
        <f>Speed!BG157</f>
        <v>50.899999761684938</v>
      </c>
      <c r="R645" s="577">
        <f>Speed!BH157</f>
        <v>50.899999649651292</v>
      </c>
      <c r="S645" s="577">
        <f>Speed!BI157</f>
        <v>50.89999949232017</v>
      </c>
      <c r="T645" s="577">
        <f>Speed!BJ157</f>
        <v>50.899999274032403</v>
      </c>
      <c r="U645" s="577">
        <f>Speed!BK157</f>
        <v>50.899998974280656</v>
      </c>
      <c r="V645" s="577">
        <f>Speed!BL157</f>
        <v>50.89999871875532</v>
      </c>
      <c r="W645" s="577">
        <f>Speed!BM157</f>
        <v>50.899998495980775</v>
      </c>
      <c r="X645" s="577">
        <f>Speed!BN157</f>
        <v>50.89999823893173</v>
      </c>
      <c r="Y645" s="577">
        <f>Speed!BO157</f>
        <v>50.899997942998453</v>
      </c>
      <c r="Z645" s="577">
        <f>Speed!BP157</f>
        <v>50.899997602802998</v>
      </c>
      <c r="AA645" s="577">
        <f>Speed!BQ157</f>
        <v>50.899997213051321</v>
      </c>
      <c r="AB645" s="577">
        <f>Speed!BR157</f>
        <v>50.899996766860383</v>
      </c>
      <c r="AC645" s="577">
        <f>Speed!BS157</f>
        <v>50.899996257726706</v>
      </c>
      <c r="AD645" s="577">
        <f>Speed!BT157</f>
        <v>50.899995677538541</v>
      </c>
      <c r="AE645" s="577">
        <f>Speed!BU157</f>
        <v>50.899995017160975</v>
      </c>
      <c r="AF645" s="577">
        <f>Speed!BV157</f>
        <v>50.899994267843233</v>
      </c>
      <c r="AG645" s="725">
        <f>Speed!BW157</f>
        <v>50.899993418593958</v>
      </c>
      <c r="AH645" s="18"/>
      <c r="AI645" s="18"/>
      <c r="AJ645" s="18"/>
      <c r="AK645" s="18"/>
      <c r="AL645" s="18"/>
      <c r="AM645" s="18"/>
      <c r="AN645" s="18"/>
    </row>
    <row r="646" spans="2:40" ht="21.95" customHeight="1" x14ac:dyDescent="0.2">
      <c r="B646" s="182"/>
      <c r="C646" s="116"/>
      <c r="D646" s="240"/>
      <c r="E646" s="1339"/>
      <c r="F646" s="116" t="s">
        <v>337</v>
      </c>
      <c r="G646" s="116" t="s">
        <v>386</v>
      </c>
      <c r="H646" s="577">
        <f>Speed!AX158</f>
        <v>48.399999786671671</v>
      </c>
      <c r="I646" s="577">
        <f>Speed!AY158</f>
        <v>48.399999786671671</v>
      </c>
      <c r="J646" s="577">
        <f>Speed!AZ158</f>
        <v>48.39999978345007</v>
      </c>
      <c r="K646" s="577">
        <f>Speed!BA158</f>
        <v>48.399999780184736</v>
      </c>
      <c r="L646" s="577">
        <f>Speed!BB158</f>
        <v>48.399999776875156</v>
      </c>
      <c r="M646" s="577">
        <f>Speed!BC158</f>
        <v>48.39999977352079</v>
      </c>
      <c r="N646" s="577">
        <f>Speed!BD158</f>
        <v>48.39999977012112</v>
      </c>
      <c r="O646" s="577">
        <f>Speed!BE158</f>
        <v>48.399999766675577</v>
      </c>
      <c r="P646" s="577">
        <f>Speed!BF158</f>
        <v>48.399999763183637</v>
      </c>
      <c r="Q646" s="577">
        <f>Speed!BG158</f>
        <v>48.399999759644729</v>
      </c>
      <c r="R646" s="577">
        <f>Speed!BH158</f>
        <v>48.399999759644729</v>
      </c>
      <c r="S646" s="577">
        <f>Speed!BI158</f>
        <v>48.399999759644729</v>
      </c>
      <c r="T646" s="577">
        <f>Speed!BJ158</f>
        <v>48.399999759644729</v>
      </c>
      <c r="U646" s="577">
        <f>Speed!BK158</f>
        <v>48.399999759644729</v>
      </c>
      <c r="V646" s="577">
        <f>Speed!BL158</f>
        <v>48.399999759644729</v>
      </c>
      <c r="W646" s="577">
        <f>Speed!BM158</f>
        <v>48.39999974338803</v>
      </c>
      <c r="X646" s="577">
        <f>Speed!BN158</f>
        <v>48.399999700756929</v>
      </c>
      <c r="Y646" s="577">
        <f>Speed!BO158</f>
        <v>48.399999651854365</v>
      </c>
      <c r="Z646" s="577">
        <f>Speed!BP158</f>
        <v>48.399999595859278</v>
      </c>
      <c r="AA646" s="577">
        <f>Speed!BQ158</f>
        <v>48.399999531901088</v>
      </c>
      <c r="AB646" s="577">
        <f>Speed!BR158</f>
        <v>48.399999458955001</v>
      </c>
      <c r="AC646" s="577">
        <f>Speed!BS158</f>
        <v>48.399999375953591</v>
      </c>
      <c r="AD646" s="577">
        <f>Speed!BT158</f>
        <v>48.399999281663092</v>
      </c>
      <c r="AE646" s="577">
        <f>Speed!BU158</f>
        <v>48.399999174712164</v>
      </c>
      <c r="AF646" s="577">
        <f>Speed!BV158</f>
        <v>48.399999053667507</v>
      </c>
      <c r="AG646" s="725">
        <f>Speed!BW158</f>
        <v>48.399998916872562</v>
      </c>
      <c r="AH646" s="18"/>
      <c r="AI646" s="18"/>
      <c r="AJ646" s="18"/>
      <c r="AK646" s="18"/>
      <c r="AL646" s="18"/>
      <c r="AM646" s="18"/>
      <c r="AN646" s="18"/>
    </row>
    <row r="647" spans="2:40" ht="21.95" customHeight="1" x14ac:dyDescent="0.2">
      <c r="B647" s="182"/>
      <c r="C647" s="116"/>
      <c r="D647" s="240"/>
      <c r="E647" s="1339"/>
      <c r="F647" s="116" t="s">
        <v>342</v>
      </c>
      <c r="G647" s="116" t="s">
        <v>341</v>
      </c>
      <c r="H647" s="577">
        <f>Speed!AX159</f>
        <v>43.399999750246479</v>
      </c>
      <c r="I647" s="577">
        <f>Speed!AY159</f>
        <v>43.399999750246479</v>
      </c>
      <c r="J647" s="577">
        <f>Speed!AZ159</f>
        <v>43.399999746474791</v>
      </c>
      <c r="K647" s="577">
        <f>Speed!BA159</f>
        <v>43.399999742651914</v>
      </c>
      <c r="L647" s="577">
        <f>Speed!BB159</f>
        <v>43.399999738777232</v>
      </c>
      <c r="M647" s="577">
        <f>Speed!BC159</f>
        <v>43.399999734850127</v>
      </c>
      <c r="N647" s="577">
        <f>Speed!BD159</f>
        <v>43.399999730869965</v>
      </c>
      <c r="O647" s="577">
        <f>Speed!BE159</f>
        <v>43.399999726836114</v>
      </c>
      <c r="P647" s="577">
        <f>Speed!BF159</f>
        <v>43.399999722747928</v>
      </c>
      <c r="Q647" s="577">
        <f>Speed!BG159</f>
        <v>43.399999718604761</v>
      </c>
      <c r="R647" s="577">
        <f>Speed!BH159</f>
        <v>43.399999718604761</v>
      </c>
      <c r="S647" s="577">
        <f>Speed!BI159</f>
        <v>43.399999718604761</v>
      </c>
      <c r="T647" s="577">
        <f>Speed!BJ159</f>
        <v>43.399999718604761</v>
      </c>
      <c r="U647" s="577">
        <f>Speed!BK159</f>
        <v>43.399999718604761</v>
      </c>
      <c r="V647" s="577">
        <f>Speed!BL159</f>
        <v>43.399999718604761</v>
      </c>
      <c r="W647" s="577">
        <f>Speed!BM159</f>
        <v>43.399999699572284</v>
      </c>
      <c r="X647" s="577">
        <f>Speed!BN159</f>
        <v>43.399999649662043</v>
      </c>
      <c r="Y647" s="577">
        <f>Speed!BO159</f>
        <v>43.399999592409507</v>
      </c>
      <c r="Z647" s="577">
        <f>Speed!BP159</f>
        <v>43.399999526853428</v>
      </c>
      <c r="AA647" s="577">
        <f>Speed!BQ159</f>
        <v>43.399999451974558</v>
      </c>
      <c r="AB647" s="577">
        <f>Speed!BR159</f>
        <v>43.399999366573141</v>
      </c>
      <c r="AC647" s="577">
        <f>Speed!BS159</f>
        <v>43.39999926939948</v>
      </c>
      <c r="AD647" s="577">
        <f>Speed!BT159</f>
        <v>43.399999159009141</v>
      </c>
      <c r="AE647" s="577">
        <f>Speed!BU159</f>
        <v>43.399999033796668</v>
      </c>
      <c r="AF647" s="577">
        <f>Speed!BV159</f>
        <v>43.399998892083971</v>
      </c>
      <c r="AG647" s="725">
        <f>Speed!BW159</f>
        <v>43.399998731931703</v>
      </c>
      <c r="AH647" s="18"/>
      <c r="AI647" s="18"/>
      <c r="AJ647" s="18"/>
      <c r="AK647" s="18"/>
      <c r="AL647" s="18"/>
      <c r="AM647" s="18"/>
      <c r="AN647" s="18"/>
    </row>
    <row r="648" spans="2:40" ht="21.95" customHeight="1" x14ac:dyDescent="0.2">
      <c r="B648" s="182"/>
      <c r="C648" s="116"/>
      <c r="D648" s="240"/>
      <c r="E648" s="1339"/>
      <c r="F648" s="116" t="s">
        <v>341</v>
      </c>
      <c r="G648" s="116" t="s">
        <v>344</v>
      </c>
      <c r="H648" s="577">
        <f>Speed!AX160</f>
        <v>46.59999890831903</v>
      </c>
      <c r="I648" s="577">
        <f>Speed!AY160</f>
        <v>46.59999890831903</v>
      </c>
      <c r="J648" s="577">
        <f>Speed!AZ160</f>
        <v>46.599998891832847</v>
      </c>
      <c r="K648" s="577">
        <f>Speed!BA160</f>
        <v>46.599998875122914</v>
      </c>
      <c r="L648" s="577">
        <f>Speed!BB160</f>
        <v>46.599998858186559</v>
      </c>
      <c r="M648" s="577">
        <f>Speed!BC160</f>
        <v>46.599998841021055</v>
      </c>
      <c r="N648" s="577">
        <f>Speed!BD160</f>
        <v>46.599998823623643</v>
      </c>
      <c r="O648" s="577">
        <f>Speed!BE160</f>
        <v>46.599998805991547</v>
      </c>
      <c r="P648" s="577">
        <f>Speed!BF160</f>
        <v>46.599998788121951</v>
      </c>
      <c r="Q648" s="577">
        <f>Speed!BG160</f>
        <v>46.599998770012036</v>
      </c>
      <c r="R648" s="577">
        <f>Speed!BH160</f>
        <v>46.599998770012036</v>
      </c>
      <c r="S648" s="577">
        <f>Speed!BI160</f>
        <v>46.599998770012036</v>
      </c>
      <c r="T648" s="577">
        <f>Speed!BJ160</f>
        <v>46.599998770012036</v>
      </c>
      <c r="U648" s="577">
        <f>Speed!BK160</f>
        <v>46.599998770012036</v>
      </c>
      <c r="V648" s="577">
        <f>Speed!BL160</f>
        <v>46.599998770012036</v>
      </c>
      <c r="W648" s="577">
        <f>Speed!BM160</f>
        <v>46.599998770012036</v>
      </c>
      <c r="X648" s="577">
        <f>Speed!BN160</f>
        <v>46.599998770012036</v>
      </c>
      <c r="Y648" s="577">
        <f>Speed!BO160</f>
        <v>46.599998770012036</v>
      </c>
      <c r="Z648" s="577">
        <f>Speed!BP160</f>
        <v>46.599998770012036</v>
      </c>
      <c r="AA648" s="577">
        <f>Speed!BQ160</f>
        <v>46.599998600224446</v>
      </c>
      <c r="AB648" s="577">
        <f>Speed!BR160</f>
        <v>46.59999838209076</v>
      </c>
      <c r="AC648" s="577">
        <f>Speed!BS160</f>
        <v>46.599998133888207</v>
      </c>
      <c r="AD648" s="577">
        <f>Speed!BT160</f>
        <v>46.599997851927426</v>
      </c>
      <c r="AE648" s="577">
        <f>Speed!BU160</f>
        <v>46.599997532107679</v>
      </c>
      <c r="AF648" s="577">
        <f>Speed!BV160</f>
        <v>46.599997170142821</v>
      </c>
      <c r="AG648" s="725">
        <f>Speed!BW160</f>
        <v>46.599996761079304</v>
      </c>
      <c r="AH648" s="18"/>
      <c r="AI648" s="18"/>
      <c r="AJ648" s="18"/>
      <c r="AK648" s="18"/>
      <c r="AL648" s="18"/>
      <c r="AM648" s="18"/>
      <c r="AN648" s="18"/>
    </row>
    <row r="649" spans="2:40" ht="21.95" customHeight="1" x14ac:dyDescent="0.2">
      <c r="B649" s="182"/>
      <c r="C649" s="116"/>
      <c r="D649" s="240"/>
      <c r="E649" s="1339"/>
      <c r="F649" s="116" t="s">
        <v>344</v>
      </c>
      <c r="G649" s="116" t="s">
        <v>345</v>
      </c>
      <c r="H649" s="577">
        <f>Speed!AX161</f>
        <v>56.59999951261819</v>
      </c>
      <c r="I649" s="577">
        <f>Speed!AY161</f>
        <v>56.59999951261819</v>
      </c>
      <c r="J649" s="577">
        <f>Speed!AZ161</f>
        <v>56.599999505257912</v>
      </c>
      <c r="K649" s="577">
        <f>Speed!BA161</f>
        <v>56.599999497797754</v>
      </c>
      <c r="L649" s="577">
        <f>Speed!BB161</f>
        <v>56.599999490236506</v>
      </c>
      <c r="M649" s="577">
        <f>Speed!BC161</f>
        <v>56.599999482572947</v>
      </c>
      <c r="N649" s="577">
        <f>Speed!BD161</f>
        <v>56.599999474805863</v>
      </c>
      <c r="O649" s="577">
        <f>Speed!BE161</f>
        <v>56.599999466933994</v>
      </c>
      <c r="P649" s="577">
        <f>Speed!BF161</f>
        <v>56.599999458956106</v>
      </c>
      <c r="Q649" s="577">
        <f>Speed!BG161</f>
        <v>56.599999450870911</v>
      </c>
      <c r="R649" s="577">
        <f>Speed!BH161</f>
        <v>56.599999450870911</v>
      </c>
      <c r="S649" s="577">
        <f>Speed!BI161</f>
        <v>56.599999450870911</v>
      </c>
      <c r="T649" s="577">
        <f>Speed!BJ161</f>
        <v>56.599999450870911</v>
      </c>
      <c r="U649" s="577">
        <f>Speed!BK161</f>
        <v>56.599999450870911</v>
      </c>
      <c r="V649" s="577">
        <f>Speed!BL161</f>
        <v>56.599999450870911</v>
      </c>
      <c r="W649" s="577">
        <f>Speed!BM161</f>
        <v>56.599999450870911</v>
      </c>
      <c r="X649" s="577">
        <f>Speed!BN161</f>
        <v>56.599999450870911</v>
      </c>
      <c r="Y649" s="577">
        <f>Speed!BO161</f>
        <v>56.599999450870911</v>
      </c>
      <c r="Z649" s="577">
        <f>Speed!BP161</f>
        <v>56.599999450870911</v>
      </c>
      <c r="AA649" s="577">
        <f>Speed!BQ161</f>
        <v>56.59999937506911</v>
      </c>
      <c r="AB649" s="577">
        <f>Speed!BR161</f>
        <v>56.59999927768316</v>
      </c>
      <c r="AC649" s="577">
        <f>Speed!BS161</f>
        <v>56.599999166872927</v>
      </c>
      <c r="AD649" s="577">
        <f>Speed!BT161</f>
        <v>56.599999040991314</v>
      </c>
      <c r="AE649" s="577">
        <f>Speed!BU161</f>
        <v>56.599998898207538</v>
      </c>
      <c r="AF649" s="577">
        <f>Speed!BV161</f>
        <v>56.599998736608029</v>
      </c>
      <c r="AG649" s="725">
        <f>Speed!BW161</f>
        <v>56.599998553981294</v>
      </c>
      <c r="AH649" s="18"/>
      <c r="AI649" s="18"/>
      <c r="AJ649" s="18"/>
      <c r="AK649" s="18"/>
      <c r="AL649" s="18"/>
      <c r="AM649" s="18"/>
      <c r="AN649" s="18"/>
    </row>
    <row r="650" spans="2:40" ht="21.95" customHeight="1" x14ac:dyDescent="0.2">
      <c r="B650" s="182"/>
      <c r="C650" s="116"/>
      <c r="D650" s="240"/>
      <c r="E650" s="1339"/>
      <c r="F650" s="116" t="s">
        <v>345</v>
      </c>
      <c r="G650" s="116" t="s">
        <v>323</v>
      </c>
      <c r="H650" s="577">
        <f>Speed!AX162</f>
        <v>69.099999497319118</v>
      </c>
      <c r="I650" s="577">
        <f>Speed!AY162</f>
        <v>69.099999497319118</v>
      </c>
      <c r="J650" s="577">
        <f>Speed!AZ162</f>
        <v>69.099999369247215</v>
      </c>
      <c r="K650" s="577">
        <f>Speed!BA162</f>
        <v>69.099999128796725</v>
      </c>
      <c r="L650" s="577">
        <f>Speed!BB162</f>
        <v>69.099998733612026</v>
      </c>
      <c r="M650" s="577">
        <f>Speed!BC162</f>
        <v>69.099998183660176</v>
      </c>
      <c r="N650" s="577">
        <f>Speed!BD162</f>
        <v>69.099997427308267</v>
      </c>
      <c r="O650" s="577">
        <f>Speed!BE162</f>
        <v>69.099996398854699</v>
      </c>
      <c r="P650" s="577">
        <f>Speed!BF162</f>
        <v>69.099995013278019</v>
      </c>
      <c r="Q650" s="577">
        <f>Speed!BG162</f>
        <v>69.099993455720465</v>
      </c>
      <c r="R650" s="577">
        <f>Speed!BH162</f>
        <v>69.099991473343863</v>
      </c>
      <c r="S650" s="577">
        <f>Speed!BI162</f>
        <v>69.099988965852148</v>
      </c>
      <c r="T650" s="577">
        <f>Speed!BJ162</f>
        <v>69.099985813184134</v>
      </c>
      <c r="U650" s="577">
        <f>Speed!BK162</f>
        <v>69.099981869066937</v>
      </c>
      <c r="V650" s="577">
        <f>Speed!BL162</f>
        <v>69.099977999100588</v>
      </c>
      <c r="W650" s="577">
        <f>Speed!BM162</f>
        <v>69.0999742824565</v>
      </c>
      <c r="X650" s="577">
        <f>Speed!BN162</f>
        <v>69.099970009987359</v>
      </c>
      <c r="Y650" s="577">
        <f>Speed!BO162</f>
        <v>69.099965108995406</v>
      </c>
      <c r="Z650" s="577">
        <f>Speed!BP162</f>
        <v>69.099959497196082</v>
      </c>
      <c r="AA650" s="577">
        <f>Speed!BQ162</f>
        <v>69.099953087337894</v>
      </c>
      <c r="AB650" s="577">
        <f>Speed!BR162</f>
        <v>69.099945776719935</v>
      </c>
      <c r="AC650" s="577">
        <f>Speed!BS162</f>
        <v>69.099937458363996</v>
      </c>
      <c r="AD650" s="577">
        <f>Speed!BT162</f>
        <v>69.099928008624133</v>
      </c>
      <c r="AE650" s="577">
        <f>Speed!BU162</f>
        <v>69.099917290067566</v>
      </c>
      <c r="AF650" s="577">
        <f>Speed!BV162</f>
        <v>69.099905159048305</v>
      </c>
      <c r="AG650" s="725">
        <f>Speed!BW162</f>
        <v>69.099891449552487</v>
      </c>
      <c r="AH650" s="18"/>
      <c r="AI650" s="18"/>
      <c r="AJ650" s="18"/>
      <c r="AK650" s="18"/>
      <c r="AL650" s="18"/>
      <c r="AM650" s="18"/>
      <c r="AN650" s="18"/>
    </row>
    <row r="651" spans="2:40" ht="21.95" customHeight="1" x14ac:dyDescent="0.2">
      <c r="B651" s="182"/>
      <c r="C651" s="116"/>
      <c r="D651" s="240"/>
      <c r="E651" s="1339"/>
      <c r="F651" s="116" t="s">
        <v>323</v>
      </c>
      <c r="G651" s="116" t="s">
        <v>347</v>
      </c>
      <c r="H651" s="577">
        <f>Speed!AX163</f>
        <v>69.099999497319118</v>
      </c>
      <c r="I651" s="577">
        <f>Speed!AY163</f>
        <v>69.099999497319118</v>
      </c>
      <c r="J651" s="577">
        <f>Speed!AZ163</f>
        <v>69.099999374523392</v>
      </c>
      <c r="K651" s="577">
        <f>Speed!BA163</f>
        <v>69.099999142873273</v>
      </c>
      <c r="L651" s="577">
        <f>Speed!BB163</f>
        <v>69.099998739003652</v>
      </c>
      <c r="M651" s="577">
        <f>Speed!BC163</f>
        <v>69.099998171070283</v>
      </c>
      <c r="N651" s="577">
        <f>Speed!BD163</f>
        <v>69.099997382532933</v>
      </c>
      <c r="O651" s="577">
        <f>Speed!BE163</f>
        <v>69.099996300512586</v>
      </c>
      <c r="P651" s="577">
        <f>Speed!BF163</f>
        <v>69.099994830436714</v>
      </c>
      <c r="Q651" s="577">
        <f>Speed!BG163</f>
        <v>69.099993103628066</v>
      </c>
      <c r="R651" s="577">
        <f>Speed!BH163</f>
        <v>69.09999087374652</v>
      </c>
      <c r="S651" s="577">
        <f>Speed!BI163</f>
        <v>69.099988015028288</v>
      </c>
      <c r="T651" s="577">
        <f>Speed!BJ163</f>
        <v>69.099984374209768</v>
      </c>
      <c r="U651" s="577">
        <f>Speed!BK163</f>
        <v>69.099979764162583</v>
      </c>
      <c r="V651" s="577">
        <f>Speed!BL163</f>
        <v>69.09997547269451</v>
      </c>
      <c r="W651" s="577">
        <f>Speed!BM163</f>
        <v>69.099971540917181</v>
      </c>
      <c r="X651" s="577">
        <f>Speed!BN163</f>
        <v>69.099967050717794</v>
      </c>
      <c r="Y651" s="577">
        <f>Speed!BO163</f>
        <v>69.099961932677303</v>
      </c>
      <c r="Z651" s="577">
        <f>Speed!BP163</f>
        <v>69.09995610893705</v>
      </c>
      <c r="AA651" s="577">
        <f>Speed!BQ163</f>
        <v>69.099949496401308</v>
      </c>
      <c r="AB651" s="577">
        <f>Speed!BR163</f>
        <v>69.099941999099869</v>
      </c>
      <c r="AC651" s="577">
        <f>Speed!BS163</f>
        <v>69.09993351603309</v>
      </c>
      <c r="AD651" s="577">
        <f>Speed!BT163</f>
        <v>69.09992393221377</v>
      </c>
      <c r="AE651" s="577">
        <f>Speed!BU163</f>
        <v>69.099913120608178</v>
      </c>
      <c r="AF651" s="577">
        <f>Speed!BV163</f>
        <v>69.099900947226971</v>
      </c>
      <c r="AG651" s="725">
        <f>Speed!BW163</f>
        <v>69.099887259656327</v>
      </c>
      <c r="AH651" s="18"/>
      <c r="AI651" s="18"/>
      <c r="AJ651" s="18"/>
      <c r="AK651" s="18"/>
      <c r="AL651" s="18"/>
      <c r="AM651" s="18"/>
      <c r="AN651" s="18"/>
    </row>
    <row r="652" spans="2:40" ht="21.95" customHeight="1" x14ac:dyDescent="0.2">
      <c r="B652" s="182"/>
      <c r="C652" s="116"/>
      <c r="D652" s="240"/>
      <c r="E652" s="1339"/>
      <c r="F652" s="116" t="s">
        <v>347</v>
      </c>
      <c r="G652" s="116" t="s">
        <v>348</v>
      </c>
      <c r="H652" s="577">
        <f>Speed!AX164</f>
        <v>59.099999329415759</v>
      </c>
      <c r="I652" s="577">
        <f>Speed!AY164</f>
        <v>59.099999329415759</v>
      </c>
      <c r="J652" s="577">
        <f>Speed!AZ164</f>
        <v>59.099999165604316</v>
      </c>
      <c r="K652" s="577">
        <f>Speed!BA164</f>
        <v>59.099998856579383</v>
      </c>
      <c r="L652" s="577">
        <f>Speed!BB164</f>
        <v>59.099998317810929</v>
      </c>
      <c r="M652" s="577">
        <f>Speed!BC164</f>
        <v>59.099997560178835</v>
      </c>
      <c r="N652" s="577">
        <f>Speed!BD164</f>
        <v>59.099996508257568</v>
      </c>
      <c r="O652" s="577">
        <f>Speed!BE164</f>
        <v>59.099995064825357</v>
      </c>
      <c r="P652" s="577">
        <f>Speed!BF164</f>
        <v>59.099993103721012</v>
      </c>
      <c r="Q652" s="577">
        <f>Speed!BG164</f>
        <v>59.099990800131145</v>
      </c>
      <c r="R652" s="577">
        <f>Speed!BH164</f>
        <v>59.099987825434241</v>
      </c>
      <c r="S652" s="577">
        <f>Speed!BI164</f>
        <v>59.099984011859483</v>
      </c>
      <c r="T652" s="577">
        <f>Speed!BJ164</f>
        <v>59.099979154951015</v>
      </c>
      <c r="U652" s="577">
        <f>Speed!BK164</f>
        <v>59.099973005076848</v>
      </c>
      <c r="V652" s="577">
        <f>Speed!BL164</f>
        <v>59.099967280192551</v>
      </c>
      <c r="W652" s="577">
        <f>Speed!BM164</f>
        <v>59.099962035141552</v>
      </c>
      <c r="X652" s="577">
        <f>Speed!BN164</f>
        <v>59.099956045147451</v>
      </c>
      <c r="Y652" s="577">
        <f>Speed!BO164</f>
        <v>59.099949217604305</v>
      </c>
      <c r="Z652" s="577">
        <f>Speed!BP164</f>
        <v>59.099941448647733</v>
      </c>
      <c r="AA652" s="577">
        <f>Speed!BQ164</f>
        <v>59.099932627427094</v>
      </c>
      <c r="AB652" s="577">
        <f>Speed!BR164</f>
        <v>59.099922625917017</v>
      </c>
      <c r="AC652" s="577">
        <f>Speed!BS164</f>
        <v>59.099911309382982</v>
      </c>
      <c r="AD652" s="577">
        <f>Speed!BT164</f>
        <v>59.099898524431012</v>
      </c>
      <c r="AE652" s="577">
        <f>Speed!BU164</f>
        <v>59.099884101596956</v>
      </c>
      <c r="AF652" s="577">
        <f>Speed!BV164</f>
        <v>59.09986786213809</v>
      </c>
      <c r="AG652" s="725">
        <f>Speed!BW164</f>
        <v>59.099849602733407</v>
      </c>
      <c r="AH652" s="18"/>
      <c r="AI652" s="18"/>
      <c r="AJ652" s="18"/>
      <c r="AK652" s="18"/>
      <c r="AL652" s="18"/>
      <c r="AM652" s="18"/>
      <c r="AN652" s="18"/>
    </row>
    <row r="653" spans="2:40" ht="21.95" customHeight="1" x14ac:dyDescent="0.2">
      <c r="B653" s="182"/>
      <c r="C653" s="116"/>
      <c r="D653" s="240"/>
      <c r="E653" s="1353"/>
      <c r="F653" s="254" t="s">
        <v>348</v>
      </c>
      <c r="G653" s="254" t="s">
        <v>349</v>
      </c>
      <c r="H653" s="577">
        <f>Speed!AX165</f>
        <v>59.099997450982599</v>
      </c>
      <c r="I653" s="577">
        <f>Speed!AY165</f>
        <v>59.099997450982599</v>
      </c>
      <c r="J653" s="577">
        <f>Speed!AZ165</f>
        <v>59.09999677233408</v>
      </c>
      <c r="K653" s="577">
        <f>Speed!BA165</f>
        <v>59.099995559904748</v>
      </c>
      <c r="L653" s="577">
        <f>Speed!BB165</f>
        <v>59.099993320197065</v>
      </c>
      <c r="M653" s="577">
        <f>Speed!BC165</f>
        <v>59.09999010942154</v>
      </c>
      <c r="N653" s="577">
        <f>Speed!BD165</f>
        <v>59.099985570453995</v>
      </c>
      <c r="O653" s="577">
        <f>Speed!BE165</f>
        <v>59.099979238532114</v>
      </c>
      <c r="P653" s="577">
        <f>Speed!BF165</f>
        <v>59.099970501421737</v>
      </c>
      <c r="Q653" s="577">
        <f>Speed!BG165</f>
        <v>59.099959209499573</v>
      </c>
      <c r="R653" s="577">
        <f>Speed!BH165</f>
        <v>59.09994416548831</v>
      </c>
      <c r="S653" s="577">
        <f>Speed!BI165</f>
        <v>59.099924300834715</v>
      </c>
      <c r="T653" s="577">
        <f>Speed!BJ165</f>
        <v>59.099898287463276</v>
      </c>
      <c r="U653" s="577">
        <f>Speed!BK165</f>
        <v>59.099864465464535</v>
      </c>
      <c r="V653" s="577">
        <f>Speed!BL165</f>
        <v>59.099833226124424</v>
      </c>
      <c r="W653" s="577">
        <f>Speed!BM165</f>
        <v>59.099805066932667</v>
      </c>
      <c r="X653" s="577">
        <f>Speed!BN165</f>
        <v>59.099772698626936</v>
      </c>
      <c r="Y653" s="577">
        <f>Speed!BO165</f>
        <v>59.099735570962729</v>
      </c>
      <c r="Z653" s="577">
        <f>Speed!BP165</f>
        <v>59.099693062844011</v>
      </c>
      <c r="AA653" s="577">
        <f>Speed!BQ165</f>
        <v>59.099644510824575</v>
      </c>
      <c r="AB653" s="577">
        <f>Speed!BR165</f>
        <v>59.099589141339081</v>
      </c>
      <c r="AC653" s="577">
        <f>Speed!BS165</f>
        <v>59.099526140789145</v>
      </c>
      <c r="AD653" s="577">
        <f>Speed!BT165</f>
        <v>59.099454575469693</v>
      </c>
      <c r="AE653" s="577">
        <f>Speed!BU165</f>
        <v>59.099373408681473</v>
      </c>
      <c r="AF653" s="577">
        <f>Speed!BV165</f>
        <v>59.099281547624898</v>
      </c>
      <c r="AG653" s="725">
        <f>Speed!BW165</f>
        <v>59.099177739097769</v>
      </c>
      <c r="AH653" s="18"/>
      <c r="AI653" s="18"/>
      <c r="AJ653" s="18"/>
      <c r="AK653" s="18"/>
      <c r="AL653" s="18"/>
      <c r="AM653" s="18"/>
      <c r="AN653" s="18"/>
    </row>
    <row r="654" spans="2:40" ht="21.95" customHeight="1" x14ac:dyDescent="0.2">
      <c r="B654" s="182"/>
      <c r="C654" s="116"/>
      <c r="D654" s="240"/>
      <c r="E654" s="116" t="s">
        <v>288</v>
      </c>
      <c r="F654" s="116" t="s">
        <v>323</v>
      </c>
      <c r="G654" s="116" t="s">
        <v>348</v>
      </c>
      <c r="H654" s="577">
        <f>Speed!AX166</f>
        <v>26.799999999999997</v>
      </c>
      <c r="I654" s="577">
        <f>Speed!AY166</f>
        <v>26.799999999999997</v>
      </c>
      <c r="J654" s="577">
        <f>Speed!AZ166</f>
        <v>26.799999999999997</v>
      </c>
      <c r="K654" s="577">
        <f>Speed!BA166</f>
        <v>26.799999999999997</v>
      </c>
      <c r="L654" s="577">
        <f>Speed!BB166</f>
        <v>26.799999999999997</v>
      </c>
      <c r="M654" s="577">
        <f>Speed!BC166</f>
        <v>26.799999999999997</v>
      </c>
      <c r="N654" s="577">
        <f>Speed!BD166</f>
        <v>26.799999999999997</v>
      </c>
      <c r="O654" s="577">
        <f>Speed!BE166</f>
        <v>26.799999999999997</v>
      </c>
      <c r="P654" s="577">
        <f>Speed!BF166</f>
        <v>26.799999999999997</v>
      </c>
      <c r="Q654" s="577">
        <f>Speed!BG166</f>
        <v>26.799999999999997</v>
      </c>
      <c r="R654" s="577">
        <f>Speed!BH166</f>
        <v>26.799999999999997</v>
      </c>
      <c r="S654" s="577">
        <f>Speed!BI166</f>
        <v>26.799999999999997</v>
      </c>
      <c r="T654" s="577">
        <f>Speed!BJ166</f>
        <v>26.79999999999999</v>
      </c>
      <c r="U654" s="577">
        <f>Speed!BK166</f>
        <v>26.79999999999999</v>
      </c>
      <c r="V654" s="577">
        <f>Speed!BL166</f>
        <v>26.799999999999986</v>
      </c>
      <c r="W654" s="577">
        <f>Speed!BM166</f>
        <v>26.799999999999986</v>
      </c>
      <c r="X654" s="577">
        <f>Speed!BN166</f>
        <v>26.799999999999979</v>
      </c>
      <c r="Y654" s="577">
        <f>Speed!BO166</f>
        <v>26.799999999999972</v>
      </c>
      <c r="Z654" s="577">
        <f>Speed!BP166</f>
        <v>26.799999999999969</v>
      </c>
      <c r="AA654" s="577">
        <f>Speed!BQ166</f>
        <v>26.799999999999962</v>
      </c>
      <c r="AB654" s="577">
        <f>Speed!BR166</f>
        <v>26.799999999999951</v>
      </c>
      <c r="AC654" s="577">
        <f>Speed!BS166</f>
        <v>26.799999999999937</v>
      </c>
      <c r="AD654" s="577">
        <f>Speed!BT166</f>
        <v>26.799999999999919</v>
      </c>
      <c r="AE654" s="577">
        <f>Speed!BU166</f>
        <v>26.799999999999901</v>
      </c>
      <c r="AF654" s="577">
        <f>Speed!BV166</f>
        <v>26.79999999999988</v>
      </c>
      <c r="AG654" s="725">
        <f>Speed!BW166</f>
        <v>26.799999999999848</v>
      </c>
      <c r="AH654" s="18"/>
      <c r="AI654" s="18"/>
      <c r="AJ654" s="18"/>
      <c r="AK654" s="18"/>
      <c r="AL654" s="18"/>
      <c r="AM654" s="18"/>
      <c r="AN654" s="18"/>
    </row>
    <row r="655" spans="2:40" ht="21.95" customHeight="1" x14ac:dyDescent="0.2">
      <c r="B655" s="182"/>
      <c r="C655" s="116"/>
      <c r="D655" s="240"/>
      <c r="E655" s="277" t="s">
        <v>340</v>
      </c>
      <c r="F655" s="277" t="s">
        <v>335</v>
      </c>
      <c r="G655" s="277" t="s">
        <v>323</v>
      </c>
      <c r="H655" s="577">
        <f>Speed!AX167</f>
        <v>43.2</v>
      </c>
      <c r="I655" s="577">
        <f>Speed!AY167</f>
        <v>43.2</v>
      </c>
      <c r="J655" s="577">
        <f>Speed!AZ167</f>
        <v>43.199999999928608</v>
      </c>
      <c r="K655" s="577">
        <f>Speed!BA167</f>
        <v>43.199999999850576</v>
      </c>
      <c r="L655" s="577">
        <f>Speed!BB167</f>
        <v>43.199999999630968</v>
      </c>
      <c r="M655" s="577">
        <f>Speed!BC167</f>
        <v>43.199999999154265</v>
      </c>
      <c r="N655" s="577">
        <f>Speed!BD167</f>
        <v>43.199999998178193</v>
      </c>
      <c r="O655" s="577">
        <f>Speed!BE167</f>
        <v>43.199999996290863</v>
      </c>
      <c r="P655" s="577">
        <f>Speed!BF167</f>
        <v>43.199999992791561</v>
      </c>
      <c r="Q655" s="577">
        <f>Speed!BG167</f>
        <v>43.199999987258096</v>
      </c>
      <c r="R655" s="577">
        <f>Speed!BH167</f>
        <v>43.199999978167753</v>
      </c>
      <c r="S655" s="577">
        <f>Speed!BI167</f>
        <v>43.199999963591303</v>
      </c>
      <c r="T655" s="577">
        <f>Speed!BJ167</f>
        <v>43.199999940776813</v>
      </c>
      <c r="U655" s="577">
        <f>Speed!BK167</f>
        <v>43.199999905665116</v>
      </c>
      <c r="V655" s="577">
        <f>Speed!BL167</f>
        <v>43.199999869480891</v>
      </c>
      <c r="W655" s="577">
        <f>Speed!BM167</f>
        <v>43.199999829083445</v>
      </c>
      <c r="X655" s="577">
        <f>Speed!BN167</f>
        <v>43.199999777761661</v>
      </c>
      <c r="Y655" s="577">
        <f>Speed!BO167</f>
        <v>43.199999712964242</v>
      </c>
      <c r="Z655" s="577">
        <f>Speed!BP167</f>
        <v>43.19999963153451</v>
      </c>
      <c r="AA655" s="577">
        <f>Speed!BQ167</f>
        <v>43.199999529995971</v>
      </c>
      <c r="AB655" s="577">
        <f>Speed!BR167</f>
        <v>43.19999940359218</v>
      </c>
      <c r="AC655" s="577">
        <f>Speed!BS167</f>
        <v>43.199999247796356</v>
      </c>
      <c r="AD655" s="577">
        <f>Speed!BT167</f>
        <v>43.199999056284071</v>
      </c>
      <c r="AE655" s="577">
        <f>Speed!BU167</f>
        <v>43.199998821673638</v>
      </c>
      <c r="AF655" s="577">
        <f>Speed!BV167</f>
        <v>43.199998536157359</v>
      </c>
      <c r="AG655" s="725">
        <f>Speed!BW167</f>
        <v>43.199998189818778</v>
      </c>
      <c r="AH655" s="18"/>
      <c r="AI655" s="18"/>
      <c r="AJ655" s="18"/>
      <c r="AK655" s="18"/>
      <c r="AL655" s="18"/>
      <c r="AM655" s="18"/>
      <c r="AN655" s="18"/>
    </row>
    <row r="656" spans="2:40" ht="21.95" customHeight="1" x14ac:dyDescent="0.2">
      <c r="B656" s="182"/>
      <c r="C656" s="116"/>
      <c r="D656" s="240"/>
      <c r="E656" s="277" t="s">
        <v>357</v>
      </c>
      <c r="F656" s="277" t="s">
        <v>338</v>
      </c>
      <c r="G656" s="277" t="s">
        <v>323</v>
      </c>
      <c r="H656" s="577">
        <f>Speed!AX168</f>
        <v>31.899999970276543</v>
      </c>
      <c r="I656" s="577">
        <f>Speed!AY168</f>
        <v>31.899999970276543</v>
      </c>
      <c r="J656" s="577">
        <f>Speed!AZ168</f>
        <v>31.899999965933727</v>
      </c>
      <c r="K656" s="577">
        <f>Speed!BA168</f>
        <v>31.899999957063251</v>
      </c>
      <c r="L656" s="577">
        <f>Speed!BB168</f>
        <v>31.899999941503655</v>
      </c>
      <c r="M656" s="577">
        <f>Speed!BC168</f>
        <v>31.899999921031441</v>
      </c>
      <c r="N656" s="577">
        <f>Speed!BD168</f>
        <v>31.89999989427854</v>
      </c>
      <c r="O656" s="577">
        <f>Speed!BE168</f>
        <v>31.899999859701655</v>
      </c>
      <c r="P656" s="577">
        <f>Speed!BF168</f>
        <v>31.899999815085007</v>
      </c>
      <c r="Q656" s="577">
        <f>Speed!BG168</f>
        <v>31.899999777037518</v>
      </c>
      <c r="R656" s="577">
        <f>Speed!BH168</f>
        <v>31.899999732077866</v>
      </c>
      <c r="S656" s="577">
        <f>Speed!BI168</f>
        <v>31.899999679110248</v>
      </c>
      <c r="T656" s="577">
        <f>Speed!BJ168</f>
        <v>31.899999616914211</v>
      </c>
      <c r="U656" s="577">
        <f>Speed!BK168</f>
        <v>31.899999543512052</v>
      </c>
      <c r="V656" s="577">
        <f>Speed!BL168</f>
        <v>31.899999493509537</v>
      </c>
      <c r="W656" s="577">
        <f>Speed!BM168</f>
        <v>31.899999438630484</v>
      </c>
      <c r="X656" s="577">
        <f>Speed!BN168</f>
        <v>31.899999378456616</v>
      </c>
      <c r="Y656" s="577">
        <f>Speed!BO168</f>
        <v>31.899999312538629</v>
      </c>
      <c r="Z656" s="577">
        <f>Speed!BP168</f>
        <v>31.899999239875214</v>
      </c>
      <c r="AA656" s="577">
        <f>Speed!BQ168</f>
        <v>31.899999160938641</v>
      </c>
      <c r="AB656" s="577">
        <f>Speed!BR168</f>
        <v>31.899999074353271</v>
      </c>
      <c r="AC656" s="577">
        <f>Speed!BS168</f>
        <v>31.899998980185782</v>
      </c>
      <c r="AD656" s="577">
        <f>Speed!BT168</f>
        <v>31.899998877482499</v>
      </c>
      <c r="AE656" s="577">
        <f>Speed!BU168</f>
        <v>31.899998764759058</v>
      </c>
      <c r="AF656" s="577">
        <f>Speed!BV168</f>
        <v>31.899998642823206</v>
      </c>
      <c r="AG656" s="725">
        <f>Speed!BW168</f>
        <v>31.899998510159186</v>
      </c>
      <c r="AH656" s="18"/>
      <c r="AI656" s="18"/>
      <c r="AJ656" s="18"/>
      <c r="AK656" s="18"/>
      <c r="AL656" s="18"/>
      <c r="AM656" s="18"/>
      <c r="AN656" s="18"/>
    </row>
    <row r="657" spans="2:40" ht="21.95" customHeight="1" x14ac:dyDescent="0.2">
      <c r="B657" s="182"/>
      <c r="C657" s="116"/>
      <c r="D657" s="240"/>
      <c r="E657" s="116" t="s">
        <v>338</v>
      </c>
      <c r="F657" s="116" t="s">
        <v>282</v>
      </c>
      <c r="G657" s="116" t="s">
        <v>357</v>
      </c>
      <c r="H657" s="577">
        <f>Speed!AX169</f>
        <v>55.899999999928468</v>
      </c>
      <c r="I657" s="577">
        <f>Speed!AY169</f>
        <v>55.899999999928468</v>
      </c>
      <c r="J657" s="577">
        <f>Speed!AZ169</f>
        <v>55.899999999904956</v>
      </c>
      <c r="K657" s="577">
        <f>Speed!BA169</f>
        <v>55.899999999871852</v>
      </c>
      <c r="L657" s="577">
        <f>Speed!BB169</f>
        <v>55.899999999812053</v>
      </c>
      <c r="M657" s="577">
        <f>Speed!BC169</f>
        <v>55.899999999728166</v>
      </c>
      <c r="N657" s="577">
        <f>Speed!BD169</f>
        <v>55.899999999611914</v>
      </c>
      <c r="O657" s="577">
        <f>Speed!BE169</f>
        <v>55.899999999452817</v>
      </c>
      <c r="P657" s="577">
        <f>Speed!BF169</f>
        <v>55.899999999237167</v>
      </c>
      <c r="Q657" s="577">
        <f>Speed!BG169</f>
        <v>55.899999998913934</v>
      </c>
      <c r="R657" s="577">
        <f>Speed!BH169</f>
        <v>55.899999998472445</v>
      </c>
      <c r="S657" s="577">
        <f>Speed!BI169</f>
        <v>55.899999997875284</v>
      </c>
      <c r="T657" s="577">
        <f>Speed!BJ169</f>
        <v>55.899999997075689</v>
      </c>
      <c r="U657" s="577">
        <f>Speed!BK169</f>
        <v>55.899999996014074</v>
      </c>
      <c r="V657" s="577">
        <f>Speed!BL169</f>
        <v>55.899999994964105</v>
      </c>
      <c r="W657" s="577">
        <f>Speed!BM169</f>
        <v>55.89999999393082</v>
      </c>
      <c r="X657" s="577">
        <f>Speed!BN169</f>
        <v>55.899999992710505</v>
      </c>
      <c r="Y657" s="577">
        <f>Speed!BO169</f>
        <v>55.899999991273638</v>
      </c>
      <c r="Z657" s="577">
        <f>Speed!BP169</f>
        <v>55.899999989586888</v>
      </c>
      <c r="AA657" s="577">
        <f>Speed!BQ169</f>
        <v>55.899999987611956</v>
      </c>
      <c r="AB657" s="577">
        <f>Speed!BR169</f>
        <v>55.899999985306337</v>
      </c>
      <c r="AC657" s="577">
        <f>Speed!BS169</f>
        <v>55.899999982621175</v>
      </c>
      <c r="AD657" s="577">
        <f>Speed!BT169</f>
        <v>55.899999979502162</v>
      </c>
      <c r="AE657" s="577">
        <f>Speed!BU169</f>
        <v>55.89999997588852</v>
      </c>
      <c r="AF657" s="577">
        <f>Speed!BV169</f>
        <v>55.89999997171082</v>
      </c>
      <c r="AG657" s="725">
        <f>Speed!BW169</f>
        <v>55.89999996689258</v>
      </c>
      <c r="AH657" s="18"/>
      <c r="AI657" s="18"/>
      <c r="AJ657" s="18"/>
      <c r="AK657" s="18"/>
      <c r="AL657" s="18"/>
      <c r="AM657" s="18"/>
      <c r="AN657" s="18"/>
    </row>
    <row r="658" spans="2:40" ht="21.95" customHeight="1" x14ac:dyDescent="0.2">
      <c r="B658" s="182"/>
      <c r="C658" s="116"/>
      <c r="D658" s="240"/>
      <c r="E658" s="116"/>
      <c r="F658" s="116" t="s">
        <v>357</v>
      </c>
      <c r="G658" s="116" t="s">
        <v>346</v>
      </c>
      <c r="H658" s="577">
        <f>Speed!AX170</f>
        <v>55.899999999995408</v>
      </c>
      <c r="I658" s="577">
        <f>Speed!AY170</f>
        <v>55.899999999995408</v>
      </c>
      <c r="J658" s="577">
        <f>Speed!AZ170</f>
        <v>55.899999999993916</v>
      </c>
      <c r="K658" s="577">
        <f>Speed!BA170</f>
        <v>55.89999999999177</v>
      </c>
      <c r="L658" s="577">
        <f>Speed!BB170</f>
        <v>55.899999999987621</v>
      </c>
      <c r="M658" s="577">
        <f>Speed!BC170</f>
        <v>55.899999999981667</v>
      </c>
      <c r="N658" s="577">
        <f>Speed!BD170</f>
        <v>55.899999999973247</v>
      </c>
      <c r="O658" s="577">
        <f>Speed!BE170</f>
        <v>55.899999999961508</v>
      </c>
      <c r="P658" s="577">
        <f>Speed!BF170</f>
        <v>55.899999999945308</v>
      </c>
      <c r="Q658" s="577">
        <f>Speed!BG170</f>
        <v>55.899999999919977</v>
      </c>
      <c r="R658" s="577">
        <f>Speed!BH170</f>
        <v>55.89999999988455</v>
      </c>
      <c r="S658" s="577">
        <f>Speed!BI170</f>
        <v>55.899999999835558</v>
      </c>
      <c r="T658" s="577">
        <f>Speed!BJ170</f>
        <v>55.89999999976861</v>
      </c>
      <c r="U658" s="577">
        <f>Speed!BK170</f>
        <v>55.899999999678023</v>
      </c>
      <c r="V658" s="577">
        <f>Speed!BL170</f>
        <v>55.899999999591124</v>
      </c>
      <c r="W658" s="577">
        <f>Speed!BM170</f>
        <v>55.89999999951069</v>
      </c>
      <c r="X658" s="577">
        <f>Speed!BN170</f>
        <v>55.899999999416295</v>
      </c>
      <c r="Y658" s="577">
        <f>Speed!BO170</f>
        <v>55.89999999930582</v>
      </c>
      <c r="Z658" s="577">
        <f>Speed!BP170</f>
        <v>55.899999999176927</v>
      </c>
      <c r="AA658" s="577">
        <f>Speed!BQ170</f>
        <v>55.899999999026811</v>
      </c>
      <c r="AB658" s="577">
        <f>Speed!BR170</f>
        <v>55.899999998852579</v>
      </c>
      <c r="AC658" s="577">
        <f>Speed!BS170</f>
        <v>55.899999998650642</v>
      </c>
      <c r="AD658" s="577">
        <f>Speed!BT170</f>
        <v>55.899999998417272</v>
      </c>
      <c r="AE658" s="577">
        <f>Speed!BU170</f>
        <v>55.899999998148331</v>
      </c>
      <c r="AF658" s="577">
        <f>Speed!BV170</f>
        <v>55.899999997838769</v>
      </c>
      <c r="AG658" s="725">
        <f>Speed!BW170</f>
        <v>55.899999997483391</v>
      </c>
      <c r="AH658" s="18"/>
      <c r="AI658" s="18"/>
      <c r="AJ658" s="18"/>
      <c r="AK658" s="18"/>
      <c r="AL658" s="18"/>
      <c r="AM658" s="18"/>
      <c r="AN658" s="18"/>
    </row>
    <row r="659" spans="2:40" ht="21.95" customHeight="1" x14ac:dyDescent="0.2">
      <c r="B659" s="182"/>
      <c r="C659" s="116"/>
      <c r="D659" s="240"/>
      <c r="E659" s="116"/>
      <c r="F659" s="116" t="s">
        <v>346</v>
      </c>
      <c r="G659" s="116" t="s">
        <v>343</v>
      </c>
      <c r="H659" s="577">
        <f>Speed!AX171</f>
        <v>45.899999999989724</v>
      </c>
      <c r="I659" s="577">
        <f>Speed!AY171</f>
        <v>45.899999999989724</v>
      </c>
      <c r="J659" s="577">
        <f>Speed!AZ171</f>
        <v>45.899999999986413</v>
      </c>
      <c r="K659" s="577">
        <f>Speed!BA171</f>
        <v>45.899999999981624</v>
      </c>
      <c r="L659" s="577">
        <f>Speed!BB171</f>
        <v>45.899999999972351</v>
      </c>
      <c r="M659" s="577">
        <f>Speed!BC171</f>
        <v>45.89999999995905</v>
      </c>
      <c r="N659" s="577">
        <f>Speed!BD171</f>
        <v>45.899999999940242</v>
      </c>
      <c r="O659" s="577">
        <f>Speed!BE171</f>
        <v>45.899999999914009</v>
      </c>
      <c r="P659" s="577">
        <f>Speed!BF171</f>
        <v>45.899999999877821</v>
      </c>
      <c r="Q659" s="577">
        <f>Speed!BG171</f>
        <v>45.899999999821233</v>
      </c>
      <c r="R659" s="577">
        <f>Speed!BH171</f>
        <v>45.899999999742093</v>
      </c>
      <c r="S659" s="577">
        <f>Speed!BI171</f>
        <v>45.899999999632662</v>
      </c>
      <c r="T659" s="577">
        <f>Speed!BJ171</f>
        <v>45.8999999994831</v>
      </c>
      <c r="U659" s="577">
        <f>Speed!BK171</f>
        <v>45.899999999280752</v>
      </c>
      <c r="V659" s="577">
        <f>Speed!BL171</f>
        <v>45.899999999086617</v>
      </c>
      <c r="W659" s="577">
        <f>Speed!BM171</f>
        <v>45.899999998906956</v>
      </c>
      <c r="X659" s="577">
        <f>Speed!BN171</f>
        <v>45.899999998696082</v>
      </c>
      <c r="Y659" s="577">
        <f>Speed!BO171</f>
        <v>45.899999998449289</v>
      </c>
      <c r="Z659" s="577">
        <f>Speed!BP171</f>
        <v>45.89999999816137</v>
      </c>
      <c r="AA659" s="577">
        <f>Speed!BQ171</f>
        <v>45.899999997826015</v>
      </c>
      <c r="AB659" s="577">
        <f>Speed!BR171</f>
        <v>45.899999997436808</v>
      </c>
      <c r="AC659" s="577">
        <f>Speed!BS171</f>
        <v>45.89999999698572</v>
      </c>
      <c r="AD659" s="577">
        <f>Speed!BT171</f>
        <v>45.899999996464395</v>
      </c>
      <c r="AE659" s="577">
        <f>Speed!BU171</f>
        <v>45.899999995863624</v>
      </c>
      <c r="AF659" s="577">
        <f>Speed!BV171</f>
        <v>45.899999995172102</v>
      </c>
      <c r="AG659" s="725">
        <f>Speed!BW171</f>
        <v>45.899999994378227</v>
      </c>
      <c r="AH659" s="18"/>
      <c r="AI659" s="18"/>
      <c r="AJ659" s="18"/>
      <c r="AK659" s="18"/>
      <c r="AL659" s="18"/>
      <c r="AM659" s="18"/>
      <c r="AN659" s="18"/>
    </row>
    <row r="660" spans="2:40" ht="21.95" customHeight="1" x14ac:dyDescent="0.2">
      <c r="B660" s="182"/>
      <c r="C660" s="116"/>
      <c r="D660" s="240"/>
      <c r="E660" s="116"/>
      <c r="F660" s="116" t="s">
        <v>343</v>
      </c>
      <c r="G660" s="116" t="s">
        <v>350</v>
      </c>
      <c r="H660" s="577">
        <f>Speed!AX172</f>
        <v>45.899999999999032</v>
      </c>
      <c r="I660" s="577">
        <f>Speed!AY172</f>
        <v>45.899999999999032</v>
      </c>
      <c r="J660" s="577">
        <f>Speed!AZ172</f>
        <v>45.899999999998727</v>
      </c>
      <c r="K660" s="577">
        <f>Speed!BA172</f>
        <v>45.899999999998258</v>
      </c>
      <c r="L660" s="577">
        <f>Speed!BB172</f>
        <v>45.899999999997448</v>
      </c>
      <c r="M660" s="577">
        <f>Speed!BC172</f>
        <v>45.899999999996311</v>
      </c>
      <c r="N660" s="577">
        <f>Speed!BD172</f>
        <v>45.899999999994741</v>
      </c>
      <c r="O660" s="577">
        <f>Speed!BE172</f>
        <v>45.899999999992602</v>
      </c>
      <c r="P660" s="577">
        <f>Speed!BF172</f>
        <v>45.899999999989681</v>
      </c>
      <c r="Q660" s="577">
        <f>Speed!BG172</f>
        <v>45.899999999985191</v>
      </c>
      <c r="R660" s="577">
        <f>Speed!BH172</f>
        <v>45.899999999979016</v>
      </c>
      <c r="S660" s="577">
        <f>Speed!BI172</f>
        <v>45.899999999970596</v>
      </c>
      <c r="T660" s="577">
        <f>Speed!BJ172</f>
        <v>45.899999999959242</v>
      </c>
      <c r="U660" s="577">
        <f>Speed!BK172</f>
        <v>45.899999999944093</v>
      </c>
      <c r="V660" s="577">
        <f>Speed!BL172</f>
        <v>45.899999999928347</v>
      </c>
      <c r="W660" s="577">
        <f>Speed!BM172</f>
        <v>45.899999999914002</v>
      </c>
      <c r="X660" s="577">
        <f>Speed!BN172</f>
        <v>45.899999999897091</v>
      </c>
      <c r="Y660" s="577">
        <f>Speed!BO172</f>
        <v>45.899999999877267</v>
      </c>
      <c r="Z660" s="577">
        <f>Speed!BP172</f>
        <v>45.89999999985406</v>
      </c>
      <c r="AA660" s="577">
        <f>Speed!BQ172</f>
        <v>45.899999999826981</v>
      </c>
      <c r="AB660" s="577">
        <f>Speed!BR172</f>
        <v>45.899999999795469</v>
      </c>
      <c r="AC660" s="577">
        <f>Speed!BS172</f>
        <v>45.899999999758869</v>
      </c>
      <c r="AD660" s="577">
        <f>Speed!BT172</f>
        <v>45.899999999716471</v>
      </c>
      <c r="AE660" s="577">
        <f>Speed!BU172</f>
        <v>45.8999999996675</v>
      </c>
      <c r="AF660" s="577">
        <f>Speed!BV172</f>
        <v>45.899999999611019</v>
      </c>
      <c r="AG660" s="725">
        <f>Speed!BW172</f>
        <v>45.899999999546054</v>
      </c>
      <c r="AH660" s="18"/>
      <c r="AI660" s="18"/>
      <c r="AJ660" s="18"/>
      <c r="AK660" s="18"/>
      <c r="AL660" s="18"/>
      <c r="AM660" s="18"/>
      <c r="AN660" s="18"/>
    </row>
    <row r="661" spans="2:40" ht="21.95" customHeight="1" x14ac:dyDescent="0.2">
      <c r="B661" s="182"/>
      <c r="C661" s="116"/>
      <c r="D661" s="240"/>
      <c r="E661" s="116"/>
      <c r="F661" s="116" t="s">
        <v>350</v>
      </c>
      <c r="G661" s="116" t="s">
        <v>280</v>
      </c>
      <c r="H661" s="577">
        <f>Speed!AX173</f>
        <v>55.899999999999565</v>
      </c>
      <c r="I661" s="577">
        <f>Speed!AY173</f>
        <v>55.899999999999565</v>
      </c>
      <c r="J661" s="577">
        <f>Speed!AZ173</f>
        <v>55.89999999999943</v>
      </c>
      <c r="K661" s="577">
        <f>Speed!BA173</f>
        <v>55.899999999999217</v>
      </c>
      <c r="L661" s="577">
        <f>Speed!BB173</f>
        <v>55.899999999998855</v>
      </c>
      <c r="M661" s="577">
        <f>Speed!BC173</f>
        <v>55.89999999999835</v>
      </c>
      <c r="N661" s="577">
        <f>Speed!BD173</f>
        <v>55.89999999999764</v>
      </c>
      <c r="O661" s="577">
        <f>Speed!BE173</f>
        <v>55.899999999996687</v>
      </c>
      <c r="P661" s="577">
        <f>Speed!BF173</f>
        <v>55.89999999999538</v>
      </c>
      <c r="Q661" s="577">
        <f>Speed!BG173</f>
        <v>55.899999999993369</v>
      </c>
      <c r="R661" s="577">
        <f>Speed!BH173</f>
        <v>55.899999999990605</v>
      </c>
      <c r="S661" s="577">
        <f>Speed!BI173</f>
        <v>55.899999999986832</v>
      </c>
      <c r="T661" s="577">
        <f>Speed!BJ173</f>
        <v>55.899999999981752</v>
      </c>
      <c r="U661" s="577">
        <f>Speed!BK173</f>
        <v>55.899999999974973</v>
      </c>
      <c r="V661" s="577">
        <f>Speed!BL173</f>
        <v>55.899999999967925</v>
      </c>
      <c r="W661" s="577">
        <f>Speed!BM173</f>
        <v>55.899999999961494</v>
      </c>
      <c r="X661" s="577">
        <f>Speed!BN173</f>
        <v>55.899999999953934</v>
      </c>
      <c r="Y661" s="577">
        <f>Speed!BO173</f>
        <v>55.899999999945059</v>
      </c>
      <c r="Z661" s="577">
        <f>Speed!BP173</f>
        <v>55.899999999934671</v>
      </c>
      <c r="AA661" s="577">
        <f>Speed!BQ173</f>
        <v>55.899999999922549</v>
      </c>
      <c r="AB661" s="577">
        <f>Speed!BR173</f>
        <v>55.899999999908445</v>
      </c>
      <c r="AC661" s="577">
        <f>Speed!BS173</f>
        <v>55.899999999892046</v>
      </c>
      <c r="AD661" s="577">
        <f>Speed!BT173</f>
        <v>55.899999999873067</v>
      </c>
      <c r="AE661" s="577">
        <f>Speed!BU173</f>
        <v>55.899999999851147</v>
      </c>
      <c r="AF661" s="577">
        <f>Speed!BV173</f>
        <v>55.899999999825866</v>
      </c>
      <c r="AG661" s="725">
        <f>Speed!BW173</f>
        <v>55.899999999796783</v>
      </c>
      <c r="AH661" s="18"/>
      <c r="AI661" s="18"/>
      <c r="AJ661" s="18"/>
      <c r="AK661" s="18"/>
      <c r="AL661" s="18"/>
      <c r="AM661" s="18"/>
      <c r="AN661" s="18"/>
    </row>
    <row r="662" spans="2:40" ht="21.95" customHeight="1" thickBot="1" x14ac:dyDescent="0.25">
      <c r="B662" s="706"/>
      <c r="C662" s="124"/>
      <c r="D662" s="124"/>
      <c r="E662" s="278"/>
      <c r="F662" s="278" t="s">
        <v>280</v>
      </c>
      <c r="G662" s="278" t="s">
        <v>333</v>
      </c>
      <c r="H662" s="735">
        <f>Speed!AX174</f>
        <v>55.299999999286285</v>
      </c>
      <c r="I662" s="735">
        <f>Speed!AY174</f>
        <v>55.299999999286285</v>
      </c>
      <c r="J662" s="735">
        <f>Speed!AZ174</f>
        <v>55.29999999905602</v>
      </c>
      <c r="K662" s="735">
        <f>Speed!BA174</f>
        <v>55.299999998713766</v>
      </c>
      <c r="L662" s="735">
        <f>Speed!BB174</f>
        <v>55.299999998115652</v>
      </c>
      <c r="M662" s="735">
        <f>Speed!BC174</f>
        <v>55.299999997277581</v>
      </c>
      <c r="N662" s="735">
        <f>Speed!BD174</f>
        <v>55.299999996118046</v>
      </c>
      <c r="O662" s="735">
        <f>Speed!BE174</f>
        <v>55.299999994531809</v>
      </c>
      <c r="P662" s="735">
        <f>Speed!BF174</f>
        <v>55.299999992383867</v>
      </c>
      <c r="Q662" s="735">
        <f>Speed!BG174</f>
        <v>55.299999989064801</v>
      </c>
      <c r="R662" s="735">
        <f>Speed!BH174</f>
        <v>55.299999984496544</v>
      </c>
      <c r="S662" s="735">
        <f>Speed!BI174</f>
        <v>55.299999978277938</v>
      </c>
      <c r="T662" s="735">
        <f>Speed!BJ174</f>
        <v>55.299999969896689</v>
      </c>
      <c r="U662" s="735">
        <f>Speed!BK174</f>
        <v>55.299999958707311</v>
      </c>
      <c r="V662" s="735">
        <f>Speed!BL174</f>
        <v>55.299999947078511</v>
      </c>
      <c r="W662" s="735">
        <f>Speed!BM174</f>
        <v>55.299999936471977</v>
      </c>
      <c r="X662" s="735">
        <f>Speed!BN174</f>
        <v>55.299999923989162</v>
      </c>
      <c r="Y662" s="735">
        <f>Speed!BO174</f>
        <v>55.299999909340663</v>
      </c>
      <c r="Z662" s="735">
        <f>Speed!BP174</f>
        <v>55.299999892204113</v>
      </c>
      <c r="AA662" s="735">
        <f>Speed!BQ174</f>
        <v>55.299999872199152</v>
      </c>
      <c r="AB662" s="735">
        <f>Speed!BR174</f>
        <v>55.299999848920152</v>
      </c>
      <c r="AC662" s="735">
        <f>Speed!BS174</f>
        <v>55.299999821883517</v>
      </c>
      <c r="AD662" s="735">
        <f>Speed!BT174</f>
        <v>55.299999790567696</v>
      </c>
      <c r="AE662" s="735">
        <f>Speed!BU174</f>
        <v>55.299999754392317</v>
      </c>
      <c r="AF662" s="735">
        <f>Speed!BV174</f>
        <v>55.299999712674101</v>
      </c>
      <c r="AG662" s="736">
        <f>Speed!BW174</f>
        <v>55.29999966468327</v>
      </c>
      <c r="AH662" s="18"/>
      <c r="AI662" s="18"/>
      <c r="AJ662" s="18"/>
      <c r="AK662" s="18"/>
      <c r="AL662" s="18"/>
      <c r="AM662" s="18"/>
      <c r="AN662" s="18"/>
    </row>
    <row r="663" spans="2:40" ht="21.95" customHeight="1" x14ac:dyDescent="0.2">
      <c r="B663" s="182" t="s">
        <v>212</v>
      </c>
      <c r="C663" s="116" t="s">
        <v>156</v>
      </c>
      <c r="D663" s="240" t="s">
        <v>474</v>
      </c>
      <c r="E663" s="1340" t="s">
        <v>331</v>
      </c>
      <c r="F663" s="220" t="s">
        <v>332</v>
      </c>
      <c r="G663" s="220" t="s">
        <v>282</v>
      </c>
      <c r="H663" s="726">
        <f>H543/H605</f>
        <v>2535.1835655309692</v>
      </c>
      <c r="I663" s="726">
        <f t="shared" ref="I663:AG663" si="535">I543/I605</f>
        <v>2650.4718946422663</v>
      </c>
      <c r="J663" s="726">
        <f t="shared" si="535"/>
        <v>2812.9116420599016</v>
      </c>
      <c r="K663" s="726">
        <f t="shared" si="535"/>
        <v>3051.8878760478001</v>
      </c>
      <c r="L663" s="726">
        <f t="shared" si="535"/>
        <v>3291.0319653575116</v>
      </c>
      <c r="M663" s="726">
        <f t="shared" si="535"/>
        <v>3530.3343046347404</v>
      </c>
      <c r="N663" s="726">
        <f t="shared" si="535"/>
        <v>3769.8454142589981</v>
      </c>
      <c r="O663" s="726">
        <f t="shared" si="535"/>
        <v>4010.0638109263164</v>
      </c>
      <c r="P663" s="726">
        <f t="shared" si="535"/>
        <v>4248.3460226809611</v>
      </c>
      <c r="Q663" s="726">
        <f t="shared" si="535"/>
        <v>4488.1834303936266</v>
      </c>
      <c r="R663" s="726">
        <f t="shared" si="535"/>
        <v>4730.421854152195</v>
      </c>
      <c r="S663" s="726">
        <f t="shared" si="535"/>
        <v>4976.5432220200692</v>
      </c>
      <c r="T663" s="726">
        <f t="shared" si="535"/>
        <v>5228.8735239931648</v>
      </c>
      <c r="U663" s="726">
        <f t="shared" si="535"/>
        <v>5404.2294793925739</v>
      </c>
      <c r="V663" s="726">
        <f t="shared" si="535"/>
        <v>5534.1288021617056</v>
      </c>
      <c r="W663" s="726">
        <f t="shared" si="535"/>
        <v>5667.4610011748618</v>
      </c>
      <c r="X663" s="726">
        <f t="shared" si="535"/>
        <v>5804.9352397584225</v>
      </c>
      <c r="Y663" s="726">
        <f t="shared" si="535"/>
        <v>5947.4379577368627</v>
      </c>
      <c r="Z663" s="726">
        <f t="shared" si="535"/>
        <v>6095.8550394000449</v>
      </c>
      <c r="AA663" s="726">
        <f t="shared" si="535"/>
        <v>6251.4419384837865</v>
      </c>
      <c r="AB663" s="726">
        <f t="shared" si="535"/>
        <v>6415.4387584900833</v>
      </c>
      <c r="AC663" s="726">
        <f t="shared" si="535"/>
        <v>6589.4662617928807</v>
      </c>
      <c r="AD663" s="726">
        <f t="shared" si="535"/>
        <v>6775.4125540870837</v>
      </c>
      <c r="AE663" s="726">
        <f t="shared" si="535"/>
        <v>6975.2609738995479</v>
      </c>
      <c r="AF663" s="726">
        <f t="shared" si="535"/>
        <v>7191.5114533398464</v>
      </c>
      <c r="AG663" s="727">
        <f t="shared" si="535"/>
        <v>7427.0581292210791</v>
      </c>
      <c r="AH663" s="18"/>
      <c r="AI663" s="18"/>
      <c r="AJ663" s="18"/>
      <c r="AK663" s="18"/>
      <c r="AL663" s="18"/>
      <c r="AM663" s="18"/>
      <c r="AN663" s="18"/>
    </row>
    <row r="664" spans="2:40" ht="21.95" customHeight="1" x14ac:dyDescent="0.2">
      <c r="B664" s="705" t="s">
        <v>483</v>
      </c>
      <c r="C664" s="715"/>
      <c r="D664" s="715"/>
      <c r="E664" s="1339"/>
      <c r="F664" s="116" t="s">
        <v>282</v>
      </c>
      <c r="G664" s="116" t="s">
        <v>280</v>
      </c>
      <c r="H664" s="577">
        <f t="shared" ref="H664:AG664" si="536">H544/H606</f>
        <v>81519.328148490531</v>
      </c>
      <c r="I664" s="577">
        <f t="shared" si="536"/>
        <v>85822.403418424146</v>
      </c>
      <c r="J664" s="577">
        <f t="shared" si="536"/>
        <v>92281.936127633162</v>
      </c>
      <c r="K664" s="577">
        <f t="shared" si="536"/>
        <v>102954.51500075955</v>
      </c>
      <c r="L664" s="577">
        <f t="shared" si="536"/>
        <v>113633.37378546105</v>
      </c>
      <c r="M664" s="577">
        <f t="shared" si="536"/>
        <v>124315.11044833162</v>
      </c>
      <c r="N664" s="577">
        <f t="shared" si="536"/>
        <v>135000.35896262687</v>
      </c>
      <c r="O664" s="577">
        <f t="shared" si="536"/>
        <v>145711.44429553667</v>
      </c>
      <c r="P664" s="577">
        <f t="shared" si="536"/>
        <v>156550.0148566064</v>
      </c>
      <c r="Q664" s="577">
        <f t="shared" si="536"/>
        <v>167453.79559843818</v>
      </c>
      <c r="R664" s="577">
        <f t="shared" si="536"/>
        <v>178465.61947977464</v>
      </c>
      <c r="S664" s="577">
        <f t="shared" si="536"/>
        <v>189672.82798690823</v>
      </c>
      <c r="T664" s="577">
        <f t="shared" si="536"/>
        <v>201221.41164219225</v>
      </c>
      <c r="U664" s="577">
        <f t="shared" si="536"/>
        <v>208492.90180730441</v>
      </c>
      <c r="V664" s="577">
        <f t="shared" si="536"/>
        <v>213403.31472881467</v>
      </c>
      <c r="W664" s="577">
        <f t="shared" si="536"/>
        <v>218451.51258143611</v>
      </c>
      <c r="X664" s="577">
        <f t="shared" si="536"/>
        <v>223665.01477497275</v>
      </c>
      <c r="Y664" s="577">
        <f t="shared" si="536"/>
        <v>229079.22224501459</v>
      </c>
      <c r="Z664" s="577">
        <f t="shared" si="536"/>
        <v>234725.87453260162</v>
      </c>
      <c r="AA664" s="577">
        <f t="shared" si="536"/>
        <v>240655.45801481543</v>
      </c>
      <c r="AB664" s="577">
        <f t="shared" si="536"/>
        <v>246912.633399507</v>
      </c>
      <c r="AC664" s="577">
        <f t="shared" si="536"/>
        <v>253560.1379607688</v>
      </c>
      <c r="AD664" s="577">
        <f t="shared" si="536"/>
        <v>260670.92491111581</v>
      </c>
      <c r="AE664" s="577">
        <f t="shared" si="536"/>
        <v>268316.45953292755</v>
      </c>
      <c r="AF664" s="577">
        <f t="shared" si="536"/>
        <v>276591.98579887336</v>
      </c>
      <c r="AG664" s="725">
        <f t="shared" si="536"/>
        <v>285607.71393298305</v>
      </c>
      <c r="AH664" s="18"/>
      <c r="AI664" s="18"/>
      <c r="AJ664" s="18"/>
      <c r="AK664" s="18"/>
      <c r="AL664" s="18"/>
      <c r="AM664" s="18"/>
      <c r="AN664" s="18"/>
    </row>
    <row r="665" spans="2:40" ht="21.95" customHeight="1" x14ac:dyDescent="0.2">
      <c r="B665" s="705"/>
      <c r="C665" s="715"/>
      <c r="D665" s="715"/>
      <c r="E665" s="1339"/>
      <c r="F665" s="116" t="s">
        <v>280</v>
      </c>
      <c r="G665" s="116" t="s">
        <v>333</v>
      </c>
      <c r="H665" s="577">
        <f t="shared" ref="H665:AG665" si="537">H545/H607</f>
        <v>1902.0249390293691</v>
      </c>
      <c r="I665" s="577">
        <f t="shared" si="537"/>
        <v>1981.791816501953</v>
      </c>
      <c r="J665" s="577">
        <f t="shared" si="537"/>
        <v>2080.7766942105904</v>
      </c>
      <c r="K665" s="577">
        <f t="shared" si="537"/>
        <v>2214.7633691246724</v>
      </c>
      <c r="L665" s="577">
        <f t="shared" si="537"/>
        <v>2350.1727372488722</v>
      </c>
      <c r="M665" s="577">
        <f t="shared" si="537"/>
        <v>2487.8796511176079</v>
      </c>
      <c r="N665" s="577">
        <f t="shared" si="537"/>
        <v>2629.3376934880098</v>
      </c>
      <c r="O665" s="577">
        <f t="shared" si="537"/>
        <v>2776.9394039069421</v>
      </c>
      <c r="P665" s="577">
        <f t="shared" si="537"/>
        <v>2928.8921573976509</v>
      </c>
      <c r="Q665" s="577">
        <f t="shared" si="537"/>
        <v>3094.234389808888</v>
      </c>
      <c r="R665" s="577">
        <f t="shared" si="537"/>
        <v>3279.2544863540779</v>
      </c>
      <c r="S665" s="577">
        <f t="shared" si="537"/>
        <v>3493.0277060943818</v>
      </c>
      <c r="T665" s="577">
        <f t="shared" si="537"/>
        <v>3748.2719613170939</v>
      </c>
      <c r="U665" s="577">
        <f t="shared" si="537"/>
        <v>3971.5855487893909</v>
      </c>
      <c r="V665" s="577">
        <f t="shared" si="537"/>
        <v>4190.5910918985965</v>
      </c>
      <c r="W665" s="577">
        <f t="shared" si="537"/>
        <v>4444.5106589875822</v>
      </c>
      <c r="X665" s="577">
        <f t="shared" si="537"/>
        <v>4741.0154664634183</v>
      </c>
      <c r="Y665" s="577">
        <f t="shared" si="537"/>
        <v>5089.3907659680544</v>
      </c>
      <c r="Z665" s="577">
        <f t="shared" si="537"/>
        <v>5500.1991596777616</v>
      </c>
      <c r="AA665" s="577">
        <f t="shared" si="537"/>
        <v>5986.5904760114408</v>
      </c>
      <c r="AB665" s="577">
        <f t="shared" si="537"/>
        <v>6563.2740117488556</v>
      </c>
      <c r="AC665" s="577">
        <f t="shared" si="537"/>
        <v>7248.1497517863108</v>
      </c>
      <c r="AD665" s="577">
        <f t="shared" si="537"/>
        <v>8062.3146369124106</v>
      </c>
      <c r="AE665" s="577">
        <f t="shared" si="537"/>
        <v>9029.3340334948134</v>
      </c>
      <c r="AF665" s="577">
        <f t="shared" si="537"/>
        <v>10177.672039591402</v>
      </c>
      <c r="AG665" s="725">
        <f t="shared" si="537"/>
        <v>11540.600642001584</v>
      </c>
      <c r="AH665" s="18"/>
      <c r="AI665" s="18"/>
      <c r="AJ665" s="18"/>
      <c r="AK665" s="18"/>
      <c r="AL665" s="18"/>
      <c r="AM665" s="18"/>
      <c r="AN665" s="18"/>
    </row>
    <row r="666" spans="2:40" ht="21.95" customHeight="1" x14ac:dyDescent="0.2">
      <c r="B666" s="705"/>
      <c r="C666" s="715"/>
      <c r="D666" s="715"/>
      <c r="E666" s="1340" t="s">
        <v>280</v>
      </c>
      <c r="F666" s="220" t="s">
        <v>281</v>
      </c>
      <c r="G666" s="220" t="s">
        <v>335</v>
      </c>
      <c r="H666" s="583">
        <f t="shared" ref="H666:AG666" si="538">H546/H608</f>
        <v>21570.420869957255</v>
      </c>
      <c r="I666" s="583">
        <f t="shared" si="538"/>
        <v>23752.376793757605</v>
      </c>
      <c r="J666" s="583">
        <f t="shared" si="538"/>
        <v>28630.635333213912</v>
      </c>
      <c r="K666" s="583">
        <f t="shared" si="538"/>
        <v>38428.999229357476</v>
      </c>
      <c r="L666" s="583">
        <f t="shared" si="538"/>
        <v>48233.405141977062</v>
      </c>
      <c r="M666" s="583">
        <f t="shared" si="538"/>
        <v>58036.748249887343</v>
      </c>
      <c r="N666" s="583">
        <f t="shared" si="538"/>
        <v>67835.20760848737</v>
      </c>
      <c r="O666" s="583">
        <f t="shared" si="538"/>
        <v>77646.049499744389</v>
      </c>
      <c r="P666" s="583">
        <f t="shared" si="538"/>
        <v>87273.845764380167</v>
      </c>
      <c r="Q666" s="583">
        <f t="shared" si="538"/>
        <v>96909.178950910573</v>
      </c>
      <c r="R666" s="583">
        <f t="shared" si="538"/>
        <v>106546.44303782762</v>
      </c>
      <c r="S666" s="583">
        <f t="shared" si="538"/>
        <v>116199.4633380915</v>
      </c>
      <c r="T666" s="583">
        <f t="shared" si="538"/>
        <v>125898.73674846359</v>
      </c>
      <c r="U666" s="583">
        <f t="shared" si="538"/>
        <v>130650.75259178766</v>
      </c>
      <c r="V666" s="583">
        <f t="shared" si="538"/>
        <v>132863.87349600313</v>
      </c>
      <c r="W666" s="583">
        <f t="shared" si="538"/>
        <v>135082.56411517318</v>
      </c>
      <c r="X666" s="583">
        <f t="shared" si="538"/>
        <v>137307.70485348269</v>
      </c>
      <c r="Y666" s="583">
        <f t="shared" si="538"/>
        <v>139543.72500728103</v>
      </c>
      <c r="Z666" s="583">
        <f t="shared" si="538"/>
        <v>141784.92217383435</v>
      </c>
      <c r="AA666" s="583">
        <f t="shared" si="538"/>
        <v>144039.45928960087</v>
      </c>
      <c r="AB666" s="583">
        <f t="shared" si="538"/>
        <v>146301.89937813865</v>
      </c>
      <c r="AC666" s="583">
        <f t="shared" si="538"/>
        <v>148577.33248929196</v>
      </c>
      <c r="AD666" s="583">
        <f t="shared" si="538"/>
        <v>150871.13872604922</v>
      </c>
      <c r="AE666" s="583">
        <f t="shared" si="538"/>
        <v>153178.39295964342</v>
      </c>
      <c r="AF666" s="583">
        <f t="shared" si="538"/>
        <v>155504.9416987352</v>
      </c>
      <c r="AG666" s="728">
        <f t="shared" si="538"/>
        <v>157857.03588492706</v>
      </c>
      <c r="AH666" s="18"/>
      <c r="AI666" s="18"/>
      <c r="AJ666" s="18"/>
      <c r="AK666" s="18"/>
      <c r="AL666" s="18"/>
      <c r="AM666" s="18"/>
      <c r="AN666" s="18"/>
    </row>
    <row r="667" spans="2:40" ht="21.95" customHeight="1" x14ac:dyDescent="0.2">
      <c r="B667" s="705"/>
      <c r="C667" s="715"/>
      <c r="D667" s="715"/>
      <c r="E667" s="1339"/>
      <c r="F667" s="116" t="s">
        <v>335</v>
      </c>
      <c r="G667" s="116" t="s">
        <v>323</v>
      </c>
      <c r="H667" s="577">
        <f t="shared" ref="H667:AG667" si="539">H547/H609</f>
        <v>2902.3081039318445</v>
      </c>
      <c r="I667" s="577">
        <f t="shared" si="539"/>
        <v>3177.8662772054968</v>
      </c>
      <c r="J667" s="577">
        <f t="shared" si="539"/>
        <v>3568.7936603785461</v>
      </c>
      <c r="K667" s="577">
        <f t="shared" si="539"/>
        <v>4205.9548997080692</v>
      </c>
      <c r="L667" s="577">
        <f t="shared" si="539"/>
        <v>4844.1749968439162</v>
      </c>
      <c r="M667" s="577">
        <f t="shared" si="539"/>
        <v>5485.4395500307874</v>
      </c>
      <c r="N667" s="577">
        <f t="shared" si="539"/>
        <v>6135.3235998365135</v>
      </c>
      <c r="O667" s="577">
        <f t="shared" si="539"/>
        <v>6809.4664973977297</v>
      </c>
      <c r="P667" s="577">
        <f t="shared" si="539"/>
        <v>7648.8694373070421</v>
      </c>
      <c r="Q667" s="577">
        <f t="shared" si="539"/>
        <v>8673.7002990772598</v>
      </c>
      <c r="R667" s="577">
        <f t="shared" si="539"/>
        <v>10119.525940453137</v>
      </c>
      <c r="S667" s="577">
        <f t="shared" si="539"/>
        <v>12462.421118317743</v>
      </c>
      <c r="T667" s="577">
        <f t="shared" si="539"/>
        <v>16611.726516990955</v>
      </c>
      <c r="U667" s="577">
        <f t="shared" si="539"/>
        <v>21090.526712406929</v>
      </c>
      <c r="V667" s="577">
        <f t="shared" si="539"/>
        <v>24611.856266820665</v>
      </c>
      <c r="W667" s="577">
        <f t="shared" si="539"/>
        <v>29043.918810202049</v>
      </c>
      <c r="X667" s="577">
        <f t="shared" si="539"/>
        <v>34610.591259202643</v>
      </c>
      <c r="Y667" s="577">
        <f t="shared" si="539"/>
        <v>41592.280658477779</v>
      </c>
      <c r="Z667" s="577">
        <f t="shared" si="539"/>
        <v>50301.250717248833</v>
      </c>
      <c r="AA667" s="577">
        <f t="shared" si="539"/>
        <v>61152.531471072951</v>
      </c>
      <c r="AB667" s="577">
        <f t="shared" si="539"/>
        <v>63314.281159999999</v>
      </c>
      <c r="AC667" s="577">
        <f t="shared" si="539"/>
        <v>64678.251119999994</v>
      </c>
      <c r="AD667" s="577">
        <f t="shared" si="539"/>
        <v>66043.777440000005</v>
      </c>
      <c r="AE667" s="577">
        <f t="shared" si="539"/>
        <v>67407.747399999993</v>
      </c>
      <c r="AF667" s="577">
        <f t="shared" si="539"/>
        <v>68771.717359999995</v>
      </c>
      <c r="AG667" s="725">
        <f t="shared" si="539"/>
        <v>70137.243679999985</v>
      </c>
      <c r="AH667" s="18"/>
      <c r="AI667" s="18"/>
      <c r="AJ667" s="18"/>
      <c r="AK667" s="18"/>
      <c r="AL667" s="18"/>
      <c r="AM667" s="18"/>
      <c r="AN667" s="18"/>
    </row>
    <row r="668" spans="2:40" ht="21.95" customHeight="1" x14ac:dyDescent="0.2">
      <c r="B668" s="705"/>
      <c r="C668" s="715"/>
      <c r="D668" s="715"/>
      <c r="E668" s="1353"/>
      <c r="F668" s="254" t="s">
        <v>323</v>
      </c>
      <c r="G668" s="254" t="s">
        <v>338</v>
      </c>
      <c r="H668" s="587">
        <f t="shared" ref="H668:AG668" si="540">H548/H610</f>
        <v>41642.382214759615</v>
      </c>
      <c r="I668" s="587">
        <f t="shared" si="540"/>
        <v>43031.801251957237</v>
      </c>
      <c r="J668" s="587">
        <f t="shared" si="540"/>
        <v>45147.819024983102</v>
      </c>
      <c r="K668" s="587">
        <f t="shared" si="540"/>
        <v>48503.654678090701</v>
      </c>
      <c r="L668" s="587">
        <f t="shared" si="540"/>
        <v>52545.777347388503</v>
      </c>
      <c r="M668" s="587">
        <f t="shared" si="540"/>
        <v>57647.258970404218</v>
      </c>
      <c r="N668" s="587">
        <f t="shared" si="540"/>
        <v>64353.088222593564</v>
      </c>
      <c r="O668" s="587">
        <f t="shared" si="540"/>
        <v>73457.880823385087</v>
      </c>
      <c r="P668" s="587">
        <f t="shared" si="540"/>
        <v>86209.443379642442</v>
      </c>
      <c r="Q668" s="587">
        <f t="shared" si="540"/>
        <v>104136.60266449235</v>
      </c>
      <c r="R668" s="587">
        <f t="shared" si="540"/>
        <v>129427.84421801112</v>
      </c>
      <c r="S668" s="587">
        <f t="shared" si="540"/>
        <v>165090.12146958063</v>
      </c>
      <c r="T668" s="587">
        <f t="shared" si="540"/>
        <v>215205.79567566823</v>
      </c>
      <c r="U668" s="587">
        <f t="shared" si="540"/>
        <v>262767.71011138213</v>
      </c>
      <c r="V668" s="587">
        <f t="shared" si="540"/>
        <v>302878.1650741527</v>
      </c>
      <c r="W668" s="587">
        <f t="shared" si="540"/>
        <v>332560.61040000001</v>
      </c>
      <c r="X668" s="587">
        <f t="shared" si="540"/>
        <v>337951.5253792</v>
      </c>
      <c r="Y668" s="587">
        <f t="shared" si="540"/>
        <v>343345.00715520006</v>
      </c>
      <c r="Z668" s="587">
        <f t="shared" si="540"/>
        <v>348735.92213440005</v>
      </c>
      <c r="AA668" s="587">
        <f t="shared" si="540"/>
        <v>354129.40391040005</v>
      </c>
      <c r="AB668" s="587">
        <f t="shared" si="540"/>
        <v>359520.31888960005</v>
      </c>
      <c r="AC668" s="587">
        <f t="shared" si="540"/>
        <v>364911.23386880005</v>
      </c>
      <c r="AD668" s="587">
        <f t="shared" si="540"/>
        <v>370304.71564479999</v>
      </c>
      <c r="AE668" s="587">
        <f t="shared" si="540"/>
        <v>375695.63062399992</v>
      </c>
      <c r="AF668" s="587">
        <f t="shared" si="540"/>
        <v>381086.54560320004</v>
      </c>
      <c r="AG668" s="729">
        <f t="shared" si="540"/>
        <v>386480.02737920004</v>
      </c>
      <c r="AH668" s="18"/>
      <c r="AI668" s="18"/>
      <c r="AJ668" s="18"/>
      <c r="AK668" s="18"/>
      <c r="AL668" s="18"/>
      <c r="AM668" s="18"/>
      <c r="AN668" s="18"/>
    </row>
    <row r="669" spans="2:40" ht="21.95" customHeight="1" x14ac:dyDescent="0.2">
      <c r="B669" s="705"/>
      <c r="C669" s="715"/>
      <c r="D669" s="715"/>
      <c r="E669" s="116" t="s">
        <v>339</v>
      </c>
      <c r="F669" s="116" t="s">
        <v>335</v>
      </c>
      <c r="G669" s="116" t="s">
        <v>323</v>
      </c>
      <c r="H669" s="577">
        <f t="shared" ref="H669:AG669" si="541">H549/H611</f>
        <v>130.25092592592591</v>
      </c>
      <c r="I669" s="577">
        <f t="shared" si="541"/>
        <v>540.99722083333324</v>
      </c>
      <c r="J669" s="577">
        <f t="shared" si="541"/>
        <v>4826.3829348054733</v>
      </c>
      <c r="K669" s="577">
        <f t="shared" si="541"/>
        <v>11415.582979952778</v>
      </c>
      <c r="L669" s="577">
        <f t="shared" si="541"/>
        <v>18009.632479251424</v>
      </c>
      <c r="M669" s="577">
        <f t="shared" si="541"/>
        <v>24605.776145887208</v>
      </c>
      <c r="N669" s="577">
        <f t="shared" si="541"/>
        <v>31258.298209669469</v>
      </c>
      <c r="O669" s="577">
        <f t="shared" si="541"/>
        <v>38352.454236485915</v>
      </c>
      <c r="P669" s="577">
        <f t="shared" si="541"/>
        <v>41716.934110474125</v>
      </c>
      <c r="Q669" s="577">
        <f t="shared" si="541"/>
        <v>45700.798019857139</v>
      </c>
      <c r="R669" s="577">
        <f t="shared" si="541"/>
        <v>50786.921214165915</v>
      </c>
      <c r="S669" s="577">
        <f t="shared" si="541"/>
        <v>57773.641064222487</v>
      </c>
      <c r="T669" s="577">
        <f t="shared" si="541"/>
        <v>67974.271242960283</v>
      </c>
      <c r="U669" s="577">
        <f t="shared" si="541"/>
        <v>69903.332840432427</v>
      </c>
      <c r="V669" s="577">
        <f t="shared" si="541"/>
        <v>71957.694422926827</v>
      </c>
      <c r="W669" s="577">
        <f t="shared" si="541"/>
        <v>74146.586853770568</v>
      </c>
      <c r="X669" s="577">
        <f t="shared" si="541"/>
        <v>76479.840606804777</v>
      </c>
      <c r="Y669" s="577">
        <f t="shared" si="541"/>
        <v>78986.254465637554</v>
      </c>
      <c r="Z669" s="577">
        <f t="shared" si="541"/>
        <v>81641.517159459108</v>
      </c>
      <c r="AA669" s="577">
        <f t="shared" si="541"/>
        <v>84483.943842985405</v>
      </c>
      <c r="AB669" s="577">
        <f t="shared" si="541"/>
        <v>87508.187882810962</v>
      </c>
      <c r="AC669" s="577">
        <f t="shared" si="541"/>
        <v>90736.323168379313</v>
      </c>
      <c r="AD669" s="577">
        <f t="shared" si="541"/>
        <v>94207.963533670758</v>
      </c>
      <c r="AE669" s="577">
        <f t="shared" si="541"/>
        <v>97889.09214400698</v>
      </c>
      <c r="AF669" s="577">
        <f t="shared" si="541"/>
        <v>101819.51313980072</v>
      </c>
      <c r="AG669" s="725">
        <f t="shared" si="541"/>
        <v>106029.95108306925</v>
      </c>
      <c r="AH669" s="18"/>
      <c r="AI669" s="18"/>
      <c r="AJ669" s="18"/>
      <c r="AK669" s="18"/>
      <c r="AL669" s="18"/>
      <c r="AM669" s="18"/>
      <c r="AN669" s="18"/>
    </row>
    <row r="670" spans="2:40" ht="21.95" customHeight="1" x14ac:dyDescent="0.2">
      <c r="B670" s="705"/>
      <c r="C670" s="715"/>
      <c r="D670" s="715"/>
      <c r="E670" s="1340" t="s">
        <v>323</v>
      </c>
      <c r="F670" s="220" t="s">
        <v>282</v>
      </c>
      <c r="G670" s="220" t="s">
        <v>339</v>
      </c>
      <c r="H670" s="583">
        <f t="shared" ref="H670:AG670" si="542">H550/H612</f>
        <v>393.24087591240874</v>
      </c>
      <c r="I670" s="583">
        <f t="shared" si="542"/>
        <v>873.97784671532838</v>
      </c>
      <c r="J670" s="583">
        <f t="shared" si="542"/>
        <v>3693.9081678832117</v>
      </c>
      <c r="K670" s="583">
        <f t="shared" si="542"/>
        <v>8303.6743357675514</v>
      </c>
      <c r="L670" s="583">
        <f t="shared" si="542"/>
        <v>12915.996569488536</v>
      </c>
      <c r="M670" s="583">
        <f t="shared" si="542"/>
        <v>17528.515427541301</v>
      </c>
      <c r="N670" s="583">
        <f t="shared" si="542"/>
        <v>22138.281645809242</v>
      </c>
      <c r="O670" s="583">
        <f t="shared" si="542"/>
        <v>26753.356948994206</v>
      </c>
      <c r="P670" s="583">
        <f t="shared" si="542"/>
        <v>30312.188168361648</v>
      </c>
      <c r="Q670" s="583">
        <f t="shared" si="542"/>
        <v>33871.612095109449</v>
      </c>
      <c r="R670" s="583">
        <f t="shared" si="542"/>
        <v>37430.453766219885</v>
      </c>
      <c r="S670" s="583">
        <f t="shared" si="542"/>
        <v>40989.313913503218</v>
      </c>
      <c r="T670" s="583">
        <f t="shared" si="542"/>
        <v>44552.934567621487</v>
      </c>
      <c r="U670" s="583">
        <f t="shared" si="542"/>
        <v>46319.239825197532</v>
      </c>
      <c r="V670" s="583">
        <f t="shared" si="542"/>
        <v>46799.998871363088</v>
      </c>
      <c r="W670" s="583">
        <f t="shared" si="542"/>
        <v>47280.76030553801</v>
      </c>
      <c r="X670" s="583">
        <f t="shared" si="542"/>
        <v>47761.524357751841</v>
      </c>
      <c r="Y670" s="583">
        <f t="shared" si="542"/>
        <v>48243.667710703572</v>
      </c>
      <c r="Z670" s="583">
        <f t="shared" si="542"/>
        <v>48724.437777865736</v>
      </c>
      <c r="AA670" s="583">
        <f t="shared" si="542"/>
        <v>49206.587729643688</v>
      </c>
      <c r="AB670" s="583">
        <f t="shared" si="542"/>
        <v>49687.364988509609</v>
      </c>
      <c r="AC670" s="583">
        <f t="shared" si="542"/>
        <v>50168.146339907151</v>
      </c>
      <c r="AD670" s="583">
        <f t="shared" si="542"/>
        <v>50650.308643952136</v>
      </c>
      <c r="AE670" s="583">
        <f t="shared" si="542"/>
        <v>51131.099335734994</v>
      </c>
      <c r="AF670" s="583">
        <f t="shared" si="542"/>
        <v>51611.89532318386</v>
      </c>
      <c r="AG670" s="728">
        <f t="shared" si="542"/>
        <v>52094.073608850616</v>
      </c>
      <c r="AH670" s="18"/>
      <c r="AI670" s="18"/>
      <c r="AJ670" s="18"/>
      <c r="AK670" s="18"/>
      <c r="AL670" s="18"/>
      <c r="AM670" s="18"/>
      <c r="AN670" s="18"/>
    </row>
    <row r="671" spans="2:40" ht="21.95" customHeight="1" x14ac:dyDescent="0.2">
      <c r="B671" s="705"/>
      <c r="C671" s="715"/>
      <c r="D671" s="715"/>
      <c r="E671" s="1339"/>
      <c r="F671" s="116" t="s">
        <v>339</v>
      </c>
      <c r="G671" s="116" t="s">
        <v>288</v>
      </c>
      <c r="H671" s="577">
        <f t="shared" ref="H671:AG671" si="543">H551/H613</f>
        <v>0</v>
      </c>
      <c r="I671" s="577">
        <f t="shared" si="543"/>
        <v>265.07347931873477</v>
      </c>
      <c r="J671" s="577">
        <f t="shared" si="543"/>
        <v>766.14391630170326</v>
      </c>
      <c r="K671" s="577">
        <f t="shared" si="543"/>
        <v>1722.2435659369737</v>
      </c>
      <c r="L671" s="577">
        <f t="shared" si="543"/>
        <v>2678.8733625605851</v>
      </c>
      <c r="M671" s="577">
        <f t="shared" si="543"/>
        <v>3635.5439405270854</v>
      </c>
      <c r="N671" s="577">
        <f t="shared" si="543"/>
        <v>4591.6436006122876</v>
      </c>
      <c r="O671" s="577">
        <f t="shared" si="543"/>
        <v>5548.8444042358351</v>
      </c>
      <c r="P671" s="577">
        <f t="shared" si="543"/>
        <v>6286.9723608453796</v>
      </c>
      <c r="Q671" s="577">
        <f t="shared" si="543"/>
        <v>7025.2232493560341</v>
      </c>
      <c r="R671" s="577">
        <f t="shared" si="543"/>
        <v>7763.353373734496</v>
      </c>
      <c r="S671" s="577">
        <f t="shared" si="543"/>
        <v>8501.4873302080759</v>
      </c>
      <c r="T671" s="577">
        <f t="shared" si="543"/>
        <v>9240.6086510622354</v>
      </c>
      <c r="U671" s="577">
        <f t="shared" si="543"/>
        <v>9606.9534452261541</v>
      </c>
      <c r="V671" s="577">
        <f t="shared" si="543"/>
        <v>9706.6664325790116</v>
      </c>
      <c r="W671" s="577">
        <f t="shared" si="543"/>
        <v>9806.3799152226984</v>
      </c>
      <c r="X671" s="577">
        <f t="shared" si="543"/>
        <v>9906.0939408670492</v>
      </c>
      <c r="Y671" s="577">
        <f t="shared" si="543"/>
        <v>10006.094043701481</v>
      </c>
      <c r="Z671" s="577">
        <f t="shared" si="543"/>
        <v>10105.809316890673</v>
      </c>
      <c r="AA671" s="577">
        <f t="shared" si="543"/>
        <v>10205.810788370543</v>
      </c>
      <c r="AB671" s="577">
        <f t="shared" si="543"/>
        <v>10305.527553172364</v>
      </c>
      <c r="AC671" s="577">
        <f t="shared" si="543"/>
        <v>10405.245166795556</v>
      </c>
      <c r="AD671" s="577">
        <f t="shared" si="543"/>
        <v>10505.24920022711</v>
      </c>
      <c r="AE671" s="577">
        <f t="shared" si="543"/>
        <v>10604.968751115406</v>
      </c>
      <c r="AF671" s="577">
        <f t="shared" si="543"/>
        <v>10704.689400364059</v>
      </c>
      <c r="AG671" s="725">
        <f t="shared" si="543"/>
        <v>10804.696748502349</v>
      </c>
      <c r="AH671" s="18"/>
      <c r="AI671" s="18"/>
      <c r="AJ671" s="18"/>
      <c r="AK671" s="18"/>
      <c r="AL671" s="18"/>
      <c r="AM671" s="18"/>
      <c r="AN671" s="18"/>
    </row>
    <row r="672" spans="2:40" ht="21.95" customHeight="1" x14ac:dyDescent="0.2">
      <c r="B672" s="705"/>
      <c r="C672" s="715"/>
      <c r="D672" s="715"/>
      <c r="E672" s="1339"/>
      <c r="F672" s="116" t="s">
        <v>288</v>
      </c>
      <c r="G672" s="116" t="s">
        <v>340</v>
      </c>
      <c r="H672" s="577">
        <f t="shared" ref="H672:AG672" si="544">H552/H614</f>
        <v>0</v>
      </c>
      <c r="I672" s="577">
        <f t="shared" si="544"/>
        <v>691.08442822384427</v>
      </c>
      <c r="J672" s="577">
        <f t="shared" si="544"/>
        <v>1997.4466389294403</v>
      </c>
      <c r="K672" s="577">
        <f t="shared" si="544"/>
        <v>4490.1350111928241</v>
      </c>
      <c r="L672" s="577">
        <f t="shared" si="544"/>
        <v>6984.2055523900972</v>
      </c>
      <c r="M672" s="577">
        <f t="shared" si="544"/>
        <v>9478.3824163741847</v>
      </c>
      <c r="N672" s="577">
        <f t="shared" si="544"/>
        <v>11971.070815882034</v>
      </c>
      <c r="O672" s="577">
        <f t="shared" si="544"/>
        <v>14466.63005390057</v>
      </c>
      <c r="P672" s="577">
        <f t="shared" si="544"/>
        <v>16391.035083632596</v>
      </c>
      <c r="Q672" s="577">
        <f t="shared" si="544"/>
        <v>18315.760614392519</v>
      </c>
      <c r="R672" s="577">
        <f t="shared" si="544"/>
        <v>20240.171295807788</v>
      </c>
      <c r="S672" s="577">
        <f t="shared" si="544"/>
        <v>22164.591968042478</v>
      </c>
      <c r="T672" s="577">
        <f t="shared" si="544"/>
        <v>24091.586840269392</v>
      </c>
      <c r="U672" s="577">
        <f t="shared" si="544"/>
        <v>25046.700053625329</v>
      </c>
      <c r="V672" s="577">
        <f t="shared" si="544"/>
        <v>25306.666056366706</v>
      </c>
      <c r="W672" s="577">
        <f t="shared" si="544"/>
        <v>25566.633350402037</v>
      </c>
      <c r="X672" s="577">
        <f t="shared" si="544"/>
        <v>25826.602060117657</v>
      </c>
      <c r="Y672" s="577">
        <f t="shared" si="544"/>
        <v>26087.316613936004</v>
      </c>
      <c r="Z672" s="577">
        <f t="shared" si="544"/>
        <v>26347.28857617925</v>
      </c>
      <c r="AA672" s="577">
        <f t="shared" si="544"/>
        <v>26608.006698251771</v>
      </c>
      <c r="AB672" s="577">
        <f t="shared" si="544"/>
        <v>26867.982549342232</v>
      </c>
      <c r="AC672" s="577">
        <f t="shared" si="544"/>
        <v>27127.960613431271</v>
      </c>
      <c r="AD672" s="577">
        <f t="shared" si="544"/>
        <v>27388.685414877811</v>
      </c>
      <c r="AE672" s="577">
        <f t="shared" si="544"/>
        <v>27648.668529693736</v>
      </c>
      <c r="AF672" s="577">
        <f t="shared" si="544"/>
        <v>27908.654508092015</v>
      </c>
      <c r="AG672" s="725">
        <f t="shared" si="544"/>
        <v>28169.387951452551</v>
      </c>
      <c r="AH672" s="18"/>
      <c r="AI672" s="18"/>
      <c r="AJ672" s="18"/>
      <c r="AK672" s="18"/>
      <c r="AL672" s="18"/>
      <c r="AM672" s="18"/>
      <c r="AN672" s="18"/>
    </row>
    <row r="673" spans="2:40" ht="21.95" customHeight="1" x14ac:dyDescent="0.2">
      <c r="B673" s="705"/>
      <c r="C673" s="715"/>
      <c r="D673" s="715"/>
      <c r="E673" s="1353"/>
      <c r="F673" s="254" t="s">
        <v>340</v>
      </c>
      <c r="G673" s="254" t="s">
        <v>280</v>
      </c>
      <c r="H673" s="587">
        <f t="shared" ref="H673:AG673" si="545">H553/H615</f>
        <v>917.56204379562053</v>
      </c>
      <c r="I673" s="587">
        <f t="shared" si="545"/>
        <v>1356.0649445255474</v>
      </c>
      <c r="J673" s="587">
        <f t="shared" si="545"/>
        <v>1902.3508000000002</v>
      </c>
      <c r="K673" s="587">
        <f t="shared" si="545"/>
        <v>3072.058893430657</v>
      </c>
      <c r="L673" s="587">
        <f t="shared" si="545"/>
        <v>4241.9199138686226</v>
      </c>
      <c r="M673" s="587">
        <f t="shared" si="545"/>
        <v>5412.2703007300533</v>
      </c>
      <c r="N673" s="587">
        <f t="shared" si="545"/>
        <v>6581.9783941616643</v>
      </c>
      <c r="O673" s="587">
        <f t="shared" si="545"/>
        <v>7751.0747795685729</v>
      </c>
      <c r="P673" s="587">
        <f t="shared" si="545"/>
        <v>10098.565512528614</v>
      </c>
      <c r="Q673" s="587">
        <f t="shared" si="545"/>
        <v>12444.710488784229</v>
      </c>
      <c r="R673" s="587">
        <f t="shared" si="545"/>
        <v>14791.375422576595</v>
      </c>
      <c r="S673" s="587">
        <f t="shared" si="545"/>
        <v>17138.866187773157</v>
      </c>
      <c r="T673" s="587">
        <f t="shared" si="545"/>
        <v>19485.745337721579</v>
      </c>
      <c r="U673" s="587">
        <f t="shared" si="545"/>
        <v>21209.752916780923</v>
      </c>
      <c r="V673" s="587">
        <f t="shared" si="545"/>
        <v>21648.255923648459</v>
      </c>
      <c r="W673" s="587">
        <f t="shared" si="545"/>
        <v>22086.758954340003</v>
      </c>
      <c r="X673" s="587">
        <f t="shared" si="545"/>
        <v>22525.26201356501</v>
      </c>
      <c r="Y673" s="587">
        <f t="shared" si="545"/>
        <v>22962.449933945696</v>
      </c>
      <c r="Z673" s="587">
        <f t="shared" si="545"/>
        <v>23400.953067593709</v>
      </c>
      <c r="AA673" s="587">
        <f t="shared" si="545"/>
        <v>23838.141076046948</v>
      </c>
      <c r="AB673" s="587">
        <f t="shared" si="545"/>
        <v>24276.644314214856</v>
      </c>
      <c r="AC673" s="587">
        <f t="shared" si="545"/>
        <v>24715.1476191691</v>
      </c>
      <c r="AD673" s="587">
        <f t="shared" si="545"/>
        <v>25152.335828739142</v>
      </c>
      <c r="AE673" s="587">
        <f t="shared" si="545"/>
        <v>25590.839303757461</v>
      </c>
      <c r="AF673" s="587">
        <f t="shared" si="545"/>
        <v>26029.342886091996</v>
      </c>
      <c r="AG673" s="729">
        <f t="shared" si="545"/>
        <v>26466.531418577626</v>
      </c>
      <c r="AH673" s="18"/>
      <c r="AI673" s="18"/>
      <c r="AJ673" s="18"/>
      <c r="AK673" s="18"/>
      <c r="AL673" s="18"/>
      <c r="AM673" s="18"/>
      <c r="AN673" s="18"/>
    </row>
    <row r="674" spans="2:40" ht="21.95" customHeight="1" x14ac:dyDescent="0.2">
      <c r="B674" s="705"/>
      <c r="C674" s="715"/>
      <c r="D674" s="715"/>
      <c r="E674" s="1340" t="s">
        <v>334</v>
      </c>
      <c r="F674" s="116" t="s">
        <v>336</v>
      </c>
      <c r="G674" s="116" t="s">
        <v>337</v>
      </c>
      <c r="H674" s="577">
        <f t="shared" ref="H674:AG674" si="546">H554/H616</f>
        <v>16464.696454979003</v>
      </c>
      <c r="I674" s="577">
        <f t="shared" si="546"/>
        <v>16920.851333251958</v>
      </c>
      <c r="J674" s="577">
        <f t="shared" si="546"/>
        <v>17657.077461133416</v>
      </c>
      <c r="K674" s="577">
        <f t="shared" si="546"/>
        <v>18709.059166697978</v>
      </c>
      <c r="L674" s="577">
        <f t="shared" si="546"/>
        <v>19761.881871296984</v>
      </c>
      <c r="M674" s="577">
        <f t="shared" si="546"/>
        <v>20815.250567128121</v>
      </c>
      <c r="N674" s="577">
        <f t="shared" si="546"/>
        <v>21869.169468685897</v>
      </c>
      <c r="O674" s="577">
        <f t="shared" si="546"/>
        <v>22925.530937142201</v>
      </c>
      <c r="P674" s="577">
        <f t="shared" si="546"/>
        <v>23867.690356817206</v>
      </c>
      <c r="Q674" s="577">
        <f t="shared" si="546"/>
        <v>24812.737056135611</v>
      </c>
      <c r="R674" s="577">
        <f t="shared" si="546"/>
        <v>25761.149206652299</v>
      </c>
      <c r="S674" s="577">
        <f t="shared" si="546"/>
        <v>26714.670826750251</v>
      </c>
      <c r="T674" s="577">
        <f t="shared" si="546"/>
        <v>27676.207357050556</v>
      </c>
      <c r="U674" s="577">
        <f t="shared" si="546"/>
        <v>28317.919039689885</v>
      </c>
      <c r="V674" s="577">
        <f t="shared" si="546"/>
        <v>28792.539868806642</v>
      </c>
      <c r="W674" s="577">
        <f t="shared" si="546"/>
        <v>29270.358662042021</v>
      </c>
      <c r="X674" s="577">
        <f t="shared" si="546"/>
        <v>29751.863186472914</v>
      </c>
      <c r="Y674" s="577">
        <f t="shared" si="546"/>
        <v>30237.92089285851</v>
      </c>
      <c r="Z674" s="577">
        <f t="shared" si="546"/>
        <v>30728.531186697539</v>
      </c>
      <c r="AA674" s="577">
        <f t="shared" si="546"/>
        <v>31225.033696985767</v>
      </c>
      <c r="AB674" s="577">
        <f t="shared" si="546"/>
        <v>31727.584909050387</v>
      </c>
      <c r="AC674" s="577">
        <f t="shared" si="546"/>
        <v>32237.398146404561</v>
      </c>
      <c r="AD674" s="577">
        <f t="shared" si="546"/>
        <v>32755.815849748997</v>
      </c>
      <c r="AE674" s="577">
        <f t="shared" si="546"/>
        <v>33283.298158198384</v>
      </c>
      <c r="AF674" s="577">
        <f t="shared" si="546"/>
        <v>33821.438503341262</v>
      </c>
      <c r="AG674" s="725">
        <f t="shared" si="546"/>
        <v>34372.006568285979</v>
      </c>
      <c r="AH674" s="18"/>
      <c r="AI674" s="18"/>
      <c r="AJ674" s="18"/>
      <c r="AK674" s="18"/>
      <c r="AL674" s="18"/>
      <c r="AM674" s="18"/>
      <c r="AN674" s="18"/>
    </row>
    <row r="675" spans="2:40" ht="21.95" customHeight="1" x14ac:dyDescent="0.2">
      <c r="B675" s="705"/>
      <c r="C675" s="715"/>
      <c r="D675" s="715"/>
      <c r="E675" s="1339"/>
      <c r="F675" s="116" t="s">
        <v>337</v>
      </c>
      <c r="G675" s="116" t="s">
        <v>386</v>
      </c>
      <c r="H675" s="577">
        <f t="shared" ref="H675:AG675" si="547">H555/H617</f>
        <v>27225.335003580785</v>
      </c>
      <c r="I675" s="577">
        <f t="shared" si="547"/>
        <v>27266.41868678332</v>
      </c>
      <c r="J675" s="577">
        <f t="shared" si="547"/>
        <v>27307.506445056464</v>
      </c>
      <c r="K675" s="577">
        <f t="shared" si="547"/>
        <v>27348.598333661364</v>
      </c>
      <c r="L675" s="577">
        <f t="shared" si="547"/>
        <v>27389.694408524258</v>
      </c>
      <c r="M675" s="577">
        <f t="shared" si="547"/>
        <v>27430.794726243526</v>
      </c>
      <c r="N675" s="577">
        <f t="shared" si="547"/>
        <v>27471.899344096691</v>
      </c>
      <c r="O675" s="577">
        <f t="shared" si="547"/>
        <v>27513.0083200476</v>
      </c>
      <c r="P675" s="577">
        <f t="shared" si="547"/>
        <v>27554.121712753538</v>
      </c>
      <c r="Q675" s="577">
        <f t="shared" si="547"/>
        <v>27554.121712753538</v>
      </c>
      <c r="R675" s="577">
        <f t="shared" si="547"/>
        <v>27554.121712753538</v>
      </c>
      <c r="S675" s="577">
        <f t="shared" si="547"/>
        <v>27554.121712753538</v>
      </c>
      <c r="T675" s="577">
        <f t="shared" si="547"/>
        <v>27554.121712753538</v>
      </c>
      <c r="U675" s="577">
        <f t="shared" si="547"/>
        <v>27554.121712753538</v>
      </c>
      <c r="V675" s="577">
        <f t="shared" si="547"/>
        <v>27736.307464105885</v>
      </c>
      <c r="W675" s="577">
        <f t="shared" si="547"/>
        <v>28169.240360245432</v>
      </c>
      <c r="X675" s="577">
        <f t="shared" si="547"/>
        <v>28602.77720285306</v>
      </c>
      <c r="Y675" s="577">
        <f t="shared" si="547"/>
        <v>29037.10753039116</v>
      </c>
      <c r="Z675" s="577">
        <f t="shared" si="547"/>
        <v>29472.128050391475</v>
      </c>
      <c r="AA675" s="577">
        <f t="shared" si="547"/>
        <v>29908.153711108953</v>
      </c>
      <c r="AB675" s="577">
        <f t="shared" si="547"/>
        <v>30345.106758236954</v>
      </c>
      <c r="AC675" s="577">
        <f t="shared" si="547"/>
        <v>30783.229814247185</v>
      </c>
      <c r="AD675" s="577">
        <f t="shared" si="547"/>
        <v>31222.783523127466</v>
      </c>
      <c r="AE675" s="577">
        <f t="shared" si="547"/>
        <v>31663.739400929899</v>
      </c>
      <c r="AF675" s="577">
        <f t="shared" si="547"/>
        <v>32106.3970122639</v>
      </c>
      <c r="AG675" s="725">
        <f t="shared" si="547"/>
        <v>32551.080165590654</v>
      </c>
      <c r="AH675" s="18"/>
      <c r="AI675" s="18"/>
      <c r="AJ675" s="18"/>
      <c r="AK675" s="18"/>
      <c r="AL675" s="18"/>
      <c r="AM675" s="18"/>
      <c r="AN675" s="18"/>
    </row>
    <row r="676" spans="2:40" ht="21.95" customHeight="1" x14ac:dyDescent="0.2">
      <c r="B676" s="705"/>
      <c r="C676" s="715"/>
      <c r="D676" s="715"/>
      <c r="E676" s="1339"/>
      <c r="F676" s="116" t="s">
        <v>342</v>
      </c>
      <c r="G676" s="116" t="s">
        <v>341</v>
      </c>
      <c r="H676" s="577">
        <f t="shared" ref="H676:AG676" si="548">H556/H618</f>
        <v>39477.660183595624</v>
      </c>
      <c r="I676" s="577">
        <f t="shared" si="548"/>
        <v>39537.34171219611</v>
      </c>
      <c r="J676" s="577">
        <f t="shared" si="548"/>
        <v>39597.03095432082</v>
      </c>
      <c r="K676" s="577">
        <f t="shared" si="548"/>
        <v>39656.728014571177</v>
      </c>
      <c r="L676" s="577">
        <f t="shared" si="548"/>
        <v>39716.432998807555</v>
      </c>
      <c r="M676" s="577">
        <f t="shared" si="548"/>
        <v>39776.146014162536</v>
      </c>
      <c r="N676" s="577">
        <f t="shared" si="548"/>
        <v>39835.867169054291</v>
      </c>
      <c r="O676" s="577">
        <f t="shared" si="548"/>
        <v>39895.59657320004</v>
      </c>
      <c r="P676" s="577">
        <f t="shared" si="548"/>
        <v>39955.334337629625</v>
      </c>
      <c r="Q676" s="577">
        <f t="shared" si="548"/>
        <v>39955.334337629625</v>
      </c>
      <c r="R676" s="577">
        <f t="shared" si="548"/>
        <v>39955.334337629625</v>
      </c>
      <c r="S676" s="577">
        <f t="shared" si="548"/>
        <v>39955.334337629625</v>
      </c>
      <c r="T676" s="577">
        <f t="shared" si="548"/>
        <v>39955.334337629625</v>
      </c>
      <c r="U676" s="577">
        <f t="shared" si="548"/>
        <v>39955.334337629625</v>
      </c>
      <c r="V676" s="577">
        <f t="shared" si="548"/>
        <v>40220.074301602835</v>
      </c>
      <c r="W676" s="577">
        <f t="shared" si="548"/>
        <v>40849.351692372198</v>
      </c>
      <c r="X676" s="577">
        <f t="shared" si="548"/>
        <v>41479.772267189808</v>
      </c>
      <c r="Y676" s="577">
        <f t="shared" si="548"/>
        <v>42111.650407202564</v>
      </c>
      <c r="Z676" s="577">
        <f t="shared" si="548"/>
        <v>42744.879370540817</v>
      </c>
      <c r="AA676" s="577">
        <f t="shared" si="548"/>
        <v>43379.966533123508</v>
      </c>
      <c r="AB676" s="577">
        <f t="shared" si="548"/>
        <v>44016.853493158327</v>
      </c>
      <c r="AC676" s="577">
        <f t="shared" si="548"/>
        <v>44655.955112208714</v>
      </c>
      <c r="AD676" s="577">
        <f t="shared" si="548"/>
        <v>45297.720363983535</v>
      </c>
      <c r="AE676" s="577">
        <f t="shared" si="548"/>
        <v>45942.184108413363</v>
      </c>
      <c r="AF676" s="577">
        <f t="shared" si="548"/>
        <v>46589.868990361923</v>
      </c>
      <c r="AG676" s="725">
        <f t="shared" si="548"/>
        <v>47241.343544827309</v>
      </c>
      <c r="AH676" s="18"/>
      <c r="AI676" s="18"/>
      <c r="AJ676" s="18"/>
      <c r="AK676" s="18"/>
      <c r="AL676" s="18"/>
      <c r="AM676" s="18"/>
      <c r="AN676" s="18"/>
    </row>
    <row r="677" spans="2:40" ht="21.95" customHeight="1" x14ac:dyDescent="0.2">
      <c r="B677" s="705"/>
      <c r="C677" s="715"/>
      <c r="D677" s="715"/>
      <c r="E677" s="1339"/>
      <c r="F677" s="116" t="s">
        <v>341</v>
      </c>
      <c r="G677" s="116" t="s">
        <v>344</v>
      </c>
      <c r="H677" s="577">
        <f t="shared" ref="H677:AG677" si="549">H557/H619</f>
        <v>40875.197718659634</v>
      </c>
      <c r="I677" s="577">
        <f t="shared" si="549"/>
        <v>40938.465969444769</v>
      </c>
      <c r="J677" s="577">
        <f t="shared" si="549"/>
        <v>41001.766655069361</v>
      </c>
      <c r="K677" s="577">
        <f t="shared" si="549"/>
        <v>41065.100215375147</v>
      </c>
      <c r="L677" s="577">
        <f t="shared" si="549"/>
        <v>41128.467095497726</v>
      </c>
      <c r="M677" s="577">
        <f t="shared" si="549"/>
        <v>41191.867745922296</v>
      </c>
      <c r="N677" s="577">
        <f t="shared" si="549"/>
        <v>41255.302622539777</v>
      </c>
      <c r="O677" s="577">
        <f t="shared" si="549"/>
        <v>41318.772186703529</v>
      </c>
      <c r="P677" s="577">
        <f t="shared" si="549"/>
        <v>41382.276905286453</v>
      </c>
      <c r="Q677" s="577">
        <f t="shared" si="549"/>
        <v>41382.276905286453</v>
      </c>
      <c r="R677" s="577">
        <f t="shared" si="549"/>
        <v>41382.276905286453</v>
      </c>
      <c r="S677" s="577">
        <f t="shared" si="549"/>
        <v>41382.276905286453</v>
      </c>
      <c r="T677" s="577">
        <f t="shared" si="549"/>
        <v>41382.276905286453</v>
      </c>
      <c r="U677" s="577">
        <f t="shared" si="549"/>
        <v>41382.276905286453</v>
      </c>
      <c r="V677" s="577">
        <f t="shared" si="549"/>
        <v>41382.276905286453</v>
      </c>
      <c r="W677" s="577">
        <f t="shared" si="549"/>
        <v>41382.276905286453</v>
      </c>
      <c r="X677" s="577">
        <f t="shared" si="549"/>
        <v>41382.276905286453</v>
      </c>
      <c r="Y677" s="577">
        <f t="shared" si="549"/>
        <v>41382.276905286453</v>
      </c>
      <c r="Z677" s="577">
        <f t="shared" si="549"/>
        <v>41941.470249683895</v>
      </c>
      <c r="AA677" s="577">
        <f t="shared" si="549"/>
        <v>42580.169174068411</v>
      </c>
      <c r="AB677" s="577">
        <f t="shared" si="549"/>
        <v>43223.255183649693</v>
      </c>
      <c r="AC677" s="577">
        <f t="shared" si="549"/>
        <v>43871.498306660811</v>
      </c>
      <c r="AD677" s="577">
        <f t="shared" si="549"/>
        <v>44525.748005776935</v>
      </c>
      <c r="AE677" s="577">
        <f t="shared" si="549"/>
        <v>45186.477515456449</v>
      </c>
      <c r="AF677" s="577">
        <f t="shared" si="549"/>
        <v>45854.707850969789</v>
      </c>
      <c r="AG677" s="725">
        <f t="shared" si="549"/>
        <v>46531.566888565583</v>
      </c>
      <c r="AH677" s="18"/>
      <c r="AI677" s="18"/>
      <c r="AJ677" s="18"/>
      <c r="AK677" s="18"/>
      <c r="AL677" s="18"/>
      <c r="AM677" s="18"/>
      <c r="AN677" s="18"/>
    </row>
    <row r="678" spans="2:40" ht="21.95" customHeight="1" x14ac:dyDescent="0.2">
      <c r="B678" s="705"/>
      <c r="C678" s="715"/>
      <c r="D678" s="715"/>
      <c r="E678" s="1339"/>
      <c r="F678" s="116" t="s">
        <v>344</v>
      </c>
      <c r="G678" s="116" t="s">
        <v>345</v>
      </c>
      <c r="H678" s="577">
        <f t="shared" ref="H678:AG678" si="550">H558/H620</f>
        <v>13764.799206393407</v>
      </c>
      <c r="I678" s="577">
        <f t="shared" si="550"/>
        <v>13785.68893794201</v>
      </c>
      <c r="J678" s="577">
        <f t="shared" si="550"/>
        <v>13806.582692346494</v>
      </c>
      <c r="K678" s="577">
        <f t="shared" si="550"/>
        <v>13827.480524159922</v>
      </c>
      <c r="L678" s="577">
        <f t="shared" si="550"/>
        <v>13848.382488591951</v>
      </c>
      <c r="M678" s="577">
        <f t="shared" si="550"/>
        <v>13869.288641515737</v>
      </c>
      <c r="N678" s="577">
        <f t="shared" si="550"/>
        <v>13890.199039474915</v>
      </c>
      <c r="O678" s="577">
        <f t="shared" si="550"/>
        <v>13911.113739690612</v>
      </c>
      <c r="P678" s="577">
        <f t="shared" si="550"/>
        <v>13932.032800068537</v>
      </c>
      <c r="Q678" s="577">
        <f t="shared" si="550"/>
        <v>13932.032800068537</v>
      </c>
      <c r="R678" s="577">
        <f t="shared" si="550"/>
        <v>13932.032800068537</v>
      </c>
      <c r="S678" s="577">
        <f t="shared" si="550"/>
        <v>13932.032800068537</v>
      </c>
      <c r="T678" s="577">
        <f t="shared" si="550"/>
        <v>13932.032800068537</v>
      </c>
      <c r="U678" s="577">
        <f t="shared" si="550"/>
        <v>13932.032800068537</v>
      </c>
      <c r="V678" s="577">
        <f t="shared" si="550"/>
        <v>13932.032800068537</v>
      </c>
      <c r="W678" s="577">
        <f t="shared" si="550"/>
        <v>13932.032800068537</v>
      </c>
      <c r="X678" s="577">
        <f t="shared" si="550"/>
        <v>13932.032800068537</v>
      </c>
      <c r="Y678" s="577">
        <f t="shared" si="550"/>
        <v>13932.032800068537</v>
      </c>
      <c r="Z678" s="577">
        <f t="shared" si="550"/>
        <v>14115.911073171192</v>
      </c>
      <c r="AA678" s="577">
        <f t="shared" si="550"/>
        <v>14325.161954134974</v>
      </c>
      <c r="AB678" s="577">
        <f t="shared" si="550"/>
        <v>14534.926621041734</v>
      </c>
      <c r="AC678" s="577">
        <f t="shared" si="550"/>
        <v>14745.330918803042</v>
      </c>
      <c r="AD678" s="577">
        <f t="shared" si="550"/>
        <v>14956.510544493054</v>
      </c>
      <c r="AE678" s="577">
        <f t="shared" si="550"/>
        <v>15168.463514449286</v>
      </c>
      <c r="AF678" s="577">
        <f t="shared" si="550"/>
        <v>15381.346803217226</v>
      </c>
      <c r="AG678" s="725">
        <f t="shared" si="550"/>
        <v>15595.330639186725</v>
      </c>
      <c r="AH678" s="18"/>
      <c r="AI678" s="18"/>
      <c r="AJ678" s="18"/>
      <c r="AK678" s="18"/>
      <c r="AL678" s="18"/>
      <c r="AM678" s="18"/>
      <c r="AN678" s="18"/>
    </row>
    <row r="679" spans="2:40" ht="21.95" customHeight="1" x14ac:dyDescent="0.2">
      <c r="B679" s="705"/>
      <c r="C679" s="715"/>
      <c r="D679" s="715"/>
      <c r="E679" s="1339"/>
      <c r="F679" s="116" t="s">
        <v>345</v>
      </c>
      <c r="G679" s="116" t="s">
        <v>323</v>
      </c>
      <c r="H679" s="577">
        <f t="shared" ref="H679:AG679" si="551">H559/H621</f>
        <v>135966.66551822625</v>
      </c>
      <c r="I679" s="577">
        <f t="shared" si="551"/>
        <v>139122.71202219711</v>
      </c>
      <c r="J679" s="577">
        <f t="shared" si="551"/>
        <v>143756.82212084532</v>
      </c>
      <c r="K679" s="577">
        <f t="shared" si="551"/>
        <v>149351.26667603402</v>
      </c>
      <c r="L679" s="577">
        <f t="shared" si="551"/>
        <v>155002.50240940743</v>
      </c>
      <c r="M679" s="577">
        <f t="shared" si="551"/>
        <v>160730.72447758543</v>
      </c>
      <c r="N679" s="577">
        <f t="shared" si="551"/>
        <v>166561.43466907376</v>
      </c>
      <c r="O679" s="577">
        <f t="shared" si="551"/>
        <v>172536.74768101136</v>
      </c>
      <c r="P679" s="577">
        <f t="shared" si="551"/>
        <v>177826.88249536706</v>
      </c>
      <c r="Q679" s="577">
        <f t="shared" si="551"/>
        <v>183295.64614548674</v>
      </c>
      <c r="R679" s="577">
        <f t="shared" si="551"/>
        <v>188991.66157858996</v>
      </c>
      <c r="S679" s="577">
        <f t="shared" si="551"/>
        <v>194973.86602949153</v>
      </c>
      <c r="T679" s="577">
        <f t="shared" si="551"/>
        <v>201318.87729464436</v>
      </c>
      <c r="U679" s="577">
        <f t="shared" si="551"/>
        <v>206755.17258454807</v>
      </c>
      <c r="V679" s="577">
        <f t="shared" si="551"/>
        <v>211474.46420948426</v>
      </c>
      <c r="W679" s="577">
        <f t="shared" si="551"/>
        <v>216461.93591169058</v>
      </c>
      <c r="X679" s="577">
        <f t="shared" si="551"/>
        <v>221757.35752170131</v>
      </c>
      <c r="Y679" s="577">
        <f t="shared" si="551"/>
        <v>227407.02078859089</v>
      </c>
      <c r="Z679" s="577">
        <f t="shared" si="551"/>
        <v>233458.96361436634</v>
      </c>
      <c r="AA679" s="577">
        <f t="shared" si="551"/>
        <v>239973.07054287265</v>
      </c>
      <c r="AB679" s="577">
        <f t="shared" si="551"/>
        <v>247010.4012833873</v>
      </c>
      <c r="AC679" s="577">
        <f t="shared" si="551"/>
        <v>254644.31491071821</v>
      </c>
      <c r="AD679" s="577">
        <f t="shared" si="551"/>
        <v>262957.35959924303</v>
      </c>
      <c r="AE679" s="577">
        <f t="shared" si="551"/>
        <v>272035.71781866968</v>
      </c>
      <c r="AF679" s="577">
        <f t="shared" si="551"/>
        <v>281981.78321389284</v>
      </c>
      <c r="AG679" s="725">
        <f t="shared" si="551"/>
        <v>292910.31127364037</v>
      </c>
      <c r="AH679" s="18"/>
      <c r="AI679" s="18"/>
      <c r="AJ679" s="18"/>
      <c r="AK679" s="18"/>
      <c r="AL679" s="18"/>
      <c r="AM679" s="18"/>
      <c r="AN679" s="18"/>
    </row>
    <row r="680" spans="2:40" ht="21.95" customHeight="1" x14ac:dyDescent="0.2">
      <c r="B680" s="705"/>
      <c r="C680" s="715"/>
      <c r="D680" s="715"/>
      <c r="E680" s="1339"/>
      <c r="F680" s="116" t="s">
        <v>323</v>
      </c>
      <c r="G680" s="116" t="s">
        <v>347</v>
      </c>
      <c r="H680" s="577">
        <f t="shared" ref="H680:AG680" si="552">H560/H622</f>
        <v>24279.761699683262</v>
      </c>
      <c r="I680" s="577">
        <f t="shared" si="552"/>
        <v>24822.225215300496</v>
      </c>
      <c r="J680" s="577">
        <f t="shared" si="552"/>
        <v>25628.372469134665</v>
      </c>
      <c r="K680" s="577">
        <f t="shared" si="552"/>
        <v>26658.211554253063</v>
      </c>
      <c r="L680" s="577">
        <f t="shared" si="552"/>
        <v>27698.825447716736</v>
      </c>
      <c r="M680" s="577">
        <f t="shared" si="552"/>
        <v>28753.991969942716</v>
      </c>
      <c r="N680" s="577">
        <f t="shared" si="552"/>
        <v>29829.065055485757</v>
      </c>
      <c r="O680" s="577">
        <f t="shared" si="552"/>
        <v>30932.254148970005</v>
      </c>
      <c r="P680" s="577">
        <f t="shared" si="552"/>
        <v>31943.397958309135</v>
      </c>
      <c r="Q680" s="577">
        <f t="shared" si="552"/>
        <v>32992.654478279066</v>
      </c>
      <c r="R680" s="577">
        <f t="shared" si="552"/>
        <v>34090.707925964642</v>
      </c>
      <c r="S680" s="577">
        <f t="shared" si="552"/>
        <v>35251.232890622538</v>
      </c>
      <c r="T680" s="577">
        <f t="shared" si="552"/>
        <v>36491.654412986543</v>
      </c>
      <c r="U680" s="577">
        <f t="shared" si="552"/>
        <v>37501.292986121</v>
      </c>
      <c r="V680" s="577">
        <f t="shared" si="552"/>
        <v>38342.926922774735</v>
      </c>
      <c r="W680" s="577">
        <f t="shared" si="552"/>
        <v>39233.162324716119</v>
      </c>
      <c r="X680" s="577">
        <f t="shared" si="552"/>
        <v>40178.846962366981</v>
      </c>
      <c r="Y680" s="577">
        <f t="shared" si="552"/>
        <v>41187.841821289578</v>
      </c>
      <c r="Z680" s="577">
        <f t="shared" si="552"/>
        <v>42268.448798357182</v>
      </c>
      <c r="AA680" s="577">
        <f t="shared" si="552"/>
        <v>43430.679779295351</v>
      </c>
      <c r="AB680" s="577">
        <f t="shared" si="552"/>
        <v>44684.958626730033</v>
      </c>
      <c r="AC680" s="577">
        <f t="shared" si="552"/>
        <v>46043.519023721128</v>
      </c>
      <c r="AD680" s="577">
        <f t="shared" si="552"/>
        <v>47520.042913924452</v>
      </c>
      <c r="AE680" s="577">
        <f t="shared" si="552"/>
        <v>49129.004966851389</v>
      </c>
      <c r="AF680" s="577">
        <f t="shared" si="552"/>
        <v>50887.24842512708</v>
      </c>
      <c r="AG680" s="725">
        <f t="shared" si="552"/>
        <v>52813.538224856289</v>
      </c>
      <c r="AH680" s="18"/>
      <c r="AI680" s="18"/>
      <c r="AJ680" s="18"/>
      <c r="AK680" s="18"/>
      <c r="AL680" s="18"/>
      <c r="AM680" s="18"/>
      <c r="AN680" s="18"/>
    </row>
    <row r="681" spans="2:40" ht="21.95" customHeight="1" x14ac:dyDescent="0.2">
      <c r="B681" s="705"/>
      <c r="C681" s="715"/>
      <c r="D681" s="715"/>
      <c r="E681" s="1339"/>
      <c r="F681" s="116" t="s">
        <v>347</v>
      </c>
      <c r="G681" s="116" t="s">
        <v>348</v>
      </c>
      <c r="H681" s="577">
        <f>H561/H623</f>
        <v>19882.557888569419</v>
      </c>
      <c r="I681" s="577">
        <f t="shared" ref="I681:AG681" si="553">I561/I623</f>
        <v>20329.509255981509</v>
      </c>
      <c r="J681" s="577">
        <f t="shared" si="553"/>
        <v>20995.063090209351</v>
      </c>
      <c r="K681" s="577">
        <f t="shared" si="553"/>
        <v>21848.347522017735</v>
      </c>
      <c r="L681" s="577">
        <f t="shared" si="553"/>
        <v>22715.247709939871</v>
      </c>
      <c r="M681" s="577">
        <f t="shared" si="553"/>
        <v>23600.752935557201</v>
      </c>
      <c r="N681" s="577">
        <f t="shared" si="553"/>
        <v>24511.781140205534</v>
      </c>
      <c r="O681" s="577">
        <f t="shared" si="553"/>
        <v>25458.451008620337</v>
      </c>
      <c r="P681" s="577">
        <f t="shared" si="553"/>
        <v>26339.044301622958</v>
      </c>
      <c r="Q681" s="577">
        <f t="shared" si="553"/>
        <v>27268.250950745336</v>
      </c>
      <c r="R681" s="577">
        <f t="shared" si="553"/>
        <v>28259.789337420112</v>
      </c>
      <c r="S681" s="577">
        <f t="shared" si="553"/>
        <v>29331.076166663563</v>
      </c>
      <c r="T681" s="577">
        <f t="shared" si="553"/>
        <v>30504.165003120477</v>
      </c>
      <c r="U681" s="577">
        <f t="shared" si="553"/>
        <v>31480.77263659767</v>
      </c>
      <c r="V681" s="577">
        <f t="shared" si="553"/>
        <v>32309.632052614514</v>
      </c>
      <c r="W681" s="577">
        <f t="shared" si="553"/>
        <v>33200.534001790322</v>
      </c>
      <c r="X681" s="577">
        <f t="shared" si="553"/>
        <v>34162.220052325676</v>
      </c>
      <c r="Y681" s="577">
        <f t="shared" si="553"/>
        <v>35204.685513650351</v>
      </c>
      <c r="Z681" s="577">
        <f t="shared" si="553"/>
        <v>36338.607600025469</v>
      </c>
      <c r="AA681" s="577">
        <f t="shared" si="553"/>
        <v>37576.687681712581</v>
      </c>
      <c r="AB681" s="577">
        <f t="shared" si="553"/>
        <v>38932.311782877892</v>
      </c>
      <c r="AC681" s="577">
        <f t="shared" si="553"/>
        <v>40421.05720987013</v>
      </c>
      <c r="AD681" s="577">
        <f t="shared" si="553"/>
        <v>42060.350056014067</v>
      </c>
      <c r="AE681" s="577">
        <f t="shared" si="553"/>
        <v>43868.747430730706</v>
      </c>
      <c r="AF681" s="577">
        <f t="shared" si="553"/>
        <v>45867.711005181256</v>
      </c>
      <c r="AG681" s="725">
        <f t="shared" si="553"/>
        <v>48081.155601491097</v>
      </c>
      <c r="AH681" s="18"/>
      <c r="AI681" s="18"/>
      <c r="AJ681" s="18"/>
      <c r="AK681" s="18"/>
      <c r="AL681" s="18"/>
      <c r="AM681" s="18"/>
      <c r="AN681" s="18"/>
    </row>
    <row r="682" spans="2:40" ht="21.95" customHeight="1" x14ac:dyDescent="0.2">
      <c r="B682" s="705"/>
      <c r="C682" s="715"/>
      <c r="D682" s="715"/>
      <c r="E682" s="1353"/>
      <c r="F682" s="254" t="s">
        <v>348</v>
      </c>
      <c r="G682" s="254" t="s">
        <v>349</v>
      </c>
      <c r="H682" s="577">
        <f t="shared" ref="H682:AG682" si="554">H562/H624</f>
        <v>32600.854854919471</v>
      </c>
      <c r="I682" s="577">
        <f t="shared" si="554"/>
        <v>33431.173101260589</v>
      </c>
      <c r="J682" s="577">
        <f t="shared" si="554"/>
        <v>34609.734464542955</v>
      </c>
      <c r="K682" s="577">
        <f t="shared" si="554"/>
        <v>36235.699560000714</v>
      </c>
      <c r="L682" s="577">
        <f t="shared" si="554"/>
        <v>37959.349192905625</v>
      </c>
      <c r="M682" s="577">
        <f t="shared" si="554"/>
        <v>39821.467132073332</v>
      </c>
      <c r="N682" s="577">
        <f t="shared" si="554"/>
        <v>41877.048486250722</v>
      </c>
      <c r="O682" s="577">
        <f t="shared" si="554"/>
        <v>44203.178647977533</v>
      </c>
      <c r="P682" s="577">
        <f t="shared" si="554"/>
        <v>46766.125971591428</v>
      </c>
      <c r="Q682" s="577">
        <f t="shared" si="554"/>
        <v>49779.230495127551</v>
      </c>
      <c r="R682" s="577">
        <f t="shared" si="554"/>
        <v>53388.986097810164</v>
      </c>
      <c r="S682" s="577">
        <f t="shared" si="554"/>
        <v>57783.287496048724</v>
      </c>
      <c r="T682" s="577">
        <f t="shared" si="554"/>
        <v>63204.318218835797</v>
      </c>
      <c r="U682" s="577">
        <f t="shared" si="554"/>
        <v>68054.033434782992</v>
      </c>
      <c r="V682" s="577">
        <f t="shared" si="554"/>
        <v>72351.60945059167</v>
      </c>
      <c r="W682" s="577">
        <f t="shared" si="554"/>
        <v>77239.015775822467</v>
      </c>
      <c r="X682" s="577">
        <f t="shared" si="554"/>
        <v>82803.678797031404</v>
      </c>
      <c r="Y682" s="577">
        <f t="shared" si="554"/>
        <v>89145.68754792519</v>
      </c>
      <c r="Z682" s="577">
        <f t="shared" si="554"/>
        <v>96373.93518989977</v>
      </c>
      <c r="AA682" s="577">
        <f t="shared" si="554"/>
        <v>104616.66313087565</v>
      </c>
      <c r="AB682" s="577">
        <f t="shared" si="554"/>
        <v>114011.51218698648</v>
      </c>
      <c r="AC682" s="577">
        <f t="shared" si="554"/>
        <v>124718.00165038872</v>
      </c>
      <c r="AD682" s="577">
        <f t="shared" si="554"/>
        <v>136915.64150414872</v>
      </c>
      <c r="AE682" s="577">
        <f t="shared" si="554"/>
        <v>150797.55037346116</v>
      </c>
      <c r="AF682" s="577">
        <f t="shared" si="554"/>
        <v>166586.88861050332</v>
      </c>
      <c r="AG682" s="725">
        <f t="shared" si="554"/>
        <v>184533.68499019026</v>
      </c>
      <c r="AH682" s="18"/>
      <c r="AI682" s="18"/>
      <c r="AJ682" s="18"/>
      <c r="AK682" s="18"/>
      <c r="AL682" s="18"/>
      <c r="AM682" s="18"/>
      <c r="AN682" s="18"/>
    </row>
    <row r="683" spans="2:40" ht="21.95" customHeight="1" x14ac:dyDescent="0.2">
      <c r="B683" s="705"/>
      <c r="C683" s="715"/>
      <c r="D683" s="715"/>
      <c r="E683" s="116" t="s">
        <v>288</v>
      </c>
      <c r="F683" s="116" t="s">
        <v>323</v>
      </c>
      <c r="G683" s="116" t="s">
        <v>348</v>
      </c>
      <c r="H683" s="593">
        <f t="shared" ref="H683:AG683" si="555">H563/H625</f>
        <v>8040.8955223881894</v>
      </c>
      <c r="I683" s="593">
        <f t="shared" si="555"/>
        <v>8535.3212537315922</v>
      </c>
      <c r="J683" s="593">
        <f t="shared" si="555"/>
        <v>9189.6267910453371</v>
      </c>
      <c r="K683" s="593">
        <f t="shared" si="555"/>
        <v>10059.160298508978</v>
      </c>
      <c r="L683" s="593">
        <f t="shared" si="555"/>
        <v>10928.961835824664</v>
      </c>
      <c r="M683" s="593">
        <f t="shared" si="555"/>
        <v>11800.63958209832</v>
      </c>
      <c r="N683" s="593">
        <f t="shared" si="555"/>
        <v>12670.173089571397</v>
      </c>
      <c r="O683" s="593">
        <f t="shared" si="555"/>
        <v>13540.644701532332</v>
      </c>
      <c r="P683" s="593">
        <f t="shared" si="555"/>
        <v>14334.370432910289</v>
      </c>
      <c r="Q683" s="593">
        <f t="shared" si="555"/>
        <v>15127.426089686893</v>
      </c>
      <c r="R683" s="593">
        <f t="shared" si="555"/>
        <v>15921.196492773646</v>
      </c>
      <c r="S683" s="593">
        <f t="shared" si="555"/>
        <v>16714.92222428419</v>
      </c>
      <c r="T683" s="593">
        <f t="shared" si="555"/>
        <v>17511.462269330226</v>
      </c>
      <c r="U683" s="593">
        <f t="shared" si="555"/>
        <v>18089.334627828266</v>
      </c>
      <c r="V683" s="593">
        <f t="shared" si="555"/>
        <v>18583.76035950394</v>
      </c>
      <c r="W683" s="593">
        <f t="shared" si="555"/>
        <v>19078.186091280866</v>
      </c>
      <c r="X683" s="593">
        <f t="shared" si="555"/>
        <v>19572.611823186024</v>
      </c>
      <c r="Y683" s="593">
        <f t="shared" si="555"/>
        <v>20067.573614954948</v>
      </c>
      <c r="Z683" s="593">
        <f t="shared" si="555"/>
        <v>20561.999347223726</v>
      </c>
      <c r="AA683" s="593">
        <f t="shared" si="555"/>
        <v>21057.631214075558</v>
      </c>
      <c r="AB683" s="593">
        <f t="shared" si="555"/>
        <v>21552.056946908022</v>
      </c>
      <c r="AC683" s="593">
        <f t="shared" si="555"/>
        <v>22046.482680124336</v>
      </c>
      <c r="AD683" s="593">
        <f t="shared" si="555"/>
        <v>22541.444473515672</v>
      </c>
      <c r="AE683" s="593">
        <f t="shared" si="555"/>
        <v>23035.870207778007</v>
      </c>
      <c r="AF683" s="593">
        <f t="shared" si="555"/>
        <v>23530.295942738936</v>
      </c>
      <c r="AG683" s="730">
        <f t="shared" si="555"/>
        <v>24025.927812885915</v>
      </c>
      <c r="AH683" s="18"/>
      <c r="AI683" s="18"/>
      <c r="AJ683" s="18"/>
      <c r="AK683" s="18"/>
      <c r="AL683" s="18"/>
      <c r="AM683" s="18"/>
      <c r="AN683" s="18"/>
    </row>
    <row r="684" spans="2:40" ht="21.95" customHeight="1" x14ac:dyDescent="0.2">
      <c r="B684" s="705"/>
      <c r="C684" s="715"/>
      <c r="D684" s="715"/>
      <c r="E684" s="277" t="s">
        <v>340</v>
      </c>
      <c r="F684" s="277" t="s">
        <v>335</v>
      </c>
      <c r="G684" s="277" t="s">
        <v>323</v>
      </c>
      <c r="H684" s="577">
        <f t="shared" ref="H684:AG684" si="556">H564/H626</f>
        <v>0</v>
      </c>
      <c r="I684" s="577">
        <f t="shared" si="556"/>
        <v>8366.1973164091542</v>
      </c>
      <c r="J684" s="577">
        <f t="shared" si="556"/>
        <v>9007.5402581092003</v>
      </c>
      <c r="K684" s="577">
        <f t="shared" si="556"/>
        <v>9859.851308535619</v>
      </c>
      <c r="L684" s="577">
        <f t="shared" si="556"/>
        <v>10712.434887501844</v>
      </c>
      <c r="M684" s="577">
        <f t="shared" si="556"/>
        <v>11566.878165228198</v>
      </c>
      <c r="N684" s="577">
        <f t="shared" si="556"/>
        <v>12419.260386609971</v>
      </c>
      <c r="O684" s="577">
        <f t="shared" si="556"/>
        <v>13272.639308286098</v>
      </c>
      <c r="P684" s="577">
        <f t="shared" si="556"/>
        <v>14050.898863976396</v>
      </c>
      <c r="Q684" s="577">
        <f t="shared" si="556"/>
        <v>14828.693943614895</v>
      </c>
      <c r="R684" s="577">
        <f t="shared" si="556"/>
        <v>15607.502423311291</v>
      </c>
      <c r="S684" s="577">
        <f t="shared" si="556"/>
        <v>16386.761413011969</v>
      </c>
      <c r="T684" s="577">
        <f t="shared" si="556"/>
        <v>17169.552772815019</v>
      </c>
      <c r="U684" s="577">
        <f t="shared" si="556"/>
        <v>17738.15384669253</v>
      </c>
      <c r="V684" s="577">
        <f t="shared" si="556"/>
        <v>18225.288175522437</v>
      </c>
      <c r="W684" s="577">
        <f t="shared" si="556"/>
        <v>18713.185795889891</v>
      </c>
      <c r="X684" s="577">
        <f t="shared" si="556"/>
        <v>19202.049973655747</v>
      </c>
      <c r="Y684" s="577">
        <f t="shared" si="556"/>
        <v>19692.662860181666</v>
      </c>
      <c r="Z684" s="577">
        <f t="shared" si="556"/>
        <v>20184.268035798381</v>
      </c>
      <c r="AA684" s="577">
        <f t="shared" si="556"/>
        <v>20678.975324239975</v>
      </c>
      <c r="AB684" s="577">
        <f t="shared" si="556"/>
        <v>21174.829578269375</v>
      </c>
      <c r="AC684" s="577">
        <f t="shared" si="556"/>
        <v>21673.577272193623</v>
      </c>
      <c r="AD684" s="577">
        <f t="shared" si="556"/>
        <v>22176.419962644297</v>
      </c>
      <c r="AE684" s="577">
        <f t="shared" si="556"/>
        <v>22683.052566115144</v>
      </c>
      <c r="AF684" s="577">
        <f t="shared" si="556"/>
        <v>23194.95124198472</v>
      </c>
      <c r="AG684" s="725">
        <f t="shared" si="556"/>
        <v>23714.497483828931</v>
      </c>
      <c r="AH684" s="18"/>
      <c r="AI684" s="18"/>
      <c r="AJ684" s="18"/>
      <c r="AK684" s="18"/>
      <c r="AL684" s="18"/>
      <c r="AM684" s="18"/>
      <c r="AN684" s="18"/>
    </row>
    <row r="685" spans="2:40" ht="21.95" customHeight="1" x14ac:dyDescent="0.2">
      <c r="B685" s="705"/>
      <c r="C685" s="715"/>
      <c r="D685" s="715"/>
      <c r="E685" s="277" t="s">
        <v>357</v>
      </c>
      <c r="F685" s="277" t="s">
        <v>338</v>
      </c>
      <c r="G685" s="277" t="s">
        <v>323</v>
      </c>
      <c r="H685" s="593">
        <f t="shared" ref="H685:AG685" si="557">H565/H627</f>
        <v>12529.704261412986</v>
      </c>
      <c r="I685" s="593">
        <f t="shared" si="557"/>
        <v>12701.978251727933</v>
      </c>
      <c r="J685" s="593">
        <f t="shared" si="557"/>
        <v>12999.844928348812</v>
      </c>
      <c r="K685" s="593">
        <f t="shared" si="557"/>
        <v>13409.013037100687</v>
      </c>
      <c r="L685" s="593">
        <f t="shared" si="557"/>
        <v>13818.69729320765</v>
      </c>
      <c r="M685" s="593">
        <f t="shared" si="557"/>
        <v>14229.423707048314</v>
      </c>
      <c r="N685" s="593">
        <f t="shared" si="557"/>
        <v>14639.963065541326</v>
      </c>
      <c r="O685" s="593">
        <f t="shared" si="557"/>
        <v>15052.691346571457</v>
      </c>
      <c r="P685" s="593">
        <f t="shared" si="557"/>
        <v>15339.465368116709</v>
      </c>
      <c r="Q685" s="593">
        <f t="shared" si="557"/>
        <v>15626.824133885124</v>
      </c>
      <c r="R685" s="593">
        <f t="shared" si="557"/>
        <v>15914.866628731295</v>
      </c>
      <c r="S685" s="593">
        <f t="shared" si="557"/>
        <v>16203.601122632936</v>
      </c>
      <c r="T685" s="593">
        <f t="shared" si="557"/>
        <v>16495.291256730277</v>
      </c>
      <c r="U685" s="593">
        <f t="shared" si="557"/>
        <v>16671.17470155489</v>
      </c>
      <c r="V685" s="593">
        <f t="shared" si="557"/>
        <v>16847.479207556222</v>
      </c>
      <c r="W685" s="593">
        <f t="shared" si="557"/>
        <v>17024.245615012165</v>
      </c>
      <c r="X685" s="593">
        <f t="shared" si="557"/>
        <v>17201.51824816411</v>
      </c>
      <c r="Y685" s="593">
        <f t="shared" si="557"/>
        <v>17380.570377421638</v>
      </c>
      <c r="Z685" s="593">
        <f t="shared" si="557"/>
        <v>17559.008034393202</v>
      </c>
      <c r="AA685" s="593">
        <f t="shared" si="557"/>
        <v>17738.79863964576</v>
      </c>
      <c r="AB685" s="593">
        <f t="shared" si="557"/>
        <v>17918.626557117994</v>
      </c>
      <c r="AC685" s="593">
        <f t="shared" si="557"/>
        <v>18099.244904992185</v>
      </c>
      <c r="AD685" s="593">
        <f t="shared" si="557"/>
        <v>18281.97642218211</v>
      </c>
      <c r="AE685" s="593">
        <f t="shared" si="557"/>
        <v>18464.401881153561</v>
      </c>
      <c r="AF685" s="593">
        <f t="shared" si="557"/>
        <v>18647.849582816609</v>
      </c>
      <c r="AG685" s="730">
        <f t="shared" si="557"/>
        <v>18833.120703579792</v>
      </c>
      <c r="AH685" s="18"/>
      <c r="AI685" s="18"/>
      <c r="AJ685" s="18"/>
      <c r="AK685" s="18"/>
      <c r="AL685" s="18"/>
      <c r="AM685" s="18"/>
      <c r="AN685" s="18"/>
    </row>
    <row r="686" spans="2:40" ht="21.95" customHeight="1" x14ac:dyDescent="0.2">
      <c r="B686" s="705"/>
      <c r="C686" s="715"/>
      <c r="D686" s="715"/>
      <c r="E686" s="116" t="s">
        <v>338</v>
      </c>
      <c r="F686" s="116" t="s">
        <v>282</v>
      </c>
      <c r="G686" s="116" t="s">
        <v>357</v>
      </c>
      <c r="H686" s="577">
        <f t="shared" ref="H686:AG686" si="558">H566/H628</f>
        <v>25675.846050620508</v>
      </c>
      <c r="I686" s="577">
        <f t="shared" si="558"/>
        <v>26416.005169676595</v>
      </c>
      <c r="J686" s="577">
        <f t="shared" si="558"/>
        <v>27217.145146337516</v>
      </c>
      <c r="K686" s="577">
        <f t="shared" si="558"/>
        <v>28280.001038108145</v>
      </c>
      <c r="L686" s="577">
        <f t="shared" si="558"/>
        <v>29343.038680191261</v>
      </c>
      <c r="M686" s="577">
        <f t="shared" si="558"/>
        <v>30406.515628413323</v>
      </c>
      <c r="N686" s="577">
        <f t="shared" si="558"/>
        <v>31469.380223079683</v>
      </c>
      <c r="O686" s="577">
        <f t="shared" si="558"/>
        <v>32532.532529036373</v>
      </c>
      <c r="P686" s="577">
        <f t="shared" si="558"/>
        <v>33702.403782466354</v>
      </c>
      <c r="Q686" s="577">
        <f t="shared" si="558"/>
        <v>34871.901722336392</v>
      </c>
      <c r="R686" s="577">
        <f t="shared" si="558"/>
        <v>36041.800897595291</v>
      </c>
      <c r="S686" s="577">
        <f t="shared" si="558"/>
        <v>37211.721712497048</v>
      </c>
      <c r="T686" s="577">
        <f t="shared" si="558"/>
        <v>38382.339006043636</v>
      </c>
      <c r="U686" s="577">
        <f t="shared" si="558"/>
        <v>39290.473873695897</v>
      </c>
      <c r="V686" s="577">
        <f t="shared" si="558"/>
        <v>40030.74061481213</v>
      </c>
      <c r="W686" s="577">
        <f t="shared" si="558"/>
        <v>40771.029539939926</v>
      </c>
      <c r="X686" s="577">
        <f t="shared" si="558"/>
        <v>41511.344623938079</v>
      </c>
      <c r="Y686" s="577">
        <f t="shared" si="558"/>
        <v>42251.613413708721</v>
      </c>
      <c r="Z686" s="577">
        <f t="shared" si="558"/>
        <v>42991.995303041018</v>
      </c>
      <c r="AA686" s="577">
        <f t="shared" si="558"/>
        <v>43732.342285660881</v>
      </c>
      <c r="AB686" s="577">
        <f t="shared" si="558"/>
        <v>44472.81546814397</v>
      </c>
      <c r="AC686" s="577">
        <f t="shared" si="558"/>
        <v>45213.345808110273</v>
      </c>
      <c r="AD686" s="577">
        <f t="shared" si="558"/>
        <v>45953.865379415984</v>
      </c>
      <c r="AE686" s="577">
        <f t="shared" si="558"/>
        <v>46694.538758321352</v>
      </c>
      <c r="AF686" s="577">
        <f t="shared" si="558"/>
        <v>47435.300739731058</v>
      </c>
      <c r="AG686" s="725">
        <f t="shared" si="558"/>
        <v>48176.087684756501</v>
      </c>
      <c r="AH686" s="18"/>
      <c r="AI686" s="18"/>
      <c r="AJ686" s="18"/>
      <c r="AK686" s="18"/>
      <c r="AL686" s="18"/>
      <c r="AM686" s="18"/>
      <c r="AN686" s="18"/>
    </row>
    <row r="687" spans="2:40" ht="21.95" customHeight="1" x14ac:dyDescent="0.2">
      <c r="B687" s="705"/>
      <c r="C687" s="715"/>
      <c r="D687" s="715"/>
      <c r="E687" s="116"/>
      <c r="F687" s="116" t="s">
        <v>357</v>
      </c>
      <c r="G687" s="116" t="s">
        <v>346</v>
      </c>
      <c r="H687" s="577">
        <f t="shared" ref="H687:AG687" si="559">H567/H629</f>
        <v>3739.3436205696348</v>
      </c>
      <c r="I687" s="577">
        <f t="shared" si="559"/>
        <v>3845.4721105866734</v>
      </c>
      <c r="J687" s="577">
        <f t="shared" si="559"/>
        <v>3963.2466950640564</v>
      </c>
      <c r="K687" s="577">
        <f t="shared" si="559"/>
        <v>4128.555247218922</v>
      </c>
      <c r="L687" s="577">
        <f t="shared" si="559"/>
        <v>4293.8933425705582</v>
      </c>
      <c r="M687" s="577">
        <f t="shared" si="559"/>
        <v>4459.2659106530446</v>
      </c>
      <c r="N687" s="577">
        <f t="shared" si="559"/>
        <v>4624.5745603016785</v>
      </c>
      <c r="O687" s="577">
        <f t="shared" si="559"/>
        <v>4789.8931114372936</v>
      </c>
      <c r="P687" s="577">
        <f t="shared" si="559"/>
        <v>4975.7043760202077</v>
      </c>
      <c r="Q687" s="577">
        <f t="shared" si="559"/>
        <v>5161.4518271967954</v>
      </c>
      <c r="R687" s="577">
        <f t="shared" si="559"/>
        <v>5347.2634484111468</v>
      </c>
      <c r="S687" s="577">
        <f t="shared" si="559"/>
        <v>5533.0753546688702</v>
      </c>
      <c r="T687" s="577">
        <f t="shared" si="559"/>
        <v>5718.9171697658358</v>
      </c>
      <c r="U687" s="577">
        <f t="shared" si="559"/>
        <v>5857.2151811914491</v>
      </c>
      <c r="V687" s="577">
        <f t="shared" si="559"/>
        <v>5963.3449234835043</v>
      </c>
      <c r="W687" s="577">
        <f t="shared" si="559"/>
        <v>6069.4749125719845</v>
      </c>
      <c r="X687" s="577">
        <f t="shared" si="559"/>
        <v>6175.6051909016305</v>
      </c>
      <c r="Y687" s="577">
        <f t="shared" si="559"/>
        <v>6281.6816840209394</v>
      </c>
      <c r="Z687" s="577">
        <f t="shared" si="559"/>
        <v>6387.8126942487452</v>
      </c>
      <c r="AA687" s="577">
        <f t="shared" si="559"/>
        <v>6493.8900388729326</v>
      </c>
      <c r="AB687" s="577">
        <f t="shared" si="559"/>
        <v>6600.0220382773405</v>
      </c>
      <c r="AC687" s="577">
        <f t="shared" si="559"/>
        <v>6706.1546524032665</v>
      </c>
      <c r="AD687" s="577">
        <f t="shared" si="559"/>
        <v>6812.233851371775</v>
      </c>
      <c r="AE687" s="577">
        <f t="shared" si="559"/>
        <v>6918.3679919042497</v>
      </c>
      <c r="AF687" s="577">
        <f t="shared" si="559"/>
        <v>7024.5030715860494</v>
      </c>
      <c r="AG687" s="725">
        <f t="shared" si="559"/>
        <v>7130.5851019839674</v>
      </c>
      <c r="AH687" s="18"/>
      <c r="AI687" s="18"/>
      <c r="AJ687" s="18"/>
      <c r="AK687" s="18"/>
      <c r="AL687" s="18"/>
      <c r="AM687" s="18"/>
      <c r="AN687" s="18"/>
    </row>
    <row r="688" spans="2:40" ht="21.95" customHeight="1" x14ac:dyDescent="0.2">
      <c r="B688" s="705"/>
      <c r="C688" s="715"/>
      <c r="D688" s="715"/>
      <c r="E688" s="116"/>
      <c r="F688" s="116" t="s">
        <v>346</v>
      </c>
      <c r="G688" s="116" t="s">
        <v>343</v>
      </c>
      <c r="H688" s="577">
        <f t="shared" ref="H688:AG688" si="560">H568/H630</f>
        <v>1126.3022722112501</v>
      </c>
      <c r="I688" s="577">
        <f t="shared" si="560"/>
        <v>1158.2685204084207</v>
      </c>
      <c r="J688" s="577">
        <f t="shared" si="560"/>
        <v>1193.7426132582875</v>
      </c>
      <c r="K688" s="577">
        <f t="shared" si="560"/>
        <v>1243.5341007792501</v>
      </c>
      <c r="L688" s="577">
        <f t="shared" si="560"/>
        <v>1293.3344982394724</v>
      </c>
      <c r="M688" s="577">
        <f t="shared" si="560"/>
        <v>1343.1452952733703</v>
      </c>
      <c r="N688" s="577">
        <f t="shared" si="560"/>
        <v>1392.9368626845069</v>
      </c>
      <c r="O688" s="577">
        <f t="shared" si="560"/>
        <v>1442.7314441241042</v>
      </c>
      <c r="P688" s="577">
        <f t="shared" si="560"/>
        <v>1498.6985619622333</v>
      </c>
      <c r="Q688" s="577">
        <f t="shared" si="560"/>
        <v>1554.6465362412325</v>
      </c>
      <c r="R688" s="577">
        <f t="shared" si="560"/>
        <v>1610.6139463169943</v>
      </c>
      <c r="S688" s="577">
        <f t="shared" si="560"/>
        <v>1666.5815899683475</v>
      </c>
      <c r="T688" s="577">
        <f t="shared" si="560"/>
        <v>1722.5584431805814</v>
      </c>
      <c r="U688" s="577">
        <f t="shared" si="560"/>
        <v>1764.2149413608583</v>
      </c>
      <c r="V688" s="577">
        <f t="shared" si="560"/>
        <v>1796.1822157207414</v>
      </c>
      <c r="W688" s="577">
        <f t="shared" si="560"/>
        <v>1828.1496923151874</v>
      </c>
      <c r="X688" s="577">
        <f t="shared" si="560"/>
        <v>1860.1174059250627</v>
      </c>
      <c r="Y688" s="577">
        <f t="shared" si="560"/>
        <v>1892.0690938345394</v>
      </c>
      <c r="Z688" s="577">
        <f t="shared" si="560"/>
        <v>1924.0374071901506</v>
      </c>
      <c r="AA688" s="577">
        <f t="shared" si="560"/>
        <v>1955.9897928557461</v>
      </c>
      <c r="AB688" s="577">
        <f t="shared" si="560"/>
        <v>1987.9589167810288</v>
      </c>
      <c r="AC688" s="577">
        <f t="shared" si="560"/>
        <v>2019.9285444329612</v>
      </c>
      <c r="AD688" s="577">
        <f t="shared" si="560"/>
        <v>2051.8824496202101</v>
      </c>
      <c r="AE688" s="577">
        <f t="shared" si="560"/>
        <v>2083.853328068863</v>
      </c>
      <c r="AF688" s="577">
        <f t="shared" si="560"/>
        <v>2115.8249760928975</v>
      </c>
      <c r="AG688" s="725">
        <f t="shared" si="560"/>
        <v>2147.7812014632123</v>
      </c>
      <c r="AH688" s="18"/>
      <c r="AI688" s="18"/>
      <c r="AJ688" s="18"/>
      <c r="AK688" s="18"/>
      <c r="AL688" s="18"/>
      <c r="AM688" s="18"/>
      <c r="AN688" s="18"/>
    </row>
    <row r="689" spans="1:40" ht="21.95" customHeight="1" x14ac:dyDescent="0.2">
      <c r="B689" s="705"/>
      <c r="C689" s="715"/>
      <c r="D689" s="715"/>
      <c r="E689" s="116"/>
      <c r="F689" s="116" t="s">
        <v>343</v>
      </c>
      <c r="G689" s="116" t="s">
        <v>350</v>
      </c>
      <c r="H689" s="577">
        <f t="shared" ref="H689:AG689" si="561">H569/H631</f>
        <v>2889.854434858918</v>
      </c>
      <c r="I689" s="577">
        <f t="shared" si="561"/>
        <v>2971.801076517168</v>
      </c>
      <c r="J689" s="577">
        <f t="shared" si="561"/>
        <v>3065.1770940084689</v>
      </c>
      <c r="K689" s="577">
        <f t="shared" si="561"/>
        <v>3184.4895586578641</v>
      </c>
      <c r="L689" s="577">
        <f t="shared" si="561"/>
        <v>3303.8405584371762</v>
      </c>
      <c r="M689" s="577">
        <f t="shared" si="561"/>
        <v>3423.1722977156724</v>
      </c>
      <c r="N689" s="577">
        <f t="shared" si="561"/>
        <v>3542.4847784416775</v>
      </c>
      <c r="O689" s="577">
        <f t="shared" si="561"/>
        <v>3661.821351018219</v>
      </c>
      <c r="P689" s="577">
        <f t="shared" si="561"/>
        <v>3796.7005444034316</v>
      </c>
      <c r="Q689" s="577">
        <f t="shared" si="561"/>
        <v>3931.5749445620372</v>
      </c>
      <c r="R689" s="577">
        <f t="shared" si="561"/>
        <v>4066.4349271808737</v>
      </c>
      <c r="S689" s="577">
        <f t="shared" si="561"/>
        <v>4201.3142184971275</v>
      </c>
      <c r="T689" s="577">
        <f t="shared" si="561"/>
        <v>4336.217649615417</v>
      </c>
      <c r="U689" s="577">
        <f t="shared" si="561"/>
        <v>4445.1557531307226</v>
      </c>
      <c r="V689" s="577">
        <f t="shared" si="561"/>
        <v>4527.1026009745237</v>
      </c>
      <c r="W689" s="577">
        <f t="shared" si="561"/>
        <v>4609.0494903109238</v>
      </c>
      <c r="X689" s="577">
        <f t="shared" si="561"/>
        <v>4690.9964284068728</v>
      </c>
      <c r="Y689" s="577">
        <f t="shared" si="561"/>
        <v>4772.9193414051379</v>
      </c>
      <c r="Z689" s="577">
        <f t="shared" si="561"/>
        <v>4854.8664033859959</v>
      </c>
      <c r="AA689" s="577">
        <f t="shared" si="561"/>
        <v>4936.7894609030955</v>
      </c>
      <c r="AB689" s="577">
        <f t="shared" si="561"/>
        <v>5018.7366911347081</v>
      </c>
      <c r="AC689" s="577">
        <f t="shared" si="561"/>
        <v>5100.6840262665855</v>
      </c>
      <c r="AD689" s="577">
        <f t="shared" si="561"/>
        <v>5182.6074003739741</v>
      </c>
      <c r="AE689" s="577">
        <f t="shared" si="561"/>
        <v>5264.5549968842852</v>
      </c>
      <c r="AF689" s="577">
        <f t="shared" si="561"/>
        <v>5346.5027546880965</v>
      </c>
      <c r="AG689" s="725">
        <f t="shared" si="561"/>
        <v>5428.4266152989258</v>
      </c>
      <c r="AH689" s="18"/>
      <c r="AI689" s="18"/>
      <c r="AJ689" s="18"/>
      <c r="AK689" s="18"/>
      <c r="AL689" s="18"/>
      <c r="AM689" s="18"/>
      <c r="AN689" s="18"/>
    </row>
    <row r="690" spans="1:40" ht="21.95" customHeight="1" x14ac:dyDescent="0.2">
      <c r="B690" s="705"/>
      <c r="C690" s="715"/>
      <c r="D690" s="715"/>
      <c r="E690" s="116"/>
      <c r="F690" s="116" t="s">
        <v>350</v>
      </c>
      <c r="G690" s="116" t="s">
        <v>280</v>
      </c>
      <c r="H690" s="577">
        <f t="shared" ref="H690:AG690" si="562">H570/H632</f>
        <v>19701.036774591448</v>
      </c>
      <c r="I690" s="577">
        <f t="shared" si="562"/>
        <v>20259.692514246715</v>
      </c>
      <c r="J690" s="577">
        <f t="shared" si="562"/>
        <v>20896.265858212475</v>
      </c>
      <c r="K690" s="577">
        <f t="shared" si="562"/>
        <v>21709.656016264405</v>
      </c>
      <c r="L690" s="577">
        <f t="shared" si="562"/>
        <v>22523.308864172173</v>
      </c>
      <c r="M690" s="577">
        <f t="shared" si="562"/>
        <v>23336.830384853754</v>
      </c>
      <c r="N690" s="577">
        <f t="shared" si="562"/>
        <v>24150.22058319136</v>
      </c>
      <c r="O690" s="577">
        <f t="shared" si="562"/>
        <v>24963.774981218015</v>
      </c>
      <c r="P690" s="577">
        <f t="shared" si="562"/>
        <v>25883.288173082958</v>
      </c>
      <c r="Q690" s="577">
        <f t="shared" si="562"/>
        <v>26802.768588016108</v>
      </c>
      <c r="R690" s="577">
        <f t="shared" si="562"/>
        <v>27722.150577282224</v>
      </c>
      <c r="S690" s="577">
        <f t="shared" si="562"/>
        <v>28641.664014548303</v>
      </c>
      <c r="T690" s="577">
        <f t="shared" si="562"/>
        <v>29561.341771662999</v>
      </c>
      <c r="U690" s="577">
        <f t="shared" si="562"/>
        <v>30304.005749678443</v>
      </c>
      <c r="V690" s="577">
        <f t="shared" si="562"/>
        <v>30862.662006005081</v>
      </c>
      <c r="W690" s="577">
        <f t="shared" si="562"/>
        <v>31421.318366306212</v>
      </c>
      <c r="X690" s="577">
        <f t="shared" si="562"/>
        <v>31979.974848791771</v>
      </c>
      <c r="Y690" s="577">
        <f t="shared" si="562"/>
        <v>32538.467298861342</v>
      </c>
      <c r="Z690" s="577">
        <f t="shared" si="562"/>
        <v>33097.124091784681</v>
      </c>
      <c r="AA690" s="577">
        <f t="shared" si="562"/>
        <v>33655.616903997696</v>
      </c>
      <c r="AB690" s="577">
        <f t="shared" si="562"/>
        <v>34214.274118533278</v>
      </c>
      <c r="AC690" s="577">
        <f t="shared" si="562"/>
        <v>34772.931595933856</v>
      </c>
      <c r="AD690" s="577">
        <f t="shared" si="562"/>
        <v>35331.425201476661</v>
      </c>
      <c r="AE690" s="577">
        <f t="shared" si="562"/>
        <v>35890.083333854054</v>
      </c>
      <c r="AF690" s="577">
        <f t="shared" si="562"/>
        <v>36448.741870409802</v>
      </c>
      <c r="AG690" s="725">
        <f t="shared" si="562"/>
        <v>37007.236695060361</v>
      </c>
      <c r="AH690" s="18"/>
      <c r="AI690" s="18"/>
      <c r="AJ690" s="18"/>
      <c r="AK690" s="18"/>
      <c r="AL690" s="18"/>
      <c r="AM690" s="18"/>
      <c r="AN690" s="18"/>
    </row>
    <row r="691" spans="1:40" ht="21.95" customHeight="1" thickBot="1" x14ac:dyDescent="0.25">
      <c r="B691" s="705"/>
      <c r="C691" s="715"/>
      <c r="D691" s="715"/>
      <c r="E691" s="116"/>
      <c r="F691" s="116" t="s">
        <v>280</v>
      </c>
      <c r="G691" s="116" t="s">
        <v>333</v>
      </c>
      <c r="H691" s="577">
        <f t="shared" ref="H691:I691" si="563">H571/H633</f>
        <v>492.027820512858</v>
      </c>
      <c r="I691" s="577">
        <f t="shared" si="563"/>
        <v>505.98037478131738</v>
      </c>
      <c r="J691" s="577">
        <f>J571/J633</f>
        <v>521.87906016913325</v>
      </c>
      <c r="K691" s="577">
        <f t="shared" ref="K691:AG691" si="564">K571/K633</f>
        <v>542.19407158793854</v>
      </c>
      <c r="L691" s="577">
        <f t="shared" si="564"/>
        <v>562.51603352152301</v>
      </c>
      <c r="M691" s="577">
        <f t="shared" si="564"/>
        <v>582.83525760637133</v>
      </c>
      <c r="N691" s="577">
        <f t="shared" si="564"/>
        <v>603.15194722420506</v>
      </c>
      <c r="O691" s="577">
        <f t="shared" si="564"/>
        <v>623.47375279081984</v>
      </c>
      <c r="P691" s="577">
        <f t="shared" si="564"/>
        <v>646.44397469381784</v>
      </c>
      <c r="Q691" s="577">
        <f t="shared" si="564"/>
        <v>669.4157980768706</v>
      </c>
      <c r="R691" s="577">
        <f t="shared" si="564"/>
        <v>692.38847379065282</v>
      </c>
      <c r="S691" s="577">
        <f t="shared" si="564"/>
        <v>715.36891848066159</v>
      </c>
      <c r="T691" s="577">
        <f t="shared" si="564"/>
        <v>738.35948466213301</v>
      </c>
      <c r="U691" s="577">
        <f t="shared" si="564"/>
        <v>756.93069389337643</v>
      </c>
      <c r="V691" s="577">
        <f t="shared" si="564"/>
        <v>770.90477137810296</v>
      </c>
      <c r="W691" s="577">
        <f t="shared" si="564"/>
        <v>784.88318017595179</v>
      </c>
      <c r="X691" s="577">
        <f t="shared" si="564"/>
        <v>798.86667886657835</v>
      </c>
      <c r="Y691" s="577">
        <f t="shared" si="564"/>
        <v>812.85202977875326</v>
      </c>
      <c r="Z691" s="577">
        <f t="shared" si="564"/>
        <v>826.84846051883619</v>
      </c>
      <c r="AA691" s="577">
        <f t="shared" si="564"/>
        <v>840.84889740646736</v>
      </c>
      <c r="AB691" s="577">
        <f t="shared" si="564"/>
        <v>854.86289144005718</v>
      </c>
      <c r="AC691" s="577">
        <f t="shared" si="564"/>
        <v>868.88783576117305</v>
      </c>
      <c r="AD691" s="577">
        <f t="shared" si="564"/>
        <v>882.921320751694</v>
      </c>
      <c r="AE691" s="577">
        <f t="shared" si="564"/>
        <v>896.97354974219706</v>
      </c>
      <c r="AF691" s="577">
        <f t="shared" si="564"/>
        <v>911.04261577531577</v>
      </c>
      <c r="AG691" s="725">
        <f t="shared" si="564"/>
        <v>925.12688569593138</v>
      </c>
      <c r="AH691" s="18"/>
      <c r="AI691" s="18"/>
      <c r="AJ691" s="18"/>
      <c r="AK691" s="18"/>
      <c r="AL691" s="18"/>
      <c r="AM691" s="18"/>
      <c r="AN691" s="18"/>
    </row>
    <row r="692" spans="1:40" ht="21.95" customHeight="1" thickBot="1" x14ac:dyDescent="0.25">
      <c r="A692" s="468"/>
      <c r="B692" s="707"/>
      <c r="C692" s="731"/>
      <c r="D692" s="731"/>
      <c r="E692" s="732" t="s">
        <v>25</v>
      </c>
      <c r="F692" s="732"/>
      <c r="G692" s="732"/>
      <c r="H692" s="733">
        <f>SUM(H663:H683,H685:H691)</f>
        <v>578245.24097310635</v>
      </c>
      <c r="I692" s="733">
        <f t="shared" ref="I692" si="565">SUM(I663:I683,I685:I691)</f>
        <v>596692.81487813976</v>
      </c>
      <c r="J692" s="733">
        <f t="shared" ref="J692" si="566">SUM(J663:J683,J685:J691)</f>
        <v>631115.98947950185</v>
      </c>
      <c r="K692" s="733">
        <f t="shared" ref="K692" si="567">SUM(K663:K683,K685:K691)</f>
        <v>685620.56477436633</v>
      </c>
      <c r="L692" s="733">
        <f t="shared" ref="L692" si="568">SUM(L663:L683,L685:L691)</f>
        <v>741016.93858068855</v>
      </c>
      <c r="M692" s="733">
        <f t="shared" ref="M692" si="569">SUM(M663:M683,M685:M691)</f>
        <v>797735.37167925911</v>
      </c>
      <c r="N692" s="733">
        <f t="shared" ref="N692" si="570">SUM(N663:N683,N685:N691)</f>
        <v>856459.08627232944</v>
      </c>
      <c r="O692" s="733">
        <f t="shared" ref="O692" si="571">SUM(O663:O683,O685:O691)</f>
        <v>918586.42121517414</v>
      </c>
      <c r="P692" s="733">
        <f t="shared" ref="P692" si="572">SUM(P663:P683,P685:P691)</f>
        <v>979409.08890695905</v>
      </c>
      <c r="Q692" s="733">
        <f t="shared" ref="Q692" si="573">SUM(Q663:Q683,Q685:Q691)</f>
        <v>1046832.0943221342</v>
      </c>
      <c r="R692" s="733">
        <f t="shared" ref="R692" si="574">SUM(R663:R683,R685:R691)</f>
        <v>1124214.1593833349</v>
      </c>
      <c r="S692" s="733">
        <f t="shared" ref="S692" si="575">SUM(S663:S683,S685:S691)</f>
        <v>1216228.4536256539</v>
      </c>
      <c r="T692" s="733">
        <f t="shared" ref="T692" si="576">SUM(T663:T683,T685:T691)</f>
        <v>1329745.4378016267</v>
      </c>
      <c r="U692" s="733">
        <f t="shared" ref="U692" si="577">SUM(U663:U683,U685:U691)</f>
        <v>1416575.1472921371</v>
      </c>
      <c r="V692" s="733">
        <f t="shared" ref="V692" si="578">SUM(V663:V683,V685:V691)</f>
        <v>1484825.2518415053</v>
      </c>
      <c r="W692" s="733">
        <f t="shared" ref="W692" si="579">SUM(W663:W683,W685:W691)</f>
        <v>1545461.9422681944</v>
      </c>
      <c r="X692" s="733">
        <f t="shared" ref="X692" si="580">SUM(X663:X683,X685:X691)</f>
        <v>1584421.9708956624</v>
      </c>
      <c r="Y692" s="733">
        <f t="shared" ref="Y692" si="581">SUM(Y663:Y683,Y685:Y691)</f>
        <v>1626526.817618852</v>
      </c>
      <c r="Z692" s="733">
        <f t="shared" ref="Z692" si="582">SUM(Z663:Z683,Z685:Z691)</f>
        <v>1673010.5965300708</v>
      </c>
      <c r="AA692" s="733">
        <f t="shared" ref="AA692" si="583">SUM(AA663:AA683,AA685:AA691)</f>
        <v>1723984.8686732785</v>
      </c>
      <c r="AB692" s="733">
        <f t="shared" ref="AB692" si="584">SUM(AB663:AB683,AB685:AB691)</f>
        <v>1768779.8173589897</v>
      </c>
      <c r="AC692" s="733">
        <f t="shared" ref="AC692" si="585">SUM(AC663:AC683,AC685:AC691)</f>
        <v>1815665.3595011695</v>
      </c>
      <c r="AD692" s="733">
        <f t="shared" ref="AD692" si="586">SUM(AD663:AD683,AD685:AD691)</f>
        <v>1865883.1553935993</v>
      </c>
      <c r="AE692" s="733">
        <f t="shared" ref="AE692" si="587">SUM(AE663:AE683,AE685:AE691)</f>
        <v>1919791.3209231407</v>
      </c>
      <c r="AF692" s="733">
        <f t="shared" ref="AF692" si="588">SUM(AF663:AF683,AF685:AF691)</f>
        <v>1977935.92117997</v>
      </c>
      <c r="AG692" s="734">
        <f t="shared" ref="AG692" si="589">SUM(AG663:AG683,AG685:AG691)</f>
        <v>2040918.6310561439</v>
      </c>
      <c r="AH692" s="18"/>
      <c r="AI692" s="18"/>
      <c r="AJ692" s="18"/>
      <c r="AK692" s="18"/>
      <c r="AL692" s="18"/>
      <c r="AM692" s="18"/>
      <c r="AN692" s="18"/>
    </row>
    <row r="693" spans="1:40" ht="21.95" customHeight="1" x14ac:dyDescent="0.2">
      <c r="B693" s="182" t="s">
        <v>212</v>
      </c>
      <c r="C693" s="116" t="s">
        <v>156</v>
      </c>
      <c r="D693" s="240" t="s">
        <v>476</v>
      </c>
      <c r="E693" s="1340" t="s">
        <v>331</v>
      </c>
      <c r="F693" s="220" t="s">
        <v>332</v>
      </c>
      <c r="G693" s="220" t="s">
        <v>282</v>
      </c>
      <c r="H693" s="726">
        <f>H573/H634</f>
        <v>5194.0039010348337</v>
      </c>
      <c r="I693" s="726">
        <f t="shared" ref="I693:AF693" si="590">I573/I634</f>
        <v>5430.1849971722022</v>
      </c>
      <c r="J693" s="726">
        <f t="shared" si="590"/>
        <v>5762.9421034853613</v>
      </c>
      <c r="K693" s="726">
        <f t="shared" si="590"/>
        <v>6252.412046467196</v>
      </c>
      <c r="L693" s="726">
        <f t="shared" si="590"/>
        <v>6742.0605340627317</v>
      </c>
      <c r="M693" s="726">
        <f t="shared" si="590"/>
        <v>7231.7090229566275</v>
      </c>
      <c r="N693" s="726">
        <f t="shared" si="590"/>
        <v>7721.1789705011224</v>
      </c>
      <c r="O693" s="726">
        <f t="shared" si="590"/>
        <v>8211.0060105370503</v>
      </c>
      <c r="P693" s="726">
        <f t="shared" si="590"/>
        <v>8695.0384984242755</v>
      </c>
      <c r="Q693" s="726">
        <f t="shared" si="590"/>
        <v>9179.1683880391101</v>
      </c>
      <c r="R693" s="726">
        <f t="shared" si="590"/>
        <v>9663.2009139183028</v>
      </c>
      <c r="S693" s="726">
        <f t="shared" si="590"/>
        <v>10147.233478426369</v>
      </c>
      <c r="T693" s="726">
        <f t="shared" si="590"/>
        <v>10631.623191846751</v>
      </c>
      <c r="U693" s="726">
        <f t="shared" si="590"/>
        <v>10958.764523130012</v>
      </c>
      <c r="V693" s="726">
        <f t="shared" si="590"/>
        <v>11194.945856013694</v>
      </c>
      <c r="W693" s="726">
        <f t="shared" si="590"/>
        <v>11431.127177571332</v>
      </c>
      <c r="X693" s="726">
        <f t="shared" si="590"/>
        <v>11667.308551949594</v>
      </c>
      <c r="Y693" s="726">
        <f t="shared" si="590"/>
        <v>11903.571146360369</v>
      </c>
      <c r="Z693" s="726">
        <f t="shared" si="590"/>
        <v>12139.752661146766</v>
      </c>
      <c r="AA693" s="726">
        <f t="shared" si="590"/>
        <v>12376.015423792272</v>
      </c>
      <c r="AB693" s="726">
        <f t="shared" si="590"/>
        <v>12612.197139658307</v>
      </c>
      <c r="AC693" s="726">
        <f t="shared" si="590"/>
        <v>12848.378985341356</v>
      </c>
      <c r="AD693" s="726">
        <f t="shared" si="590"/>
        <v>13084.642141410968</v>
      </c>
      <c r="AE693" s="726">
        <f t="shared" si="590"/>
        <v>13320.824323492105</v>
      </c>
      <c r="AF693" s="726">
        <f t="shared" si="590"/>
        <v>13557.006719595363</v>
      </c>
      <c r="AG693" s="727">
        <f>AG573/AG634</f>
        <v>13793.270523752615</v>
      </c>
      <c r="AH693" s="18"/>
      <c r="AI693" s="18"/>
      <c r="AJ693" s="18"/>
      <c r="AK693" s="18"/>
      <c r="AL693" s="18"/>
      <c r="AM693" s="18"/>
      <c r="AN693" s="18"/>
    </row>
    <row r="694" spans="1:40" ht="21.95" customHeight="1" x14ac:dyDescent="0.2">
      <c r="B694" s="705" t="s">
        <v>483</v>
      </c>
      <c r="C694" s="715"/>
      <c r="D694" s="715"/>
      <c r="E694" s="1339"/>
      <c r="F694" s="116" t="s">
        <v>282</v>
      </c>
      <c r="G694" s="116" t="s">
        <v>280</v>
      </c>
      <c r="H694" s="577">
        <f>H574/H635</f>
        <v>167015.02824419696</v>
      </c>
      <c r="I694" s="577">
        <f t="shared" ref="I694:AG694" si="591">I574/I635</f>
        <v>175830.94743877579</v>
      </c>
      <c r="J694" s="577">
        <f t="shared" si="591"/>
        <v>189064.72341851852</v>
      </c>
      <c r="K694" s="577">
        <f t="shared" si="591"/>
        <v>210928.84634134086</v>
      </c>
      <c r="L694" s="577">
        <f t="shared" si="591"/>
        <v>232802.86646109642</v>
      </c>
      <c r="M694" s="577">
        <f t="shared" si="591"/>
        <v>254675.64945624743</v>
      </c>
      <c r="N694" s="577">
        <f t="shared" si="591"/>
        <v>276539.77246955817</v>
      </c>
      <c r="O694" s="577">
        <f t="shared" si="591"/>
        <v>298423.68998181052</v>
      </c>
      <c r="P694" s="577">
        <f t="shared" si="591"/>
        <v>320501.84004704776</v>
      </c>
      <c r="Q694" s="577">
        <f t="shared" si="591"/>
        <v>342587.41352630028</v>
      </c>
      <c r="R694" s="577">
        <f t="shared" si="591"/>
        <v>364665.56509905844</v>
      </c>
      <c r="S694" s="577">
        <f t="shared" si="591"/>
        <v>386743.71844946122</v>
      </c>
      <c r="T694" s="577">
        <f t="shared" si="591"/>
        <v>408841.66927530989</v>
      </c>
      <c r="U694" s="577">
        <f t="shared" si="591"/>
        <v>422279.58631596289</v>
      </c>
      <c r="V694" s="577">
        <f t="shared" si="591"/>
        <v>431095.51621026848</v>
      </c>
      <c r="W694" s="577">
        <f t="shared" si="591"/>
        <v>439911.44476474624</v>
      </c>
      <c r="X694" s="577">
        <f t="shared" si="591"/>
        <v>448727.37543817697</v>
      </c>
      <c r="Y694" s="577">
        <f t="shared" si="591"/>
        <v>457548.25724713982</v>
      </c>
      <c r="Z694" s="577">
        <f t="shared" si="591"/>
        <v>466364.19350861089</v>
      </c>
      <c r="AA694" s="577">
        <f t="shared" si="591"/>
        <v>475185.08197382034</v>
      </c>
      <c r="AB694" s="577">
        <f t="shared" si="591"/>
        <v>484001.02615195088</v>
      </c>
      <c r="AC694" s="577">
        <f t="shared" si="591"/>
        <v>492816.97539854003</v>
      </c>
      <c r="AD694" s="577">
        <f t="shared" si="591"/>
        <v>501637.87923250865</v>
      </c>
      <c r="AE694" s="577">
        <f t="shared" si="591"/>
        <v>510453.84154207591</v>
      </c>
      <c r="AF694" s="577">
        <f t="shared" si="591"/>
        <v>519269.81209535815</v>
      </c>
      <c r="AG694" s="725">
        <f t="shared" si="591"/>
        <v>528090.74090910447</v>
      </c>
      <c r="AH694" s="18"/>
      <c r="AI694" s="18"/>
      <c r="AJ694" s="18"/>
      <c r="AK694" s="18"/>
      <c r="AL694" s="18"/>
      <c r="AM694" s="18"/>
      <c r="AN694" s="18"/>
    </row>
    <row r="695" spans="1:40" ht="21.95" customHeight="1" x14ac:dyDescent="0.2">
      <c r="B695" s="705"/>
      <c r="C695" s="715"/>
      <c r="D695" s="715"/>
      <c r="E695" s="1339"/>
      <c r="F695" s="116" t="s">
        <v>280</v>
      </c>
      <c r="G695" s="116" t="s">
        <v>333</v>
      </c>
      <c r="H695" s="577">
        <f t="shared" ref="H695:AG695" si="592">H575/H636</f>
        <v>3895.5029354152384</v>
      </c>
      <c r="I695" s="577">
        <f t="shared" si="592"/>
        <v>4058.1726454932859</v>
      </c>
      <c r="J695" s="577">
        <f t="shared" si="592"/>
        <v>4259.5052276268207</v>
      </c>
      <c r="K695" s="577">
        <f t="shared" si="592"/>
        <v>4530.5673179256837</v>
      </c>
      <c r="L695" s="577">
        <f t="shared" si="592"/>
        <v>4801.7268109463203</v>
      </c>
      <c r="M695" s="577">
        <f t="shared" si="592"/>
        <v>5072.8538632554555</v>
      </c>
      <c r="N695" s="577">
        <f t="shared" si="592"/>
        <v>5343.9160271154105</v>
      </c>
      <c r="O695" s="577">
        <f t="shared" si="592"/>
        <v>5615.1730258444759</v>
      </c>
      <c r="P695" s="577">
        <f t="shared" si="592"/>
        <v>5877.9898626816876</v>
      </c>
      <c r="Q695" s="577">
        <f t="shared" si="592"/>
        <v>6140.9042205905198</v>
      </c>
      <c r="R695" s="577">
        <f t="shared" si="592"/>
        <v>6403.721400066891</v>
      </c>
      <c r="S695" s="577">
        <f t="shared" si="592"/>
        <v>6666.5388883410596</v>
      </c>
      <c r="T695" s="577">
        <f t="shared" si="592"/>
        <v>6929.5516013513343</v>
      </c>
      <c r="U695" s="577">
        <f t="shared" si="592"/>
        <v>7122.5432392707044</v>
      </c>
      <c r="V695" s="577">
        <f t="shared" si="592"/>
        <v>7285.2149187800369</v>
      </c>
      <c r="W695" s="577">
        <f t="shared" si="592"/>
        <v>7447.8867834453649</v>
      </c>
      <c r="X695" s="577">
        <f t="shared" si="592"/>
        <v>7610.5591858532016</v>
      </c>
      <c r="Y695" s="577">
        <f t="shared" si="592"/>
        <v>7773.2971690795794</v>
      </c>
      <c r="Z695" s="577">
        <f t="shared" si="592"/>
        <v>7935.9710248002675</v>
      </c>
      <c r="AA695" s="577">
        <f t="shared" si="592"/>
        <v>8098.7107668950148</v>
      </c>
      <c r="AB695" s="577">
        <f t="shared" si="592"/>
        <v>8261.3867454666633</v>
      </c>
      <c r="AC695" s="577">
        <f t="shared" si="592"/>
        <v>8424.064112892489</v>
      </c>
      <c r="AD695" s="577">
        <f t="shared" si="592"/>
        <v>8586.8080685725035</v>
      </c>
      <c r="AE695" s="577">
        <f t="shared" si="592"/>
        <v>8749.4890844703768</v>
      </c>
      <c r="AF695" s="577">
        <f t="shared" si="592"/>
        <v>8912.1724490716442</v>
      </c>
      <c r="AG695" s="725">
        <f t="shared" si="592"/>
        <v>9074.923523645075</v>
      </c>
      <c r="AH695" s="18"/>
      <c r="AI695" s="18"/>
      <c r="AJ695" s="18"/>
      <c r="AK695" s="18"/>
      <c r="AL695" s="18"/>
      <c r="AM695" s="18"/>
      <c r="AN695" s="18"/>
    </row>
    <row r="696" spans="1:40" ht="21.95" customHeight="1" x14ac:dyDescent="0.2">
      <c r="B696" s="705"/>
      <c r="C696" s="715"/>
      <c r="D696" s="715"/>
      <c r="E696" s="1340" t="s">
        <v>280</v>
      </c>
      <c r="F696" s="220" t="s">
        <v>281</v>
      </c>
      <c r="G696" s="220" t="s">
        <v>335</v>
      </c>
      <c r="H696" s="583">
        <f t="shared" ref="H696:AG696" si="593">H576/H637</f>
        <v>44193.057391304355</v>
      </c>
      <c r="I696" s="583">
        <f t="shared" si="593"/>
        <v>48663.40611172175</v>
      </c>
      <c r="J696" s="583">
        <f t="shared" si="593"/>
        <v>58657.88700605218</v>
      </c>
      <c r="K696" s="583">
        <f t="shared" si="593"/>
        <v>78732.583326052336</v>
      </c>
      <c r="L696" s="583">
        <f t="shared" si="593"/>
        <v>98819.653702125972</v>
      </c>
      <c r="M696" s="583">
        <f t="shared" si="593"/>
        <v>118904.51442537157</v>
      </c>
      <c r="N696" s="583">
        <f t="shared" si="593"/>
        <v>138979.21074569246</v>
      </c>
      <c r="O696" s="583">
        <f t="shared" si="593"/>
        <v>159078.65517948041</v>
      </c>
      <c r="P696" s="583">
        <f t="shared" si="593"/>
        <v>178801.13283881484</v>
      </c>
      <c r="Q696" s="583">
        <f t="shared" si="593"/>
        <v>198533.55395186684</v>
      </c>
      <c r="R696" s="583">
        <f t="shared" si="593"/>
        <v>218256.03167119992</v>
      </c>
      <c r="S696" s="583">
        <f t="shared" si="593"/>
        <v>237978.50950138521</v>
      </c>
      <c r="T696" s="583">
        <f t="shared" si="593"/>
        <v>257725.73569953573</v>
      </c>
      <c r="U696" s="583">
        <f t="shared" si="593"/>
        <v>267355.62479369238</v>
      </c>
      <c r="V696" s="583">
        <f t="shared" si="593"/>
        <v>271825.97427690594</v>
      </c>
      <c r="W696" s="583">
        <f t="shared" si="593"/>
        <v>276296.32347582188</v>
      </c>
      <c r="X696" s="583">
        <f t="shared" si="593"/>
        <v>280766.67276011704</v>
      </c>
      <c r="Y696" s="583">
        <f t="shared" si="593"/>
        <v>285243.87206726038</v>
      </c>
      <c r="Z696" s="583">
        <f t="shared" si="593"/>
        <v>289714.22156578489</v>
      </c>
      <c r="AA696" s="583">
        <f t="shared" si="593"/>
        <v>294191.4211189663</v>
      </c>
      <c r="AB696" s="583">
        <f t="shared" si="593"/>
        <v>298661.77090109803</v>
      </c>
      <c r="AC696" s="583">
        <f t="shared" si="593"/>
        <v>303132.12085558672</v>
      </c>
      <c r="AD696" s="583">
        <f t="shared" si="593"/>
        <v>307609.32093311823</v>
      </c>
      <c r="AE696" s="583">
        <f t="shared" si="593"/>
        <v>312079.67131641129</v>
      </c>
      <c r="AF696" s="583">
        <f t="shared" si="593"/>
        <v>316550.02195691463</v>
      </c>
      <c r="AG696" s="728">
        <f t="shared" si="593"/>
        <v>321027.2228169039</v>
      </c>
      <c r="AH696" s="18"/>
      <c r="AI696" s="18"/>
      <c r="AJ696" s="18"/>
      <c r="AK696" s="18"/>
      <c r="AL696" s="18"/>
      <c r="AM696" s="18"/>
      <c r="AN696" s="18"/>
    </row>
    <row r="697" spans="1:40" ht="21.95" customHeight="1" x14ac:dyDescent="0.2">
      <c r="B697" s="705"/>
      <c r="C697" s="715"/>
      <c r="D697" s="715"/>
      <c r="E697" s="1339"/>
      <c r="F697" s="116" t="s">
        <v>335</v>
      </c>
      <c r="G697" s="116" t="s">
        <v>323</v>
      </c>
      <c r="H697" s="577">
        <f t="shared" ref="H697:AG697" si="594">H577/H638</f>
        <v>5946.1818182585594</v>
      </c>
      <c r="I697" s="577">
        <f t="shared" si="594"/>
        <v>6510.7222303870585</v>
      </c>
      <c r="J697" s="577">
        <f t="shared" si="594"/>
        <v>7311.5738184155489</v>
      </c>
      <c r="K697" s="577">
        <f t="shared" si="594"/>
        <v>8616.4634190605448</v>
      </c>
      <c r="L697" s="577">
        <f t="shared" si="594"/>
        <v>9921.7494355305353</v>
      </c>
      <c r="M697" s="577">
        <f t="shared" si="594"/>
        <v>11227.159345454105</v>
      </c>
      <c r="N697" s="577">
        <f t="shared" si="594"/>
        <v>12532.049014352226</v>
      </c>
      <c r="O697" s="577">
        <f t="shared" si="594"/>
        <v>13838.351048224964</v>
      </c>
      <c r="P697" s="577">
        <f t="shared" si="594"/>
        <v>15324.550255154814</v>
      </c>
      <c r="Q697" s="577">
        <f t="shared" si="594"/>
        <v>16811.4444532587</v>
      </c>
      <c r="R697" s="577">
        <f t="shared" si="594"/>
        <v>18297.573621677941</v>
      </c>
      <c r="S697" s="577">
        <f t="shared" si="594"/>
        <v>19783.783947374483</v>
      </c>
      <c r="T697" s="577">
        <f t="shared" si="594"/>
        <v>21271.371404867084</v>
      </c>
      <c r="U697" s="577">
        <f t="shared" si="594"/>
        <v>22252.494786682146</v>
      </c>
      <c r="V697" s="577">
        <f t="shared" si="594"/>
        <v>22817.0952806239</v>
      </c>
      <c r="W697" s="577">
        <f t="shared" si="594"/>
        <v>23381.685905217255</v>
      </c>
      <c r="X697" s="577">
        <f t="shared" si="594"/>
        <v>23946.290583975326</v>
      </c>
      <c r="Y697" s="577">
        <f t="shared" si="594"/>
        <v>24511.556942356885</v>
      </c>
      <c r="Z697" s="577">
        <f t="shared" si="594"/>
        <v>25076.200923500342</v>
      </c>
      <c r="AA697" s="577">
        <f t="shared" si="594"/>
        <v>25641.515721450098</v>
      </c>
      <c r="AB697" s="577">
        <f t="shared" si="594"/>
        <v>26206.21931616043</v>
      </c>
      <c r="AC697" s="577">
        <f t="shared" si="594"/>
        <v>26770.962810593621</v>
      </c>
      <c r="AD697" s="577">
        <f t="shared" si="594"/>
        <v>27336.399201897853</v>
      </c>
      <c r="AE697" s="577">
        <f t="shared" si="594"/>
        <v>27901.25072757118</v>
      </c>
      <c r="AF697" s="577">
        <f t="shared" si="594"/>
        <v>28466.173097528645</v>
      </c>
      <c r="AG697" s="725">
        <f t="shared" si="594"/>
        <v>29031.825155525927</v>
      </c>
      <c r="AH697" s="18"/>
      <c r="AI697" s="18"/>
      <c r="AJ697" s="18"/>
      <c r="AK697" s="18"/>
      <c r="AL697" s="18"/>
      <c r="AM697" s="18"/>
      <c r="AN697" s="18"/>
    </row>
    <row r="698" spans="1:40" ht="21.95" customHeight="1" x14ac:dyDescent="0.2">
      <c r="B698" s="705"/>
      <c r="C698" s="715"/>
      <c r="D698" s="715"/>
      <c r="E698" s="1353"/>
      <c r="F698" s="254" t="s">
        <v>323</v>
      </c>
      <c r="G698" s="254" t="s">
        <v>338</v>
      </c>
      <c r="H698" s="587">
        <f t="shared" ref="H698:AG698" si="595">H578/H639</f>
        <v>83917.082669181895</v>
      </c>
      <c r="I698" s="587">
        <f t="shared" si="595"/>
        <v>86267.040707527893</v>
      </c>
      <c r="J698" s="587">
        <f t="shared" si="595"/>
        <v>89615.895261842161</v>
      </c>
      <c r="K698" s="587">
        <f t="shared" si="595"/>
        <v>94316.098338762997</v>
      </c>
      <c r="L698" s="587">
        <f t="shared" si="595"/>
        <v>99018.268429925913</v>
      </c>
      <c r="M698" s="587">
        <f t="shared" si="595"/>
        <v>103720.0297226348</v>
      </c>
      <c r="N698" s="587">
        <f t="shared" si="595"/>
        <v>108420.2691817478</v>
      </c>
      <c r="O698" s="587">
        <f t="shared" si="595"/>
        <v>113124.31009211013</v>
      </c>
      <c r="P698" s="587">
        <f t="shared" si="595"/>
        <v>117873.00455995077</v>
      </c>
      <c r="Q698" s="587">
        <f t="shared" si="595"/>
        <v>122623.15429349495</v>
      </c>
      <c r="R698" s="587">
        <f t="shared" si="595"/>
        <v>127371.56666036126</v>
      </c>
      <c r="S698" s="587">
        <f t="shared" si="595"/>
        <v>132120.51354531926</v>
      </c>
      <c r="T698" s="587">
        <f t="shared" si="595"/>
        <v>136873.39838261425</v>
      </c>
      <c r="U698" s="587">
        <f t="shared" si="595"/>
        <v>140269.12729871823</v>
      </c>
      <c r="V698" s="587">
        <f t="shared" si="595"/>
        <v>142619.77295459723</v>
      </c>
      <c r="W698" s="587">
        <f t="shared" si="595"/>
        <v>144970.32895508019</v>
      </c>
      <c r="X698" s="587">
        <f t="shared" si="595"/>
        <v>147320.99192604571</v>
      </c>
      <c r="Y698" s="587">
        <f t="shared" si="595"/>
        <v>149672.89771704227</v>
      </c>
      <c r="Z698" s="587">
        <f t="shared" si="595"/>
        <v>152023.82817968749</v>
      </c>
      <c r="AA698" s="587">
        <f t="shared" si="595"/>
        <v>154376.04222365096</v>
      </c>
      <c r="AB698" s="587">
        <f t="shared" si="595"/>
        <v>156727.32776676107</v>
      </c>
      <c r="AC698" s="587">
        <f t="shared" si="595"/>
        <v>159078.83065950542</v>
      </c>
      <c r="AD698" s="587">
        <f t="shared" si="595"/>
        <v>161431.70208970312</v>
      </c>
      <c r="AE698" s="587">
        <f t="shared" si="595"/>
        <v>163783.74079469076</v>
      </c>
      <c r="AF698" s="587">
        <f t="shared" si="595"/>
        <v>166136.1041331632</v>
      </c>
      <c r="AG698" s="729">
        <f t="shared" si="595"/>
        <v>168489.9571011014</v>
      </c>
      <c r="AH698" s="18"/>
      <c r="AI698" s="18"/>
      <c r="AJ698" s="18"/>
      <c r="AK698" s="18"/>
      <c r="AL698" s="18"/>
      <c r="AM698" s="18"/>
      <c r="AN698" s="18"/>
    </row>
    <row r="699" spans="1:40" ht="21.95" customHeight="1" x14ac:dyDescent="0.2">
      <c r="B699" s="705"/>
      <c r="C699" s="715"/>
      <c r="D699" s="715"/>
      <c r="E699" s="116" t="s">
        <v>339</v>
      </c>
      <c r="F699" s="116" t="s">
        <v>335</v>
      </c>
      <c r="G699" s="116" t="s">
        <v>323</v>
      </c>
      <c r="H699" s="577">
        <f t="shared" ref="H699:AG699" si="596">H579/H640</f>
        <v>266.8555555555555</v>
      </c>
      <c r="I699" s="577">
        <f t="shared" si="596"/>
        <v>1108.3845499999998</v>
      </c>
      <c r="J699" s="577">
        <f t="shared" si="596"/>
        <v>9888.1991833333323</v>
      </c>
      <c r="K699" s="577">
        <f t="shared" si="596"/>
        <v>23388.021455555554</v>
      </c>
      <c r="L699" s="577">
        <f t="shared" si="596"/>
        <v>36897.450527803529</v>
      </c>
      <c r="M699" s="577">
        <f t="shared" si="596"/>
        <v>50401.542492248016</v>
      </c>
      <c r="N699" s="577">
        <f t="shared" si="596"/>
        <v>63901.364857442852</v>
      </c>
      <c r="O699" s="577">
        <f t="shared" si="596"/>
        <v>77419.734746933827</v>
      </c>
      <c r="P699" s="577">
        <f t="shared" si="596"/>
        <v>82987.283526264626</v>
      </c>
      <c r="Q699" s="577">
        <f t="shared" si="596"/>
        <v>88559.104501009118</v>
      </c>
      <c r="R699" s="577">
        <f t="shared" si="596"/>
        <v>94129.601044006005</v>
      </c>
      <c r="S699" s="577">
        <f t="shared" si="596"/>
        <v>99697.179710305849</v>
      </c>
      <c r="T699" s="577">
        <f t="shared" si="596"/>
        <v>105277.99790146112</v>
      </c>
      <c r="U699" s="577">
        <f t="shared" si="596"/>
        <v>106119.63427715928</v>
      </c>
      <c r="V699" s="577">
        <f t="shared" si="596"/>
        <v>106961.18640348506</v>
      </c>
      <c r="W699" s="577">
        <f t="shared" si="596"/>
        <v>107802.74043736377</v>
      </c>
      <c r="X699" s="577">
        <f t="shared" si="596"/>
        <v>108644.2965192211</v>
      </c>
      <c r="Y699" s="577">
        <f t="shared" si="596"/>
        <v>109491.85906820152</v>
      </c>
      <c r="Z699" s="577">
        <f t="shared" si="596"/>
        <v>110333.41991929224</v>
      </c>
      <c r="AA699" s="577">
        <f t="shared" si="596"/>
        <v>111177.65166576082</v>
      </c>
      <c r="AB699" s="577">
        <f t="shared" si="596"/>
        <v>112019.21766525695</v>
      </c>
      <c r="AC699" s="577">
        <f t="shared" si="596"/>
        <v>112860.78646181511</v>
      </c>
      <c r="AD699" s="577">
        <f t="shared" si="596"/>
        <v>113708.36264002454</v>
      </c>
      <c r="AE699" s="577">
        <f t="shared" si="596"/>
        <v>114549.93817214097</v>
      </c>
      <c r="AF699" s="577">
        <f t="shared" si="596"/>
        <v>115391.51696516684</v>
      </c>
      <c r="AG699" s="725">
        <f t="shared" si="596"/>
        <v>116235.76812306269</v>
      </c>
      <c r="AH699" s="18"/>
      <c r="AI699" s="18"/>
      <c r="AJ699" s="18"/>
      <c r="AK699" s="18"/>
      <c r="AL699" s="18"/>
      <c r="AM699" s="18"/>
      <c r="AN699" s="18"/>
    </row>
    <row r="700" spans="1:40" ht="21.95" customHeight="1" x14ac:dyDescent="0.2">
      <c r="B700" s="705"/>
      <c r="C700" s="715"/>
      <c r="D700" s="715"/>
      <c r="E700" s="1340" t="s">
        <v>323</v>
      </c>
      <c r="F700" s="220" t="s">
        <v>282</v>
      </c>
      <c r="G700" s="220" t="s">
        <v>339</v>
      </c>
      <c r="H700" s="583">
        <f t="shared" ref="H700:AG700" si="597">H580/H641</f>
        <v>805.66423357664223</v>
      </c>
      <c r="I700" s="583">
        <f t="shared" si="597"/>
        <v>1790.5887591240873</v>
      </c>
      <c r="J700" s="583">
        <f t="shared" si="597"/>
        <v>7568.0069781021894</v>
      </c>
      <c r="K700" s="583">
        <f t="shared" si="597"/>
        <v>17012.40595620438</v>
      </c>
      <c r="L700" s="583">
        <f t="shared" si="597"/>
        <v>26462.041751824821</v>
      </c>
      <c r="M700" s="583">
        <f t="shared" si="597"/>
        <v>35912.08037956203</v>
      </c>
      <c r="N700" s="583">
        <f t="shared" si="597"/>
        <v>45356.479357664306</v>
      </c>
      <c r="O700" s="583">
        <f t="shared" si="597"/>
        <v>54811.754802920696</v>
      </c>
      <c r="P700" s="583">
        <f t="shared" si="597"/>
        <v>62103.016116795829</v>
      </c>
      <c r="Q700" s="583">
        <f t="shared" si="597"/>
        <v>69395.485927036556</v>
      </c>
      <c r="R700" s="583">
        <f t="shared" si="597"/>
        <v>76686.747240974</v>
      </c>
      <c r="S700" s="583">
        <f t="shared" si="597"/>
        <v>83978.008555036242</v>
      </c>
      <c r="T700" s="583">
        <f t="shared" si="597"/>
        <v>91278.937840202474</v>
      </c>
      <c r="U700" s="583">
        <f t="shared" si="597"/>
        <v>94897.578746407395</v>
      </c>
      <c r="V700" s="583">
        <f t="shared" si="597"/>
        <v>95882.503272877875</v>
      </c>
      <c r="W700" s="583">
        <f t="shared" si="597"/>
        <v>96867.427798762365</v>
      </c>
      <c r="X700" s="583">
        <f t="shared" si="597"/>
        <v>97852.352324683263</v>
      </c>
      <c r="Y700" s="583">
        <f t="shared" si="597"/>
        <v>98840.09667546174</v>
      </c>
      <c r="Z700" s="583">
        <f t="shared" si="597"/>
        <v>99825.021201467578</v>
      </c>
      <c r="AA700" s="583">
        <f t="shared" si="597"/>
        <v>100812.76555233776</v>
      </c>
      <c r="AB700" s="583">
        <f t="shared" si="597"/>
        <v>101797.69007844423</v>
      </c>
      <c r="AC700" s="583">
        <f t="shared" si="597"/>
        <v>102782.61460460644</v>
      </c>
      <c r="AD700" s="583">
        <f t="shared" si="597"/>
        <v>103770.35895564873</v>
      </c>
      <c r="AE700" s="583">
        <f t="shared" si="597"/>
        <v>104755.28348194344</v>
      </c>
      <c r="AF700" s="583">
        <f t="shared" si="597"/>
        <v>105740.20800831042</v>
      </c>
      <c r="AG700" s="728">
        <f t="shared" si="597"/>
        <v>106727.95235957591</v>
      </c>
      <c r="AH700" s="18"/>
      <c r="AI700" s="18"/>
      <c r="AJ700" s="18"/>
      <c r="AK700" s="18"/>
      <c r="AL700" s="18"/>
      <c r="AM700" s="18"/>
      <c r="AN700" s="18"/>
    </row>
    <row r="701" spans="1:40" ht="21.95" customHeight="1" x14ac:dyDescent="0.2">
      <c r="B701" s="705"/>
      <c r="C701" s="715"/>
      <c r="D701" s="715"/>
      <c r="E701" s="1339"/>
      <c r="F701" s="116" t="s">
        <v>339</v>
      </c>
      <c r="G701" s="116" t="s">
        <v>288</v>
      </c>
      <c r="H701" s="577">
        <f t="shared" ref="H701:AG701" si="598">H581/H642</f>
        <v>0</v>
      </c>
      <c r="I701" s="577">
        <f t="shared" si="598"/>
        <v>543.07737226277357</v>
      </c>
      <c r="J701" s="577">
        <f t="shared" si="598"/>
        <v>1569.6607065693429</v>
      </c>
      <c r="K701" s="577">
        <f t="shared" si="598"/>
        <v>3528.4990131386862</v>
      </c>
      <c r="L701" s="577">
        <f t="shared" si="598"/>
        <v>5488.4234744525556</v>
      </c>
      <c r="M701" s="577">
        <f t="shared" si="598"/>
        <v>7448.4314861313842</v>
      </c>
      <c r="N701" s="577">
        <f t="shared" si="598"/>
        <v>9407.2697927007448</v>
      </c>
      <c r="O701" s="577">
        <f t="shared" si="598"/>
        <v>11368.363959124294</v>
      </c>
      <c r="P701" s="577">
        <f t="shared" si="598"/>
        <v>12880.625564965061</v>
      </c>
      <c r="Q701" s="577">
        <f t="shared" si="598"/>
        <v>14393.137821903878</v>
      </c>
      <c r="R701" s="577">
        <f t="shared" si="598"/>
        <v>15905.399427757569</v>
      </c>
      <c r="S701" s="577">
        <f t="shared" si="598"/>
        <v>17417.661033637149</v>
      </c>
      <c r="T701" s="577">
        <f t="shared" si="598"/>
        <v>18931.927848338291</v>
      </c>
      <c r="U701" s="577">
        <f t="shared" si="598"/>
        <v>19682.460777032647</v>
      </c>
      <c r="V701" s="577">
        <f t="shared" si="598"/>
        <v>19886.741419559854</v>
      </c>
      <c r="W701" s="577">
        <f t="shared" si="598"/>
        <v>20091.022061965527</v>
      </c>
      <c r="X701" s="577">
        <f t="shared" si="598"/>
        <v>20295.302704378755</v>
      </c>
      <c r="Y701" s="577">
        <f t="shared" si="598"/>
        <v>20500.16819935503</v>
      </c>
      <c r="Z701" s="577">
        <f t="shared" si="598"/>
        <v>20704.448841785867</v>
      </c>
      <c r="AA701" s="577">
        <f t="shared" si="598"/>
        <v>20909.314336781164</v>
      </c>
      <c r="AB701" s="577">
        <f t="shared" si="598"/>
        <v>21113.594979232876</v>
      </c>
      <c r="AC701" s="577">
        <f t="shared" si="598"/>
        <v>21317.875621696148</v>
      </c>
      <c r="AD701" s="577">
        <f t="shared" si="598"/>
        <v>21522.741116727146</v>
      </c>
      <c r="AE701" s="577">
        <f t="shared" si="598"/>
        <v>21727.0217592179</v>
      </c>
      <c r="AF701" s="577">
        <f t="shared" si="598"/>
        <v>21931.302401723642</v>
      </c>
      <c r="AG701" s="725">
        <f t="shared" si="598"/>
        <v>22136.167896800929</v>
      </c>
      <c r="AH701" s="18"/>
      <c r="AI701" s="18"/>
      <c r="AJ701" s="18"/>
      <c r="AK701" s="18"/>
      <c r="AL701" s="18"/>
      <c r="AM701" s="18"/>
      <c r="AN701" s="18"/>
    </row>
    <row r="702" spans="1:40" ht="21.95" customHeight="1" x14ac:dyDescent="0.2">
      <c r="B702" s="705"/>
      <c r="C702" s="715"/>
      <c r="D702" s="715"/>
      <c r="E702" s="1339"/>
      <c r="F702" s="116" t="s">
        <v>288</v>
      </c>
      <c r="G702" s="116" t="s">
        <v>340</v>
      </c>
      <c r="H702" s="577">
        <f t="shared" ref="H702:AG702" si="599">H582/H643</f>
        <v>0</v>
      </c>
      <c r="I702" s="577">
        <f t="shared" si="599"/>
        <v>1415.8802919708028</v>
      </c>
      <c r="J702" s="577">
        <f t="shared" si="599"/>
        <v>4092.3296992700725</v>
      </c>
      <c r="K702" s="577">
        <f t="shared" si="599"/>
        <v>9199.3009985401441</v>
      </c>
      <c r="L702" s="577">
        <f t="shared" si="599"/>
        <v>14309.104058394161</v>
      </c>
      <c r="M702" s="577">
        <f t="shared" si="599"/>
        <v>19419.12494598539</v>
      </c>
      <c r="N702" s="577">
        <f t="shared" si="599"/>
        <v>24526.096245255514</v>
      </c>
      <c r="O702" s="577">
        <f t="shared" si="599"/>
        <v>29638.948893431192</v>
      </c>
      <c r="P702" s="577">
        <f t="shared" si="599"/>
        <v>33581.630937230337</v>
      </c>
      <c r="Q702" s="577">
        <f t="shared" si="599"/>
        <v>37524.966464249395</v>
      </c>
      <c r="R702" s="577">
        <f t="shared" si="599"/>
        <v>41467.648508082224</v>
      </c>
      <c r="S702" s="577">
        <f t="shared" si="599"/>
        <v>45410.330551982552</v>
      </c>
      <c r="T702" s="577">
        <f t="shared" si="599"/>
        <v>49358.240461739108</v>
      </c>
      <c r="U702" s="577">
        <f t="shared" si="599"/>
        <v>51314.9870258351</v>
      </c>
      <c r="V702" s="577">
        <f t="shared" si="599"/>
        <v>51847.575843852472</v>
      </c>
      <c r="W702" s="577">
        <f t="shared" si="599"/>
        <v>52380.164661552975</v>
      </c>
      <c r="X702" s="577">
        <f t="shared" si="599"/>
        <v>52912.753479273175</v>
      </c>
      <c r="Y702" s="577">
        <f t="shared" si="599"/>
        <v>53446.867091175605</v>
      </c>
      <c r="Z702" s="577">
        <f t="shared" si="599"/>
        <v>53979.455908941723</v>
      </c>
      <c r="AA702" s="577">
        <f t="shared" si="599"/>
        <v>54513.569520893747</v>
      </c>
      <c r="AB702" s="577">
        <f t="shared" si="599"/>
        <v>55046.158338714282</v>
      </c>
      <c r="AC702" s="577">
        <f t="shared" si="599"/>
        <v>55578.747156564954</v>
      </c>
      <c r="AD702" s="577">
        <f t="shared" si="599"/>
        <v>56112.860768610051</v>
      </c>
      <c r="AE702" s="577">
        <f t="shared" si="599"/>
        <v>56645.44958653237</v>
      </c>
      <c r="AF702" s="577">
        <f t="shared" si="599"/>
        <v>57178.038404493789</v>
      </c>
      <c r="AG702" s="725">
        <f t="shared" si="599"/>
        <v>57712.152016659566</v>
      </c>
      <c r="AH702" s="18"/>
      <c r="AI702" s="18"/>
      <c r="AJ702" s="18"/>
      <c r="AK702" s="18"/>
      <c r="AL702" s="18"/>
      <c r="AM702" s="18"/>
      <c r="AN702" s="18"/>
    </row>
    <row r="703" spans="1:40" ht="21.95" customHeight="1" x14ac:dyDescent="0.2">
      <c r="B703" s="705"/>
      <c r="C703" s="715"/>
      <c r="D703" s="715"/>
      <c r="E703" s="1353"/>
      <c r="F703" s="254" t="s">
        <v>340</v>
      </c>
      <c r="G703" s="254" t="s">
        <v>280</v>
      </c>
      <c r="H703" s="587">
        <f t="shared" ref="H703:AG703" si="600">H583/H644</f>
        <v>1879.8832116788319</v>
      </c>
      <c r="I703" s="587">
        <f t="shared" si="600"/>
        <v>2778.2793985401454</v>
      </c>
      <c r="J703" s="587">
        <f t="shared" si="600"/>
        <v>3897.4991999999997</v>
      </c>
      <c r="K703" s="587">
        <f t="shared" si="600"/>
        <v>6293.9743182481752</v>
      </c>
      <c r="L703" s="587">
        <f t="shared" si="600"/>
        <v>8690.7627503649637</v>
      </c>
      <c r="M703" s="587">
        <f t="shared" si="600"/>
        <v>11088.553786861312</v>
      </c>
      <c r="N703" s="587">
        <f t="shared" si="600"/>
        <v>13485.028905109488</v>
      </c>
      <c r="O703" s="587">
        <f t="shared" si="600"/>
        <v>15880.250767883212</v>
      </c>
      <c r="P703" s="587">
        <f t="shared" si="600"/>
        <v>20689.743976642334</v>
      </c>
      <c r="Q703" s="587">
        <f t="shared" si="600"/>
        <v>25496.480023357661</v>
      </c>
      <c r="R703" s="587">
        <f t="shared" si="600"/>
        <v>30304.281337226294</v>
      </c>
      <c r="S703" s="587">
        <f t="shared" si="600"/>
        <v>35113.774545985543</v>
      </c>
      <c r="T703" s="587">
        <f t="shared" si="600"/>
        <v>39922.014499270757</v>
      </c>
      <c r="U703" s="587">
        <f t="shared" si="600"/>
        <v>43454.12706569615</v>
      </c>
      <c r="V703" s="587">
        <f t="shared" si="600"/>
        <v>44352.52325256123</v>
      </c>
      <c r="W703" s="587">
        <f t="shared" si="600"/>
        <v>45250.919439424186</v>
      </c>
      <c r="X703" s="587">
        <f t="shared" si="600"/>
        <v>46149.315626287491</v>
      </c>
      <c r="Y703" s="587">
        <f t="shared" si="600"/>
        <v>47045.017313881166</v>
      </c>
      <c r="Z703" s="587">
        <f t="shared" si="600"/>
        <v>47943.413500745446</v>
      </c>
      <c r="AA703" s="587">
        <f t="shared" si="600"/>
        <v>48839.115188340271</v>
      </c>
      <c r="AB703" s="587">
        <f t="shared" si="600"/>
        <v>49737.51137520589</v>
      </c>
      <c r="AC703" s="587">
        <f t="shared" si="600"/>
        <v>50635.907562072382</v>
      </c>
      <c r="AD703" s="587">
        <f t="shared" si="600"/>
        <v>51531.609249669826</v>
      </c>
      <c r="AE703" s="587">
        <f t="shared" si="600"/>
        <v>52430.005436538537</v>
      </c>
      <c r="AF703" s="587">
        <f t="shared" si="600"/>
        <v>53328.401623408696</v>
      </c>
      <c r="AG703" s="729">
        <f t="shared" si="600"/>
        <v>54224.103311010396</v>
      </c>
      <c r="AH703" s="18"/>
      <c r="AI703" s="18"/>
      <c r="AJ703" s="18"/>
      <c r="AK703" s="18"/>
      <c r="AL703" s="18"/>
      <c r="AM703" s="18"/>
      <c r="AN703" s="18"/>
    </row>
    <row r="704" spans="1:40" ht="21.95" customHeight="1" x14ac:dyDescent="0.2">
      <c r="B704" s="705"/>
      <c r="C704" s="715"/>
      <c r="D704" s="715"/>
      <c r="E704" s="1340" t="s">
        <v>334</v>
      </c>
      <c r="F704" s="116" t="s">
        <v>336</v>
      </c>
      <c r="G704" s="116" t="s">
        <v>337</v>
      </c>
      <c r="H704" s="577">
        <f t="shared" ref="H704:AG704" si="601">H584/H645</f>
        <v>33732.02357951639</v>
      </c>
      <c r="I704" s="577">
        <f t="shared" si="601"/>
        <v>34666.400632669</v>
      </c>
      <c r="J704" s="577">
        <f t="shared" si="601"/>
        <v>36174.342559492834</v>
      </c>
      <c r="K704" s="577">
        <f t="shared" si="601"/>
        <v>38328.614154247691</v>
      </c>
      <c r="L704" s="577">
        <f t="shared" si="601"/>
        <v>40483.849525537997</v>
      </c>
      <c r="M704" s="577">
        <f t="shared" si="601"/>
        <v>42638.964431177454</v>
      </c>
      <c r="N704" s="577">
        <f t="shared" si="601"/>
        <v>44793.23604577146</v>
      </c>
      <c r="O704" s="577">
        <f t="shared" si="601"/>
        <v>46949.435219721658</v>
      </c>
      <c r="P704" s="577">
        <f t="shared" si="601"/>
        <v>48868.666950914492</v>
      </c>
      <c r="Q704" s="577">
        <f t="shared" si="601"/>
        <v>50788.501062940362</v>
      </c>
      <c r="R704" s="577">
        <f t="shared" si="601"/>
        <v>52707.73285787987</v>
      </c>
      <c r="S704" s="577">
        <f t="shared" si="601"/>
        <v>54626.964709882268</v>
      </c>
      <c r="T704" s="577">
        <f t="shared" si="601"/>
        <v>56548.124185699518</v>
      </c>
      <c r="U704" s="577">
        <f t="shared" si="601"/>
        <v>57820.062776172032</v>
      </c>
      <c r="V704" s="577">
        <f t="shared" si="601"/>
        <v>58754.440143002234</v>
      </c>
      <c r="W704" s="577">
        <f t="shared" si="601"/>
        <v>59688.817480808029</v>
      </c>
      <c r="X704" s="577">
        <f t="shared" si="601"/>
        <v>60623.194867614628</v>
      </c>
      <c r="Y704" s="577">
        <f t="shared" si="601"/>
        <v>61558.174668472697</v>
      </c>
      <c r="Z704" s="577">
        <f t="shared" si="601"/>
        <v>62492.552176954014</v>
      </c>
      <c r="AA704" s="577">
        <f t="shared" si="601"/>
        <v>63427.532117274575</v>
      </c>
      <c r="AB704" s="577">
        <f t="shared" si="601"/>
        <v>64361.909785678574</v>
      </c>
      <c r="AC704" s="577">
        <f t="shared" si="601"/>
        <v>65296.287551209287</v>
      </c>
      <c r="AD704" s="577">
        <f t="shared" si="601"/>
        <v>66231.267785502976</v>
      </c>
      <c r="AE704" s="577">
        <f t="shared" si="601"/>
        <v>67165.645789304515</v>
      </c>
      <c r="AF704" s="577">
        <f t="shared" si="601"/>
        <v>68100.023936346013</v>
      </c>
      <c r="AG704" s="725">
        <f t="shared" si="601"/>
        <v>69035.004604074566</v>
      </c>
      <c r="AH704" s="18"/>
      <c r="AI704" s="18"/>
      <c r="AJ704" s="18"/>
      <c r="AK704" s="18"/>
      <c r="AL704" s="18"/>
      <c r="AM704" s="18"/>
      <c r="AN704" s="18"/>
    </row>
    <row r="705" spans="2:40" ht="21.95" customHeight="1" x14ac:dyDescent="0.2">
      <c r="B705" s="705"/>
      <c r="C705" s="715"/>
      <c r="D705" s="715"/>
      <c r="E705" s="1339"/>
      <c r="F705" s="116" t="s">
        <v>337</v>
      </c>
      <c r="G705" s="116" t="s">
        <v>386</v>
      </c>
      <c r="H705" s="577">
        <f t="shared" ref="H705:AG705" si="602">H585/H646</f>
        <v>55745.454791158765</v>
      </c>
      <c r="I705" s="577">
        <f t="shared" si="602"/>
        <v>55829.072973345508</v>
      </c>
      <c r="J705" s="577">
        <f t="shared" si="602"/>
        <v>55912.691159253896</v>
      </c>
      <c r="K705" s="577">
        <f t="shared" si="602"/>
        <v>55996.309345224035</v>
      </c>
      <c r="L705" s="577">
        <f t="shared" si="602"/>
        <v>56079.927531256704</v>
      </c>
      <c r="M705" s="577">
        <f t="shared" si="602"/>
        <v>56163.54571735279</v>
      </c>
      <c r="N705" s="577">
        <f t="shared" si="602"/>
        <v>56247.163903513108</v>
      </c>
      <c r="O705" s="577">
        <f t="shared" si="602"/>
        <v>56330.782089738575</v>
      </c>
      <c r="P705" s="577">
        <f t="shared" si="602"/>
        <v>56414.400276030014</v>
      </c>
      <c r="Q705" s="577">
        <f t="shared" si="602"/>
        <v>56414.400280154914</v>
      </c>
      <c r="R705" s="577">
        <f t="shared" si="602"/>
        <v>56414.400280154914</v>
      </c>
      <c r="S705" s="577">
        <f t="shared" si="602"/>
        <v>56414.400280154914</v>
      </c>
      <c r="T705" s="577">
        <f t="shared" si="602"/>
        <v>56414.400280154914</v>
      </c>
      <c r="U705" s="577">
        <f t="shared" si="602"/>
        <v>56414.400280154914</v>
      </c>
      <c r="V705" s="577">
        <f t="shared" si="602"/>
        <v>56784.826293564707</v>
      </c>
      <c r="W705" s="577">
        <f t="shared" si="602"/>
        <v>57664.299548705552</v>
      </c>
      <c r="X705" s="577">
        <f t="shared" si="602"/>
        <v>58543.772836339202</v>
      </c>
      <c r="Y705" s="577">
        <f t="shared" si="602"/>
        <v>59423.451377851547</v>
      </c>
      <c r="Z705" s="577">
        <f t="shared" si="602"/>
        <v>60302.924685348487</v>
      </c>
      <c r="AA705" s="577">
        <f t="shared" si="602"/>
        <v>61182.603249576634</v>
      </c>
      <c r="AB705" s="577">
        <f t="shared" si="602"/>
        <v>62062.076583024282</v>
      </c>
      <c r="AC705" s="577">
        <f t="shared" si="602"/>
        <v>62941.549932199334</v>
      </c>
      <c r="AD705" s="577">
        <f t="shared" si="602"/>
        <v>63821.228543907935</v>
      </c>
      <c r="AE705" s="577">
        <f t="shared" si="602"/>
        <v>64700.701931336815</v>
      </c>
      <c r="AF705" s="577">
        <f t="shared" si="602"/>
        <v>65580.175341748982</v>
      </c>
      <c r="AG705" s="725">
        <f t="shared" si="602"/>
        <v>66459.854022820058</v>
      </c>
      <c r="AH705" s="18"/>
      <c r="AI705" s="18"/>
      <c r="AJ705" s="18"/>
      <c r="AK705" s="18"/>
      <c r="AL705" s="18"/>
      <c r="AM705" s="18"/>
      <c r="AN705" s="18"/>
    </row>
    <row r="706" spans="2:40" ht="21.95" customHeight="1" x14ac:dyDescent="0.2">
      <c r="B706" s="705"/>
      <c r="C706" s="715"/>
      <c r="D706" s="715"/>
      <c r="E706" s="1339"/>
      <c r="F706" s="116" t="s">
        <v>342</v>
      </c>
      <c r="G706" s="116" t="s">
        <v>341</v>
      </c>
      <c r="H706" s="577">
        <f t="shared" ref="H706:AG706" si="603">H586/H647</f>
        <v>80818.064981211879</v>
      </c>
      <c r="I706" s="577">
        <f t="shared" si="603"/>
        <v>80939.292078683706</v>
      </c>
      <c r="J706" s="577">
        <f t="shared" si="603"/>
        <v>81060.519183200115</v>
      </c>
      <c r="K706" s="577">
        <f t="shared" si="603"/>
        <v>81181.746287833332</v>
      </c>
      <c r="L706" s="577">
        <f t="shared" si="603"/>
        <v>81302.973392584958</v>
      </c>
      <c r="M706" s="577">
        <f t="shared" si="603"/>
        <v>81424.200497456593</v>
      </c>
      <c r="N706" s="577">
        <f t="shared" si="603"/>
        <v>81545.427602449854</v>
      </c>
      <c r="O706" s="577">
        <f t="shared" si="603"/>
        <v>81666.654707566369</v>
      </c>
      <c r="P706" s="577">
        <f t="shared" si="603"/>
        <v>81787.881812807813</v>
      </c>
      <c r="Q706" s="577">
        <f t="shared" si="603"/>
        <v>81787.881820615672</v>
      </c>
      <c r="R706" s="577">
        <f t="shared" si="603"/>
        <v>81787.881820615672</v>
      </c>
      <c r="S706" s="577">
        <f t="shared" si="603"/>
        <v>81787.881820615672</v>
      </c>
      <c r="T706" s="577">
        <f t="shared" si="603"/>
        <v>81787.881820615672</v>
      </c>
      <c r="U706" s="577">
        <f t="shared" si="603"/>
        <v>81787.881820615672</v>
      </c>
      <c r="V706" s="577">
        <f t="shared" si="603"/>
        <v>82324.91418925894</v>
      </c>
      <c r="W706" s="577">
        <f t="shared" si="603"/>
        <v>83599.947776123052</v>
      </c>
      <c r="X706" s="577">
        <f t="shared" si="603"/>
        <v>84874.981424491401</v>
      </c>
      <c r="Y706" s="577">
        <f t="shared" si="603"/>
        <v>86150.312647789135</v>
      </c>
      <c r="Z706" s="577">
        <f t="shared" si="603"/>
        <v>87425.346333755806</v>
      </c>
      <c r="AA706" s="577">
        <f t="shared" si="603"/>
        <v>88700.677600051305</v>
      </c>
      <c r="AB706" s="577">
        <f t="shared" si="603"/>
        <v>89975.711335138971</v>
      </c>
      <c r="AC706" s="577">
        <f t="shared" si="603"/>
        <v>91250.745099996333</v>
      </c>
      <c r="AD706" s="577">
        <f t="shared" si="603"/>
        <v>92526.076456165538</v>
      </c>
      <c r="AE706" s="577">
        <f t="shared" si="603"/>
        <v>93801.110293431906</v>
      </c>
      <c r="AF706" s="577">
        <f t="shared" si="603"/>
        <v>95076.144174202389</v>
      </c>
      <c r="AG706" s="725">
        <f t="shared" si="603"/>
        <v>96351.475661664779</v>
      </c>
      <c r="AH706" s="18"/>
      <c r="AI706" s="18"/>
      <c r="AJ706" s="18"/>
      <c r="AK706" s="18"/>
      <c r="AL706" s="18"/>
      <c r="AM706" s="18"/>
      <c r="AN706" s="18"/>
    </row>
    <row r="707" spans="2:40" ht="21.95" customHeight="1" x14ac:dyDescent="0.2">
      <c r="B707" s="705"/>
      <c r="C707" s="715"/>
      <c r="D707" s="715"/>
      <c r="E707" s="1339"/>
      <c r="F707" s="116" t="s">
        <v>341</v>
      </c>
      <c r="G707" s="116" t="s">
        <v>344</v>
      </c>
      <c r="H707" s="577">
        <f t="shared" ref="H707:AG707" si="604">H587/H648</f>
        <v>83479.418264654334</v>
      </c>
      <c r="I707" s="577">
        <f t="shared" si="604"/>
        <v>83604.6373920513</v>
      </c>
      <c r="J707" s="577">
        <f t="shared" si="604"/>
        <v>83729.856549070289</v>
      </c>
      <c r="K707" s="577">
        <f t="shared" si="604"/>
        <v>83855.075706580537</v>
      </c>
      <c r="L707" s="577">
        <f t="shared" si="604"/>
        <v>83980.294864588606</v>
      </c>
      <c r="M707" s="577">
        <f t="shared" si="604"/>
        <v>84105.514023101277</v>
      </c>
      <c r="N707" s="577">
        <f t="shared" si="604"/>
        <v>84230.733182125361</v>
      </c>
      <c r="O707" s="577">
        <f t="shared" si="604"/>
        <v>84355.952341667813</v>
      </c>
      <c r="P707" s="577">
        <f t="shared" si="604"/>
        <v>84481.17150173556</v>
      </c>
      <c r="Q707" s="577">
        <f t="shared" si="604"/>
        <v>84481.171534567038</v>
      </c>
      <c r="R707" s="577">
        <f t="shared" si="604"/>
        <v>84481.171534567038</v>
      </c>
      <c r="S707" s="577">
        <f t="shared" si="604"/>
        <v>84481.171534567038</v>
      </c>
      <c r="T707" s="577">
        <f t="shared" si="604"/>
        <v>84481.171534567038</v>
      </c>
      <c r="U707" s="577">
        <f t="shared" si="604"/>
        <v>84481.171534567038</v>
      </c>
      <c r="V707" s="577">
        <f t="shared" si="604"/>
        <v>84481.171534567038</v>
      </c>
      <c r="W707" s="577">
        <f t="shared" si="604"/>
        <v>84481.171534567038</v>
      </c>
      <c r="X707" s="577">
        <f t="shared" si="604"/>
        <v>84481.171534567038</v>
      </c>
      <c r="Y707" s="577">
        <f t="shared" si="604"/>
        <v>84481.171534567038</v>
      </c>
      <c r="Z707" s="577">
        <f t="shared" si="604"/>
        <v>85580.669965702866</v>
      </c>
      <c r="AA707" s="577">
        <f t="shared" si="604"/>
        <v>86829.09188607159</v>
      </c>
      <c r="AB707" s="577">
        <f t="shared" si="604"/>
        <v>88077.22262795725</v>
      </c>
      <c r="AC707" s="577">
        <f t="shared" si="604"/>
        <v>89325.353439165483</v>
      </c>
      <c r="AD707" s="577">
        <f t="shared" si="604"/>
        <v>90573.775608244512</v>
      </c>
      <c r="AE707" s="577">
        <f t="shared" si="604"/>
        <v>91821.906588066311</v>
      </c>
      <c r="AF707" s="577">
        <f t="shared" si="604"/>
        <v>93070.03766919284</v>
      </c>
      <c r="AG707" s="725">
        <f t="shared" si="604"/>
        <v>94318.460144004726</v>
      </c>
      <c r="AH707" s="18"/>
      <c r="AI707" s="18"/>
      <c r="AJ707" s="18"/>
      <c r="AK707" s="18"/>
      <c r="AL707" s="18"/>
      <c r="AM707" s="18"/>
      <c r="AN707" s="18"/>
    </row>
    <row r="708" spans="2:40" ht="21.95" customHeight="1" x14ac:dyDescent="0.2">
      <c r="B708" s="705"/>
      <c r="C708" s="715"/>
      <c r="D708" s="715"/>
      <c r="E708" s="1339"/>
      <c r="F708" s="116" t="s">
        <v>344</v>
      </c>
      <c r="G708" s="116" t="s">
        <v>345</v>
      </c>
      <c r="H708" s="577">
        <f t="shared" ref="H708:AG708" si="605">H588/H649</f>
        <v>28168.198122414615</v>
      </c>
      <c r="I708" s="577">
        <f t="shared" si="605"/>
        <v>28210.450419598237</v>
      </c>
      <c r="J708" s="577">
        <f t="shared" si="605"/>
        <v>28252.70272045584</v>
      </c>
      <c r="K708" s="577">
        <f t="shared" si="605"/>
        <v>28294.955021374379</v>
      </c>
      <c r="L708" s="577">
        <f t="shared" si="605"/>
        <v>28337.207322354661</v>
      </c>
      <c r="M708" s="577">
        <f t="shared" si="605"/>
        <v>28379.459623397528</v>
      </c>
      <c r="N708" s="577">
        <f t="shared" si="605"/>
        <v>28421.711924503816</v>
      </c>
      <c r="O708" s="577">
        <f t="shared" si="605"/>
        <v>28463.964225674408</v>
      </c>
      <c r="P708" s="577">
        <f t="shared" si="605"/>
        <v>28506.216526910146</v>
      </c>
      <c r="Q708" s="577">
        <f t="shared" si="605"/>
        <v>28506.216530982201</v>
      </c>
      <c r="R708" s="577">
        <f t="shared" si="605"/>
        <v>28506.216530982201</v>
      </c>
      <c r="S708" s="577">
        <f t="shared" si="605"/>
        <v>28506.216530982201</v>
      </c>
      <c r="T708" s="577">
        <f t="shared" si="605"/>
        <v>28506.216530982201</v>
      </c>
      <c r="U708" s="577">
        <f t="shared" si="605"/>
        <v>28506.216530982201</v>
      </c>
      <c r="V708" s="577">
        <f t="shared" si="605"/>
        <v>28506.216530982201</v>
      </c>
      <c r="W708" s="577">
        <f t="shared" si="605"/>
        <v>28506.216530982201</v>
      </c>
      <c r="X708" s="577">
        <f t="shared" si="605"/>
        <v>28506.216530982201</v>
      </c>
      <c r="Y708" s="577">
        <f t="shared" si="605"/>
        <v>28506.216530982201</v>
      </c>
      <c r="Z708" s="577">
        <f t="shared" si="605"/>
        <v>28877.216835359002</v>
      </c>
      <c r="AA708" s="577">
        <f t="shared" si="605"/>
        <v>29298.467857737058</v>
      </c>
      <c r="AB708" s="577">
        <f t="shared" si="605"/>
        <v>29719.620607232904</v>
      </c>
      <c r="AC708" s="577">
        <f t="shared" si="605"/>
        <v>30140.773365326753</v>
      </c>
      <c r="AD708" s="577">
        <f t="shared" si="605"/>
        <v>30562.024418552064</v>
      </c>
      <c r="AE708" s="577">
        <f t="shared" si="605"/>
        <v>30983.177197558849</v>
      </c>
      <c r="AF708" s="577">
        <f t="shared" si="605"/>
        <v>31404.329989130361</v>
      </c>
      <c r="AG708" s="725">
        <f t="shared" si="605"/>
        <v>31825.581080275362</v>
      </c>
      <c r="AH708" s="18"/>
      <c r="AI708" s="18"/>
      <c r="AJ708" s="18"/>
      <c r="AK708" s="18"/>
      <c r="AL708" s="18"/>
      <c r="AM708" s="18"/>
      <c r="AN708" s="18"/>
    </row>
    <row r="709" spans="2:40" ht="21.95" customHeight="1" x14ac:dyDescent="0.2">
      <c r="B709" s="705"/>
      <c r="C709" s="715"/>
      <c r="D709" s="715"/>
      <c r="E709" s="1339"/>
      <c r="F709" s="116" t="s">
        <v>345</v>
      </c>
      <c r="G709" s="116" t="s">
        <v>323</v>
      </c>
      <c r="H709" s="577">
        <f t="shared" ref="H709:AG709" si="606">H589/H650</f>
        <v>278291.63733562781</v>
      </c>
      <c r="I709" s="577">
        <f t="shared" si="606"/>
        <v>284679.92126053764</v>
      </c>
      <c r="J709" s="577">
        <f t="shared" si="606"/>
        <v>294024.06047838624</v>
      </c>
      <c r="K709" s="577">
        <f t="shared" si="606"/>
        <v>305230.26945756306</v>
      </c>
      <c r="L709" s="577">
        <f t="shared" si="606"/>
        <v>316439.46091946634</v>
      </c>
      <c r="M709" s="577">
        <f t="shared" si="606"/>
        <v>327649.64714215783</v>
      </c>
      <c r="N709" s="577">
        <f t="shared" si="606"/>
        <v>338855.85896051617</v>
      </c>
      <c r="O709" s="577">
        <f t="shared" si="606"/>
        <v>350068.03579516441</v>
      </c>
      <c r="P709" s="577">
        <f t="shared" si="606"/>
        <v>359713.8303703742</v>
      </c>
      <c r="Q709" s="577">
        <f t="shared" si="606"/>
        <v>369359.12930230657</v>
      </c>
      <c r="R709" s="577">
        <f t="shared" si="606"/>
        <v>379004.92794854834</v>
      </c>
      <c r="S709" s="577">
        <f t="shared" si="606"/>
        <v>388650.73010173097</v>
      </c>
      <c r="T709" s="577">
        <f t="shared" si="606"/>
        <v>398302.50006721012</v>
      </c>
      <c r="U709" s="577">
        <f t="shared" si="606"/>
        <v>406083.26079693792</v>
      </c>
      <c r="V709" s="577">
        <f t="shared" si="606"/>
        <v>412471.56945217802</v>
      </c>
      <c r="W709" s="577">
        <f t="shared" si="606"/>
        <v>418859.87789359072</v>
      </c>
      <c r="X709" s="577">
        <f t="shared" si="606"/>
        <v>425248.19044281612</v>
      </c>
      <c r="Y709" s="577">
        <f t="shared" si="606"/>
        <v>431637.99855692306</v>
      </c>
      <c r="Z709" s="577">
        <f t="shared" si="606"/>
        <v>438026.32123435877</v>
      </c>
      <c r="AA709" s="577">
        <f t="shared" si="606"/>
        <v>444416.14093117579</v>
      </c>
      <c r="AB709" s="577">
        <f t="shared" si="606"/>
        <v>450804.47684077267</v>
      </c>
      <c r="AC709" s="577">
        <f t="shared" si="606"/>
        <v>457192.82076971012</v>
      </c>
      <c r="AD709" s="577">
        <f t="shared" si="606"/>
        <v>463582.66467661143</v>
      </c>
      <c r="AE709" s="577">
        <f t="shared" si="606"/>
        <v>469971.02811102703</v>
      </c>
      <c r="AF709" s="577">
        <f t="shared" si="606"/>
        <v>476359.40326453181</v>
      </c>
      <c r="AG709" s="725">
        <f t="shared" si="606"/>
        <v>482749.28253908321</v>
      </c>
      <c r="AH709" s="18"/>
      <c r="AI709" s="18"/>
      <c r="AJ709" s="18"/>
      <c r="AK709" s="18"/>
      <c r="AL709" s="18"/>
      <c r="AM709" s="18"/>
      <c r="AN709" s="18"/>
    </row>
    <row r="710" spans="2:40" ht="21.95" customHeight="1" x14ac:dyDescent="0.2">
      <c r="B710" s="705"/>
      <c r="C710" s="715"/>
      <c r="D710" s="715"/>
      <c r="E710" s="1339"/>
      <c r="F710" s="116" t="s">
        <v>323</v>
      </c>
      <c r="G710" s="116" t="s">
        <v>347</v>
      </c>
      <c r="H710" s="577">
        <f t="shared" ref="H710:AG710" si="607">H590/H651</f>
        <v>49694.935238504971</v>
      </c>
      <c r="I710" s="577">
        <f t="shared" si="607"/>
        <v>50793.015825364368</v>
      </c>
      <c r="J710" s="577">
        <f t="shared" si="607"/>
        <v>52418.838969417615</v>
      </c>
      <c r="K710" s="577">
        <f t="shared" si="607"/>
        <v>54482.155118641254</v>
      </c>
      <c r="L710" s="577">
        <f t="shared" si="607"/>
        <v>56546.092609325853</v>
      </c>
      <c r="M710" s="577">
        <f t="shared" si="607"/>
        <v>58609.906025953664</v>
      </c>
      <c r="N710" s="577">
        <f t="shared" si="607"/>
        <v>60673.222720841695</v>
      </c>
      <c r="O710" s="577">
        <f t="shared" si="607"/>
        <v>62737.657865371562</v>
      </c>
      <c r="P710" s="577">
        <f t="shared" si="607"/>
        <v>64572.11236193373</v>
      </c>
      <c r="Q710" s="577">
        <f t="shared" si="607"/>
        <v>66406.744665204184</v>
      </c>
      <c r="R710" s="577">
        <f t="shared" si="607"/>
        <v>68241.200075057728</v>
      </c>
      <c r="S710" s="577">
        <f t="shared" si="607"/>
        <v>70075.656241023986</v>
      </c>
      <c r="T710" s="577">
        <f t="shared" si="607"/>
        <v>71910.965286044258</v>
      </c>
      <c r="U710" s="577">
        <f t="shared" si="607"/>
        <v>73307.43365900591</v>
      </c>
      <c r="V710" s="577">
        <f t="shared" si="607"/>
        <v>74405.51918041821</v>
      </c>
      <c r="W710" s="577">
        <f t="shared" si="607"/>
        <v>75503.604445200166</v>
      </c>
      <c r="X710" s="577">
        <f t="shared" si="607"/>
        <v>76601.690453990115</v>
      </c>
      <c r="Y710" s="577">
        <f t="shared" si="607"/>
        <v>77699.954793476878</v>
      </c>
      <c r="Z710" s="577">
        <f t="shared" si="607"/>
        <v>78798.04261837696</v>
      </c>
      <c r="AA710" s="577">
        <f t="shared" si="607"/>
        <v>79896.309022447575</v>
      </c>
      <c r="AB710" s="577">
        <f t="shared" si="607"/>
        <v>80994.399191723001</v>
      </c>
      <c r="AC710" s="577">
        <f t="shared" si="607"/>
        <v>82092.490770397111</v>
      </c>
      <c r="AD710" s="577">
        <f t="shared" si="607"/>
        <v>83190.761426006618</v>
      </c>
      <c r="AE710" s="577">
        <f t="shared" si="607"/>
        <v>84288.856401802928</v>
      </c>
      <c r="AF710" s="577">
        <f t="shared" si="607"/>
        <v>85386.95340397273</v>
      </c>
      <c r="AG710" s="725">
        <f t="shared" si="607"/>
        <v>86485.230170399023</v>
      </c>
      <c r="AH710" s="18"/>
      <c r="AI710" s="18"/>
      <c r="AJ710" s="18"/>
      <c r="AK710" s="18"/>
      <c r="AL710" s="18"/>
      <c r="AM710" s="18"/>
      <c r="AN710" s="18"/>
    </row>
    <row r="711" spans="2:40" ht="21.95" customHeight="1" x14ac:dyDescent="0.2">
      <c r="B711" s="705"/>
      <c r="C711" s="715"/>
      <c r="D711" s="715"/>
      <c r="E711" s="1339"/>
      <c r="F711" s="116" t="s">
        <v>347</v>
      </c>
      <c r="G711" s="116" t="s">
        <v>348</v>
      </c>
      <c r="H711" s="577">
        <f t="shared" ref="H711:AG711" si="608">H591/H652</f>
        <v>40672.48777113924</v>
      </c>
      <c r="I711" s="577">
        <f t="shared" si="608"/>
        <v>41571.204491996519</v>
      </c>
      <c r="J711" s="577">
        <f t="shared" si="608"/>
        <v>42901.848626008745</v>
      </c>
      <c r="K711" s="577">
        <f t="shared" si="608"/>
        <v>44590.556030215914</v>
      </c>
      <c r="L711" s="577">
        <f t="shared" si="608"/>
        <v>46279.772038093513</v>
      </c>
      <c r="M711" s="577">
        <f t="shared" si="608"/>
        <v>47968.886573189578</v>
      </c>
      <c r="N711" s="577">
        <f t="shared" si="608"/>
        <v>49657.59467396835</v>
      </c>
      <c r="O711" s="577">
        <f t="shared" si="608"/>
        <v>51347.218306048875</v>
      </c>
      <c r="P711" s="577">
        <f t="shared" si="608"/>
        <v>52848.616002348557</v>
      </c>
      <c r="Q711" s="577">
        <f t="shared" si="608"/>
        <v>54350.159372154609</v>
      </c>
      <c r="R711" s="577">
        <f t="shared" si="608"/>
        <v>55851.558234322642</v>
      </c>
      <c r="S711" s="577">
        <f t="shared" si="608"/>
        <v>57352.958061711543</v>
      </c>
      <c r="T711" s="577">
        <f t="shared" si="608"/>
        <v>58855.056364746742</v>
      </c>
      <c r="U711" s="577">
        <f t="shared" si="608"/>
        <v>59997.988956363799</v>
      </c>
      <c r="V711" s="577">
        <f t="shared" si="608"/>
        <v>60896.711976458377</v>
      </c>
      <c r="W711" s="577">
        <f t="shared" si="608"/>
        <v>61795.434668949732</v>
      </c>
      <c r="X711" s="577">
        <f t="shared" si="608"/>
        <v>62694.158311209547</v>
      </c>
      <c r="Y711" s="577">
        <f t="shared" si="608"/>
        <v>63593.028295876924</v>
      </c>
      <c r="Z711" s="577">
        <f t="shared" si="608"/>
        <v>64491.754256504581</v>
      </c>
      <c r="AA711" s="577">
        <f t="shared" si="608"/>
        <v>65390.626876730566</v>
      </c>
      <c r="AB711" s="577">
        <f t="shared" si="608"/>
        <v>66289.355830086613</v>
      </c>
      <c r="AC711" s="577">
        <f t="shared" si="608"/>
        <v>67188.086582620221</v>
      </c>
      <c r="AD711" s="577">
        <f t="shared" si="608"/>
        <v>68086.964630177274</v>
      </c>
      <c r="AE711" s="577">
        <f t="shared" si="608"/>
        <v>68985.699719330471</v>
      </c>
      <c r="AF711" s="577">
        <f t="shared" si="608"/>
        <v>69884.437395264598</v>
      </c>
      <c r="AG711" s="725">
        <f t="shared" si="608"/>
        <v>70783.32324362667</v>
      </c>
      <c r="AH711" s="18"/>
      <c r="AI711" s="18"/>
      <c r="AJ711" s="18"/>
      <c r="AK711" s="18"/>
      <c r="AL711" s="18"/>
      <c r="AM711" s="18"/>
      <c r="AN711" s="18"/>
    </row>
    <row r="712" spans="2:40" ht="21.95" customHeight="1" x14ac:dyDescent="0.2">
      <c r="B712" s="705"/>
      <c r="C712" s="715"/>
      <c r="D712" s="715"/>
      <c r="E712" s="1353"/>
      <c r="F712" s="254" t="s">
        <v>348</v>
      </c>
      <c r="G712" s="254" t="s">
        <v>349</v>
      </c>
      <c r="H712" s="577">
        <f t="shared" ref="H712:AG712" si="609">H592/H653</f>
        <v>66404.063777751493</v>
      </c>
      <c r="I712" s="577">
        <f t="shared" si="609"/>
        <v>67990.187094892884</v>
      </c>
      <c r="J712" s="577">
        <f t="shared" si="609"/>
        <v>70193.453985804037</v>
      </c>
      <c r="K712" s="577">
        <f t="shared" si="609"/>
        <v>73119.592092351144</v>
      </c>
      <c r="L712" s="577">
        <f t="shared" si="609"/>
        <v>76046.561691642055</v>
      </c>
      <c r="M712" s="577">
        <f t="shared" si="609"/>
        <v>78973.740323112943</v>
      </c>
      <c r="N712" s="577">
        <f t="shared" si="609"/>
        <v>81899.88354954547</v>
      </c>
      <c r="O712" s="577">
        <f t="shared" si="609"/>
        <v>84827.689900970552</v>
      </c>
      <c r="P712" s="577">
        <f t="shared" si="609"/>
        <v>87622.069724644345</v>
      </c>
      <c r="Q712" s="577">
        <f t="shared" si="609"/>
        <v>90416.558039537194</v>
      </c>
      <c r="R712" s="577">
        <f t="shared" si="609"/>
        <v>93210.949583550813</v>
      </c>
      <c r="S712" s="577">
        <f t="shared" si="609"/>
        <v>96005.35038113175</v>
      </c>
      <c r="T712" s="577">
        <f t="shared" si="609"/>
        <v>98801.423440666826</v>
      </c>
      <c r="U712" s="577">
        <f t="shared" si="609"/>
        <v>100872.15011269046</v>
      </c>
      <c r="V712" s="577">
        <f t="shared" si="609"/>
        <v>102458.33115690306</v>
      </c>
      <c r="W712" s="577">
        <f t="shared" si="609"/>
        <v>104044.50845541745</v>
      </c>
      <c r="X712" s="577">
        <f t="shared" si="609"/>
        <v>105630.69478852728</v>
      </c>
      <c r="Y712" s="577">
        <f t="shared" si="609"/>
        <v>107217.20276381903</v>
      </c>
      <c r="Z712" s="577">
        <f t="shared" si="609"/>
        <v>108803.41136733748</v>
      </c>
      <c r="AA712" s="577">
        <f t="shared" si="609"/>
        <v>110389.94481269807</v>
      </c>
      <c r="AB712" s="577">
        <f t="shared" si="609"/>
        <v>111976.18251073435</v>
      </c>
      <c r="AC712" s="577">
        <f t="shared" si="609"/>
        <v>113562.43784445312</v>
      </c>
      <c r="AD712" s="577">
        <f t="shared" si="609"/>
        <v>115149.02451950277</v>
      </c>
      <c r="AE712" s="577">
        <f t="shared" si="609"/>
        <v>116735.32272994565</v>
      </c>
      <c r="AF712" s="577">
        <f t="shared" si="609"/>
        <v>118321.64670842813</v>
      </c>
      <c r="AG712" s="725">
        <f t="shared" si="609"/>
        <v>119908.31113225204</v>
      </c>
      <c r="AH712" s="18"/>
      <c r="AI712" s="18"/>
      <c r="AJ712" s="18"/>
      <c r="AK712" s="18"/>
      <c r="AL712" s="18"/>
      <c r="AM712" s="18"/>
      <c r="AN712" s="18"/>
    </row>
    <row r="713" spans="2:40" ht="21.95" customHeight="1" x14ac:dyDescent="0.2">
      <c r="B713" s="705"/>
      <c r="C713" s="715"/>
      <c r="D713" s="715"/>
      <c r="E713" s="116" t="s">
        <v>288</v>
      </c>
      <c r="F713" s="116" t="s">
        <v>323</v>
      </c>
      <c r="G713" s="116" t="s">
        <v>348</v>
      </c>
      <c r="H713" s="593">
        <f t="shared" ref="H713:AG713" si="610">H593/H654</f>
        <v>16474.029850746268</v>
      </c>
      <c r="I713" s="593">
        <f t="shared" si="610"/>
        <v>17486.999641791048</v>
      </c>
      <c r="J713" s="593">
        <f t="shared" si="610"/>
        <v>18827.52805970149</v>
      </c>
      <c r="K713" s="593">
        <f t="shared" si="610"/>
        <v>20609.011343283579</v>
      </c>
      <c r="L713" s="593">
        <f t="shared" si="610"/>
        <v>22391.043761194029</v>
      </c>
      <c r="M713" s="593">
        <f t="shared" si="610"/>
        <v>24176.920119402988</v>
      </c>
      <c r="N713" s="593">
        <f t="shared" si="610"/>
        <v>25958.40340298507</v>
      </c>
      <c r="O713" s="593">
        <f t="shared" si="610"/>
        <v>27741.80865671641</v>
      </c>
      <c r="P713" s="593">
        <f t="shared" si="610"/>
        <v>29367.97844776119</v>
      </c>
      <c r="Q713" s="593">
        <f t="shared" si="610"/>
        <v>30992.77540298508</v>
      </c>
      <c r="R713" s="593">
        <f t="shared" si="610"/>
        <v>32619.036716417912</v>
      </c>
      <c r="S713" s="593">
        <f t="shared" si="610"/>
        <v>34245.206507462688</v>
      </c>
      <c r="T713" s="593">
        <f t="shared" si="610"/>
        <v>35877.142208955236</v>
      </c>
      <c r="U713" s="593">
        <f t="shared" si="610"/>
        <v>37061.07582089553</v>
      </c>
      <c r="V713" s="593">
        <f t="shared" si="610"/>
        <v>38074.04561194031</v>
      </c>
      <c r="W713" s="593">
        <f t="shared" si="610"/>
        <v>39087.015402985082</v>
      </c>
      <c r="X713" s="593">
        <f t="shared" si="610"/>
        <v>40099.985194029876</v>
      </c>
      <c r="Y713" s="593">
        <f t="shared" si="610"/>
        <v>41114.053253731377</v>
      </c>
      <c r="Z713" s="593">
        <f t="shared" si="610"/>
        <v>42127.023044776157</v>
      </c>
      <c r="AA713" s="593">
        <f t="shared" si="610"/>
        <v>43142.46394029857</v>
      </c>
      <c r="AB713" s="593">
        <f t="shared" si="610"/>
        <v>44155.433731343357</v>
      </c>
      <c r="AC713" s="593">
        <f t="shared" si="610"/>
        <v>45168.403522388166</v>
      </c>
      <c r="AD713" s="593">
        <f t="shared" si="610"/>
        <v>46182.471582089674</v>
      </c>
      <c r="AE713" s="593">
        <f t="shared" si="610"/>
        <v>47195.441373134498</v>
      </c>
      <c r="AF713" s="593">
        <f t="shared" si="610"/>
        <v>48208.411164179313</v>
      </c>
      <c r="AG713" s="730">
        <f t="shared" si="610"/>
        <v>49223.852059701756</v>
      </c>
      <c r="AH713" s="18"/>
      <c r="AI713" s="18"/>
      <c r="AJ713" s="18"/>
      <c r="AK713" s="18"/>
      <c r="AL713" s="18"/>
      <c r="AM713" s="18"/>
      <c r="AN713" s="18"/>
    </row>
    <row r="714" spans="2:40" ht="21.95" customHeight="1" x14ac:dyDescent="0.2">
      <c r="B714" s="705"/>
      <c r="C714" s="715"/>
      <c r="D714" s="715"/>
      <c r="E714" s="277" t="s">
        <v>340</v>
      </c>
      <c r="F714" s="277" t="s">
        <v>335</v>
      </c>
      <c r="G714" s="277" t="s">
        <v>323</v>
      </c>
      <c r="H714" s="577">
        <f>H594/H655</f>
        <v>0</v>
      </c>
      <c r="I714" s="577">
        <f t="shared" ref="I714:AG714" si="611">I594/I655</f>
        <v>17140.497982222223</v>
      </c>
      <c r="J714" s="577">
        <f t="shared" si="611"/>
        <v>18454.464077808276</v>
      </c>
      <c r="K714" s="577">
        <f t="shared" si="611"/>
        <v>20200.647600069868</v>
      </c>
      <c r="L714" s="577">
        <f t="shared" si="611"/>
        <v>21947.369375743034</v>
      </c>
      <c r="M714" s="577">
        <f t="shared" si="611"/>
        <v>23697.858924908382</v>
      </c>
      <c r="N714" s="577">
        <f t="shared" si="611"/>
        <v>25444.04244773967</v>
      </c>
      <c r="O714" s="577">
        <f t="shared" si="611"/>
        <v>27192.109857890249</v>
      </c>
      <c r="P714" s="577">
        <f t="shared" si="611"/>
        <v>28786.057398136625</v>
      </c>
      <c r="Q714" s="577">
        <f t="shared" si="611"/>
        <v>30378.659306738013</v>
      </c>
      <c r="R714" s="577">
        <f t="shared" si="611"/>
        <v>31972.696560602679</v>
      </c>
      <c r="S714" s="577">
        <f t="shared" si="611"/>
        <v>33566.644110511981</v>
      </c>
      <c r="T714" s="577">
        <f t="shared" si="611"/>
        <v>35166.243328209661</v>
      </c>
      <c r="U714" s="577">
        <f t="shared" si="611"/>
        <v>36326.717545992513</v>
      </c>
      <c r="V714" s="577">
        <f t="shared" si="611"/>
        <v>37319.615561641731</v>
      </c>
      <c r="W714" s="577">
        <f t="shared" si="611"/>
        <v>38312.513582690794</v>
      </c>
      <c r="X714" s="577">
        <f t="shared" si="611"/>
        <v>39305.411615536323</v>
      </c>
      <c r="Y714" s="577">
        <f t="shared" si="611"/>
        <v>40299.386169985293</v>
      </c>
      <c r="Z714" s="577">
        <f t="shared" si="611"/>
        <v>41292.284236638458</v>
      </c>
      <c r="AA714" s="577">
        <f t="shared" si="611"/>
        <v>42287.604466744087</v>
      </c>
      <c r="AB714" s="577">
        <f t="shared" si="611"/>
        <v>43280.502586408096</v>
      </c>
      <c r="AC714" s="577">
        <f t="shared" si="611"/>
        <v>44273.400742004931</v>
      </c>
      <c r="AD714" s="577">
        <f t="shared" si="611"/>
        <v>45267.375448878294</v>
      </c>
      <c r="AE714" s="577">
        <f t="shared" si="611"/>
        <v>46260.27370402083</v>
      </c>
      <c r="AF714" s="577">
        <f t="shared" si="611"/>
        <v>47253.172025629814</v>
      </c>
      <c r="AG714" s="725">
        <f t="shared" si="611"/>
        <v>48248.492568391543</v>
      </c>
      <c r="AH714" s="18"/>
      <c r="AI714" s="18"/>
      <c r="AJ714" s="18"/>
      <c r="AK714" s="18"/>
      <c r="AL714" s="18"/>
      <c r="AM714" s="18"/>
      <c r="AN714" s="18"/>
    </row>
    <row r="715" spans="2:40" ht="21.95" customHeight="1" x14ac:dyDescent="0.2">
      <c r="B715" s="705"/>
      <c r="C715" s="715"/>
      <c r="D715" s="715"/>
      <c r="E715" s="277" t="s">
        <v>357</v>
      </c>
      <c r="F715" s="277" t="s">
        <v>338</v>
      </c>
      <c r="G715" s="277" t="s">
        <v>323</v>
      </c>
      <c r="H715" s="593">
        <f>H595/H656</f>
        <v>25667.374204594336</v>
      </c>
      <c r="I715" s="593">
        <f t="shared" ref="I715:AG715" si="612">I595/I656</f>
        <v>26019.801512075748</v>
      </c>
      <c r="J715" s="593">
        <f t="shared" si="612"/>
        <v>26628.97386349002</v>
      </c>
      <c r="K715" s="593">
        <f t="shared" si="612"/>
        <v>27465.302480740891</v>
      </c>
      <c r="L715" s="593">
        <f t="shared" si="612"/>
        <v>28301.987595700171</v>
      </c>
      <c r="M715" s="593">
        <f t="shared" si="612"/>
        <v>29139.884786413451</v>
      </c>
      <c r="N715" s="593">
        <f t="shared" si="612"/>
        <v>29976.213422343742</v>
      </c>
      <c r="O715" s="593">
        <f t="shared" si="612"/>
        <v>30815.465295973059</v>
      </c>
      <c r="P715" s="593">
        <f t="shared" si="612"/>
        <v>31397.473051993442</v>
      </c>
      <c r="Q715" s="593">
        <f t="shared" si="612"/>
        <v>31979.552101318441</v>
      </c>
      <c r="R715" s="593">
        <f t="shared" si="612"/>
        <v>32561.702457349693</v>
      </c>
      <c r="S715" s="593">
        <f t="shared" si="612"/>
        <v>33143.710226817464</v>
      </c>
      <c r="T715" s="593">
        <f t="shared" si="612"/>
        <v>33729.85330719778</v>
      </c>
      <c r="U715" s="593">
        <f t="shared" si="612"/>
        <v>34082.280697006703</v>
      </c>
      <c r="V715" s="593">
        <f t="shared" si="612"/>
        <v>34434.708063178572</v>
      </c>
      <c r="W715" s="593">
        <f t="shared" si="612"/>
        <v>34787.135435773191</v>
      </c>
      <c r="X715" s="593">
        <f t="shared" si="612"/>
        <v>35139.562815412894</v>
      </c>
      <c r="Y715" s="593">
        <f t="shared" si="612"/>
        <v>35494.414343720222</v>
      </c>
      <c r="Z715" s="593">
        <f t="shared" si="612"/>
        <v>35846.84174012197</v>
      </c>
      <c r="AA715" s="593">
        <f t="shared" si="612"/>
        <v>36200.623812254176</v>
      </c>
      <c r="AB715" s="593">
        <f t="shared" si="612"/>
        <v>36553.051227892087</v>
      </c>
      <c r="AC715" s="593">
        <f t="shared" si="612"/>
        <v>36905.478654215018</v>
      </c>
      <c r="AD715" s="593">
        <f t="shared" si="612"/>
        <v>37260.330233568253</v>
      </c>
      <c r="AE715" s="593">
        <f t="shared" si="612"/>
        <v>37612.757686033059</v>
      </c>
      <c r="AF715" s="593">
        <f t="shared" si="612"/>
        <v>37965.185151952544</v>
      </c>
      <c r="AG715" s="730">
        <f t="shared" si="612"/>
        <v>38318.967300486678</v>
      </c>
      <c r="AH715" s="18"/>
      <c r="AI715" s="18"/>
      <c r="AJ715" s="18"/>
      <c r="AK715" s="18"/>
      <c r="AL715" s="18"/>
      <c r="AM715" s="18"/>
      <c r="AN715" s="18"/>
    </row>
    <row r="716" spans="2:40" ht="21.95" customHeight="1" x14ac:dyDescent="0.2">
      <c r="B716" s="705"/>
      <c r="C716" s="715"/>
      <c r="D716" s="715"/>
      <c r="E716" s="116" t="s">
        <v>338</v>
      </c>
      <c r="F716" s="116" t="s">
        <v>282</v>
      </c>
      <c r="G716" s="116" t="s">
        <v>357</v>
      </c>
      <c r="H716" s="577">
        <f t="shared" ref="H716:AG716" si="613">H596/H657</f>
        <v>52604.163278649205</v>
      </c>
      <c r="I716" s="577">
        <f t="shared" si="613"/>
        <v>54120.583493482831</v>
      </c>
      <c r="J716" s="577">
        <f t="shared" si="613"/>
        <v>55761.938596126689</v>
      </c>
      <c r="K716" s="577">
        <f t="shared" si="613"/>
        <v>57939.48793508159</v>
      </c>
      <c r="L716" s="577">
        <f t="shared" si="613"/>
        <v>60117.405503210735</v>
      </c>
      <c r="M716" s="577">
        <f t="shared" si="613"/>
        <v>62296.217342147131</v>
      </c>
      <c r="N716" s="577">
        <f t="shared" si="613"/>
        <v>64473.766681208719</v>
      </c>
      <c r="O716" s="577">
        <f t="shared" si="613"/>
        <v>66651.894666126493</v>
      </c>
      <c r="P716" s="577">
        <f t="shared" si="613"/>
        <v>69048.645553715076</v>
      </c>
      <c r="Q716" s="577">
        <f t="shared" si="613"/>
        <v>71444.607379010456</v>
      </c>
      <c r="R716" s="577">
        <f t="shared" si="613"/>
        <v>73841.358266938943</v>
      </c>
      <c r="S716" s="577">
        <f t="shared" si="613"/>
        <v>76238.109155117621</v>
      </c>
      <c r="T716" s="577">
        <f t="shared" si="613"/>
        <v>78636.227751877595</v>
      </c>
      <c r="U716" s="577">
        <f t="shared" si="613"/>
        <v>80496.573987850687</v>
      </c>
      <c r="V716" s="577">
        <f t="shared" si="613"/>
        <v>82012.994204330942</v>
      </c>
      <c r="W716" s="577">
        <f t="shared" si="613"/>
        <v>83529.414420843255</v>
      </c>
      <c r="X716" s="577">
        <f t="shared" si="613"/>
        <v>85045.834637696127</v>
      </c>
      <c r="Y716" s="577">
        <f t="shared" si="613"/>
        <v>86562.097042460693</v>
      </c>
      <c r="Z716" s="577">
        <f t="shared" si="613"/>
        <v>88078.517260186811</v>
      </c>
      <c r="AA716" s="577">
        <f t="shared" si="613"/>
        <v>89594.779665976457</v>
      </c>
      <c r="AB716" s="577">
        <f t="shared" si="613"/>
        <v>91111.199884902177</v>
      </c>
      <c r="AC716" s="577">
        <f t="shared" si="613"/>
        <v>92627.620104581802</v>
      </c>
      <c r="AD716" s="577">
        <f t="shared" si="613"/>
        <v>94143.882512647935</v>
      </c>
      <c r="AE716" s="577">
        <f t="shared" si="613"/>
        <v>95660.302734219586</v>
      </c>
      <c r="AF716" s="577">
        <f t="shared" si="613"/>
        <v>97176.722956967875</v>
      </c>
      <c r="AG716" s="725">
        <f t="shared" si="613"/>
        <v>98692.985368583788</v>
      </c>
      <c r="AH716" s="18"/>
      <c r="AI716" s="18"/>
      <c r="AJ716" s="18"/>
      <c r="AK716" s="18"/>
      <c r="AL716" s="18"/>
      <c r="AM716" s="18"/>
      <c r="AN716" s="18"/>
    </row>
    <row r="717" spans="2:40" ht="21.95" customHeight="1" x14ac:dyDescent="0.2">
      <c r="B717" s="705"/>
      <c r="C717" s="715"/>
      <c r="D717" s="715"/>
      <c r="E717" s="116"/>
      <c r="F717" s="116" t="s">
        <v>357</v>
      </c>
      <c r="G717" s="116" t="s">
        <v>346</v>
      </c>
      <c r="H717" s="577">
        <f t="shared" ref="H717:AG717" si="614">H597/H658</f>
        <v>7661.0941616529308</v>
      </c>
      <c r="I717" s="577">
        <f t="shared" si="614"/>
        <v>7878.5281104251053</v>
      </c>
      <c r="J717" s="577">
        <f t="shared" si="614"/>
        <v>8119.8223353562244</v>
      </c>
      <c r="K717" s="577">
        <f t="shared" si="614"/>
        <v>8458.5031796239473</v>
      </c>
      <c r="L717" s="577">
        <f t="shared" si="614"/>
        <v>8797.2445062143397</v>
      </c>
      <c r="M717" s="577">
        <f t="shared" si="614"/>
        <v>9136.0563955144589</v>
      </c>
      <c r="N717" s="577">
        <f t="shared" si="614"/>
        <v>9474.7372397833624</v>
      </c>
      <c r="O717" s="577">
        <f t="shared" si="614"/>
        <v>9813.4382448270535</v>
      </c>
      <c r="P717" s="577">
        <f t="shared" si="614"/>
        <v>10194.124061955008</v>
      </c>
      <c r="Q717" s="577">
        <f t="shared" si="614"/>
        <v>10574.678834053191</v>
      </c>
      <c r="R717" s="577">
        <f t="shared" si="614"/>
        <v>10955.364651185415</v>
      </c>
      <c r="S717" s="577">
        <f t="shared" si="614"/>
        <v>11336.050468320869</v>
      </c>
      <c r="T717" s="577">
        <f t="shared" si="614"/>
        <v>11716.796767783091</v>
      </c>
      <c r="U717" s="577">
        <f t="shared" si="614"/>
        <v>12000.136287140185</v>
      </c>
      <c r="V717" s="577">
        <f t="shared" si="614"/>
        <v>12217.570235932588</v>
      </c>
      <c r="W717" s="577">
        <f t="shared" si="614"/>
        <v>12435.00418472423</v>
      </c>
      <c r="X717" s="577">
        <f t="shared" si="614"/>
        <v>12652.438133519658</v>
      </c>
      <c r="Y717" s="577">
        <f t="shared" si="614"/>
        <v>12869.761198061913</v>
      </c>
      <c r="Z717" s="577">
        <f t="shared" si="614"/>
        <v>13087.195146866949</v>
      </c>
      <c r="AA717" s="577">
        <f t="shared" si="614"/>
        <v>13304.518211420434</v>
      </c>
      <c r="AB717" s="577">
        <f t="shared" si="614"/>
        <v>13521.952160238523</v>
      </c>
      <c r="AC717" s="577">
        <f t="shared" si="614"/>
        <v>13739.386109064777</v>
      </c>
      <c r="AD717" s="577">
        <f t="shared" si="614"/>
        <v>13956.709173642843</v>
      </c>
      <c r="AE717" s="577">
        <f t="shared" si="614"/>
        <v>14174.143122489351</v>
      </c>
      <c r="AF717" s="577">
        <f t="shared" si="614"/>
        <v>14391.577071348409</v>
      </c>
      <c r="AG717" s="725">
        <f t="shared" si="614"/>
        <v>14608.900135964239</v>
      </c>
      <c r="AH717" s="18"/>
      <c r="AI717" s="18"/>
      <c r="AJ717" s="18"/>
      <c r="AK717" s="18"/>
      <c r="AL717" s="18"/>
      <c r="AM717" s="18"/>
      <c r="AN717" s="18"/>
    </row>
    <row r="718" spans="2:40" ht="21.95" customHeight="1" x14ac:dyDescent="0.2">
      <c r="B718" s="705"/>
      <c r="C718" s="715"/>
      <c r="D718" s="715"/>
      <c r="E718" s="116"/>
      <c r="F718" s="116" t="s">
        <v>346</v>
      </c>
      <c r="G718" s="116" t="s">
        <v>343</v>
      </c>
      <c r="H718" s="577">
        <f t="shared" ref="H718:AG718" si="615">H598/H659</f>
        <v>2307.5460487230357</v>
      </c>
      <c r="I718" s="577">
        <f t="shared" si="615"/>
        <v>2373.037849079557</v>
      </c>
      <c r="J718" s="577">
        <f t="shared" si="615"/>
        <v>2445.7164408801054</v>
      </c>
      <c r="K718" s="577">
        <f t="shared" si="615"/>
        <v>2547.7281937027424</v>
      </c>
      <c r="L718" s="577">
        <f t="shared" si="615"/>
        <v>2649.7581639944656</v>
      </c>
      <c r="M718" s="577">
        <f t="shared" si="615"/>
        <v>2751.8093880000774</v>
      </c>
      <c r="N718" s="577">
        <f t="shared" si="615"/>
        <v>2853.8211408236798</v>
      </c>
      <c r="O718" s="577">
        <f t="shared" si="615"/>
        <v>2955.8389661374445</v>
      </c>
      <c r="P718" s="577">
        <f t="shared" si="615"/>
        <v>3070.5027510479831</v>
      </c>
      <c r="Q718" s="577">
        <f t="shared" si="615"/>
        <v>3185.1270647777046</v>
      </c>
      <c r="R718" s="577">
        <f t="shared" si="615"/>
        <v>3299.790849691743</v>
      </c>
      <c r="S718" s="577">
        <f t="shared" si="615"/>
        <v>3414.4546346084294</v>
      </c>
      <c r="T718" s="577">
        <f t="shared" si="615"/>
        <v>3529.1366369975563</v>
      </c>
      <c r="U718" s="577">
        <f t="shared" si="615"/>
        <v>3614.4794058795724</v>
      </c>
      <c r="V718" s="577">
        <f t="shared" si="615"/>
        <v>3679.9712062526701</v>
      </c>
      <c r="W718" s="577">
        <f t="shared" si="615"/>
        <v>3745.4630066251393</v>
      </c>
      <c r="X718" s="577">
        <f t="shared" si="615"/>
        <v>3810.9548070007136</v>
      </c>
      <c r="Y718" s="577">
        <f t="shared" si="615"/>
        <v>3876.4132086871109</v>
      </c>
      <c r="Z718" s="577">
        <f t="shared" si="615"/>
        <v>3941.9050090705573</v>
      </c>
      <c r="AA718" s="577">
        <f t="shared" si="615"/>
        <v>4007.3634107661533</v>
      </c>
      <c r="AB718" s="577">
        <f t="shared" si="615"/>
        <v>4072.8552111602976</v>
      </c>
      <c r="AC718" s="577">
        <f t="shared" si="615"/>
        <v>4138.3470115611317</v>
      </c>
      <c r="AD718" s="577">
        <f t="shared" si="615"/>
        <v>4203.8054132768721</v>
      </c>
      <c r="AE718" s="577">
        <f t="shared" si="615"/>
        <v>4269.2972136943017</v>
      </c>
      <c r="AF718" s="577">
        <f t="shared" si="615"/>
        <v>4334.7890141220178</v>
      </c>
      <c r="AG718" s="725">
        <f t="shared" si="615"/>
        <v>4400.2474158687037</v>
      </c>
      <c r="AH718" s="18"/>
      <c r="AI718" s="18"/>
      <c r="AJ718" s="18"/>
      <c r="AK718" s="18"/>
      <c r="AL718" s="18"/>
      <c r="AM718" s="18"/>
      <c r="AN718" s="18"/>
    </row>
    <row r="719" spans="2:40" ht="21.95" customHeight="1" x14ac:dyDescent="0.2">
      <c r="B719" s="705"/>
      <c r="C719" s="715"/>
      <c r="D719" s="715"/>
      <c r="E719" s="116"/>
      <c r="F719" s="116" t="s">
        <v>343</v>
      </c>
      <c r="G719" s="116" t="s">
        <v>350</v>
      </c>
      <c r="H719" s="577">
        <f t="shared" ref="H719:AG719" si="616">H599/H660</f>
        <v>5920.6773618539564</v>
      </c>
      <c r="I719" s="577">
        <f t="shared" si="616"/>
        <v>6088.5680362449284</v>
      </c>
      <c r="J719" s="577">
        <f t="shared" si="616"/>
        <v>6279.8749896020745</v>
      </c>
      <c r="K719" s="577">
        <f t="shared" si="616"/>
        <v>6524.3200222818878</v>
      </c>
      <c r="L719" s="577">
        <f t="shared" si="616"/>
        <v>6768.8439973265786</v>
      </c>
      <c r="M719" s="577">
        <f t="shared" si="616"/>
        <v>7013.3285011889202</v>
      </c>
      <c r="N719" s="577">
        <f t="shared" si="616"/>
        <v>7257.7735338689254</v>
      </c>
      <c r="O719" s="577">
        <f t="shared" si="616"/>
        <v>7502.2679055270564</v>
      </c>
      <c r="P719" s="577">
        <f t="shared" si="616"/>
        <v>7778.605653596519</v>
      </c>
      <c r="Q719" s="577">
        <f t="shared" si="616"/>
        <v>8054.9335338706915</v>
      </c>
      <c r="R719" s="577">
        <f t="shared" si="616"/>
        <v>8331.2318107584142</v>
      </c>
      <c r="S719" s="577">
        <f t="shared" si="616"/>
        <v>8607.5695588290437</v>
      </c>
      <c r="T719" s="577">
        <f t="shared" si="616"/>
        <v>8883.9566458783556</v>
      </c>
      <c r="U719" s="577">
        <f t="shared" si="616"/>
        <v>9107.1464468322447</v>
      </c>
      <c r="V719" s="577">
        <f t="shared" si="616"/>
        <v>9275.0371212266018</v>
      </c>
      <c r="W719" s="577">
        <f t="shared" si="616"/>
        <v>9442.9277956207843</v>
      </c>
      <c r="X719" s="577">
        <f t="shared" si="616"/>
        <v>9610.8184700156071</v>
      </c>
      <c r="Y719" s="577">
        <f t="shared" si="616"/>
        <v>9778.6598054331607</v>
      </c>
      <c r="Z719" s="577">
        <f t="shared" si="616"/>
        <v>9946.5504798296024</v>
      </c>
      <c r="AA719" s="577">
        <f t="shared" si="616"/>
        <v>10114.391815249055</v>
      </c>
      <c r="AB719" s="577">
        <f t="shared" si="616"/>
        <v>10282.282489647716</v>
      </c>
      <c r="AC719" s="577">
        <f t="shared" si="616"/>
        <v>10450.173164047766</v>
      </c>
      <c r="AD719" s="577">
        <f t="shared" si="616"/>
        <v>10618.014499471406</v>
      </c>
      <c r="AE719" s="577">
        <f t="shared" si="616"/>
        <v>10785.905173874922</v>
      </c>
      <c r="AF719" s="577">
        <f t="shared" si="616"/>
        <v>10953.795848280584</v>
      </c>
      <c r="AG719" s="725">
        <f t="shared" si="616"/>
        <v>11121.637183710702</v>
      </c>
      <c r="AH719" s="18"/>
      <c r="AI719" s="18"/>
      <c r="AJ719" s="18"/>
      <c r="AK719" s="18"/>
      <c r="AL719" s="18"/>
      <c r="AM719" s="18"/>
      <c r="AN719" s="18"/>
    </row>
    <row r="720" spans="2:40" ht="21.95" customHeight="1" x14ac:dyDescent="0.2">
      <c r="B720" s="705"/>
      <c r="C720" s="715"/>
      <c r="D720" s="715"/>
      <c r="E720" s="116"/>
      <c r="F720" s="116" t="s">
        <v>350</v>
      </c>
      <c r="G720" s="116" t="s">
        <v>280</v>
      </c>
      <c r="H720" s="577">
        <f t="shared" ref="H720:AG720" si="617">H600/H661</f>
        <v>40363.099691006981</v>
      </c>
      <c r="I720" s="577">
        <f t="shared" si="617"/>
        <v>41507.662654578307</v>
      </c>
      <c r="J720" s="577">
        <f t="shared" si="617"/>
        <v>42811.86167742766</v>
      </c>
      <c r="K720" s="577">
        <f t="shared" si="617"/>
        <v>44478.319520003875</v>
      </c>
      <c r="L720" s="577">
        <f t="shared" si="617"/>
        <v>46145.315537242765</v>
      </c>
      <c r="M720" s="577">
        <f t="shared" si="617"/>
        <v>47812.042467150553</v>
      </c>
      <c r="N720" s="577">
        <f t="shared" si="617"/>
        <v>49478.500309727257</v>
      </c>
      <c r="O720" s="577">
        <f t="shared" si="617"/>
        <v>51145.294511468324</v>
      </c>
      <c r="P720" s="577">
        <f t="shared" si="617"/>
        <v>53029.174917714568</v>
      </c>
      <c r="Q720" s="577">
        <f t="shared" si="617"/>
        <v>54912.988052128807</v>
      </c>
      <c r="R720" s="577">
        <f t="shared" si="617"/>
        <v>56796.599371045486</v>
      </c>
      <c r="S720" s="577">
        <f t="shared" si="617"/>
        <v>58680.479777294691</v>
      </c>
      <c r="T720" s="577">
        <f t="shared" si="617"/>
        <v>60564.696542709629</v>
      </c>
      <c r="U720" s="577">
        <f t="shared" si="617"/>
        <v>62086.250857402978</v>
      </c>
      <c r="V720" s="577">
        <f t="shared" si="617"/>
        <v>63230.813820982781</v>
      </c>
      <c r="W720" s="577">
        <f t="shared" si="617"/>
        <v>64375.376784562162</v>
      </c>
      <c r="X720" s="577">
        <f t="shared" si="617"/>
        <v>65519.939748143122</v>
      </c>
      <c r="Y720" s="577">
        <f t="shared" si="617"/>
        <v>66664.166352561864</v>
      </c>
      <c r="Z720" s="577">
        <f t="shared" si="617"/>
        <v>67808.72931614687</v>
      </c>
      <c r="AA720" s="577">
        <f t="shared" si="617"/>
        <v>68952.955920570384</v>
      </c>
      <c r="AB720" s="577">
        <f t="shared" si="617"/>
        <v>70097.518884160978</v>
      </c>
      <c r="AC720" s="577">
        <f t="shared" si="617"/>
        <v>71242.081847755064</v>
      </c>
      <c r="AD720" s="577">
        <f t="shared" si="617"/>
        <v>72386.308452189071</v>
      </c>
      <c r="AE720" s="577">
        <f t="shared" si="617"/>
        <v>73530.871415791815</v>
      </c>
      <c r="AF720" s="577">
        <f t="shared" si="617"/>
        <v>74675.434379399958</v>
      </c>
      <c r="AG720" s="725">
        <f t="shared" si="617"/>
        <v>75819.66098385019</v>
      </c>
      <c r="AH720" s="18"/>
      <c r="AI720" s="18"/>
      <c r="AJ720" s="18"/>
      <c r="AK720" s="18"/>
      <c r="AL720" s="18"/>
      <c r="AM720" s="18"/>
      <c r="AN720" s="18"/>
    </row>
    <row r="721" spans="1:40" ht="21.95" customHeight="1" thickBot="1" x14ac:dyDescent="0.25">
      <c r="B721" s="705"/>
      <c r="C721" s="715"/>
      <c r="D721" s="715"/>
      <c r="E721" s="116"/>
      <c r="F721" s="116" t="s">
        <v>280</v>
      </c>
      <c r="G721" s="116" t="s">
        <v>333</v>
      </c>
      <c r="H721" s="735">
        <f t="shared" ref="H721:AF721" si="618">H601/H662</f>
        <v>1008.0552359163473</v>
      </c>
      <c r="I721" s="735">
        <f t="shared" si="618"/>
        <v>1036.6403222228153</v>
      </c>
      <c r="J721" s="735">
        <f t="shared" si="618"/>
        <v>1069.2122669917842</v>
      </c>
      <c r="K721" s="735">
        <f t="shared" si="618"/>
        <v>1110.8315075056989</v>
      </c>
      <c r="L721" s="735">
        <f t="shared" si="618"/>
        <v>1152.46418876194</v>
      </c>
      <c r="M721" s="735">
        <f t="shared" si="618"/>
        <v>1194.0901496560236</v>
      </c>
      <c r="N721" s="735">
        <f t="shared" si="618"/>
        <v>1235.709390190312</v>
      </c>
      <c r="O721" s="735">
        <f t="shared" si="618"/>
        <v>1277.337031196502</v>
      </c>
      <c r="P721" s="735">
        <f t="shared" si="618"/>
        <v>1324.3863292963235</v>
      </c>
      <c r="Q721" s="735">
        <f t="shared" si="618"/>
        <v>1371.4339473367843</v>
      </c>
      <c r="R721" s="735">
        <f t="shared" si="618"/>
        <v>1418.4765251387541</v>
      </c>
      <c r="S721" s="735">
        <f t="shared" si="618"/>
        <v>1465.525823360475</v>
      </c>
      <c r="T721" s="735">
        <f t="shared" si="618"/>
        <v>1512.5835221122331</v>
      </c>
      <c r="U721" s="735">
        <f t="shared" si="618"/>
        <v>1550.5838446560997</v>
      </c>
      <c r="V721" s="735">
        <f t="shared" si="618"/>
        <v>1579.1689313156201</v>
      </c>
      <c r="W721" s="735">
        <f t="shared" si="618"/>
        <v>1607.7540179574421</v>
      </c>
      <c r="X721" s="735">
        <f t="shared" si="618"/>
        <v>1636.3391046657487</v>
      </c>
      <c r="Y721" s="735">
        <f t="shared" si="618"/>
        <v>1664.9157909918492</v>
      </c>
      <c r="Z721" s="735">
        <f t="shared" si="618"/>
        <v>1693.5008778695983</v>
      </c>
      <c r="AA721" s="735">
        <f t="shared" si="618"/>
        <v>1722.0775643940692</v>
      </c>
      <c r="AB721" s="735">
        <f t="shared" si="618"/>
        <v>1750.6626515031858</v>
      </c>
      <c r="AC721" s="735">
        <f t="shared" si="618"/>
        <v>1779.247738757269</v>
      </c>
      <c r="AD721" s="735">
        <f t="shared" si="618"/>
        <v>1807.8244257188637</v>
      </c>
      <c r="AE721" s="735">
        <f t="shared" si="618"/>
        <v>1836.409513334537</v>
      </c>
      <c r="AF721" s="735">
        <f t="shared" si="618"/>
        <v>1864.9946011745412</v>
      </c>
      <c r="AG721" s="736">
        <f>AG601/AG662</f>
        <v>1893.5712888121109</v>
      </c>
      <c r="AH721" s="18"/>
      <c r="AI721" s="18"/>
      <c r="AJ721" s="18"/>
      <c r="AK721" s="18"/>
      <c r="AL721" s="18"/>
      <c r="AM721" s="18"/>
      <c r="AN721" s="18"/>
    </row>
    <row r="722" spans="1:40" ht="21.95" customHeight="1" thickBot="1" x14ac:dyDescent="0.25">
      <c r="A722" s="468"/>
      <c r="B722" s="707"/>
      <c r="C722" s="731"/>
      <c r="D722" s="731"/>
      <c r="E722" s="732" t="s">
        <v>25</v>
      </c>
      <c r="F722" s="732"/>
      <c r="G722" s="732"/>
      <c r="H722" s="733">
        <f>SUM(H693:H713,H715:H721)</f>
        <v>1182125.5836553252</v>
      </c>
      <c r="I722" s="733">
        <f t="shared" ref="I722" si="619">SUM(I693:I713,I715:I721)</f>
        <v>1219192.6882920153</v>
      </c>
      <c r="J722" s="733">
        <f t="shared" ref="J722" si="620">SUM(J693:J713,J715:J721)</f>
        <v>1288301.4650638811</v>
      </c>
      <c r="K722" s="733">
        <f t="shared" ref="K722" si="621">SUM(K693:K713,K715:K721)</f>
        <v>1397011.9499275521</v>
      </c>
      <c r="L722" s="733">
        <f t="shared" ref="L722" si="622">SUM(L693:L713,L715:L721)</f>
        <v>1505774.3110850237</v>
      </c>
      <c r="M722" s="733">
        <f t="shared" ref="M722" si="623">SUM(M693:M713,M715:M721)</f>
        <v>1614535.8624330815</v>
      </c>
      <c r="N722" s="733">
        <f t="shared" ref="N722" si="624">SUM(N693:N713,N715:N721)</f>
        <v>1723246.3932513064</v>
      </c>
      <c r="O722" s="733">
        <f t="shared" ref="O722" si="625">SUM(O693:O713,O715:O721)</f>
        <v>1832060.9742381973</v>
      </c>
      <c r="P722" s="733">
        <f t="shared" ref="P722" si="626">SUM(P693:P713,P715:P721)</f>
        <v>1929341.7124787513</v>
      </c>
      <c r="Q722" s="733">
        <f t="shared" ref="Q722" si="627">SUM(Q693:Q713,Q715:Q721)</f>
        <v>2026271.6724950508</v>
      </c>
      <c r="R722" s="733">
        <f t="shared" ref="R722" si="628">SUM(R693:R713,R715:R721)</f>
        <v>2123180.9364385349</v>
      </c>
      <c r="S722" s="733">
        <f t="shared" ref="S722" si="629">SUM(S693:S713,S715:S721)</f>
        <v>2220089.6880208664</v>
      </c>
      <c r="T722" s="733">
        <f t="shared" ref="T722" si="630">SUM(T693:T713,T715:T721)</f>
        <v>2317100.6010007351</v>
      </c>
      <c r="U722" s="733">
        <f t="shared" ref="U722" si="631">SUM(U693:U713,U715:U721)</f>
        <v>2374976.0226647411</v>
      </c>
      <c r="V722" s="733">
        <f t="shared" ref="V722" si="632">SUM(V693:V713,V715:V721)</f>
        <v>2411357.0593420183</v>
      </c>
      <c r="W722" s="733">
        <f t="shared" ref="W722" si="633">SUM(W693:W713,W715:W721)</f>
        <v>2448985.0408443864</v>
      </c>
      <c r="X722" s="733">
        <f t="shared" ref="X722" si="634">SUM(X693:X713,X715:X721)</f>
        <v>2486613.1632009833</v>
      </c>
      <c r="Y722" s="733">
        <f t="shared" ref="Y722" si="635">SUM(Y693:Y713,Y715:Y721)</f>
        <v>2524269.4528027209</v>
      </c>
      <c r="Z722" s="733">
        <f t="shared" ref="Z722" si="636">SUM(Z693:Z713,Z715:Z721)</f>
        <v>2563368.4295843309</v>
      </c>
      <c r="AA722" s="733">
        <f t="shared" ref="AA722" si="637">SUM(AA693:AA713,AA715:AA721)</f>
        <v>2602691.7721873815</v>
      </c>
      <c r="AB722" s="733">
        <f t="shared" ref="AB722" si="638">SUM(AB693:AB713,AB715:AB721)</f>
        <v>2641990.0120111466</v>
      </c>
      <c r="AC722" s="733">
        <f t="shared" ref="AC722" si="639">SUM(AC693:AC713,AC715:AC721)</f>
        <v>2681288.5477366634</v>
      </c>
      <c r="AD722" s="733">
        <f t="shared" ref="AD722" si="640">SUM(AD693:AD713,AD715:AD721)</f>
        <v>2720615.818755168</v>
      </c>
      <c r="AE722" s="733">
        <f t="shared" ref="AE722" si="641">SUM(AE693:AE713,AE715:AE721)</f>
        <v>2759915.0932194614</v>
      </c>
      <c r="AF722" s="733">
        <f t="shared" ref="AF722" si="642">SUM(AF693:AF713,AF715:AF721)</f>
        <v>2799214.8199249776</v>
      </c>
      <c r="AG722" s="734">
        <f>SUM(AG693:AG713,AG715:AG721)</f>
        <v>2838540.4280723222</v>
      </c>
      <c r="AH722" s="18"/>
      <c r="AI722" s="18"/>
      <c r="AJ722" s="18"/>
      <c r="AK722" s="18"/>
      <c r="AL722" s="18"/>
      <c r="AM722" s="18"/>
      <c r="AN722" s="18"/>
    </row>
    <row r="723" spans="1:40" ht="21.95" customHeight="1" x14ac:dyDescent="0.2">
      <c r="B723" s="182" t="s">
        <v>212</v>
      </c>
      <c r="C723" s="116" t="s">
        <v>156</v>
      </c>
      <c r="D723" s="240" t="s">
        <v>23</v>
      </c>
      <c r="E723" s="1340" t="s">
        <v>331</v>
      </c>
      <c r="F723" s="220" t="s">
        <v>332</v>
      </c>
      <c r="G723" s="220" t="s">
        <v>282</v>
      </c>
      <c r="H723" s="726">
        <f>H663+H693</f>
        <v>7729.1874665658033</v>
      </c>
      <c r="I723" s="726">
        <f t="shared" ref="I723:AG723" si="643">I663+I693</f>
        <v>8080.6568918144685</v>
      </c>
      <c r="J723" s="726">
        <f t="shared" si="643"/>
        <v>8575.8537455452624</v>
      </c>
      <c r="K723" s="726">
        <f t="shared" si="643"/>
        <v>9304.2999225149961</v>
      </c>
      <c r="L723" s="726">
        <f t="shared" si="643"/>
        <v>10033.092499420243</v>
      </c>
      <c r="M723" s="726">
        <f t="shared" si="643"/>
        <v>10762.043327591367</v>
      </c>
      <c r="N723" s="726">
        <f t="shared" si="643"/>
        <v>11491.02438476012</v>
      </c>
      <c r="O723" s="726">
        <f t="shared" si="643"/>
        <v>12221.069821463367</v>
      </c>
      <c r="P723" s="726">
        <f t="shared" si="643"/>
        <v>12943.384521105236</v>
      </c>
      <c r="Q723" s="726">
        <f t="shared" si="643"/>
        <v>13667.351818432737</v>
      </c>
      <c r="R723" s="726">
        <f t="shared" si="643"/>
        <v>14393.622768070498</v>
      </c>
      <c r="S723" s="726">
        <f t="shared" si="643"/>
        <v>15123.776700446439</v>
      </c>
      <c r="T723" s="726">
        <f t="shared" si="643"/>
        <v>15860.496715839916</v>
      </c>
      <c r="U723" s="726">
        <f t="shared" si="643"/>
        <v>16362.994002522586</v>
      </c>
      <c r="V723" s="726">
        <f t="shared" si="643"/>
        <v>16729.074658175399</v>
      </c>
      <c r="W723" s="726">
        <f t="shared" si="643"/>
        <v>17098.588178746195</v>
      </c>
      <c r="X723" s="726">
        <f t="shared" si="643"/>
        <v>17472.243791708017</v>
      </c>
      <c r="Y723" s="726">
        <f t="shared" si="643"/>
        <v>17851.009104097233</v>
      </c>
      <c r="Z723" s="726">
        <f t="shared" si="643"/>
        <v>18235.607700546811</v>
      </c>
      <c r="AA723" s="726">
        <f t="shared" si="643"/>
        <v>18627.457362276058</v>
      </c>
      <c r="AB723" s="726">
        <f t="shared" si="643"/>
        <v>19027.63589814839</v>
      </c>
      <c r="AC723" s="726">
        <f t="shared" si="643"/>
        <v>19437.845247134239</v>
      </c>
      <c r="AD723" s="726">
        <f t="shared" si="643"/>
        <v>19860.054695498053</v>
      </c>
      <c r="AE723" s="726">
        <f t="shared" si="643"/>
        <v>20296.085297391652</v>
      </c>
      <c r="AF723" s="726">
        <f t="shared" si="643"/>
        <v>20748.518172935212</v>
      </c>
      <c r="AG723" s="727">
        <f t="shared" si="643"/>
        <v>21220.328652973694</v>
      </c>
      <c r="AH723" s="18"/>
      <c r="AI723" s="18"/>
      <c r="AJ723" s="18"/>
      <c r="AK723" s="18"/>
      <c r="AL723" s="18"/>
      <c r="AM723" s="18"/>
      <c r="AN723" s="18"/>
    </row>
    <row r="724" spans="1:40" ht="21.95" customHeight="1" x14ac:dyDescent="0.2">
      <c r="B724" s="705" t="s">
        <v>483</v>
      </c>
      <c r="C724" s="715"/>
      <c r="D724" s="715"/>
      <c r="E724" s="1339"/>
      <c r="F724" s="116" t="s">
        <v>282</v>
      </c>
      <c r="G724" s="116" t="s">
        <v>280</v>
      </c>
      <c r="H724" s="577">
        <f>H664+H694</f>
        <v>248534.35639268748</v>
      </c>
      <c r="I724" s="577">
        <f t="shared" ref="I724:AG724" si="644">I664+I694</f>
        <v>261653.35085719993</v>
      </c>
      <c r="J724" s="577">
        <f t="shared" si="644"/>
        <v>281346.6595461517</v>
      </c>
      <c r="K724" s="577">
        <f t="shared" si="644"/>
        <v>313883.36134210043</v>
      </c>
      <c r="L724" s="577">
        <f t="shared" si="644"/>
        <v>346436.24024655746</v>
      </c>
      <c r="M724" s="577">
        <f t="shared" si="644"/>
        <v>378990.75990457903</v>
      </c>
      <c r="N724" s="577">
        <f t="shared" si="644"/>
        <v>411540.13143218507</v>
      </c>
      <c r="O724" s="577">
        <f t="shared" si="644"/>
        <v>444135.13427734718</v>
      </c>
      <c r="P724" s="577">
        <f t="shared" si="644"/>
        <v>477051.8549036542</v>
      </c>
      <c r="Q724" s="577">
        <f t="shared" si="644"/>
        <v>510041.20912473847</v>
      </c>
      <c r="R724" s="577">
        <f t="shared" si="644"/>
        <v>543131.18457883305</v>
      </c>
      <c r="S724" s="577">
        <f t="shared" si="644"/>
        <v>576416.54643636942</v>
      </c>
      <c r="T724" s="577">
        <f t="shared" si="644"/>
        <v>610063.08091750217</v>
      </c>
      <c r="U724" s="577">
        <f t="shared" si="644"/>
        <v>630772.48812326731</v>
      </c>
      <c r="V724" s="577">
        <f t="shared" si="644"/>
        <v>644498.83093908313</v>
      </c>
      <c r="W724" s="577">
        <f t="shared" si="644"/>
        <v>658362.95734618232</v>
      </c>
      <c r="X724" s="577">
        <f t="shared" si="644"/>
        <v>672392.39021314972</v>
      </c>
      <c r="Y724" s="577">
        <f t="shared" si="644"/>
        <v>686627.47949215444</v>
      </c>
      <c r="Z724" s="577">
        <f t="shared" si="644"/>
        <v>701090.06804121251</v>
      </c>
      <c r="AA724" s="577">
        <f t="shared" si="644"/>
        <v>715840.53998863581</v>
      </c>
      <c r="AB724" s="577">
        <f t="shared" si="644"/>
        <v>730913.65955145785</v>
      </c>
      <c r="AC724" s="577">
        <f t="shared" si="644"/>
        <v>746377.1133593088</v>
      </c>
      <c r="AD724" s="577">
        <f t="shared" si="644"/>
        <v>762308.8041436245</v>
      </c>
      <c r="AE724" s="577">
        <f t="shared" si="644"/>
        <v>778770.30107500346</v>
      </c>
      <c r="AF724" s="577">
        <f t="shared" si="644"/>
        <v>795861.79789423151</v>
      </c>
      <c r="AG724" s="725">
        <f t="shared" si="644"/>
        <v>813698.45484208758</v>
      </c>
      <c r="AH724" s="18"/>
      <c r="AI724" s="18"/>
      <c r="AJ724" s="18"/>
      <c r="AK724" s="18"/>
      <c r="AL724" s="18"/>
      <c r="AM724" s="18"/>
      <c r="AN724" s="18"/>
    </row>
    <row r="725" spans="1:40" ht="21.95" customHeight="1" x14ac:dyDescent="0.2">
      <c r="B725" s="705"/>
      <c r="C725" s="715"/>
      <c r="D725" s="715"/>
      <c r="E725" s="1339"/>
      <c r="F725" s="116" t="s">
        <v>280</v>
      </c>
      <c r="G725" s="116" t="s">
        <v>333</v>
      </c>
      <c r="H725" s="577">
        <f t="shared" ref="H725:AG725" si="645">H665+H695</f>
        <v>5797.5278744446077</v>
      </c>
      <c r="I725" s="577">
        <f t="shared" si="645"/>
        <v>6039.9644619952387</v>
      </c>
      <c r="J725" s="577">
        <f t="shared" si="645"/>
        <v>6340.2819218374116</v>
      </c>
      <c r="K725" s="577">
        <f t="shared" si="645"/>
        <v>6745.3306870503566</v>
      </c>
      <c r="L725" s="577">
        <f t="shared" si="645"/>
        <v>7151.8995481951924</v>
      </c>
      <c r="M725" s="577">
        <f t="shared" si="645"/>
        <v>7560.7335143730634</v>
      </c>
      <c r="N725" s="577">
        <f t="shared" si="645"/>
        <v>7973.2537206034203</v>
      </c>
      <c r="O725" s="577">
        <f t="shared" si="645"/>
        <v>8392.1124297514179</v>
      </c>
      <c r="P725" s="577">
        <f t="shared" si="645"/>
        <v>8806.882020079338</v>
      </c>
      <c r="Q725" s="577">
        <f t="shared" si="645"/>
        <v>9235.1386103994082</v>
      </c>
      <c r="R725" s="577">
        <f t="shared" si="645"/>
        <v>9682.9758864209689</v>
      </c>
      <c r="S725" s="577">
        <f t="shared" si="645"/>
        <v>10159.56659443544</v>
      </c>
      <c r="T725" s="577">
        <f t="shared" si="645"/>
        <v>10677.823562668429</v>
      </c>
      <c r="U725" s="577">
        <f t="shared" si="645"/>
        <v>11094.128788060096</v>
      </c>
      <c r="V725" s="577">
        <f t="shared" si="645"/>
        <v>11475.806010678632</v>
      </c>
      <c r="W725" s="577">
        <f t="shared" si="645"/>
        <v>11892.397442432946</v>
      </c>
      <c r="X725" s="577">
        <f t="shared" si="645"/>
        <v>12351.57465231662</v>
      </c>
      <c r="Y725" s="577">
        <f t="shared" si="645"/>
        <v>12862.687935047634</v>
      </c>
      <c r="Z725" s="577">
        <f t="shared" si="645"/>
        <v>13436.170184478029</v>
      </c>
      <c r="AA725" s="577">
        <f t="shared" si="645"/>
        <v>14085.301242906455</v>
      </c>
      <c r="AB725" s="577">
        <f t="shared" si="645"/>
        <v>14824.660757215519</v>
      </c>
      <c r="AC725" s="577">
        <f t="shared" si="645"/>
        <v>15672.213864678801</v>
      </c>
      <c r="AD725" s="577">
        <f t="shared" si="645"/>
        <v>16649.122705484915</v>
      </c>
      <c r="AE725" s="577">
        <f t="shared" si="645"/>
        <v>17778.823117965192</v>
      </c>
      <c r="AF725" s="577">
        <f t="shared" si="645"/>
        <v>19089.844488663046</v>
      </c>
      <c r="AG725" s="725">
        <f t="shared" si="645"/>
        <v>20615.524165646661</v>
      </c>
      <c r="AH725" s="18"/>
      <c r="AI725" s="18"/>
      <c r="AJ725" s="18"/>
      <c r="AK725" s="18"/>
      <c r="AL725" s="18"/>
      <c r="AM725" s="18"/>
      <c r="AN725" s="18"/>
    </row>
    <row r="726" spans="1:40" ht="21.95" customHeight="1" x14ac:dyDescent="0.2">
      <c r="B726" s="705"/>
      <c r="C726" s="715"/>
      <c r="D726" s="715"/>
      <c r="E726" s="1340" t="s">
        <v>280</v>
      </c>
      <c r="F726" s="220" t="s">
        <v>281</v>
      </c>
      <c r="G726" s="220" t="s">
        <v>335</v>
      </c>
      <c r="H726" s="583">
        <f t="shared" ref="H726:AG726" si="646">H666+H696</f>
        <v>65763.478261261611</v>
      </c>
      <c r="I726" s="583">
        <f t="shared" si="646"/>
        <v>72415.782905479355</v>
      </c>
      <c r="J726" s="583">
        <f t="shared" si="646"/>
        <v>87288.522339266085</v>
      </c>
      <c r="K726" s="583">
        <f t="shared" si="646"/>
        <v>117161.58255540981</v>
      </c>
      <c r="L726" s="583">
        <f t="shared" si="646"/>
        <v>147053.05884410304</v>
      </c>
      <c r="M726" s="583">
        <f t="shared" si="646"/>
        <v>176941.26267525891</v>
      </c>
      <c r="N726" s="583">
        <f t="shared" si="646"/>
        <v>206814.41835417983</v>
      </c>
      <c r="O726" s="583">
        <f t="shared" si="646"/>
        <v>236724.70467922481</v>
      </c>
      <c r="P726" s="583">
        <f t="shared" si="646"/>
        <v>266074.97860319499</v>
      </c>
      <c r="Q726" s="583">
        <f t="shared" si="646"/>
        <v>295442.73290277738</v>
      </c>
      <c r="R726" s="583">
        <f t="shared" si="646"/>
        <v>324802.47470902756</v>
      </c>
      <c r="S726" s="583">
        <f t="shared" si="646"/>
        <v>354177.97283947672</v>
      </c>
      <c r="T726" s="583">
        <f t="shared" si="646"/>
        <v>383624.47244799929</v>
      </c>
      <c r="U726" s="583">
        <f t="shared" si="646"/>
        <v>398006.37738548004</v>
      </c>
      <c r="V726" s="583">
        <f t="shared" si="646"/>
        <v>404689.8477729091</v>
      </c>
      <c r="W726" s="583">
        <f t="shared" si="646"/>
        <v>411378.88759099506</v>
      </c>
      <c r="X726" s="583">
        <f t="shared" si="646"/>
        <v>418074.37761359976</v>
      </c>
      <c r="Y726" s="583">
        <f t="shared" si="646"/>
        <v>424787.59707454138</v>
      </c>
      <c r="Z726" s="583">
        <f t="shared" si="646"/>
        <v>431499.14373961923</v>
      </c>
      <c r="AA726" s="583">
        <f t="shared" si="646"/>
        <v>438230.88040856714</v>
      </c>
      <c r="AB726" s="583">
        <f t="shared" si="646"/>
        <v>444963.67027923669</v>
      </c>
      <c r="AC726" s="583">
        <f t="shared" si="646"/>
        <v>451709.45334487868</v>
      </c>
      <c r="AD726" s="583">
        <f t="shared" si="646"/>
        <v>458480.45965916745</v>
      </c>
      <c r="AE726" s="583">
        <f t="shared" si="646"/>
        <v>465258.06427605473</v>
      </c>
      <c r="AF726" s="583">
        <f t="shared" si="646"/>
        <v>472054.9636556498</v>
      </c>
      <c r="AG726" s="728">
        <f t="shared" si="646"/>
        <v>478884.25870183099</v>
      </c>
      <c r="AH726" s="18"/>
      <c r="AI726" s="18"/>
      <c r="AJ726" s="18"/>
      <c r="AK726" s="18"/>
      <c r="AL726" s="18"/>
      <c r="AM726" s="18"/>
      <c r="AN726" s="18"/>
    </row>
    <row r="727" spans="1:40" ht="21.95" customHeight="1" x14ac:dyDescent="0.2">
      <c r="B727" s="705"/>
      <c r="C727" s="715"/>
      <c r="D727" s="715"/>
      <c r="E727" s="1339"/>
      <c r="F727" s="116" t="s">
        <v>335</v>
      </c>
      <c r="G727" s="116" t="s">
        <v>323</v>
      </c>
      <c r="H727" s="577">
        <f t="shared" ref="H727:AG727" si="647">H667+H697</f>
        <v>8848.4899221904034</v>
      </c>
      <c r="I727" s="577">
        <f t="shared" si="647"/>
        <v>9688.5885075925544</v>
      </c>
      <c r="J727" s="577">
        <f t="shared" si="647"/>
        <v>10880.367478794094</v>
      </c>
      <c r="K727" s="577">
        <f t="shared" si="647"/>
        <v>12822.418318768614</v>
      </c>
      <c r="L727" s="577">
        <f t="shared" si="647"/>
        <v>14765.924432374451</v>
      </c>
      <c r="M727" s="577">
        <f t="shared" si="647"/>
        <v>16712.598895484894</v>
      </c>
      <c r="N727" s="577">
        <f t="shared" si="647"/>
        <v>18667.372614188738</v>
      </c>
      <c r="O727" s="577">
        <f t="shared" si="647"/>
        <v>20647.817545622693</v>
      </c>
      <c r="P727" s="577">
        <f t="shared" si="647"/>
        <v>22973.419692461855</v>
      </c>
      <c r="Q727" s="577">
        <f t="shared" si="647"/>
        <v>25485.14475233596</v>
      </c>
      <c r="R727" s="577">
        <f t="shared" si="647"/>
        <v>28417.099562131079</v>
      </c>
      <c r="S727" s="577">
        <f t="shared" si="647"/>
        <v>32246.205065692226</v>
      </c>
      <c r="T727" s="577">
        <f t="shared" si="647"/>
        <v>37883.09792185804</v>
      </c>
      <c r="U727" s="577">
        <f t="shared" si="647"/>
        <v>43343.021499089074</v>
      </c>
      <c r="V727" s="577">
        <f t="shared" si="647"/>
        <v>47428.951547444565</v>
      </c>
      <c r="W727" s="577">
        <f t="shared" si="647"/>
        <v>52425.604715419307</v>
      </c>
      <c r="X727" s="577">
        <f t="shared" si="647"/>
        <v>58556.881843177965</v>
      </c>
      <c r="Y727" s="577">
        <f t="shared" si="647"/>
        <v>66103.837600834668</v>
      </c>
      <c r="Z727" s="577">
        <f t="shared" si="647"/>
        <v>75377.451640749176</v>
      </c>
      <c r="AA727" s="577">
        <f t="shared" si="647"/>
        <v>86794.047192523052</v>
      </c>
      <c r="AB727" s="577">
        <f t="shared" si="647"/>
        <v>89520.500476160436</v>
      </c>
      <c r="AC727" s="577">
        <f t="shared" si="647"/>
        <v>91449.213930593614</v>
      </c>
      <c r="AD727" s="577">
        <f t="shared" si="647"/>
        <v>93380.176641897851</v>
      </c>
      <c r="AE727" s="577">
        <f t="shared" si="647"/>
        <v>95308.998127571176</v>
      </c>
      <c r="AF727" s="577">
        <f t="shared" si="647"/>
        <v>97237.890457528643</v>
      </c>
      <c r="AG727" s="725">
        <f t="shared" si="647"/>
        <v>99169.068835525919</v>
      </c>
      <c r="AH727" s="18"/>
      <c r="AI727" s="18"/>
      <c r="AJ727" s="18"/>
      <c r="AK727" s="18"/>
      <c r="AL727" s="18"/>
      <c r="AM727" s="18"/>
      <c r="AN727" s="18"/>
    </row>
    <row r="728" spans="1:40" ht="21.95" customHeight="1" x14ac:dyDescent="0.2">
      <c r="B728" s="705"/>
      <c r="C728" s="715"/>
      <c r="D728" s="715"/>
      <c r="E728" s="1353"/>
      <c r="F728" s="254" t="s">
        <v>323</v>
      </c>
      <c r="G728" s="254" t="s">
        <v>338</v>
      </c>
      <c r="H728" s="587">
        <f t="shared" ref="H728:AG728" si="648">H668+H698</f>
        <v>125559.46488394152</v>
      </c>
      <c r="I728" s="587">
        <f t="shared" si="648"/>
        <v>129298.84195948513</v>
      </c>
      <c r="J728" s="587">
        <f t="shared" si="648"/>
        <v>134763.71428682527</v>
      </c>
      <c r="K728" s="587">
        <f t="shared" si="648"/>
        <v>142819.75301685371</v>
      </c>
      <c r="L728" s="587">
        <f t="shared" si="648"/>
        <v>151564.0457773144</v>
      </c>
      <c r="M728" s="587">
        <f t="shared" si="648"/>
        <v>161367.28869303904</v>
      </c>
      <c r="N728" s="587">
        <f t="shared" si="648"/>
        <v>172773.35740434137</v>
      </c>
      <c r="O728" s="587">
        <f t="shared" si="648"/>
        <v>186582.19091549522</v>
      </c>
      <c r="P728" s="587">
        <f t="shared" si="648"/>
        <v>204082.44793959323</v>
      </c>
      <c r="Q728" s="587">
        <f t="shared" si="648"/>
        <v>226759.75695798732</v>
      </c>
      <c r="R728" s="587">
        <f t="shared" si="648"/>
        <v>256799.41087837238</v>
      </c>
      <c r="S728" s="587">
        <f t="shared" si="648"/>
        <v>297210.63501489989</v>
      </c>
      <c r="T728" s="587">
        <f t="shared" si="648"/>
        <v>352079.19405828248</v>
      </c>
      <c r="U728" s="587">
        <f t="shared" si="648"/>
        <v>403036.83741010039</v>
      </c>
      <c r="V728" s="587">
        <f t="shared" si="648"/>
        <v>445497.93802874989</v>
      </c>
      <c r="W728" s="587">
        <f t="shared" si="648"/>
        <v>477530.93935508019</v>
      </c>
      <c r="X728" s="587">
        <f t="shared" si="648"/>
        <v>485272.51730524574</v>
      </c>
      <c r="Y728" s="587">
        <f t="shared" si="648"/>
        <v>493017.90487224236</v>
      </c>
      <c r="Z728" s="587">
        <f t="shared" si="648"/>
        <v>500759.75031408755</v>
      </c>
      <c r="AA728" s="587">
        <f t="shared" si="648"/>
        <v>508505.44613405102</v>
      </c>
      <c r="AB728" s="587">
        <f t="shared" si="648"/>
        <v>516247.64665636112</v>
      </c>
      <c r="AC728" s="587">
        <f t="shared" si="648"/>
        <v>523990.06452830543</v>
      </c>
      <c r="AD728" s="587">
        <f t="shared" si="648"/>
        <v>531736.41773450305</v>
      </c>
      <c r="AE728" s="587">
        <f t="shared" si="648"/>
        <v>539479.37141869066</v>
      </c>
      <c r="AF728" s="587">
        <f t="shared" si="648"/>
        <v>547222.64973636321</v>
      </c>
      <c r="AG728" s="729">
        <f t="shared" si="648"/>
        <v>554969.98448030138</v>
      </c>
      <c r="AH728" s="18"/>
      <c r="AI728" s="18"/>
      <c r="AJ728" s="18"/>
      <c r="AK728" s="18"/>
      <c r="AL728" s="18"/>
      <c r="AM728" s="18"/>
      <c r="AN728" s="18"/>
    </row>
    <row r="729" spans="1:40" ht="21.95" customHeight="1" x14ac:dyDescent="0.2">
      <c r="B729" s="705"/>
      <c r="C729" s="715"/>
      <c r="D729" s="715"/>
      <c r="E729" s="116" t="s">
        <v>339</v>
      </c>
      <c r="F729" s="116" t="s">
        <v>335</v>
      </c>
      <c r="G729" s="116" t="s">
        <v>323</v>
      </c>
      <c r="H729" s="577">
        <f t="shared" ref="H729:AG729" si="649">H669+H699</f>
        <v>397.10648148148141</v>
      </c>
      <c r="I729" s="577">
        <f t="shared" si="649"/>
        <v>1649.3817708333331</v>
      </c>
      <c r="J729" s="577">
        <f t="shared" si="649"/>
        <v>14714.582118138806</v>
      </c>
      <c r="K729" s="577">
        <f t="shared" si="649"/>
        <v>34803.604435508329</v>
      </c>
      <c r="L729" s="577">
        <f t="shared" si="649"/>
        <v>54907.083007054956</v>
      </c>
      <c r="M729" s="577">
        <f t="shared" si="649"/>
        <v>75007.318638135228</v>
      </c>
      <c r="N729" s="577">
        <f t="shared" si="649"/>
        <v>95159.663067112328</v>
      </c>
      <c r="O729" s="577">
        <f t="shared" si="649"/>
        <v>115772.18898341974</v>
      </c>
      <c r="P729" s="577">
        <f t="shared" si="649"/>
        <v>124704.21763673876</v>
      </c>
      <c r="Q729" s="577">
        <f t="shared" si="649"/>
        <v>134259.90252086625</v>
      </c>
      <c r="R729" s="577">
        <f t="shared" si="649"/>
        <v>144916.52225817193</v>
      </c>
      <c r="S729" s="577">
        <f t="shared" si="649"/>
        <v>157470.82077452834</v>
      </c>
      <c r="T729" s="577">
        <f t="shared" si="649"/>
        <v>173252.26914442139</v>
      </c>
      <c r="U729" s="577">
        <f t="shared" si="649"/>
        <v>176022.9671175917</v>
      </c>
      <c r="V729" s="577">
        <f t="shared" si="649"/>
        <v>178918.88082641189</v>
      </c>
      <c r="W729" s="577">
        <f t="shared" si="649"/>
        <v>181949.32729113434</v>
      </c>
      <c r="X729" s="577">
        <f t="shared" si="649"/>
        <v>185124.13712602586</v>
      </c>
      <c r="Y729" s="577">
        <f t="shared" si="649"/>
        <v>188478.11353383906</v>
      </c>
      <c r="Z729" s="577">
        <f t="shared" si="649"/>
        <v>191974.93707875133</v>
      </c>
      <c r="AA729" s="577">
        <f t="shared" si="649"/>
        <v>195661.59550874622</v>
      </c>
      <c r="AB729" s="577">
        <f t="shared" si="649"/>
        <v>199527.40554806791</v>
      </c>
      <c r="AC729" s="577">
        <f t="shared" si="649"/>
        <v>203597.10963019443</v>
      </c>
      <c r="AD729" s="577">
        <f t="shared" si="649"/>
        <v>207916.3261736953</v>
      </c>
      <c r="AE729" s="577">
        <f t="shared" si="649"/>
        <v>212439.03031614795</v>
      </c>
      <c r="AF729" s="577">
        <f t="shared" si="649"/>
        <v>217211.03010496756</v>
      </c>
      <c r="AG729" s="725">
        <f t="shared" si="649"/>
        <v>222265.71920613194</v>
      </c>
      <c r="AH729" s="18"/>
      <c r="AI729" s="18"/>
      <c r="AJ729" s="18"/>
      <c r="AK729" s="18"/>
      <c r="AL729" s="18"/>
      <c r="AM729" s="18"/>
      <c r="AN729" s="18"/>
    </row>
    <row r="730" spans="1:40" ht="21.95" customHeight="1" x14ac:dyDescent="0.2">
      <c r="B730" s="705"/>
      <c r="C730" s="715"/>
      <c r="D730" s="715"/>
      <c r="E730" s="1340" t="s">
        <v>323</v>
      </c>
      <c r="F730" s="220" t="s">
        <v>282</v>
      </c>
      <c r="G730" s="220" t="s">
        <v>339</v>
      </c>
      <c r="H730" s="583">
        <f t="shared" ref="H730:AG730" si="650">H670+H700</f>
        <v>1198.905109489051</v>
      </c>
      <c r="I730" s="583">
        <f t="shared" si="650"/>
        <v>2664.5666058394158</v>
      </c>
      <c r="J730" s="583">
        <f t="shared" si="650"/>
        <v>11261.9151459854</v>
      </c>
      <c r="K730" s="583">
        <f t="shared" si="650"/>
        <v>25316.080291971932</v>
      </c>
      <c r="L730" s="583">
        <f t="shared" si="650"/>
        <v>39378.038321313361</v>
      </c>
      <c r="M730" s="583">
        <f t="shared" si="650"/>
        <v>53440.595807103331</v>
      </c>
      <c r="N730" s="583">
        <f t="shared" si="650"/>
        <v>67494.761003473541</v>
      </c>
      <c r="O730" s="583">
        <f t="shared" si="650"/>
        <v>81565.111751914897</v>
      </c>
      <c r="P730" s="583">
        <f t="shared" si="650"/>
        <v>92415.204285157481</v>
      </c>
      <c r="Q730" s="583">
        <f t="shared" si="650"/>
        <v>103267.098022146</v>
      </c>
      <c r="R730" s="583">
        <f t="shared" si="650"/>
        <v>114117.20100719389</v>
      </c>
      <c r="S730" s="583">
        <f t="shared" si="650"/>
        <v>124967.32246853947</v>
      </c>
      <c r="T730" s="583">
        <f t="shared" si="650"/>
        <v>135831.87240782398</v>
      </c>
      <c r="U730" s="583">
        <f t="shared" si="650"/>
        <v>141216.81857160493</v>
      </c>
      <c r="V730" s="583">
        <f t="shared" si="650"/>
        <v>142682.50214424095</v>
      </c>
      <c r="W730" s="583">
        <f t="shared" si="650"/>
        <v>144148.18810430038</v>
      </c>
      <c r="X730" s="583">
        <f t="shared" si="650"/>
        <v>145613.8766824351</v>
      </c>
      <c r="Y730" s="583">
        <f t="shared" si="650"/>
        <v>147083.76438616531</v>
      </c>
      <c r="Z730" s="583">
        <f t="shared" si="650"/>
        <v>148549.45897933331</v>
      </c>
      <c r="AA730" s="583">
        <f t="shared" si="650"/>
        <v>150019.35328198146</v>
      </c>
      <c r="AB730" s="583">
        <f t="shared" si="650"/>
        <v>151485.05506695382</v>
      </c>
      <c r="AC730" s="583">
        <f t="shared" si="650"/>
        <v>152950.7609445136</v>
      </c>
      <c r="AD730" s="583">
        <f t="shared" si="650"/>
        <v>154420.66759960086</v>
      </c>
      <c r="AE730" s="583">
        <f t="shared" si="650"/>
        <v>155886.38281767844</v>
      </c>
      <c r="AF730" s="583">
        <f t="shared" si="650"/>
        <v>157352.10333149429</v>
      </c>
      <c r="AG730" s="728">
        <f t="shared" si="650"/>
        <v>158822.02596842652</v>
      </c>
      <c r="AH730" s="18"/>
      <c r="AI730" s="18"/>
      <c r="AJ730" s="18"/>
      <c r="AK730" s="18"/>
      <c r="AL730" s="18"/>
      <c r="AM730" s="18"/>
      <c r="AN730" s="18"/>
    </row>
    <row r="731" spans="1:40" ht="21.95" customHeight="1" x14ac:dyDescent="0.2">
      <c r="B731" s="705"/>
      <c r="C731" s="715"/>
      <c r="D731" s="715"/>
      <c r="E731" s="1339"/>
      <c r="F731" s="116" t="s">
        <v>339</v>
      </c>
      <c r="G731" s="116" t="s">
        <v>288</v>
      </c>
      <c r="H731" s="577">
        <f t="shared" ref="H731:AG731" si="651">H671+H701</f>
        <v>0</v>
      </c>
      <c r="I731" s="577">
        <f t="shared" si="651"/>
        <v>808.15085158150828</v>
      </c>
      <c r="J731" s="577">
        <f t="shared" si="651"/>
        <v>2335.8046228710464</v>
      </c>
      <c r="K731" s="577">
        <f t="shared" si="651"/>
        <v>5250.7425790756597</v>
      </c>
      <c r="L731" s="577">
        <f t="shared" si="651"/>
        <v>8167.2968370131402</v>
      </c>
      <c r="M731" s="577">
        <f t="shared" si="651"/>
        <v>11083.97542665847</v>
      </c>
      <c r="N731" s="577">
        <f t="shared" si="651"/>
        <v>13998.913393313032</v>
      </c>
      <c r="O731" s="577">
        <f t="shared" si="651"/>
        <v>16917.208363360129</v>
      </c>
      <c r="P731" s="577">
        <f t="shared" si="651"/>
        <v>19167.597925810442</v>
      </c>
      <c r="Q731" s="577">
        <f t="shared" si="651"/>
        <v>21418.361071259911</v>
      </c>
      <c r="R731" s="577">
        <f t="shared" si="651"/>
        <v>23668.752801492064</v>
      </c>
      <c r="S731" s="577">
        <f t="shared" si="651"/>
        <v>25919.148363845226</v>
      </c>
      <c r="T731" s="577">
        <f t="shared" si="651"/>
        <v>28172.536499400529</v>
      </c>
      <c r="U731" s="577">
        <f t="shared" si="651"/>
        <v>29289.414222258802</v>
      </c>
      <c r="V731" s="577">
        <f t="shared" si="651"/>
        <v>29593.407852138866</v>
      </c>
      <c r="W731" s="577">
        <f t="shared" si="651"/>
        <v>29897.401977188223</v>
      </c>
      <c r="X731" s="577">
        <f t="shared" si="651"/>
        <v>30201.396645245804</v>
      </c>
      <c r="Y731" s="577">
        <f t="shared" si="651"/>
        <v>30506.26224305651</v>
      </c>
      <c r="Z731" s="577">
        <f t="shared" si="651"/>
        <v>30810.258158676537</v>
      </c>
      <c r="AA731" s="577">
        <f t="shared" si="651"/>
        <v>31115.12512515171</v>
      </c>
      <c r="AB731" s="577">
        <f t="shared" si="651"/>
        <v>31419.122532405239</v>
      </c>
      <c r="AC731" s="577">
        <f t="shared" si="651"/>
        <v>31723.120788491702</v>
      </c>
      <c r="AD731" s="577">
        <f t="shared" si="651"/>
        <v>32027.990316954256</v>
      </c>
      <c r="AE731" s="577">
        <f t="shared" si="651"/>
        <v>32331.990510333308</v>
      </c>
      <c r="AF731" s="577">
        <f t="shared" si="651"/>
        <v>32635.991802087701</v>
      </c>
      <c r="AG731" s="725">
        <f t="shared" si="651"/>
        <v>32940.864645303278</v>
      </c>
      <c r="AH731" s="18"/>
      <c r="AI731" s="18"/>
      <c r="AJ731" s="18"/>
      <c r="AK731" s="18"/>
      <c r="AL731" s="18"/>
      <c r="AM731" s="18"/>
      <c r="AN731" s="18"/>
    </row>
    <row r="732" spans="1:40" ht="21.95" customHeight="1" x14ac:dyDescent="0.2">
      <c r="B732" s="705"/>
      <c r="C732" s="715"/>
      <c r="D732" s="715"/>
      <c r="E732" s="1339"/>
      <c r="F732" s="116" t="s">
        <v>288</v>
      </c>
      <c r="G732" s="116" t="s">
        <v>340</v>
      </c>
      <c r="H732" s="577">
        <f t="shared" ref="H732:AG732" si="652">H672+H702</f>
        <v>0</v>
      </c>
      <c r="I732" s="577">
        <f t="shared" si="652"/>
        <v>2106.9647201946473</v>
      </c>
      <c r="J732" s="577">
        <f t="shared" si="652"/>
        <v>6089.7763381995128</v>
      </c>
      <c r="K732" s="577">
        <f t="shared" si="652"/>
        <v>13689.436009732968</v>
      </c>
      <c r="L732" s="577">
        <f t="shared" si="652"/>
        <v>21293.309610784258</v>
      </c>
      <c r="M732" s="577">
        <f t="shared" si="652"/>
        <v>28897.507362359574</v>
      </c>
      <c r="N732" s="577">
        <f t="shared" si="652"/>
        <v>36497.167061137545</v>
      </c>
      <c r="O732" s="577">
        <f t="shared" si="652"/>
        <v>44105.578947331764</v>
      </c>
      <c r="P732" s="577">
        <f t="shared" si="652"/>
        <v>49972.666020862933</v>
      </c>
      <c r="Q732" s="577">
        <f t="shared" si="652"/>
        <v>55840.72707864191</v>
      </c>
      <c r="R732" s="577">
        <f t="shared" si="652"/>
        <v>61707.819803890015</v>
      </c>
      <c r="S732" s="577">
        <f t="shared" si="652"/>
        <v>67574.922520025022</v>
      </c>
      <c r="T732" s="577">
        <f t="shared" si="652"/>
        <v>73449.827302008503</v>
      </c>
      <c r="U732" s="577">
        <f t="shared" si="652"/>
        <v>76361.687079460433</v>
      </c>
      <c r="V732" s="577">
        <f t="shared" si="652"/>
        <v>77154.241900219175</v>
      </c>
      <c r="W732" s="577">
        <f t="shared" si="652"/>
        <v>77946.798011955019</v>
      </c>
      <c r="X732" s="577">
        <f t="shared" si="652"/>
        <v>78739.355539390832</v>
      </c>
      <c r="Y732" s="577">
        <f t="shared" si="652"/>
        <v>79534.183705111616</v>
      </c>
      <c r="Z732" s="577">
        <f t="shared" si="652"/>
        <v>80326.744485120973</v>
      </c>
      <c r="AA732" s="577">
        <f t="shared" si="652"/>
        <v>81121.576219145514</v>
      </c>
      <c r="AB732" s="577">
        <f t="shared" si="652"/>
        <v>81914.140888056514</v>
      </c>
      <c r="AC732" s="577">
        <f t="shared" si="652"/>
        <v>82706.707769996225</v>
      </c>
      <c r="AD732" s="577">
        <f t="shared" si="652"/>
        <v>83501.546183487866</v>
      </c>
      <c r="AE732" s="577">
        <f t="shared" si="652"/>
        <v>84294.118116226105</v>
      </c>
      <c r="AF732" s="577">
        <f t="shared" si="652"/>
        <v>85086.692912585801</v>
      </c>
      <c r="AG732" s="725">
        <f t="shared" si="652"/>
        <v>85881.53996811212</v>
      </c>
      <c r="AH732" s="18"/>
      <c r="AI732" s="18"/>
      <c r="AJ732" s="18"/>
      <c r="AK732" s="18"/>
      <c r="AL732" s="18"/>
      <c r="AM732" s="18"/>
      <c r="AN732" s="18"/>
    </row>
    <row r="733" spans="1:40" ht="21.95" customHeight="1" x14ac:dyDescent="0.2">
      <c r="B733" s="705"/>
      <c r="C733" s="715"/>
      <c r="D733" s="715"/>
      <c r="E733" s="1353"/>
      <c r="F733" s="254" t="s">
        <v>340</v>
      </c>
      <c r="G733" s="254" t="s">
        <v>280</v>
      </c>
      <c r="H733" s="587">
        <f t="shared" ref="H733:AG733" si="653">H673+H703</f>
        <v>2797.4452554744526</v>
      </c>
      <c r="I733" s="587">
        <f t="shared" si="653"/>
        <v>4134.3443430656926</v>
      </c>
      <c r="J733" s="587">
        <f t="shared" si="653"/>
        <v>5799.85</v>
      </c>
      <c r="K733" s="587">
        <f t="shared" si="653"/>
        <v>9366.0332116788322</v>
      </c>
      <c r="L733" s="587">
        <f t="shared" si="653"/>
        <v>12932.682664233587</v>
      </c>
      <c r="M733" s="587">
        <f t="shared" si="653"/>
        <v>16500.824087591365</v>
      </c>
      <c r="N733" s="587">
        <f t="shared" si="653"/>
        <v>20067.00729927115</v>
      </c>
      <c r="O733" s="587">
        <f t="shared" si="653"/>
        <v>23631.325547451786</v>
      </c>
      <c r="P733" s="587">
        <f t="shared" si="653"/>
        <v>30788.309489170948</v>
      </c>
      <c r="Q733" s="587">
        <f t="shared" si="653"/>
        <v>37941.190512141889</v>
      </c>
      <c r="R733" s="587">
        <f t="shared" si="653"/>
        <v>45095.656759802892</v>
      </c>
      <c r="S733" s="587">
        <f t="shared" si="653"/>
        <v>52252.640733758701</v>
      </c>
      <c r="T733" s="587">
        <f t="shared" si="653"/>
        <v>59407.759836992336</v>
      </c>
      <c r="U733" s="587">
        <f t="shared" si="653"/>
        <v>64663.879982477069</v>
      </c>
      <c r="V733" s="587">
        <f t="shared" si="653"/>
        <v>66000.779176209689</v>
      </c>
      <c r="W733" s="587">
        <f t="shared" si="653"/>
        <v>67337.678393764189</v>
      </c>
      <c r="X733" s="587">
        <f t="shared" si="653"/>
        <v>68674.577639852505</v>
      </c>
      <c r="Y733" s="587">
        <f t="shared" si="653"/>
        <v>70007.467247826862</v>
      </c>
      <c r="Z733" s="587">
        <f t="shared" si="653"/>
        <v>71344.366568339159</v>
      </c>
      <c r="AA733" s="587">
        <f t="shared" si="653"/>
        <v>72677.256264387222</v>
      </c>
      <c r="AB733" s="587">
        <f t="shared" si="653"/>
        <v>74014.155689420746</v>
      </c>
      <c r="AC733" s="587">
        <f t="shared" si="653"/>
        <v>75351.055181241478</v>
      </c>
      <c r="AD733" s="587">
        <f t="shared" si="653"/>
        <v>76683.945078408971</v>
      </c>
      <c r="AE733" s="587">
        <f t="shared" si="653"/>
        <v>78020.844740296001</v>
      </c>
      <c r="AF733" s="587">
        <f t="shared" si="653"/>
        <v>79357.744509500684</v>
      </c>
      <c r="AG733" s="729">
        <f t="shared" si="653"/>
        <v>80690.634729588026</v>
      </c>
      <c r="AH733" s="18"/>
      <c r="AI733" s="18"/>
      <c r="AJ733" s="18"/>
      <c r="AK733" s="18"/>
      <c r="AL733" s="18"/>
      <c r="AM733" s="18"/>
      <c r="AN733" s="18"/>
    </row>
    <row r="734" spans="1:40" ht="21.95" customHeight="1" x14ac:dyDescent="0.2">
      <c r="B734" s="705"/>
      <c r="C734" s="715"/>
      <c r="D734" s="715"/>
      <c r="E734" s="1340" t="s">
        <v>334</v>
      </c>
      <c r="F734" s="116" t="s">
        <v>336</v>
      </c>
      <c r="G734" s="116" t="s">
        <v>337</v>
      </c>
      <c r="H734" s="577">
        <f t="shared" ref="H734:AG734" si="654">H674+H704</f>
        <v>50196.720034495389</v>
      </c>
      <c r="I734" s="577">
        <f t="shared" si="654"/>
        <v>51587.251965920957</v>
      </c>
      <c r="J734" s="577">
        <f t="shared" si="654"/>
        <v>53831.420020626247</v>
      </c>
      <c r="K734" s="577">
        <f t="shared" si="654"/>
        <v>57037.673320945672</v>
      </c>
      <c r="L734" s="577">
        <f t="shared" si="654"/>
        <v>60245.731396834977</v>
      </c>
      <c r="M734" s="577">
        <f t="shared" si="654"/>
        <v>63454.214998305571</v>
      </c>
      <c r="N734" s="577">
        <f t="shared" si="654"/>
        <v>66662.40551445735</v>
      </c>
      <c r="O734" s="577">
        <f t="shared" si="654"/>
        <v>69874.966156863855</v>
      </c>
      <c r="P734" s="577">
        <f t="shared" si="654"/>
        <v>72736.357307731698</v>
      </c>
      <c r="Q734" s="577">
        <f t="shared" si="654"/>
        <v>75601.238119075977</v>
      </c>
      <c r="R734" s="577">
        <f t="shared" si="654"/>
        <v>78468.882064532168</v>
      </c>
      <c r="S734" s="577">
        <f t="shared" si="654"/>
        <v>81341.635536632515</v>
      </c>
      <c r="T734" s="577">
        <f t="shared" si="654"/>
        <v>84224.331542750078</v>
      </c>
      <c r="U734" s="577">
        <f t="shared" si="654"/>
        <v>86137.981815861916</v>
      </c>
      <c r="V734" s="577">
        <f t="shared" si="654"/>
        <v>87546.980011808875</v>
      </c>
      <c r="W734" s="577">
        <f t="shared" si="654"/>
        <v>88959.176142850047</v>
      </c>
      <c r="X734" s="577">
        <f t="shared" si="654"/>
        <v>90375.058054087538</v>
      </c>
      <c r="Y734" s="577">
        <f t="shared" si="654"/>
        <v>91796.095561331211</v>
      </c>
      <c r="Z734" s="577">
        <f t="shared" si="654"/>
        <v>93221.08336365156</v>
      </c>
      <c r="AA734" s="577">
        <f t="shared" si="654"/>
        <v>94652.565814260335</v>
      </c>
      <c r="AB734" s="577">
        <f t="shared" si="654"/>
        <v>96089.494694728957</v>
      </c>
      <c r="AC734" s="577">
        <f t="shared" si="654"/>
        <v>97533.685697613852</v>
      </c>
      <c r="AD734" s="577">
        <f t="shared" si="654"/>
        <v>98987.083635251969</v>
      </c>
      <c r="AE734" s="577">
        <f t="shared" si="654"/>
        <v>100448.94394750291</v>
      </c>
      <c r="AF734" s="577">
        <f t="shared" si="654"/>
        <v>101921.46243968728</v>
      </c>
      <c r="AG734" s="725">
        <f t="shared" si="654"/>
        <v>103407.01117236054</v>
      </c>
      <c r="AH734" s="18"/>
      <c r="AI734" s="18"/>
      <c r="AJ734" s="18"/>
      <c r="AK734" s="18"/>
      <c r="AL734" s="18"/>
      <c r="AM734" s="18"/>
      <c r="AN734" s="18"/>
    </row>
    <row r="735" spans="1:40" ht="21.95" customHeight="1" x14ac:dyDescent="0.2">
      <c r="B735" s="705"/>
      <c r="C735" s="715"/>
      <c r="D735" s="715"/>
      <c r="E735" s="1339"/>
      <c r="F735" s="116" t="s">
        <v>337</v>
      </c>
      <c r="G735" s="116" t="s">
        <v>386</v>
      </c>
      <c r="H735" s="577">
        <f t="shared" ref="H735:AG735" si="655">H675+H705</f>
        <v>82970.789794739554</v>
      </c>
      <c r="I735" s="577">
        <f t="shared" si="655"/>
        <v>83095.491660128828</v>
      </c>
      <c r="J735" s="577">
        <f t="shared" si="655"/>
        <v>83220.197604310364</v>
      </c>
      <c r="K735" s="577">
        <f t="shared" si="655"/>
        <v>83344.9076788854</v>
      </c>
      <c r="L735" s="577">
        <f t="shared" si="655"/>
        <v>83469.621939780962</v>
      </c>
      <c r="M735" s="577">
        <f t="shared" si="655"/>
        <v>83594.340443596317</v>
      </c>
      <c r="N735" s="577">
        <f t="shared" si="655"/>
        <v>83719.063247609796</v>
      </c>
      <c r="O735" s="577">
        <f t="shared" si="655"/>
        <v>83843.790409786176</v>
      </c>
      <c r="P735" s="577">
        <f t="shared" si="655"/>
        <v>83968.521988783556</v>
      </c>
      <c r="Q735" s="577">
        <f t="shared" si="655"/>
        <v>83968.521992908456</v>
      </c>
      <c r="R735" s="577">
        <f t="shared" si="655"/>
        <v>83968.521992908456</v>
      </c>
      <c r="S735" s="577">
        <f t="shared" si="655"/>
        <v>83968.521992908456</v>
      </c>
      <c r="T735" s="577">
        <f t="shared" si="655"/>
        <v>83968.521992908456</v>
      </c>
      <c r="U735" s="577">
        <f t="shared" si="655"/>
        <v>83968.521992908456</v>
      </c>
      <c r="V735" s="577">
        <f t="shared" si="655"/>
        <v>84521.133757670585</v>
      </c>
      <c r="W735" s="577">
        <f t="shared" si="655"/>
        <v>85833.539908950988</v>
      </c>
      <c r="X735" s="577">
        <f t="shared" si="655"/>
        <v>87146.550039192254</v>
      </c>
      <c r="Y735" s="577">
        <f t="shared" si="655"/>
        <v>88460.558908242703</v>
      </c>
      <c r="Z735" s="577">
        <f t="shared" si="655"/>
        <v>89775.05273573997</v>
      </c>
      <c r="AA735" s="577">
        <f t="shared" si="655"/>
        <v>91090.756960685583</v>
      </c>
      <c r="AB735" s="577">
        <f t="shared" si="655"/>
        <v>92407.183341261232</v>
      </c>
      <c r="AC735" s="577">
        <f t="shared" si="655"/>
        <v>93724.779746446526</v>
      </c>
      <c r="AD735" s="577">
        <f t="shared" si="655"/>
        <v>95044.012067035394</v>
      </c>
      <c r="AE735" s="577">
        <f t="shared" si="655"/>
        <v>96364.44133226671</v>
      </c>
      <c r="AF735" s="577">
        <f t="shared" si="655"/>
        <v>97686.572354012882</v>
      </c>
      <c r="AG735" s="725">
        <f t="shared" si="655"/>
        <v>99010.934188410713</v>
      </c>
      <c r="AH735" s="18"/>
      <c r="AI735" s="18"/>
      <c r="AJ735" s="18"/>
      <c r="AK735" s="18"/>
      <c r="AL735" s="18"/>
      <c r="AM735" s="18"/>
      <c r="AN735" s="18"/>
    </row>
    <row r="736" spans="1:40" ht="21.95" customHeight="1" x14ac:dyDescent="0.2">
      <c r="B736" s="705"/>
      <c r="C736" s="715"/>
      <c r="D736" s="715"/>
      <c r="E736" s="1339"/>
      <c r="F736" s="116" t="s">
        <v>342</v>
      </c>
      <c r="G736" s="116" t="s">
        <v>341</v>
      </c>
      <c r="H736" s="577">
        <f t="shared" ref="H736:AG736" si="656">H676+H706</f>
        <v>120295.7251648075</v>
      </c>
      <c r="I736" s="577">
        <f t="shared" si="656"/>
        <v>120476.63379087982</v>
      </c>
      <c r="J736" s="577">
        <f t="shared" si="656"/>
        <v>120657.55013752094</v>
      </c>
      <c r="K736" s="577">
        <f t="shared" si="656"/>
        <v>120838.4743024045</v>
      </c>
      <c r="L736" s="577">
        <f t="shared" si="656"/>
        <v>121019.40639139252</v>
      </c>
      <c r="M736" s="577">
        <f t="shared" si="656"/>
        <v>121200.34651161914</v>
      </c>
      <c r="N736" s="577">
        <f t="shared" si="656"/>
        <v>121381.29477150415</v>
      </c>
      <c r="O736" s="577">
        <f t="shared" si="656"/>
        <v>121562.25128076642</v>
      </c>
      <c r="P736" s="577">
        <f t="shared" si="656"/>
        <v>121743.21615043744</v>
      </c>
      <c r="Q736" s="577">
        <f t="shared" si="656"/>
        <v>121743.2161582453</v>
      </c>
      <c r="R736" s="577">
        <f t="shared" si="656"/>
        <v>121743.2161582453</v>
      </c>
      <c r="S736" s="577">
        <f t="shared" si="656"/>
        <v>121743.2161582453</v>
      </c>
      <c r="T736" s="577">
        <f t="shared" si="656"/>
        <v>121743.2161582453</v>
      </c>
      <c r="U736" s="577">
        <f t="shared" si="656"/>
        <v>121743.2161582453</v>
      </c>
      <c r="V736" s="577">
        <f t="shared" si="656"/>
        <v>122544.98849086178</v>
      </c>
      <c r="W736" s="577">
        <f t="shared" si="656"/>
        <v>124449.29946849524</v>
      </c>
      <c r="X736" s="577">
        <f t="shared" si="656"/>
        <v>126354.75369168121</v>
      </c>
      <c r="Y736" s="577">
        <f t="shared" si="656"/>
        <v>128261.96305499171</v>
      </c>
      <c r="Z736" s="577">
        <f t="shared" si="656"/>
        <v>130170.22570429662</v>
      </c>
      <c r="AA736" s="577">
        <f t="shared" si="656"/>
        <v>132080.64413317482</v>
      </c>
      <c r="AB736" s="577">
        <f t="shared" si="656"/>
        <v>133992.5648282973</v>
      </c>
      <c r="AC736" s="577">
        <f t="shared" si="656"/>
        <v>135906.70021220506</v>
      </c>
      <c r="AD736" s="577">
        <f t="shared" si="656"/>
        <v>137823.79682014906</v>
      </c>
      <c r="AE736" s="577">
        <f t="shared" si="656"/>
        <v>139743.29440184525</v>
      </c>
      <c r="AF736" s="577">
        <f t="shared" si="656"/>
        <v>141666.01316456433</v>
      </c>
      <c r="AG736" s="725">
        <f t="shared" si="656"/>
        <v>143592.8192064921</v>
      </c>
      <c r="AH736" s="18"/>
      <c r="AI736" s="18"/>
      <c r="AJ736" s="18"/>
      <c r="AK736" s="18"/>
      <c r="AL736" s="18"/>
      <c r="AM736" s="18"/>
      <c r="AN736" s="18"/>
    </row>
    <row r="737" spans="1:40" ht="21.95" customHeight="1" x14ac:dyDescent="0.2">
      <c r="B737" s="705"/>
      <c r="C737" s="715"/>
      <c r="D737" s="715"/>
      <c r="E737" s="1339"/>
      <c r="F737" s="116" t="s">
        <v>341</v>
      </c>
      <c r="G737" s="116" t="s">
        <v>344</v>
      </c>
      <c r="H737" s="577">
        <f t="shared" ref="H737:AG737" si="657">H677+H707</f>
        <v>124354.61598331397</v>
      </c>
      <c r="I737" s="577">
        <f t="shared" si="657"/>
        <v>124543.10336149606</v>
      </c>
      <c r="J737" s="577">
        <f t="shared" si="657"/>
        <v>124731.62320413964</v>
      </c>
      <c r="K737" s="577">
        <f t="shared" si="657"/>
        <v>124920.17592195568</v>
      </c>
      <c r="L737" s="577">
        <f t="shared" si="657"/>
        <v>125108.76196008633</v>
      </c>
      <c r="M737" s="577">
        <f t="shared" si="657"/>
        <v>125297.38176902357</v>
      </c>
      <c r="N737" s="577">
        <f t="shared" si="657"/>
        <v>125486.03580466514</v>
      </c>
      <c r="O737" s="577">
        <f t="shared" si="657"/>
        <v>125674.72452837134</v>
      </c>
      <c r="P737" s="577">
        <f t="shared" si="657"/>
        <v>125863.44840702202</v>
      </c>
      <c r="Q737" s="577">
        <f t="shared" si="657"/>
        <v>125863.4484398535</v>
      </c>
      <c r="R737" s="577">
        <f t="shared" si="657"/>
        <v>125863.4484398535</v>
      </c>
      <c r="S737" s="577">
        <f t="shared" si="657"/>
        <v>125863.4484398535</v>
      </c>
      <c r="T737" s="577">
        <f t="shared" si="657"/>
        <v>125863.4484398535</v>
      </c>
      <c r="U737" s="577">
        <f t="shared" si="657"/>
        <v>125863.4484398535</v>
      </c>
      <c r="V737" s="577">
        <f t="shared" si="657"/>
        <v>125863.4484398535</v>
      </c>
      <c r="W737" s="577">
        <f t="shared" si="657"/>
        <v>125863.4484398535</v>
      </c>
      <c r="X737" s="577">
        <f t="shared" si="657"/>
        <v>125863.4484398535</v>
      </c>
      <c r="Y737" s="577">
        <f t="shared" si="657"/>
        <v>125863.4484398535</v>
      </c>
      <c r="Z737" s="577">
        <f t="shared" si="657"/>
        <v>127522.14021538675</v>
      </c>
      <c r="AA737" s="577">
        <f t="shared" si="657"/>
        <v>129409.26106014001</v>
      </c>
      <c r="AB737" s="577">
        <f t="shared" si="657"/>
        <v>131300.47781160695</v>
      </c>
      <c r="AC737" s="577">
        <f t="shared" si="657"/>
        <v>133196.85174582631</v>
      </c>
      <c r="AD737" s="577">
        <f t="shared" si="657"/>
        <v>135099.52361402145</v>
      </c>
      <c r="AE737" s="577">
        <f t="shared" si="657"/>
        <v>137008.38410352275</v>
      </c>
      <c r="AF737" s="577">
        <f t="shared" si="657"/>
        <v>138924.74552016263</v>
      </c>
      <c r="AG737" s="725">
        <f t="shared" si="657"/>
        <v>140850.0270325703</v>
      </c>
      <c r="AH737" s="18"/>
      <c r="AI737" s="18"/>
      <c r="AJ737" s="18"/>
      <c r="AK737" s="18"/>
      <c r="AL737" s="18"/>
      <c r="AM737" s="18"/>
      <c r="AN737" s="18"/>
    </row>
    <row r="738" spans="1:40" ht="21.95" customHeight="1" x14ac:dyDescent="0.2">
      <c r="B738" s="705"/>
      <c r="C738" s="715"/>
      <c r="D738" s="715"/>
      <c r="E738" s="1339"/>
      <c r="F738" s="116" t="s">
        <v>344</v>
      </c>
      <c r="G738" s="116" t="s">
        <v>345</v>
      </c>
      <c r="H738" s="577">
        <f t="shared" ref="H738:AG738" si="658">H678+H708</f>
        <v>41932.997328808022</v>
      </c>
      <c r="I738" s="577">
        <f t="shared" si="658"/>
        <v>41996.139357540247</v>
      </c>
      <c r="J738" s="577">
        <f t="shared" si="658"/>
        <v>42059.285412802332</v>
      </c>
      <c r="K738" s="577">
        <f t="shared" si="658"/>
        <v>42122.435545534303</v>
      </c>
      <c r="L738" s="577">
        <f t="shared" si="658"/>
        <v>42185.589810946614</v>
      </c>
      <c r="M738" s="577">
        <f t="shared" si="658"/>
        <v>42248.748264913265</v>
      </c>
      <c r="N738" s="577">
        <f t="shared" si="658"/>
        <v>42311.910963978735</v>
      </c>
      <c r="O738" s="577">
        <f t="shared" si="658"/>
        <v>42375.077965365024</v>
      </c>
      <c r="P738" s="577">
        <f t="shared" si="658"/>
        <v>42438.249326978679</v>
      </c>
      <c r="Q738" s="577">
        <f t="shared" si="658"/>
        <v>42438.249331050742</v>
      </c>
      <c r="R738" s="577">
        <f t="shared" si="658"/>
        <v>42438.249331050742</v>
      </c>
      <c r="S738" s="577">
        <f t="shared" si="658"/>
        <v>42438.249331050742</v>
      </c>
      <c r="T738" s="577">
        <f t="shared" si="658"/>
        <v>42438.249331050742</v>
      </c>
      <c r="U738" s="577">
        <f t="shared" si="658"/>
        <v>42438.249331050742</v>
      </c>
      <c r="V738" s="577">
        <f t="shared" si="658"/>
        <v>42438.249331050742</v>
      </c>
      <c r="W738" s="577">
        <f t="shared" si="658"/>
        <v>42438.249331050742</v>
      </c>
      <c r="X738" s="577">
        <f t="shared" si="658"/>
        <v>42438.249331050742</v>
      </c>
      <c r="Y738" s="577">
        <f t="shared" si="658"/>
        <v>42438.249331050742</v>
      </c>
      <c r="Z738" s="577">
        <f t="shared" si="658"/>
        <v>42993.127908530194</v>
      </c>
      <c r="AA738" s="577">
        <f t="shared" si="658"/>
        <v>43623.62981187203</v>
      </c>
      <c r="AB738" s="577">
        <f t="shared" si="658"/>
        <v>44254.547228274634</v>
      </c>
      <c r="AC738" s="577">
        <f t="shared" si="658"/>
        <v>44886.104284129797</v>
      </c>
      <c r="AD738" s="577">
        <f t="shared" si="658"/>
        <v>45518.534963045116</v>
      </c>
      <c r="AE738" s="577">
        <f t="shared" si="658"/>
        <v>46151.640712008135</v>
      </c>
      <c r="AF738" s="577">
        <f t="shared" si="658"/>
        <v>46785.676792347585</v>
      </c>
      <c r="AG738" s="725">
        <f t="shared" si="658"/>
        <v>47420.911719462085</v>
      </c>
      <c r="AH738" s="18"/>
      <c r="AI738" s="18"/>
      <c r="AJ738" s="18"/>
      <c r="AK738" s="18"/>
      <c r="AL738" s="18"/>
      <c r="AM738" s="18"/>
      <c r="AN738" s="18"/>
    </row>
    <row r="739" spans="1:40" ht="21.95" customHeight="1" x14ac:dyDescent="0.2">
      <c r="B739" s="705"/>
      <c r="C739" s="715"/>
      <c r="D739" s="715"/>
      <c r="E739" s="1339"/>
      <c r="F739" s="116" t="s">
        <v>345</v>
      </c>
      <c r="G739" s="116" t="s">
        <v>323</v>
      </c>
      <c r="H739" s="577">
        <f t="shared" ref="H739:AG739" si="659">H679+H709</f>
        <v>414258.30285385402</v>
      </c>
      <c r="I739" s="577">
        <f t="shared" si="659"/>
        <v>423802.63328273478</v>
      </c>
      <c r="J739" s="577">
        <f t="shared" si="659"/>
        <v>437780.88259923155</v>
      </c>
      <c r="K739" s="577">
        <f t="shared" si="659"/>
        <v>454581.53613359708</v>
      </c>
      <c r="L739" s="577">
        <f t="shared" si="659"/>
        <v>471441.96332887374</v>
      </c>
      <c r="M739" s="577">
        <f t="shared" si="659"/>
        <v>488380.3716197433</v>
      </c>
      <c r="N739" s="577">
        <f t="shared" si="659"/>
        <v>505417.29362958996</v>
      </c>
      <c r="O739" s="577">
        <f t="shared" si="659"/>
        <v>522604.78347617574</v>
      </c>
      <c r="P739" s="577">
        <f t="shared" si="659"/>
        <v>537540.71286574122</v>
      </c>
      <c r="Q739" s="577">
        <f t="shared" si="659"/>
        <v>552654.7754477933</v>
      </c>
      <c r="R739" s="577">
        <f t="shared" si="659"/>
        <v>567996.58952713828</v>
      </c>
      <c r="S739" s="577">
        <f t="shared" si="659"/>
        <v>583624.59613122256</v>
      </c>
      <c r="T739" s="577">
        <f t="shared" si="659"/>
        <v>599621.37736185454</v>
      </c>
      <c r="U739" s="577">
        <f t="shared" si="659"/>
        <v>612838.43338148599</v>
      </c>
      <c r="V739" s="577">
        <f t="shared" si="659"/>
        <v>623946.03366166225</v>
      </c>
      <c r="W739" s="577">
        <f t="shared" si="659"/>
        <v>635321.8138052813</v>
      </c>
      <c r="X739" s="577">
        <f t="shared" si="659"/>
        <v>647005.54796451749</v>
      </c>
      <c r="Y739" s="577">
        <f t="shared" si="659"/>
        <v>659045.01934551401</v>
      </c>
      <c r="Z739" s="577">
        <f t="shared" si="659"/>
        <v>671485.28484872507</v>
      </c>
      <c r="AA739" s="577">
        <f t="shared" si="659"/>
        <v>684389.21147404844</v>
      </c>
      <c r="AB739" s="577">
        <f t="shared" si="659"/>
        <v>697814.87812415999</v>
      </c>
      <c r="AC739" s="577">
        <f t="shared" si="659"/>
        <v>711837.13568042836</v>
      </c>
      <c r="AD739" s="577">
        <f t="shared" si="659"/>
        <v>726540.02427585446</v>
      </c>
      <c r="AE739" s="577">
        <f t="shared" si="659"/>
        <v>742006.74592969671</v>
      </c>
      <c r="AF739" s="577">
        <f t="shared" si="659"/>
        <v>758341.18647842458</v>
      </c>
      <c r="AG739" s="725">
        <f t="shared" si="659"/>
        <v>775659.59381272364</v>
      </c>
      <c r="AH739" s="18"/>
      <c r="AI739" s="18"/>
      <c r="AJ739" s="18"/>
      <c r="AK739" s="18"/>
      <c r="AL739" s="18"/>
      <c r="AM739" s="18"/>
      <c r="AN739" s="18"/>
    </row>
    <row r="740" spans="1:40" ht="21.95" customHeight="1" x14ac:dyDescent="0.2">
      <c r="B740" s="705"/>
      <c r="C740" s="715"/>
      <c r="D740" s="715"/>
      <c r="E740" s="1339"/>
      <c r="F740" s="116" t="s">
        <v>323</v>
      </c>
      <c r="G740" s="116" t="s">
        <v>347</v>
      </c>
      <c r="H740" s="577">
        <f t="shared" ref="H740:AG740" si="660">H680+H710</f>
        <v>73974.696938188237</v>
      </c>
      <c r="I740" s="577">
        <f t="shared" si="660"/>
        <v>75615.241040664871</v>
      </c>
      <c r="J740" s="577">
        <f t="shared" si="660"/>
        <v>78047.211438552273</v>
      </c>
      <c r="K740" s="577">
        <f t="shared" si="660"/>
        <v>81140.366672894321</v>
      </c>
      <c r="L740" s="577">
        <f t="shared" si="660"/>
        <v>84244.918057042581</v>
      </c>
      <c r="M740" s="577">
        <f t="shared" si="660"/>
        <v>87363.897995896376</v>
      </c>
      <c r="N740" s="577">
        <f t="shared" si="660"/>
        <v>90502.287776327459</v>
      </c>
      <c r="O740" s="577">
        <f t="shared" si="660"/>
        <v>93669.912014341564</v>
      </c>
      <c r="P740" s="577">
        <f t="shared" si="660"/>
        <v>96515.510320242873</v>
      </c>
      <c r="Q740" s="577">
        <f t="shared" si="660"/>
        <v>99399.399143483257</v>
      </c>
      <c r="R740" s="577">
        <f t="shared" si="660"/>
        <v>102331.90800102237</v>
      </c>
      <c r="S740" s="577">
        <f t="shared" si="660"/>
        <v>105326.88913164652</v>
      </c>
      <c r="T740" s="577">
        <f t="shared" si="660"/>
        <v>108402.61969903079</v>
      </c>
      <c r="U740" s="577">
        <f t="shared" si="660"/>
        <v>110808.72664512691</v>
      </c>
      <c r="V740" s="577">
        <f t="shared" si="660"/>
        <v>112748.44610319295</v>
      </c>
      <c r="W740" s="577">
        <f t="shared" si="660"/>
        <v>114736.76676991628</v>
      </c>
      <c r="X740" s="577">
        <f t="shared" si="660"/>
        <v>116780.5374163571</v>
      </c>
      <c r="Y740" s="577">
        <f t="shared" si="660"/>
        <v>118887.79661476646</v>
      </c>
      <c r="Z740" s="577">
        <f t="shared" si="660"/>
        <v>121066.49141673415</v>
      </c>
      <c r="AA740" s="577">
        <f t="shared" si="660"/>
        <v>123326.98880174293</v>
      </c>
      <c r="AB740" s="577">
        <f t="shared" si="660"/>
        <v>125679.35781845303</v>
      </c>
      <c r="AC740" s="577">
        <f t="shared" si="660"/>
        <v>128136.00979411823</v>
      </c>
      <c r="AD740" s="577">
        <f t="shared" si="660"/>
        <v>130710.80433993107</v>
      </c>
      <c r="AE740" s="577">
        <f t="shared" si="660"/>
        <v>133417.86136865432</v>
      </c>
      <c r="AF740" s="577">
        <f t="shared" si="660"/>
        <v>136274.20182909979</v>
      </c>
      <c r="AG740" s="725">
        <f t="shared" si="660"/>
        <v>139298.76839525532</v>
      </c>
      <c r="AH740" s="18"/>
      <c r="AI740" s="18"/>
      <c r="AJ740" s="18"/>
      <c r="AK740" s="18"/>
      <c r="AL740" s="18"/>
      <c r="AM740" s="18"/>
      <c r="AN740" s="18"/>
    </row>
    <row r="741" spans="1:40" ht="21.95" customHeight="1" x14ac:dyDescent="0.2">
      <c r="B741" s="705"/>
      <c r="C741" s="715"/>
      <c r="D741" s="715"/>
      <c r="E741" s="1339"/>
      <c r="F741" s="116" t="s">
        <v>347</v>
      </c>
      <c r="G741" s="116" t="s">
        <v>348</v>
      </c>
      <c r="H741" s="577">
        <f t="shared" ref="H741:AG741" si="661">H681+H711</f>
        <v>60555.04565970866</v>
      </c>
      <c r="I741" s="577">
        <f t="shared" si="661"/>
        <v>61900.713747978029</v>
      </c>
      <c r="J741" s="577">
        <f t="shared" si="661"/>
        <v>63896.911716218092</v>
      </c>
      <c r="K741" s="577">
        <f t="shared" si="661"/>
        <v>66438.903552233649</v>
      </c>
      <c r="L741" s="577">
        <f t="shared" si="661"/>
        <v>68995.019748033388</v>
      </c>
      <c r="M741" s="577">
        <f t="shared" si="661"/>
        <v>71569.639508746783</v>
      </c>
      <c r="N741" s="577">
        <f t="shared" si="661"/>
        <v>74169.37581417388</v>
      </c>
      <c r="O741" s="577">
        <f t="shared" si="661"/>
        <v>76805.669314669212</v>
      </c>
      <c r="P741" s="577">
        <f t="shared" si="661"/>
        <v>79187.660303971512</v>
      </c>
      <c r="Q741" s="577">
        <f t="shared" si="661"/>
        <v>81618.410322899945</v>
      </c>
      <c r="R741" s="577">
        <f t="shared" si="661"/>
        <v>84111.34757174275</v>
      </c>
      <c r="S741" s="577">
        <f t="shared" si="661"/>
        <v>86684.034228375109</v>
      </c>
      <c r="T741" s="577">
        <f t="shared" si="661"/>
        <v>89359.221367867227</v>
      </c>
      <c r="U741" s="577">
        <f t="shared" si="661"/>
        <v>91478.761592961469</v>
      </c>
      <c r="V741" s="577">
        <f t="shared" si="661"/>
        <v>93206.34402907289</v>
      </c>
      <c r="W741" s="577">
        <f t="shared" si="661"/>
        <v>94995.968670740054</v>
      </c>
      <c r="X741" s="577">
        <f t="shared" si="661"/>
        <v>96856.378363535216</v>
      </c>
      <c r="Y741" s="577">
        <f t="shared" si="661"/>
        <v>98797.713809527282</v>
      </c>
      <c r="Z741" s="577">
        <f t="shared" si="661"/>
        <v>100830.36185653004</v>
      </c>
      <c r="AA741" s="577">
        <f t="shared" si="661"/>
        <v>102967.31455844315</v>
      </c>
      <c r="AB741" s="577">
        <f t="shared" si="661"/>
        <v>105221.66761296451</v>
      </c>
      <c r="AC741" s="577">
        <f t="shared" si="661"/>
        <v>107609.14379249036</v>
      </c>
      <c r="AD741" s="577">
        <f t="shared" si="661"/>
        <v>110147.31468619134</v>
      </c>
      <c r="AE741" s="577">
        <f t="shared" si="661"/>
        <v>112854.44715006117</v>
      </c>
      <c r="AF741" s="577">
        <f t="shared" si="661"/>
        <v>115752.14840044585</v>
      </c>
      <c r="AG741" s="725">
        <f t="shared" si="661"/>
        <v>118864.47884511776</v>
      </c>
      <c r="AH741" s="18"/>
      <c r="AI741" s="18"/>
      <c r="AJ741" s="18"/>
      <c r="AK741" s="18"/>
      <c r="AL741" s="18"/>
      <c r="AM741" s="18"/>
      <c r="AN741" s="18"/>
    </row>
    <row r="742" spans="1:40" ht="21.95" customHeight="1" x14ac:dyDescent="0.2">
      <c r="B742" s="705"/>
      <c r="C742" s="715"/>
      <c r="D742" s="715"/>
      <c r="E742" s="1353"/>
      <c r="F742" s="254" t="s">
        <v>348</v>
      </c>
      <c r="G742" s="254" t="s">
        <v>349</v>
      </c>
      <c r="H742" s="577">
        <f t="shared" ref="H742:AG742" si="662">H682+H712</f>
        <v>99004.918632670961</v>
      </c>
      <c r="I742" s="577">
        <f t="shared" si="662"/>
        <v>101421.36019615347</v>
      </c>
      <c r="J742" s="577">
        <f t="shared" si="662"/>
        <v>104803.18845034699</v>
      </c>
      <c r="K742" s="577">
        <f t="shared" si="662"/>
        <v>109355.29165235185</v>
      </c>
      <c r="L742" s="577">
        <f t="shared" si="662"/>
        <v>114005.91088454769</v>
      </c>
      <c r="M742" s="577">
        <f t="shared" si="662"/>
        <v>118795.20745518628</v>
      </c>
      <c r="N742" s="577">
        <f t="shared" si="662"/>
        <v>123776.9320357962</v>
      </c>
      <c r="O742" s="577">
        <f t="shared" si="662"/>
        <v>129030.86854894808</v>
      </c>
      <c r="P742" s="577">
        <f t="shared" si="662"/>
        <v>134388.19569623578</v>
      </c>
      <c r="Q742" s="577">
        <f t="shared" si="662"/>
        <v>140195.78853466475</v>
      </c>
      <c r="R742" s="577">
        <f t="shared" si="662"/>
        <v>146599.93568136098</v>
      </c>
      <c r="S742" s="577">
        <f t="shared" si="662"/>
        <v>153788.63787718047</v>
      </c>
      <c r="T742" s="577">
        <f t="shared" si="662"/>
        <v>162005.74165950262</v>
      </c>
      <c r="U742" s="577">
        <f t="shared" si="662"/>
        <v>168926.18354747345</v>
      </c>
      <c r="V742" s="577">
        <f t="shared" si="662"/>
        <v>174809.94060749473</v>
      </c>
      <c r="W742" s="577">
        <f t="shared" si="662"/>
        <v>181283.52423123992</v>
      </c>
      <c r="X742" s="577">
        <f t="shared" si="662"/>
        <v>188434.37358555867</v>
      </c>
      <c r="Y742" s="577">
        <f t="shared" si="662"/>
        <v>196362.89031174424</v>
      </c>
      <c r="Z742" s="577">
        <f t="shared" si="662"/>
        <v>205177.34655723727</v>
      </c>
      <c r="AA742" s="577">
        <f t="shared" si="662"/>
        <v>215006.60794357373</v>
      </c>
      <c r="AB742" s="577">
        <f t="shared" si="662"/>
        <v>225987.69469772081</v>
      </c>
      <c r="AC742" s="577">
        <f t="shared" si="662"/>
        <v>238280.43949484185</v>
      </c>
      <c r="AD742" s="577">
        <f t="shared" si="662"/>
        <v>252064.66602365149</v>
      </c>
      <c r="AE742" s="577">
        <f t="shared" si="662"/>
        <v>267532.8731034068</v>
      </c>
      <c r="AF742" s="577">
        <f t="shared" si="662"/>
        <v>284908.53531893145</v>
      </c>
      <c r="AG742" s="725">
        <f t="shared" si="662"/>
        <v>304441.9961224423</v>
      </c>
      <c r="AH742" s="18"/>
      <c r="AI742" s="18"/>
      <c r="AJ742" s="18"/>
      <c r="AK742" s="18"/>
      <c r="AL742" s="18"/>
      <c r="AM742" s="18"/>
      <c r="AN742" s="18"/>
    </row>
    <row r="743" spans="1:40" ht="21.95" customHeight="1" x14ac:dyDescent="0.2">
      <c r="B743" s="705"/>
      <c r="C743" s="715"/>
      <c r="D743" s="715"/>
      <c r="E743" s="116" t="s">
        <v>288</v>
      </c>
      <c r="F743" s="116" t="s">
        <v>323</v>
      </c>
      <c r="G743" s="116" t="s">
        <v>348</v>
      </c>
      <c r="H743" s="593">
        <f t="shared" ref="H743:AG743" si="663">H683+H713</f>
        <v>24514.925373134458</v>
      </c>
      <c r="I743" s="593">
        <f t="shared" si="663"/>
        <v>26022.32089552264</v>
      </c>
      <c r="J743" s="593">
        <f t="shared" si="663"/>
        <v>28017.154850746825</v>
      </c>
      <c r="K743" s="593">
        <f t="shared" si="663"/>
        <v>30668.171641792556</v>
      </c>
      <c r="L743" s="593">
        <f t="shared" si="663"/>
        <v>33320.005597018695</v>
      </c>
      <c r="M743" s="593">
        <f t="shared" si="663"/>
        <v>35977.559701501305</v>
      </c>
      <c r="N743" s="593">
        <f t="shared" si="663"/>
        <v>38628.576492556465</v>
      </c>
      <c r="O743" s="593">
        <f t="shared" si="663"/>
        <v>41282.453358248742</v>
      </c>
      <c r="P743" s="593">
        <f t="shared" si="663"/>
        <v>43702.348880671481</v>
      </c>
      <c r="Q743" s="593">
        <f t="shared" si="663"/>
        <v>46120.201492671971</v>
      </c>
      <c r="R743" s="593">
        <f t="shared" si="663"/>
        <v>48540.23320919156</v>
      </c>
      <c r="S743" s="593">
        <f t="shared" si="663"/>
        <v>50960.128731746881</v>
      </c>
      <c r="T743" s="593">
        <f t="shared" si="663"/>
        <v>53388.604478285459</v>
      </c>
      <c r="U743" s="593">
        <f t="shared" si="663"/>
        <v>55150.410448723793</v>
      </c>
      <c r="V743" s="593">
        <f t="shared" si="663"/>
        <v>56657.80597144425</v>
      </c>
      <c r="W743" s="593">
        <f t="shared" si="663"/>
        <v>58165.201494265944</v>
      </c>
      <c r="X743" s="593">
        <f t="shared" si="663"/>
        <v>59672.5970172159</v>
      </c>
      <c r="Y743" s="593">
        <f t="shared" si="663"/>
        <v>61181.626868686326</v>
      </c>
      <c r="Z743" s="593">
        <f t="shared" si="663"/>
        <v>62689.022391999883</v>
      </c>
      <c r="AA743" s="593">
        <f t="shared" si="663"/>
        <v>64200.095154374125</v>
      </c>
      <c r="AB743" s="593">
        <f t="shared" si="663"/>
        <v>65707.490678251372</v>
      </c>
      <c r="AC743" s="593">
        <f t="shared" si="663"/>
        <v>67214.886202512498</v>
      </c>
      <c r="AD743" s="593">
        <f t="shared" si="663"/>
        <v>68723.916055605339</v>
      </c>
      <c r="AE743" s="593">
        <f t="shared" si="663"/>
        <v>70231.311580912501</v>
      </c>
      <c r="AF743" s="593">
        <f t="shared" si="663"/>
        <v>71738.707106918242</v>
      </c>
      <c r="AG743" s="730">
        <f t="shared" si="663"/>
        <v>73249.779872587678</v>
      </c>
      <c r="AH743" s="18"/>
      <c r="AI743" s="18"/>
      <c r="AJ743" s="18"/>
      <c r="AK743" s="18"/>
      <c r="AL743" s="18"/>
      <c r="AM743" s="18"/>
      <c r="AN743" s="18"/>
    </row>
    <row r="744" spans="1:40" ht="21.95" customHeight="1" x14ac:dyDescent="0.2">
      <c r="B744" s="705"/>
      <c r="C744" s="715"/>
      <c r="D744" s="715"/>
      <c r="E744" s="277" t="s">
        <v>340</v>
      </c>
      <c r="F744" s="277" t="s">
        <v>335</v>
      </c>
      <c r="G744" s="277" t="s">
        <v>323</v>
      </c>
      <c r="H744" s="577">
        <f t="shared" ref="H744:AG744" si="664">H684+H714</f>
        <v>0</v>
      </c>
      <c r="I744" s="577">
        <f t="shared" si="664"/>
        <v>25506.695298631377</v>
      </c>
      <c r="J744" s="577">
        <f t="shared" si="664"/>
        <v>27462.004335917474</v>
      </c>
      <c r="K744" s="577">
        <f t="shared" si="664"/>
        <v>30060.498908605485</v>
      </c>
      <c r="L744" s="577">
        <f t="shared" si="664"/>
        <v>32659.804263244878</v>
      </c>
      <c r="M744" s="577">
        <f t="shared" si="664"/>
        <v>35264.737090136579</v>
      </c>
      <c r="N744" s="577">
        <f t="shared" si="664"/>
        <v>37863.302834349641</v>
      </c>
      <c r="O744" s="577">
        <f t="shared" si="664"/>
        <v>40464.749166176349</v>
      </c>
      <c r="P744" s="577">
        <f t="shared" si="664"/>
        <v>42836.956262113017</v>
      </c>
      <c r="Q744" s="577">
        <f t="shared" si="664"/>
        <v>45207.353250352906</v>
      </c>
      <c r="R744" s="577">
        <f t="shared" si="664"/>
        <v>47580.198983913971</v>
      </c>
      <c r="S744" s="577">
        <f t="shared" si="664"/>
        <v>49953.40552352395</v>
      </c>
      <c r="T744" s="577">
        <f t="shared" si="664"/>
        <v>52335.79610102468</v>
      </c>
      <c r="U744" s="577">
        <f t="shared" si="664"/>
        <v>54064.871392685047</v>
      </c>
      <c r="V744" s="577">
        <f t="shared" si="664"/>
        <v>55544.903737164168</v>
      </c>
      <c r="W744" s="577">
        <f t="shared" si="664"/>
        <v>57025.699378580684</v>
      </c>
      <c r="X744" s="577">
        <f t="shared" si="664"/>
        <v>58507.461589192069</v>
      </c>
      <c r="Y744" s="577">
        <f t="shared" si="664"/>
        <v>59992.049030166963</v>
      </c>
      <c r="Z744" s="577">
        <f t="shared" si="664"/>
        <v>61476.552272436835</v>
      </c>
      <c r="AA744" s="577">
        <f t="shared" si="664"/>
        <v>62966.579790984062</v>
      </c>
      <c r="AB744" s="577">
        <f t="shared" si="664"/>
        <v>64455.332164677471</v>
      </c>
      <c r="AC744" s="577">
        <f t="shared" si="664"/>
        <v>65946.978014198554</v>
      </c>
      <c r="AD744" s="577">
        <f t="shared" si="664"/>
        <v>67443.795411522588</v>
      </c>
      <c r="AE744" s="577">
        <f t="shared" si="664"/>
        <v>68943.326270135978</v>
      </c>
      <c r="AF744" s="577">
        <f t="shared" si="664"/>
        <v>70448.12326761453</v>
      </c>
      <c r="AG744" s="725">
        <f t="shared" si="664"/>
        <v>71962.99005222047</v>
      </c>
      <c r="AH744" s="18"/>
      <c r="AI744" s="18"/>
      <c r="AJ744" s="18"/>
      <c r="AK744" s="18"/>
      <c r="AL744" s="18"/>
      <c r="AM744" s="18"/>
      <c r="AN744" s="18"/>
    </row>
    <row r="745" spans="1:40" ht="21.95" customHeight="1" x14ac:dyDescent="0.2">
      <c r="B745" s="705"/>
      <c r="C745" s="715"/>
      <c r="D745" s="715"/>
      <c r="E745" s="277" t="s">
        <v>357</v>
      </c>
      <c r="F745" s="277" t="s">
        <v>338</v>
      </c>
      <c r="G745" s="277" t="s">
        <v>323</v>
      </c>
      <c r="H745" s="593">
        <f t="shared" ref="H745:AG745" si="665">H685+H715</f>
        <v>38197.078466007326</v>
      </c>
      <c r="I745" s="593">
        <f t="shared" si="665"/>
        <v>38721.779763803679</v>
      </c>
      <c r="J745" s="593">
        <f t="shared" si="665"/>
        <v>39628.818791838828</v>
      </c>
      <c r="K745" s="593">
        <f t="shared" si="665"/>
        <v>40874.315517841576</v>
      </c>
      <c r="L745" s="593">
        <f t="shared" si="665"/>
        <v>42120.684888907825</v>
      </c>
      <c r="M745" s="593">
        <f t="shared" si="665"/>
        <v>43369.308493461765</v>
      </c>
      <c r="N745" s="593">
        <f t="shared" si="665"/>
        <v>44616.176487885066</v>
      </c>
      <c r="O745" s="593">
        <f t="shared" si="665"/>
        <v>45868.15664254452</v>
      </c>
      <c r="P745" s="593">
        <f t="shared" si="665"/>
        <v>46736.938420110149</v>
      </c>
      <c r="Q745" s="593">
        <f t="shared" si="665"/>
        <v>47606.376235203563</v>
      </c>
      <c r="R745" s="593">
        <f t="shared" si="665"/>
        <v>48476.569086080985</v>
      </c>
      <c r="S745" s="593">
        <f t="shared" si="665"/>
        <v>49347.3113494504</v>
      </c>
      <c r="T745" s="593">
        <f t="shared" si="665"/>
        <v>50225.144563928057</v>
      </c>
      <c r="U745" s="593">
        <f t="shared" si="665"/>
        <v>50753.455398561593</v>
      </c>
      <c r="V745" s="593">
        <f t="shared" si="665"/>
        <v>51282.187270734794</v>
      </c>
      <c r="W745" s="593">
        <f t="shared" si="665"/>
        <v>51811.381050785356</v>
      </c>
      <c r="X745" s="593">
        <f t="shared" si="665"/>
        <v>52341.081063577003</v>
      </c>
      <c r="Y745" s="593">
        <f t="shared" si="665"/>
        <v>52874.98472114186</v>
      </c>
      <c r="Z745" s="593">
        <f t="shared" si="665"/>
        <v>53405.849774515169</v>
      </c>
      <c r="AA745" s="593">
        <f t="shared" si="665"/>
        <v>53939.42245189994</v>
      </c>
      <c r="AB745" s="593">
        <f t="shared" si="665"/>
        <v>54471.677785010077</v>
      </c>
      <c r="AC745" s="593">
        <f t="shared" si="665"/>
        <v>55004.723559207203</v>
      </c>
      <c r="AD745" s="593">
        <f t="shared" si="665"/>
        <v>55542.306655750363</v>
      </c>
      <c r="AE745" s="593">
        <f t="shared" si="665"/>
        <v>56077.159567186623</v>
      </c>
      <c r="AF745" s="593">
        <f t="shared" si="665"/>
        <v>56613.034734769157</v>
      </c>
      <c r="AG745" s="730">
        <f t="shared" si="665"/>
        <v>57152.088004066471</v>
      </c>
      <c r="AH745" s="18"/>
      <c r="AI745" s="18"/>
      <c r="AJ745" s="18"/>
      <c r="AK745" s="18"/>
      <c r="AL745" s="18"/>
      <c r="AM745" s="18"/>
      <c r="AN745" s="18"/>
    </row>
    <row r="746" spans="1:40" ht="21.95" customHeight="1" x14ac:dyDescent="0.2">
      <c r="B746" s="705"/>
      <c r="C746" s="715"/>
      <c r="D746" s="715"/>
      <c r="E746" s="116" t="s">
        <v>338</v>
      </c>
      <c r="F746" s="116" t="s">
        <v>282</v>
      </c>
      <c r="G746" s="116" t="s">
        <v>357</v>
      </c>
      <c r="H746" s="577">
        <f t="shared" ref="H746:AG746" si="666">H686+H716</f>
        <v>78280.009329269713</v>
      </c>
      <c r="I746" s="577">
        <f t="shared" si="666"/>
        <v>80536.588663159433</v>
      </c>
      <c r="J746" s="577">
        <f t="shared" si="666"/>
        <v>82979.083742464209</v>
      </c>
      <c r="K746" s="577">
        <f t="shared" si="666"/>
        <v>86219.488973189727</v>
      </c>
      <c r="L746" s="577">
        <f t="shared" si="666"/>
        <v>89460.444183401996</v>
      </c>
      <c r="M746" s="577">
        <f t="shared" si="666"/>
        <v>92702.73297056045</v>
      </c>
      <c r="N746" s="577">
        <f t="shared" si="666"/>
        <v>95943.146904288398</v>
      </c>
      <c r="O746" s="577">
        <f t="shared" si="666"/>
        <v>99184.427195162862</v>
      </c>
      <c r="P746" s="577">
        <f t="shared" si="666"/>
        <v>102751.04933618143</v>
      </c>
      <c r="Q746" s="577">
        <f t="shared" si="666"/>
        <v>106316.50910134685</v>
      </c>
      <c r="R746" s="577">
        <f t="shared" si="666"/>
        <v>109883.15916453424</v>
      </c>
      <c r="S746" s="577">
        <f t="shared" si="666"/>
        <v>113449.83086761467</v>
      </c>
      <c r="T746" s="577">
        <f t="shared" si="666"/>
        <v>117018.56675792123</v>
      </c>
      <c r="U746" s="577">
        <f t="shared" si="666"/>
        <v>119787.04786154658</v>
      </c>
      <c r="V746" s="577">
        <f t="shared" si="666"/>
        <v>122043.73481914308</v>
      </c>
      <c r="W746" s="577">
        <f t="shared" si="666"/>
        <v>124300.44396078319</v>
      </c>
      <c r="X746" s="577">
        <f t="shared" si="666"/>
        <v>126557.17926163421</v>
      </c>
      <c r="Y746" s="577">
        <f t="shared" si="666"/>
        <v>128813.71045616941</v>
      </c>
      <c r="Z746" s="577">
        <f t="shared" si="666"/>
        <v>131070.51256322782</v>
      </c>
      <c r="AA746" s="577">
        <f t="shared" si="666"/>
        <v>133327.12195163732</v>
      </c>
      <c r="AB746" s="577">
        <f t="shared" si="666"/>
        <v>135584.01535304615</v>
      </c>
      <c r="AC746" s="577">
        <f t="shared" si="666"/>
        <v>137840.96591269207</v>
      </c>
      <c r="AD746" s="577">
        <f t="shared" si="666"/>
        <v>140097.74789206393</v>
      </c>
      <c r="AE746" s="577">
        <f t="shared" si="666"/>
        <v>142354.84149254093</v>
      </c>
      <c r="AF746" s="577">
        <f t="shared" si="666"/>
        <v>144612.02369669895</v>
      </c>
      <c r="AG746" s="725">
        <f t="shared" si="666"/>
        <v>146869.07305334028</v>
      </c>
      <c r="AH746" s="18"/>
      <c r="AI746" s="18"/>
      <c r="AJ746" s="18"/>
      <c r="AK746" s="18"/>
      <c r="AL746" s="18"/>
      <c r="AM746" s="18"/>
      <c r="AN746" s="18"/>
    </row>
    <row r="747" spans="1:40" ht="21.95" customHeight="1" x14ac:dyDescent="0.2">
      <c r="B747" s="705"/>
      <c r="C747" s="715"/>
      <c r="D747" s="715"/>
      <c r="E747" s="116"/>
      <c r="F747" s="116" t="s">
        <v>357</v>
      </c>
      <c r="G747" s="116" t="s">
        <v>346</v>
      </c>
      <c r="H747" s="577">
        <f t="shared" ref="H747:AG747" si="667">H687+H717</f>
        <v>11400.437782222565</v>
      </c>
      <c r="I747" s="577">
        <f t="shared" si="667"/>
        <v>11724.000221011778</v>
      </c>
      <c r="J747" s="577">
        <f t="shared" si="667"/>
        <v>12083.06903042028</v>
      </c>
      <c r="K747" s="577">
        <f t="shared" si="667"/>
        <v>12587.058426842868</v>
      </c>
      <c r="L747" s="577">
        <f t="shared" si="667"/>
        <v>13091.137848784898</v>
      </c>
      <c r="M747" s="577">
        <f t="shared" si="667"/>
        <v>13595.322306167503</v>
      </c>
      <c r="N747" s="577">
        <f t="shared" si="667"/>
        <v>14099.311800085041</v>
      </c>
      <c r="O747" s="577">
        <f t="shared" si="667"/>
        <v>14603.331356264347</v>
      </c>
      <c r="P747" s="577">
        <f t="shared" si="667"/>
        <v>15169.828437975215</v>
      </c>
      <c r="Q747" s="577">
        <f t="shared" si="667"/>
        <v>15736.130661249987</v>
      </c>
      <c r="R747" s="577">
        <f t="shared" si="667"/>
        <v>16302.628099596561</v>
      </c>
      <c r="S747" s="577">
        <f t="shared" si="667"/>
        <v>16869.125822989739</v>
      </c>
      <c r="T747" s="577">
        <f t="shared" si="667"/>
        <v>17435.713937548928</v>
      </c>
      <c r="U747" s="577">
        <f t="shared" si="667"/>
        <v>17857.351468331635</v>
      </c>
      <c r="V747" s="577">
        <f t="shared" si="667"/>
        <v>18180.915159416094</v>
      </c>
      <c r="W747" s="577">
        <f t="shared" si="667"/>
        <v>18504.479097296215</v>
      </c>
      <c r="X747" s="577">
        <f t="shared" si="667"/>
        <v>18828.043324421287</v>
      </c>
      <c r="Y747" s="577">
        <f t="shared" si="667"/>
        <v>19151.442882082854</v>
      </c>
      <c r="Z747" s="577">
        <f t="shared" si="667"/>
        <v>19475.007841115694</v>
      </c>
      <c r="AA747" s="577">
        <f t="shared" si="667"/>
        <v>19798.408250293367</v>
      </c>
      <c r="AB747" s="577">
        <f t="shared" si="667"/>
        <v>20121.974198515862</v>
      </c>
      <c r="AC747" s="577">
        <f t="shared" si="667"/>
        <v>20445.540761468044</v>
      </c>
      <c r="AD747" s="577">
        <f t="shared" si="667"/>
        <v>20768.943025014618</v>
      </c>
      <c r="AE747" s="577">
        <f t="shared" si="667"/>
        <v>21092.511114393601</v>
      </c>
      <c r="AF747" s="577">
        <f t="shared" si="667"/>
        <v>21416.080142934457</v>
      </c>
      <c r="AG747" s="725">
        <f t="shared" si="667"/>
        <v>21739.485237948207</v>
      </c>
      <c r="AH747" s="18"/>
      <c r="AI747" s="18"/>
      <c r="AJ747" s="18"/>
      <c r="AK747" s="18"/>
      <c r="AL747" s="18"/>
      <c r="AM747" s="18"/>
      <c r="AN747" s="18"/>
    </row>
    <row r="748" spans="1:40" ht="21.95" customHeight="1" x14ac:dyDescent="0.2">
      <c r="B748" s="705"/>
      <c r="C748" s="715"/>
      <c r="D748" s="715"/>
      <c r="E748" s="116"/>
      <c r="F748" s="116" t="s">
        <v>346</v>
      </c>
      <c r="G748" s="116" t="s">
        <v>343</v>
      </c>
      <c r="H748" s="577">
        <f t="shared" ref="H748:AG748" si="668">H688+H718</f>
        <v>3433.8483209342858</v>
      </c>
      <c r="I748" s="577">
        <f t="shared" si="668"/>
        <v>3531.3063694879775</v>
      </c>
      <c r="J748" s="577">
        <f t="shared" si="668"/>
        <v>3639.4590541383932</v>
      </c>
      <c r="K748" s="577">
        <f t="shared" si="668"/>
        <v>3791.2622944819923</v>
      </c>
      <c r="L748" s="577">
        <f t="shared" si="668"/>
        <v>3943.092662233938</v>
      </c>
      <c r="M748" s="577">
        <f t="shared" si="668"/>
        <v>4094.9546832734477</v>
      </c>
      <c r="N748" s="577">
        <f t="shared" si="668"/>
        <v>4246.7580035081864</v>
      </c>
      <c r="O748" s="577">
        <f t="shared" si="668"/>
        <v>4398.5704102615491</v>
      </c>
      <c r="P748" s="577">
        <f t="shared" si="668"/>
        <v>4569.2013130102168</v>
      </c>
      <c r="Q748" s="577">
        <f t="shared" si="668"/>
        <v>4739.7736010189374</v>
      </c>
      <c r="R748" s="577">
        <f t="shared" si="668"/>
        <v>4910.4047960087373</v>
      </c>
      <c r="S748" s="577">
        <f t="shared" si="668"/>
        <v>5081.0362245767774</v>
      </c>
      <c r="T748" s="577">
        <f t="shared" si="668"/>
        <v>5251.6950801781377</v>
      </c>
      <c r="U748" s="577">
        <f t="shared" si="668"/>
        <v>5378.6943472404309</v>
      </c>
      <c r="V748" s="577">
        <f t="shared" si="668"/>
        <v>5476.1534219734112</v>
      </c>
      <c r="W748" s="577">
        <f t="shared" si="668"/>
        <v>5573.6126989403265</v>
      </c>
      <c r="X748" s="577">
        <f t="shared" si="668"/>
        <v>5671.0722129257765</v>
      </c>
      <c r="Y748" s="577">
        <f t="shared" si="668"/>
        <v>5768.4823025216501</v>
      </c>
      <c r="Z748" s="577">
        <f t="shared" si="668"/>
        <v>5865.9424162607083</v>
      </c>
      <c r="AA748" s="577">
        <f t="shared" si="668"/>
        <v>5963.3532036218994</v>
      </c>
      <c r="AB748" s="577">
        <f t="shared" si="668"/>
        <v>6060.8141279413267</v>
      </c>
      <c r="AC748" s="577">
        <f t="shared" si="668"/>
        <v>6158.2755559940924</v>
      </c>
      <c r="AD748" s="577">
        <f t="shared" si="668"/>
        <v>6255.6878628970826</v>
      </c>
      <c r="AE748" s="577">
        <f t="shared" si="668"/>
        <v>6353.1505417631652</v>
      </c>
      <c r="AF748" s="577">
        <f t="shared" si="668"/>
        <v>6450.6139902149152</v>
      </c>
      <c r="AG748" s="725">
        <f t="shared" si="668"/>
        <v>6548.0286173319164</v>
      </c>
      <c r="AH748" s="18"/>
      <c r="AI748" s="18"/>
      <c r="AJ748" s="18"/>
      <c r="AK748" s="18"/>
      <c r="AL748" s="18"/>
      <c r="AM748" s="18"/>
      <c r="AN748" s="18"/>
    </row>
    <row r="749" spans="1:40" ht="21.95" customHeight="1" x14ac:dyDescent="0.2">
      <c r="B749" s="705"/>
      <c r="C749" s="715"/>
      <c r="D749" s="715"/>
      <c r="E749" s="116"/>
      <c r="F749" s="116" t="s">
        <v>343</v>
      </c>
      <c r="G749" s="116" t="s">
        <v>350</v>
      </c>
      <c r="H749" s="577">
        <f t="shared" ref="H749:AG749" si="669">H689+H719</f>
        <v>8810.531796712874</v>
      </c>
      <c r="I749" s="577">
        <f t="shared" si="669"/>
        <v>9060.3691127620968</v>
      </c>
      <c r="J749" s="577">
        <f t="shared" si="669"/>
        <v>9345.0520836105425</v>
      </c>
      <c r="K749" s="577">
        <f t="shared" si="669"/>
        <v>9708.8095809397528</v>
      </c>
      <c r="L749" s="577">
        <f t="shared" si="669"/>
        <v>10072.684555763755</v>
      </c>
      <c r="M749" s="577">
        <f t="shared" si="669"/>
        <v>10436.500798904592</v>
      </c>
      <c r="N749" s="577">
        <f t="shared" si="669"/>
        <v>10800.258312310603</v>
      </c>
      <c r="O749" s="577">
        <f t="shared" si="669"/>
        <v>11164.089256545276</v>
      </c>
      <c r="P749" s="577">
        <f t="shared" si="669"/>
        <v>11575.306197999951</v>
      </c>
      <c r="Q749" s="577">
        <f t="shared" si="669"/>
        <v>11986.508478432728</v>
      </c>
      <c r="R749" s="577">
        <f t="shared" si="669"/>
        <v>12397.666737939287</v>
      </c>
      <c r="S749" s="577">
        <f t="shared" si="669"/>
        <v>12808.883777326171</v>
      </c>
      <c r="T749" s="577">
        <f t="shared" si="669"/>
        <v>13220.174295493773</v>
      </c>
      <c r="U749" s="577">
        <f t="shared" si="669"/>
        <v>13552.302199962967</v>
      </c>
      <c r="V749" s="577">
        <f t="shared" si="669"/>
        <v>13802.139722201126</v>
      </c>
      <c r="W749" s="577">
        <f t="shared" si="669"/>
        <v>14051.977285931709</v>
      </c>
      <c r="X749" s="577">
        <f t="shared" si="669"/>
        <v>14301.814898422479</v>
      </c>
      <c r="Y749" s="577">
        <f t="shared" si="669"/>
        <v>14551.579146838299</v>
      </c>
      <c r="Z749" s="577">
        <f t="shared" si="669"/>
        <v>14801.416883215599</v>
      </c>
      <c r="AA749" s="577">
        <f t="shared" si="669"/>
        <v>15051.181276152151</v>
      </c>
      <c r="AB749" s="577">
        <f t="shared" si="669"/>
        <v>15301.019180782423</v>
      </c>
      <c r="AC749" s="577">
        <f t="shared" si="669"/>
        <v>15550.857190314353</v>
      </c>
      <c r="AD749" s="577">
        <f t="shared" si="669"/>
        <v>15800.621899845381</v>
      </c>
      <c r="AE749" s="577">
        <f t="shared" si="669"/>
        <v>16050.460170759208</v>
      </c>
      <c r="AF749" s="577">
        <f t="shared" si="669"/>
        <v>16300.29860296868</v>
      </c>
      <c r="AG749" s="725">
        <f t="shared" si="669"/>
        <v>16550.063799009629</v>
      </c>
      <c r="AH749" s="18"/>
      <c r="AI749" s="18"/>
      <c r="AJ749" s="18"/>
      <c r="AK749" s="18"/>
      <c r="AL749" s="18"/>
      <c r="AM749" s="18"/>
      <c r="AN749" s="18"/>
    </row>
    <row r="750" spans="1:40" ht="21.95" customHeight="1" x14ac:dyDescent="0.2">
      <c r="B750" s="705"/>
      <c r="C750" s="715"/>
      <c r="D750" s="715"/>
      <c r="E750" s="116"/>
      <c r="F750" s="116" t="s">
        <v>350</v>
      </c>
      <c r="G750" s="116" t="s">
        <v>280</v>
      </c>
      <c r="H750" s="577">
        <f t="shared" ref="H750:AG750" si="670">H690+H720</f>
        <v>60064.136465598429</v>
      </c>
      <c r="I750" s="577">
        <f t="shared" si="670"/>
        <v>61767.355168825023</v>
      </c>
      <c r="J750" s="577">
        <f t="shared" si="670"/>
        <v>63708.127535640131</v>
      </c>
      <c r="K750" s="577">
        <f t="shared" si="670"/>
        <v>66187.975536268277</v>
      </c>
      <c r="L750" s="577">
        <f t="shared" si="670"/>
        <v>68668.624401414942</v>
      </c>
      <c r="M750" s="577">
        <f t="shared" si="670"/>
        <v>71148.872852004308</v>
      </c>
      <c r="N750" s="577">
        <f t="shared" si="670"/>
        <v>73628.720892918616</v>
      </c>
      <c r="O750" s="577">
        <f t="shared" si="670"/>
        <v>76109.069492686336</v>
      </c>
      <c r="P750" s="577">
        <f t="shared" si="670"/>
        <v>78912.463090797522</v>
      </c>
      <c r="Q750" s="577">
        <f t="shared" si="670"/>
        <v>81715.756640144915</v>
      </c>
      <c r="R750" s="577">
        <f t="shared" si="670"/>
        <v>84518.749948327706</v>
      </c>
      <c r="S750" s="577">
        <f t="shared" si="670"/>
        <v>87322.143791843002</v>
      </c>
      <c r="T750" s="577">
        <f t="shared" si="670"/>
        <v>90126.038314372621</v>
      </c>
      <c r="U750" s="577">
        <f t="shared" si="670"/>
        <v>92390.256607081421</v>
      </c>
      <c r="V750" s="577">
        <f t="shared" si="670"/>
        <v>94093.475826987866</v>
      </c>
      <c r="W750" s="577">
        <f t="shared" si="670"/>
        <v>95796.695150868371</v>
      </c>
      <c r="X750" s="577">
        <f t="shared" si="670"/>
        <v>97499.91459693489</v>
      </c>
      <c r="Y750" s="577">
        <f t="shared" si="670"/>
        <v>99202.63365142321</v>
      </c>
      <c r="Z750" s="577">
        <f t="shared" si="670"/>
        <v>100905.85340793154</v>
      </c>
      <c r="AA750" s="577">
        <f t="shared" si="670"/>
        <v>102608.57282456808</v>
      </c>
      <c r="AB750" s="577">
        <f t="shared" si="670"/>
        <v>104311.79300269426</v>
      </c>
      <c r="AC750" s="577">
        <f t="shared" si="670"/>
        <v>106015.01344368892</v>
      </c>
      <c r="AD750" s="577">
        <f t="shared" si="670"/>
        <v>107717.73365366572</v>
      </c>
      <c r="AE750" s="577">
        <f t="shared" si="670"/>
        <v>109420.95474964587</v>
      </c>
      <c r="AF750" s="577">
        <f t="shared" si="670"/>
        <v>111124.17624980977</v>
      </c>
      <c r="AG750" s="725">
        <f t="shared" si="670"/>
        <v>112826.89767891055</v>
      </c>
      <c r="AH750" s="18"/>
      <c r="AI750" s="18"/>
      <c r="AJ750" s="18"/>
      <c r="AK750" s="18"/>
      <c r="AL750" s="18"/>
      <c r="AM750" s="18"/>
      <c r="AN750" s="18"/>
    </row>
    <row r="751" spans="1:40" ht="21.95" customHeight="1" thickBot="1" x14ac:dyDescent="0.25">
      <c r="B751" s="705"/>
      <c r="C751" s="715"/>
      <c r="D751" s="715"/>
      <c r="E751" s="116"/>
      <c r="F751" s="116" t="s">
        <v>280</v>
      </c>
      <c r="G751" s="116" t="s">
        <v>333</v>
      </c>
      <c r="H751" s="577">
        <f t="shared" ref="H751:AG751" si="671">H691+H721</f>
        <v>1500.0830564292053</v>
      </c>
      <c r="I751" s="577">
        <f t="shared" si="671"/>
        <v>1542.6206970041326</v>
      </c>
      <c r="J751" s="577">
        <f t="shared" si="671"/>
        <v>1591.0913271609174</v>
      </c>
      <c r="K751" s="577">
        <f t="shared" si="671"/>
        <v>1653.0255790936376</v>
      </c>
      <c r="L751" s="577">
        <f t="shared" si="671"/>
        <v>1714.980222283463</v>
      </c>
      <c r="M751" s="577">
        <f t="shared" si="671"/>
        <v>1776.9254072623949</v>
      </c>
      <c r="N751" s="577">
        <f t="shared" si="671"/>
        <v>1838.861337414517</v>
      </c>
      <c r="O751" s="577">
        <f t="shared" si="671"/>
        <v>1900.8107839873219</v>
      </c>
      <c r="P751" s="577">
        <f t="shared" si="671"/>
        <v>1970.8303039901414</v>
      </c>
      <c r="Q751" s="577">
        <f t="shared" si="671"/>
        <v>2040.849745413655</v>
      </c>
      <c r="R751" s="577">
        <f t="shared" si="671"/>
        <v>2110.8649989294072</v>
      </c>
      <c r="S751" s="577">
        <f t="shared" si="671"/>
        <v>2180.8947418411367</v>
      </c>
      <c r="T751" s="577">
        <f t="shared" si="671"/>
        <v>2250.943006774366</v>
      </c>
      <c r="U751" s="577">
        <f t="shared" si="671"/>
        <v>2307.5145385494761</v>
      </c>
      <c r="V751" s="577">
        <f t="shared" si="671"/>
        <v>2350.0737026937231</v>
      </c>
      <c r="W751" s="577">
        <f t="shared" si="671"/>
        <v>2392.6371981333941</v>
      </c>
      <c r="X751" s="577">
        <f t="shared" si="671"/>
        <v>2435.2057835323271</v>
      </c>
      <c r="Y751" s="577">
        <f t="shared" si="671"/>
        <v>2477.7678207706026</v>
      </c>
      <c r="Z751" s="577">
        <f t="shared" si="671"/>
        <v>2520.3493383884343</v>
      </c>
      <c r="AA751" s="577">
        <f t="shared" si="671"/>
        <v>2562.9264618005363</v>
      </c>
      <c r="AB751" s="577">
        <f t="shared" si="671"/>
        <v>2605.5255429432427</v>
      </c>
      <c r="AC751" s="577">
        <f t="shared" si="671"/>
        <v>2648.1355745184419</v>
      </c>
      <c r="AD751" s="577">
        <f t="shared" si="671"/>
        <v>2690.7457464705576</v>
      </c>
      <c r="AE751" s="577">
        <f t="shared" si="671"/>
        <v>2733.3830630767343</v>
      </c>
      <c r="AF751" s="577">
        <f t="shared" si="671"/>
        <v>2776.0372169498569</v>
      </c>
      <c r="AG751" s="725">
        <f t="shared" si="671"/>
        <v>2818.698174508042</v>
      </c>
      <c r="AH751" s="18"/>
      <c r="AI751" s="18"/>
      <c r="AJ751" s="18"/>
      <c r="AK751" s="18"/>
      <c r="AL751" s="18"/>
      <c r="AM751" s="18"/>
      <c r="AN751" s="18"/>
    </row>
    <row r="752" spans="1:40" ht="21.95" customHeight="1" thickBot="1" x14ac:dyDescent="0.25">
      <c r="A752" s="468"/>
      <c r="B752" s="707"/>
      <c r="C752" s="731"/>
      <c r="D752" s="731"/>
      <c r="E752" s="732" t="s">
        <v>181</v>
      </c>
      <c r="F752" s="732"/>
      <c r="G752" s="732"/>
      <c r="H752" s="747">
        <f>SUM(H723:H743,H745:H751)</f>
        <v>1760370.8246284313</v>
      </c>
      <c r="I752" s="747">
        <f t="shared" ref="I752" si="672">SUM(I723:I743,I745:I751)</f>
        <v>1815885.5031701548</v>
      </c>
      <c r="J752" s="747">
        <f t="shared" ref="J752" si="673">SUM(J723:J743,J745:J751)</f>
        <v>1919417.4545433831</v>
      </c>
      <c r="K752" s="747">
        <f t="shared" ref="K752" si="674">SUM(K723:K743,K745:K751)</f>
        <v>2082632.5147019187</v>
      </c>
      <c r="L752" s="747">
        <f t="shared" ref="L752" si="675">SUM(L723:L743,L745:L751)</f>
        <v>2246791.2496657125</v>
      </c>
      <c r="M752" s="747">
        <f t="shared" ref="M752" si="676">SUM(M723:M743,M745:M751)</f>
        <v>2412271.234112341</v>
      </c>
      <c r="N752" s="747">
        <f t="shared" ref="N752" si="677">SUM(N723:N743,N745:N751)</f>
        <v>2579705.479523635</v>
      </c>
      <c r="O752" s="747">
        <f t="shared" ref="O752" si="678">SUM(O723:O743,O745:O751)</f>
        <v>2750647.3954533711</v>
      </c>
      <c r="P752" s="747">
        <f t="shared" ref="P752" si="679">SUM(P723:P743,P745:P751)</f>
        <v>2908750.8013857105</v>
      </c>
      <c r="Q752" s="747">
        <f t="shared" ref="Q752" si="680">SUM(Q723:Q743,Q745:Q751)</f>
        <v>3073103.7668171856</v>
      </c>
      <c r="R752" s="747">
        <f t="shared" ref="R752" si="681">SUM(R723:R743,R745:R751)</f>
        <v>3247395.0958218696</v>
      </c>
      <c r="S752" s="747">
        <f t="shared" ref="S752" si="682">SUM(S723:S743,S745:S751)</f>
        <v>3436318.1416465198</v>
      </c>
      <c r="T752" s="747">
        <f t="shared" ref="T752" si="683">SUM(T723:T743,T745:T751)</f>
        <v>3646846.0388023634</v>
      </c>
      <c r="U752" s="747">
        <f t="shared" ref="U752" si="684">SUM(U723:U743,U745:U751)</f>
        <v>3791551.1699568778</v>
      </c>
      <c r="V752" s="747">
        <f t="shared" ref="V752" si="685">SUM(V723:V743,V745:V751)</f>
        <v>3896182.3111835229</v>
      </c>
      <c r="W752" s="747">
        <f t="shared" ref="W752" si="686">SUM(W723:W743,W745:W751)</f>
        <v>3994446.9831125806</v>
      </c>
      <c r="X752" s="747">
        <f t="shared" ref="X752" si="687">SUM(X723:X743,X745:X751)</f>
        <v>4071035.1340966453</v>
      </c>
      <c r="Y752" s="747">
        <f t="shared" ref="Y752" si="688">SUM(Y723:Y743,Y745:Y751)</f>
        <v>4150796.2704215734</v>
      </c>
      <c r="Z752" s="747">
        <f t="shared" ref="Z752" si="689">SUM(Z723:Z743,Z745:Z751)</f>
        <v>4236379.0261144005</v>
      </c>
      <c r="AA752" s="747">
        <f t="shared" ref="AA752" si="690">SUM(AA723:AA743,AA745:AA751)</f>
        <v>4326676.6408606609</v>
      </c>
      <c r="AB752" s="747">
        <f t="shared" ref="AB752" si="691">SUM(AB723:AB743,AB745:AB751)</f>
        <v>4410769.8293701354</v>
      </c>
      <c r="AC752" s="747">
        <f t="shared" ref="AC752" si="692">SUM(AC723:AC743,AC745:AC751)</f>
        <v>4496953.9072378324</v>
      </c>
      <c r="AD752" s="747">
        <f t="shared" ref="AD752" si="693">SUM(AD723:AD743,AD745:AD751)</f>
        <v>4586498.974148768</v>
      </c>
      <c r="AE752" s="747">
        <f t="shared" ref="AE752" si="694">SUM(AE723:AE743,AE745:AE751)</f>
        <v>4679706.4141426012</v>
      </c>
      <c r="AF752" s="747">
        <f t="shared" ref="AF752" si="695">SUM(AF723:AF743,AF745:AF751)</f>
        <v>4777150.7411049474</v>
      </c>
      <c r="AG752" s="748">
        <f t="shared" ref="AG752" si="696">SUM(AG723:AG743,AG745:AG751)</f>
        <v>4879459.0591284661</v>
      </c>
      <c r="AH752" s="18"/>
      <c r="AI752" s="18"/>
      <c r="AJ752" s="18"/>
      <c r="AK752" s="18"/>
      <c r="AL752" s="18"/>
      <c r="AM752" s="18"/>
      <c r="AN752" s="18"/>
    </row>
    <row r="753" spans="1:40" ht="21.75" customHeight="1" x14ac:dyDescent="0.2">
      <c r="B753" s="183"/>
      <c r="C753" s="116"/>
      <c r="D753" s="116"/>
      <c r="E753" s="240"/>
      <c r="F753" s="240"/>
      <c r="G753" s="240"/>
      <c r="H753" s="741"/>
      <c r="I753" s="741"/>
      <c r="J753" s="741"/>
      <c r="K753" s="741"/>
      <c r="L753" s="741"/>
      <c r="M753" s="741"/>
      <c r="N753" s="741"/>
      <c r="O753" s="741"/>
      <c r="P753" s="741"/>
      <c r="Q753" s="741"/>
      <c r="R753" s="741"/>
      <c r="S753" s="741"/>
      <c r="T753" s="741"/>
      <c r="U753" s="741"/>
      <c r="V753" s="741"/>
      <c r="W753" s="741"/>
      <c r="X753" s="741"/>
      <c r="Y753" s="741"/>
      <c r="Z753" s="741"/>
      <c r="AA753" s="741"/>
      <c r="AB753" s="741"/>
      <c r="AC753" s="741"/>
      <c r="AD753" s="741"/>
      <c r="AE753" s="741"/>
      <c r="AF753" s="741"/>
      <c r="AG753" s="749"/>
      <c r="AH753" s="18"/>
      <c r="AI753" s="18"/>
      <c r="AJ753" s="18"/>
      <c r="AK753" s="18"/>
      <c r="AL753" s="18"/>
      <c r="AM753" s="18"/>
      <c r="AN753" s="18"/>
    </row>
    <row r="754" spans="1:40" ht="21.95" customHeight="1" x14ac:dyDescent="0.2">
      <c r="A754" s="551"/>
      <c r="B754" s="710" t="s">
        <v>38</v>
      </c>
      <c r="C754" s="116"/>
      <c r="D754" s="116"/>
      <c r="E754" s="228"/>
      <c r="F754" s="228"/>
      <c r="G754" s="228"/>
      <c r="H754" s="228"/>
      <c r="I754" s="228"/>
      <c r="J754" s="228"/>
      <c r="K754" s="228"/>
      <c r="L754" s="228"/>
      <c r="M754" s="228"/>
      <c r="N754" s="228"/>
      <c r="O754" s="228"/>
      <c r="P754" s="228"/>
      <c r="Q754" s="228"/>
      <c r="R754" s="228"/>
      <c r="S754" s="228"/>
      <c r="T754" s="228"/>
      <c r="U754" s="228"/>
      <c r="V754" s="228"/>
      <c r="W754" s="228"/>
      <c r="X754" s="228"/>
      <c r="Y754" s="228"/>
      <c r="Z754" s="228"/>
      <c r="AA754" s="228"/>
      <c r="AB754" s="116"/>
      <c r="AC754" s="116"/>
      <c r="AD754" s="116"/>
      <c r="AE754" s="116"/>
      <c r="AF754" s="116"/>
      <c r="AG754" s="750"/>
    </row>
    <row r="755" spans="1:40" ht="21.75" customHeight="1" thickBot="1" x14ac:dyDescent="0.25">
      <c r="B755" s="183"/>
      <c r="C755" s="116"/>
      <c r="D755" s="116"/>
      <c r="E755" s="240"/>
      <c r="F755" s="240"/>
      <c r="G755" s="240"/>
      <c r="H755" s="741"/>
      <c r="I755" s="741"/>
      <c r="J755" s="741"/>
      <c r="K755" s="741"/>
      <c r="L755" s="741"/>
      <c r="M755" s="741"/>
      <c r="N755" s="741"/>
      <c r="O755" s="741"/>
      <c r="P755" s="741"/>
      <c r="Q755" s="741"/>
      <c r="R755" s="741"/>
      <c r="S755" s="741"/>
      <c r="T755" s="741"/>
      <c r="U755" s="741"/>
      <c r="V755" s="741"/>
      <c r="W755" s="741"/>
      <c r="X755" s="741"/>
      <c r="Y755" s="741"/>
      <c r="Z755" s="741"/>
      <c r="AA755" s="741"/>
      <c r="AB755" s="741"/>
      <c r="AC755" s="741"/>
      <c r="AD755" s="741"/>
      <c r="AE755" s="741"/>
      <c r="AF755" s="741"/>
      <c r="AG755" s="749"/>
      <c r="AH755" s="18"/>
      <c r="AI755" s="18"/>
      <c r="AJ755" s="18"/>
      <c r="AK755" s="18"/>
      <c r="AL755" s="18"/>
      <c r="AM755" s="18"/>
      <c r="AN755" s="18"/>
    </row>
    <row r="756" spans="1:40" ht="21.95" customHeight="1" thickBot="1" x14ac:dyDescent="0.25">
      <c r="B756" s="182" t="s">
        <v>487</v>
      </c>
      <c r="C756" s="116" t="s">
        <v>156</v>
      </c>
      <c r="D756" s="240" t="s">
        <v>23</v>
      </c>
      <c r="E756" s="1340" t="s">
        <v>331</v>
      </c>
      <c r="F756" s="220" t="s">
        <v>332</v>
      </c>
      <c r="G756" s="220" t="s">
        <v>282</v>
      </c>
      <c r="H756" s="726">
        <f>H478-H232</f>
        <v>0</v>
      </c>
      <c r="I756" s="726">
        <f t="shared" ref="I756:AG756" si="697">I478-I232</f>
        <v>-4.1304143925017343</v>
      </c>
      <c r="J756" s="726">
        <f t="shared" si="697"/>
        <v>-8.2852090866308572</v>
      </c>
      <c r="K756" s="726">
        <f t="shared" si="697"/>
        <v>-12.416687417840876</v>
      </c>
      <c r="L756" s="726">
        <f t="shared" si="697"/>
        <v>-16.550094494246878</v>
      </c>
      <c r="M756" s="726">
        <f t="shared" si="697"/>
        <v>-20.711900637366853</v>
      </c>
      <c r="N756" s="726">
        <f t="shared" si="697"/>
        <v>-24.858195439777774</v>
      </c>
      <c r="O756" s="726">
        <f t="shared" si="697"/>
        <v>-29.045416290933645</v>
      </c>
      <c r="P756" s="726">
        <f t="shared" si="697"/>
        <v>-33.238405869162307</v>
      </c>
      <c r="Q756" s="726">
        <f t="shared" si="697"/>
        <v>-37.484399260803912</v>
      </c>
      <c r="R756" s="726">
        <f t="shared" si="697"/>
        <v>-41.820258800235024</v>
      </c>
      <c r="S756" s="726">
        <f t="shared" si="697"/>
        <v>-46.304009486315408</v>
      </c>
      <c r="T756" s="726">
        <f t="shared" si="697"/>
        <v>-51.074767318510567</v>
      </c>
      <c r="U756" s="726">
        <f t="shared" si="697"/>
        <v>-55.855520974810133</v>
      </c>
      <c r="V756" s="726">
        <f t="shared" si="697"/>
        <v>-60.667243781848811</v>
      </c>
      <c r="W756" s="726">
        <f t="shared" si="697"/>
        <v>-65.671833296539262</v>
      </c>
      <c r="X756" s="726">
        <f t="shared" si="697"/>
        <v>-70.915834002877091</v>
      </c>
      <c r="Y756" s="726">
        <f t="shared" si="697"/>
        <v>-76.482049035163072</v>
      </c>
      <c r="Z756" s="726">
        <f t="shared" si="697"/>
        <v>-82.384914854188537</v>
      </c>
      <c r="AA756" s="726">
        <f t="shared" si="697"/>
        <v>-88.759032818612468</v>
      </c>
      <c r="AB756" s="726">
        <f t="shared" si="697"/>
        <v>-95.644865765501891</v>
      </c>
      <c r="AC756" s="726">
        <f t="shared" si="697"/>
        <v>-103.18300761464343</v>
      </c>
      <c r="AD756" s="726">
        <f t="shared" si="697"/>
        <v>-111.53817505622283</v>
      </c>
      <c r="AE756" s="726">
        <f t="shared" si="697"/>
        <v>-120.80709267743077</v>
      </c>
      <c r="AF756" s="726">
        <f t="shared" si="697"/>
        <v>-131.20398269116413</v>
      </c>
      <c r="AG756" s="727">
        <f t="shared" si="697"/>
        <v>-142.98023665518485</v>
      </c>
      <c r="AH756" s="18"/>
      <c r="AI756" s="18"/>
      <c r="AJ756" s="18"/>
      <c r="AK756" s="18"/>
      <c r="AL756" s="18"/>
      <c r="AM756" s="18"/>
      <c r="AN756" s="18"/>
    </row>
    <row r="757" spans="1:40" ht="21.95" customHeight="1" thickBot="1" x14ac:dyDescent="0.25">
      <c r="B757" s="182" t="s">
        <v>488</v>
      </c>
      <c r="C757" s="715"/>
      <c r="D757" s="715"/>
      <c r="E757" s="1339"/>
      <c r="F757" s="116" t="s">
        <v>282</v>
      </c>
      <c r="G757" s="116" t="s">
        <v>280</v>
      </c>
      <c r="H757" s="726">
        <f t="shared" ref="H757:AG757" si="698">H479-H233</f>
        <v>0</v>
      </c>
      <c r="I757" s="726">
        <f t="shared" si="698"/>
        <v>-648.95487810886698</v>
      </c>
      <c r="J757" s="726">
        <f t="shared" si="698"/>
        <v>3078.1822512985673</v>
      </c>
      <c r="K757" s="726">
        <f t="shared" si="698"/>
        <v>5822.3593181597535</v>
      </c>
      <c r="L757" s="726">
        <f t="shared" si="698"/>
        <v>8570.6493869427359</v>
      </c>
      <c r="M757" s="726">
        <f t="shared" si="698"/>
        <v>11312.740383979108</v>
      </c>
      <c r="N757" s="726">
        <f t="shared" si="698"/>
        <v>14061.336043534975</v>
      </c>
      <c r="O757" s="726">
        <f t="shared" si="698"/>
        <v>16817.142828267941</v>
      </c>
      <c r="P757" s="726">
        <f t="shared" si="698"/>
        <v>14337.145737925661</v>
      </c>
      <c r="Q757" s="726">
        <f t="shared" si="698"/>
        <v>11865.110731984489</v>
      </c>
      <c r="R757" s="726">
        <f t="shared" si="698"/>
        <v>9398.5831816277932</v>
      </c>
      <c r="S757" s="726">
        <f t="shared" si="698"/>
        <v>6933.0651380144991</v>
      </c>
      <c r="T757" s="726">
        <f t="shared" si="698"/>
        <v>4447.5204638786381</v>
      </c>
      <c r="U757" s="726">
        <f t="shared" si="698"/>
        <v>2927.662350778468</v>
      </c>
      <c r="V757" s="726">
        <f t="shared" si="698"/>
        <v>2273.1049172887579</v>
      </c>
      <c r="W757" s="726">
        <f t="shared" si="698"/>
        <v>1609.0843865742208</v>
      </c>
      <c r="X757" s="726">
        <f t="shared" si="698"/>
        <v>932.01691473240498</v>
      </c>
      <c r="Y757" s="726">
        <f t="shared" si="698"/>
        <v>235.38237221853342</v>
      </c>
      <c r="Z757" s="726">
        <f t="shared" si="698"/>
        <v>-482.46844433748629</v>
      </c>
      <c r="AA757" s="726">
        <f t="shared" si="698"/>
        <v>-1232.5686971133109</v>
      </c>
      <c r="AB757" s="726">
        <f t="shared" si="698"/>
        <v>-2019.2895922182361</v>
      </c>
      <c r="AC757" s="726">
        <f t="shared" si="698"/>
        <v>-2855.06814105378</v>
      </c>
      <c r="AD757" s="726">
        <f t="shared" si="698"/>
        <v>-3754.8274703475181</v>
      </c>
      <c r="AE757" s="726">
        <f t="shared" si="698"/>
        <v>-4729.0850793131394</v>
      </c>
      <c r="AF757" s="726">
        <f t="shared" si="698"/>
        <v>-5798.1937646979932</v>
      </c>
      <c r="AG757" s="727">
        <f t="shared" si="698"/>
        <v>-6986.4908936114516</v>
      </c>
      <c r="AH757" s="18"/>
      <c r="AI757" s="18"/>
      <c r="AJ757" s="18"/>
      <c r="AK757" s="18"/>
      <c r="AL757" s="18"/>
      <c r="AM757" s="18"/>
      <c r="AN757" s="18"/>
    </row>
    <row r="758" spans="1:40" ht="21.95" customHeight="1" thickBot="1" x14ac:dyDescent="0.25">
      <c r="B758" s="705"/>
      <c r="C758" s="715"/>
      <c r="D758" s="715"/>
      <c r="E758" s="1339"/>
      <c r="F758" s="116" t="s">
        <v>280</v>
      </c>
      <c r="G758" s="116" t="s">
        <v>333</v>
      </c>
      <c r="H758" s="726">
        <f t="shared" ref="H758:AG758" si="699">H480-H234</f>
        <v>0</v>
      </c>
      <c r="I758" s="726">
        <f t="shared" si="699"/>
        <v>0</v>
      </c>
      <c r="J758" s="726">
        <f t="shared" si="699"/>
        <v>0</v>
      </c>
      <c r="K758" s="726">
        <f t="shared" si="699"/>
        <v>0</v>
      </c>
      <c r="L758" s="726">
        <f t="shared" si="699"/>
        <v>0</v>
      </c>
      <c r="M758" s="726">
        <f t="shared" si="699"/>
        <v>0</v>
      </c>
      <c r="N758" s="726">
        <f t="shared" si="699"/>
        <v>0</v>
      </c>
      <c r="O758" s="726">
        <f t="shared" si="699"/>
        <v>0</v>
      </c>
      <c r="P758" s="726">
        <f t="shared" si="699"/>
        <v>0</v>
      </c>
      <c r="Q758" s="726">
        <f t="shared" si="699"/>
        <v>0</v>
      </c>
      <c r="R758" s="726">
        <f t="shared" si="699"/>
        <v>0</v>
      </c>
      <c r="S758" s="726">
        <f t="shared" si="699"/>
        <v>0</v>
      </c>
      <c r="T758" s="726">
        <f t="shared" si="699"/>
        <v>0</v>
      </c>
      <c r="U758" s="726">
        <f t="shared" si="699"/>
        <v>0</v>
      </c>
      <c r="V758" s="726">
        <f t="shared" si="699"/>
        <v>0</v>
      </c>
      <c r="W758" s="726">
        <f t="shared" si="699"/>
        <v>0</v>
      </c>
      <c r="X758" s="726">
        <f t="shared" si="699"/>
        <v>0</v>
      </c>
      <c r="Y758" s="726">
        <f t="shared" si="699"/>
        <v>0</v>
      </c>
      <c r="Z758" s="726">
        <f t="shared" si="699"/>
        <v>0</v>
      </c>
      <c r="AA758" s="726">
        <f t="shared" si="699"/>
        <v>0</v>
      </c>
      <c r="AB758" s="726">
        <f t="shared" si="699"/>
        <v>0</v>
      </c>
      <c r="AC758" s="726">
        <f t="shared" si="699"/>
        <v>0</v>
      </c>
      <c r="AD758" s="726">
        <f t="shared" si="699"/>
        <v>0</v>
      </c>
      <c r="AE758" s="726">
        <f t="shared" si="699"/>
        <v>0</v>
      </c>
      <c r="AF758" s="726">
        <f t="shared" si="699"/>
        <v>0</v>
      </c>
      <c r="AG758" s="727">
        <f t="shared" si="699"/>
        <v>0</v>
      </c>
      <c r="AH758" s="18"/>
      <c r="AI758" s="18"/>
      <c r="AJ758" s="18"/>
      <c r="AK758" s="18"/>
      <c r="AL758" s="18"/>
      <c r="AM758" s="18"/>
      <c r="AN758" s="18"/>
    </row>
    <row r="759" spans="1:40" ht="21.95" customHeight="1" thickBot="1" x14ac:dyDescent="0.25">
      <c r="B759" s="705"/>
      <c r="C759" s="715"/>
      <c r="D759" s="715"/>
      <c r="E759" s="1340" t="s">
        <v>280</v>
      </c>
      <c r="F759" s="220" t="s">
        <v>281</v>
      </c>
      <c r="G759" s="220" t="s">
        <v>335</v>
      </c>
      <c r="H759" s="726">
        <f t="shared" ref="H759:AG759" si="700">H481-H235</f>
        <v>2204.5103856809728</v>
      </c>
      <c r="I759" s="726">
        <f t="shared" si="700"/>
        <v>1909.5933186467737</v>
      </c>
      <c r="J759" s="726">
        <f t="shared" si="700"/>
        <v>9421.9473262739048</v>
      </c>
      <c r="K759" s="726">
        <f t="shared" si="700"/>
        <v>15752.797166668999</v>
      </c>
      <c r="L759" s="726">
        <f t="shared" si="700"/>
        <v>15170.881138749275</v>
      </c>
      <c r="M759" s="726">
        <f t="shared" si="700"/>
        <v>-24926.042474592832</v>
      </c>
      <c r="N759" s="726">
        <f t="shared" si="700"/>
        <v>-235296.07815026509</v>
      </c>
      <c r="O759" s="726">
        <f t="shared" si="700"/>
        <v>-264944.13761200255</v>
      </c>
      <c r="P759" s="726">
        <f t="shared" si="700"/>
        <v>-315526.26321117044</v>
      </c>
      <c r="Q759" s="726">
        <f t="shared" si="700"/>
        <v>-366189.79640462383</v>
      </c>
      <c r="R759" s="726">
        <f t="shared" si="700"/>
        <v>-417046.72675526509</v>
      </c>
      <c r="S759" s="726">
        <f t="shared" si="700"/>
        <v>-468564.27875414555</v>
      </c>
      <c r="T759" s="726">
        <f t="shared" si="700"/>
        <v>-521951.05822731217</v>
      </c>
      <c r="U759" s="726">
        <f t="shared" si="700"/>
        <v>-554016.2587915347</v>
      </c>
      <c r="V759" s="726">
        <f t="shared" si="700"/>
        <v>-571756.54373922769</v>
      </c>
      <c r="W759" s="726">
        <f t="shared" si="700"/>
        <v>-587296.62430475559</v>
      </c>
      <c r="X759" s="726">
        <f t="shared" si="700"/>
        <v>-603670.94313693559</v>
      </c>
      <c r="Y759" s="726">
        <f t="shared" si="700"/>
        <v>-621052.81319213496</v>
      </c>
      <c r="Z759" s="726">
        <f t="shared" si="700"/>
        <v>-639591.9746455272</v>
      </c>
      <c r="AA759" s="726">
        <f t="shared" si="700"/>
        <v>-659514.16006397433</v>
      </c>
      <c r="AB759" s="726">
        <f t="shared" si="700"/>
        <v>-681042.30159774888</v>
      </c>
      <c r="AC759" s="726">
        <f t="shared" si="700"/>
        <v>-704441.33123656013</v>
      </c>
      <c r="AD759" s="726">
        <f t="shared" si="700"/>
        <v>-730060.23734404414</v>
      </c>
      <c r="AE759" s="726">
        <f t="shared" si="700"/>
        <v>-758244.04053361295</v>
      </c>
      <c r="AF759" s="726">
        <f t="shared" si="700"/>
        <v>-789377.18809707882</v>
      </c>
      <c r="AG759" s="727">
        <f t="shared" si="700"/>
        <v>-823974.4209936118</v>
      </c>
      <c r="AH759" s="18"/>
      <c r="AI759" s="18"/>
      <c r="AJ759" s="18"/>
      <c r="AK759" s="18"/>
      <c r="AL759" s="18"/>
      <c r="AM759" s="18"/>
      <c r="AN759" s="18"/>
    </row>
    <row r="760" spans="1:40" ht="21.95" customHeight="1" thickBot="1" x14ac:dyDescent="0.25">
      <c r="B760" s="705"/>
      <c r="C760" s="715"/>
      <c r="D760" s="715"/>
      <c r="E760" s="1339"/>
      <c r="F760" s="116" t="s">
        <v>335</v>
      </c>
      <c r="G760" s="116" t="s">
        <v>323</v>
      </c>
      <c r="H760" s="726">
        <f t="shared" ref="H760:AG760" si="701">H482-H236</f>
        <v>0</v>
      </c>
      <c r="I760" s="726">
        <f t="shared" si="701"/>
        <v>-252.33418748323493</v>
      </c>
      <c r="J760" s="726">
        <f t="shared" si="701"/>
        <v>-154.04695981641453</v>
      </c>
      <c r="K760" s="726">
        <f t="shared" si="701"/>
        <v>-1795.1032452724357</v>
      </c>
      <c r="L760" s="726">
        <f t="shared" si="701"/>
        <v>-3455.5320095457246</v>
      </c>
      <c r="M760" s="726">
        <f t="shared" si="701"/>
        <v>-5262.5861369661652</v>
      </c>
      <c r="N760" s="726">
        <f t="shared" si="701"/>
        <v>-7807.780214355269</v>
      </c>
      <c r="O760" s="726">
        <f t="shared" si="701"/>
        <v>-13347.24514812079</v>
      </c>
      <c r="P760" s="726">
        <f t="shared" si="701"/>
        <v>-47489.926369894994</v>
      </c>
      <c r="Q760" s="726">
        <f t="shared" si="701"/>
        <v>-67152.001390285062</v>
      </c>
      <c r="R760" s="726">
        <f t="shared" si="701"/>
        <v>-71281.479433685323</v>
      </c>
      <c r="S760" s="726">
        <f t="shared" si="701"/>
        <v>-63836.744046945489</v>
      </c>
      <c r="T760" s="726">
        <f t="shared" si="701"/>
        <v>-50792.269688294487</v>
      </c>
      <c r="U760" s="726">
        <f t="shared" si="701"/>
        <v>-53212.149887217151</v>
      </c>
      <c r="V760" s="726">
        <f t="shared" si="701"/>
        <v>-53900.492173487844</v>
      </c>
      <c r="W760" s="726">
        <f t="shared" si="701"/>
        <v>-54536.491120113424</v>
      </c>
      <c r="X760" s="726">
        <f t="shared" si="701"/>
        <v>-55183.473547883768</v>
      </c>
      <c r="Y760" s="726">
        <f t="shared" si="701"/>
        <v>-55843.490078866918</v>
      </c>
      <c r="Z760" s="726">
        <f t="shared" si="701"/>
        <v>-56518.408474383192</v>
      </c>
      <c r="AA760" s="726">
        <f t="shared" si="701"/>
        <v>-57210.94188771426</v>
      </c>
      <c r="AB760" s="726">
        <f t="shared" si="701"/>
        <v>-57923.698146624141</v>
      </c>
      <c r="AC760" s="726">
        <f t="shared" si="701"/>
        <v>-58659.927154475678</v>
      </c>
      <c r="AD760" s="726">
        <f t="shared" si="701"/>
        <v>-59423.551956637908</v>
      </c>
      <c r="AE760" s="726">
        <f t="shared" si="701"/>
        <v>-60218.519261268579</v>
      </c>
      <c r="AF760" s="726">
        <f t="shared" si="701"/>
        <v>-61049.496730159561</v>
      </c>
      <c r="AG760" s="727">
        <f t="shared" si="701"/>
        <v>-61922.140858908591</v>
      </c>
      <c r="AH760" s="18"/>
      <c r="AI760" s="18"/>
      <c r="AJ760" s="18"/>
      <c r="AK760" s="18"/>
      <c r="AL760" s="18"/>
      <c r="AM760" s="18"/>
      <c r="AN760" s="18"/>
    </row>
    <row r="761" spans="1:40" ht="21.95" customHeight="1" thickBot="1" x14ac:dyDescent="0.25">
      <c r="B761" s="705"/>
      <c r="C761" s="715"/>
      <c r="D761" s="715"/>
      <c r="E761" s="1353"/>
      <c r="F761" s="254" t="s">
        <v>323</v>
      </c>
      <c r="G761" s="254" t="s">
        <v>338</v>
      </c>
      <c r="H761" s="726">
        <f t="shared" ref="H761:AG761" si="702">H483-H237</f>
        <v>0</v>
      </c>
      <c r="I761" s="726">
        <f t="shared" si="702"/>
        <v>-1228.5343021394801</v>
      </c>
      <c r="J761" s="726">
        <f t="shared" si="702"/>
        <v>-879.34982749799383</v>
      </c>
      <c r="K761" s="726">
        <f t="shared" si="702"/>
        <v>-3388.2234328789636</v>
      </c>
      <c r="L761" s="726">
        <f t="shared" si="702"/>
        <v>-6581.1453573207255</v>
      </c>
      <c r="M761" s="726">
        <f t="shared" si="702"/>
        <v>-11070.984256223397</v>
      </c>
      <c r="N761" s="726">
        <f t="shared" si="702"/>
        <v>-17899.353293876193</v>
      </c>
      <c r="O761" s="726">
        <f t="shared" si="702"/>
        <v>-28778.123403477017</v>
      </c>
      <c r="P761" s="726">
        <f t="shared" si="702"/>
        <v>-63608.477422900032</v>
      </c>
      <c r="Q761" s="726">
        <f t="shared" si="702"/>
        <v>-129825.35324856942</v>
      </c>
      <c r="R761" s="726">
        <f t="shared" si="702"/>
        <v>-222831.23239318526</v>
      </c>
      <c r="S761" s="726">
        <f t="shared" si="702"/>
        <v>-210098.56488012086</v>
      </c>
      <c r="T761" s="726">
        <f t="shared" si="702"/>
        <v>-182934.71462432126</v>
      </c>
      <c r="U761" s="726">
        <f t="shared" si="702"/>
        <v>-149981.33736476128</v>
      </c>
      <c r="V761" s="726">
        <f t="shared" si="702"/>
        <v>-117778.81717548403</v>
      </c>
      <c r="W761" s="726">
        <f t="shared" si="702"/>
        <v>-96002.856516371306</v>
      </c>
      <c r="X761" s="726">
        <f t="shared" si="702"/>
        <v>-98519.281554687885</v>
      </c>
      <c r="Y761" s="726">
        <f t="shared" si="702"/>
        <v>-101039.47892746842</v>
      </c>
      <c r="Z761" s="726">
        <f t="shared" si="702"/>
        <v>-103558.10004229686</v>
      </c>
      <c r="AA761" s="726">
        <f t="shared" si="702"/>
        <v>-106080.86852294678</v>
      </c>
      <c r="AB761" s="726">
        <f t="shared" si="702"/>
        <v>-108602.49837497558</v>
      </c>
      <c r="AC761" s="726">
        <f t="shared" si="702"/>
        <v>-111126.00945099595</v>
      </c>
      <c r="AD761" s="726">
        <f t="shared" si="702"/>
        <v>-113654.4780905107</v>
      </c>
      <c r="AE761" s="726">
        <f t="shared" si="702"/>
        <v>-116182.73368039343</v>
      </c>
      <c r="AF761" s="726">
        <f t="shared" si="702"/>
        <v>-118713.91872769641</v>
      </c>
      <c r="AG761" s="727">
        <f t="shared" si="702"/>
        <v>-121251.25960035389</v>
      </c>
      <c r="AH761" s="18"/>
      <c r="AI761" s="18"/>
      <c r="AJ761" s="18"/>
      <c r="AK761" s="18"/>
      <c r="AL761" s="18"/>
      <c r="AM761" s="18"/>
      <c r="AN761" s="18"/>
    </row>
    <row r="762" spans="1:40" ht="21.95" customHeight="1" thickBot="1" x14ac:dyDescent="0.25">
      <c r="B762" s="705"/>
      <c r="C762" s="715"/>
      <c r="D762" s="715"/>
      <c r="E762" s="116" t="s">
        <v>339</v>
      </c>
      <c r="F762" s="116" t="s">
        <v>335</v>
      </c>
      <c r="G762" s="116" t="s">
        <v>323</v>
      </c>
      <c r="H762" s="726">
        <f t="shared" ref="H762:AG762" si="703">H484-H238</f>
        <v>-447.96741014413419</v>
      </c>
      <c r="I762" s="726">
        <f t="shared" si="703"/>
        <v>1641.4953926062763</v>
      </c>
      <c r="J762" s="726">
        <f t="shared" si="703"/>
        <v>13533.152190490204</v>
      </c>
      <c r="K762" s="726">
        <f t="shared" si="703"/>
        <v>31907.58337757154</v>
      </c>
      <c r="L762" s="726">
        <f t="shared" si="703"/>
        <v>50293.644513941254</v>
      </c>
      <c r="M762" s="726">
        <f t="shared" si="703"/>
        <v>68702.74595468957</v>
      </c>
      <c r="N762" s="726">
        <f t="shared" si="703"/>
        <v>87343.197233698505</v>
      </c>
      <c r="O762" s="726">
        <f t="shared" si="703"/>
        <v>107794.41748677236</v>
      </c>
      <c r="P762" s="726">
        <f t="shared" si="703"/>
        <v>122400.32711321647</v>
      </c>
      <c r="Q762" s="726">
        <f t="shared" si="703"/>
        <v>142929.27190605688</v>
      </c>
      <c r="R762" s="726">
        <f t="shared" si="703"/>
        <v>176099.57277916363</v>
      </c>
      <c r="S762" s="726">
        <f t="shared" si="703"/>
        <v>234704.5517614233</v>
      </c>
      <c r="T762" s="726">
        <f t="shared" si="703"/>
        <v>342366.62669938843</v>
      </c>
      <c r="U762" s="726">
        <f t="shared" si="703"/>
        <v>378863.7186835364</v>
      </c>
      <c r="V762" s="726">
        <f t="shared" si="703"/>
        <v>383798.93188296788</v>
      </c>
      <c r="W762" s="726">
        <f t="shared" si="703"/>
        <v>388733.92983421317</v>
      </c>
      <c r="X762" s="726">
        <f t="shared" si="703"/>
        <v>393669.00467074232</v>
      </c>
      <c r="Y762" s="726">
        <f t="shared" si="703"/>
        <v>398623.19887932448</v>
      </c>
      <c r="Z762" s="726">
        <f t="shared" si="703"/>
        <v>403558.45988414827</v>
      </c>
      <c r="AA762" s="726">
        <f t="shared" si="703"/>
        <v>408512.85956126405</v>
      </c>
      <c r="AB762" s="726">
        <f t="shared" si="703"/>
        <v>413448.35113644751</v>
      </c>
      <c r="AC762" s="726">
        <f t="shared" si="703"/>
        <v>418383.97427594039</v>
      </c>
      <c r="AD762" s="726">
        <f t="shared" si="703"/>
        <v>423338.78131081117</v>
      </c>
      <c r="AE762" s="726">
        <f t="shared" si="703"/>
        <v>428274.72844445892</v>
      </c>
      <c r="AF762" s="726">
        <f t="shared" si="703"/>
        <v>433210.85691519629</v>
      </c>
      <c r="AG762" s="727">
        <f t="shared" si="703"/>
        <v>438166.22590411844</v>
      </c>
      <c r="AH762" s="18"/>
      <c r="AI762" s="18"/>
      <c r="AJ762" s="18"/>
      <c r="AK762" s="18"/>
      <c r="AL762" s="18"/>
      <c r="AM762" s="18"/>
      <c r="AN762" s="18"/>
    </row>
    <row r="763" spans="1:40" ht="21.95" customHeight="1" thickBot="1" x14ac:dyDescent="0.25">
      <c r="B763" s="705"/>
      <c r="C763" s="715"/>
      <c r="D763" s="715"/>
      <c r="E763" s="1340" t="s">
        <v>323</v>
      </c>
      <c r="F763" s="220" t="s">
        <v>282</v>
      </c>
      <c r="G763" s="220" t="s">
        <v>339</v>
      </c>
      <c r="H763" s="726">
        <f t="shared" ref="H763:AG763" si="704">H485-H239</f>
        <v>-1228.4347919887814</v>
      </c>
      <c r="I763" s="726">
        <f t="shared" si="704"/>
        <v>237.22670436158342</v>
      </c>
      <c r="J763" s="726">
        <f t="shared" si="704"/>
        <v>-17140.389056677748</v>
      </c>
      <c r="K763" s="726">
        <f t="shared" si="704"/>
        <v>-29061.207779354558</v>
      </c>
      <c r="L763" s="726">
        <f t="shared" si="704"/>
        <v>-40997.482299702286</v>
      </c>
      <c r="M763" s="726">
        <f t="shared" si="704"/>
        <v>-52939.830670673568</v>
      </c>
      <c r="N763" s="726">
        <f t="shared" si="704"/>
        <v>-65176.507070401218</v>
      </c>
      <c r="O763" s="726">
        <f t="shared" si="704"/>
        <v>-79253.457005352568</v>
      </c>
      <c r="P763" s="726">
        <f t="shared" si="704"/>
        <v>-68403.395967880366</v>
      </c>
      <c r="Q763" s="726">
        <f t="shared" si="704"/>
        <v>-57551.502230891841</v>
      </c>
      <c r="R763" s="726">
        <f t="shared" si="704"/>
        <v>-46701.399245843961</v>
      </c>
      <c r="S763" s="726">
        <f t="shared" si="704"/>
        <v>-35851.277784498379</v>
      </c>
      <c r="T763" s="726">
        <f t="shared" si="704"/>
        <v>-24986.727845213871</v>
      </c>
      <c r="U763" s="726">
        <f t="shared" si="704"/>
        <v>-19601.781681432913</v>
      </c>
      <c r="V763" s="726">
        <f t="shared" si="704"/>
        <v>-18136.098108796898</v>
      </c>
      <c r="W763" s="726">
        <f t="shared" si="704"/>
        <v>-16670.412148737465</v>
      </c>
      <c r="X763" s="726">
        <f t="shared" si="704"/>
        <v>-15204.723570602742</v>
      </c>
      <c r="Y763" s="726">
        <f t="shared" si="704"/>
        <v>-13734.835866872541</v>
      </c>
      <c r="Z763" s="726">
        <f t="shared" si="704"/>
        <v>-12269.141273704532</v>
      </c>
      <c r="AA763" s="726">
        <f t="shared" si="704"/>
        <v>-10799.246971056389</v>
      </c>
      <c r="AB763" s="726">
        <f t="shared" si="704"/>
        <v>-9333.5451860840258</v>
      </c>
      <c r="AC763" s="726">
        <f t="shared" si="704"/>
        <v>-7867.8393085242424</v>
      </c>
      <c r="AD763" s="726">
        <f t="shared" si="704"/>
        <v>-6397.9326534369902</v>
      </c>
      <c r="AE763" s="726">
        <f t="shared" si="704"/>
        <v>-4932.2174353594019</v>
      </c>
      <c r="AF763" s="726">
        <f t="shared" si="704"/>
        <v>-3466.4969215435558</v>
      </c>
      <c r="AG763" s="727">
        <f t="shared" si="704"/>
        <v>-1996.574284611328</v>
      </c>
      <c r="AH763" s="18"/>
      <c r="AI763" s="18"/>
      <c r="AJ763" s="18"/>
      <c r="AK763" s="18"/>
      <c r="AL763" s="18"/>
      <c r="AM763" s="18"/>
      <c r="AN763" s="18"/>
    </row>
    <row r="764" spans="1:40" ht="21.95" customHeight="1" thickBot="1" x14ac:dyDescent="0.25">
      <c r="B764" s="705"/>
      <c r="C764" s="715"/>
      <c r="D764" s="715"/>
      <c r="E764" s="1339"/>
      <c r="F764" s="116" t="s">
        <v>339</v>
      </c>
      <c r="G764" s="116" t="s">
        <v>288</v>
      </c>
      <c r="H764" s="726">
        <f t="shared" ref="H764:AG764" si="705">H486-H240</f>
        <v>-609.32249322493226</v>
      </c>
      <c r="I764" s="726">
        <f t="shared" si="705"/>
        <v>-342.10203153128555</v>
      </c>
      <c r="J764" s="726">
        <f t="shared" si="705"/>
        <v>629.70164183971656</v>
      </c>
      <c r="K764" s="726">
        <f t="shared" si="705"/>
        <v>1539.4146579529702</v>
      </c>
      <c r="L764" s="726">
        <f t="shared" si="705"/>
        <v>2453.5127358398731</v>
      </c>
      <c r="M764" s="726">
        <f t="shared" si="705"/>
        <v>3362.1728414919698</v>
      </c>
      <c r="N764" s="726">
        <f t="shared" si="705"/>
        <v>4271.5962992409059</v>
      </c>
      <c r="O764" s="726">
        <f t="shared" si="705"/>
        <v>5182.509698362268</v>
      </c>
      <c r="P764" s="726">
        <f t="shared" si="705"/>
        <v>3905.1319111666398</v>
      </c>
      <c r="Q764" s="726">
        <f t="shared" si="705"/>
        <v>2297.2678075510921</v>
      </c>
      <c r="R764" s="726">
        <f t="shared" si="705"/>
        <v>-1253.6315026963966</v>
      </c>
      <c r="S764" s="726">
        <f t="shared" si="705"/>
        <v>-13377.42275851802</v>
      </c>
      <c r="T764" s="726">
        <f t="shared" si="705"/>
        <v>-56275.760889425692</v>
      </c>
      <c r="U764" s="726">
        <f t="shared" si="705"/>
        <v>-67176.403108798433</v>
      </c>
      <c r="V764" s="726">
        <f t="shared" si="705"/>
        <v>-68560.707029151468</v>
      </c>
      <c r="W764" s="726">
        <f t="shared" si="705"/>
        <v>-69953.060968968784</v>
      </c>
      <c r="X764" s="726">
        <f t="shared" si="705"/>
        <v>-71345.48674259946</v>
      </c>
      <c r="Y764" s="726">
        <f t="shared" si="705"/>
        <v>-72737.124156936115</v>
      </c>
      <c r="Z764" s="726">
        <f t="shared" si="705"/>
        <v>-74129.727311422466</v>
      </c>
      <c r="AA764" s="726">
        <f t="shared" si="705"/>
        <v>-75521.570884537752</v>
      </c>
      <c r="AB764" s="726">
        <f t="shared" si="705"/>
        <v>-76914.413057932034</v>
      </c>
      <c r="AC764" s="726">
        <f t="shared" si="705"/>
        <v>-78307.403415591718</v>
      </c>
      <c r="AD764" s="726">
        <f t="shared" si="705"/>
        <v>-79691.12813012641</v>
      </c>
      <c r="AE764" s="726">
        <f t="shared" si="705"/>
        <v>-81084.478783657454</v>
      </c>
      <c r="AF764" s="726">
        <f t="shared" si="705"/>
        <v>-82478.060616106697</v>
      </c>
      <c r="AG764" s="727">
        <f t="shared" si="705"/>
        <v>-83871.030108990817</v>
      </c>
      <c r="AH764" s="18"/>
      <c r="AI764" s="18"/>
      <c r="AJ764" s="18"/>
      <c r="AK764" s="18"/>
      <c r="AL764" s="18"/>
      <c r="AM764" s="18"/>
      <c r="AN764" s="18"/>
    </row>
    <row r="765" spans="1:40" ht="21.95" customHeight="1" thickBot="1" x14ac:dyDescent="0.25">
      <c r="B765" s="705"/>
      <c r="C765" s="715"/>
      <c r="D765" s="715"/>
      <c r="E765" s="1339"/>
      <c r="F765" s="116" t="s">
        <v>288</v>
      </c>
      <c r="G765" s="116" t="s">
        <v>340</v>
      </c>
      <c r="H765" s="726">
        <f t="shared" ref="H765:AG765" si="706">H487-H241</f>
        <v>-1944.8905109489051</v>
      </c>
      <c r="I765" s="726">
        <f t="shared" si="706"/>
        <v>-1568.0355596107056</v>
      </c>
      <c r="J765" s="726">
        <f t="shared" si="706"/>
        <v>646.35194647201843</v>
      </c>
      <c r="K765" s="726">
        <f t="shared" si="706"/>
        <v>1847.5163260345489</v>
      </c>
      <c r="L765" s="726">
        <f t="shared" si="706"/>
        <v>3052.6353163660242</v>
      </c>
      <c r="M765" s="726">
        <f t="shared" si="706"/>
        <v>4249.9099167109125</v>
      </c>
      <c r="N765" s="726">
        <f t="shared" si="706"/>
        <v>5451.0743189321038</v>
      </c>
      <c r="O765" s="726">
        <f t="shared" si="706"/>
        <v>6657.1010979515704</v>
      </c>
      <c r="P765" s="726">
        <f t="shared" si="706"/>
        <v>1397.663401666221</v>
      </c>
      <c r="Q765" s="726">
        <f t="shared" si="706"/>
        <v>-3856.2675173036769</v>
      </c>
      <c r="R765" s="726">
        <f t="shared" si="706"/>
        <v>-9114.8928635102202</v>
      </c>
      <c r="S765" s="726">
        <f t="shared" si="706"/>
        <v>-14374.486733204074</v>
      </c>
      <c r="T765" s="726">
        <f t="shared" si="706"/>
        <v>-19634.870365366951</v>
      </c>
      <c r="U765" s="726">
        <f t="shared" si="706"/>
        <v>-23196.500856509738</v>
      </c>
      <c r="V765" s="726">
        <f t="shared" si="706"/>
        <v>-24153.892497315566</v>
      </c>
      <c r="W765" s="726">
        <f t="shared" si="706"/>
        <v>-25111.355922454168</v>
      </c>
      <c r="X765" s="726">
        <f t="shared" si="706"/>
        <v>-26068.903187870994</v>
      </c>
      <c r="Y765" s="726">
        <f t="shared" si="706"/>
        <v>-27023.69531165529</v>
      </c>
      <c r="Z765" s="726">
        <f t="shared" si="706"/>
        <v>-27981.453609884687</v>
      </c>
      <c r="AA765" s="726">
        <f t="shared" si="706"/>
        <v>-28936.490454961939</v>
      </c>
      <c r="AB765" s="726">
        <f t="shared" si="706"/>
        <v>-29894.532061971782</v>
      </c>
      <c r="AC765" s="726">
        <f t="shared" si="706"/>
        <v>-30852.748883966444</v>
      </c>
      <c r="AD765" s="726">
        <f t="shared" si="706"/>
        <v>-31808.314223598471</v>
      </c>
      <c r="AE765" s="726">
        <f t="shared" si="706"/>
        <v>-32766.964061963576</v>
      </c>
      <c r="AF765" s="726">
        <f t="shared" si="706"/>
        <v>-33725.879117610239</v>
      </c>
      <c r="AG765" s="727">
        <f t="shared" si="706"/>
        <v>-34682.244010246824</v>
      </c>
      <c r="AH765" s="18"/>
      <c r="AI765" s="18"/>
      <c r="AJ765" s="18"/>
      <c r="AK765" s="18"/>
      <c r="AL765" s="18"/>
      <c r="AM765" s="18"/>
      <c r="AN765" s="18"/>
    </row>
    <row r="766" spans="1:40" ht="21.95" customHeight="1" thickBot="1" x14ac:dyDescent="0.25">
      <c r="B766" s="705"/>
      <c r="C766" s="715"/>
      <c r="D766" s="715"/>
      <c r="E766" s="1353"/>
      <c r="F766" s="254" t="s">
        <v>340</v>
      </c>
      <c r="G766" s="254" t="s">
        <v>280</v>
      </c>
      <c r="H766" s="726">
        <f t="shared" ref="H766:AG766" si="707">H488-H242</f>
        <v>0</v>
      </c>
      <c r="I766" s="726">
        <f t="shared" si="707"/>
        <v>-1143.7821167883203</v>
      </c>
      <c r="J766" s="726">
        <f t="shared" si="707"/>
        <v>-1958.3049270073006</v>
      </c>
      <c r="K766" s="726">
        <f t="shared" si="707"/>
        <v>-6861.2007299271827</v>
      </c>
      <c r="L766" s="726">
        <f t="shared" si="707"/>
        <v>-11764.003284692131</v>
      </c>
      <c r="M766" s="726">
        <f t="shared" si="707"/>
        <v>-16676.410402024881</v>
      </c>
      <c r="N766" s="726">
        <f t="shared" si="707"/>
        <v>-21579.306211536365</v>
      </c>
      <c r="O766" s="726">
        <f t="shared" si="707"/>
        <v>-26489.195676732837</v>
      </c>
      <c r="P766" s="726">
        <f t="shared" si="707"/>
        <v>-31550.334560428382</v>
      </c>
      <c r="Q766" s="726">
        <f t="shared" si="707"/>
        <v>-36609.243070896766</v>
      </c>
      <c r="R766" s="726">
        <f t="shared" si="707"/>
        <v>-41674.350115821013</v>
      </c>
      <c r="S766" s="726">
        <f t="shared" si="707"/>
        <v>-46735.735123902647</v>
      </c>
      <c r="T766" s="726">
        <f t="shared" si="707"/>
        <v>-51810.873380949342</v>
      </c>
      <c r="U766" s="726">
        <f t="shared" si="707"/>
        <v>-52781.836973347657</v>
      </c>
      <c r="V766" s="726">
        <f t="shared" si="707"/>
        <v>-53926.173838631978</v>
      </c>
      <c r="W766" s="726">
        <f t="shared" si="707"/>
        <v>-55070.615323987222</v>
      </c>
      <c r="X766" s="726">
        <f t="shared" si="707"/>
        <v>-56215.178879649669</v>
      </c>
      <c r="Y766" s="726">
        <f t="shared" si="707"/>
        <v>-57363.241093614284</v>
      </c>
      <c r="Z766" s="726">
        <f t="shared" si="707"/>
        <v>-58508.111508842834</v>
      </c>
      <c r="AA766" s="726">
        <f t="shared" si="707"/>
        <v>-59656.529310847734</v>
      </c>
      <c r="AB766" s="726">
        <f t="shared" si="707"/>
        <v>-60801.811064255278</v>
      </c>
      <c r="AC766" s="726">
        <f t="shared" si="707"/>
        <v>-61947.34696504625</v>
      </c>
      <c r="AD766" s="726">
        <f t="shared" si="707"/>
        <v>-63096.531364702852</v>
      </c>
      <c r="AE766" s="726">
        <f t="shared" si="707"/>
        <v>-64242.69482222409</v>
      </c>
      <c r="AF766" s="726">
        <f t="shared" si="707"/>
        <v>-65389.2423560397</v>
      </c>
      <c r="AG766" s="727">
        <f t="shared" si="707"/>
        <v>-66539.584669125004</v>
      </c>
      <c r="AH766" s="18"/>
      <c r="AI766" s="18"/>
      <c r="AJ766" s="18"/>
      <c r="AK766" s="18"/>
      <c r="AL766" s="18"/>
      <c r="AM766" s="18"/>
      <c r="AN766" s="18"/>
    </row>
    <row r="767" spans="1:40" ht="21.95" customHeight="1" thickBot="1" x14ac:dyDescent="0.25">
      <c r="B767" s="705"/>
      <c r="C767" s="715"/>
      <c r="D767" s="715"/>
      <c r="E767" s="1340" t="s">
        <v>334</v>
      </c>
      <c r="F767" s="116" t="s">
        <v>336</v>
      </c>
      <c r="G767" s="116" t="s">
        <v>337</v>
      </c>
      <c r="H767" s="726">
        <f t="shared" ref="H767:AG767" si="708">H489-H243</f>
        <v>0</v>
      </c>
      <c r="I767" s="726">
        <f t="shared" si="708"/>
        <v>30.657954192589386</v>
      </c>
      <c r="J767" s="726">
        <f t="shared" si="708"/>
        <v>61.497578527938458</v>
      </c>
      <c r="K767" s="726">
        <f t="shared" si="708"/>
        <v>92.164789273534552</v>
      </c>
      <c r="L767" s="726">
        <f t="shared" si="708"/>
        <v>122.84440557073685</v>
      </c>
      <c r="M767" s="726">
        <f t="shared" si="708"/>
        <v>153.72584871647996</v>
      </c>
      <c r="N767" s="726">
        <f t="shared" si="708"/>
        <v>184.46683711954392</v>
      </c>
      <c r="O767" s="726">
        <f t="shared" si="708"/>
        <v>215.45241566798359</v>
      </c>
      <c r="P767" s="726">
        <f t="shared" si="708"/>
        <v>246.33637759575504</v>
      </c>
      <c r="Q767" s="726">
        <f t="shared" si="708"/>
        <v>277.35216463635152</v>
      </c>
      <c r="R767" s="726">
        <f t="shared" si="708"/>
        <v>308.56273408899142</v>
      </c>
      <c r="S767" s="726">
        <f t="shared" si="708"/>
        <v>340.05639554244408</v>
      </c>
      <c r="T767" s="726">
        <f t="shared" si="708"/>
        <v>372.31789176097664</v>
      </c>
      <c r="U767" s="726">
        <f t="shared" si="708"/>
        <v>404.2214975902607</v>
      </c>
      <c r="V767" s="726">
        <f t="shared" si="708"/>
        <v>436.13617893782794</v>
      </c>
      <c r="W767" s="726">
        <f t="shared" si="708"/>
        <v>468.32323988304415</v>
      </c>
      <c r="X767" s="726">
        <f t="shared" si="708"/>
        <v>500.8323888219893</v>
      </c>
      <c r="Y767" s="726">
        <f t="shared" si="708"/>
        <v>533.90532689543033</v>
      </c>
      <c r="Z767" s="726">
        <f t="shared" si="708"/>
        <v>567.24034997312992</v>
      </c>
      <c r="AA767" s="726">
        <f t="shared" si="708"/>
        <v>601.28306424072071</v>
      </c>
      <c r="AB767" s="726">
        <f t="shared" si="708"/>
        <v>635.74913181667216</v>
      </c>
      <c r="AC767" s="726">
        <f t="shared" si="708"/>
        <v>670.92298391772783</v>
      </c>
      <c r="AD767" s="726">
        <f t="shared" si="708"/>
        <v>707.10785008106905</v>
      </c>
      <c r="AE767" s="726">
        <f t="shared" si="708"/>
        <v>744.05376641728799</v>
      </c>
      <c r="AF767" s="726">
        <f t="shared" si="708"/>
        <v>782.09526053647278</v>
      </c>
      <c r="AG767" s="727">
        <f t="shared" si="708"/>
        <v>821.59349900681991</v>
      </c>
      <c r="AH767" s="18"/>
      <c r="AI767" s="18"/>
      <c r="AJ767" s="18"/>
      <c r="AK767" s="18"/>
      <c r="AL767" s="18"/>
      <c r="AM767" s="18"/>
      <c r="AN767" s="18"/>
    </row>
    <row r="768" spans="1:40" ht="21.95" customHeight="1" thickBot="1" x14ac:dyDescent="0.25">
      <c r="B768" s="705"/>
      <c r="C768" s="715"/>
      <c r="D768" s="715"/>
      <c r="E768" s="1339"/>
      <c r="F768" s="116" t="s">
        <v>337</v>
      </c>
      <c r="G768" s="116" t="s">
        <v>386</v>
      </c>
      <c r="H768" s="726">
        <f t="shared" ref="H768:AG768" si="709">H490-H244</f>
        <v>-6.5182536663342034</v>
      </c>
      <c r="I768" s="726">
        <f t="shared" si="709"/>
        <v>-1567.7075397385051</v>
      </c>
      <c r="J768" s="726">
        <f t="shared" si="709"/>
        <v>-5502.8156849854131</v>
      </c>
      <c r="K768" s="726">
        <f t="shared" si="709"/>
        <v>-9840.8119389662606</v>
      </c>
      <c r="L768" s="726">
        <f t="shared" si="709"/>
        <v>-14201.561728121582</v>
      </c>
      <c r="M768" s="726">
        <f t="shared" si="709"/>
        <v>-18581.622034575674</v>
      </c>
      <c r="N768" s="726">
        <f t="shared" si="709"/>
        <v>-22992.374975196653</v>
      </c>
      <c r="O768" s="726">
        <f t="shared" si="709"/>
        <v>-27461.688516169917</v>
      </c>
      <c r="P768" s="726">
        <f t="shared" si="709"/>
        <v>-29876.642032114134</v>
      </c>
      <c r="Q768" s="726">
        <f t="shared" si="709"/>
        <v>-32488.770609330226</v>
      </c>
      <c r="R768" s="726">
        <f t="shared" si="709"/>
        <v>-33135.839917698802</v>
      </c>
      <c r="S768" s="726">
        <f t="shared" si="709"/>
        <v>-33620.114784177742</v>
      </c>
      <c r="T768" s="726">
        <f t="shared" si="709"/>
        <v>-34145.326385846158</v>
      </c>
      <c r="U768" s="726">
        <f t="shared" si="709"/>
        <v>-34707.080373843055</v>
      </c>
      <c r="V768" s="726">
        <f t="shared" si="709"/>
        <v>-35305.136677502116</v>
      </c>
      <c r="W768" s="726">
        <f t="shared" si="709"/>
        <v>-35946.477638353681</v>
      </c>
      <c r="X768" s="726">
        <f t="shared" si="709"/>
        <v>-36632.046950900985</v>
      </c>
      <c r="Y768" s="726">
        <f t="shared" si="709"/>
        <v>-37367.345515471912</v>
      </c>
      <c r="Z768" s="726">
        <f t="shared" si="709"/>
        <v>-38159.575176420942</v>
      </c>
      <c r="AA768" s="726">
        <f t="shared" si="709"/>
        <v>-39015.314299521124</v>
      </c>
      <c r="AB768" s="726">
        <f t="shared" si="709"/>
        <v>-39943.326540993847</v>
      </c>
      <c r="AC768" s="726">
        <f t="shared" si="709"/>
        <v>-40952.244831447373</v>
      </c>
      <c r="AD768" s="726">
        <f t="shared" si="709"/>
        <v>-42051.681742982852</v>
      </c>
      <c r="AE768" s="726">
        <f t="shared" si="709"/>
        <v>-43253.356214738582</v>
      </c>
      <c r="AF768" s="726">
        <f t="shared" si="709"/>
        <v>-44563.137687171882</v>
      </c>
      <c r="AG768" s="727">
        <f t="shared" si="709"/>
        <v>-46005.862441651712</v>
      </c>
      <c r="AH768" s="18"/>
      <c r="AI768" s="18"/>
      <c r="AJ768" s="18"/>
      <c r="AK768" s="18"/>
      <c r="AL768" s="18"/>
      <c r="AM768" s="18"/>
      <c r="AN768" s="18"/>
    </row>
    <row r="769" spans="2:40" ht="21.95" customHeight="1" thickBot="1" x14ac:dyDescent="0.25">
      <c r="B769" s="705"/>
      <c r="C769" s="715"/>
      <c r="D769" s="715"/>
      <c r="E769" s="1339"/>
      <c r="F769" s="116" t="s">
        <v>342</v>
      </c>
      <c r="G769" s="116" t="s">
        <v>341</v>
      </c>
      <c r="H769" s="726">
        <f t="shared" ref="H769:AG769" si="710">H491-H245</f>
        <v>-7.1976559362519765</v>
      </c>
      <c r="I769" s="726">
        <f t="shared" si="710"/>
        <v>-2272.1789723066468</v>
      </c>
      <c r="J769" s="726">
        <f t="shared" si="710"/>
        <v>-7983.0976302358904</v>
      </c>
      <c r="K769" s="726">
        <f t="shared" si="710"/>
        <v>-14282.867335516785</v>
      </c>
      <c r="L769" s="726">
        <f t="shared" si="710"/>
        <v>-20622.36237081459</v>
      </c>
      <c r="M769" s="726">
        <f t="shared" si="710"/>
        <v>-27000.077746827068</v>
      </c>
      <c r="N769" s="726">
        <f t="shared" si="710"/>
        <v>-33437.558134664054</v>
      </c>
      <c r="O769" s="726">
        <f t="shared" si="710"/>
        <v>-39982.541360351577</v>
      </c>
      <c r="P769" s="726">
        <f t="shared" si="710"/>
        <v>-43532.754173845999</v>
      </c>
      <c r="Q769" s="726">
        <f t="shared" si="710"/>
        <v>-47381.139454024436</v>
      </c>
      <c r="R769" s="726">
        <f t="shared" si="710"/>
        <v>-48391.790332093195</v>
      </c>
      <c r="S769" s="726">
        <f t="shared" si="710"/>
        <v>-49182.800488157314</v>
      </c>
      <c r="T769" s="726">
        <f t="shared" si="710"/>
        <v>-50052.85844493378</v>
      </c>
      <c r="U769" s="726">
        <f t="shared" si="710"/>
        <v>-50977.123912922572</v>
      </c>
      <c r="V769" s="726">
        <f t="shared" si="710"/>
        <v>-51955.041510113981</v>
      </c>
      <c r="W769" s="726">
        <f t="shared" si="710"/>
        <v>-53012.689656933362</v>
      </c>
      <c r="X769" s="726">
        <f t="shared" si="710"/>
        <v>-54153.446703039226</v>
      </c>
      <c r="Y769" s="726">
        <f t="shared" si="710"/>
        <v>-55387.785318305949</v>
      </c>
      <c r="Z769" s="726">
        <f t="shared" si="710"/>
        <v>-56728.938947614457</v>
      </c>
      <c r="AA769" s="726">
        <f t="shared" si="710"/>
        <v>-58189.544671094249</v>
      </c>
      <c r="AB769" s="726">
        <f t="shared" si="710"/>
        <v>-59785.766466447851</v>
      </c>
      <c r="AC769" s="726">
        <f t="shared" si="710"/>
        <v>-61533.951957109675</v>
      </c>
      <c r="AD769" s="726">
        <f t="shared" si="710"/>
        <v>-63452.284914175689</v>
      </c>
      <c r="AE769" s="726">
        <f t="shared" si="710"/>
        <v>-65562.473557167861</v>
      </c>
      <c r="AF769" s="726">
        <f t="shared" si="710"/>
        <v>-67877.247928747296</v>
      </c>
      <c r="AG769" s="727">
        <f t="shared" si="710"/>
        <v>-70440.202940560761</v>
      </c>
      <c r="AH769" s="18"/>
      <c r="AI769" s="18"/>
      <c r="AJ769" s="18"/>
      <c r="AK769" s="18"/>
      <c r="AL769" s="18"/>
      <c r="AM769" s="18"/>
      <c r="AN769" s="18"/>
    </row>
    <row r="770" spans="2:40" ht="21.95" customHeight="1" thickBot="1" x14ac:dyDescent="0.25">
      <c r="B770" s="705"/>
      <c r="C770" s="715"/>
      <c r="D770" s="715"/>
      <c r="E770" s="1339"/>
      <c r="F770" s="116" t="s">
        <v>341</v>
      </c>
      <c r="G770" s="116" t="s">
        <v>344</v>
      </c>
      <c r="H770" s="726">
        <f t="shared" ref="H770:AG770" si="711">H492-H246</f>
        <v>0</v>
      </c>
      <c r="I770" s="726">
        <f t="shared" si="711"/>
        <v>-2477.8350064002152</v>
      </c>
      <c r="J770" s="726">
        <f t="shared" si="711"/>
        <v>-8462.9526436574233</v>
      </c>
      <c r="K770" s="726">
        <f t="shared" si="711"/>
        <v>-15126.975436739624</v>
      </c>
      <c r="L770" s="726">
        <f t="shared" si="711"/>
        <v>-21917.795921925601</v>
      </c>
      <c r="M770" s="726">
        <f t="shared" si="711"/>
        <v>-28889.258928476833</v>
      </c>
      <c r="N770" s="726">
        <f t="shared" si="711"/>
        <v>-36138.317019082024</v>
      </c>
      <c r="O770" s="726">
        <f t="shared" si="711"/>
        <v>-43801.287452513876</v>
      </c>
      <c r="P770" s="726">
        <f t="shared" si="711"/>
        <v>-48153.535431091164</v>
      </c>
      <c r="Q770" s="726">
        <f t="shared" si="711"/>
        <v>-52969.024055084519</v>
      </c>
      <c r="R770" s="726">
        <f t="shared" si="711"/>
        <v>-57451.079480762884</v>
      </c>
      <c r="S770" s="726">
        <f t="shared" si="711"/>
        <v>-60710.807388370609</v>
      </c>
      <c r="T770" s="726">
        <f t="shared" si="711"/>
        <v>-64410.945150597196</v>
      </c>
      <c r="U770" s="726">
        <f t="shared" si="711"/>
        <v>-68196.51343796539</v>
      </c>
      <c r="V770" s="726">
        <f t="shared" si="711"/>
        <v>-72099.527166667278</v>
      </c>
      <c r="W770" s="726">
        <f t="shared" si="711"/>
        <v>-75130.428154874331</v>
      </c>
      <c r="X770" s="726">
        <f t="shared" si="711"/>
        <v>-78508.618930707045</v>
      </c>
      <c r="Y770" s="726">
        <f t="shared" si="711"/>
        <v>-82289.441342266626</v>
      </c>
      <c r="Z770" s="726">
        <f t="shared" si="711"/>
        <v>-86526.361452715239</v>
      </c>
      <c r="AA770" s="726">
        <f t="shared" si="711"/>
        <v>-91276.831854046788</v>
      </c>
      <c r="AB770" s="726">
        <f t="shared" si="711"/>
        <v>-96606.885882479401</v>
      </c>
      <c r="AC770" s="726">
        <f t="shared" si="711"/>
        <v>-102588.25856133556</v>
      </c>
      <c r="AD770" s="726">
        <f t="shared" si="711"/>
        <v>-109300.56947911365</v>
      </c>
      <c r="AE770" s="726">
        <f t="shared" si="711"/>
        <v>-116851.74288020318</v>
      </c>
      <c r="AF770" s="726">
        <f t="shared" si="711"/>
        <v>-125305.04251955406</v>
      </c>
      <c r="AG770" s="727">
        <f t="shared" si="711"/>
        <v>-134785.03951795647</v>
      </c>
      <c r="AH770" s="18"/>
      <c r="AI770" s="18"/>
      <c r="AJ770" s="18"/>
      <c r="AK770" s="18"/>
      <c r="AL770" s="18"/>
      <c r="AM770" s="18"/>
      <c r="AN770" s="18"/>
    </row>
    <row r="771" spans="2:40" ht="21.95" customHeight="1" thickBot="1" x14ac:dyDescent="0.25">
      <c r="B771" s="705"/>
      <c r="C771" s="715"/>
      <c r="D771" s="715"/>
      <c r="E771" s="1339"/>
      <c r="F771" s="116" t="s">
        <v>344</v>
      </c>
      <c r="G771" s="116" t="s">
        <v>345</v>
      </c>
      <c r="H771" s="726">
        <f t="shared" ref="H771:AG771" si="712">H493-H247</f>
        <v>0</v>
      </c>
      <c r="I771" s="726">
        <f t="shared" si="712"/>
        <v>-829.35502275091858</v>
      </c>
      <c r="J771" s="726">
        <f t="shared" si="712"/>
        <v>-2825.7825843489918</v>
      </c>
      <c r="K771" s="726">
        <f t="shared" si="712"/>
        <v>-5032.8435959150956</v>
      </c>
      <c r="L771" s="726">
        <f t="shared" si="712"/>
        <v>-7256.6507733127073</v>
      </c>
      <c r="M771" s="726">
        <f t="shared" si="712"/>
        <v>-9501.8432413879273</v>
      </c>
      <c r="N771" s="726">
        <f t="shared" si="712"/>
        <v>-11781.465508855028</v>
      </c>
      <c r="O771" s="726">
        <f t="shared" si="712"/>
        <v>-14113.444442464031</v>
      </c>
      <c r="P771" s="726">
        <f t="shared" si="712"/>
        <v>-15391.434625168607</v>
      </c>
      <c r="Q771" s="726">
        <f t="shared" si="712"/>
        <v>-16778.87929356422</v>
      </c>
      <c r="R771" s="726">
        <f t="shared" si="712"/>
        <v>-17998.873020934094</v>
      </c>
      <c r="S771" s="726">
        <f t="shared" si="712"/>
        <v>-18743.874552344685</v>
      </c>
      <c r="T771" s="726">
        <f t="shared" si="712"/>
        <v>-19555.974953236233</v>
      </c>
      <c r="U771" s="726">
        <f t="shared" si="712"/>
        <v>-20392.21824012787</v>
      </c>
      <c r="V771" s="726">
        <f t="shared" si="712"/>
        <v>-21260.913251770522</v>
      </c>
      <c r="W771" s="726">
        <f t="shared" si="712"/>
        <v>-21772.511797388957</v>
      </c>
      <c r="X771" s="726">
        <f t="shared" si="712"/>
        <v>-22326.164702685615</v>
      </c>
      <c r="Y771" s="726">
        <f t="shared" si="712"/>
        <v>-22929.652772195579</v>
      </c>
      <c r="Z771" s="726">
        <f t="shared" si="712"/>
        <v>-23589.812890411842</v>
      </c>
      <c r="AA771" s="726">
        <f t="shared" si="712"/>
        <v>-24313.565286224206</v>
      </c>
      <c r="AB771" s="726">
        <f t="shared" si="712"/>
        <v>-25109.30554856635</v>
      </c>
      <c r="AC771" s="726">
        <f t="shared" si="712"/>
        <v>-25985.828114927725</v>
      </c>
      <c r="AD771" s="726">
        <f t="shared" si="712"/>
        <v>-26952.905336359254</v>
      </c>
      <c r="AE771" s="726">
        <f t="shared" si="712"/>
        <v>-28025.148076750418</v>
      </c>
      <c r="AF771" s="726">
        <f t="shared" si="712"/>
        <v>-29208.260904431852</v>
      </c>
      <c r="AG771" s="727">
        <f t="shared" si="712"/>
        <v>-30518.611051104148</v>
      </c>
      <c r="AH771" s="18"/>
      <c r="AI771" s="18"/>
      <c r="AJ771" s="18"/>
      <c r="AK771" s="18"/>
      <c r="AL771" s="18"/>
      <c r="AM771" s="18"/>
      <c r="AN771" s="18"/>
    </row>
    <row r="772" spans="2:40" ht="21.95" customHeight="1" thickBot="1" x14ac:dyDescent="0.25">
      <c r="B772" s="705"/>
      <c r="C772" s="715"/>
      <c r="D772" s="715"/>
      <c r="E772" s="1339"/>
      <c r="F772" s="116" t="s">
        <v>345</v>
      </c>
      <c r="G772" s="116" t="s">
        <v>323</v>
      </c>
      <c r="H772" s="726">
        <f t="shared" ref="H772:AG772" si="713">H494-H248</f>
        <v>0</v>
      </c>
      <c r="I772" s="726">
        <f t="shared" si="713"/>
        <v>523.66457834956236</v>
      </c>
      <c r="J772" s="726">
        <f t="shared" si="713"/>
        <v>-6029.5549723370932</v>
      </c>
      <c r="K772" s="726">
        <f t="shared" si="713"/>
        <v>-11831.107030805026</v>
      </c>
      <c r="L772" s="726">
        <f t="shared" si="713"/>
        <v>-17709.549438273069</v>
      </c>
      <c r="M772" s="726">
        <f t="shared" si="713"/>
        <v>-23694.822605347144</v>
      </c>
      <c r="N772" s="726">
        <f t="shared" si="713"/>
        <v>-29866.099457774428</v>
      </c>
      <c r="O772" s="726">
        <f t="shared" si="713"/>
        <v>-36322.921691473224</v>
      </c>
      <c r="P772" s="726">
        <f t="shared" si="713"/>
        <v>-34663.941044264589</v>
      </c>
      <c r="Q772" s="726">
        <f t="shared" si="713"/>
        <v>-33051.972375060897</v>
      </c>
      <c r="R772" s="726">
        <f t="shared" si="713"/>
        <v>-31485.473154179985</v>
      </c>
      <c r="S772" s="726">
        <f t="shared" si="713"/>
        <v>-29962.986704543815</v>
      </c>
      <c r="T772" s="726">
        <f t="shared" si="713"/>
        <v>-28474.536886087153</v>
      </c>
      <c r="U772" s="726">
        <f t="shared" si="713"/>
        <v>-27795.909297240665</v>
      </c>
      <c r="V772" s="726">
        <f t="shared" si="713"/>
        <v>-27869.246982895071</v>
      </c>
      <c r="W772" s="726">
        <f t="shared" si="713"/>
        <v>-28007.200381883769</v>
      </c>
      <c r="X772" s="726">
        <f t="shared" si="713"/>
        <v>-28214.724727855995</v>
      </c>
      <c r="Y772" s="726">
        <f t="shared" si="713"/>
        <v>-28495.060855641146</v>
      </c>
      <c r="Z772" s="726">
        <f t="shared" si="713"/>
        <v>-28856.919330523</v>
      </c>
      <c r="AA772" s="726">
        <f t="shared" si="713"/>
        <v>-29301.723898804048</v>
      </c>
      <c r="AB772" s="726">
        <f t="shared" si="713"/>
        <v>-29838.386208939366</v>
      </c>
      <c r="AC772" s="726">
        <f t="shared" si="713"/>
        <v>-30470.006339945714</v>
      </c>
      <c r="AD772" s="726">
        <f t="shared" si="713"/>
        <v>-31199.155249304138</v>
      </c>
      <c r="AE772" s="726">
        <f t="shared" si="713"/>
        <v>-32034.633404825465</v>
      </c>
      <c r="AF772" s="726">
        <f t="shared" si="713"/>
        <v>-32978.419458070537</v>
      </c>
      <c r="AG772" s="727">
        <f t="shared" si="713"/>
        <v>-34031.475037409691</v>
      </c>
      <c r="AH772" s="18"/>
      <c r="AI772" s="18"/>
      <c r="AJ772" s="18"/>
      <c r="AK772" s="18"/>
      <c r="AL772" s="18"/>
      <c r="AM772" s="18"/>
      <c r="AN772" s="18"/>
    </row>
    <row r="773" spans="2:40" ht="21.95" customHeight="1" thickBot="1" x14ac:dyDescent="0.25">
      <c r="B773" s="705"/>
      <c r="C773" s="715"/>
      <c r="D773" s="715"/>
      <c r="E773" s="1339"/>
      <c r="F773" s="116" t="s">
        <v>323</v>
      </c>
      <c r="G773" s="116" t="s">
        <v>347</v>
      </c>
      <c r="H773" s="726">
        <f t="shared" ref="H773:AG773" si="714">H495-H249</f>
        <v>0</v>
      </c>
      <c r="I773" s="726">
        <f t="shared" si="714"/>
        <v>29.710914881798089</v>
      </c>
      <c r="J773" s="726">
        <f t="shared" si="714"/>
        <v>59.650759933603695</v>
      </c>
      <c r="K773" s="726">
        <f t="shared" si="714"/>
        <v>389.62474344672228</v>
      </c>
      <c r="L773" s="726">
        <f t="shared" si="714"/>
        <v>722.20704987521458</v>
      </c>
      <c r="M773" s="726">
        <f t="shared" si="714"/>
        <v>1058.6940382072935</v>
      </c>
      <c r="N773" s="726">
        <f t="shared" si="714"/>
        <v>1400.6986545840191</v>
      </c>
      <c r="O773" s="726">
        <f t="shared" si="714"/>
        <v>1751.5925183315994</v>
      </c>
      <c r="P773" s="726">
        <f t="shared" si="714"/>
        <v>2316.0535045585275</v>
      </c>
      <c r="Q773" s="726">
        <f t="shared" si="714"/>
        <v>2898.7347979343322</v>
      </c>
      <c r="R773" s="726">
        <f t="shared" si="714"/>
        <v>3505.3043233248609</v>
      </c>
      <c r="S773" s="726">
        <f t="shared" si="714"/>
        <v>4144.0141840838478</v>
      </c>
      <c r="T773" s="726">
        <f t="shared" si="714"/>
        <v>4825.5738047305786</v>
      </c>
      <c r="U773" s="726">
        <f t="shared" si="714"/>
        <v>5188.3427574585367</v>
      </c>
      <c r="V773" s="726">
        <f t="shared" si="714"/>
        <v>5327.1212846156268</v>
      </c>
      <c r="W773" s="726">
        <f t="shared" si="714"/>
        <v>5482.446977109561</v>
      </c>
      <c r="X773" s="726">
        <f t="shared" si="714"/>
        <v>5656.5359518219047</v>
      </c>
      <c r="Y773" s="726">
        <f t="shared" si="714"/>
        <v>5852.0494467548706</v>
      </c>
      <c r="Z773" s="726">
        <f t="shared" si="714"/>
        <v>6071.3810002442333</v>
      </c>
      <c r="AA773" s="726">
        <f t="shared" si="714"/>
        <v>6317.9867591040966</v>
      </c>
      <c r="AB773" s="726">
        <f t="shared" si="714"/>
        <v>6594.8842379380949</v>
      </c>
      <c r="AC773" s="726">
        <f t="shared" si="714"/>
        <v>6906.0606803276751</v>
      </c>
      <c r="AD773" s="726">
        <f t="shared" si="714"/>
        <v>7255.9601608191588</v>
      </c>
      <c r="AE773" s="726">
        <f t="shared" si="714"/>
        <v>7648.7730441382446</v>
      </c>
      <c r="AF773" s="726">
        <f t="shared" si="714"/>
        <v>8089.8731191068073</v>
      </c>
      <c r="AG773" s="727">
        <f t="shared" si="714"/>
        <v>8585.234842158301</v>
      </c>
      <c r="AH773" s="18"/>
      <c r="AI773" s="18"/>
      <c r="AJ773" s="18"/>
      <c r="AK773" s="18"/>
      <c r="AL773" s="18"/>
      <c r="AM773" s="18"/>
      <c r="AN773" s="18"/>
    </row>
    <row r="774" spans="2:40" ht="21.95" customHeight="1" thickBot="1" x14ac:dyDescent="0.25">
      <c r="B774" s="705"/>
      <c r="C774" s="715"/>
      <c r="D774" s="715"/>
      <c r="E774" s="1339"/>
      <c r="F774" s="116" t="s">
        <v>347</v>
      </c>
      <c r="G774" s="116" t="s">
        <v>348</v>
      </c>
      <c r="H774" s="726">
        <f t="shared" ref="H774:AG774" si="715">H496-H250</f>
        <v>0</v>
      </c>
      <c r="I774" s="726">
        <f t="shared" si="715"/>
        <v>24.376527734064439</v>
      </c>
      <c r="J774" s="726">
        <f t="shared" si="715"/>
        <v>48.984801664933912</v>
      </c>
      <c r="K774" s="726">
        <f t="shared" si="715"/>
        <v>320.42681052070111</v>
      </c>
      <c r="L774" s="726">
        <f t="shared" si="715"/>
        <v>595.1379956677556</v>
      </c>
      <c r="M774" s="726">
        <f t="shared" si="715"/>
        <v>874.79743151673756</v>
      </c>
      <c r="N774" s="726">
        <f t="shared" si="715"/>
        <v>1161.5972270964994</v>
      </c>
      <c r="O774" s="726">
        <f t="shared" si="715"/>
        <v>1459.5268660057627</v>
      </c>
      <c r="P774" s="726">
        <f t="shared" si="715"/>
        <v>1939.802579876472</v>
      </c>
      <c r="Q774" s="726">
        <f t="shared" si="715"/>
        <v>2443.2165591873199</v>
      </c>
      <c r="R774" s="726">
        <f t="shared" si="715"/>
        <v>2977.2462169334467</v>
      </c>
      <c r="S774" s="726">
        <f t="shared" si="715"/>
        <v>3552.3048397742823</v>
      </c>
      <c r="T774" s="726">
        <f t="shared" si="715"/>
        <v>4181.8458306360408</v>
      </c>
      <c r="U774" s="726">
        <f t="shared" si="715"/>
        <v>4540.9843868248863</v>
      </c>
      <c r="V774" s="726">
        <f t="shared" si="715"/>
        <v>4704.5919215072208</v>
      </c>
      <c r="W774" s="726">
        <f t="shared" si="715"/>
        <v>4889.322853355101</v>
      </c>
      <c r="X774" s="726">
        <f t="shared" si="715"/>
        <v>5098.0061815415247</v>
      </c>
      <c r="Y774" s="726">
        <f t="shared" si="715"/>
        <v>5333.9786314741359</v>
      </c>
      <c r="Z774" s="726">
        <f t="shared" si="715"/>
        <v>5600.4166832549381</v>
      </c>
      <c r="AA774" s="726">
        <f t="shared" si="715"/>
        <v>5901.6113123974064</v>
      </c>
      <c r="AB774" s="726">
        <f t="shared" si="715"/>
        <v>6241.5355401789275</v>
      </c>
      <c r="AC774" s="726">
        <f t="shared" si="715"/>
        <v>6625.2188135050092</v>
      </c>
      <c r="AD774" s="726">
        <f t="shared" si="715"/>
        <v>7058.2737499758805</v>
      </c>
      <c r="AE774" s="726">
        <f t="shared" si="715"/>
        <v>7546.1705807198014</v>
      </c>
      <c r="AF774" s="726">
        <f t="shared" si="715"/>
        <v>8095.7087564589165</v>
      </c>
      <c r="AG774" s="727">
        <f t="shared" si="715"/>
        <v>8714.4545142660063</v>
      </c>
      <c r="AH774" s="18"/>
      <c r="AI774" s="18"/>
      <c r="AJ774" s="18"/>
      <c r="AK774" s="18"/>
      <c r="AL774" s="18"/>
      <c r="AM774" s="18"/>
      <c r="AN774" s="18"/>
    </row>
    <row r="775" spans="2:40" ht="21.95" customHeight="1" thickBot="1" x14ac:dyDescent="0.25">
      <c r="B775" s="705"/>
      <c r="C775" s="715"/>
      <c r="D775" s="715"/>
      <c r="E775" s="1353"/>
      <c r="F775" s="254" t="s">
        <v>348</v>
      </c>
      <c r="G775" s="254" t="s">
        <v>349</v>
      </c>
      <c r="H775" s="726">
        <f t="shared" ref="H775:AG775" si="716">H497-H251</f>
        <v>0</v>
      </c>
      <c r="I775" s="726">
        <f t="shared" si="716"/>
        <v>0</v>
      </c>
      <c r="J775" s="726">
        <f t="shared" si="716"/>
        <v>0</v>
      </c>
      <c r="K775" s="726">
        <f t="shared" si="716"/>
        <v>0</v>
      </c>
      <c r="L775" s="726">
        <f t="shared" si="716"/>
        <v>0</v>
      </c>
      <c r="M775" s="726">
        <f t="shared" si="716"/>
        <v>0</v>
      </c>
      <c r="N775" s="726">
        <f t="shared" si="716"/>
        <v>0</v>
      </c>
      <c r="O775" s="726">
        <f t="shared" si="716"/>
        <v>0</v>
      </c>
      <c r="P775" s="726">
        <f t="shared" si="716"/>
        <v>0</v>
      </c>
      <c r="Q775" s="726">
        <f t="shared" si="716"/>
        <v>0</v>
      </c>
      <c r="R775" s="726">
        <f t="shared" si="716"/>
        <v>0</v>
      </c>
      <c r="S775" s="726">
        <f t="shared" si="716"/>
        <v>0</v>
      </c>
      <c r="T775" s="726">
        <f t="shared" si="716"/>
        <v>0</v>
      </c>
      <c r="U775" s="726">
        <f t="shared" si="716"/>
        <v>0</v>
      </c>
      <c r="V775" s="726">
        <f t="shared" si="716"/>
        <v>0</v>
      </c>
      <c r="W775" s="726">
        <f t="shared" si="716"/>
        <v>0</v>
      </c>
      <c r="X775" s="726">
        <f t="shared" si="716"/>
        <v>0</v>
      </c>
      <c r="Y775" s="726">
        <f t="shared" si="716"/>
        <v>0</v>
      </c>
      <c r="Z775" s="726">
        <f t="shared" si="716"/>
        <v>0</v>
      </c>
      <c r="AA775" s="726">
        <f t="shared" si="716"/>
        <v>0</v>
      </c>
      <c r="AB775" s="726">
        <f t="shared" si="716"/>
        <v>0</v>
      </c>
      <c r="AC775" s="726">
        <f t="shared" si="716"/>
        <v>0</v>
      </c>
      <c r="AD775" s="726">
        <f t="shared" si="716"/>
        <v>0</v>
      </c>
      <c r="AE775" s="726">
        <f t="shared" si="716"/>
        <v>0</v>
      </c>
      <c r="AF775" s="726">
        <f t="shared" si="716"/>
        <v>0</v>
      </c>
      <c r="AG775" s="727">
        <f t="shared" si="716"/>
        <v>0</v>
      </c>
      <c r="AH775" s="18"/>
      <c r="AI775" s="18"/>
      <c r="AJ775" s="18"/>
      <c r="AK775" s="18"/>
      <c r="AL775" s="18"/>
      <c r="AM775" s="18"/>
      <c r="AN775" s="18"/>
    </row>
    <row r="776" spans="2:40" ht="21.95" customHeight="1" thickBot="1" x14ac:dyDescent="0.25">
      <c r="B776" s="705"/>
      <c r="C776" s="715"/>
      <c r="D776" s="715"/>
      <c r="E776" s="116" t="s">
        <v>288</v>
      </c>
      <c r="F776" s="116" t="s">
        <v>323</v>
      </c>
      <c r="G776" s="116" t="s">
        <v>348</v>
      </c>
      <c r="H776" s="726">
        <f t="shared" ref="H776:AG776" si="717">H498-H252</f>
        <v>0</v>
      </c>
      <c r="I776" s="726">
        <f t="shared" si="717"/>
        <v>567.19465425650196</v>
      </c>
      <c r="J776" s="726">
        <f t="shared" si="717"/>
        <v>1135.0465263519545</v>
      </c>
      <c r="K776" s="726">
        <f t="shared" si="717"/>
        <v>-615.11975891324619</v>
      </c>
      <c r="L776" s="726">
        <f t="shared" si="717"/>
        <v>-2365.1805828177894</v>
      </c>
      <c r="M776" s="726">
        <f t="shared" si="717"/>
        <v>-4114.417017077074</v>
      </c>
      <c r="N776" s="726">
        <f t="shared" si="717"/>
        <v>-5864.9885422194347</v>
      </c>
      <c r="O776" s="726">
        <f t="shared" si="717"/>
        <v>-7617.7567354814673</v>
      </c>
      <c r="P776" s="726">
        <f t="shared" si="717"/>
        <v>-10968.554757366001</v>
      </c>
      <c r="Q776" s="726">
        <f t="shared" si="717"/>
        <v>-14329.144339347462</v>
      </c>
      <c r="R776" s="726">
        <f t="shared" si="717"/>
        <v>-17712.75597573242</v>
      </c>
      <c r="S776" s="726">
        <f t="shared" si="717"/>
        <v>-21148.360888620271</v>
      </c>
      <c r="T776" s="726">
        <f t="shared" si="717"/>
        <v>-24694.243022373368</v>
      </c>
      <c r="U776" s="726">
        <f t="shared" si="717"/>
        <v>-25887.031367223761</v>
      </c>
      <c r="V776" s="726">
        <f t="shared" si="717"/>
        <v>-25385.886289856484</v>
      </c>
      <c r="W776" s="726">
        <f t="shared" si="717"/>
        <v>-24892.073281571356</v>
      </c>
      <c r="X776" s="726">
        <f t="shared" si="717"/>
        <v>-24406.242563091218</v>
      </c>
      <c r="Y776" s="726">
        <f t="shared" si="717"/>
        <v>-23928.516511506867</v>
      </c>
      <c r="Z776" s="726">
        <f t="shared" si="717"/>
        <v>-23460.732938291658</v>
      </c>
      <c r="AA776" s="726">
        <f t="shared" si="717"/>
        <v>-23000.539657668589</v>
      </c>
      <c r="AB776" s="726">
        <f t="shared" si="717"/>
        <v>-22553.742728257181</v>
      </c>
      <c r="AC776" s="726">
        <f t="shared" si="717"/>
        <v>-22118.584671633827</v>
      </c>
      <c r="AD776" s="726">
        <f t="shared" si="717"/>
        <v>-21695.341800974362</v>
      </c>
      <c r="AE776" s="726">
        <f t="shared" si="717"/>
        <v>-21285.802935430649</v>
      </c>
      <c r="AF776" s="726">
        <f t="shared" si="717"/>
        <v>-20890.211552849069</v>
      </c>
      <c r="AG776" s="727">
        <f t="shared" si="717"/>
        <v>-20506.818520075234</v>
      </c>
      <c r="AH776" s="18"/>
      <c r="AI776" s="18"/>
      <c r="AJ776" s="18"/>
      <c r="AK776" s="18"/>
      <c r="AL776" s="18"/>
      <c r="AM776" s="18"/>
      <c r="AN776" s="18"/>
    </row>
    <row r="777" spans="2:40" ht="21.95" customHeight="1" thickBot="1" x14ac:dyDescent="0.25">
      <c r="B777" s="705"/>
      <c r="C777" s="715"/>
      <c r="D777" s="715"/>
      <c r="E777" s="277" t="s">
        <v>340</v>
      </c>
      <c r="F777" s="277" t="s">
        <v>335</v>
      </c>
      <c r="G777" s="277" t="s">
        <v>323</v>
      </c>
      <c r="H777" s="726" t="e">
        <f t="shared" ref="H777:AG777" si="718">H499-H253</f>
        <v>#DIV/0!</v>
      </c>
      <c r="I777" s="726" t="e">
        <f t="shared" si="718"/>
        <v>#DIV/0!</v>
      </c>
      <c r="J777" s="726" t="e">
        <f t="shared" si="718"/>
        <v>#DIV/0!</v>
      </c>
      <c r="K777" s="726" t="e">
        <f t="shared" si="718"/>
        <v>#DIV/0!</v>
      </c>
      <c r="L777" s="726" t="e">
        <f t="shared" si="718"/>
        <v>#DIV/0!</v>
      </c>
      <c r="M777" s="726" t="e">
        <f t="shared" si="718"/>
        <v>#DIV/0!</v>
      </c>
      <c r="N777" s="726" t="e">
        <f t="shared" si="718"/>
        <v>#DIV/0!</v>
      </c>
      <c r="O777" s="726" t="e">
        <f t="shared" si="718"/>
        <v>#DIV/0!</v>
      </c>
      <c r="P777" s="726" t="e">
        <f t="shared" si="718"/>
        <v>#DIV/0!</v>
      </c>
      <c r="Q777" s="726" t="e">
        <f t="shared" si="718"/>
        <v>#DIV/0!</v>
      </c>
      <c r="R777" s="726" t="e">
        <f t="shared" si="718"/>
        <v>#DIV/0!</v>
      </c>
      <c r="S777" s="726" t="e">
        <f t="shared" si="718"/>
        <v>#DIV/0!</v>
      </c>
      <c r="T777" s="726" t="e">
        <f t="shared" si="718"/>
        <v>#DIV/0!</v>
      </c>
      <c r="U777" s="726" t="e">
        <f t="shared" si="718"/>
        <v>#DIV/0!</v>
      </c>
      <c r="V777" s="726" t="e">
        <f t="shared" si="718"/>
        <v>#DIV/0!</v>
      </c>
      <c r="W777" s="726" t="e">
        <f t="shared" si="718"/>
        <v>#DIV/0!</v>
      </c>
      <c r="X777" s="726" t="e">
        <f t="shared" si="718"/>
        <v>#DIV/0!</v>
      </c>
      <c r="Y777" s="726" t="e">
        <f t="shared" si="718"/>
        <v>#DIV/0!</v>
      </c>
      <c r="Z777" s="726" t="e">
        <f t="shared" si="718"/>
        <v>#DIV/0!</v>
      </c>
      <c r="AA777" s="726" t="e">
        <f t="shared" si="718"/>
        <v>#DIV/0!</v>
      </c>
      <c r="AB777" s="726" t="e">
        <f t="shared" si="718"/>
        <v>#DIV/0!</v>
      </c>
      <c r="AC777" s="726" t="e">
        <f t="shared" si="718"/>
        <v>#DIV/0!</v>
      </c>
      <c r="AD777" s="726" t="e">
        <f t="shared" si="718"/>
        <v>#DIV/0!</v>
      </c>
      <c r="AE777" s="726" t="e">
        <f t="shared" si="718"/>
        <v>#DIV/0!</v>
      </c>
      <c r="AF777" s="726" t="e">
        <f t="shared" si="718"/>
        <v>#DIV/0!</v>
      </c>
      <c r="AG777" s="727" t="e">
        <f t="shared" si="718"/>
        <v>#DIV/0!</v>
      </c>
      <c r="AH777" s="18"/>
      <c r="AI777" s="18"/>
      <c r="AJ777" s="18"/>
      <c r="AK777" s="18"/>
      <c r="AL777" s="18"/>
      <c r="AM777" s="18"/>
      <c r="AN777" s="18"/>
    </row>
    <row r="778" spans="2:40" ht="21.95" customHeight="1" thickBot="1" x14ac:dyDescent="0.25">
      <c r="B778" s="705"/>
      <c r="C778" s="715"/>
      <c r="D778" s="715"/>
      <c r="E778" s="277" t="s">
        <v>357</v>
      </c>
      <c r="F778" s="277" t="s">
        <v>338</v>
      </c>
      <c r="G778" s="277" t="s">
        <v>323</v>
      </c>
      <c r="H778" s="726">
        <f t="shared" ref="H778:AG778" si="719">H500-H254</f>
        <v>0</v>
      </c>
      <c r="I778" s="726">
        <f t="shared" si="719"/>
        <v>-65.921912804813473</v>
      </c>
      <c r="J778" s="726">
        <f t="shared" si="719"/>
        <v>-129.42067434794444</v>
      </c>
      <c r="K778" s="726">
        <f t="shared" si="719"/>
        <v>-2183.956981537398</v>
      </c>
      <c r="L778" s="726">
        <f t="shared" si="719"/>
        <v>-4241.9862040008011</v>
      </c>
      <c r="M778" s="726">
        <f t="shared" si="719"/>
        <v>-6309.2246539809712</v>
      </c>
      <c r="N778" s="726">
        <f t="shared" si="719"/>
        <v>-8388.0563256912865</v>
      </c>
      <c r="O778" s="726">
        <f t="shared" si="719"/>
        <v>-10490.629324432535</v>
      </c>
      <c r="P778" s="726">
        <f t="shared" si="719"/>
        <v>-13654.223331220826</v>
      </c>
      <c r="Q778" s="726">
        <f t="shared" si="719"/>
        <v>-16927.713116521867</v>
      </c>
      <c r="R778" s="726">
        <f t="shared" si="719"/>
        <v>-20398.413191751519</v>
      </c>
      <c r="S778" s="726">
        <f t="shared" si="719"/>
        <v>-24200.464072297509</v>
      </c>
      <c r="T778" s="726">
        <f t="shared" si="719"/>
        <v>-28553.11933353066</v>
      </c>
      <c r="U778" s="726">
        <f t="shared" si="719"/>
        <v>-30364.526911623456</v>
      </c>
      <c r="V778" s="726">
        <f t="shared" si="719"/>
        <v>-30751.615350838925</v>
      </c>
      <c r="W778" s="726">
        <f t="shared" si="719"/>
        <v>-31163.832700063467</v>
      </c>
      <c r="X778" s="726">
        <f t="shared" si="719"/>
        <v>-31602.938738240424</v>
      </c>
      <c r="Y778" s="726">
        <f t="shared" si="719"/>
        <v>-32069.148745121849</v>
      </c>
      <c r="Z778" s="726">
        <f t="shared" si="719"/>
        <v>-32567.788283181711</v>
      </c>
      <c r="AA778" s="726">
        <f t="shared" si="719"/>
        <v>-33099.341286424606</v>
      </c>
      <c r="AB778" s="726">
        <f t="shared" si="719"/>
        <v>-33665.913992303787</v>
      </c>
      <c r="AC778" s="726">
        <f t="shared" si="719"/>
        <v>-34269.884161906397</v>
      </c>
      <c r="AD778" s="726">
        <f t="shared" si="719"/>
        <v>-34912.437494929938</v>
      </c>
      <c r="AE778" s="726">
        <f t="shared" si="719"/>
        <v>-35598.902815461275</v>
      </c>
      <c r="AF778" s="726">
        <f t="shared" si="719"/>
        <v>-36330.688471757909</v>
      </c>
      <c r="AG778" s="727">
        <f t="shared" si="719"/>
        <v>-37111.334502184116</v>
      </c>
      <c r="AH778" s="18"/>
      <c r="AI778" s="18"/>
      <c r="AJ778" s="18"/>
      <c r="AK778" s="18"/>
      <c r="AL778" s="18"/>
      <c r="AM778" s="18"/>
      <c r="AN778" s="18"/>
    </row>
    <row r="779" spans="2:40" ht="21.95" customHeight="1" thickBot="1" x14ac:dyDescent="0.25">
      <c r="B779" s="705"/>
      <c r="C779" s="715"/>
      <c r="D779" s="715"/>
      <c r="E779" s="116" t="s">
        <v>338</v>
      </c>
      <c r="F779" s="116" t="s">
        <v>282</v>
      </c>
      <c r="G779" s="116" t="s">
        <v>357</v>
      </c>
      <c r="H779" s="726">
        <f t="shared" ref="H779:AG779" si="720">H501-H255</f>
        <v>0</v>
      </c>
      <c r="I779" s="726">
        <f t="shared" si="720"/>
        <v>-654.2648470501299</v>
      </c>
      <c r="J779" s="726">
        <f t="shared" si="720"/>
        <v>-1310.3305911369389</v>
      </c>
      <c r="K779" s="726">
        <f t="shared" si="720"/>
        <v>-4943.9411715206807</v>
      </c>
      <c r="L779" s="726">
        <f t="shared" si="720"/>
        <v>-8578.7393285453145</v>
      </c>
      <c r="M779" s="726">
        <f t="shared" si="720"/>
        <v>-12215.990876454729</v>
      </c>
      <c r="N779" s="726">
        <f t="shared" si="720"/>
        <v>-15849.69169966066</v>
      </c>
      <c r="O779" s="726">
        <f t="shared" si="720"/>
        <v>-19488.649370922591</v>
      </c>
      <c r="P779" s="726">
        <f t="shared" si="720"/>
        <v>-25172.147740762011</v>
      </c>
      <c r="Q779" s="726">
        <f t="shared" si="720"/>
        <v>-30857.785956303167</v>
      </c>
      <c r="R779" s="726">
        <f t="shared" si="720"/>
        <v>-36542.936476900242</v>
      </c>
      <c r="S779" s="726">
        <f t="shared" si="720"/>
        <v>-42230.027170689849</v>
      </c>
      <c r="T779" s="726">
        <f t="shared" si="720"/>
        <v>-47927.069228787805</v>
      </c>
      <c r="U779" s="726">
        <f t="shared" si="720"/>
        <v>-50635.381734474809</v>
      </c>
      <c r="V779" s="726">
        <f t="shared" si="720"/>
        <v>-51294.276319420809</v>
      </c>
      <c r="W779" s="726">
        <f t="shared" si="720"/>
        <v>-51954.015284546331</v>
      </c>
      <c r="X779" s="726">
        <f t="shared" si="720"/>
        <v>-52614.734791634051</v>
      </c>
      <c r="Y779" s="726">
        <f t="shared" si="720"/>
        <v>-53278.395112978469</v>
      </c>
      <c r="Z779" s="726">
        <f t="shared" si="720"/>
        <v>-53941.563810808584</v>
      </c>
      <c r="AA779" s="726">
        <f t="shared" si="720"/>
        <v>-54608.052686525538</v>
      </c>
      <c r="AB779" s="726">
        <f t="shared" si="720"/>
        <v>-55274.477086582221</v>
      </c>
      <c r="AC779" s="726">
        <f t="shared" si="720"/>
        <v>-55942.900403852691</v>
      </c>
      <c r="AD779" s="726">
        <f t="shared" si="720"/>
        <v>-56615.423853337823</v>
      </c>
      <c r="AE779" s="726">
        <f t="shared" si="720"/>
        <v>-57288.756453095819</v>
      </c>
      <c r="AF779" s="726">
        <f t="shared" si="720"/>
        <v>-57965.076229072089</v>
      </c>
      <c r="AG779" s="727">
        <f t="shared" si="720"/>
        <v>-58646.613468210358</v>
      </c>
      <c r="AH779" s="18"/>
      <c r="AI779" s="18"/>
      <c r="AJ779" s="18"/>
      <c r="AK779" s="18"/>
      <c r="AL779" s="18"/>
      <c r="AM779" s="18"/>
      <c r="AN779" s="18"/>
    </row>
    <row r="780" spans="2:40" ht="21.95" customHeight="1" thickBot="1" x14ac:dyDescent="0.25">
      <c r="B780" s="705"/>
      <c r="C780" s="715"/>
      <c r="D780" s="715"/>
      <c r="E780" s="116"/>
      <c r="F780" s="116" t="s">
        <v>357</v>
      </c>
      <c r="G780" s="116" t="s">
        <v>346</v>
      </c>
      <c r="H780" s="726">
        <f t="shared" ref="H780:AG780" si="721">H502-H256</f>
        <v>0</v>
      </c>
      <c r="I780" s="726">
        <f t="shared" si="721"/>
        <v>-82.128157984434438</v>
      </c>
      <c r="J780" s="726">
        <f t="shared" si="721"/>
        <v>-164.571331690644</v>
      </c>
      <c r="K780" s="726">
        <f t="shared" si="721"/>
        <v>-504.70944623348623</v>
      </c>
      <c r="L780" s="726">
        <f t="shared" si="721"/>
        <v>-845.08763748643469</v>
      </c>
      <c r="M780" s="726">
        <f t="shared" si="721"/>
        <v>-1185.4809546592205</v>
      </c>
      <c r="N780" s="726">
        <f t="shared" si="721"/>
        <v>-1525.6194831081229</v>
      </c>
      <c r="O780" s="726">
        <f t="shared" si="721"/>
        <v>-1866.4334138136892</v>
      </c>
      <c r="P780" s="726">
        <f t="shared" si="721"/>
        <v>-2459.0334906264943</v>
      </c>
      <c r="Q780" s="726">
        <f t="shared" si="721"/>
        <v>-3052.0558934166293</v>
      </c>
      <c r="R780" s="726">
        <f t="shared" si="721"/>
        <v>-3644.5124106963267</v>
      </c>
      <c r="S780" s="726">
        <f t="shared" si="721"/>
        <v>-4237.1260793069596</v>
      </c>
      <c r="T780" s="726">
        <f t="shared" si="721"/>
        <v>-4830.5617462964583</v>
      </c>
      <c r="U780" s="726">
        <f t="shared" si="721"/>
        <v>-5164.90741196409</v>
      </c>
      <c r="V780" s="726">
        <f t="shared" si="721"/>
        <v>-5247.0544037356231</v>
      </c>
      <c r="W780" s="726">
        <f t="shared" si="721"/>
        <v>-5329.2049489165438</v>
      </c>
      <c r="X780" s="726">
        <f t="shared" si="721"/>
        <v>-5411.3596399756789</v>
      </c>
      <c r="Y780" s="726">
        <f t="shared" si="721"/>
        <v>-5493.8341821174545</v>
      </c>
      <c r="Z780" s="726">
        <f t="shared" si="721"/>
        <v>-5575.9992999328679</v>
      </c>
      <c r="AA780" s="726">
        <f t="shared" si="721"/>
        <v>-5658.4859346032608</v>
      </c>
      <c r="AB780" s="726">
        <f t="shared" si="721"/>
        <v>-5740.665031323686</v>
      </c>
      <c r="AC780" s="726">
        <f t="shared" si="721"/>
        <v>-5822.8527623877126</v>
      </c>
      <c r="AD780" s="726">
        <f t="shared" si="721"/>
        <v>-5905.3654676373335</v>
      </c>
      <c r="AE780" s="726">
        <f t="shared" si="721"/>
        <v>-5987.5745289095794</v>
      </c>
      <c r="AF780" s="726">
        <f t="shared" si="721"/>
        <v>-6069.7966406607629</v>
      </c>
      <c r="AG780" s="727">
        <f t="shared" si="721"/>
        <v>-6152.3487303774491</v>
      </c>
      <c r="AH780" s="18"/>
      <c r="AI780" s="18"/>
      <c r="AJ780" s="18"/>
      <c r="AK780" s="18"/>
      <c r="AL780" s="18"/>
      <c r="AM780" s="18"/>
      <c r="AN780" s="18"/>
    </row>
    <row r="781" spans="2:40" ht="21.95" customHeight="1" thickBot="1" x14ac:dyDescent="0.25">
      <c r="B781" s="705"/>
      <c r="C781" s="715"/>
      <c r="D781" s="715"/>
      <c r="E781" s="116"/>
      <c r="F781" s="116" t="s">
        <v>346</v>
      </c>
      <c r="G781" s="116" t="s">
        <v>343</v>
      </c>
      <c r="H781" s="726">
        <f t="shared" ref="H781:AG781" si="722">H503-H257</f>
        <v>0</v>
      </c>
      <c r="I781" s="726">
        <f t="shared" si="722"/>
        <v>-24.737266036741403</v>
      </c>
      <c r="J781" s="726">
        <f t="shared" si="722"/>
        <v>-49.569417695055563</v>
      </c>
      <c r="K781" s="726">
        <f t="shared" si="722"/>
        <v>-152.02013313438238</v>
      </c>
      <c r="L781" s="726">
        <f t="shared" si="722"/>
        <v>-254.54319542421536</v>
      </c>
      <c r="M781" s="726">
        <f t="shared" si="722"/>
        <v>-357.07087864709683</v>
      </c>
      <c r="N781" s="726">
        <f t="shared" si="722"/>
        <v>-459.5219332571105</v>
      </c>
      <c r="O781" s="726">
        <f t="shared" si="722"/>
        <v>-562.17661621725983</v>
      </c>
      <c r="P781" s="726">
        <f t="shared" si="722"/>
        <v>-740.67085731895168</v>
      </c>
      <c r="Q781" s="726">
        <f t="shared" si="722"/>
        <v>-919.2935014013774</v>
      </c>
      <c r="R781" s="726">
        <f t="shared" si="722"/>
        <v>-1097.7478425768641</v>
      </c>
      <c r="S781" s="726">
        <f t="shared" si="722"/>
        <v>-1276.253221324806</v>
      </c>
      <c r="T781" s="726">
        <f t="shared" si="722"/>
        <v>-1455.0123904802385</v>
      </c>
      <c r="U781" s="726">
        <f t="shared" si="722"/>
        <v>-1555.732795591457</v>
      </c>
      <c r="V781" s="726">
        <f t="shared" si="722"/>
        <v>-1580.485494763755</v>
      </c>
      <c r="W781" s="726">
        <f t="shared" si="722"/>
        <v>-1605.241105737513</v>
      </c>
      <c r="X781" s="726">
        <f t="shared" si="722"/>
        <v>-1630.0001140046616</v>
      </c>
      <c r="Y781" s="726">
        <f t="shared" si="722"/>
        <v>-1654.8579701755953</v>
      </c>
      <c r="Z781" s="726">
        <f t="shared" si="722"/>
        <v>-1679.6255225312125</v>
      </c>
      <c r="AA781" s="726">
        <f t="shared" si="722"/>
        <v>-1704.493287789066</v>
      </c>
      <c r="AB781" s="726">
        <f t="shared" si="722"/>
        <v>-1729.2722950015632</v>
      </c>
      <c r="AC781" s="726">
        <f t="shared" si="722"/>
        <v>-1754.0583775300729</v>
      </c>
      <c r="AD781" s="726">
        <f t="shared" si="722"/>
        <v>-1778.9475060316017</v>
      </c>
      <c r="AE781" s="726">
        <f t="shared" si="722"/>
        <v>-1803.7510673599527</v>
      </c>
      <c r="AF781" s="726">
        <f t="shared" si="722"/>
        <v>-1828.5653227568509</v>
      </c>
      <c r="AG781" s="727">
        <f t="shared" si="722"/>
        <v>-1853.4867244180969</v>
      </c>
      <c r="AH781" s="18"/>
      <c r="AI781" s="18"/>
      <c r="AJ781" s="18"/>
      <c r="AK781" s="18"/>
      <c r="AL781" s="18"/>
      <c r="AM781" s="18"/>
      <c r="AN781" s="18"/>
    </row>
    <row r="782" spans="2:40" ht="21.95" customHeight="1" thickBot="1" x14ac:dyDescent="0.25">
      <c r="B782" s="705"/>
      <c r="C782" s="715"/>
      <c r="D782" s="715"/>
      <c r="E782" s="116"/>
      <c r="F782" s="116" t="s">
        <v>343</v>
      </c>
      <c r="G782" s="116" t="s">
        <v>350</v>
      </c>
      <c r="H782" s="726">
        <f t="shared" ref="H782:AG782" si="723">H504-H258</f>
        <v>0</v>
      </c>
      <c r="I782" s="726">
        <f t="shared" si="723"/>
        <v>-53.582718244580974</v>
      </c>
      <c r="J782" s="726">
        <f t="shared" si="723"/>
        <v>-107.41506883108013</v>
      </c>
      <c r="K782" s="726">
        <f t="shared" si="723"/>
        <v>-335.00579788026516</v>
      </c>
      <c r="L782" s="726">
        <f t="shared" si="723"/>
        <v>-562.83148428343156</v>
      </c>
      <c r="M782" s="726">
        <f t="shared" si="723"/>
        <v>-790.51034593533223</v>
      </c>
      <c r="N782" s="726">
        <f t="shared" si="723"/>
        <v>-1018.1011318904948</v>
      </c>
      <c r="O782" s="726">
        <f t="shared" si="723"/>
        <v>-1246.2205984887933</v>
      </c>
      <c r="P782" s="726">
        <f t="shared" si="723"/>
        <v>-1597.379303389107</v>
      </c>
      <c r="Q782" s="726">
        <f t="shared" si="723"/>
        <v>-1948.978770561318</v>
      </c>
      <c r="R782" s="726">
        <f t="shared" si="723"/>
        <v>-2300.0500016402621</v>
      </c>
      <c r="S782" s="726">
        <f t="shared" si="723"/>
        <v>-2651.2099851948569</v>
      </c>
      <c r="T782" s="726">
        <f t="shared" si="723"/>
        <v>-3002.9436846544395</v>
      </c>
      <c r="U782" s="726">
        <f t="shared" si="723"/>
        <v>-3179.9644800260394</v>
      </c>
      <c r="V782" s="726">
        <f t="shared" si="723"/>
        <v>-3233.5490757780499</v>
      </c>
      <c r="W782" s="726">
        <f t="shared" si="723"/>
        <v>-3287.134036878906</v>
      </c>
      <c r="X782" s="726">
        <f t="shared" si="723"/>
        <v>-3340.7194261063669</v>
      </c>
      <c r="Y782" s="726">
        <f t="shared" si="723"/>
        <v>-3394.5549497086431</v>
      </c>
      <c r="Z782" s="726">
        <f t="shared" si="723"/>
        <v>-3448.1414227512541</v>
      </c>
      <c r="AA782" s="726">
        <f t="shared" si="723"/>
        <v>-3501.9782087059939</v>
      </c>
      <c r="AB782" s="726">
        <f t="shared" si="723"/>
        <v>-3555.5661463549004</v>
      </c>
      <c r="AC782" s="726">
        <f t="shared" si="723"/>
        <v>-3609.1549935131516</v>
      </c>
      <c r="AD782" s="726">
        <f t="shared" si="723"/>
        <v>-3662.9945274047095</v>
      </c>
      <c r="AE782" s="726">
        <f t="shared" si="723"/>
        <v>-3716.5856339965394</v>
      </c>
      <c r="AF782" s="726">
        <f t="shared" si="723"/>
        <v>-3770.1781297411944</v>
      </c>
      <c r="AG782" s="727">
        <f t="shared" si="723"/>
        <v>-3824.0218584149952</v>
      </c>
      <c r="AH782" s="18"/>
      <c r="AI782" s="18"/>
      <c r="AJ782" s="18"/>
      <c r="AK782" s="18"/>
      <c r="AL782" s="18"/>
      <c r="AM782" s="18"/>
      <c r="AN782" s="18"/>
    </row>
    <row r="783" spans="2:40" ht="21.95" customHeight="1" thickBot="1" x14ac:dyDescent="0.25">
      <c r="B783" s="705"/>
      <c r="C783" s="715"/>
      <c r="D783" s="715"/>
      <c r="E783" s="116"/>
      <c r="F783" s="116" t="s">
        <v>350</v>
      </c>
      <c r="G783" s="116" t="s">
        <v>280</v>
      </c>
      <c r="H783" s="726">
        <f t="shared" ref="H783:AG783" si="724">H505-H259</f>
        <v>0</v>
      </c>
      <c r="I783" s="726">
        <f t="shared" si="724"/>
        <v>-365.29005836130091</v>
      </c>
      <c r="J783" s="726">
        <f t="shared" si="724"/>
        <v>-732.28193544523674</v>
      </c>
      <c r="K783" s="726">
        <f t="shared" si="724"/>
        <v>-2283.8387085967406</v>
      </c>
      <c r="L783" s="726">
        <f t="shared" si="724"/>
        <v>-3836.9972167101078</v>
      </c>
      <c r="M783" s="726">
        <f t="shared" si="724"/>
        <v>-5389.1546995979152</v>
      </c>
      <c r="N783" s="726">
        <f t="shared" si="724"/>
        <v>-6940.7116153475945</v>
      </c>
      <c r="O783" s="726">
        <f t="shared" si="724"/>
        <v>-8495.8725014089723</v>
      </c>
      <c r="P783" s="726">
        <f t="shared" si="724"/>
        <v>-10889.829458562119</v>
      </c>
      <c r="Q783" s="726">
        <f t="shared" si="724"/>
        <v>-13286.790213123881</v>
      </c>
      <c r="R783" s="726">
        <f t="shared" si="724"/>
        <v>-15680.148111352071</v>
      </c>
      <c r="S783" s="726">
        <f t="shared" si="724"/>
        <v>-18074.10827262915</v>
      </c>
      <c r="T783" s="726">
        <f t="shared" si="724"/>
        <v>-20471.975187161966</v>
      </c>
      <c r="U783" s="726">
        <f t="shared" si="724"/>
        <v>-21678.770128841046</v>
      </c>
      <c r="V783" s="726">
        <f t="shared" si="724"/>
        <v>-22044.064891966336</v>
      </c>
      <c r="W783" s="726">
        <f t="shared" si="724"/>
        <v>-22409.360570603356</v>
      </c>
      <c r="X783" s="726">
        <f t="shared" si="724"/>
        <v>-22774.657322064202</v>
      </c>
      <c r="Y783" s="726">
        <f t="shared" si="724"/>
        <v>-23141.657150269981</v>
      </c>
      <c r="Z783" s="726">
        <f t="shared" si="724"/>
        <v>-23506.956617615942</v>
      </c>
      <c r="AA783" s="726">
        <f t="shared" si="724"/>
        <v>-23873.959609095691</v>
      </c>
      <c r="AB783" s="726">
        <f t="shared" si="724"/>
        <v>-24239.26274653466</v>
      </c>
      <c r="AC783" s="726">
        <f t="shared" si="724"/>
        <v>-24604.568163073403</v>
      </c>
      <c r="AD783" s="726">
        <f t="shared" si="724"/>
        <v>-24971.57804048821</v>
      </c>
      <c r="AE783" s="726">
        <f t="shared" si="724"/>
        <v>-25336.889118843043</v>
      </c>
      <c r="AF783" s="726">
        <f t="shared" si="724"/>
        <v>-25702.203678215301</v>
      </c>
      <c r="AG783" s="727">
        <f t="shared" si="724"/>
        <v>-26069.224067151954</v>
      </c>
      <c r="AH783" s="18"/>
      <c r="AI783" s="18"/>
      <c r="AJ783" s="18"/>
      <c r="AK783" s="18"/>
      <c r="AL783" s="18"/>
      <c r="AM783" s="18"/>
      <c r="AN783" s="18"/>
    </row>
    <row r="784" spans="2:40" ht="21.95" customHeight="1" thickBot="1" x14ac:dyDescent="0.25">
      <c r="B784" s="705"/>
      <c r="C784" s="715"/>
      <c r="D784" s="715"/>
      <c r="E784" s="116"/>
      <c r="F784" s="116" t="s">
        <v>280</v>
      </c>
      <c r="G784" s="116" t="s">
        <v>333</v>
      </c>
      <c r="H784" s="726">
        <f t="shared" ref="H784:AG784" si="725">H506-H260</f>
        <v>0</v>
      </c>
      <c r="I784" s="726">
        <f t="shared" si="725"/>
        <v>-9.1230782871330121</v>
      </c>
      <c r="J784" s="726">
        <f t="shared" si="725"/>
        <v>-18.288722361826785</v>
      </c>
      <c r="K784" s="726">
        <f t="shared" si="725"/>
        <v>-57.039257275483806</v>
      </c>
      <c r="L784" s="726">
        <f t="shared" si="725"/>
        <v>-95.83082151520216</v>
      </c>
      <c r="M784" s="726">
        <f t="shared" si="725"/>
        <v>-134.59920544890474</v>
      </c>
      <c r="N784" s="726">
        <f t="shared" si="725"/>
        <v>-173.35568064073777</v>
      </c>
      <c r="O784" s="726">
        <f t="shared" si="725"/>
        <v>-212.20724818122017</v>
      </c>
      <c r="P784" s="726">
        <f t="shared" si="725"/>
        <v>-272.0243614402541</v>
      </c>
      <c r="Q784" s="726">
        <f t="shared" si="725"/>
        <v>-331.94108113821494</v>
      </c>
      <c r="R784" s="726">
        <f t="shared" si="725"/>
        <v>-391.8091139860976</v>
      </c>
      <c r="S784" s="726">
        <f t="shared" si="725"/>
        <v>-451.75970290582018</v>
      </c>
      <c r="T784" s="726">
        <f t="shared" si="725"/>
        <v>-511.91545615117047</v>
      </c>
      <c r="U784" s="726">
        <f t="shared" si="725"/>
        <v>-542.31844953676</v>
      </c>
      <c r="V784" s="726">
        <f t="shared" si="725"/>
        <v>-551.63751633291668</v>
      </c>
      <c r="W784" s="726">
        <f t="shared" si="725"/>
        <v>-560.99472102083382</v>
      </c>
      <c r="X784" s="726">
        <f t="shared" si="725"/>
        <v>-570.39661682043561</v>
      </c>
      <c r="Y784" s="726">
        <f t="shared" si="725"/>
        <v>-579.89348442024857</v>
      </c>
      <c r="Z784" s="726">
        <f t="shared" si="725"/>
        <v>-589.4085170904259</v>
      </c>
      <c r="AA784" s="726">
        <f t="shared" si="725"/>
        <v>-599.0371586437368</v>
      </c>
      <c r="AB784" s="726">
        <f t="shared" si="725"/>
        <v>-608.7050780607924</v>
      </c>
      <c r="AC784" s="726">
        <f t="shared" si="725"/>
        <v>-618.46793898291708</v>
      </c>
      <c r="AD784" s="726">
        <f t="shared" si="725"/>
        <v>-628.38343108585377</v>
      </c>
      <c r="AE784" s="726">
        <f t="shared" si="725"/>
        <v>-638.38214887327695</v>
      </c>
      <c r="AF784" s="726">
        <f t="shared" si="725"/>
        <v>-648.52587699979085</v>
      </c>
      <c r="AG784" s="727">
        <f t="shared" si="725"/>
        <v>-658.879252385575</v>
      </c>
      <c r="AH784" s="18"/>
      <c r="AI784" s="18"/>
      <c r="AJ784" s="18"/>
      <c r="AK784" s="18"/>
      <c r="AL784" s="18"/>
      <c r="AM784" s="18"/>
      <c r="AN784" s="18"/>
    </row>
    <row r="785" spans="1:40" ht="21.95" customHeight="1" thickBot="1" x14ac:dyDescent="0.25">
      <c r="A785" s="468"/>
      <c r="B785" s="707"/>
      <c r="C785" s="731"/>
      <c r="D785" s="731"/>
      <c r="E785" s="732" t="s">
        <v>181</v>
      </c>
      <c r="F785" s="732"/>
      <c r="G785" s="732"/>
      <c r="H785" s="747">
        <f>SUM(H756:H776,H778:H784)</f>
        <v>-2039.8207302283663</v>
      </c>
      <c r="I785" s="747">
        <f>SUM(I756:I776,I778:I784)</f>
        <v>-8626.0780249906675</v>
      </c>
      <c r="J785" s="747">
        <f t="shared" ref="J785" si="726">SUM(J756:J776,J778:J784)</f>
        <v>-24841.942214306786</v>
      </c>
      <c r="K785" s="747">
        <f t="shared" ref="K785" si="727">SUM(K756:K776,K778:K784)</f>
        <v>-50636.501278256692</v>
      </c>
      <c r="L785" s="747">
        <f t="shared" ref="L785" si="728">SUM(L756:L776,L778:L784)</f>
        <v>-84322.317206033098</v>
      </c>
      <c r="M785" s="747">
        <f t="shared" ref="M785" si="729">SUM(M756:M776,M778:M784)</f>
        <v>-159345.85261422204</v>
      </c>
      <c r="N785" s="747">
        <f t="shared" ref="N785" si="730">SUM(N756:N776,N778:N784)</f>
        <v>-408345.77802905499</v>
      </c>
      <c r="O785" s="747">
        <f t="shared" ref="O785" si="731">SUM(O756:O776,O778:O784)</f>
        <v>-484625.29062253633</v>
      </c>
      <c r="P785" s="747">
        <f t="shared" ref="P785" si="732">SUM(P756:P776,P778:P784)</f>
        <v>-617441.34591930779</v>
      </c>
      <c r="Q785" s="747">
        <f t="shared" ref="Q785" si="733">SUM(Q756:Q776,Q778:Q784)</f>
        <v>-762834.18295335909</v>
      </c>
      <c r="R785" s="747">
        <f t="shared" ref="R785" si="734">SUM(R756:R776,R778:R784)</f>
        <v>-903887.69236397347</v>
      </c>
      <c r="S785" s="747">
        <f t="shared" ref="S785" si="735">SUM(S756:S776,S778:S784)</f>
        <v>-909700.71508254623</v>
      </c>
      <c r="T785" s="747">
        <f t="shared" ref="T785" si="736">SUM(T756:T776,T778:T784)</f>
        <v>-880329.94696794427</v>
      </c>
      <c r="U785" s="747">
        <f t="shared" ref="U785" si="737">SUM(U756:U776,U778:U784)</f>
        <v>-869174.67304976925</v>
      </c>
      <c r="V785" s="747">
        <f t="shared" ref="V785" si="738">SUM(V756:V776,V778:V784)</f>
        <v>-860311.9405522017</v>
      </c>
      <c r="W785" s="747">
        <f t="shared" ref="W785" si="739">SUM(W756:W776,W778:W784)</f>
        <v>-858595.14512632182</v>
      </c>
      <c r="X785" s="747">
        <f t="shared" ref="X785" si="740">SUM(X756:X776,X778:X784)</f>
        <v>-882608.56157369877</v>
      </c>
      <c r="Y785" s="747">
        <f t="shared" ref="Y785" si="741">SUM(Y756:Y776,Y778:Y784)</f>
        <v>-908302.78993009671</v>
      </c>
      <c r="Z785" s="747">
        <f t="shared" ref="Z785" si="742">SUM(Z756:Z776,Z778:Z784)</f>
        <v>-935956.09651752212</v>
      </c>
      <c r="AA785" s="747">
        <f t="shared" ref="AA785" si="743">SUM(AA756:AA776,AA778:AA784)</f>
        <v>-965850.26296811178</v>
      </c>
      <c r="AB785" s="747">
        <f t="shared" ref="AB785" si="744">SUM(AB756:AB776,AB778:AB784)</f>
        <v>-998358.48965303972</v>
      </c>
      <c r="AC785" s="747">
        <f t="shared" ref="AC785" si="745">SUM(AC756:AC776,AC778:AC784)</f>
        <v>-1033845.4420877841</v>
      </c>
      <c r="AD785" s="747">
        <f t="shared" ref="AD785" si="746">SUM(AD756:AD776,AD778:AD784)</f>
        <v>-1072765.4851805991</v>
      </c>
      <c r="AE785" s="747">
        <f t="shared" ref="AE785" si="747">SUM(AE756:AE776,AE778:AE784)</f>
        <v>-1115691.8137503914</v>
      </c>
      <c r="AF785" s="747">
        <f t="shared" ref="AF785" si="748">SUM(AF756:AF776,AF778:AF784)</f>
        <v>-1163088.5006623545</v>
      </c>
      <c r="AG785" s="748">
        <f t="shared" ref="AG785" si="749">SUM(AG756:AG776,AG778:AG784)</f>
        <v>-1215683.135008466</v>
      </c>
      <c r="AH785" s="18"/>
      <c r="AI785" s="18"/>
      <c r="AJ785" s="18"/>
      <c r="AK785" s="18"/>
      <c r="AL785" s="18"/>
      <c r="AM785" s="18"/>
      <c r="AN785" s="18"/>
    </row>
    <row r="786" spans="1:40" ht="21.75" customHeight="1" thickBot="1" x14ac:dyDescent="0.25">
      <c r="B786" s="183"/>
      <c r="C786" s="116"/>
      <c r="D786" s="116"/>
      <c r="E786" s="240"/>
      <c r="F786" s="240"/>
      <c r="G786" s="240"/>
      <c r="H786" s="741"/>
      <c r="I786" s="741"/>
      <c r="J786" s="741"/>
      <c r="K786" s="741"/>
      <c r="L786" s="741"/>
      <c r="M786" s="741"/>
      <c r="N786" s="741"/>
      <c r="O786" s="741"/>
      <c r="P786" s="741"/>
      <c r="Q786" s="741"/>
      <c r="R786" s="741"/>
      <c r="S786" s="741"/>
      <c r="T786" s="741"/>
      <c r="U786" s="741"/>
      <c r="V786" s="741"/>
      <c r="W786" s="741"/>
      <c r="X786" s="741"/>
      <c r="Y786" s="741"/>
      <c r="Z786" s="741"/>
      <c r="AA786" s="741"/>
      <c r="AB786" s="741"/>
      <c r="AC786" s="741"/>
      <c r="AD786" s="741"/>
      <c r="AE786" s="741"/>
      <c r="AF786" s="741"/>
      <c r="AG786" s="749"/>
      <c r="AH786" s="18"/>
      <c r="AI786" s="18"/>
      <c r="AJ786" s="18"/>
      <c r="AK786" s="18"/>
      <c r="AL786" s="18"/>
      <c r="AM786" s="18"/>
      <c r="AN786" s="18"/>
    </row>
    <row r="787" spans="1:40" ht="21.95" customHeight="1" thickBot="1" x14ac:dyDescent="0.25">
      <c r="B787" s="182" t="s">
        <v>487</v>
      </c>
      <c r="C787" s="116" t="s">
        <v>156</v>
      </c>
      <c r="D787" s="240" t="s">
        <v>23</v>
      </c>
      <c r="E787" s="1340" t="s">
        <v>331</v>
      </c>
      <c r="F787" s="220" t="s">
        <v>332</v>
      </c>
      <c r="G787" s="220" t="s">
        <v>282</v>
      </c>
      <c r="H787" s="726">
        <f>H723-H232</f>
        <v>0</v>
      </c>
      <c r="I787" s="726">
        <f t="shared" ref="I787:AG787" si="750">I723-I232</f>
        <v>-4.1304143925017343</v>
      </c>
      <c r="J787" s="726">
        <f t="shared" si="750"/>
        <v>-8.2852090866308572</v>
      </c>
      <c r="K787" s="726">
        <f t="shared" si="750"/>
        <v>-12.416687417840876</v>
      </c>
      <c r="L787" s="726">
        <f t="shared" si="750"/>
        <v>-16.550094494246878</v>
      </c>
      <c r="M787" s="726">
        <f t="shared" si="750"/>
        <v>-20.711900637366853</v>
      </c>
      <c r="N787" s="726">
        <f t="shared" si="750"/>
        <v>-24.858195439777774</v>
      </c>
      <c r="O787" s="726">
        <f t="shared" si="750"/>
        <v>-29.045416290933645</v>
      </c>
      <c r="P787" s="726">
        <f t="shared" si="750"/>
        <v>-33.238405869162307</v>
      </c>
      <c r="Q787" s="726">
        <f t="shared" si="750"/>
        <v>-37.484399260803912</v>
      </c>
      <c r="R787" s="726">
        <f t="shared" si="750"/>
        <v>-41.820258800235024</v>
      </c>
      <c r="S787" s="726">
        <f t="shared" si="750"/>
        <v>-46.304009486315408</v>
      </c>
      <c r="T787" s="726">
        <f t="shared" si="750"/>
        <v>-51.074767318510567</v>
      </c>
      <c r="U787" s="726">
        <f t="shared" si="750"/>
        <v>-55.855520974810133</v>
      </c>
      <c r="V787" s="726">
        <f t="shared" si="750"/>
        <v>-60.667243781848811</v>
      </c>
      <c r="W787" s="726">
        <f t="shared" si="750"/>
        <v>-65.671833296539262</v>
      </c>
      <c r="X787" s="726">
        <f t="shared" si="750"/>
        <v>-70.915834002877091</v>
      </c>
      <c r="Y787" s="726">
        <f t="shared" si="750"/>
        <v>-76.482049035163072</v>
      </c>
      <c r="Z787" s="726">
        <f t="shared" si="750"/>
        <v>-82.384914854188537</v>
      </c>
      <c r="AA787" s="726">
        <f t="shared" si="750"/>
        <v>-88.759032818612468</v>
      </c>
      <c r="AB787" s="726">
        <f t="shared" si="750"/>
        <v>-95.644865765501891</v>
      </c>
      <c r="AC787" s="726">
        <f t="shared" si="750"/>
        <v>-103.18300761464343</v>
      </c>
      <c r="AD787" s="726">
        <f t="shared" si="750"/>
        <v>-111.53817505622283</v>
      </c>
      <c r="AE787" s="726">
        <f t="shared" si="750"/>
        <v>-120.80709267743077</v>
      </c>
      <c r="AF787" s="726">
        <f t="shared" si="750"/>
        <v>-131.20398269116413</v>
      </c>
      <c r="AG787" s="727">
        <f t="shared" si="750"/>
        <v>-142.98023665518485</v>
      </c>
      <c r="AH787" s="18"/>
      <c r="AI787" s="18"/>
      <c r="AJ787" s="18"/>
      <c r="AK787" s="18"/>
      <c r="AL787" s="18"/>
      <c r="AM787" s="18"/>
      <c r="AN787" s="18"/>
    </row>
    <row r="788" spans="1:40" ht="21.95" customHeight="1" thickBot="1" x14ac:dyDescent="0.25">
      <c r="B788" s="182" t="s">
        <v>489</v>
      </c>
      <c r="C788" s="715"/>
      <c r="D788" s="715"/>
      <c r="E788" s="1339"/>
      <c r="F788" s="116" t="s">
        <v>282</v>
      </c>
      <c r="G788" s="116" t="s">
        <v>280</v>
      </c>
      <c r="H788" s="726">
        <f t="shared" ref="H788:AG788" si="751">H724-H233</f>
        <v>0</v>
      </c>
      <c r="I788" s="726">
        <f t="shared" si="751"/>
        <v>-648.95487810886698</v>
      </c>
      <c r="J788" s="726">
        <f t="shared" si="751"/>
        <v>3078.1822512985673</v>
      </c>
      <c r="K788" s="726">
        <f t="shared" si="751"/>
        <v>5822.3593181597535</v>
      </c>
      <c r="L788" s="726">
        <f t="shared" si="751"/>
        <v>8570.6493869427359</v>
      </c>
      <c r="M788" s="726">
        <f t="shared" si="751"/>
        <v>11312.740383979108</v>
      </c>
      <c r="N788" s="726">
        <f t="shared" si="751"/>
        <v>14061.336043534975</v>
      </c>
      <c r="O788" s="726">
        <f t="shared" si="751"/>
        <v>16817.142828267941</v>
      </c>
      <c r="P788" s="726">
        <f t="shared" si="751"/>
        <v>14337.145737925661</v>
      </c>
      <c r="Q788" s="726">
        <f t="shared" si="751"/>
        <v>11865.110731984489</v>
      </c>
      <c r="R788" s="726">
        <f t="shared" si="751"/>
        <v>9398.5831816277932</v>
      </c>
      <c r="S788" s="726">
        <f t="shared" si="751"/>
        <v>6933.0651380144991</v>
      </c>
      <c r="T788" s="726">
        <f t="shared" si="751"/>
        <v>4447.5204638786381</v>
      </c>
      <c r="U788" s="726">
        <f t="shared" si="751"/>
        <v>2927.662350778468</v>
      </c>
      <c r="V788" s="726">
        <f t="shared" si="751"/>
        <v>2273.1049172887579</v>
      </c>
      <c r="W788" s="726">
        <f t="shared" si="751"/>
        <v>1609.0843865742208</v>
      </c>
      <c r="X788" s="726">
        <f t="shared" si="751"/>
        <v>932.01691473240498</v>
      </c>
      <c r="Y788" s="726">
        <f t="shared" si="751"/>
        <v>235.38237221853342</v>
      </c>
      <c r="Z788" s="726">
        <f t="shared" si="751"/>
        <v>-482.46844433748629</v>
      </c>
      <c r="AA788" s="726">
        <f t="shared" si="751"/>
        <v>-1232.5686971133109</v>
      </c>
      <c r="AB788" s="726">
        <f t="shared" si="751"/>
        <v>-2019.2895922182361</v>
      </c>
      <c r="AC788" s="726">
        <f t="shared" si="751"/>
        <v>-2855.06814105378</v>
      </c>
      <c r="AD788" s="726">
        <f t="shared" si="751"/>
        <v>-3754.8274703475181</v>
      </c>
      <c r="AE788" s="726">
        <f t="shared" si="751"/>
        <v>-4729.0850793131394</v>
      </c>
      <c r="AF788" s="726">
        <f t="shared" si="751"/>
        <v>-5798.1937646979932</v>
      </c>
      <c r="AG788" s="727">
        <f t="shared" si="751"/>
        <v>-6986.4908936114516</v>
      </c>
      <c r="AH788" s="18"/>
      <c r="AI788" s="18"/>
      <c r="AJ788" s="18"/>
      <c r="AK788" s="18"/>
      <c r="AL788" s="18"/>
      <c r="AM788" s="18"/>
      <c r="AN788" s="18"/>
    </row>
    <row r="789" spans="1:40" ht="21.95" customHeight="1" thickBot="1" x14ac:dyDescent="0.25">
      <c r="B789" s="705"/>
      <c r="C789" s="715"/>
      <c r="D789" s="715"/>
      <c r="E789" s="1339"/>
      <c r="F789" s="116" t="s">
        <v>280</v>
      </c>
      <c r="G789" s="116" t="s">
        <v>333</v>
      </c>
      <c r="H789" s="726">
        <f t="shared" ref="H789:AG789" si="752">H725-H234</f>
        <v>0.64788754306755436</v>
      </c>
      <c r="I789" s="726">
        <f t="shared" si="752"/>
        <v>1.0160948248549175</v>
      </c>
      <c r="J789" s="726">
        <f t="shared" si="752"/>
        <v>1.7308080983639229</v>
      </c>
      <c r="K789" s="726">
        <f t="shared" si="752"/>
        <v>3.4117418165415074</v>
      </c>
      <c r="L789" s="726">
        <f t="shared" si="752"/>
        <v>6.4665065394628982</v>
      </c>
      <c r="M789" s="726">
        <f t="shared" si="752"/>
        <v>11.832424431606341</v>
      </c>
      <c r="N789" s="726">
        <f t="shared" si="752"/>
        <v>20.977502838078181</v>
      </c>
      <c r="O789" s="726">
        <f t="shared" si="752"/>
        <v>36.165333301005376</v>
      </c>
      <c r="P789" s="726">
        <f t="shared" si="752"/>
        <v>59.815677957558364</v>
      </c>
      <c r="Q789" s="726">
        <f t="shared" si="752"/>
        <v>96.795071249369357</v>
      </c>
      <c r="R789" s="726">
        <f t="shared" si="752"/>
        <v>153.48080893775114</v>
      </c>
      <c r="S789" s="726">
        <f t="shared" si="752"/>
        <v>238.89189909561537</v>
      </c>
      <c r="T789" s="726">
        <f t="shared" si="752"/>
        <v>365.63899884781858</v>
      </c>
      <c r="U789" s="726">
        <f t="shared" si="752"/>
        <v>494.63106764366967</v>
      </c>
      <c r="V789" s="726">
        <f t="shared" si="752"/>
        <v>634.10393281067809</v>
      </c>
      <c r="W789" s="726">
        <f t="shared" si="752"/>
        <v>808.45691120610718</v>
      </c>
      <c r="X789" s="726">
        <f t="shared" si="752"/>
        <v>1025.354080056939</v>
      </c>
      <c r="Y789" s="726">
        <f t="shared" si="752"/>
        <v>1294.0400826283258</v>
      </c>
      <c r="Z789" s="726">
        <f t="shared" si="752"/>
        <v>1625.1306650106999</v>
      </c>
      <c r="AA789" s="726">
        <f t="shared" si="752"/>
        <v>2031.6996602954223</v>
      </c>
      <c r="AB789" s="726">
        <f t="shared" si="752"/>
        <v>2528.505518039974</v>
      </c>
      <c r="AC789" s="726">
        <f t="shared" si="752"/>
        <v>3133.3993111329382</v>
      </c>
      <c r="AD789" s="726">
        <f t="shared" si="752"/>
        <v>3867.4259933047433</v>
      </c>
      <c r="AE789" s="726">
        <f t="shared" si="752"/>
        <v>4754.1915569371449</v>
      </c>
      <c r="AF789" s="726">
        <f t="shared" si="752"/>
        <v>5822.1010075388658</v>
      </c>
      <c r="AG789" s="727">
        <f t="shared" si="752"/>
        <v>7104.3626168684677</v>
      </c>
      <c r="AH789" s="18"/>
      <c r="AI789" s="18"/>
      <c r="AJ789" s="18"/>
      <c r="AK789" s="18"/>
      <c r="AL789" s="18"/>
      <c r="AM789" s="18"/>
      <c r="AN789" s="18"/>
    </row>
    <row r="790" spans="1:40" ht="21.95" customHeight="1" thickBot="1" x14ac:dyDescent="0.25">
      <c r="B790" s="705"/>
      <c r="C790" s="715"/>
      <c r="D790" s="715"/>
      <c r="E790" s="1340" t="s">
        <v>280</v>
      </c>
      <c r="F790" s="220" t="s">
        <v>281</v>
      </c>
      <c r="G790" s="220" t="s">
        <v>335</v>
      </c>
      <c r="H790" s="726">
        <f t="shared" ref="H790:AF790" si="753">H726-H235</f>
        <v>2204.5103858268121</v>
      </c>
      <c r="I790" s="726">
        <f t="shared" si="753"/>
        <v>1909.5933190677024</v>
      </c>
      <c r="J790" s="726">
        <f t="shared" si="753"/>
        <v>9421.9473295590724</v>
      </c>
      <c r="K790" s="726">
        <f t="shared" si="753"/>
        <v>15752.797250357617</v>
      </c>
      <c r="L790" s="726">
        <f t="shared" si="753"/>
        <v>15170.882157912536</v>
      </c>
      <c r="M790" s="726">
        <f t="shared" si="753"/>
        <v>-24926.034673610848</v>
      </c>
      <c r="N790" s="726">
        <f t="shared" si="753"/>
        <v>-235296.03475762322</v>
      </c>
      <c r="O790" s="726">
        <f t="shared" si="753"/>
        <v>-264943.94587798079</v>
      </c>
      <c r="P790" s="726">
        <f t="shared" si="753"/>
        <v>-315525.56971921393</v>
      </c>
      <c r="Q790" s="726">
        <f t="shared" si="753"/>
        <v>-366187.60288334102</v>
      </c>
      <c r="R790" s="726">
        <f t="shared" si="753"/>
        <v>-417040.50951276673</v>
      </c>
      <c r="S790" s="726">
        <f t="shared" si="753"/>
        <v>-468548.17658582173</v>
      </c>
      <c r="T790" s="726">
        <f t="shared" si="753"/>
        <v>-521912.35875209083</v>
      </c>
      <c r="U790" s="726">
        <f t="shared" si="753"/>
        <v>-553958.32211702014</v>
      </c>
      <c r="V790" s="726">
        <f t="shared" si="753"/>
        <v>-571687.01370068896</v>
      </c>
      <c r="W790" s="726">
        <f t="shared" si="753"/>
        <v>-587213.42912629945</v>
      </c>
      <c r="X790" s="726">
        <f t="shared" si="753"/>
        <v>-603571.68340306496</v>
      </c>
      <c r="Y790" s="726">
        <f t="shared" si="753"/>
        <v>-620934.68554472795</v>
      </c>
      <c r="Z790" s="726">
        <f t="shared" si="753"/>
        <v>-639451.80952251842</v>
      </c>
      <c r="AA790" s="726">
        <f t="shared" si="753"/>
        <v>-659348.23879997456</v>
      </c>
      <c r="AB790" s="726">
        <f t="shared" si="753"/>
        <v>-680846.44058519485</v>
      </c>
      <c r="AC790" s="726">
        <f t="shared" si="753"/>
        <v>-704210.6971289611</v>
      </c>
      <c r="AD790" s="726">
        <f t="shared" si="753"/>
        <v>-729789.23915622931</v>
      </c>
      <c r="AE790" s="726">
        <f t="shared" si="753"/>
        <v>-757926.43193257507</v>
      </c>
      <c r="AF790" s="726">
        <f t="shared" si="753"/>
        <v>-789005.79161231767</v>
      </c>
      <c r="AG790" s="727">
        <f>AG726-AG235</f>
        <v>-823540.97756785003</v>
      </c>
      <c r="AH790" s="18"/>
      <c r="AI790" s="18"/>
      <c r="AJ790" s="18"/>
      <c r="AK790" s="18"/>
      <c r="AL790" s="18"/>
      <c r="AM790" s="18"/>
      <c r="AN790" s="18"/>
    </row>
    <row r="791" spans="1:40" ht="21.95" customHeight="1" thickBot="1" x14ac:dyDescent="0.25">
      <c r="B791" s="705"/>
      <c r="C791" s="715"/>
      <c r="D791" s="715"/>
      <c r="E791" s="1339"/>
      <c r="F791" s="116" t="s">
        <v>335</v>
      </c>
      <c r="G791" s="116" t="s">
        <v>323</v>
      </c>
      <c r="H791" s="726">
        <f t="shared" ref="H791:AG791" si="754">H727-H236</f>
        <v>0</v>
      </c>
      <c r="I791" s="726">
        <f t="shared" si="754"/>
        <v>-335.73251760279527</v>
      </c>
      <c r="J791" s="726">
        <f t="shared" si="754"/>
        <v>-320.55491286569668</v>
      </c>
      <c r="K791" s="726">
        <f t="shared" si="754"/>
        <v>-2361.1463582544202</v>
      </c>
      <c r="L791" s="726">
        <f t="shared" si="754"/>
        <v>-4422.2542349707237</v>
      </c>
      <c r="M791" s="726">
        <f t="shared" si="754"/>
        <v>-6635.1462466095545</v>
      </c>
      <c r="N791" s="726">
        <f t="shared" si="754"/>
        <v>-9603.6204907521569</v>
      </c>
      <c r="O791" s="726">
        <f t="shared" si="754"/>
        <v>-15621.130498506533</v>
      </c>
      <c r="P791" s="726">
        <f t="shared" si="754"/>
        <v>-51396.695632395873</v>
      </c>
      <c r="Q791" s="726">
        <f t="shared" si="754"/>
        <v>-74028.032516128587</v>
      </c>
      <c r="R791" s="726">
        <f t="shared" si="754"/>
        <v>-85143.298007573525</v>
      </c>
      <c r="S791" s="726">
        <f t="shared" si="754"/>
        <v>-95369.777858842048</v>
      </c>
      <c r="T791" s="726">
        <f t="shared" si="754"/>
        <v>-103828.06630570884</v>
      </c>
      <c r="U791" s="726">
        <f t="shared" si="754"/>
        <v>-106070.68892745167</v>
      </c>
      <c r="V791" s="726">
        <f t="shared" si="754"/>
        <v>-104793.99335140758</v>
      </c>
      <c r="W791" s="726">
        <f t="shared" si="754"/>
        <v>-102553.86573669709</v>
      </c>
      <c r="X791" s="726">
        <f t="shared" si="754"/>
        <v>-99190.23449723098</v>
      </c>
      <c r="Y791" s="726">
        <f t="shared" si="754"/>
        <v>-94425.647977511224</v>
      </c>
      <c r="Z791" s="726">
        <f t="shared" si="754"/>
        <v>-87947.982250697765</v>
      </c>
      <c r="AA791" s="726">
        <f t="shared" si="754"/>
        <v>-79346.713207003108</v>
      </c>
      <c r="AB791" s="726">
        <f t="shared" si="754"/>
        <v>-79454.574579765584</v>
      </c>
      <c r="AC791" s="726">
        <f t="shared" si="754"/>
        <v>-80383.990818719045</v>
      </c>
      <c r="AD791" s="726">
        <f t="shared" si="754"/>
        <v>-81340.485306268296</v>
      </c>
      <c r="AE791" s="726">
        <f t="shared" si="754"/>
        <v>-82329.425623203264</v>
      </c>
      <c r="AF791" s="726">
        <f t="shared" si="754"/>
        <v>-83354.875010117248</v>
      </c>
      <c r="AG791" s="727">
        <f t="shared" si="754"/>
        <v>-84421.901785409107</v>
      </c>
      <c r="AH791" s="18"/>
      <c r="AI791" s="18"/>
      <c r="AJ791" s="18"/>
      <c r="AK791" s="18"/>
      <c r="AL791" s="18"/>
      <c r="AM791" s="18"/>
      <c r="AN791" s="18"/>
    </row>
    <row r="792" spans="1:40" ht="21.95" customHeight="1" thickBot="1" x14ac:dyDescent="0.25">
      <c r="B792" s="705"/>
      <c r="C792" s="715"/>
      <c r="D792" s="715"/>
      <c r="E792" s="1353"/>
      <c r="F792" s="254" t="s">
        <v>323</v>
      </c>
      <c r="G792" s="254" t="s">
        <v>338</v>
      </c>
      <c r="H792" s="726">
        <f t="shared" ref="H792:AG792" si="755">H728-H237</f>
        <v>0</v>
      </c>
      <c r="I792" s="726">
        <f t="shared" si="755"/>
        <v>-1228.5343021394801</v>
      </c>
      <c r="J792" s="726">
        <f t="shared" si="755"/>
        <v>-879.34982749799383</v>
      </c>
      <c r="K792" s="726">
        <f t="shared" si="755"/>
        <v>-3388.2234328789636</v>
      </c>
      <c r="L792" s="726">
        <f t="shared" si="755"/>
        <v>-6581.1453573207255</v>
      </c>
      <c r="M792" s="726">
        <f t="shared" si="755"/>
        <v>-11070.984256223397</v>
      </c>
      <c r="N792" s="726">
        <f t="shared" si="755"/>
        <v>-17899.353293876193</v>
      </c>
      <c r="O792" s="726">
        <f t="shared" si="755"/>
        <v>-28778.123403477017</v>
      </c>
      <c r="P792" s="726">
        <f t="shared" si="755"/>
        <v>-63608.477422900032</v>
      </c>
      <c r="Q792" s="726">
        <f t="shared" si="755"/>
        <v>-129825.35324856942</v>
      </c>
      <c r="R792" s="726">
        <f t="shared" si="755"/>
        <v>-222831.23239318526</v>
      </c>
      <c r="S792" s="726">
        <f t="shared" si="755"/>
        <v>-210098.56488012086</v>
      </c>
      <c r="T792" s="726">
        <f t="shared" si="755"/>
        <v>-182934.71462432126</v>
      </c>
      <c r="U792" s="726">
        <f t="shared" si="755"/>
        <v>-149981.33736476128</v>
      </c>
      <c r="V792" s="726">
        <f t="shared" si="755"/>
        <v>-117778.81717548403</v>
      </c>
      <c r="W792" s="726">
        <f t="shared" si="755"/>
        <v>-96002.856516371306</v>
      </c>
      <c r="X792" s="726">
        <f t="shared" si="755"/>
        <v>-98519.281554687885</v>
      </c>
      <c r="Y792" s="726">
        <f t="shared" si="755"/>
        <v>-101039.47892746842</v>
      </c>
      <c r="Z792" s="726">
        <f t="shared" si="755"/>
        <v>-103558.10004229686</v>
      </c>
      <c r="AA792" s="726">
        <f t="shared" si="755"/>
        <v>-106080.86852294678</v>
      </c>
      <c r="AB792" s="726">
        <f t="shared" si="755"/>
        <v>-108602.49837497558</v>
      </c>
      <c r="AC792" s="726">
        <f t="shared" si="755"/>
        <v>-111126.00945099595</v>
      </c>
      <c r="AD792" s="726">
        <f t="shared" si="755"/>
        <v>-113654.4780905107</v>
      </c>
      <c r="AE792" s="726">
        <f t="shared" si="755"/>
        <v>-116182.73368039343</v>
      </c>
      <c r="AF792" s="726">
        <f t="shared" si="755"/>
        <v>-118713.91872769641</v>
      </c>
      <c r="AG792" s="727">
        <f t="shared" si="755"/>
        <v>-121251.25960035389</v>
      </c>
      <c r="AH792" s="18"/>
      <c r="AI792" s="18"/>
      <c r="AJ792" s="18"/>
      <c r="AK792" s="18"/>
      <c r="AL792" s="18"/>
      <c r="AM792" s="18"/>
      <c r="AN792" s="18"/>
    </row>
    <row r="793" spans="1:40" ht="21.95" customHeight="1" thickBot="1" x14ac:dyDescent="0.25">
      <c r="B793" s="705"/>
      <c r="C793" s="715"/>
      <c r="D793" s="715"/>
      <c r="E793" s="116" t="s">
        <v>339</v>
      </c>
      <c r="F793" s="116" t="s">
        <v>335</v>
      </c>
      <c r="G793" s="116" t="s">
        <v>323</v>
      </c>
      <c r="H793" s="726">
        <f t="shared" ref="H793:AG793" si="756">H729-H238</f>
        <v>-447.96741014413419</v>
      </c>
      <c r="I793" s="726">
        <f t="shared" si="756"/>
        <v>281.2071402914612</v>
      </c>
      <c r="J793" s="726">
        <f t="shared" si="756"/>
        <v>10811.185812720087</v>
      </c>
      <c r="K793" s="726">
        <f t="shared" si="756"/>
        <v>26550.612809892566</v>
      </c>
      <c r="L793" s="726">
        <f t="shared" si="756"/>
        <v>42301.11576567564</v>
      </c>
      <c r="M793" s="726">
        <f t="shared" si="756"/>
        <v>58050.06592877541</v>
      </c>
      <c r="N793" s="726">
        <f t="shared" si="756"/>
        <v>73852.815037553111</v>
      </c>
      <c r="O793" s="726">
        <f t="shared" si="756"/>
        <v>90108.985042513188</v>
      </c>
      <c r="P793" s="726">
        <f t="shared" si="756"/>
        <v>96701.004089888898</v>
      </c>
      <c r="Q793" s="726">
        <f t="shared" si="756"/>
        <v>103913.29907246493</v>
      </c>
      <c r="R793" s="726">
        <f t="shared" si="756"/>
        <v>112229.064129809</v>
      </c>
      <c r="S793" s="726">
        <f t="shared" si="756"/>
        <v>122443.35303993036</v>
      </c>
      <c r="T793" s="726">
        <f t="shared" si="756"/>
        <v>135878.87628603837</v>
      </c>
      <c r="U793" s="726">
        <f t="shared" si="756"/>
        <v>138126.47352008754</v>
      </c>
      <c r="V793" s="726">
        <f t="shared" si="756"/>
        <v>140499.28648975625</v>
      </c>
      <c r="W793" s="726">
        <f t="shared" si="756"/>
        <v>143006.63221529295</v>
      </c>
      <c r="X793" s="726">
        <f t="shared" si="756"/>
        <v>145658.34131095998</v>
      </c>
      <c r="Y793" s="726">
        <f t="shared" si="756"/>
        <v>148486.68175782831</v>
      </c>
      <c r="Z793" s="726">
        <f t="shared" si="756"/>
        <v>151460.40456342296</v>
      </c>
      <c r="AA793" s="726">
        <f t="shared" si="756"/>
        <v>154621.42703236768</v>
      </c>
      <c r="AB793" s="726">
        <f t="shared" si="756"/>
        <v>157964.13633225407</v>
      </c>
      <c r="AC793" s="726">
        <f t="shared" si="756"/>
        <v>161510.73967487569</v>
      </c>
      <c r="AD793" s="726">
        <f t="shared" si="756"/>
        <v>165304.32025711541</v>
      </c>
      <c r="AE793" s="726">
        <f t="shared" si="756"/>
        <v>169303.92365989776</v>
      </c>
      <c r="AF793" s="726">
        <f t="shared" si="756"/>
        <v>173552.82270894983</v>
      </c>
      <c r="AG793" s="727">
        <f t="shared" si="756"/>
        <v>178081.8758485585</v>
      </c>
      <c r="AH793" s="18"/>
      <c r="AI793" s="18"/>
      <c r="AJ793" s="18"/>
      <c r="AK793" s="18"/>
      <c r="AL793" s="18"/>
      <c r="AM793" s="18"/>
      <c r="AN793" s="18"/>
    </row>
    <row r="794" spans="1:40" ht="21.95" customHeight="1" thickBot="1" x14ac:dyDescent="0.25">
      <c r="B794" s="705"/>
      <c r="C794" s="715"/>
      <c r="D794" s="715"/>
      <c r="E794" s="1340" t="s">
        <v>323</v>
      </c>
      <c r="F794" s="220" t="s">
        <v>282</v>
      </c>
      <c r="G794" s="220" t="s">
        <v>339</v>
      </c>
      <c r="H794" s="726">
        <f t="shared" ref="H794:AG794" si="757">H730-H239</f>
        <v>-1228.4347919887814</v>
      </c>
      <c r="I794" s="726">
        <f t="shared" si="757"/>
        <v>237.22670436158342</v>
      </c>
      <c r="J794" s="726">
        <f t="shared" si="757"/>
        <v>-17140.389056677748</v>
      </c>
      <c r="K794" s="726">
        <f t="shared" si="757"/>
        <v>-29061.207779354558</v>
      </c>
      <c r="L794" s="726">
        <f t="shared" si="757"/>
        <v>-40997.482299702286</v>
      </c>
      <c r="M794" s="726">
        <f t="shared" si="757"/>
        <v>-52939.830670673568</v>
      </c>
      <c r="N794" s="726">
        <f t="shared" si="757"/>
        <v>-65176.507070401218</v>
      </c>
      <c r="O794" s="726">
        <f t="shared" si="757"/>
        <v>-79253.457005352568</v>
      </c>
      <c r="P794" s="726">
        <f t="shared" si="757"/>
        <v>-68403.395967880366</v>
      </c>
      <c r="Q794" s="726">
        <f t="shared" si="757"/>
        <v>-57551.502230891841</v>
      </c>
      <c r="R794" s="726">
        <f t="shared" si="757"/>
        <v>-46701.399245843961</v>
      </c>
      <c r="S794" s="726">
        <f t="shared" si="757"/>
        <v>-35851.277784498379</v>
      </c>
      <c r="T794" s="726">
        <f t="shared" si="757"/>
        <v>-24986.727845213871</v>
      </c>
      <c r="U794" s="726">
        <f t="shared" si="757"/>
        <v>-19601.781681432913</v>
      </c>
      <c r="V794" s="726">
        <f t="shared" si="757"/>
        <v>-18136.098108796898</v>
      </c>
      <c r="W794" s="726">
        <f t="shared" si="757"/>
        <v>-16670.412148737465</v>
      </c>
      <c r="X794" s="726">
        <f t="shared" si="757"/>
        <v>-15204.723570602742</v>
      </c>
      <c r="Y794" s="726">
        <f t="shared" si="757"/>
        <v>-13734.835866872541</v>
      </c>
      <c r="Z794" s="726">
        <f t="shared" si="757"/>
        <v>-12269.141273704532</v>
      </c>
      <c r="AA794" s="726">
        <f t="shared" si="757"/>
        <v>-10799.246971056389</v>
      </c>
      <c r="AB794" s="726">
        <f t="shared" si="757"/>
        <v>-9333.5451860840258</v>
      </c>
      <c r="AC794" s="726">
        <f t="shared" si="757"/>
        <v>-7867.8393085242424</v>
      </c>
      <c r="AD794" s="726">
        <f t="shared" si="757"/>
        <v>-6397.9326534369902</v>
      </c>
      <c r="AE794" s="726">
        <f t="shared" si="757"/>
        <v>-4932.2174353594019</v>
      </c>
      <c r="AF794" s="726">
        <f t="shared" si="757"/>
        <v>-3466.4969215435558</v>
      </c>
      <c r="AG794" s="727">
        <f t="shared" si="757"/>
        <v>-1996.574284611328</v>
      </c>
      <c r="AH794" s="18"/>
      <c r="AI794" s="18"/>
      <c r="AJ794" s="18"/>
      <c r="AK794" s="18"/>
      <c r="AL794" s="18"/>
      <c r="AM794" s="18"/>
      <c r="AN794" s="18"/>
    </row>
    <row r="795" spans="1:40" ht="21.95" customHeight="1" thickBot="1" x14ac:dyDescent="0.25">
      <c r="B795" s="705"/>
      <c r="C795" s="715"/>
      <c r="D795" s="715"/>
      <c r="E795" s="1339"/>
      <c r="F795" s="116" t="s">
        <v>339</v>
      </c>
      <c r="G795" s="116" t="s">
        <v>288</v>
      </c>
      <c r="H795" s="726">
        <f t="shared" ref="H795:AG795" si="758">H731-H240</f>
        <v>-609.32249322493226</v>
      </c>
      <c r="I795" s="726">
        <f t="shared" si="758"/>
        <v>-349.56188554588448</v>
      </c>
      <c r="J795" s="726">
        <f t="shared" si="758"/>
        <v>629.70164183971656</v>
      </c>
      <c r="K795" s="726">
        <f t="shared" si="758"/>
        <v>1539.4146579529702</v>
      </c>
      <c r="L795" s="726">
        <f t="shared" si="758"/>
        <v>2453.5127358398731</v>
      </c>
      <c r="M795" s="726">
        <f t="shared" si="758"/>
        <v>3362.1728414919698</v>
      </c>
      <c r="N795" s="726">
        <f t="shared" si="758"/>
        <v>4271.5962992409059</v>
      </c>
      <c r="O795" s="726">
        <f t="shared" si="758"/>
        <v>5182.509698362268</v>
      </c>
      <c r="P795" s="726">
        <f t="shared" si="758"/>
        <v>3905.1319111666398</v>
      </c>
      <c r="Q795" s="726">
        <f t="shared" si="758"/>
        <v>2297.2678075510921</v>
      </c>
      <c r="R795" s="726">
        <f t="shared" si="758"/>
        <v>-1253.6315026963966</v>
      </c>
      <c r="S795" s="726">
        <f t="shared" si="758"/>
        <v>-13377.42275851802</v>
      </c>
      <c r="T795" s="726">
        <f t="shared" si="758"/>
        <v>-56275.760889425692</v>
      </c>
      <c r="U795" s="726">
        <f t="shared" si="758"/>
        <v>-67176.403108798433</v>
      </c>
      <c r="V795" s="726">
        <f t="shared" si="758"/>
        <v>-68560.707029151468</v>
      </c>
      <c r="W795" s="726">
        <f t="shared" si="758"/>
        <v>-69953.060968968784</v>
      </c>
      <c r="X795" s="726">
        <f t="shared" si="758"/>
        <v>-71345.48674259946</v>
      </c>
      <c r="Y795" s="726">
        <f t="shared" si="758"/>
        <v>-72737.124156936115</v>
      </c>
      <c r="Z795" s="726">
        <f t="shared" si="758"/>
        <v>-74129.727311422466</v>
      </c>
      <c r="AA795" s="726">
        <f t="shared" si="758"/>
        <v>-75521.570884537752</v>
      </c>
      <c r="AB795" s="726">
        <f t="shared" si="758"/>
        <v>-76914.413057932034</v>
      </c>
      <c r="AC795" s="726">
        <f t="shared" si="758"/>
        <v>-78307.403415591718</v>
      </c>
      <c r="AD795" s="726">
        <f t="shared" si="758"/>
        <v>-79691.12813012641</v>
      </c>
      <c r="AE795" s="726">
        <f t="shared" si="758"/>
        <v>-81084.478783657454</v>
      </c>
      <c r="AF795" s="726">
        <f t="shared" si="758"/>
        <v>-82478.060616106697</v>
      </c>
      <c r="AG795" s="727">
        <f t="shared" si="758"/>
        <v>-83871.030108990817</v>
      </c>
      <c r="AH795" s="18"/>
      <c r="AI795" s="18"/>
      <c r="AJ795" s="18"/>
      <c r="AK795" s="18"/>
      <c r="AL795" s="18"/>
      <c r="AM795" s="18"/>
      <c r="AN795" s="18"/>
    </row>
    <row r="796" spans="1:40" ht="21.95" customHeight="1" thickBot="1" x14ac:dyDescent="0.25">
      <c r="B796" s="705"/>
      <c r="C796" s="715"/>
      <c r="D796" s="715"/>
      <c r="E796" s="1339"/>
      <c r="F796" s="116" t="s">
        <v>288</v>
      </c>
      <c r="G796" s="116" t="s">
        <v>340</v>
      </c>
      <c r="H796" s="726">
        <f t="shared" ref="H796:AG796" si="759">H732-H241</f>
        <v>-1944.8905109489051</v>
      </c>
      <c r="I796" s="726">
        <f t="shared" si="759"/>
        <v>-1587.4844647201944</v>
      </c>
      <c r="J796" s="726">
        <f t="shared" si="759"/>
        <v>646.35194647201843</v>
      </c>
      <c r="K796" s="726">
        <f t="shared" si="759"/>
        <v>1847.5163260345489</v>
      </c>
      <c r="L796" s="726">
        <f t="shared" si="759"/>
        <v>3052.6353163660242</v>
      </c>
      <c r="M796" s="726">
        <f t="shared" si="759"/>
        <v>4249.9099167109125</v>
      </c>
      <c r="N796" s="726">
        <f t="shared" si="759"/>
        <v>5451.0743189321038</v>
      </c>
      <c r="O796" s="726">
        <f t="shared" si="759"/>
        <v>6657.1010979515704</v>
      </c>
      <c r="P796" s="726">
        <f t="shared" si="759"/>
        <v>1397.663401666221</v>
      </c>
      <c r="Q796" s="726">
        <f t="shared" si="759"/>
        <v>-3856.2675173036769</v>
      </c>
      <c r="R796" s="726">
        <f t="shared" si="759"/>
        <v>-9114.8928635102202</v>
      </c>
      <c r="S796" s="726">
        <f t="shared" si="759"/>
        <v>-14374.486733204074</v>
      </c>
      <c r="T796" s="726">
        <f t="shared" si="759"/>
        <v>-19634.870365366951</v>
      </c>
      <c r="U796" s="726">
        <f t="shared" si="759"/>
        <v>-23196.500856509738</v>
      </c>
      <c r="V796" s="726">
        <f t="shared" si="759"/>
        <v>-24153.892497315566</v>
      </c>
      <c r="W796" s="726">
        <f t="shared" si="759"/>
        <v>-25111.355922454168</v>
      </c>
      <c r="X796" s="726">
        <f t="shared" si="759"/>
        <v>-26068.903187870994</v>
      </c>
      <c r="Y796" s="726">
        <f t="shared" si="759"/>
        <v>-27023.69531165529</v>
      </c>
      <c r="Z796" s="726">
        <f t="shared" si="759"/>
        <v>-27981.453609884687</v>
      </c>
      <c r="AA796" s="726">
        <f t="shared" si="759"/>
        <v>-28936.490454961939</v>
      </c>
      <c r="AB796" s="726">
        <f t="shared" si="759"/>
        <v>-29894.532061971782</v>
      </c>
      <c r="AC796" s="726">
        <f t="shared" si="759"/>
        <v>-30852.748883966444</v>
      </c>
      <c r="AD796" s="726">
        <f t="shared" si="759"/>
        <v>-31808.314223598471</v>
      </c>
      <c r="AE796" s="726">
        <f t="shared" si="759"/>
        <v>-32766.964061963576</v>
      </c>
      <c r="AF796" s="726">
        <f t="shared" si="759"/>
        <v>-33725.879117610239</v>
      </c>
      <c r="AG796" s="727">
        <f t="shared" si="759"/>
        <v>-34682.244010246824</v>
      </c>
      <c r="AH796" s="18"/>
      <c r="AI796" s="18"/>
      <c r="AJ796" s="18"/>
      <c r="AK796" s="18"/>
      <c r="AL796" s="18"/>
      <c r="AM796" s="18"/>
      <c r="AN796" s="18"/>
    </row>
    <row r="797" spans="1:40" ht="21.95" customHeight="1" thickBot="1" x14ac:dyDescent="0.25">
      <c r="B797" s="705"/>
      <c r="C797" s="715"/>
      <c r="D797" s="715"/>
      <c r="E797" s="1353"/>
      <c r="F797" s="254" t="s">
        <v>340</v>
      </c>
      <c r="G797" s="254" t="s">
        <v>280</v>
      </c>
      <c r="H797" s="726">
        <f t="shared" ref="H797:AG797" si="760">H733-H242</f>
        <v>0</v>
      </c>
      <c r="I797" s="726">
        <f t="shared" si="760"/>
        <v>-1179.5894160583939</v>
      </c>
      <c r="J797" s="726">
        <f t="shared" si="760"/>
        <v>-2029.7330291970811</v>
      </c>
      <c r="K797" s="726">
        <f t="shared" si="760"/>
        <v>-7666.8649635038255</v>
      </c>
      <c r="L797" s="726">
        <f t="shared" si="760"/>
        <v>-13303.903649655651</v>
      </c>
      <c r="M797" s="726">
        <f t="shared" si="760"/>
        <v>-18951.199635601919</v>
      </c>
      <c r="N797" s="726">
        <f t="shared" si="760"/>
        <v>-24588.331576503813</v>
      </c>
      <c r="O797" s="726">
        <f t="shared" si="760"/>
        <v>-30232.923413985489</v>
      </c>
      <c r="P797" s="726">
        <f t="shared" si="760"/>
        <v>-39079.844963098294</v>
      </c>
      <c r="Q797" s="726">
        <f t="shared" si="760"/>
        <v>-47924.349660108615</v>
      </c>
      <c r="R797" s="726">
        <f t="shared" si="760"/>
        <v>-56772.628583718004</v>
      </c>
      <c r="S797" s="726">
        <f t="shared" si="760"/>
        <v>-65619.79723321466</v>
      </c>
      <c r="T797" s="726">
        <f t="shared" si="760"/>
        <v>-74481.188862657291</v>
      </c>
      <c r="U797" s="726">
        <f t="shared" si="760"/>
        <v>-78536.25335008277</v>
      </c>
      <c r="V797" s="726">
        <f t="shared" si="760"/>
        <v>-79716.400436682758</v>
      </c>
      <c r="W797" s="726">
        <f t="shared" si="760"/>
        <v>-80896.652607783268</v>
      </c>
      <c r="X797" s="726">
        <f t="shared" si="760"/>
        <v>-82077.027378811763</v>
      </c>
      <c r="Y797" s="726">
        <f t="shared" si="760"/>
        <v>-83260.714899577608</v>
      </c>
      <c r="Z797" s="726">
        <f t="shared" si="760"/>
        <v>-84441.397814888172</v>
      </c>
      <c r="AA797" s="726">
        <f t="shared" si="760"/>
        <v>-85625.442376452265</v>
      </c>
      <c r="AB797" s="726">
        <f t="shared" si="760"/>
        <v>-86806.538279798042</v>
      </c>
      <c r="AC797" s="726">
        <f t="shared" si="760"/>
        <v>-87987.88932103361</v>
      </c>
      <c r="AD797" s="726">
        <f t="shared" si="760"/>
        <v>-89172.70345233164</v>
      </c>
      <c r="AE797" s="726">
        <f t="shared" si="760"/>
        <v>-90354.684420113816</v>
      </c>
      <c r="AF797" s="726">
        <f t="shared" si="760"/>
        <v>-91537.050876397756</v>
      </c>
      <c r="AG797" s="727">
        <f t="shared" si="760"/>
        <v>-92723.027157092671</v>
      </c>
      <c r="AH797" s="18"/>
      <c r="AI797" s="18"/>
      <c r="AJ797" s="18"/>
      <c r="AK797" s="18"/>
      <c r="AL797" s="18"/>
      <c r="AM797" s="18"/>
      <c r="AN797" s="18"/>
    </row>
    <row r="798" spans="1:40" ht="21.95" customHeight="1" thickBot="1" x14ac:dyDescent="0.25">
      <c r="B798" s="705"/>
      <c r="C798" s="715"/>
      <c r="D798" s="715"/>
      <c r="E798" s="1340" t="s">
        <v>334</v>
      </c>
      <c r="F798" s="116" t="s">
        <v>336</v>
      </c>
      <c r="G798" s="116" t="s">
        <v>337</v>
      </c>
      <c r="H798" s="726">
        <f t="shared" ref="H798:AG798" si="761">H734-H243</f>
        <v>0</v>
      </c>
      <c r="I798" s="726">
        <f t="shared" si="761"/>
        <v>30.657954192589386</v>
      </c>
      <c r="J798" s="726">
        <f t="shared" si="761"/>
        <v>61.497578527938458</v>
      </c>
      <c r="K798" s="726">
        <f t="shared" si="761"/>
        <v>92.164789273534552</v>
      </c>
      <c r="L798" s="726">
        <f t="shared" si="761"/>
        <v>122.84440557073685</v>
      </c>
      <c r="M798" s="726">
        <f t="shared" si="761"/>
        <v>153.72584871647996</v>
      </c>
      <c r="N798" s="726">
        <f t="shared" si="761"/>
        <v>184.46683711954392</v>
      </c>
      <c r="O798" s="726">
        <f t="shared" si="761"/>
        <v>215.45241566798359</v>
      </c>
      <c r="P798" s="726">
        <f t="shared" si="761"/>
        <v>246.33637759575504</v>
      </c>
      <c r="Q798" s="726">
        <f t="shared" si="761"/>
        <v>277.35216463635152</v>
      </c>
      <c r="R798" s="726">
        <f t="shared" si="761"/>
        <v>308.56273408899142</v>
      </c>
      <c r="S798" s="726">
        <f t="shared" si="761"/>
        <v>340.05639554244408</v>
      </c>
      <c r="T798" s="726">
        <f t="shared" si="761"/>
        <v>372.31789176097664</v>
      </c>
      <c r="U798" s="726">
        <f t="shared" si="761"/>
        <v>404.2214975902607</v>
      </c>
      <c r="V798" s="726">
        <f t="shared" si="761"/>
        <v>436.13617893782794</v>
      </c>
      <c r="W798" s="726">
        <f t="shared" si="761"/>
        <v>468.32323988304415</v>
      </c>
      <c r="X798" s="726">
        <f t="shared" si="761"/>
        <v>500.8323888219893</v>
      </c>
      <c r="Y798" s="726">
        <f t="shared" si="761"/>
        <v>533.90532689543033</v>
      </c>
      <c r="Z798" s="726">
        <f t="shared" si="761"/>
        <v>567.24034997312992</v>
      </c>
      <c r="AA798" s="726">
        <f t="shared" si="761"/>
        <v>601.28306424072071</v>
      </c>
      <c r="AB798" s="726">
        <f t="shared" si="761"/>
        <v>635.74913181667216</v>
      </c>
      <c r="AC798" s="726">
        <f t="shared" si="761"/>
        <v>670.92298391772783</v>
      </c>
      <c r="AD798" s="726">
        <f t="shared" si="761"/>
        <v>707.10785008106905</v>
      </c>
      <c r="AE798" s="726">
        <f t="shared" si="761"/>
        <v>744.05376641728799</v>
      </c>
      <c r="AF798" s="726">
        <f t="shared" si="761"/>
        <v>782.09526053647278</v>
      </c>
      <c r="AG798" s="727">
        <f t="shared" si="761"/>
        <v>821.59349900681991</v>
      </c>
      <c r="AH798" s="18"/>
      <c r="AI798" s="18"/>
      <c r="AJ798" s="18"/>
      <c r="AK798" s="18"/>
      <c r="AL798" s="18"/>
      <c r="AM798" s="18"/>
      <c r="AN798" s="18"/>
    </row>
    <row r="799" spans="1:40" ht="21.95" customHeight="1" thickBot="1" x14ac:dyDescent="0.25">
      <c r="B799" s="705"/>
      <c r="C799" s="715"/>
      <c r="D799" s="715"/>
      <c r="E799" s="1339"/>
      <c r="F799" s="116" t="s">
        <v>337</v>
      </c>
      <c r="G799" s="116" t="s">
        <v>386</v>
      </c>
      <c r="H799" s="726">
        <f t="shared" ref="H799:AG799" si="762">H735-H244</f>
        <v>0</v>
      </c>
      <c r="I799" s="726">
        <f t="shared" si="762"/>
        <v>-1602.612635149766</v>
      </c>
      <c r="J799" s="726">
        <f t="shared" si="762"/>
        <v>-5579.1444108287833</v>
      </c>
      <c r="K799" s="726">
        <f t="shared" si="762"/>
        <v>-9958.5646009802149</v>
      </c>
      <c r="L799" s="726">
        <f t="shared" si="762"/>
        <v>-14360.738656286005</v>
      </c>
      <c r="M799" s="726">
        <f t="shared" si="762"/>
        <v>-18782.223583724946</v>
      </c>
      <c r="N799" s="726">
        <f t="shared" si="762"/>
        <v>-23234.401525643785</v>
      </c>
      <c r="O799" s="726">
        <f t="shared" si="762"/>
        <v>-27745.140474341504</v>
      </c>
      <c r="P799" s="726">
        <f t="shared" si="762"/>
        <v>-30201.519831196929</v>
      </c>
      <c r="Q799" s="726">
        <f t="shared" si="762"/>
        <v>-32813.648407706103</v>
      </c>
      <c r="R799" s="726">
        <f t="shared" si="762"/>
        <v>-35454.60244918715</v>
      </c>
      <c r="S799" s="726">
        <f t="shared" si="762"/>
        <v>-38139.301012727155</v>
      </c>
      <c r="T799" s="726">
        <f t="shared" si="762"/>
        <v>-40867.640448965059</v>
      </c>
      <c r="U799" s="726">
        <f t="shared" si="762"/>
        <v>-43206.643015468013</v>
      </c>
      <c r="V799" s="726">
        <f t="shared" si="762"/>
        <v>-44712.234581168974</v>
      </c>
      <c r="W799" s="726">
        <f t="shared" si="762"/>
        <v>-45502.31990738881</v>
      </c>
      <c r="X799" s="726">
        <f t="shared" si="762"/>
        <v>-46337.181925251207</v>
      </c>
      <c r="Y799" s="726">
        <f t="shared" si="762"/>
        <v>-47222.436631119897</v>
      </c>
      <c r="Z799" s="726">
        <f t="shared" si="762"/>
        <v>-48165.306129822304</v>
      </c>
      <c r="AA799" s="726">
        <f t="shared" si="762"/>
        <v>-49172.54070347744</v>
      </c>
      <c r="AB799" s="726">
        <f t="shared" si="762"/>
        <v>-50252.947456664289</v>
      </c>
      <c r="AC799" s="726">
        <f t="shared" si="762"/>
        <v>-51415.32259017945</v>
      </c>
      <c r="AD799" s="726">
        <f t="shared" si="762"/>
        <v>-52669.458309334412</v>
      </c>
      <c r="AE799" s="726">
        <f t="shared" si="762"/>
        <v>-54027.161737597358</v>
      </c>
      <c r="AF799" s="726">
        <f t="shared" si="762"/>
        <v>-55494.517287278766</v>
      </c>
      <c r="AG799" s="727">
        <f t="shared" si="762"/>
        <v>-57096.598224335801</v>
      </c>
      <c r="AH799" s="18"/>
      <c r="AI799" s="18"/>
      <c r="AJ799" s="18"/>
      <c r="AK799" s="18"/>
      <c r="AL799" s="18"/>
      <c r="AM799" s="18"/>
      <c r="AN799" s="18"/>
    </row>
    <row r="800" spans="1:40" ht="21.95" customHeight="1" thickBot="1" x14ac:dyDescent="0.25">
      <c r="B800" s="705"/>
      <c r="C800" s="715"/>
      <c r="D800" s="715"/>
      <c r="E800" s="1339"/>
      <c r="F800" s="116" t="s">
        <v>342</v>
      </c>
      <c r="G800" s="116" t="s">
        <v>341</v>
      </c>
      <c r="H800" s="726">
        <f t="shared" ref="H800:AG800" si="763">H736-H245</f>
        <v>0</v>
      </c>
      <c r="I800" s="726">
        <f t="shared" si="763"/>
        <v>-2325.1259614521114</v>
      </c>
      <c r="J800" s="726">
        <f t="shared" si="763"/>
        <v>-8096.192101466062</v>
      </c>
      <c r="K800" s="726">
        <f t="shared" si="763"/>
        <v>-14456.112212149863</v>
      </c>
      <c r="L800" s="726">
        <f t="shared" si="763"/>
        <v>-20855.760664425208</v>
      </c>
      <c r="M800" s="726">
        <f t="shared" si="763"/>
        <v>-27293.632559086109</v>
      </c>
      <c r="N800" s="726">
        <f t="shared" si="763"/>
        <v>-33791.272659208655</v>
      </c>
      <c r="O800" s="726">
        <f t="shared" si="763"/>
        <v>-40396.4188846857</v>
      </c>
      <c r="P800" s="726">
        <f t="shared" si="763"/>
        <v>-44006.798081272093</v>
      </c>
      <c r="Q800" s="726">
        <f t="shared" si="763"/>
        <v>-47855.183361918942</v>
      </c>
      <c r="R800" s="726">
        <f t="shared" si="763"/>
        <v>-51759.801844646034</v>
      </c>
      <c r="S800" s="726">
        <f t="shared" si="763"/>
        <v>-55745.55170301396</v>
      </c>
      <c r="T800" s="726">
        <f t="shared" si="763"/>
        <v>-59815.578205514626</v>
      </c>
      <c r="U800" s="726">
        <f t="shared" si="763"/>
        <v>-63322.401868019355</v>
      </c>
      <c r="V800" s="726">
        <f t="shared" si="763"/>
        <v>-65621.245335338288</v>
      </c>
      <c r="W800" s="726">
        <f t="shared" si="763"/>
        <v>-66899.710537399922</v>
      </c>
      <c r="X800" s="726">
        <f t="shared" si="763"/>
        <v>-68262.931595027665</v>
      </c>
      <c r="Y800" s="726">
        <f t="shared" si="763"/>
        <v>-69721.67411311777</v>
      </c>
      <c r="Z800" s="726">
        <f t="shared" si="763"/>
        <v>-71289.337841928573</v>
      </c>
      <c r="AA800" s="726">
        <f t="shared" si="763"/>
        <v>-72978.970755821298</v>
      </c>
      <c r="AB800" s="726">
        <f t="shared" si="763"/>
        <v>-74806.972782269353</v>
      </c>
      <c r="AC800" s="726">
        <f t="shared" si="763"/>
        <v>-76790.12919706665</v>
      </c>
      <c r="AD800" s="726">
        <f t="shared" si="763"/>
        <v>-78947.110569710145</v>
      </c>
      <c r="AE800" s="726">
        <f t="shared" si="763"/>
        <v>-81299.995433178672</v>
      </c>
      <c r="AF800" s="726">
        <f t="shared" si="763"/>
        <v>-83862.106767510239</v>
      </c>
      <c r="AG800" s="727">
        <f t="shared" si="763"/>
        <v>-86677.698536582058</v>
      </c>
      <c r="AH800" s="18"/>
      <c r="AI800" s="18"/>
      <c r="AJ800" s="18"/>
      <c r="AK800" s="18"/>
      <c r="AL800" s="18"/>
      <c r="AM800" s="18"/>
      <c r="AN800" s="18"/>
    </row>
    <row r="801" spans="1:40" ht="21.95" customHeight="1" thickBot="1" x14ac:dyDescent="0.25">
      <c r="B801" s="705"/>
      <c r="C801" s="715"/>
      <c r="D801" s="715"/>
      <c r="E801" s="1339"/>
      <c r="F801" s="116" t="s">
        <v>341</v>
      </c>
      <c r="G801" s="116" t="s">
        <v>344</v>
      </c>
      <c r="H801" s="726">
        <f t="shared" ref="H801:AG801" si="764">H737-H246</f>
        <v>0</v>
      </c>
      <c r="I801" s="726">
        <f t="shared" si="764"/>
        <v>-2540.6713185907865</v>
      </c>
      <c r="J801" s="726">
        <f t="shared" si="764"/>
        <v>-8588.6507653515728</v>
      </c>
      <c r="K801" s="726">
        <f t="shared" si="764"/>
        <v>-15315.561464650658</v>
      </c>
      <c r="L801" s="726">
        <f t="shared" si="764"/>
        <v>-22169.296573347703</v>
      </c>
      <c r="M801" s="726">
        <f t="shared" si="764"/>
        <v>-29203.701553020306</v>
      </c>
      <c r="N801" s="726">
        <f t="shared" si="764"/>
        <v>-36515.729610592141</v>
      </c>
      <c r="O801" s="726">
        <f t="shared" si="764"/>
        <v>-44241.698661174698</v>
      </c>
      <c r="P801" s="726">
        <f t="shared" si="764"/>
        <v>-48656.974575717555</v>
      </c>
      <c r="Q801" s="726">
        <f t="shared" si="764"/>
        <v>-53472.46321231671</v>
      </c>
      <c r="R801" s="726">
        <f t="shared" si="764"/>
        <v>-58558.374641891452</v>
      </c>
      <c r="S801" s="726">
        <f t="shared" si="764"/>
        <v>-63956.632551684888</v>
      </c>
      <c r="T801" s="726">
        <f t="shared" si="764"/>
        <v>-69746.289792023366</v>
      </c>
      <c r="U801" s="726">
        <f t="shared" si="764"/>
        <v>-74947.409617005673</v>
      </c>
      <c r="V801" s="726">
        <f t="shared" si="764"/>
        <v>-79762.771775198635</v>
      </c>
      <c r="W801" s="726">
        <f t="shared" si="764"/>
        <v>-84908.875715280068</v>
      </c>
      <c r="X801" s="726">
        <f t="shared" si="764"/>
        <v>-90410.752870952128</v>
      </c>
      <c r="Y801" s="726">
        <f t="shared" si="764"/>
        <v>-96325.481518941</v>
      </c>
      <c r="Z801" s="726">
        <f t="shared" si="764"/>
        <v>-101048.23611373245</v>
      </c>
      <c r="AA801" s="726">
        <f t="shared" si="764"/>
        <v>-106069.30472524712</v>
      </c>
      <c r="AB801" s="726">
        <f t="shared" si="764"/>
        <v>-111679.81273118866</v>
      </c>
      <c r="AC801" s="726">
        <f t="shared" si="764"/>
        <v>-117952.91626667374</v>
      </c>
      <c r="AD801" s="726">
        <f t="shared" si="764"/>
        <v>-124969.82968961602</v>
      </c>
      <c r="AE801" s="726">
        <f t="shared" si="764"/>
        <v>-132840.03749295266</v>
      </c>
      <c r="AF801" s="726">
        <f t="shared" si="764"/>
        <v>-141628.77332845482</v>
      </c>
      <c r="AG801" s="727">
        <f t="shared" si="764"/>
        <v>-151462.81188372363</v>
      </c>
      <c r="AH801" s="18"/>
      <c r="AI801" s="18"/>
      <c r="AJ801" s="18"/>
      <c r="AK801" s="18"/>
      <c r="AL801" s="18"/>
      <c r="AM801" s="18"/>
      <c r="AN801" s="18"/>
    </row>
    <row r="802" spans="1:40" ht="21.95" customHeight="1" thickBot="1" x14ac:dyDescent="0.25">
      <c r="B802" s="705"/>
      <c r="C802" s="715"/>
      <c r="D802" s="715"/>
      <c r="E802" s="1339"/>
      <c r="F802" s="116" t="s">
        <v>344</v>
      </c>
      <c r="G802" s="116" t="s">
        <v>345</v>
      </c>
      <c r="H802" s="726">
        <f t="shared" ref="H802:AG802" si="765">H738-H247</f>
        <v>0</v>
      </c>
      <c r="I802" s="726">
        <f t="shared" si="765"/>
        <v>-850.40325694908825</v>
      </c>
      <c r="J802" s="726">
        <f t="shared" si="765"/>
        <v>-2867.8822151477871</v>
      </c>
      <c r="K802" s="726">
        <f t="shared" si="765"/>
        <v>-5095.997860059877</v>
      </c>
      <c r="L802" s="726">
        <f t="shared" si="765"/>
        <v>-7340.8629845187752</v>
      </c>
      <c r="M802" s="726">
        <f t="shared" si="765"/>
        <v>-9607.1167917960411</v>
      </c>
      <c r="N802" s="726">
        <f t="shared" si="765"/>
        <v>-11907.803870509662</v>
      </c>
      <c r="O802" s="726">
        <f t="shared" si="765"/>
        <v>-14260.851168814603</v>
      </c>
      <c r="P802" s="726">
        <f t="shared" si="765"/>
        <v>-15559.913352594049</v>
      </c>
      <c r="Q802" s="726">
        <f t="shared" si="765"/>
        <v>-16947.358022553133</v>
      </c>
      <c r="R802" s="726">
        <f t="shared" si="765"/>
        <v>-18369.36251461762</v>
      </c>
      <c r="S802" s="726">
        <f t="shared" si="765"/>
        <v>-19829.087388083295</v>
      </c>
      <c r="T802" s="726">
        <f t="shared" si="765"/>
        <v>-21338.376664639058</v>
      </c>
      <c r="U802" s="726">
        <f t="shared" si="765"/>
        <v>-22646.201510794766</v>
      </c>
      <c r="V802" s="726">
        <f t="shared" si="765"/>
        <v>-23818.496215300154</v>
      </c>
      <c r="W802" s="726">
        <f t="shared" si="765"/>
        <v>-25032.832036815278</v>
      </c>
      <c r="X802" s="726">
        <f t="shared" si="765"/>
        <v>-26290.274407833902</v>
      </c>
      <c r="Y802" s="726">
        <f t="shared" si="765"/>
        <v>-27598.922275187462</v>
      </c>
      <c r="Z802" s="726">
        <f t="shared" si="765"/>
        <v>-28410.578028027681</v>
      </c>
      <c r="AA802" s="726">
        <f t="shared" si="765"/>
        <v>-29211.941794866609</v>
      </c>
      <c r="AB802" s="726">
        <f t="shared" si="765"/>
        <v>-30086.505550230198</v>
      </c>
      <c r="AC802" s="726">
        <f t="shared" si="765"/>
        <v>-31043.250267976102</v>
      </c>
      <c r="AD802" s="726">
        <f t="shared" si="765"/>
        <v>-32092.156374078746</v>
      </c>
      <c r="AE802" s="726">
        <f t="shared" si="765"/>
        <v>-33248.007693252926</v>
      </c>
      <c r="AF802" s="726">
        <f t="shared" si="765"/>
        <v>-34516.763395373986</v>
      </c>
      <c r="AG802" s="727">
        <f t="shared" si="765"/>
        <v>-35915.074295507635</v>
      </c>
      <c r="AH802" s="18"/>
      <c r="AI802" s="18"/>
      <c r="AJ802" s="18"/>
      <c r="AK802" s="18"/>
      <c r="AL802" s="18"/>
      <c r="AM802" s="18"/>
      <c r="AN802" s="18"/>
    </row>
    <row r="803" spans="1:40" ht="21.95" customHeight="1" thickBot="1" x14ac:dyDescent="0.25">
      <c r="B803" s="705"/>
      <c r="C803" s="715"/>
      <c r="D803" s="715"/>
      <c r="E803" s="1339"/>
      <c r="F803" s="116" t="s">
        <v>345</v>
      </c>
      <c r="G803" s="116" t="s">
        <v>323</v>
      </c>
      <c r="H803" s="726">
        <f t="shared" ref="H803:AG803" si="766">H739-H248</f>
        <v>0</v>
      </c>
      <c r="I803" s="726">
        <f t="shared" si="766"/>
        <v>523.66457834956236</v>
      </c>
      <c r="J803" s="726">
        <f t="shared" si="766"/>
        <v>-6029.5549723370932</v>
      </c>
      <c r="K803" s="726">
        <f t="shared" si="766"/>
        <v>-11831.107030805026</v>
      </c>
      <c r="L803" s="726">
        <f t="shared" si="766"/>
        <v>-17709.549438273069</v>
      </c>
      <c r="M803" s="726">
        <f t="shared" si="766"/>
        <v>-23694.822605347144</v>
      </c>
      <c r="N803" s="726">
        <f t="shared" si="766"/>
        <v>-29866.099457774428</v>
      </c>
      <c r="O803" s="726">
        <f t="shared" si="766"/>
        <v>-36322.921691473224</v>
      </c>
      <c r="P803" s="726">
        <f t="shared" si="766"/>
        <v>-34663.941044264589</v>
      </c>
      <c r="Q803" s="726">
        <f t="shared" si="766"/>
        <v>-33051.972375060897</v>
      </c>
      <c r="R803" s="726">
        <f t="shared" si="766"/>
        <v>-31485.473154179985</v>
      </c>
      <c r="S803" s="726">
        <f t="shared" si="766"/>
        <v>-29962.986704543815</v>
      </c>
      <c r="T803" s="726">
        <f t="shared" si="766"/>
        <v>-28474.536886087153</v>
      </c>
      <c r="U803" s="726">
        <f t="shared" si="766"/>
        <v>-27795.909297240665</v>
      </c>
      <c r="V803" s="726">
        <f t="shared" si="766"/>
        <v>-27869.246982895071</v>
      </c>
      <c r="W803" s="726">
        <f t="shared" si="766"/>
        <v>-28007.200381883769</v>
      </c>
      <c r="X803" s="726">
        <f t="shared" si="766"/>
        <v>-28214.724727855995</v>
      </c>
      <c r="Y803" s="726">
        <f t="shared" si="766"/>
        <v>-28495.060855641146</v>
      </c>
      <c r="Z803" s="726">
        <f t="shared" si="766"/>
        <v>-28856.919330523</v>
      </c>
      <c r="AA803" s="726">
        <f t="shared" si="766"/>
        <v>-29301.723898804048</v>
      </c>
      <c r="AB803" s="726">
        <f t="shared" si="766"/>
        <v>-29838.386208939366</v>
      </c>
      <c r="AC803" s="726">
        <f t="shared" si="766"/>
        <v>-30470.006339945714</v>
      </c>
      <c r="AD803" s="726">
        <f t="shared" si="766"/>
        <v>-31199.155249304138</v>
      </c>
      <c r="AE803" s="726">
        <f t="shared" si="766"/>
        <v>-32034.633404825465</v>
      </c>
      <c r="AF803" s="726">
        <f t="shared" si="766"/>
        <v>-32978.419458070537</v>
      </c>
      <c r="AG803" s="727">
        <f t="shared" si="766"/>
        <v>-34031.475037409691</v>
      </c>
      <c r="AH803" s="18"/>
      <c r="AI803" s="18"/>
      <c r="AJ803" s="18"/>
      <c r="AK803" s="18"/>
      <c r="AL803" s="18"/>
      <c r="AM803" s="18"/>
      <c r="AN803" s="18"/>
    </row>
    <row r="804" spans="1:40" ht="21.95" customHeight="1" thickBot="1" x14ac:dyDescent="0.25">
      <c r="B804" s="705"/>
      <c r="C804" s="715"/>
      <c r="D804" s="715"/>
      <c r="E804" s="1339"/>
      <c r="F804" s="116" t="s">
        <v>323</v>
      </c>
      <c r="G804" s="116" t="s">
        <v>347</v>
      </c>
      <c r="H804" s="726">
        <f t="shared" ref="H804:AG804" si="767">H740-H249</f>
        <v>0</v>
      </c>
      <c r="I804" s="726">
        <f t="shared" si="767"/>
        <v>29.710914881798089</v>
      </c>
      <c r="J804" s="726">
        <f t="shared" si="767"/>
        <v>59.650759933603695</v>
      </c>
      <c r="K804" s="726">
        <f t="shared" si="767"/>
        <v>389.62474344672228</v>
      </c>
      <c r="L804" s="726">
        <f t="shared" si="767"/>
        <v>722.20704987521458</v>
      </c>
      <c r="M804" s="726">
        <f t="shared" si="767"/>
        <v>1058.6940382072935</v>
      </c>
      <c r="N804" s="726">
        <f t="shared" si="767"/>
        <v>1400.6986545840191</v>
      </c>
      <c r="O804" s="726">
        <f t="shared" si="767"/>
        <v>1751.5925183315994</v>
      </c>
      <c r="P804" s="726">
        <f t="shared" si="767"/>
        <v>2316.0535045585275</v>
      </c>
      <c r="Q804" s="726">
        <f t="shared" si="767"/>
        <v>2898.7347979343322</v>
      </c>
      <c r="R804" s="726">
        <f t="shared" si="767"/>
        <v>3505.3043233248609</v>
      </c>
      <c r="S804" s="726">
        <f t="shared" si="767"/>
        <v>4144.0141840838478</v>
      </c>
      <c r="T804" s="726">
        <f t="shared" si="767"/>
        <v>4825.5738047305786</v>
      </c>
      <c r="U804" s="726">
        <f t="shared" si="767"/>
        <v>5188.3427574585367</v>
      </c>
      <c r="V804" s="726">
        <f t="shared" si="767"/>
        <v>5327.1212846156268</v>
      </c>
      <c r="W804" s="726">
        <f t="shared" si="767"/>
        <v>5482.446977109561</v>
      </c>
      <c r="X804" s="726">
        <f t="shared" si="767"/>
        <v>5656.5359518219047</v>
      </c>
      <c r="Y804" s="726">
        <f t="shared" si="767"/>
        <v>5852.0494467548706</v>
      </c>
      <c r="Z804" s="726">
        <f t="shared" si="767"/>
        <v>6071.3810002442333</v>
      </c>
      <c r="AA804" s="726">
        <f t="shared" si="767"/>
        <v>6317.9867591040966</v>
      </c>
      <c r="AB804" s="726">
        <f t="shared" si="767"/>
        <v>6594.8842379380949</v>
      </c>
      <c r="AC804" s="726">
        <f t="shared" si="767"/>
        <v>6906.0606803276751</v>
      </c>
      <c r="AD804" s="726">
        <f t="shared" si="767"/>
        <v>7255.9601608191588</v>
      </c>
      <c r="AE804" s="726">
        <f t="shared" si="767"/>
        <v>7648.7730441382446</v>
      </c>
      <c r="AF804" s="726">
        <f t="shared" si="767"/>
        <v>8089.8731191068073</v>
      </c>
      <c r="AG804" s="727">
        <f t="shared" si="767"/>
        <v>8585.234842158301</v>
      </c>
      <c r="AH804" s="18"/>
      <c r="AI804" s="18"/>
      <c r="AJ804" s="18"/>
      <c r="AK804" s="18"/>
      <c r="AL804" s="18"/>
      <c r="AM804" s="18"/>
      <c r="AN804" s="18"/>
    </row>
    <row r="805" spans="1:40" ht="21.95" customHeight="1" thickBot="1" x14ac:dyDescent="0.25">
      <c r="B805" s="705"/>
      <c r="C805" s="715"/>
      <c r="D805" s="715"/>
      <c r="E805" s="1339"/>
      <c r="F805" s="116" t="s">
        <v>347</v>
      </c>
      <c r="G805" s="116" t="s">
        <v>348</v>
      </c>
      <c r="H805" s="726">
        <f t="shared" ref="H805:AG805" si="768">H741-H250</f>
        <v>0</v>
      </c>
      <c r="I805" s="726">
        <f t="shared" si="768"/>
        <v>24.376527734064439</v>
      </c>
      <c r="J805" s="726">
        <f t="shared" si="768"/>
        <v>48.984801664933912</v>
      </c>
      <c r="K805" s="726">
        <f t="shared" si="768"/>
        <v>320.42681052070111</v>
      </c>
      <c r="L805" s="726">
        <f t="shared" si="768"/>
        <v>595.1379956677556</v>
      </c>
      <c r="M805" s="726">
        <f t="shared" si="768"/>
        <v>874.79743151673756</v>
      </c>
      <c r="N805" s="726">
        <f t="shared" si="768"/>
        <v>1161.5972270964994</v>
      </c>
      <c r="O805" s="726">
        <f t="shared" si="768"/>
        <v>1459.5268660057627</v>
      </c>
      <c r="P805" s="726">
        <f t="shared" si="768"/>
        <v>1939.802579876472</v>
      </c>
      <c r="Q805" s="726">
        <f t="shared" si="768"/>
        <v>2443.2165591873199</v>
      </c>
      <c r="R805" s="726">
        <f t="shared" si="768"/>
        <v>2977.2462169334467</v>
      </c>
      <c r="S805" s="726">
        <f t="shared" si="768"/>
        <v>3552.3048397742823</v>
      </c>
      <c r="T805" s="726">
        <f t="shared" si="768"/>
        <v>4181.8458306360408</v>
      </c>
      <c r="U805" s="726">
        <f t="shared" si="768"/>
        <v>4540.9843868248863</v>
      </c>
      <c r="V805" s="726">
        <f t="shared" si="768"/>
        <v>4704.5919215072208</v>
      </c>
      <c r="W805" s="726">
        <f t="shared" si="768"/>
        <v>4889.322853355101</v>
      </c>
      <c r="X805" s="726">
        <f t="shared" si="768"/>
        <v>5098.0061815415247</v>
      </c>
      <c r="Y805" s="726">
        <f t="shared" si="768"/>
        <v>5333.9786314741359</v>
      </c>
      <c r="Z805" s="726">
        <f t="shared" si="768"/>
        <v>5600.4166832549381</v>
      </c>
      <c r="AA805" s="726">
        <f t="shared" si="768"/>
        <v>5901.6113123974064</v>
      </c>
      <c r="AB805" s="726">
        <f t="shared" si="768"/>
        <v>6241.5355401789275</v>
      </c>
      <c r="AC805" s="726">
        <f t="shared" si="768"/>
        <v>6625.2188135050092</v>
      </c>
      <c r="AD805" s="726">
        <f t="shared" si="768"/>
        <v>7058.2737499758805</v>
      </c>
      <c r="AE805" s="726">
        <f t="shared" si="768"/>
        <v>7546.1705807198014</v>
      </c>
      <c r="AF805" s="726">
        <f t="shared" si="768"/>
        <v>8095.7087564589165</v>
      </c>
      <c r="AG805" s="727">
        <f t="shared" si="768"/>
        <v>8714.4545142660063</v>
      </c>
      <c r="AH805" s="18"/>
      <c r="AI805" s="18"/>
      <c r="AJ805" s="18"/>
      <c r="AK805" s="18"/>
      <c r="AL805" s="18"/>
      <c r="AM805" s="18"/>
      <c r="AN805" s="18"/>
    </row>
    <row r="806" spans="1:40" ht="21.95" customHeight="1" thickBot="1" x14ac:dyDescent="0.25">
      <c r="B806" s="705"/>
      <c r="C806" s="715"/>
      <c r="D806" s="715"/>
      <c r="E806" s="1353"/>
      <c r="F806" s="254" t="s">
        <v>348</v>
      </c>
      <c r="G806" s="254" t="s">
        <v>349</v>
      </c>
      <c r="H806" s="726">
        <f t="shared" ref="H806:AG806" si="769">H742-H251</f>
        <v>0</v>
      </c>
      <c r="I806" s="726">
        <f t="shared" si="769"/>
        <v>0</v>
      </c>
      <c r="J806" s="726">
        <f t="shared" si="769"/>
        <v>0</v>
      </c>
      <c r="K806" s="726">
        <f t="shared" si="769"/>
        <v>0</v>
      </c>
      <c r="L806" s="726">
        <f t="shared" si="769"/>
        <v>0</v>
      </c>
      <c r="M806" s="726">
        <f t="shared" si="769"/>
        <v>0</v>
      </c>
      <c r="N806" s="726">
        <f t="shared" si="769"/>
        <v>0</v>
      </c>
      <c r="O806" s="726">
        <f t="shared" si="769"/>
        <v>0</v>
      </c>
      <c r="P806" s="726">
        <f t="shared" si="769"/>
        <v>0</v>
      </c>
      <c r="Q806" s="726">
        <f t="shared" si="769"/>
        <v>0</v>
      </c>
      <c r="R806" s="726">
        <f t="shared" si="769"/>
        <v>0</v>
      </c>
      <c r="S806" s="726">
        <f t="shared" si="769"/>
        <v>0</v>
      </c>
      <c r="T806" s="726">
        <f t="shared" si="769"/>
        <v>0</v>
      </c>
      <c r="U806" s="726">
        <f t="shared" si="769"/>
        <v>0</v>
      </c>
      <c r="V806" s="726">
        <f t="shared" si="769"/>
        <v>0</v>
      </c>
      <c r="W806" s="726">
        <f t="shared" si="769"/>
        <v>0</v>
      </c>
      <c r="X806" s="726">
        <f t="shared" si="769"/>
        <v>0</v>
      </c>
      <c r="Y806" s="726">
        <f t="shared" si="769"/>
        <v>0</v>
      </c>
      <c r="Z806" s="726">
        <f t="shared" si="769"/>
        <v>0</v>
      </c>
      <c r="AA806" s="726">
        <f t="shared" si="769"/>
        <v>0</v>
      </c>
      <c r="AB806" s="726">
        <f t="shared" si="769"/>
        <v>0</v>
      </c>
      <c r="AC806" s="726">
        <f t="shared" si="769"/>
        <v>0</v>
      </c>
      <c r="AD806" s="726">
        <f t="shared" si="769"/>
        <v>0</v>
      </c>
      <c r="AE806" s="726">
        <f t="shared" si="769"/>
        <v>0</v>
      </c>
      <c r="AF806" s="726">
        <f t="shared" si="769"/>
        <v>0</v>
      </c>
      <c r="AG806" s="727">
        <f t="shared" si="769"/>
        <v>0</v>
      </c>
      <c r="AH806" s="18"/>
      <c r="AI806" s="18"/>
      <c r="AJ806" s="18"/>
      <c r="AK806" s="18"/>
      <c r="AL806" s="18"/>
      <c r="AM806" s="18"/>
      <c r="AN806" s="18"/>
    </row>
    <row r="807" spans="1:40" ht="21.95" customHeight="1" thickBot="1" x14ac:dyDescent="0.25">
      <c r="B807" s="705"/>
      <c r="C807" s="715"/>
      <c r="D807" s="715"/>
      <c r="E807" s="116" t="s">
        <v>288</v>
      </c>
      <c r="F807" s="116" t="s">
        <v>323</v>
      </c>
      <c r="G807" s="116" t="s">
        <v>348</v>
      </c>
      <c r="H807" s="726">
        <f t="shared" ref="H807:AG807" si="770">H743-H252</f>
        <v>881.83089254867809</v>
      </c>
      <c r="I807" s="726">
        <f t="shared" si="770"/>
        <v>1503.247520875826</v>
      </c>
      <c r="J807" s="726">
        <f t="shared" si="770"/>
        <v>2142.8537013034293</v>
      </c>
      <c r="K807" s="726">
        <f t="shared" si="770"/>
        <v>488.0406623220515</v>
      </c>
      <c r="L807" s="726">
        <f t="shared" si="770"/>
        <v>-1166.6471689376776</v>
      </c>
      <c r="M807" s="726">
        <f t="shared" si="770"/>
        <v>-2820.3251758321348</v>
      </c>
      <c r="N807" s="726">
        <f t="shared" si="770"/>
        <v>-4475.6134530849013</v>
      </c>
      <c r="O807" s="726">
        <f t="shared" si="770"/>
        <v>-6133.0714306617956</v>
      </c>
      <c r="P807" s="726">
        <f t="shared" si="770"/>
        <v>-9397.0798982609267</v>
      </c>
      <c r="Q807" s="726">
        <f t="shared" si="770"/>
        <v>-12671.142564716785</v>
      </c>
      <c r="R807" s="726">
        <f t="shared" si="770"/>
        <v>-15968.456563669621</v>
      </c>
      <c r="S807" s="726">
        <f t="shared" si="770"/>
        <v>-19318.254891966615</v>
      </c>
      <c r="T807" s="726">
        <f t="shared" si="770"/>
        <v>-22778.782874391749</v>
      </c>
      <c r="U807" s="726">
        <f t="shared" si="770"/>
        <v>-23910.340164561218</v>
      </c>
      <c r="V807" s="726">
        <f t="shared" si="770"/>
        <v>-23357.436511962282</v>
      </c>
      <c r="W807" s="726">
        <f t="shared" si="770"/>
        <v>-22812.615643845944</v>
      </c>
      <c r="X807" s="726">
        <f t="shared" si="770"/>
        <v>-22276.727702625562</v>
      </c>
      <c r="Y807" s="726">
        <f t="shared" si="770"/>
        <v>-21750.088761826388</v>
      </c>
      <c r="Z807" s="726">
        <f t="shared" si="770"/>
        <v>-21234.943816696832</v>
      </c>
      <c r="AA807" s="726">
        <f t="shared" si="770"/>
        <v>-20729.145144641152</v>
      </c>
      <c r="AB807" s="726">
        <f t="shared" si="770"/>
        <v>-20239.165935673489</v>
      </c>
      <c r="AC807" s="726">
        <f t="shared" si="770"/>
        <v>-19763.671381728971</v>
      </c>
      <c r="AD807" s="726">
        <f t="shared" si="770"/>
        <v>-19303.543990013786</v>
      </c>
      <c r="AE807" s="726">
        <f t="shared" si="770"/>
        <v>-18861.423666463204</v>
      </c>
      <c r="AF807" s="726">
        <f t="shared" si="770"/>
        <v>-18438.430162189557</v>
      </c>
      <c r="AG807" s="727">
        <f t="shared" si="770"/>
        <v>-18033.861574723793</v>
      </c>
      <c r="AH807" s="18"/>
      <c r="AI807" s="18"/>
      <c r="AJ807" s="18"/>
      <c r="AK807" s="18"/>
      <c r="AL807" s="18"/>
      <c r="AM807" s="18"/>
      <c r="AN807" s="18"/>
    </row>
    <row r="808" spans="1:40" ht="21.95" customHeight="1" thickBot="1" x14ac:dyDescent="0.25">
      <c r="B808" s="705"/>
      <c r="C808" s="715"/>
      <c r="D808" s="715"/>
      <c r="E808" s="277" t="s">
        <v>340</v>
      </c>
      <c r="F808" s="277" t="s">
        <v>335</v>
      </c>
      <c r="G808" s="277" t="s">
        <v>323</v>
      </c>
      <c r="H808" s="726" t="e">
        <f t="shared" ref="H808:AG808" si="771">H744-H253</f>
        <v>#DIV/0!</v>
      </c>
      <c r="I808" s="726" t="e">
        <f t="shared" si="771"/>
        <v>#DIV/0!</v>
      </c>
      <c r="J808" s="726" t="e">
        <f t="shared" si="771"/>
        <v>#DIV/0!</v>
      </c>
      <c r="K808" s="726" t="e">
        <f t="shared" si="771"/>
        <v>#DIV/0!</v>
      </c>
      <c r="L808" s="726" t="e">
        <f t="shared" si="771"/>
        <v>#DIV/0!</v>
      </c>
      <c r="M808" s="726" t="e">
        <f t="shared" si="771"/>
        <v>#DIV/0!</v>
      </c>
      <c r="N808" s="726" t="e">
        <f t="shared" si="771"/>
        <v>#DIV/0!</v>
      </c>
      <c r="O808" s="726" t="e">
        <f t="shared" si="771"/>
        <v>#DIV/0!</v>
      </c>
      <c r="P808" s="726" t="e">
        <f t="shared" si="771"/>
        <v>#DIV/0!</v>
      </c>
      <c r="Q808" s="726" t="e">
        <f t="shared" si="771"/>
        <v>#DIV/0!</v>
      </c>
      <c r="R808" s="726" t="e">
        <f t="shared" si="771"/>
        <v>#DIV/0!</v>
      </c>
      <c r="S808" s="726" t="e">
        <f t="shared" si="771"/>
        <v>#DIV/0!</v>
      </c>
      <c r="T808" s="726" t="e">
        <f t="shared" si="771"/>
        <v>#DIV/0!</v>
      </c>
      <c r="U808" s="726" t="e">
        <f t="shared" si="771"/>
        <v>#DIV/0!</v>
      </c>
      <c r="V808" s="726" t="e">
        <f t="shared" si="771"/>
        <v>#DIV/0!</v>
      </c>
      <c r="W808" s="726" t="e">
        <f t="shared" si="771"/>
        <v>#DIV/0!</v>
      </c>
      <c r="X808" s="726" t="e">
        <f t="shared" si="771"/>
        <v>#DIV/0!</v>
      </c>
      <c r="Y808" s="726" t="e">
        <f t="shared" si="771"/>
        <v>#DIV/0!</v>
      </c>
      <c r="Z808" s="726" t="e">
        <f t="shared" si="771"/>
        <v>#DIV/0!</v>
      </c>
      <c r="AA808" s="726" t="e">
        <f t="shared" si="771"/>
        <v>#DIV/0!</v>
      </c>
      <c r="AB808" s="726" t="e">
        <f t="shared" si="771"/>
        <v>#DIV/0!</v>
      </c>
      <c r="AC808" s="726" t="e">
        <f t="shared" si="771"/>
        <v>#DIV/0!</v>
      </c>
      <c r="AD808" s="726" t="e">
        <f t="shared" si="771"/>
        <v>#DIV/0!</v>
      </c>
      <c r="AE808" s="726" t="e">
        <f t="shared" si="771"/>
        <v>#DIV/0!</v>
      </c>
      <c r="AF808" s="726" t="e">
        <f t="shared" si="771"/>
        <v>#DIV/0!</v>
      </c>
      <c r="AG808" s="727" t="e">
        <f t="shared" si="771"/>
        <v>#DIV/0!</v>
      </c>
      <c r="AH808" s="18"/>
      <c r="AI808" s="18"/>
      <c r="AJ808" s="18"/>
      <c r="AK808" s="18"/>
      <c r="AL808" s="18"/>
      <c r="AM808" s="18"/>
      <c r="AN808" s="18"/>
    </row>
    <row r="809" spans="1:40" ht="21.95" customHeight="1" thickBot="1" x14ac:dyDescent="0.25">
      <c r="B809" s="705"/>
      <c r="C809" s="715"/>
      <c r="D809" s="715"/>
      <c r="E809" s="277" t="s">
        <v>357</v>
      </c>
      <c r="F809" s="277" t="s">
        <v>338</v>
      </c>
      <c r="G809" s="277" t="s">
        <v>323</v>
      </c>
      <c r="H809" s="726">
        <f t="shared" ref="H809:AG809" si="772">H745-H254</f>
        <v>0</v>
      </c>
      <c r="I809" s="726">
        <f t="shared" si="772"/>
        <v>-65.921912804813473</v>
      </c>
      <c r="J809" s="726">
        <f t="shared" si="772"/>
        <v>-129.42067434794444</v>
      </c>
      <c r="K809" s="726">
        <f t="shared" si="772"/>
        <v>-2183.956981537398</v>
      </c>
      <c r="L809" s="726">
        <f t="shared" si="772"/>
        <v>-4241.9862040008011</v>
      </c>
      <c r="M809" s="726">
        <f t="shared" si="772"/>
        <v>-6309.2246539809712</v>
      </c>
      <c r="N809" s="726">
        <f t="shared" si="772"/>
        <v>-8388.0563256912865</v>
      </c>
      <c r="O809" s="726">
        <f t="shared" si="772"/>
        <v>-10490.629324432535</v>
      </c>
      <c r="P809" s="726">
        <f t="shared" si="772"/>
        <v>-13654.223331220826</v>
      </c>
      <c r="Q809" s="726">
        <f t="shared" si="772"/>
        <v>-16927.713116521867</v>
      </c>
      <c r="R809" s="726">
        <f t="shared" si="772"/>
        <v>-20398.413191751519</v>
      </c>
      <c r="S809" s="726">
        <f t="shared" si="772"/>
        <v>-24200.464072297509</v>
      </c>
      <c r="T809" s="726">
        <f t="shared" si="772"/>
        <v>-28553.11933353066</v>
      </c>
      <c r="U809" s="726">
        <f t="shared" si="772"/>
        <v>-30364.526911623456</v>
      </c>
      <c r="V809" s="726">
        <f t="shared" si="772"/>
        <v>-30751.615350838925</v>
      </c>
      <c r="W809" s="726">
        <f t="shared" si="772"/>
        <v>-31163.832700063467</v>
      </c>
      <c r="X809" s="726">
        <f t="shared" si="772"/>
        <v>-31602.938738240424</v>
      </c>
      <c r="Y809" s="726">
        <f t="shared" si="772"/>
        <v>-32069.148745121849</v>
      </c>
      <c r="Z809" s="726">
        <f t="shared" si="772"/>
        <v>-32567.788283181711</v>
      </c>
      <c r="AA809" s="726">
        <f t="shared" si="772"/>
        <v>-33099.341286424606</v>
      </c>
      <c r="AB809" s="726">
        <f t="shared" si="772"/>
        <v>-33665.913992303787</v>
      </c>
      <c r="AC809" s="726">
        <f t="shared" si="772"/>
        <v>-34269.884161906397</v>
      </c>
      <c r="AD809" s="726">
        <f t="shared" si="772"/>
        <v>-34912.437494929938</v>
      </c>
      <c r="AE809" s="726">
        <f t="shared" si="772"/>
        <v>-35598.902815461275</v>
      </c>
      <c r="AF809" s="726">
        <f t="shared" si="772"/>
        <v>-36330.688471757909</v>
      </c>
      <c r="AG809" s="727">
        <f t="shared" si="772"/>
        <v>-37111.334502184116</v>
      </c>
      <c r="AH809" s="18"/>
      <c r="AI809" s="18"/>
      <c r="AJ809" s="18"/>
      <c r="AK809" s="18"/>
      <c r="AL809" s="18"/>
      <c r="AM809" s="18"/>
      <c r="AN809" s="18"/>
    </row>
    <row r="810" spans="1:40" ht="21.95" customHeight="1" thickBot="1" x14ac:dyDescent="0.25">
      <c r="B810" s="705"/>
      <c r="C810" s="715"/>
      <c r="D810" s="715"/>
      <c r="E810" s="116" t="s">
        <v>338</v>
      </c>
      <c r="F810" s="116" t="s">
        <v>282</v>
      </c>
      <c r="G810" s="116" t="s">
        <v>357</v>
      </c>
      <c r="H810" s="726">
        <f t="shared" ref="H810:AG810" si="773">H746-H255</f>
        <v>0</v>
      </c>
      <c r="I810" s="726">
        <f t="shared" si="773"/>
        <v>-654.2648470501299</v>
      </c>
      <c r="J810" s="726">
        <f t="shared" si="773"/>
        <v>-1310.3305911369389</v>
      </c>
      <c r="K810" s="726">
        <f t="shared" si="773"/>
        <v>-4943.9411715206807</v>
      </c>
      <c r="L810" s="726">
        <f t="shared" si="773"/>
        <v>-8578.7393285453145</v>
      </c>
      <c r="M810" s="726">
        <f t="shared" si="773"/>
        <v>-12215.990876454729</v>
      </c>
      <c r="N810" s="726">
        <f t="shared" si="773"/>
        <v>-15849.69169966066</v>
      </c>
      <c r="O810" s="726">
        <f t="shared" si="773"/>
        <v>-19488.649370922591</v>
      </c>
      <c r="P810" s="726">
        <f t="shared" si="773"/>
        <v>-25172.147740762011</v>
      </c>
      <c r="Q810" s="726">
        <f t="shared" si="773"/>
        <v>-30857.785956303167</v>
      </c>
      <c r="R810" s="726">
        <f t="shared" si="773"/>
        <v>-36542.936476900242</v>
      </c>
      <c r="S810" s="726">
        <f t="shared" si="773"/>
        <v>-42230.027170689849</v>
      </c>
      <c r="T810" s="726">
        <f t="shared" si="773"/>
        <v>-47927.069228787805</v>
      </c>
      <c r="U810" s="726">
        <f t="shared" si="773"/>
        <v>-50635.381734474809</v>
      </c>
      <c r="V810" s="726">
        <f t="shared" si="773"/>
        <v>-51294.276319420809</v>
      </c>
      <c r="W810" s="726">
        <f t="shared" si="773"/>
        <v>-51954.015284546331</v>
      </c>
      <c r="X810" s="726">
        <f t="shared" si="773"/>
        <v>-52614.734791634051</v>
      </c>
      <c r="Y810" s="726">
        <f t="shared" si="773"/>
        <v>-53278.395112978469</v>
      </c>
      <c r="Z810" s="726">
        <f t="shared" si="773"/>
        <v>-53941.563810808584</v>
      </c>
      <c r="AA810" s="726">
        <f t="shared" si="773"/>
        <v>-54608.052686525538</v>
      </c>
      <c r="AB810" s="726">
        <f t="shared" si="773"/>
        <v>-55274.477086582221</v>
      </c>
      <c r="AC810" s="726">
        <f t="shared" si="773"/>
        <v>-55942.900403852691</v>
      </c>
      <c r="AD810" s="726">
        <f t="shared" si="773"/>
        <v>-56615.423853337823</v>
      </c>
      <c r="AE810" s="726">
        <f t="shared" si="773"/>
        <v>-57288.756453095819</v>
      </c>
      <c r="AF810" s="726">
        <f t="shared" si="773"/>
        <v>-57965.076229072089</v>
      </c>
      <c r="AG810" s="727">
        <f t="shared" si="773"/>
        <v>-58646.613468210358</v>
      </c>
      <c r="AH810" s="18"/>
      <c r="AI810" s="18"/>
      <c r="AJ810" s="18"/>
      <c r="AK810" s="18"/>
      <c r="AL810" s="18"/>
      <c r="AM810" s="18"/>
      <c r="AN810" s="18"/>
    </row>
    <row r="811" spans="1:40" ht="21.95" customHeight="1" thickBot="1" x14ac:dyDescent="0.25">
      <c r="B811" s="705"/>
      <c r="C811" s="715"/>
      <c r="D811" s="715"/>
      <c r="E811" s="116"/>
      <c r="F811" s="116" t="s">
        <v>357</v>
      </c>
      <c r="G811" s="116" t="s">
        <v>346</v>
      </c>
      <c r="H811" s="726">
        <f t="shared" ref="H811:AG811" si="774">H747-H256</f>
        <v>0</v>
      </c>
      <c r="I811" s="726">
        <f t="shared" si="774"/>
        <v>-82.128157984434438</v>
      </c>
      <c r="J811" s="726">
        <f t="shared" si="774"/>
        <v>-164.571331690644</v>
      </c>
      <c r="K811" s="726">
        <f t="shared" si="774"/>
        <v>-504.70944623348623</v>
      </c>
      <c r="L811" s="726">
        <f t="shared" si="774"/>
        <v>-845.08763748643469</v>
      </c>
      <c r="M811" s="726">
        <f t="shared" si="774"/>
        <v>-1185.4809546592205</v>
      </c>
      <c r="N811" s="726">
        <f t="shared" si="774"/>
        <v>-1525.6194831081229</v>
      </c>
      <c r="O811" s="726">
        <f t="shared" si="774"/>
        <v>-1866.4334138136892</v>
      </c>
      <c r="P811" s="726">
        <f t="shared" si="774"/>
        <v>-2459.0334906264943</v>
      </c>
      <c r="Q811" s="726">
        <f t="shared" si="774"/>
        <v>-3052.0558934166293</v>
      </c>
      <c r="R811" s="726">
        <f t="shared" si="774"/>
        <v>-3644.5124106963267</v>
      </c>
      <c r="S811" s="726">
        <f t="shared" si="774"/>
        <v>-4237.1260793069596</v>
      </c>
      <c r="T811" s="726">
        <f t="shared" si="774"/>
        <v>-4830.5617462964583</v>
      </c>
      <c r="U811" s="726">
        <f t="shared" si="774"/>
        <v>-5164.90741196409</v>
      </c>
      <c r="V811" s="726">
        <f t="shared" si="774"/>
        <v>-5247.0544037356231</v>
      </c>
      <c r="W811" s="726">
        <f t="shared" si="774"/>
        <v>-5329.2049489165438</v>
      </c>
      <c r="X811" s="726">
        <f t="shared" si="774"/>
        <v>-5411.3596399756789</v>
      </c>
      <c r="Y811" s="726">
        <f t="shared" si="774"/>
        <v>-5493.8341821174545</v>
      </c>
      <c r="Z811" s="726">
        <f t="shared" si="774"/>
        <v>-5575.9992999328679</v>
      </c>
      <c r="AA811" s="726">
        <f t="shared" si="774"/>
        <v>-5658.4859346032608</v>
      </c>
      <c r="AB811" s="726">
        <f t="shared" si="774"/>
        <v>-5740.665031323686</v>
      </c>
      <c r="AC811" s="726">
        <f t="shared" si="774"/>
        <v>-5822.8527623877126</v>
      </c>
      <c r="AD811" s="726">
        <f t="shared" si="774"/>
        <v>-5905.3654676373335</v>
      </c>
      <c r="AE811" s="726">
        <f t="shared" si="774"/>
        <v>-5987.5745289095794</v>
      </c>
      <c r="AF811" s="726">
        <f t="shared" si="774"/>
        <v>-6069.7966406607629</v>
      </c>
      <c r="AG811" s="727">
        <f t="shared" si="774"/>
        <v>-6152.3487303774491</v>
      </c>
      <c r="AH811" s="18"/>
      <c r="AI811" s="18"/>
      <c r="AJ811" s="18"/>
      <c r="AK811" s="18"/>
      <c r="AL811" s="18"/>
      <c r="AM811" s="18"/>
      <c r="AN811" s="18"/>
    </row>
    <row r="812" spans="1:40" ht="21.95" customHeight="1" thickBot="1" x14ac:dyDescent="0.25">
      <c r="B812" s="705"/>
      <c r="C812" s="715"/>
      <c r="D812" s="715"/>
      <c r="E812" s="116"/>
      <c r="F812" s="116" t="s">
        <v>346</v>
      </c>
      <c r="G812" s="116" t="s">
        <v>343</v>
      </c>
      <c r="H812" s="726">
        <f t="shared" ref="H812:AG812" si="775">H748-H257</f>
        <v>0</v>
      </c>
      <c r="I812" s="726">
        <f t="shared" si="775"/>
        <v>-24.737266036741403</v>
      </c>
      <c r="J812" s="726">
        <f t="shared" si="775"/>
        <v>-49.569417695055563</v>
      </c>
      <c r="K812" s="726">
        <f t="shared" si="775"/>
        <v>-152.02013313438238</v>
      </c>
      <c r="L812" s="726">
        <f t="shared" si="775"/>
        <v>-254.54319542421536</v>
      </c>
      <c r="M812" s="726">
        <f t="shared" si="775"/>
        <v>-357.07087864709683</v>
      </c>
      <c r="N812" s="726">
        <f t="shared" si="775"/>
        <v>-459.5219332571105</v>
      </c>
      <c r="O812" s="726">
        <f t="shared" si="775"/>
        <v>-562.17661621725983</v>
      </c>
      <c r="P812" s="726">
        <f t="shared" si="775"/>
        <v>-740.67085731895168</v>
      </c>
      <c r="Q812" s="726">
        <f t="shared" si="775"/>
        <v>-919.2935014013774</v>
      </c>
      <c r="R812" s="726">
        <f t="shared" si="775"/>
        <v>-1097.7478425768641</v>
      </c>
      <c r="S812" s="726">
        <f t="shared" si="775"/>
        <v>-1276.253221324806</v>
      </c>
      <c r="T812" s="726">
        <f t="shared" si="775"/>
        <v>-1455.0123904802385</v>
      </c>
      <c r="U812" s="726">
        <f t="shared" si="775"/>
        <v>-1555.732795591457</v>
      </c>
      <c r="V812" s="726">
        <f t="shared" si="775"/>
        <v>-1580.485494763755</v>
      </c>
      <c r="W812" s="726">
        <f t="shared" si="775"/>
        <v>-1605.241105737513</v>
      </c>
      <c r="X812" s="726">
        <f t="shared" si="775"/>
        <v>-1630.0001140046616</v>
      </c>
      <c r="Y812" s="726">
        <f t="shared" si="775"/>
        <v>-1654.8579701755953</v>
      </c>
      <c r="Z812" s="726">
        <f t="shared" si="775"/>
        <v>-1679.6255225312125</v>
      </c>
      <c r="AA812" s="726">
        <f t="shared" si="775"/>
        <v>-1704.493287789066</v>
      </c>
      <c r="AB812" s="726">
        <f t="shared" si="775"/>
        <v>-1729.2722950015632</v>
      </c>
      <c r="AC812" s="726">
        <f t="shared" si="775"/>
        <v>-1754.0583775300729</v>
      </c>
      <c r="AD812" s="726">
        <f t="shared" si="775"/>
        <v>-1778.9475060316017</v>
      </c>
      <c r="AE812" s="726">
        <f t="shared" si="775"/>
        <v>-1803.7510673599527</v>
      </c>
      <c r="AF812" s="726">
        <f t="shared" si="775"/>
        <v>-1828.5653227568509</v>
      </c>
      <c r="AG812" s="727">
        <f t="shared" si="775"/>
        <v>-1853.4867244180969</v>
      </c>
      <c r="AH812" s="18"/>
      <c r="AI812" s="18"/>
      <c r="AJ812" s="18"/>
      <c r="AK812" s="18"/>
      <c r="AL812" s="18"/>
      <c r="AM812" s="18"/>
      <c r="AN812" s="18"/>
    </row>
    <row r="813" spans="1:40" ht="21.95" customHeight="1" thickBot="1" x14ac:dyDescent="0.25">
      <c r="B813" s="705"/>
      <c r="C813" s="715"/>
      <c r="D813" s="715"/>
      <c r="E813" s="116"/>
      <c r="F813" s="116" t="s">
        <v>343</v>
      </c>
      <c r="G813" s="116" t="s">
        <v>350</v>
      </c>
      <c r="H813" s="726">
        <f t="shared" ref="H813:AG813" si="776">H749-H258</f>
        <v>0</v>
      </c>
      <c r="I813" s="726">
        <f t="shared" si="776"/>
        <v>-53.582718244580974</v>
      </c>
      <c r="J813" s="726">
        <f t="shared" si="776"/>
        <v>-107.41506883108013</v>
      </c>
      <c r="K813" s="726">
        <f t="shared" si="776"/>
        <v>-335.00579788026516</v>
      </c>
      <c r="L813" s="726">
        <f t="shared" si="776"/>
        <v>-562.83148428343156</v>
      </c>
      <c r="M813" s="726">
        <f t="shared" si="776"/>
        <v>-790.51034593533223</v>
      </c>
      <c r="N813" s="726">
        <f t="shared" si="776"/>
        <v>-1018.1011318904948</v>
      </c>
      <c r="O813" s="726">
        <f t="shared" si="776"/>
        <v>-1246.2205984887933</v>
      </c>
      <c r="P813" s="726">
        <f t="shared" si="776"/>
        <v>-1597.379303389107</v>
      </c>
      <c r="Q813" s="726">
        <f t="shared" si="776"/>
        <v>-1948.978770561318</v>
      </c>
      <c r="R813" s="726">
        <f t="shared" si="776"/>
        <v>-2300.0500016402621</v>
      </c>
      <c r="S813" s="726">
        <f t="shared" si="776"/>
        <v>-2651.2099851948569</v>
      </c>
      <c r="T813" s="726">
        <f t="shared" si="776"/>
        <v>-3002.9436846544395</v>
      </c>
      <c r="U813" s="726">
        <f t="shared" si="776"/>
        <v>-3179.9644800260394</v>
      </c>
      <c r="V813" s="726">
        <f t="shared" si="776"/>
        <v>-3233.5490757780499</v>
      </c>
      <c r="W813" s="726">
        <f t="shared" si="776"/>
        <v>-3287.134036878906</v>
      </c>
      <c r="X813" s="726">
        <f t="shared" si="776"/>
        <v>-3340.7194261063669</v>
      </c>
      <c r="Y813" s="726">
        <f t="shared" si="776"/>
        <v>-3394.5549497086431</v>
      </c>
      <c r="Z813" s="726">
        <f t="shared" si="776"/>
        <v>-3448.1414227512541</v>
      </c>
      <c r="AA813" s="726">
        <f t="shared" si="776"/>
        <v>-3501.9782087059939</v>
      </c>
      <c r="AB813" s="726">
        <f t="shared" si="776"/>
        <v>-3555.5661463549004</v>
      </c>
      <c r="AC813" s="726">
        <f t="shared" si="776"/>
        <v>-3609.1549935131516</v>
      </c>
      <c r="AD813" s="726">
        <f t="shared" si="776"/>
        <v>-3662.9945274047095</v>
      </c>
      <c r="AE813" s="726">
        <f t="shared" si="776"/>
        <v>-3716.5856339965394</v>
      </c>
      <c r="AF813" s="726">
        <f t="shared" si="776"/>
        <v>-3770.1781297411944</v>
      </c>
      <c r="AG813" s="727">
        <f t="shared" si="776"/>
        <v>-3824.0218584149952</v>
      </c>
      <c r="AH813" s="18"/>
      <c r="AI813" s="18"/>
      <c r="AJ813" s="18"/>
      <c r="AK813" s="18"/>
      <c r="AL813" s="18"/>
      <c r="AM813" s="18"/>
      <c r="AN813" s="18"/>
    </row>
    <row r="814" spans="1:40" ht="21.95" customHeight="1" thickBot="1" x14ac:dyDescent="0.25">
      <c r="B814" s="705"/>
      <c r="C814" s="715"/>
      <c r="D814" s="715"/>
      <c r="E814" s="116"/>
      <c r="F814" s="116" t="s">
        <v>350</v>
      </c>
      <c r="G814" s="116" t="s">
        <v>280</v>
      </c>
      <c r="H814" s="726">
        <f t="shared" ref="H814:AG814" si="777">H750-H259</f>
        <v>0</v>
      </c>
      <c r="I814" s="726">
        <f t="shared" si="777"/>
        <v>-365.29005836130091</v>
      </c>
      <c r="J814" s="726">
        <f t="shared" si="777"/>
        <v>-732.28193544523674</v>
      </c>
      <c r="K814" s="726">
        <f t="shared" si="777"/>
        <v>-2283.8387085967406</v>
      </c>
      <c r="L814" s="726">
        <f t="shared" si="777"/>
        <v>-3836.9972167101078</v>
      </c>
      <c r="M814" s="726">
        <f t="shared" si="777"/>
        <v>-5389.1546995979152</v>
      </c>
      <c r="N814" s="726">
        <f t="shared" si="777"/>
        <v>-6940.7116153475945</v>
      </c>
      <c r="O814" s="726">
        <f t="shared" si="777"/>
        <v>-8495.8725014089723</v>
      </c>
      <c r="P814" s="726">
        <f t="shared" si="777"/>
        <v>-10889.829458562119</v>
      </c>
      <c r="Q814" s="726">
        <f t="shared" si="777"/>
        <v>-13286.790213123881</v>
      </c>
      <c r="R814" s="726">
        <f t="shared" si="777"/>
        <v>-15680.148111352071</v>
      </c>
      <c r="S814" s="726">
        <f t="shared" si="777"/>
        <v>-18074.10827262915</v>
      </c>
      <c r="T814" s="726">
        <f t="shared" si="777"/>
        <v>-20471.975187161966</v>
      </c>
      <c r="U814" s="726">
        <f t="shared" si="777"/>
        <v>-21678.770128841046</v>
      </c>
      <c r="V814" s="726">
        <f t="shared" si="777"/>
        <v>-22044.064891966336</v>
      </c>
      <c r="W814" s="726">
        <f t="shared" si="777"/>
        <v>-22409.360570603356</v>
      </c>
      <c r="X814" s="726">
        <f t="shared" si="777"/>
        <v>-22774.657322064202</v>
      </c>
      <c r="Y814" s="726">
        <f t="shared" si="777"/>
        <v>-23141.657150269981</v>
      </c>
      <c r="Z814" s="726">
        <f t="shared" si="777"/>
        <v>-23506.956617615942</v>
      </c>
      <c r="AA814" s="726">
        <f t="shared" si="777"/>
        <v>-23873.959609095691</v>
      </c>
      <c r="AB814" s="726">
        <f t="shared" si="777"/>
        <v>-24239.26274653466</v>
      </c>
      <c r="AC814" s="726">
        <f t="shared" si="777"/>
        <v>-24604.568163073403</v>
      </c>
      <c r="AD814" s="726">
        <f t="shared" si="777"/>
        <v>-24971.57804048821</v>
      </c>
      <c r="AE814" s="726">
        <f t="shared" si="777"/>
        <v>-25336.889118843043</v>
      </c>
      <c r="AF814" s="726">
        <f t="shared" si="777"/>
        <v>-25702.203678215301</v>
      </c>
      <c r="AG814" s="727">
        <f t="shared" si="777"/>
        <v>-26069.224067151954</v>
      </c>
      <c r="AH814" s="18"/>
      <c r="AI814" s="18"/>
      <c r="AJ814" s="18"/>
      <c r="AK814" s="18"/>
      <c r="AL814" s="18"/>
      <c r="AM814" s="18"/>
      <c r="AN814" s="18"/>
    </row>
    <row r="815" spans="1:40" ht="21.95" customHeight="1" thickBot="1" x14ac:dyDescent="0.25">
      <c r="B815" s="705"/>
      <c r="C815" s="715"/>
      <c r="D815" s="715"/>
      <c r="E815" s="116"/>
      <c r="F815" s="116" t="s">
        <v>280</v>
      </c>
      <c r="G815" s="116" t="s">
        <v>333</v>
      </c>
      <c r="H815" s="726">
        <f t="shared" ref="H815:AG815" si="778">H751-H260</f>
        <v>0</v>
      </c>
      <c r="I815" s="726">
        <f t="shared" si="778"/>
        <v>-9.1230782871330121</v>
      </c>
      <c r="J815" s="726">
        <f t="shared" si="778"/>
        <v>-18.288722361826785</v>
      </c>
      <c r="K815" s="726">
        <f t="shared" si="778"/>
        <v>-57.039257275483806</v>
      </c>
      <c r="L815" s="726">
        <f t="shared" si="778"/>
        <v>-95.83082151520216</v>
      </c>
      <c r="M815" s="726">
        <f t="shared" si="778"/>
        <v>-134.59920544890474</v>
      </c>
      <c r="N815" s="726">
        <f t="shared" si="778"/>
        <v>-173.35568064073777</v>
      </c>
      <c r="O815" s="726">
        <f t="shared" si="778"/>
        <v>-212.20724818122017</v>
      </c>
      <c r="P815" s="726">
        <f t="shared" si="778"/>
        <v>-272.0243614402541</v>
      </c>
      <c r="Q815" s="726">
        <f t="shared" si="778"/>
        <v>-331.94108113821494</v>
      </c>
      <c r="R815" s="726">
        <f t="shared" si="778"/>
        <v>-391.8091139860976</v>
      </c>
      <c r="S815" s="726">
        <f t="shared" si="778"/>
        <v>-451.75970290582018</v>
      </c>
      <c r="T815" s="726">
        <f t="shared" si="778"/>
        <v>-511.91545615117047</v>
      </c>
      <c r="U815" s="726">
        <f t="shared" si="778"/>
        <v>-542.31844953676</v>
      </c>
      <c r="V815" s="726">
        <f t="shared" si="778"/>
        <v>-551.63751633291668</v>
      </c>
      <c r="W815" s="726">
        <f t="shared" si="778"/>
        <v>-560.99472102083382</v>
      </c>
      <c r="X815" s="726">
        <f t="shared" si="778"/>
        <v>-570.39661682043561</v>
      </c>
      <c r="Y815" s="726">
        <f t="shared" si="778"/>
        <v>-579.89348442024857</v>
      </c>
      <c r="Z815" s="726">
        <f t="shared" si="778"/>
        <v>-589.4085170904259</v>
      </c>
      <c r="AA815" s="726">
        <f t="shared" si="778"/>
        <v>-599.0371586437368</v>
      </c>
      <c r="AB815" s="726">
        <f t="shared" si="778"/>
        <v>-608.7050780607924</v>
      </c>
      <c r="AC815" s="726">
        <f t="shared" si="778"/>
        <v>-618.46793898291708</v>
      </c>
      <c r="AD815" s="726">
        <f t="shared" si="778"/>
        <v>-628.38343108585377</v>
      </c>
      <c r="AE815" s="726">
        <f t="shared" si="778"/>
        <v>-638.38214887327695</v>
      </c>
      <c r="AF815" s="726">
        <f t="shared" si="778"/>
        <v>-648.52587699979085</v>
      </c>
      <c r="AG815" s="727">
        <f t="shared" si="778"/>
        <v>-658.879252385575</v>
      </c>
      <c r="AH815" s="18"/>
      <c r="AI815" s="18"/>
      <c r="AJ815" s="18"/>
      <c r="AK815" s="18"/>
      <c r="AL815" s="18"/>
      <c r="AM815" s="18"/>
      <c r="AN815" s="18"/>
    </row>
    <row r="816" spans="1:40" ht="21.95" customHeight="1" thickBot="1" x14ac:dyDescent="0.25">
      <c r="A816" s="468"/>
      <c r="B816" s="708"/>
      <c r="C816" s="737"/>
      <c r="D816" s="737"/>
      <c r="E816" s="738" t="s">
        <v>181</v>
      </c>
      <c r="F816" s="738"/>
      <c r="G816" s="738"/>
      <c r="H816" s="739">
        <f>SUM(H787:H807,H809:H815)</f>
        <v>-1143.6260403881952</v>
      </c>
      <c r="I816" s="739">
        <f>SUM(I787:I807,I809:I815)</f>
        <v>-9367.1483348995607</v>
      </c>
      <c r="J816" s="739">
        <f t="shared" ref="J816" si="779">SUM(J787:J807,J809:J815)</f>
        <v>-27149.527610547444</v>
      </c>
      <c r="K816" s="739">
        <f t="shared" ref="K816" si="780">SUM(K787:K807,K809:K815)</f>
        <v>-56801.344776456681</v>
      </c>
      <c r="L816" s="739">
        <f t="shared" ref="L816" si="781">SUM(L787:L807,L809:L815)</f>
        <v>-94344.755689507598</v>
      </c>
      <c r="M816" s="739">
        <f t="shared" ref="M816" si="782">SUM(M787:M807,M809:M815)</f>
        <v>-173253.82245305803</v>
      </c>
      <c r="N816" s="739">
        <f t="shared" ref="N816" si="783">SUM(N787:N807,N809:N815)</f>
        <v>-426330.12191010674</v>
      </c>
      <c r="O816" s="739">
        <f t="shared" ref="O816" si="784">SUM(O787:O807,O809:O815)</f>
        <v>-508092.44119980844</v>
      </c>
      <c r="P816" s="739">
        <f t="shared" ref="P816" si="785">SUM(P787:P807,P809:P815)</f>
        <v>-654415.80415734765</v>
      </c>
      <c r="Q816" s="739">
        <f t="shared" ref="Q816" si="786">SUM(Q787:Q807,Q809:Q815)</f>
        <v>-819755.14272733487</v>
      </c>
      <c r="R816" s="739">
        <f t="shared" ref="R816" si="787">SUM(R787:R807,R809:R815)</f>
        <v>-1001978.8592904678</v>
      </c>
      <c r="S816" s="739">
        <f t="shared" ref="S816" si="788">SUM(S787:S807,S809:S815)</f>
        <v>-1085706.8851036339</v>
      </c>
      <c r="T816" s="739">
        <f t="shared" ref="T816" si="789">SUM(T787:T807,T809:T815)</f>
        <v>-1183806.7910348941</v>
      </c>
      <c r="U816" s="739">
        <f t="shared" ref="U816" si="790">SUM(U787:U807,U809:U815)</f>
        <v>-1215845.3347317961</v>
      </c>
      <c r="V816" s="739">
        <f t="shared" ref="V816" si="791">SUM(V787:V807,V809:V815)</f>
        <v>-1210857.3592730926</v>
      </c>
      <c r="W816" s="739">
        <f t="shared" ref="W816" si="792">SUM(W787:W807,W809:W815)</f>
        <v>-1211676.3758675673</v>
      </c>
      <c r="X816" s="739">
        <f t="shared" ref="X816" si="793">SUM(X787:X807,X809:X815)</f>
        <v>-1236914.5692193292</v>
      </c>
      <c r="Y816" s="739">
        <f t="shared" ref="Y816" si="794">SUM(Y787:Y807,Y809:Y815)</f>
        <v>-1262222.6328666105</v>
      </c>
      <c r="Z816" s="739">
        <f t="shared" ref="Z816" si="795">SUM(Z787:Z807,Z809:Z815)</f>
        <v>-1285334.6966573414</v>
      </c>
      <c r="AA816" s="739">
        <f t="shared" ref="AA816" si="796">SUM(AA787:AA807,AA809:AA815)</f>
        <v>-1308014.8663131054</v>
      </c>
      <c r="AB816" s="739">
        <f t="shared" ref="AB816" si="797">SUM(AB787:AB807,AB809:AB815)</f>
        <v>-1341720.3188646049</v>
      </c>
      <c r="AC816" s="739">
        <f t="shared" ref="AC816" si="798">SUM(AC787:AC807,AC809:AC815)</f>
        <v>-1378905.6708575182</v>
      </c>
      <c r="AD816" s="739">
        <f t="shared" ref="AD816" si="799">SUM(AD787:AD807,AD809:AD815)</f>
        <v>-1419183.943149582</v>
      </c>
      <c r="AE816" s="739">
        <f t="shared" ref="AE816" si="800">SUM(AE787:AE807,AE809:AE815)</f>
        <v>-1463111.8166959565</v>
      </c>
      <c r="AF816" s="739">
        <f t="shared" ref="AF816" si="801">SUM(AF787:AF807,AF809:AF815)</f>
        <v>-1511102.91452467</v>
      </c>
      <c r="AG816" s="740">
        <f t="shared" ref="AG816" si="802">SUM(AG787:AG807,AG809:AG815)</f>
        <v>-1563842.3924793885</v>
      </c>
      <c r="AH816" s="18"/>
      <c r="AI816" s="18"/>
      <c r="AJ816" s="18"/>
      <c r="AK816" s="18"/>
      <c r="AL816" s="18"/>
      <c r="AM816" s="18"/>
      <c r="AN816" s="18"/>
    </row>
    <row r="817" spans="5:40" ht="21.75" customHeight="1" x14ac:dyDescent="0.2">
      <c r="E817" s="1"/>
      <c r="F817" s="1"/>
      <c r="G817" s="1"/>
      <c r="H817" s="470"/>
      <c r="I817" s="470"/>
      <c r="J817" s="470"/>
      <c r="K817" s="470"/>
      <c r="L817" s="470"/>
      <c r="M817" s="470"/>
      <c r="N817" s="470"/>
      <c r="O817" s="470"/>
      <c r="P817" s="470"/>
      <c r="Q817" s="470"/>
      <c r="R817" s="470"/>
      <c r="S817" s="470"/>
      <c r="T817" s="470"/>
      <c r="U817" s="470"/>
      <c r="V817" s="470"/>
      <c r="W817" s="470"/>
      <c r="X817" s="470"/>
      <c r="Y817" s="470"/>
      <c r="Z817" s="470"/>
      <c r="AA817" s="470"/>
      <c r="AB817" s="470"/>
      <c r="AC817" s="470"/>
      <c r="AD817" s="470"/>
      <c r="AE817" s="470"/>
      <c r="AF817" s="470"/>
      <c r="AG817" s="111"/>
      <c r="AH817" s="18"/>
      <c r="AI817" s="18"/>
      <c r="AJ817" s="18"/>
      <c r="AK817" s="18"/>
      <c r="AL817" s="18"/>
      <c r="AM817" s="18"/>
      <c r="AN817" s="18"/>
    </row>
    <row r="818" spans="5:40" ht="21.75" customHeight="1" x14ac:dyDescent="0.2">
      <c r="E818" s="1"/>
      <c r="F818" s="1"/>
      <c r="G818" s="1"/>
      <c r="H818" s="470"/>
      <c r="I818" s="470"/>
      <c r="J818" s="470"/>
      <c r="K818" s="470"/>
      <c r="L818" s="470"/>
      <c r="M818" s="470"/>
      <c r="N818" s="470"/>
      <c r="O818" s="470"/>
      <c r="P818" s="470"/>
      <c r="Q818" s="470"/>
      <c r="R818" s="470"/>
      <c r="S818" s="470"/>
      <c r="T818" s="470"/>
      <c r="U818" s="470"/>
      <c r="V818" s="470"/>
      <c r="W818" s="470"/>
      <c r="X818" s="470"/>
      <c r="Y818" s="470"/>
      <c r="Z818" s="470"/>
      <c r="AA818" s="470"/>
      <c r="AB818" s="470"/>
      <c r="AC818" s="470"/>
      <c r="AD818" s="470"/>
      <c r="AE818" s="470"/>
      <c r="AF818" s="470"/>
      <c r="AG818" s="12"/>
      <c r="AH818" s="18"/>
      <c r="AI818" s="18"/>
      <c r="AJ818" s="18"/>
      <c r="AK818" s="18"/>
      <c r="AL818" s="18"/>
      <c r="AM818" s="18"/>
      <c r="AN818" s="18"/>
    </row>
    <row r="819" spans="5:40" ht="21.75" customHeight="1" x14ac:dyDescent="0.2">
      <c r="E819" s="1"/>
      <c r="F819" s="1"/>
      <c r="G819" s="1"/>
      <c r="H819" s="470"/>
      <c r="I819" s="470"/>
      <c r="J819" s="470"/>
      <c r="K819" s="470"/>
      <c r="L819" s="470"/>
      <c r="M819" s="470"/>
      <c r="N819" s="470"/>
      <c r="O819" s="470"/>
      <c r="P819" s="470"/>
      <c r="Q819" s="470"/>
      <c r="R819" s="470"/>
      <c r="S819" s="470"/>
      <c r="T819" s="470"/>
      <c r="U819" s="470"/>
      <c r="V819" s="470"/>
      <c r="W819" s="470"/>
      <c r="X819" s="470"/>
      <c r="Y819" s="470"/>
      <c r="Z819" s="470"/>
      <c r="AA819" s="470"/>
      <c r="AB819" s="470"/>
      <c r="AC819" s="470"/>
      <c r="AD819" s="470"/>
      <c r="AE819" s="470"/>
      <c r="AF819" s="470"/>
      <c r="AG819" s="12"/>
      <c r="AH819" s="18"/>
      <c r="AI819" s="18"/>
      <c r="AJ819" s="18"/>
      <c r="AK819" s="18"/>
      <c r="AL819" s="18"/>
      <c r="AM819" s="18"/>
      <c r="AN819" s="18"/>
    </row>
    <row r="820" spans="5:40" ht="21.75" customHeight="1" x14ac:dyDescent="0.2">
      <c r="E820" s="1"/>
      <c r="F820" s="1"/>
      <c r="G820" s="1"/>
      <c r="H820" s="470"/>
      <c r="I820" s="470"/>
      <c r="J820" s="470"/>
      <c r="K820" s="470"/>
      <c r="L820" s="470"/>
      <c r="M820" s="470"/>
      <c r="N820" s="470"/>
      <c r="O820" s="470"/>
      <c r="P820" s="470"/>
      <c r="Q820" s="470"/>
      <c r="R820" s="470"/>
      <c r="S820" s="470"/>
      <c r="T820" s="470"/>
      <c r="U820" s="470"/>
      <c r="V820" s="470"/>
      <c r="W820" s="470"/>
      <c r="X820" s="470"/>
      <c r="Y820" s="470"/>
      <c r="Z820" s="470"/>
      <c r="AA820" s="470"/>
      <c r="AB820" s="470"/>
      <c r="AC820" s="470"/>
      <c r="AD820" s="470"/>
      <c r="AE820" s="470"/>
      <c r="AF820" s="470"/>
      <c r="AG820" s="111"/>
      <c r="AH820" s="18"/>
      <c r="AI820" s="18"/>
      <c r="AJ820" s="18"/>
      <c r="AK820" s="18"/>
      <c r="AL820" s="18"/>
      <c r="AM820" s="18"/>
      <c r="AN820" s="18"/>
    </row>
    <row r="821" spans="5:40" ht="21.75" customHeight="1" x14ac:dyDescent="0.2">
      <c r="E821" s="1"/>
      <c r="F821" s="1"/>
      <c r="G821" s="1"/>
      <c r="H821" s="470"/>
      <c r="I821" s="470"/>
      <c r="J821" s="470"/>
      <c r="K821" s="470"/>
      <c r="L821" s="470"/>
      <c r="M821" s="470"/>
      <c r="N821" s="470"/>
      <c r="O821" s="470"/>
      <c r="P821" s="470"/>
      <c r="Q821" s="470"/>
      <c r="R821" s="470"/>
      <c r="S821" s="470"/>
      <c r="T821" s="470"/>
      <c r="U821" s="470"/>
      <c r="V821" s="470"/>
      <c r="W821" s="470"/>
      <c r="X821" s="470"/>
      <c r="Y821" s="470"/>
      <c r="Z821" s="470"/>
      <c r="AA821" s="470"/>
      <c r="AB821" s="470"/>
      <c r="AC821" s="470"/>
      <c r="AD821" s="470"/>
      <c r="AE821" s="470"/>
      <c r="AF821" s="470"/>
      <c r="AG821" s="470"/>
      <c r="AH821" s="18"/>
      <c r="AI821" s="18"/>
      <c r="AJ821" s="18"/>
      <c r="AK821" s="18"/>
      <c r="AL821" s="18"/>
      <c r="AM821" s="18"/>
      <c r="AN821" s="18"/>
    </row>
    <row r="822" spans="5:40" ht="21.75" customHeight="1" x14ac:dyDescent="0.2">
      <c r="E822" s="1"/>
      <c r="F822" s="1"/>
      <c r="G822" s="1"/>
      <c r="H822" s="470"/>
      <c r="I822" s="470"/>
      <c r="J822" s="470"/>
      <c r="K822" s="470"/>
      <c r="L822" s="470"/>
      <c r="M822" s="470"/>
      <c r="N822" s="470"/>
      <c r="O822" s="470"/>
      <c r="P822" s="470"/>
      <c r="Q822" s="470"/>
      <c r="R822" s="470"/>
      <c r="S822" s="470"/>
      <c r="T822" s="470"/>
      <c r="U822" s="470"/>
      <c r="V822" s="470"/>
      <c r="W822" s="470"/>
      <c r="X822" s="470"/>
      <c r="Y822" s="470"/>
      <c r="Z822" s="470"/>
      <c r="AA822" s="470"/>
      <c r="AB822" s="470"/>
      <c r="AC822" s="470"/>
      <c r="AD822" s="470"/>
      <c r="AE822" s="470"/>
      <c r="AF822" s="470"/>
      <c r="AG822" s="470"/>
      <c r="AH822" s="18"/>
      <c r="AI822" s="18"/>
      <c r="AJ822" s="18"/>
      <c r="AK822" s="18"/>
      <c r="AL822" s="18"/>
      <c r="AM822" s="18"/>
      <c r="AN822" s="18"/>
    </row>
    <row r="823" spans="5:40" ht="21.75" customHeight="1" x14ac:dyDescent="0.2">
      <c r="E823" s="1"/>
      <c r="F823" s="1"/>
      <c r="G823" s="1"/>
      <c r="H823" s="470"/>
      <c r="I823" s="470"/>
      <c r="J823" s="470"/>
      <c r="K823" s="470"/>
      <c r="L823" s="470"/>
      <c r="M823" s="470"/>
      <c r="N823" s="470"/>
      <c r="O823" s="470"/>
      <c r="P823" s="470"/>
      <c r="Q823" s="470"/>
      <c r="R823" s="470"/>
      <c r="S823" s="470"/>
      <c r="T823" s="470"/>
      <c r="U823" s="470"/>
      <c r="V823" s="470"/>
      <c r="W823" s="470"/>
      <c r="X823" s="470"/>
      <c r="Y823" s="470"/>
      <c r="Z823" s="470"/>
      <c r="AA823" s="470"/>
      <c r="AB823" s="470"/>
      <c r="AC823" s="470"/>
      <c r="AD823" s="470"/>
      <c r="AE823" s="470"/>
      <c r="AF823" s="470"/>
      <c r="AG823" s="470"/>
      <c r="AH823" s="18"/>
      <c r="AI823" s="18"/>
      <c r="AJ823" s="18"/>
      <c r="AK823" s="18"/>
      <c r="AL823" s="18"/>
      <c r="AM823" s="18"/>
      <c r="AN823" s="18"/>
    </row>
  </sheetData>
  <mergeCells count="104">
    <mergeCell ref="E787:E789"/>
    <mergeCell ref="E790:E792"/>
    <mergeCell ref="E794:E797"/>
    <mergeCell ref="E798:E806"/>
    <mergeCell ref="E734:E742"/>
    <mergeCell ref="E756:E758"/>
    <mergeCell ref="E759:E761"/>
    <mergeCell ref="E763:E766"/>
    <mergeCell ref="E767:E775"/>
    <mergeCell ref="E700:E703"/>
    <mergeCell ref="E704:E712"/>
    <mergeCell ref="E723:E725"/>
    <mergeCell ref="E726:E728"/>
    <mergeCell ref="E730:E733"/>
    <mergeCell ref="E666:E668"/>
    <mergeCell ref="E670:E673"/>
    <mergeCell ref="E674:E682"/>
    <mergeCell ref="E693:E695"/>
    <mergeCell ref="E696:E698"/>
    <mergeCell ref="E634:E636"/>
    <mergeCell ref="E637:E639"/>
    <mergeCell ref="E641:E644"/>
    <mergeCell ref="E645:E653"/>
    <mergeCell ref="E663:E665"/>
    <mergeCell ref="E584:E592"/>
    <mergeCell ref="E605:E607"/>
    <mergeCell ref="E608:E610"/>
    <mergeCell ref="E612:E615"/>
    <mergeCell ref="E616:E624"/>
    <mergeCell ref="E550:E553"/>
    <mergeCell ref="E554:E562"/>
    <mergeCell ref="E573:E575"/>
    <mergeCell ref="E576:E578"/>
    <mergeCell ref="E580:E583"/>
    <mergeCell ref="E516:E518"/>
    <mergeCell ref="E520:E523"/>
    <mergeCell ref="E524:E532"/>
    <mergeCell ref="E543:E545"/>
    <mergeCell ref="E546:E548"/>
    <mergeCell ref="E478:E480"/>
    <mergeCell ref="E481:E483"/>
    <mergeCell ref="E485:E488"/>
    <mergeCell ref="E489:E497"/>
    <mergeCell ref="E513:E515"/>
    <mergeCell ref="E429:E437"/>
    <mergeCell ref="E448:E450"/>
    <mergeCell ref="E451:E453"/>
    <mergeCell ref="E455:E458"/>
    <mergeCell ref="E459:E467"/>
    <mergeCell ref="E396:E399"/>
    <mergeCell ref="E400:E408"/>
    <mergeCell ref="E418:E420"/>
    <mergeCell ref="E421:E423"/>
    <mergeCell ref="E425:E428"/>
    <mergeCell ref="E363:E365"/>
    <mergeCell ref="E367:E370"/>
    <mergeCell ref="E371:E379"/>
    <mergeCell ref="E389:E391"/>
    <mergeCell ref="E392:E394"/>
    <mergeCell ref="E331:E333"/>
    <mergeCell ref="E335:E338"/>
    <mergeCell ref="E339:E347"/>
    <mergeCell ref="E360:E362"/>
    <mergeCell ref="E279:E287"/>
    <mergeCell ref="E298:E300"/>
    <mergeCell ref="E301:E303"/>
    <mergeCell ref="E305:E308"/>
    <mergeCell ref="E309:E317"/>
    <mergeCell ref="E268:E270"/>
    <mergeCell ref="E271:E273"/>
    <mergeCell ref="E275:E278"/>
    <mergeCell ref="E205:E207"/>
    <mergeCell ref="E209:E212"/>
    <mergeCell ref="E213:E221"/>
    <mergeCell ref="E232:E234"/>
    <mergeCell ref="E235:E237"/>
    <mergeCell ref="E328:E330"/>
    <mergeCell ref="E183:E191"/>
    <mergeCell ref="E202:E204"/>
    <mergeCell ref="E125:E133"/>
    <mergeCell ref="E143:E145"/>
    <mergeCell ref="E146:E148"/>
    <mergeCell ref="E150:E153"/>
    <mergeCell ref="E154:E162"/>
    <mergeCell ref="E239:E242"/>
    <mergeCell ref="E243:E251"/>
    <mergeCell ref="E121:E124"/>
    <mergeCell ref="E55:E57"/>
    <mergeCell ref="E59:E62"/>
    <mergeCell ref="E63:E71"/>
    <mergeCell ref="E82:E84"/>
    <mergeCell ref="E85:E87"/>
    <mergeCell ref="E172:E174"/>
    <mergeCell ref="E175:E177"/>
    <mergeCell ref="E179:E182"/>
    <mergeCell ref="E22:E24"/>
    <mergeCell ref="E25:E27"/>
    <mergeCell ref="E29:E32"/>
    <mergeCell ref="E33:E41"/>
    <mergeCell ref="E52:E54"/>
    <mergeCell ref="E89:E92"/>
    <mergeCell ref="E93:E101"/>
    <mergeCell ref="E114:E116"/>
    <mergeCell ref="E117:E119"/>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CF7D5-4FC2-4AEE-A734-816805E55AC4}">
  <sheetPr>
    <tabColor theme="9" tint="0.59999389629810485"/>
    <pageSetUpPr fitToPage="1"/>
  </sheetPr>
  <dimension ref="A2:AA61"/>
  <sheetViews>
    <sheetView showGridLines="0" zoomScale="70" zoomScaleNormal="70" workbookViewId="0">
      <selection activeCell="J16" sqref="J16"/>
    </sheetView>
  </sheetViews>
  <sheetFormatPr defaultColWidth="10.625" defaultRowHeight="21.95" customHeight="1" x14ac:dyDescent="0.2"/>
  <cols>
    <col min="1" max="1" width="3.375" customWidth="1"/>
    <col min="2" max="2" width="33.75" customWidth="1"/>
    <col min="3" max="3" width="16.75" customWidth="1"/>
    <col min="4" max="12" width="16.75" style="12" customWidth="1"/>
    <col min="13" max="27" width="12.25" style="12" customWidth="1"/>
    <col min="28" max="38" width="12.25" customWidth="1"/>
  </cols>
  <sheetData>
    <row r="2" spans="1:27" ht="23.25" x14ac:dyDescent="0.2">
      <c r="B2" s="394" t="s">
        <v>166</v>
      </c>
      <c r="C2" s="106"/>
    </row>
    <row r="3" spans="1:27" ht="23.25" x14ac:dyDescent="0.2">
      <c r="B3" s="108"/>
      <c r="C3" s="106"/>
    </row>
    <row r="4" spans="1:27" ht="23.25" x14ac:dyDescent="0.2">
      <c r="B4" s="144" t="s">
        <v>269</v>
      </c>
      <c r="C4" s="106"/>
    </row>
    <row r="5" spans="1:27" ht="23.25" x14ac:dyDescent="0.2">
      <c r="B5" s="108"/>
      <c r="C5" s="106"/>
    </row>
    <row r="6" spans="1:27" ht="23.25" x14ac:dyDescent="0.2">
      <c r="A6" s="192"/>
      <c r="B6" s="192" t="s">
        <v>53</v>
      </c>
      <c r="C6" s="106"/>
    </row>
    <row r="7" spans="1:27" ht="21.95" customHeight="1" thickBot="1" x14ac:dyDescent="0.25"/>
    <row r="8" spans="1:27" ht="21.95" customHeight="1" x14ac:dyDescent="0.2">
      <c r="B8" s="832" t="s">
        <v>272</v>
      </c>
      <c r="C8" s="759" t="s">
        <v>159</v>
      </c>
      <c r="D8" s="759" t="s">
        <v>160</v>
      </c>
      <c r="E8" s="759" t="s">
        <v>161</v>
      </c>
      <c r="F8" s="904" t="s">
        <v>162</v>
      </c>
      <c r="G8" s="759" t="s">
        <v>163</v>
      </c>
      <c r="H8" s="833" t="s">
        <v>164</v>
      </c>
    </row>
    <row r="9" spans="1:27" ht="21.95" customHeight="1" x14ac:dyDescent="0.2">
      <c r="A9" s="14"/>
      <c r="B9" s="905" t="s">
        <v>427</v>
      </c>
      <c r="C9" s="906" t="s">
        <v>287</v>
      </c>
      <c r="D9" s="907">
        <v>28100000</v>
      </c>
      <c r="E9" s="907">
        <f t="shared" ref="E9:E17" si="0">D9*0.06</f>
        <v>1686000</v>
      </c>
      <c r="F9" s="908">
        <f t="shared" ref="F9:F17" si="1">D9*0.09</f>
        <v>2529000</v>
      </c>
      <c r="G9" s="212">
        <f>D9*0.02</f>
        <v>562000</v>
      </c>
      <c r="H9" s="213">
        <f t="shared" ref="H9:H17" si="2">D9*0.05</f>
        <v>1405000</v>
      </c>
      <c r="Q9"/>
      <c r="R9"/>
      <c r="S9"/>
      <c r="T9"/>
      <c r="U9"/>
      <c r="V9"/>
      <c r="W9"/>
      <c r="X9"/>
      <c r="Y9"/>
      <c r="Z9"/>
      <c r="AA9"/>
    </row>
    <row r="10" spans="1:27" ht="21.95" customHeight="1" x14ac:dyDescent="0.2">
      <c r="B10" s="905" t="s">
        <v>428</v>
      </c>
      <c r="C10" s="906">
        <v>2.59</v>
      </c>
      <c r="D10" s="907">
        <v>14375000</v>
      </c>
      <c r="E10" s="907">
        <f t="shared" si="0"/>
        <v>862500</v>
      </c>
      <c r="F10" s="908">
        <f t="shared" si="1"/>
        <v>1293750</v>
      </c>
      <c r="G10" s="212">
        <v>0</v>
      </c>
      <c r="H10" s="213">
        <f t="shared" si="2"/>
        <v>718750</v>
      </c>
      <c r="Q10"/>
      <c r="R10"/>
      <c r="S10"/>
      <c r="T10"/>
      <c r="U10"/>
      <c r="V10"/>
      <c r="W10"/>
      <c r="X10"/>
      <c r="Y10"/>
      <c r="Z10"/>
      <c r="AA10"/>
    </row>
    <row r="11" spans="1:27" s="4" customFormat="1" ht="21.95" customHeight="1" x14ac:dyDescent="0.2">
      <c r="A11"/>
      <c r="B11" s="905" t="s">
        <v>429</v>
      </c>
      <c r="C11" s="906" t="s">
        <v>273</v>
      </c>
      <c r="D11" s="907">
        <v>5600000</v>
      </c>
      <c r="E11" s="907">
        <f t="shared" si="0"/>
        <v>336000</v>
      </c>
      <c r="F11" s="908">
        <f t="shared" si="1"/>
        <v>504000</v>
      </c>
      <c r="G11" s="212">
        <v>0</v>
      </c>
      <c r="H11" s="213">
        <f t="shared" si="2"/>
        <v>280000</v>
      </c>
      <c r="I11" s="13"/>
      <c r="J11" s="13"/>
      <c r="K11" s="13"/>
      <c r="L11" s="13"/>
      <c r="M11" s="13"/>
      <c r="N11" s="13"/>
      <c r="O11" s="13"/>
      <c r="P11" s="13"/>
    </row>
    <row r="12" spans="1:27" s="4" customFormat="1" ht="21.95" customHeight="1" x14ac:dyDescent="0.2">
      <c r="A12"/>
      <c r="B12" s="905" t="s">
        <v>430</v>
      </c>
      <c r="C12" s="906">
        <v>2.35</v>
      </c>
      <c r="D12" s="907">
        <v>10800000</v>
      </c>
      <c r="E12" s="907">
        <f>D12*0.06</f>
        <v>648000</v>
      </c>
      <c r="F12" s="908">
        <f>D12*0.09</f>
        <v>972000</v>
      </c>
      <c r="G12" s="212">
        <v>0</v>
      </c>
      <c r="H12" s="213">
        <f>D12*0.05</f>
        <v>540000</v>
      </c>
      <c r="I12" s="13"/>
      <c r="J12" s="13"/>
      <c r="K12" s="13"/>
      <c r="L12" s="13"/>
      <c r="M12" s="13"/>
      <c r="N12" s="13"/>
      <c r="O12" s="13"/>
      <c r="P12" s="13"/>
    </row>
    <row r="13" spans="1:27" s="4" customFormat="1" ht="21.95" customHeight="1" x14ac:dyDescent="0.2">
      <c r="A13"/>
      <c r="B13" s="905" t="s">
        <v>431</v>
      </c>
      <c r="C13" s="906">
        <v>1.53</v>
      </c>
      <c r="D13" s="907">
        <v>13600000</v>
      </c>
      <c r="E13" s="907">
        <f>D13*0.06</f>
        <v>816000</v>
      </c>
      <c r="F13" s="908">
        <f>D13*0.09</f>
        <v>1224000</v>
      </c>
      <c r="G13" s="212">
        <v>0</v>
      </c>
      <c r="H13" s="213">
        <f>D13*0.05</f>
        <v>680000</v>
      </c>
      <c r="I13" s="13"/>
      <c r="J13" s="13"/>
      <c r="K13" s="13"/>
      <c r="L13" s="13"/>
      <c r="M13" s="13"/>
      <c r="N13" s="13"/>
      <c r="O13" s="13"/>
      <c r="P13" s="13"/>
    </row>
    <row r="14" spans="1:27" ht="21.95" customHeight="1" x14ac:dyDescent="0.2">
      <c r="B14" s="905" t="s">
        <v>432</v>
      </c>
      <c r="C14" s="906">
        <v>2.68</v>
      </c>
      <c r="D14" s="907">
        <v>7675000</v>
      </c>
      <c r="E14" s="907">
        <f t="shared" si="0"/>
        <v>460500</v>
      </c>
      <c r="F14" s="908">
        <f t="shared" si="1"/>
        <v>690750</v>
      </c>
      <c r="G14" s="212">
        <v>0</v>
      </c>
      <c r="H14" s="213">
        <f t="shared" si="2"/>
        <v>383750</v>
      </c>
      <c r="Q14"/>
      <c r="R14"/>
      <c r="S14"/>
      <c r="T14"/>
      <c r="U14"/>
      <c r="V14"/>
      <c r="W14"/>
      <c r="X14"/>
      <c r="Y14"/>
      <c r="Z14"/>
      <c r="AA14"/>
    </row>
    <row r="15" spans="1:27" ht="21.95" customHeight="1" x14ac:dyDescent="0.2">
      <c r="B15" s="905" t="s">
        <v>433</v>
      </c>
      <c r="C15" s="906" t="s">
        <v>273</v>
      </c>
      <c r="D15" s="907">
        <v>400000</v>
      </c>
      <c r="E15" s="907">
        <f t="shared" si="0"/>
        <v>24000</v>
      </c>
      <c r="F15" s="908">
        <f t="shared" si="1"/>
        <v>36000</v>
      </c>
      <c r="G15" s="212">
        <v>0</v>
      </c>
      <c r="H15" s="213">
        <f t="shared" si="2"/>
        <v>20000</v>
      </c>
      <c r="Q15"/>
      <c r="R15"/>
      <c r="S15"/>
      <c r="T15"/>
      <c r="U15"/>
      <c r="V15"/>
      <c r="W15"/>
      <c r="X15"/>
      <c r="Y15"/>
      <c r="Z15"/>
      <c r="AA15"/>
    </row>
    <row r="16" spans="1:27" ht="21.95" customHeight="1" x14ac:dyDescent="0.2">
      <c r="B16" s="905" t="s">
        <v>434</v>
      </c>
      <c r="C16" s="906">
        <v>0.94</v>
      </c>
      <c r="D16" s="907">
        <v>6340000</v>
      </c>
      <c r="E16" s="907">
        <f t="shared" si="0"/>
        <v>380400</v>
      </c>
      <c r="F16" s="908">
        <f t="shared" si="1"/>
        <v>570600</v>
      </c>
      <c r="G16" s="212">
        <v>0</v>
      </c>
      <c r="H16" s="213">
        <f t="shared" si="2"/>
        <v>317000</v>
      </c>
      <c r="Q16"/>
      <c r="R16"/>
      <c r="S16"/>
      <c r="T16"/>
      <c r="U16"/>
      <c r="V16"/>
      <c r="W16"/>
      <c r="X16"/>
      <c r="Y16"/>
      <c r="Z16"/>
      <c r="AA16"/>
    </row>
    <row r="17" spans="1:27" ht="21.95" customHeight="1" x14ac:dyDescent="0.2">
      <c r="B17" s="905" t="s">
        <v>435</v>
      </c>
      <c r="C17" s="906">
        <v>1.58</v>
      </c>
      <c r="D17" s="907">
        <v>6700000</v>
      </c>
      <c r="E17" s="907">
        <f t="shared" si="0"/>
        <v>402000</v>
      </c>
      <c r="F17" s="908">
        <f t="shared" si="1"/>
        <v>603000</v>
      </c>
      <c r="G17" s="212">
        <v>0</v>
      </c>
      <c r="H17" s="213">
        <f t="shared" si="2"/>
        <v>335000</v>
      </c>
      <c r="Q17"/>
      <c r="R17"/>
      <c r="S17"/>
      <c r="T17"/>
      <c r="U17"/>
      <c r="V17"/>
      <c r="W17"/>
      <c r="X17"/>
      <c r="Y17"/>
      <c r="Z17"/>
      <c r="AA17"/>
    </row>
    <row r="18" spans="1:27" ht="21.95" customHeight="1" x14ac:dyDescent="0.25">
      <c r="B18" s="808" t="s">
        <v>25</v>
      </c>
      <c r="C18" s="909"/>
      <c r="D18" s="910">
        <f>SUM(D9:D17)</f>
        <v>93590000</v>
      </c>
      <c r="E18" s="910">
        <f>SUM(E9:E17)</f>
        <v>5615400</v>
      </c>
      <c r="F18" s="911">
        <f>SUM(F9:F17)</f>
        <v>8423100</v>
      </c>
      <c r="G18" s="912">
        <f>SUM(G9:G17)</f>
        <v>562000</v>
      </c>
      <c r="H18" s="913">
        <f>SUM(H9:H17)</f>
        <v>4679500</v>
      </c>
      <c r="Q18"/>
      <c r="R18"/>
      <c r="S18"/>
      <c r="T18"/>
      <c r="U18"/>
      <c r="V18"/>
      <c r="W18"/>
      <c r="X18"/>
      <c r="Y18"/>
      <c r="Z18"/>
      <c r="AA18"/>
    </row>
    <row r="19" spans="1:27" ht="21.95" customHeight="1" thickBot="1" x14ac:dyDescent="0.6">
      <c r="B19" s="914"/>
      <c r="C19" s="915"/>
      <c r="D19" s="916"/>
      <c r="E19" s="917">
        <f>D18+E18</f>
        <v>99205400</v>
      </c>
      <c r="F19" s="918"/>
      <c r="G19" s="919">
        <f>F18+G18+H18</f>
        <v>13664600</v>
      </c>
      <c r="H19" s="920">
        <f>E19+G19</f>
        <v>112870000</v>
      </c>
      <c r="Q19"/>
      <c r="R19"/>
      <c r="S19"/>
      <c r="T19"/>
      <c r="U19"/>
      <c r="V19"/>
      <c r="W19"/>
      <c r="X19"/>
      <c r="Y19"/>
      <c r="Z19"/>
      <c r="AA19"/>
    </row>
    <row r="20" spans="1:27" ht="21.95" customHeight="1" x14ac:dyDescent="0.25">
      <c r="B20" s="43"/>
      <c r="C20" s="43"/>
      <c r="D20" s="43"/>
      <c r="E20" s="43"/>
      <c r="F20" s="43"/>
      <c r="G20" s="43"/>
      <c r="H20" s="107"/>
      <c r="Q20"/>
      <c r="R20"/>
      <c r="S20"/>
      <c r="T20"/>
      <c r="U20"/>
      <c r="V20"/>
      <c r="W20"/>
      <c r="X20"/>
      <c r="Y20"/>
      <c r="Z20"/>
      <c r="AA20"/>
    </row>
    <row r="22" spans="1:27" ht="21.95" customHeight="1" x14ac:dyDescent="0.2">
      <c r="A22" s="192"/>
      <c r="B22" s="193" t="s">
        <v>209</v>
      </c>
      <c r="K22" s="246"/>
      <c r="L22" s="246"/>
      <c r="M22" s="246"/>
    </row>
    <row r="23" spans="1:27" ht="21.95" customHeight="1" x14ac:dyDescent="0.2">
      <c r="K23" s="246"/>
      <c r="L23" s="246"/>
      <c r="M23" s="246"/>
    </row>
    <row r="24" spans="1:27" ht="21.95" customHeight="1" x14ac:dyDescent="0.2">
      <c r="B24" s="43"/>
      <c r="C24" s="43"/>
      <c r="D24" s="43"/>
      <c r="E24" s="43"/>
      <c r="F24" s="43"/>
      <c r="G24" s="43"/>
      <c r="H24" s="43"/>
      <c r="I24" s="43"/>
      <c r="J24" s="43"/>
      <c r="K24" s="246"/>
      <c r="L24" s="246"/>
      <c r="M24" s="246"/>
    </row>
    <row r="25" spans="1:27" ht="21.95" customHeight="1" x14ac:dyDescent="0.2">
      <c r="B25" s="43"/>
      <c r="C25" s="1357" t="s">
        <v>126</v>
      </c>
      <c r="D25" s="1357"/>
      <c r="F25" s="1354" t="s">
        <v>359</v>
      </c>
      <c r="G25" s="1355"/>
      <c r="H25" s="1356"/>
      <c r="J25" s="1354" t="s">
        <v>293</v>
      </c>
      <c r="K25" s="1355"/>
      <c r="L25" s="1356"/>
      <c r="Q25" s="43"/>
    </row>
    <row r="26" spans="1:27" ht="35.450000000000003" customHeight="1" x14ac:dyDescent="0.2">
      <c r="B26" s="43"/>
      <c r="C26" s="207" t="s">
        <v>207</v>
      </c>
      <c r="D26" s="206" t="s">
        <v>25</v>
      </c>
      <c r="F26" s="206" t="s">
        <v>53</v>
      </c>
      <c r="G26" s="207" t="s">
        <v>207</v>
      </c>
      <c r="H26" s="206" t="s">
        <v>25</v>
      </c>
      <c r="J26" s="206" t="s">
        <v>53</v>
      </c>
      <c r="K26" s="207" t="s">
        <v>207</v>
      </c>
      <c r="L26" s="206" t="s">
        <v>25</v>
      </c>
      <c r="Q26" s="543"/>
    </row>
    <row r="27" spans="1:27" ht="21.95" customHeight="1" x14ac:dyDescent="0.2">
      <c r="B27" s="43">
        <v>2024</v>
      </c>
      <c r="C27" s="921"/>
      <c r="D27" s="921">
        <f t="shared" ref="D27:D52" si="3">C27</f>
        <v>0</v>
      </c>
      <c r="F27" s="923">
        <f>(SUM($D$9:$D$13))/3</f>
        <v>24158333.333333332</v>
      </c>
      <c r="G27" s="921"/>
      <c r="H27" s="921">
        <f t="shared" ref="H27:H52" si="4">SUM(F27:G27)</f>
        <v>24158333.333333332</v>
      </c>
      <c r="J27" s="923">
        <f>E19/3</f>
        <v>33068466.666666668</v>
      </c>
      <c r="K27" s="921"/>
      <c r="L27" s="921">
        <f>SUM(J27:K27)</f>
        <v>33068466.666666668</v>
      </c>
      <c r="Q27" s="544"/>
    </row>
    <row r="28" spans="1:27" ht="21.95" customHeight="1" x14ac:dyDescent="0.2">
      <c r="B28" s="43">
        <f>B27+1</f>
        <v>2025</v>
      </c>
      <c r="C28" s="921">
        <v>2525000</v>
      </c>
      <c r="D28" s="921">
        <f t="shared" si="3"/>
        <v>2525000</v>
      </c>
      <c r="F28" s="923">
        <f t="shared" ref="F28:F29" si="5">(SUM($D$9:$D$13))/3</f>
        <v>24158333.333333332</v>
      </c>
      <c r="G28" s="921"/>
      <c r="H28" s="921">
        <f t="shared" si="4"/>
        <v>24158333.333333332</v>
      </c>
      <c r="J28" s="923">
        <f>E19/3</f>
        <v>33068466.666666668</v>
      </c>
      <c r="K28" s="921"/>
      <c r="L28" s="921">
        <f t="shared" ref="L28:L52" si="6">SUM(J28:K28)</f>
        <v>33068466.666666668</v>
      </c>
      <c r="Q28" s="544"/>
    </row>
    <row r="29" spans="1:27" ht="21.95" customHeight="1" x14ac:dyDescent="0.2">
      <c r="B29" s="43">
        <f t="shared" ref="B29:B52" si="7">B28+1</f>
        <v>2026</v>
      </c>
      <c r="C29" s="921"/>
      <c r="D29" s="921">
        <f t="shared" si="3"/>
        <v>0</v>
      </c>
      <c r="F29" s="923">
        <f t="shared" si="5"/>
        <v>24158333.333333332</v>
      </c>
      <c r="G29" s="921"/>
      <c r="H29" s="921">
        <f t="shared" si="4"/>
        <v>24158333.333333332</v>
      </c>
      <c r="J29" s="923">
        <f>E19/3</f>
        <v>33068466.666666668</v>
      </c>
      <c r="K29" s="921"/>
      <c r="L29" s="921">
        <f t="shared" si="6"/>
        <v>33068466.666666668</v>
      </c>
      <c r="Q29" s="544"/>
    </row>
    <row r="30" spans="1:27" ht="21.95" customHeight="1" x14ac:dyDescent="0.2">
      <c r="B30" s="43">
        <f t="shared" si="7"/>
        <v>2027</v>
      </c>
      <c r="C30" s="921"/>
      <c r="D30" s="921">
        <f t="shared" si="3"/>
        <v>0</v>
      </c>
      <c r="F30" s="921"/>
      <c r="G30" s="924"/>
      <c r="H30" s="921">
        <f t="shared" si="4"/>
        <v>0</v>
      </c>
      <c r="J30" s="921"/>
      <c r="K30" s="924"/>
      <c r="L30" s="921">
        <f t="shared" si="6"/>
        <v>0</v>
      </c>
      <c r="Q30" s="544"/>
    </row>
    <row r="31" spans="1:27" ht="21.95" customHeight="1" x14ac:dyDescent="0.2">
      <c r="B31" s="43">
        <f t="shared" si="7"/>
        <v>2028</v>
      </c>
      <c r="C31" s="921"/>
      <c r="D31" s="921">
        <f t="shared" si="3"/>
        <v>0</v>
      </c>
      <c r="F31" s="921"/>
      <c r="G31" s="921"/>
      <c r="H31" s="921">
        <f t="shared" si="4"/>
        <v>0</v>
      </c>
      <c r="J31" s="921"/>
      <c r="K31" s="921"/>
      <c r="L31" s="921">
        <f t="shared" si="6"/>
        <v>0</v>
      </c>
      <c r="Q31" s="544"/>
    </row>
    <row r="32" spans="1:27" ht="21.95" customHeight="1" x14ac:dyDescent="0.2">
      <c r="B32" s="43">
        <f t="shared" si="7"/>
        <v>2029</v>
      </c>
      <c r="C32" s="921"/>
      <c r="D32" s="921">
        <f t="shared" si="3"/>
        <v>0</v>
      </c>
      <c r="F32" s="921"/>
      <c r="G32" s="921"/>
      <c r="H32" s="921">
        <f t="shared" si="4"/>
        <v>0</v>
      </c>
      <c r="J32" s="921"/>
      <c r="K32" s="921"/>
      <c r="L32" s="921">
        <f t="shared" si="6"/>
        <v>0</v>
      </c>
      <c r="Q32" s="544"/>
    </row>
    <row r="33" spans="2:17" ht="21.95" customHeight="1" x14ac:dyDescent="0.2">
      <c r="B33" s="43">
        <f t="shared" si="7"/>
        <v>2030</v>
      </c>
      <c r="C33" s="921">
        <v>125000</v>
      </c>
      <c r="D33" s="921">
        <f t="shared" si="3"/>
        <v>125000</v>
      </c>
      <c r="F33" s="921"/>
      <c r="G33" s="921">
        <v>250000</v>
      </c>
      <c r="H33" s="921">
        <f t="shared" si="4"/>
        <v>250000</v>
      </c>
      <c r="J33" s="921"/>
      <c r="K33" s="921">
        <v>300000</v>
      </c>
      <c r="L33" s="921">
        <f t="shared" si="6"/>
        <v>300000</v>
      </c>
      <c r="Q33" s="544"/>
    </row>
    <row r="34" spans="2:17" ht="21.95" customHeight="1" x14ac:dyDescent="0.2">
      <c r="B34" s="43">
        <f t="shared" si="7"/>
        <v>2031</v>
      </c>
      <c r="C34" s="921"/>
      <c r="D34" s="921">
        <f t="shared" si="3"/>
        <v>0</v>
      </c>
      <c r="F34" s="921"/>
      <c r="G34" s="921"/>
      <c r="H34" s="921">
        <f t="shared" si="4"/>
        <v>0</v>
      </c>
      <c r="J34" s="921"/>
      <c r="K34" s="921"/>
      <c r="L34" s="921">
        <f t="shared" si="6"/>
        <v>0</v>
      </c>
      <c r="Q34" s="544"/>
    </row>
    <row r="35" spans="2:17" ht="21.95" customHeight="1" x14ac:dyDescent="0.2">
      <c r="B35" s="43">
        <f t="shared" si="7"/>
        <v>2032</v>
      </c>
      <c r="C35" s="921"/>
      <c r="D35" s="921">
        <f t="shared" si="3"/>
        <v>0</v>
      </c>
      <c r="F35" s="921"/>
      <c r="G35" s="921"/>
      <c r="H35" s="921">
        <f t="shared" si="4"/>
        <v>0</v>
      </c>
      <c r="J35" s="921"/>
      <c r="K35" s="921"/>
      <c r="L35" s="921">
        <f t="shared" si="6"/>
        <v>0</v>
      </c>
      <c r="Q35" s="544"/>
    </row>
    <row r="36" spans="2:17" ht="21.95" customHeight="1" x14ac:dyDescent="0.2">
      <c r="B36" s="43">
        <f t="shared" si="7"/>
        <v>2033</v>
      </c>
      <c r="C36" s="921"/>
      <c r="D36" s="921">
        <f t="shared" si="3"/>
        <v>0</v>
      </c>
      <c r="F36" s="921"/>
      <c r="G36" s="921"/>
      <c r="H36" s="921">
        <f t="shared" si="4"/>
        <v>0</v>
      </c>
      <c r="J36" s="921"/>
      <c r="K36" s="921"/>
      <c r="L36" s="921">
        <f t="shared" si="6"/>
        <v>0</v>
      </c>
      <c r="Q36" s="544"/>
    </row>
    <row r="37" spans="2:17" ht="21.95" customHeight="1" x14ac:dyDescent="0.2">
      <c r="B37" s="43">
        <f t="shared" si="7"/>
        <v>2034</v>
      </c>
      <c r="C37" s="921"/>
      <c r="D37" s="921">
        <f t="shared" si="3"/>
        <v>0</v>
      </c>
      <c r="F37" s="921"/>
      <c r="G37" s="921"/>
      <c r="H37" s="921">
        <f t="shared" si="4"/>
        <v>0</v>
      </c>
      <c r="J37" s="921"/>
      <c r="K37" s="921"/>
      <c r="L37" s="921">
        <f t="shared" si="6"/>
        <v>0</v>
      </c>
      <c r="Q37" s="544"/>
    </row>
    <row r="38" spans="2:17" ht="21.95" customHeight="1" x14ac:dyDescent="0.2">
      <c r="B38" s="43">
        <f t="shared" si="7"/>
        <v>2035</v>
      </c>
      <c r="C38" s="921">
        <v>8400000</v>
      </c>
      <c r="D38" s="921">
        <f t="shared" si="3"/>
        <v>8400000</v>
      </c>
      <c r="F38" s="921"/>
      <c r="G38" s="921">
        <v>250000</v>
      </c>
      <c r="H38" s="921">
        <f t="shared" si="4"/>
        <v>250000</v>
      </c>
      <c r="J38" s="921"/>
      <c r="K38" s="921">
        <v>300000</v>
      </c>
      <c r="L38" s="921">
        <f t="shared" si="6"/>
        <v>300000</v>
      </c>
      <c r="Q38" s="544"/>
    </row>
    <row r="39" spans="2:17" ht="21.95" customHeight="1" x14ac:dyDescent="0.2">
      <c r="B39" s="43">
        <f t="shared" si="7"/>
        <v>2036</v>
      </c>
      <c r="C39" s="921"/>
      <c r="D39" s="921">
        <f t="shared" si="3"/>
        <v>0</v>
      </c>
      <c r="F39" s="921"/>
      <c r="G39" s="921"/>
      <c r="H39" s="921">
        <f t="shared" si="4"/>
        <v>0</v>
      </c>
      <c r="J39" s="921"/>
      <c r="K39" s="921"/>
      <c r="L39" s="921">
        <f t="shared" si="6"/>
        <v>0</v>
      </c>
      <c r="Q39" s="544"/>
    </row>
    <row r="40" spans="2:17" ht="21.95" customHeight="1" x14ac:dyDescent="0.2">
      <c r="B40" s="43">
        <f t="shared" si="7"/>
        <v>2037</v>
      </c>
      <c r="C40" s="921"/>
      <c r="D40" s="921">
        <f t="shared" si="3"/>
        <v>0</v>
      </c>
      <c r="F40" s="921"/>
      <c r="G40" s="921"/>
      <c r="H40" s="921">
        <f t="shared" si="4"/>
        <v>0</v>
      </c>
      <c r="J40" s="921"/>
      <c r="K40" s="921"/>
      <c r="L40" s="921">
        <f t="shared" si="6"/>
        <v>0</v>
      </c>
      <c r="Q40" s="544"/>
    </row>
    <row r="41" spans="2:17" ht="21.95" customHeight="1" x14ac:dyDescent="0.2">
      <c r="B41" s="43">
        <f t="shared" si="7"/>
        <v>2038</v>
      </c>
      <c r="C41" s="921"/>
      <c r="D41" s="921">
        <f t="shared" si="3"/>
        <v>0</v>
      </c>
      <c r="F41" s="921"/>
      <c r="G41" s="921"/>
      <c r="H41" s="921">
        <f t="shared" si="4"/>
        <v>0</v>
      </c>
      <c r="J41" s="921"/>
      <c r="K41" s="921"/>
      <c r="L41" s="921">
        <f t="shared" si="6"/>
        <v>0</v>
      </c>
      <c r="Q41" s="544"/>
    </row>
    <row r="42" spans="2:17" ht="21.95" customHeight="1" x14ac:dyDescent="0.2">
      <c r="B42" s="43">
        <f t="shared" si="7"/>
        <v>2039</v>
      </c>
      <c r="C42" s="921"/>
      <c r="D42" s="921">
        <f t="shared" si="3"/>
        <v>0</v>
      </c>
      <c r="F42" s="921"/>
      <c r="G42" s="921"/>
      <c r="H42" s="921">
        <f t="shared" si="4"/>
        <v>0</v>
      </c>
      <c r="J42" s="921"/>
      <c r="K42" s="921"/>
      <c r="L42" s="921">
        <f t="shared" si="6"/>
        <v>0</v>
      </c>
      <c r="Q42" s="544"/>
    </row>
    <row r="43" spans="2:17" ht="21.95" customHeight="1" x14ac:dyDescent="0.2">
      <c r="B43" s="43">
        <f t="shared" si="7"/>
        <v>2040</v>
      </c>
      <c r="C43" s="921">
        <v>125000</v>
      </c>
      <c r="D43" s="921">
        <f t="shared" si="3"/>
        <v>125000</v>
      </c>
      <c r="F43" s="921"/>
      <c r="G43" s="921">
        <v>250000</v>
      </c>
      <c r="H43" s="921">
        <f t="shared" si="4"/>
        <v>250000</v>
      </c>
      <c r="J43" s="921"/>
      <c r="K43" s="921">
        <v>300000</v>
      </c>
      <c r="L43" s="921">
        <f t="shared" si="6"/>
        <v>300000</v>
      </c>
      <c r="Q43" s="544"/>
    </row>
    <row r="44" spans="2:17" ht="21.95" customHeight="1" x14ac:dyDescent="0.2">
      <c r="B44" s="43">
        <f t="shared" si="7"/>
        <v>2041</v>
      </c>
      <c r="C44" s="921"/>
      <c r="D44" s="921">
        <f t="shared" si="3"/>
        <v>0</v>
      </c>
      <c r="F44" s="921"/>
      <c r="G44" s="921"/>
      <c r="H44" s="921">
        <f t="shared" si="4"/>
        <v>0</v>
      </c>
      <c r="J44" s="921"/>
      <c r="K44" s="921"/>
      <c r="L44" s="921">
        <f t="shared" si="6"/>
        <v>0</v>
      </c>
      <c r="Q44" s="544"/>
    </row>
    <row r="45" spans="2:17" ht="21.95" customHeight="1" x14ac:dyDescent="0.2">
      <c r="B45" s="43">
        <f t="shared" si="7"/>
        <v>2042</v>
      </c>
      <c r="C45" s="921"/>
      <c r="D45" s="921">
        <f t="shared" si="3"/>
        <v>0</v>
      </c>
      <c r="F45" s="921"/>
      <c r="G45" s="921"/>
      <c r="H45" s="921">
        <f t="shared" si="4"/>
        <v>0</v>
      </c>
      <c r="J45" s="921"/>
      <c r="K45" s="921"/>
      <c r="L45" s="921">
        <f t="shared" si="6"/>
        <v>0</v>
      </c>
      <c r="Q45" s="544"/>
    </row>
    <row r="46" spans="2:17" ht="21.95" customHeight="1" x14ac:dyDescent="0.2">
      <c r="B46" s="43">
        <f t="shared" si="7"/>
        <v>2043</v>
      </c>
      <c r="C46" s="921"/>
      <c r="D46" s="921">
        <f t="shared" si="3"/>
        <v>0</v>
      </c>
      <c r="F46" s="921"/>
      <c r="G46" s="921"/>
      <c r="H46" s="921">
        <f t="shared" si="4"/>
        <v>0</v>
      </c>
      <c r="J46" s="921"/>
      <c r="K46" s="921"/>
      <c r="L46" s="921">
        <f t="shared" si="6"/>
        <v>0</v>
      </c>
      <c r="Q46" s="544"/>
    </row>
    <row r="47" spans="2:17" ht="21.95" customHeight="1" x14ac:dyDescent="0.2">
      <c r="B47" s="43">
        <f t="shared" si="7"/>
        <v>2044</v>
      </c>
      <c r="C47" s="921"/>
      <c r="D47" s="921">
        <f t="shared" si="3"/>
        <v>0</v>
      </c>
      <c r="F47" s="921"/>
      <c r="G47" s="921"/>
      <c r="H47" s="921">
        <f>SUM(F47:G47)</f>
        <v>0</v>
      </c>
      <c r="J47" s="921"/>
      <c r="K47" s="921"/>
      <c r="L47" s="921">
        <f t="shared" si="6"/>
        <v>0</v>
      </c>
      <c r="Q47" s="544"/>
    </row>
    <row r="48" spans="2:17" ht="21.95" customHeight="1" x14ac:dyDescent="0.2">
      <c r="B48" s="43">
        <f t="shared" si="7"/>
        <v>2045</v>
      </c>
      <c r="C48" s="921">
        <v>1700000</v>
      </c>
      <c r="D48" s="921">
        <f t="shared" si="3"/>
        <v>1700000</v>
      </c>
      <c r="F48" s="921"/>
      <c r="G48" s="921">
        <v>2150000</v>
      </c>
      <c r="H48" s="921">
        <f t="shared" si="4"/>
        <v>2150000</v>
      </c>
      <c r="J48" s="921"/>
      <c r="K48" s="921">
        <v>2775000</v>
      </c>
      <c r="L48" s="921">
        <f t="shared" si="6"/>
        <v>2775000</v>
      </c>
      <c r="Q48" s="544"/>
    </row>
    <row r="49" spans="2:17" ht="21.95" customHeight="1" x14ac:dyDescent="0.2">
      <c r="B49" s="43">
        <f t="shared" si="7"/>
        <v>2046</v>
      </c>
      <c r="C49" s="921"/>
      <c r="D49" s="921">
        <f t="shared" si="3"/>
        <v>0</v>
      </c>
      <c r="F49" s="921"/>
      <c r="G49" s="921">
        <v>2150000</v>
      </c>
      <c r="H49" s="921">
        <f t="shared" si="4"/>
        <v>2150000</v>
      </c>
      <c r="J49" s="921"/>
      <c r="K49" s="921">
        <v>2775000</v>
      </c>
      <c r="L49" s="921">
        <f t="shared" si="6"/>
        <v>2775000</v>
      </c>
      <c r="Q49" s="544"/>
    </row>
    <row r="50" spans="2:17" ht="21.95" customHeight="1" x14ac:dyDescent="0.2">
      <c r="B50" s="43">
        <f t="shared" si="7"/>
        <v>2047</v>
      </c>
      <c r="C50" s="921"/>
      <c r="D50" s="921">
        <f t="shared" si="3"/>
        <v>0</v>
      </c>
      <c r="F50" s="921"/>
      <c r="G50" s="228"/>
      <c r="H50" s="921">
        <f t="shared" si="4"/>
        <v>0</v>
      </c>
      <c r="J50" s="921"/>
      <c r="K50" s="921"/>
      <c r="L50" s="921">
        <f t="shared" si="6"/>
        <v>0</v>
      </c>
      <c r="Q50" s="544"/>
    </row>
    <row r="51" spans="2:17" ht="21.95" customHeight="1" x14ac:dyDescent="0.2">
      <c r="B51" s="43">
        <f t="shared" si="7"/>
        <v>2048</v>
      </c>
      <c r="C51" s="921"/>
      <c r="D51" s="921">
        <f t="shared" si="3"/>
        <v>0</v>
      </c>
      <c r="F51" s="921"/>
      <c r="G51" s="921"/>
      <c r="H51" s="921">
        <f t="shared" si="4"/>
        <v>0</v>
      </c>
      <c r="J51" s="921"/>
      <c r="K51" s="921"/>
      <c r="L51" s="921">
        <f t="shared" si="6"/>
        <v>0</v>
      </c>
      <c r="Q51" s="544"/>
    </row>
    <row r="52" spans="2:17" ht="21.95" customHeight="1" x14ac:dyDescent="0.2">
      <c r="B52" s="43">
        <f t="shared" si="7"/>
        <v>2049</v>
      </c>
      <c r="C52" s="921"/>
      <c r="D52" s="921">
        <f t="shared" si="3"/>
        <v>0</v>
      </c>
      <c r="F52" s="921"/>
      <c r="G52" s="921"/>
      <c r="H52" s="921">
        <f t="shared" si="4"/>
        <v>0</v>
      </c>
      <c r="J52" s="921"/>
      <c r="K52" s="921"/>
      <c r="L52" s="921">
        <f t="shared" si="6"/>
        <v>0</v>
      </c>
      <c r="Q52" s="544"/>
    </row>
    <row r="53" spans="2:17" ht="21.95" customHeight="1" x14ac:dyDescent="0.2">
      <c r="B53" s="43"/>
      <c r="C53" s="906"/>
      <c r="D53" s="922">
        <f>SUM(D27:D52)</f>
        <v>12875000</v>
      </c>
      <c r="F53" s="906"/>
      <c r="G53" s="906"/>
      <c r="H53" s="925">
        <f>SUM(H27:H52)-(SUM(F27:F29))</f>
        <v>5050000</v>
      </c>
      <c r="J53" s="906"/>
      <c r="K53" s="906"/>
      <c r="L53" s="925">
        <f>SUM(L27:L52)-(SUM(J27:J29))</f>
        <v>6450000</v>
      </c>
      <c r="Q53" s="145"/>
    </row>
    <row r="54" spans="2:17" ht="21.95" customHeight="1" x14ac:dyDescent="0.2">
      <c r="B54" s="43"/>
      <c r="C54" s="153" t="s">
        <v>310</v>
      </c>
      <c r="D54" s="43"/>
      <c r="F54" s="43" t="s">
        <v>308</v>
      </c>
      <c r="H54" s="43"/>
      <c r="J54" s="43" t="s">
        <v>286</v>
      </c>
      <c r="L54" s="43"/>
      <c r="Q54" s="43"/>
    </row>
    <row r="55" spans="2:17" ht="21.95" customHeight="1" x14ac:dyDescent="0.2">
      <c r="B55" s="43"/>
      <c r="C55" s="208" t="s">
        <v>284</v>
      </c>
      <c r="D55" s="43"/>
      <c r="F55" s="43" t="s">
        <v>278</v>
      </c>
      <c r="H55" s="43"/>
      <c r="J55" s="43" t="s">
        <v>285</v>
      </c>
      <c r="L55" s="43"/>
      <c r="Q55" s="43"/>
    </row>
    <row r="56" spans="2:17" ht="21.95" customHeight="1" x14ac:dyDescent="0.2">
      <c r="B56" s="43"/>
      <c r="C56" s="43" t="s">
        <v>283</v>
      </c>
      <c r="D56" s="43"/>
      <c r="H56" s="43"/>
      <c r="I56" s="43"/>
      <c r="J56" s="43" t="s">
        <v>278</v>
      </c>
      <c r="K56" s="43"/>
      <c r="L56" s="43"/>
      <c r="Q56" s="43"/>
    </row>
    <row r="57" spans="2:17" ht="21.95" customHeight="1" x14ac:dyDescent="0.2">
      <c r="B57" s="43"/>
      <c r="C57" s="43" t="s">
        <v>309</v>
      </c>
      <c r="D57" s="43"/>
      <c r="G57" s="43"/>
      <c r="H57" s="43"/>
      <c r="I57" s="43"/>
      <c r="J57" s="43"/>
      <c r="K57" s="43"/>
      <c r="L57" s="43"/>
      <c r="N57" s="43"/>
      <c r="O57" s="43"/>
      <c r="P57" s="43"/>
      <c r="Q57" s="43"/>
    </row>
    <row r="58" spans="2:17" ht="21.95" customHeight="1" x14ac:dyDescent="0.2">
      <c r="B58" s="43"/>
      <c r="C58" s="245" t="s">
        <v>311</v>
      </c>
      <c r="D58" s="43"/>
      <c r="G58" s="43"/>
      <c r="H58" s="43"/>
      <c r="I58" s="43"/>
      <c r="J58" s="43"/>
      <c r="K58" s="245"/>
      <c r="L58" s="43"/>
      <c r="N58" s="43"/>
      <c r="O58" s="43"/>
      <c r="P58" s="43"/>
      <c r="Q58" s="43"/>
    </row>
    <row r="59" spans="2:17" ht="21.95" customHeight="1" x14ac:dyDescent="0.2">
      <c r="B59" s="43"/>
      <c r="C59" s="153" t="s">
        <v>278</v>
      </c>
      <c r="D59" s="43"/>
      <c r="G59" s="43"/>
      <c r="H59" s="43"/>
      <c r="I59" s="43"/>
      <c r="J59" s="43"/>
      <c r="K59" s="153"/>
      <c r="L59" s="43"/>
      <c r="N59" s="43"/>
      <c r="O59" s="43"/>
      <c r="P59" s="43"/>
      <c r="Q59" s="43"/>
    </row>
    <row r="60" spans="2:17" ht="21.95" customHeight="1" x14ac:dyDescent="0.2">
      <c r="B60" s="43"/>
      <c r="G60" s="43"/>
      <c r="H60" s="43"/>
      <c r="I60" s="43"/>
      <c r="J60" s="43"/>
      <c r="K60" s="43"/>
      <c r="L60" s="43"/>
      <c r="M60" s="43"/>
      <c r="N60" s="43"/>
      <c r="O60" s="43"/>
      <c r="P60" s="43"/>
      <c r="Q60" s="43"/>
    </row>
    <row r="61" spans="2:17" ht="21.95" customHeight="1" x14ac:dyDescent="0.2">
      <c r="B61" s="43"/>
      <c r="C61" s="43" t="s">
        <v>279</v>
      </c>
      <c r="D61" s="127">
        <v>40000</v>
      </c>
      <c r="F61" s="43" t="s">
        <v>279</v>
      </c>
      <c r="G61" s="43"/>
      <c r="H61" s="127">
        <v>45000</v>
      </c>
      <c r="J61" s="43" t="s">
        <v>279</v>
      </c>
      <c r="K61" s="43"/>
      <c r="L61" s="127">
        <v>50000</v>
      </c>
    </row>
  </sheetData>
  <mergeCells count="3">
    <mergeCell ref="J25:L25"/>
    <mergeCell ref="C25:D25"/>
    <mergeCell ref="F25:H25"/>
  </mergeCells>
  <pageMargins left="0.7" right="0.7" top="0.75" bottom="0.75" header="0.3" footer="0.3"/>
  <pageSetup paperSize="3" scale="52" orientation="landscape"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5A865-56E9-4A4F-B015-6CDBEB34C144}">
  <sheetPr>
    <tabColor theme="9" tint="0.59999389629810485"/>
  </sheetPr>
  <dimension ref="A2:AA30"/>
  <sheetViews>
    <sheetView showGridLines="0" zoomScale="115" zoomScaleNormal="115" workbookViewId="0">
      <selection activeCell="G13" sqref="G13"/>
    </sheetView>
  </sheetViews>
  <sheetFormatPr defaultColWidth="10.625" defaultRowHeight="21.95" customHeight="1" x14ac:dyDescent="0.2"/>
  <cols>
    <col min="1" max="1" width="3.375" customWidth="1"/>
    <col min="2" max="2" width="45.375" customWidth="1"/>
    <col min="3" max="3" width="16.75" customWidth="1"/>
    <col min="4" max="9" width="16.75" style="12" customWidth="1"/>
    <col min="10" max="27" width="12.25" style="12" customWidth="1"/>
    <col min="28" max="38" width="12.25" customWidth="1"/>
  </cols>
  <sheetData>
    <row r="2" spans="1:27" ht="21.95" customHeight="1" x14ac:dyDescent="0.2">
      <c r="B2" s="1358" t="s">
        <v>219</v>
      </c>
      <c r="C2" s="1358"/>
      <c r="D2" s="1358"/>
    </row>
    <row r="4" spans="1:27" ht="23.25" x14ac:dyDescent="0.2">
      <c r="B4" s="394" t="s">
        <v>194</v>
      </c>
      <c r="C4" s="106"/>
    </row>
    <row r="5" spans="1:27" ht="23.25" x14ac:dyDescent="0.2">
      <c r="B5" s="10"/>
      <c r="C5" s="106"/>
    </row>
    <row r="6" spans="1:27" ht="21.95" customHeight="1" thickBot="1" x14ac:dyDescent="0.25">
      <c r="B6" s="194" t="s">
        <v>192</v>
      </c>
      <c r="D6"/>
      <c r="E6"/>
      <c r="F6"/>
      <c r="G6"/>
      <c r="H6"/>
      <c r="I6"/>
      <c r="J6"/>
      <c r="K6"/>
      <c r="L6" s="43"/>
      <c r="Q6"/>
      <c r="R6"/>
      <c r="S6"/>
      <c r="T6"/>
      <c r="U6"/>
      <c r="V6"/>
      <c r="W6"/>
      <c r="X6"/>
      <c r="Y6"/>
      <c r="Z6"/>
      <c r="AA6"/>
    </row>
    <row r="7" spans="1:27" s="4" customFormat="1" ht="21.95" customHeight="1" x14ac:dyDescent="0.2">
      <c r="A7"/>
      <c r="B7" s="832" t="s">
        <v>10</v>
      </c>
      <c r="C7" s="759" t="s">
        <v>645</v>
      </c>
      <c r="D7" s="759" t="s">
        <v>646</v>
      </c>
      <c r="E7" s="833" t="s">
        <v>274</v>
      </c>
      <c r="F7" s="2"/>
      <c r="G7" s="2"/>
      <c r="H7" s="2"/>
      <c r="I7" s="2"/>
      <c r="J7" s="2"/>
      <c r="K7" s="2"/>
      <c r="M7" s="13"/>
      <c r="N7" s="13"/>
      <c r="O7" s="13"/>
      <c r="P7" s="13"/>
    </row>
    <row r="8" spans="1:27" ht="21.95" customHeight="1" thickBot="1" x14ac:dyDescent="0.25">
      <c r="B8" s="795" t="s">
        <v>119</v>
      </c>
      <c r="C8" s="278">
        <v>117.922</v>
      </c>
      <c r="D8" s="278">
        <v>126.907</v>
      </c>
      <c r="E8" s="774">
        <v>131.518</v>
      </c>
      <c r="F8" s="2"/>
      <c r="G8" s="5"/>
      <c r="H8" s="2"/>
      <c r="I8" s="2"/>
      <c r="J8" s="2"/>
      <c r="K8" s="2"/>
      <c r="Q8"/>
      <c r="R8"/>
      <c r="S8"/>
      <c r="T8"/>
      <c r="U8"/>
      <c r="V8"/>
      <c r="W8"/>
      <c r="X8"/>
      <c r="Y8"/>
      <c r="Z8"/>
      <c r="AA8"/>
    </row>
    <row r="9" spans="1:27" ht="21.95" customHeight="1" x14ac:dyDescent="0.2">
      <c r="B9" s="108" t="s">
        <v>193</v>
      </c>
      <c r="D9"/>
      <c r="E9"/>
      <c r="F9"/>
      <c r="G9"/>
      <c r="H9"/>
      <c r="I9"/>
      <c r="J9"/>
      <c r="K9"/>
      <c r="Q9"/>
      <c r="R9"/>
      <c r="S9"/>
      <c r="T9"/>
      <c r="U9"/>
      <c r="V9"/>
      <c r="W9"/>
      <c r="X9"/>
      <c r="Y9"/>
      <c r="Z9"/>
      <c r="AA9"/>
    </row>
    <row r="10" spans="1:27" ht="21.95" customHeight="1" x14ac:dyDescent="0.2">
      <c r="B10" s="9" t="s">
        <v>189</v>
      </c>
      <c r="D10"/>
      <c r="E10"/>
      <c r="F10"/>
      <c r="G10"/>
      <c r="H10"/>
      <c r="I10"/>
      <c r="J10"/>
      <c r="K10"/>
      <c r="Q10"/>
      <c r="R10"/>
      <c r="S10"/>
      <c r="T10"/>
      <c r="U10"/>
      <c r="V10"/>
      <c r="W10"/>
      <c r="X10"/>
      <c r="Y10"/>
      <c r="Z10"/>
      <c r="AA10"/>
    </row>
    <row r="11" spans="1:27" ht="21.95" customHeight="1" x14ac:dyDescent="0.2">
      <c r="B11" s="9" t="s">
        <v>275</v>
      </c>
      <c r="D11"/>
      <c r="E11"/>
      <c r="F11"/>
      <c r="G11"/>
      <c r="H11"/>
      <c r="I11"/>
      <c r="J11"/>
      <c r="K11"/>
      <c r="Q11"/>
      <c r="R11"/>
      <c r="S11"/>
      <c r="T11"/>
      <c r="U11"/>
      <c r="V11"/>
      <c r="W11"/>
      <c r="X11"/>
      <c r="Y11"/>
      <c r="Z11"/>
      <c r="AA11"/>
    </row>
    <row r="12" spans="1:27" ht="21.95" customHeight="1" x14ac:dyDescent="0.2">
      <c r="D12"/>
      <c r="E12"/>
      <c r="F12"/>
      <c r="G12"/>
      <c r="H12"/>
      <c r="I12"/>
      <c r="J12"/>
      <c r="K12"/>
      <c r="Q12"/>
      <c r="R12"/>
      <c r="S12"/>
      <c r="T12"/>
      <c r="U12"/>
      <c r="V12"/>
      <c r="W12"/>
      <c r="X12"/>
      <c r="Y12"/>
      <c r="Z12"/>
      <c r="AA12"/>
    </row>
    <row r="13" spans="1:27" ht="21.95" customHeight="1" x14ac:dyDescent="0.2">
      <c r="D13"/>
      <c r="E13"/>
      <c r="F13"/>
      <c r="G13"/>
      <c r="H13"/>
      <c r="I13"/>
      <c r="J13"/>
      <c r="K13"/>
      <c r="Q13"/>
      <c r="R13"/>
      <c r="S13"/>
      <c r="T13"/>
      <c r="U13"/>
      <c r="V13"/>
      <c r="W13"/>
      <c r="X13"/>
      <c r="Y13"/>
      <c r="Z13"/>
      <c r="AA13"/>
    </row>
    <row r="14" spans="1:27" ht="21.95" customHeight="1" thickBot="1" x14ac:dyDescent="0.25">
      <c r="B14" s="194" t="s">
        <v>191</v>
      </c>
      <c r="D14"/>
      <c r="E14"/>
      <c r="F14"/>
      <c r="G14"/>
      <c r="H14"/>
      <c r="I14"/>
      <c r="J14"/>
      <c r="K14"/>
    </row>
    <row r="15" spans="1:27" ht="21.95" customHeight="1" x14ac:dyDescent="0.2">
      <c r="B15" s="832" t="s">
        <v>10</v>
      </c>
      <c r="C15" s="759">
        <v>2021</v>
      </c>
      <c r="D15" s="759">
        <v>2022</v>
      </c>
      <c r="E15" s="833">
        <v>2023</v>
      </c>
      <c r="F15"/>
      <c r="G15"/>
      <c r="H15"/>
      <c r="I15"/>
      <c r="J15"/>
      <c r="K15"/>
    </row>
    <row r="16" spans="1:27" ht="21.95" customHeight="1" thickBot="1" x14ac:dyDescent="0.25">
      <c r="B16" s="795" t="s">
        <v>276</v>
      </c>
      <c r="C16" s="439">
        <f>$C$8/C8</f>
        <v>1</v>
      </c>
      <c r="D16" s="439">
        <f>$C$8/D8</f>
        <v>0.92920012292466136</v>
      </c>
      <c r="E16" s="440">
        <f>$C$8/E8</f>
        <v>0.89662251554920236</v>
      </c>
      <c r="F16"/>
      <c r="G16"/>
      <c r="H16"/>
      <c r="I16"/>
      <c r="J16"/>
      <c r="K16"/>
    </row>
    <row r="17" spans="4:11" ht="21.95" customHeight="1" x14ac:dyDescent="0.2">
      <c r="D17"/>
      <c r="E17"/>
      <c r="F17"/>
      <c r="G17"/>
      <c r="H17"/>
      <c r="I17"/>
      <c r="J17"/>
      <c r="K17"/>
    </row>
    <row r="18" spans="4:11" ht="21.95" customHeight="1" x14ac:dyDescent="0.2">
      <c r="D18"/>
      <c r="E18"/>
      <c r="F18"/>
      <c r="G18"/>
      <c r="H18"/>
      <c r="I18"/>
      <c r="J18"/>
      <c r="K18"/>
    </row>
    <row r="19" spans="4:11" ht="21.95" customHeight="1" x14ac:dyDescent="0.2">
      <c r="D19"/>
      <c r="E19"/>
      <c r="F19"/>
      <c r="G19"/>
      <c r="H19"/>
      <c r="I19"/>
      <c r="J19"/>
      <c r="K19"/>
    </row>
    <row r="20" spans="4:11" ht="21.95" customHeight="1" x14ac:dyDescent="0.2">
      <c r="D20"/>
      <c r="E20"/>
      <c r="F20"/>
      <c r="G20"/>
      <c r="H20"/>
      <c r="I20"/>
      <c r="J20"/>
      <c r="K20"/>
    </row>
    <row r="21" spans="4:11" ht="21.95" customHeight="1" x14ac:dyDescent="0.2">
      <c r="D21"/>
      <c r="E21"/>
      <c r="F21"/>
      <c r="G21"/>
      <c r="H21"/>
      <c r="I21"/>
      <c r="J21"/>
      <c r="K21"/>
    </row>
    <row r="22" spans="4:11" ht="21.95" customHeight="1" x14ac:dyDescent="0.2">
      <c r="D22"/>
      <c r="E22"/>
      <c r="F22"/>
      <c r="G22"/>
      <c r="H22"/>
      <c r="I22"/>
      <c r="J22"/>
      <c r="K22"/>
    </row>
    <row r="23" spans="4:11" ht="21.95" customHeight="1" x14ac:dyDescent="0.2">
      <c r="D23"/>
      <c r="E23"/>
      <c r="F23"/>
      <c r="G23"/>
      <c r="H23"/>
      <c r="I23"/>
      <c r="J23"/>
      <c r="K23"/>
    </row>
    <row r="24" spans="4:11" ht="21.95" customHeight="1" x14ac:dyDescent="0.2">
      <c r="D24"/>
      <c r="E24"/>
      <c r="F24"/>
      <c r="G24"/>
      <c r="H24"/>
      <c r="I24"/>
      <c r="J24"/>
      <c r="K24"/>
    </row>
    <row r="25" spans="4:11" ht="21.95" customHeight="1" x14ac:dyDescent="0.2">
      <c r="D25"/>
      <c r="E25"/>
      <c r="F25"/>
      <c r="G25"/>
      <c r="H25"/>
      <c r="I25"/>
      <c r="J25"/>
      <c r="K25"/>
    </row>
    <row r="26" spans="4:11" ht="21.95" customHeight="1" x14ac:dyDescent="0.2">
      <c r="D26"/>
      <c r="E26"/>
      <c r="F26"/>
      <c r="G26"/>
      <c r="H26"/>
      <c r="I26"/>
      <c r="J26"/>
      <c r="K26"/>
    </row>
    <row r="27" spans="4:11" ht="21.95" customHeight="1" x14ac:dyDescent="0.2">
      <c r="D27"/>
      <c r="E27"/>
      <c r="F27"/>
      <c r="G27"/>
      <c r="H27"/>
      <c r="I27"/>
      <c r="J27"/>
      <c r="K27"/>
    </row>
    <row r="28" spans="4:11" ht="21.95" customHeight="1" x14ac:dyDescent="0.2">
      <c r="D28"/>
      <c r="E28"/>
      <c r="F28"/>
      <c r="G28"/>
      <c r="H28"/>
      <c r="I28"/>
      <c r="J28"/>
      <c r="K28"/>
    </row>
    <row r="29" spans="4:11" ht="21.95" customHeight="1" x14ac:dyDescent="0.2">
      <c r="D29"/>
      <c r="E29"/>
      <c r="F29"/>
      <c r="G29"/>
      <c r="H29"/>
      <c r="I29"/>
      <c r="J29"/>
      <c r="K29"/>
    </row>
    <row r="30" spans="4:11" ht="21.95" customHeight="1" x14ac:dyDescent="0.2">
      <c r="D30"/>
      <c r="E30"/>
      <c r="F30"/>
      <c r="G30"/>
      <c r="H30"/>
      <c r="I30"/>
      <c r="J30"/>
      <c r="K30"/>
    </row>
  </sheetData>
  <mergeCells count="1">
    <mergeCell ref="B2:D2"/>
  </mergeCells>
  <hyperlinks>
    <hyperlink ref="B2" location="Emissions!A1" display="Back to Emissions Tab" xr:uid="{20A91F54-C8EB-47BB-A489-5C2DC987E9CC}"/>
    <hyperlink ref="B2:D2" location="Inputs!A1" display="Back to Inputs Tab" xr:uid="{D664BCB7-507D-4DD9-B720-F4EB9CB43272}"/>
  </hyperlinks>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64E9A-3A62-4C6D-9B90-09F7C5FD1CDC}">
  <sheetPr codeName="Sheet16">
    <tabColor theme="9" tint="0.59999389629810485"/>
  </sheetPr>
  <dimension ref="B2:T109"/>
  <sheetViews>
    <sheetView showGridLines="0" topLeftCell="B1" zoomScale="85" zoomScaleNormal="85" workbookViewId="0">
      <selection activeCell="V15" sqref="V15"/>
    </sheetView>
  </sheetViews>
  <sheetFormatPr defaultColWidth="11.625" defaultRowHeight="21.95" customHeight="1" x14ac:dyDescent="0.2"/>
  <cols>
    <col min="1" max="1" width="3.375" customWidth="1"/>
    <col min="2" max="2" width="27.25" bestFit="1" customWidth="1"/>
    <col min="3" max="10" width="9.75" customWidth="1"/>
    <col min="11" max="13" width="11.5" customWidth="1"/>
    <col min="14" max="14" width="17.5" customWidth="1"/>
    <col min="15" max="23" width="11.5" customWidth="1"/>
    <col min="25" max="25" width="26.75" customWidth="1"/>
    <col min="28" max="28" width="18.75" customWidth="1"/>
    <col min="29" max="29" width="20.625" customWidth="1"/>
    <col min="30" max="30" width="23.25" customWidth="1"/>
    <col min="31" max="31" width="12.25" customWidth="1"/>
  </cols>
  <sheetData>
    <row r="2" spans="2:20" ht="21.95" customHeight="1" x14ac:dyDescent="0.2">
      <c r="B2" s="1358" t="s">
        <v>70</v>
      </c>
      <c r="C2" s="1358"/>
      <c r="D2" s="1358"/>
    </row>
    <row r="4" spans="2:20" ht="23.25" x14ac:dyDescent="0.2">
      <c r="B4" s="394" t="s">
        <v>397</v>
      </c>
      <c r="C4" s="10"/>
    </row>
    <row r="5" spans="2:20" ht="23.25" x14ac:dyDescent="0.2">
      <c r="B5" s="10"/>
      <c r="C5" s="10"/>
      <c r="J5" s="243"/>
    </row>
    <row r="6" spans="2:20" ht="23.45" customHeight="1" x14ac:dyDescent="0.2">
      <c r="B6" t="s">
        <v>204</v>
      </c>
      <c r="J6" s="243"/>
    </row>
    <row r="7" spans="2:20" ht="23.45" customHeight="1" x14ac:dyDescent="0.2">
      <c r="J7" s="243"/>
    </row>
    <row r="8" spans="2:20" ht="23.45" customHeight="1" thickBot="1" x14ac:dyDescent="0.25">
      <c r="B8" s="194" t="s">
        <v>516</v>
      </c>
      <c r="J8" s="243"/>
      <c r="K8" s="194" t="s">
        <v>48</v>
      </c>
    </row>
    <row r="9" spans="2:20" ht="23.45" customHeight="1" x14ac:dyDescent="0.2">
      <c r="B9" s="1363" t="s">
        <v>10</v>
      </c>
      <c r="C9" s="1365" t="s">
        <v>185</v>
      </c>
      <c r="D9" s="1365"/>
      <c r="E9" s="1365"/>
      <c r="F9" s="1365"/>
      <c r="G9" s="1365"/>
      <c r="H9" s="1359" t="s">
        <v>25</v>
      </c>
      <c r="J9" s="243"/>
      <c r="K9" s="196"/>
      <c r="L9" s="200"/>
      <c r="M9" s="200"/>
      <c r="N9" s="200" t="s">
        <v>18</v>
      </c>
      <c r="O9" s="241" t="s">
        <v>398</v>
      </c>
      <c r="P9" s="200"/>
      <c r="Q9" s="205" t="s">
        <v>3</v>
      </c>
    </row>
    <row r="10" spans="2:20" ht="23.45" customHeight="1" x14ac:dyDescent="0.2">
      <c r="B10" s="1364"/>
      <c r="C10" s="123">
        <v>1</v>
      </c>
      <c r="D10" s="123">
        <v>2</v>
      </c>
      <c r="E10" s="123">
        <v>3</v>
      </c>
      <c r="F10" s="123">
        <v>4</v>
      </c>
      <c r="G10" s="123">
        <v>5</v>
      </c>
      <c r="H10" s="1366"/>
      <c r="J10" s="243"/>
      <c r="K10" s="204" t="s">
        <v>399</v>
      </c>
      <c r="L10" s="186"/>
      <c r="M10" s="186"/>
      <c r="N10" s="186" t="s">
        <v>519</v>
      </c>
      <c r="O10" s="186" t="s">
        <v>32</v>
      </c>
      <c r="P10" s="186"/>
      <c r="Q10" s="222">
        <f>G18</f>
        <v>0</v>
      </c>
      <c r="S10">
        <v>2017</v>
      </c>
      <c r="T10">
        <f>H11+H24+H37+H50+H63+H89+H102+H76</f>
        <v>8</v>
      </c>
    </row>
    <row r="11" spans="2:20" ht="23.45" customHeight="1" x14ac:dyDescent="0.2">
      <c r="B11" s="214">
        <v>2017</v>
      </c>
      <c r="C11" s="220">
        <v>0</v>
      </c>
      <c r="D11" s="220">
        <v>0</v>
      </c>
      <c r="E11" s="220">
        <v>1</v>
      </c>
      <c r="F11" s="220">
        <v>1</v>
      </c>
      <c r="G11" s="220">
        <v>0</v>
      </c>
      <c r="H11" s="221">
        <f>SUM(C11:G11)</f>
        <v>2</v>
      </c>
      <c r="J11" s="243"/>
      <c r="K11" s="197"/>
      <c r="N11" t="s">
        <v>295</v>
      </c>
      <c r="O11" t="s">
        <v>33</v>
      </c>
      <c r="Q11" s="223">
        <f>SUM(D18:F18)</f>
        <v>0.55000000000000004</v>
      </c>
      <c r="S11">
        <v>2018</v>
      </c>
      <c r="T11">
        <f>H12+H25+H38+H51+H64+H90+H103+H77</f>
        <v>12</v>
      </c>
    </row>
    <row r="12" spans="2:20" ht="23.45" customHeight="1" x14ac:dyDescent="0.2">
      <c r="B12" s="197">
        <f>B11+1</f>
        <v>2018</v>
      </c>
      <c r="C12" s="116">
        <v>2</v>
      </c>
      <c r="D12" s="116">
        <v>1</v>
      </c>
      <c r="E12" s="116">
        <v>3</v>
      </c>
      <c r="F12" s="116">
        <v>0</v>
      </c>
      <c r="G12" s="116">
        <v>0</v>
      </c>
      <c r="H12" s="215">
        <f>SUM(C12:G12)</f>
        <v>6</v>
      </c>
      <c r="J12" s="243"/>
      <c r="K12" s="197"/>
      <c r="N12" s="45"/>
      <c r="O12" s="45" t="s">
        <v>30</v>
      </c>
      <c r="P12" s="45"/>
      <c r="Q12" s="224">
        <f>C18</f>
        <v>0.45</v>
      </c>
      <c r="S12">
        <v>2019</v>
      </c>
      <c r="T12">
        <f>H13+H26+H39+H52+H65+H91+H104+H78</f>
        <v>13</v>
      </c>
    </row>
    <row r="13" spans="2:20" ht="23.45" customHeight="1" x14ac:dyDescent="0.2">
      <c r="B13" s="197">
        <f>B12+1</f>
        <v>2019</v>
      </c>
      <c r="C13" s="116">
        <v>5</v>
      </c>
      <c r="D13" s="116">
        <v>0</v>
      </c>
      <c r="E13" s="116">
        <v>1</v>
      </c>
      <c r="F13" s="116">
        <v>0</v>
      </c>
      <c r="G13" s="116">
        <v>0</v>
      </c>
      <c r="H13" s="215">
        <f>SUM(C13:G13)</f>
        <v>6</v>
      </c>
      <c r="J13" s="243"/>
      <c r="K13" s="197"/>
      <c r="N13" t="s">
        <v>520</v>
      </c>
      <c r="O13" t="s">
        <v>32</v>
      </c>
      <c r="Q13" s="223">
        <f>G31</f>
        <v>0</v>
      </c>
      <c r="S13">
        <v>2020</v>
      </c>
      <c r="T13">
        <f>H14+H27+H40+H53+H66+H92+H105+H79</f>
        <v>11</v>
      </c>
    </row>
    <row r="14" spans="2:20" ht="23.45" customHeight="1" x14ac:dyDescent="0.2">
      <c r="B14" s="197">
        <f>B13+1</f>
        <v>2020</v>
      </c>
      <c r="C14" s="116">
        <v>1</v>
      </c>
      <c r="D14" s="116">
        <v>2</v>
      </c>
      <c r="E14" s="116">
        <v>0</v>
      </c>
      <c r="F14" s="116">
        <v>0</v>
      </c>
      <c r="G14" s="116">
        <v>0</v>
      </c>
      <c r="H14" s="215">
        <f>SUM(C14:G14)</f>
        <v>3</v>
      </c>
      <c r="J14" s="243"/>
      <c r="K14" s="197"/>
      <c r="N14" t="s">
        <v>296</v>
      </c>
      <c r="O14" t="s">
        <v>33</v>
      </c>
      <c r="Q14" s="223">
        <f>SUM(D31:F31)</f>
        <v>1</v>
      </c>
      <c r="S14">
        <v>2021</v>
      </c>
      <c r="T14">
        <f>H15+H28+H41+H54+H67+H93+H106+H80</f>
        <v>13</v>
      </c>
    </row>
    <row r="15" spans="2:20" ht="23.45" customHeight="1" x14ac:dyDescent="0.2">
      <c r="B15" s="197">
        <f>B14+1</f>
        <v>2021</v>
      </c>
      <c r="C15" s="124">
        <v>1</v>
      </c>
      <c r="D15" s="124">
        <v>1</v>
      </c>
      <c r="E15" s="124">
        <v>0</v>
      </c>
      <c r="F15" s="124">
        <v>1</v>
      </c>
      <c r="G15" s="124">
        <v>0</v>
      </c>
      <c r="H15" s="215">
        <f>SUM(C15:G15)</f>
        <v>3</v>
      </c>
      <c r="J15" s="243"/>
      <c r="K15" s="197"/>
      <c r="N15" s="45"/>
      <c r="O15" s="45" t="s">
        <v>30</v>
      </c>
      <c r="P15" s="45"/>
      <c r="Q15" s="224">
        <f>C31</f>
        <v>0</v>
      </c>
    </row>
    <row r="16" spans="2:20" ht="23.45" customHeight="1" x14ac:dyDescent="0.2">
      <c r="B16" s="216" t="s">
        <v>181</v>
      </c>
      <c r="C16" s="125">
        <f t="shared" ref="C16:G16" si="0">SUM(C11:C15)</f>
        <v>9</v>
      </c>
      <c r="D16" s="125">
        <f t="shared" si="0"/>
        <v>4</v>
      </c>
      <c r="E16" s="125">
        <f t="shared" si="0"/>
        <v>5</v>
      </c>
      <c r="F16" s="125">
        <f t="shared" si="0"/>
        <v>2</v>
      </c>
      <c r="G16" s="125">
        <f t="shared" si="0"/>
        <v>0</v>
      </c>
      <c r="H16" s="217">
        <f>SUM(H11:H15)</f>
        <v>20</v>
      </c>
      <c r="I16" s="368"/>
      <c r="J16" s="243"/>
      <c r="K16" s="197"/>
      <c r="N16" t="s">
        <v>521</v>
      </c>
      <c r="O16" t="s">
        <v>32</v>
      </c>
      <c r="Q16" s="223">
        <v>0</v>
      </c>
    </row>
    <row r="17" spans="2:17" ht="21.95" customHeight="1" x14ac:dyDescent="0.2">
      <c r="B17" s="199" t="s">
        <v>85</v>
      </c>
      <c r="C17" s="146">
        <f>AVERAGE(C11:C15)</f>
        <v>1.8</v>
      </c>
      <c r="D17" s="146">
        <f t="shared" ref="D17:G17" si="1">AVERAGE(D11:D15)</f>
        <v>0.8</v>
      </c>
      <c r="E17" s="146">
        <f t="shared" si="1"/>
        <v>1</v>
      </c>
      <c r="F17" s="146">
        <f t="shared" si="1"/>
        <v>0.4</v>
      </c>
      <c r="G17" s="146">
        <f t="shared" si="1"/>
        <v>0</v>
      </c>
      <c r="H17" s="215">
        <f>AVERAGE(H11:H15)</f>
        <v>4</v>
      </c>
      <c r="J17" s="243"/>
      <c r="K17" s="197"/>
      <c r="N17" t="s">
        <v>297</v>
      </c>
      <c r="O17" t="s">
        <v>33</v>
      </c>
      <c r="Q17" s="223">
        <v>0</v>
      </c>
    </row>
    <row r="18" spans="2:17" ht="21.95" customHeight="1" thickBot="1" x14ac:dyDescent="0.25">
      <c r="B18" s="211" t="s">
        <v>203</v>
      </c>
      <c r="C18" s="218">
        <f>C17/$H17</f>
        <v>0.45</v>
      </c>
      <c r="D18" s="218">
        <f t="shared" ref="D18:F18" si="2">D17/$H17</f>
        <v>0.2</v>
      </c>
      <c r="E18" s="218">
        <f t="shared" si="2"/>
        <v>0.25</v>
      </c>
      <c r="F18" s="218">
        <f t="shared" si="2"/>
        <v>0.1</v>
      </c>
      <c r="G18" s="218">
        <f>G17/$H17</f>
        <v>0</v>
      </c>
      <c r="H18" s="219">
        <f>H16/($H$16+ $H$29+$H$44+$H$55+$H$68+$H$94+$H$107+$H$81)</f>
        <v>0.35087719298245612</v>
      </c>
      <c r="J18" s="243"/>
      <c r="K18" s="197"/>
      <c r="N18" s="45"/>
      <c r="O18" s="45" t="s">
        <v>30</v>
      </c>
      <c r="P18" s="45"/>
      <c r="Q18" s="224">
        <v>0</v>
      </c>
    </row>
    <row r="19" spans="2:17" ht="21.95" customHeight="1" x14ac:dyDescent="0.2">
      <c r="J19" s="243"/>
      <c r="K19" s="197"/>
      <c r="N19" t="s">
        <v>339</v>
      </c>
      <c r="O19" t="s">
        <v>32</v>
      </c>
      <c r="Q19" s="223">
        <f>G57</f>
        <v>0</v>
      </c>
    </row>
    <row r="20" spans="2:17" ht="21.95" customHeight="1" x14ac:dyDescent="0.2">
      <c r="J20" s="243"/>
      <c r="K20" s="197"/>
      <c r="O20" t="s">
        <v>33</v>
      </c>
      <c r="Q20" s="223">
        <f>SUM(D57:F57)</f>
        <v>1</v>
      </c>
    </row>
    <row r="21" spans="2:17" ht="21.95" customHeight="1" thickBot="1" x14ac:dyDescent="0.25">
      <c r="B21" s="194" t="s">
        <v>428</v>
      </c>
      <c r="J21" s="243"/>
      <c r="K21" s="197"/>
      <c r="N21" s="45"/>
      <c r="O21" s="45" t="s">
        <v>30</v>
      </c>
      <c r="P21" s="45"/>
      <c r="Q21" s="224">
        <f>C57</f>
        <v>0</v>
      </c>
    </row>
    <row r="22" spans="2:17" ht="21.95" customHeight="1" x14ac:dyDescent="0.2">
      <c r="B22" s="1363" t="s">
        <v>10</v>
      </c>
      <c r="C22" s="1365" t="s">
        <v>185</v>
      </c>
      <c r="D22" s="1365"/>
      <c r="E22" s="1365"/>
      <c r="F22" s="1365"/>
      <c r="G22" s="1365"/>
      <c r="H22" s="1359" t="s">
        <v>25</v>
      </c>
      <c r="J22" s="243"/>
      <c r="K22" s="197"/>
      <c r="N22" t="s">
        <v>323</v>
      </c>
      <c r="O22" t="s">
        <v>32</v>
      </c>
      <c r="Q22" s="223">
        <v>0</v>
      </c>
    </row>
    <row r="23" spans="2:17" ht="21.95" customHeight="1" x14ac:dyDescent="0.2">
      <c r="B23" s="1364"/>
      <c r="C23" s="46">
        <v>1</v>
      </c>
      <c r="D23" s="46">
        <v>2</v>
      </c>
      <c r="E23" s="46">
        <v>3</v>
      </c>
      <c r="F23" s="46">
        <v>4</v>
      </c>
      <c r="G23" s="46">
        <v>5</v>
      </c>
      <c r="H23" s="1366"/>
      <c r="J23" s="243"/>
      <c r="K23" s="197"/>
      <c r="O23" t="s">
        <v>33</v>
      </c>
      <c r="Q23" s="223">
        <v>0</v>
      </c>
    </row>
    <row r="24" spans="2:17" ht="21.95" customHeight="1" x14ac:dyDescent="0.2">
      <c r="B24" s="214">
        <v>2017</v>
      </c>
      <c r="C24" s="220">
        <v>0</v>
      </c>
      <c r="D24" s="220">
        <v>0</v>
      </c>
      <c r="E24" s="220">
        <v>0</v>
      </c>
      <c r="F24" s="220">
        <v>0</v>
      </c>
      <c r="G24" s="220">
        <v>0</v>
      </c>
      <c r="H24" s="221">
        <f>SUM(C24:G24)</f>
        <v>0</v>
      </c>
      <c r="J24" s="243"/>
      <c r="K24" s="197"/>
      <c r="O24" t="s">
        <v>30</v>
      </c>
      <c r="Q24" s="223">
        <v>0</v>
      </c>
    </row>
    <row r="25" spans="2:17" ht="21.95" customHeight="1" x14ac:dyDescent="0.2">
      <c r="B25" s="197">
        <f>B24+1</f>
        <v>2018</v>
      </c>
      <c r="C25" s="116">
        <v>0</v>
      </c>
      <c r="D25" s="116">
        <v>0</v>
      </c>
      <c r="E25" s="116">
        <v>1</v>
      </c>
      <c r="F25" s="116">
        <v>0</v>
      </c>
      <c r="G25" s="116">
        <v>0</v>
      </c>
      <c r="H25" s="215">
        <f>SUM(C25:G25)</f>
        <v>1</v>
      </c>
      <c r="J25" s="243"/>
      <c r="K25" s="197"/>
      <c r="N25" s="186" t="s">
        <v>522</v>
      </c>
      <c r="O25" s="186" t="s">
        <v>32</v>
      </c>
      <c r="P25" s="186"/>
      <c r="Q25" s="222">
        <f>G83</f>
        <v>0</v>
      </c>
    </row>
    <row r="26" spans="2:17" ht="21.95" customHeight="1" x14ac:dyDescent="0.2">
      <c r="B26" s="197">
        <f t="shared" ref="B26:B28" si="3">B25+1</f>
        <v>2019</v>
      </c>
      <c r="C26" s="116">
        <v>0</v>
      </c>
      <c r="D26" s="116">
        <v>0</v>
      </c>
      <c r="E26" s="116">
        <v>0</v>
      </c>
      <c r="F26" s="116">
        <v>0</v>
      </c>
      <c r="G26" s="116">
        <v>0</v>
      </c>
      <c r="H26" s="215">
        <f t="shared" ref="H26:H28" si="4">SUM(C26:G26)</f>
        <v>0</v>
      </c>
      <c r="J26" s="243"/>
      <c r="K26" s="197"/>
      <c r="N26" t="s">
        <v>388</v>
      </c>
      <c r="O26" t="s">
        <v>33</v>
      </c>
      <c r="Q26" s="223">
        <f>SUM(D83:F83)</f>
        <v>0.42857142857142855</v>
      </c>
    </row>
    <row r="27" spans="2:17" ht="21.95" customHeight="1" x14ac:dyDescent="0.2">
      <c r="B27" s="197">
        <f t="shared" si="3"/>
        <v>2020</v>
      </c>
      <c r="C27" s="116">
        <v>0</v>
      </c>
      <c r="D27" s="116">
        <v>0</v>
      </c>
      <c r="E27" s="116">
        <v>0</v>
      </c>
      <c r="F27" s="116">
        <v>0</v>
      </c>
      <c r="G27" s="116">
        <v>0</v>
      </c>
      <c r="H27" s="215">
        <f t="shared" si="4"/>
        <v>0</v>
      </c>
      <c r="J27" s="243"/>
      <c r="K27" s="197"/>
      <c r="O27" t="s">
        <v>30</v>
      </c>
      <c r="Q27" s="223">
        <f>C83</f>
        <v>0.5714285714285714</v>
      </c>
    </row>
    <row r="28" spans="2:17" ht="21.95" customHeight="1" x14ac:dyDescent="0.2">
      <c r="B28" s="197">
        <f t="shared" si="3"/>
        <v>2021</v>
      </c>
      <c r="C28" s="124">
        <v>0</v>
      </c>
      <c r="D28" s="124">
        <v>1</v>
      </c>
      <c r="E28" s="124">
        <v>0</v>
      </c>
      <c r="F28" s="124">
        <v>0</v>
      </c>
      <c r="G28" s="124">
        <v>0</v>
      </c>
      <c r="H28" s="215">
        <f t="shared" si="4"/>
        <v>1</v>
      </c>
      <c r="I28" s="194"/>
      <c r="J28" s="243"/>
      <c r="K28" s="197"/>
      <c r="N28" s="186" t="s">
        <v>523</v>
      </c>
      <c r="O28" s="186" t="s">
        <v>32</v>
      </c>
      <c r="P28" s="186"/>
      <c r="Q28" s="222">
        <f>G96</f>
        <v>0</v>
      </c>
    </row>
    <row r="29" spans="2:17" ht="21.95" customHeight="1" x14ac:dyDescent="0.2">
      <c r="B29" s="216" t="s">
        <v>181</v>
      </c>
      <c r="C29" s="125">
        <f>SUM(C24:C28)</f>
        <v>0</v>
      </c>
      <c r="D29" s="125">
        <f t="shared" ref="D29:H29" si="5">SUM(D24:D28)</f>
        <v>1</v>
      </c>
      <c r="E29" s="125">
        <f t="shared" si="5"/>
        <v>1</v>
      </c>
      <c r="F29" s="125">
        <f t="shared" si="5"/>
        <v>0</v>
      </c>
      <c r="G29" s="125">
        <f>SUM(G24:G28)</f>
        <v>0</v>
      </c>
      <c r="H29" s="217">
        <f t="shared" si="5"/>
        <v>2</v>
      </c>
      <c r="J29" s="243"/>
      <c r="K29" s="197"/>
      <c r="N29" t="s">
        <v>524</v>
      </c>
      <c r="O29" t="s">
        <v>33</v>
      </c>
      <c r="Q29" s="223">
        <f>SUM(D96:F96)</f>
        <v>0.125</v>
      </c>
    </row>
    <row r="30" spans="2:17" ht="21.95" customHeight="1" x14ac:dyDescent="0.2">
      <c r="B30" s="199" t="s">
        <v>85</v>
      </c>
      <c r="C30" s="146">
        <f>AVERAGE(C24:C28)</f>
        <v>0</v>
      </c>
      <c r="D30" s="146">
        <f t="shared" ref="D30:H30" si="6">AVERAGE(D24:D28)</f>
        <v>0.2</v>
      </c>
      <c r="E30" s="146">
        <f t="shared" si="6"/>
        <v>0.2</v>
      </c>
      <c r="F30" s="146">
        <f t="shared" si="6"/>
        <v>0</v>
      </c>
      <c r="G30" s="146">
        <f t="shared" si="6"/>
        <v>0</v>
      </c>
      <c r="H30" s="215">
        <f t="shared" si="6"/>
        <v>0.4</v>
      </c>
      <c r="J30" s="243"/>
      <c r="K30" s="197"/>
      <c r="N30" s="187"/>
      <c r="O30" s="187" t="s">
        <v>30</v>
      </c>
      <c r="P30" s="187"/>
      <c r="Q30" s="242">
        <f>C96</f>
        <v>0.87499999999999989</v>
      </c>
    </row>
    <row r="31" spans="2:17" ht="21.95" customHeight="1" thickBot="1" x14ac:dyDescent="0.25">
      <c r="B31" s="211" t="s">
        <v>203</v>
      </c>
      <c r="C31" s="218">
        <f>C30/$H30</f>
        <v>0</v>
      </c>
      <c r="D31" s="218">
        <f>D30/$H30</f>
        <v>0.5</v>
      </c>
      <c r="E31" s="218">
        <f>E30/$H30</f>
        <v>0.5</v>
      </c>
      <c r="F31" s="218">
        <f>F30/$H30</f>
        <v>0</v>
      </c>
      <c r="G31" s="218">
        <f>G30/$H30</f>
        <v>0</v>
      </c>
      <c r="H31" s="219">
        <f>H29/($H$16+ $H$29+$H$55+$H$68+$H$94+$H$107+$H$81)</f>
        <v>3.5087719298245612E-2</v>
      </c>
      <c r="J31" s="243"/>
      <c r="K31" s="197"/>
      <c r="N31" s="186" t="s">
        <v>288</v>
      </c>
      <c r="O31" s="186" t="s">
        <v>32</v>
      </c>
      <c r="P31" s="186"/>
      <c r="Q31" s="222">
        <f>G109</f>
        <v>0.2</v>
      </c>
    </row>
    <row r="32" spans="2:17" ht="21.95" customHeight="1" x14ac:dyDescent="0.2">
      <c r="J32" s="243"/>
      <c r="K32" s="197"/>
      <c r="O32" t="s">
        <v>33</v>
      </c>
      <c r="Q32" s="223">
        <f>SUM(D109:F109)</f>
        <v>0.6</v>
      </c>
    </row>
    <row r="33" spans="2:17" ht="21.95" customHeight="1" x14ac:dyDescent="0.2">
      <c r="J33" s="243"/>
      <c r="K33" s="197"/>
      <c r="O33" t="s">
        <v>30</v>
      </c>
      <c r="Q33" s="223">
        <f>C109</f>
        <v>0.2</v>
      </c>
    </row>
    <row r="34" spans="2:17" ht="21.95" customHeight="1" thickBot="1" x14ac:dyDescent="0.25">
      <c r="B34" s="195" t="s">
        <v>429</v>
      </c>
      <c r="J34" s="243"/>
      <c r="K34" s="204" t="s">
        <v>400</v>
      </c>
      <c r="L34" s="186"/>
      <c r="M34" s="186"/>
      <c r="N34" s="186" t="s">
        <v>519</v>
      </c>
      <c r="O34" s="186" t="s">
        <v>23</v>
      </c>
      <c r="P34" s="186"/>
      <c r="Q34" s="225">
        <f>H17</f>
        <v>4</v>
      </c>
    </row>
    <row r="35" spans="2:17" ht="21.95" customHeight="1" x14ac:dyDescent="0.2">
      <c r="B35" s="1372" t="s">
        <v>10</v>
      </c>
      <c r="C35" s="1369" t="s">
        <v>185</v>
      </c>
      <c r="D35" s="1369"/>
      <c r="E35" s="1369"/>
      <c r="F35" s="1369"/>
      <c r="G35" s="1369"/>
      <c r="H35" s="1370" t="s">
        <v>25</v>
      </c>
      <c r="J35" s="243"/>
      <c r="K35" s="199" t="s">
        <v>298</v>
      </c>
      <c r="N35" t="s">
        <v>299</v>
      </c>
      <c r="O35" t="s">
        <v>23</v>
      </c>
      <c r="Q35" s="209">
        <f>H30</f>
        <v>0.4</v>
      </c>
    </row>
    <row r="36" spans="2:17" ht="21.95" customHeight="1" x14ac:dyDescent="0.2">
      <c r="B36" s="1373"/>
      <c r="C36" s="239">
        <v>1</v>
      </c>
      <c r="D36" s="239">
        <v>2</v>
      </c>
      <c r="E36" s="239">
        <v>3</v>
      </c>
      <c r="F36" s="239">
        <v>4</v>
      </c>
      <c r="G36" s="239">
        <v>5</v>
      </c>
      <c r="H36" s="1371"/>
      <c r="J36" s="243"/>
      <c r="K36" s="199"/>
      <c r="N36" t="s">
        <v>300</v>
      </c>
      <c r="O36" t="s">
        <v>23</v>
      </c>
      <c r="Q36" s="209">
        <f>H43</f>
        <v>0</v>
      </c>
    </row>
    <row r="37" spans="2:17" ht="21.95" customHeight="1" x14ac:dyDescent="0.2">
      <c r="B37" s="214">
        <v>2017</v>
      </c>
      <c r="C37" s="220">
        <v>0</v>
      </c>
      <c r="D37" s="220">
        <v>0</v>
      </c>
      <c r="E37" s="220">
        <v>0</v>
      </c>
      <c r="F37" s="220">
        <v>0</v>
      </c>
      <c r="G37" s="220">
        <v>0</v>
      </c>
      <c r="H37" s="221">
        <f>SUM(C37:G37)</f>
        <v>0</v>
      </c>
      <c r="J37" s="243"/>
      <c r="K37" s="197"/>
      <c r="N37" t="s">
        <v>339</v>
      </c>
      <c r="O37" t="s">
        <v>23</v>
      </c>
      <c r="Q37" s="209">
        <f>H56</f>
        <v>0.2</v>
      </c>
    </row>
    <row r="38" spans="2:17" ht="21.95" customHeight="1" x14ac:dyDescent="0.2">
      <c r="B38" s="197">
        <f>B37+1</f>
        <v>2018</v>
      </c>
      <c r="C38" s="116">
        <v>0</v>
      </c>
      <c r="D38" s="116">
        <v>0</v>
      </c>
      <c r="E38" s="116">
        <v>0</v>
      </c>
      <c r="F38" s="116">
        <v>0</v>
      </c>
      <c r="G38" s="116">
        <v>0</v>
      </c>
      <c r="H38" s="215">
        <f>SUM(C38:G38)</f>
        <v>0</v>
      </c>
      <c r="J38" s="243"/>
      <c r="K38" s="199"/>
      <c r="N38" t="s">
        <v>323</v>
      </c>
      <c r="O38" t="s">
        <v>23</v>
      </c>
      <c r="Q38" s="209">
        <f>H69</f>
        <v>0</v>
      </c>
    </row>
    <row r="39" spans="2:17" ht="21.95" customHeight="1" x14ac:dyDescent="0.2">
      <c r="B39" s="197">
        <f t="shared" ref="B39:B41" si="7">B38+1</f>
        <v>2019</v>
      </c>
      <c r="C39" s="116">
        <v>0</v>
      </c>
      <c r="D39" s="116">
        <v>0</v>
      </c>
      <c r="E39" s="116">
        <v>0</v>
      </c>
      <c r="F39" s="116">
        <v>0</v>
      </c>
      <c r="G39" s="116">
        <v>0</v>
      </c>
      <c r="H39" s="215">
        <f t="shared" ref="H39:H41" si="8">SUM(C39:G39)</f>
        <v>0</v>
      </c>
      <c r="J39" s="243"/>
      <c r="K39" s="197"/>
      <c r="N39" t="s">
        <v>525</v>
      </c>
      <c r="O39" t="s">
        <v>23</v>
      </c>
      <c r="Q39" s="381">
        <f>H82</f>
        <v>4.2</v>
      </c>
    </row>
    <row r="40" spans="2:17" ht="21.95" customHeight="1" x14ac:dyDescent="0.2">
      <c r="B40" s="197">
        <f t="shared" si="7"/>
        <v>2020</v>
      </c>
      <c r="C40" s="116">
        <v>0</v>
      </c>
      <c r="D40" s="116">
        <v>0</v>
      </c>
      <c r="E40" s="116">
        <v>0</v>
      </c>
      <c r="F40" s="116">
        <v>0</v>
      </c>
      <c r="G40" s="116">
        <v>0</v>
      </c>
      <c r="H40" s="215">
        <f t="shared" si="8"/>
        <v>0</v>
      </c>
      <c r="J40" s="243"/>
      <c r="K40" s="197"/>
      <c r="N40" t="s">
        <v>523</v>
      </c>
      <c r="O40" t="s">
        <v>23</v>
      </c>
      <c r="Q40" s="209">
        <f>H95</f>
        <v>1.6</v>
      </c>
    </row>
    <row r="41" spans="2:17" ht="21.95" customHeight="1" thickBot="1" x14ac:dyDescent="0.25">
      <c r="B41" s="197">
        <f t="shared" si="7"/>
        <v>2021</v>
      </c>
      <c r="C41" s="124">
        <v>0</v>
      </c>
      <c r="D41" s="124">
        <v>0</v>
      </c>
      <c r="E41" s="124">
        <v>0</v>
      </c>
      <c r="F41" s="124">
        <v>0</v>
      </c>
      <c r="G41" s="124">
        <v>0</v>
      </c>
      <c r="H41" s="215">
        <f t="shared" si="8"/>
        <v>0</v>
      </c>
      <c r="J41" s="243"/>
      <c r="K41" s="201"/>
      <c r="L41" s="202"/>
      <c r="M41" s="202"/>
      <c r="N41" s="202" t="s">
        <v>288</v>
      </c>
      <c r="O41" s="202" t="s">
        <v>23</v>
      </c>
      <c r="P41" s="202"/>
      <c r="Q41" s="210">
        <f>H108</f>
        <v>1</v>
      </c>
    </row>
    <row r="42" spans="2:17" ht="21.95" customHeight="1" x14ac:dyDescent="0.2">
      <c r="B42" s="216" t="s">
        <v>181</v>
      </c>
      <c r="C42" s="125">
        <f>SUM(C37:C41)</f>
        <v>0</v>
      </c>
      <c r="D42" s="125">
        <f t="shared" ref="D42:F42" si="9">SUM(D37:D41)</f>
        <v>0</v>
      </c>
      <c r="E42" s="125">
        <f t="shared" si="9"/>
        <v>0</v>
      </c>
      <c r="F42" s="125">
        <f t="shared" si="9"/>
        <v>0</v>
      </c>
      <c r="G42" s="125">
        <f>SUM(G37:G41)</f>
        <v>0</v>
      </c>
      <c r="H42" s="217">
        <f t="shared" ref="H42" si="10">SUM(H37:H41)</f>
        <v>0</v>
      </c>
      <c r="J42" s="243"/>
    </row>
    <row r="43" spans="2:17" ht="21.95" customHeight="1" x14ac:dyDescent="0.2">
      <c r="B43" s="199" t="s">
        <v>85</v>
      </c>
      <c r="C43" s="146">
        <f>AVERAGE(C37:C41)</f>
        <v>0</v>
      </c>
      <c r="D43" s="146">
        <f t="shared" ref="D43:H43" si="11">AVERAGE(D37:D41)</f>
        <v>0</v>
      </c>
      <c r="E43" s="146">
        <f t="shared" si="11"/>
        <v>0</v>
      </c>
      <c r="F43" s="146">
        <f t="shared" si="11"/>
        <v>0</v>
      </c>
      <c r="G43" s="146">
        <f t="shared" si="11"/>
        <v>0</v>
      </c>
      <c r="H43" s="215">
        <f t="shared" si="11"/>
        <v>0</v>
      </c>
      <c r="J43" s="243"/>
    </row>
    <row r="44" spans="2:17" ht="21.95" customHeight="1" thickBot="1" x14ac:dyDescent="0.25">
      <c r="B44" s="211" t="s">
        <v>203</v>
      </c>
      <c r="C44" s="1080" t="e">
        <f>C43/$H43</f>
        <v>#DIV/0!</v>
      </c>
      <c r="D44" s="1080" t="e">
        <f>D43/$H43</f>
        <v>#DIV/0!</v>
      </c>
      <c r="E44" s="1080" t="e">
        <f>E43/$H43</f>
        <v>#DIV/0!</v>
      </c>
      <c r="F44" s="1080" t="e">
        <f>F43/$H43</f>
        <v>#DIV/0!</v>
      </c>
      <c r="G44" s="1080" t="e">
        <f>G43/$H43</f>
        <v>#DIV/0!</v>
      </c>
      <c r="H44" s="1081">
        <f>H42/($H$16+ $H$29+$H$55+$H$68+$H$94+$H$107+$H$81)</f>
        <v>0</v>
      </c>
      <c r="J44" s="243"/>
    </row>
    <row r="46" spans="2:17" ht="21.95" customHeight="1" x14ac:dyDescent="0.2">
      <c r="J46" s="195"/>
    </row>
    <row r="47" spans="2:17" ht="21.95" customHeight="1" thickBot="1" x14ac:dyDescent="0.25">
      <c r="B47" s="194" t="s">
        <v>430</v>
      </c>
      <c r="J47" s="1375"/>
      <c r="K47" s="1374"/>
      <c r="L47" s="1374"/>
      <c r="M47" s="1374"/>
      <c r="N47" s="1374"/>
      <c r="O47" s="1374"/>
      <c r="P47" s="1374"/>
    </row>
    <row r="48" spans="2:17" ht="21.95" customHeight="1" x14ac:dyDescent="0.2">
      <c r="B48" s="1363" t="s">
        <v>10</v>
      </c>
      <c r="C48" s="1365" t="s">
        <v>185</v>
      </c>
      <c r="D48" s="1365"/>
      <c r="E48" s="1365"/>
      <c r="F48" s="1365"/>
      <c r="G48" s="1365"/>
      <c r="H48" s="1359" t="s">
        <v>25</v>
      </c>
      <c r="J48" s="1375"/>
      <c r="K48" s="239"/>
      <c r="L48" s="239"/>
      <c r="M48" s="239"/>
      <c r="N48" s="239"/>
      <c r="O48" s="239"/>
      <c r="P48" s="1374"/>
    </row>
    <row r="49" spans="2:16" ht="21.95" customHeight="1" x14ac:dyDescent="0.2">
      <c r="B49" s="1364"/>
      <c r="C49" s="46">
        <v>1</v>
      </c>
      <c r="D49" s="46">
        <v>2</v>
      </c>
      <c r="E49" s="46">
        <v>3</v>
      </c>
      <c r="F49" s="46">
        <v>4</v>
      </c>
      <c r="G49" s="46">
        <v>5</v>
      </c>
      <c r="H49" s="1366"/>
      <c r="K49" s="116"/>
      <c r="L49" s="116"/>
      <c r="M49" s="116"/>
      <c r="N49" s="116"/>
      <c r="O49" s="116"/>
      <c r="P49" s="240"/>
    </row>
    <row r="50" spans="2:16" ht="21.95" customHeight="1" x14ac:dyDescent="0.2">
      <c r="B50" s="214">
        <v>2017</v>
      </c>
      <c r="C50" s="220">
        <v>0</v>
      </c>
      <c r="D50" s="220">
        <v>0</v>
      </c>
      <c r="E50" s="220">
        <v>0</v>
      </c>
      <c r="F50" s="220">
        <v>0</v>
      </c>
      <c r="G50" s="220">
        <v>0</v>
      </c>
      <c r="H50" s="221">
        <f>SUM(C50:G50)</f>
        <v>0</v>
      </c>
    </row>
    <row r="51" spans="2:16" ht="21.95" customHeight="1" x14ac:dyDescent="0.2">
      <c r="B51" s="197">
        <f>B50+1</f>
        <v>2018</v>
      </c>
      <c r="C51" s="116">
        <v>0</v>
      </c>
      <c r="D51" s="116">
        <v>0</v>
      </c>
      <c r="E51" s="116">
        <v>0</v>
      </c>
      <c r="F51" s="116">
        <v>0</v>
      </c>
      <c r="G51" s="116">
        <v>0</v>
      </c>
      <c r="H51" s="215">
        <f>SUM(C51:G51)</f>
        <v>0</v>
      </c>
    </row>
    <row r="52" spans="2:16" ht="21.95" customHeight="1" x14ac:dyDescent="0.2">
      <c r="B52" s="197">
        <f t="shared" ref="B52:B54" si="12">B51+1</f>
        <v>2019</v>
      </c>
      <c r="C52" s="116">
        <v>0</v>
      </c>
      <c r="D52" s="116">
        <v>0</v>
      </c>
      <c r="E52" s="116">
        <v>1</v>
      </c>
      <c r="F52" s="116">
        <v>0</v>
      </c>
      <c r="G52" s="116">
        <v>0</v>
      </c>
      <c r="H52" s="215">
        <f t="shared" ref="H52:H54" si="13">SUM(C52:G52)</f>
        <v>1</v>
      </c>
    </row>
    <row r="53" spans="2:16" ht="21.95" customHeight="1" x14ac:dyDescent="0.2">
      <c r="B53" s="197">
        <f t="shared" si="12"/>
        <v>2020</v>
      </c>
      <c r="C53" s="116">
        <v>0</v>
      </c>
      <c r="D53" s="116">
        <v>0</v>
      </c>
      <c r="E53" s="116">
        <v>0</v>
      </c>
      <c r="F53" s="116">
        <v>0</v>
      </c>
      <c r="G53" s="116">
        <v>0</v>
      </c>
      <c r="H53" s="215">
        <f t="shared" si="13"/>
        <v>0</v>
      </c>
    </row>
    <row r="54" spans="2:16" ht="21.95" customHeight="1" x14ac:dyDescent="0.2">
      <c r="B54" s="197">
        <f t="shared" si="12"/>
        <v>2021</v>
      </c>
      <c r="C54" s="124">
        <v>0</v>
      </c>
      <c r="D54" s="124">
        <v>0</v>
      </c>
      <c r="E54" s="124">
        <v>0</v>
      </c>
      <c r="F54" s="124">
        <v>0</v>
      </c>
      <c r="G54" s="124">
        <v>0</v>
      </c>
      <c r="H54" s="215">
        <f t="shared" si="13"/>
        <v>0</v>
      </c>
      <c r="J54" s="1"/>
    </row>
    <row r="55" spans="2:16" ht="21.95" customHeight="1" x14ac:dyDescent="0.2">
      <c r="B55" s="216" t="s">
        <v>181</v>
      </c>
      <c r="C55" s="125">
        <f>SUM(C50:C54)</f>
        <v>0</v>
      </c>
      <c r="D55" s="125">
        <f t="shared" ref="D55:F55" si="14">SUM(D50:D54)</f>
        <v>0</v>
      </c>
      <c r="E55" s="125">
        <f t="shared" si="14"/>
        <v>1</v>
      </c>
      <c r="F55" s="125">
        <f t="shared" si="14"/>
        <v>0</v>
      </c>
      <c r="G55" s="125">
        <f>SUM(G50:G54)</f>
        <v>0</v>
      </c>
      <c r="H55" s="217">
        <f t="shared" ref="H55" si="15">SUM(H50:H54)</f>
        <v>1</v>
      </c>
      <c r="J55" s="1"/>
    </row>
    <row r="56" spans="2:16" ht="21.95" customHeight="1" x14ac:dyDescent="0.2">
      <c r="B56" s="199" t="s">
        <v>85</v>
      </c>
      <c r="C56" s="146">
        <f>AVERAGE(C50:C54)</f>
        <v>0</v>
      </c>
      <c r="D56" s="146">
        <f t="shared" ref="D56:G56" si="16">AVERAGE(D50:D54)</f>
        <v>0</v>
      </c>
      <c r="E56" s="146">
        <f t="shared" si="16"/>
        <v>0.2</v>
      </c>
      <c r="F56" s="146">
        <f t="shared" si="16"/>
        <v>0</v>
      </c>
      <c r="G56" s="146">
        <f t="shared" si="16"/>
        <v>0</v>
      </c>
      <c r="H56" s="215">
        <f>AVERAGE(H50:H54)</f>
        <v>0.2</v>
      </c>
      <c r="J56" s="1"/>
    </row>
    <row r="57" spans="2:16" ht="21.95" customHeight="1" thickBot="1" x14ac:dyDescent="0.25">
      <c r="B57" s="211" t="s">
        <v>203</v>
      </c>
      <c r="C57" s="218">
        <f>C56/$H56</f>
        <v>0</v>
      </c>
      <c r="D57" s="218">
        <f>D56/$H56</f>
        <v>0</v>
      </c>
      <c r="E57" s="218">
        <f>E56/$H56</f>
        <v>1</v>
      </c>
      <c r="F57" s="218">
        <f>F56/$H56</f>
        <v>0</v>
      </c>
      <c r="G57" s="218">
        <f>G56/$H56</f>
        <v>0</v>
      </c>
      <c r="H57" s="219">
        <f>H55/($H$16+ $H$29+$H$55+$H$68+$H$94+$H$107+$H$81)</f>
        <v>1.7543859649122806E-2</v>
      </c>
    </row>
    <row r="60" spans="2:16" ht="21.95" customHeight="1" thickBot="1" x14ac:dyDescent="0.25">
      <c r="B60" s="195" t="s">
        <v>431</v>
      </c>
    </row>
    <row r="61" spans="2:16" ht="21.95" customHeight="1" x14ac:dyDescent="0.2">
      <c r="B61" s="1367" t="s">
        <v>10</v>
      </c>
      <c r="C61" s="1369" t="s">
        <v>185</v>
      </c>
      <c r="D61" s="1369"/>
      <c r="E61" s="1369"/>
      <c r="F61" s="1369"/>
      <c r="G61" s="1369"/>
      <c r="H61" s="1370" t="s">
        <v>25</v>
      </c>
    </row>
    <row r="62" spans="2:16" ht="21.95" customHeight="1" x14ac:dyDescent="0.2">
      <c r="B62" s="1368"/>
      <c r="C62" s="239">
        <v>1</v>
      </c>
      <c r="D62" s="239">
        <v>2</v>
      </c>
      <c r="E62" s="239">
        <v>3</v>
      </c>
      <c r="F62" s="239">
        <v>4</v>
      </c>
      <c r="G62" s="239">
        <v>5</v>
      </c>
      <c r="H62" s="1371"/>
    </row>
    <row r="63" spans="2:16" ht="21.95" customHeight="1" x14ac:dyDescent="0.2">
      <c r="B63" s="214">
        <v>2017</v>
      </c>
      <c r="C63" s="220">
        <v>0</v>
      </c>
      <c r="D63" s="220">
        <v>0</v>
      </c>
      <c r="E63" s="220">
        <v>0</v>
      </c>
      <c r="F63" s="220">
        <v>0</v>
      </c>
      <c r="G63" s="220">
        <v>0</v>
      </c>
      <c r="H63" s="221">
        <f>SUM(C63:G63)</f>
        <v>0</v>
      </c>
    </row>
    <row r="64" spans="2:16" ht="21.95" customHeight="1" x14ac:dyDescent="0.2">
      <c r="B64" s="197">
        <f>B63+1</f>
        <v>2018</v>
      </c>
      <c r="C64" s="116">
        <v>0</v>
      </c>
      <c r="D64" s="116">
        <v>0</v>
      </c>
      <c r="E64" s="116">
        <v>0</v>
      </c>
      <c r="F64" s="116">
        <v>0</v>
      </c>
      <c r="G64" s="116">
        <v>0</v>
      </c>
      <c r="H64" s="215">
        <f>SUM(C64:G64)</f>
        <v>0</v>
      </c>
    </row>
    <row r="65" spans="2:8" ht="21.95" customHeight="1" x14ac:dyDescent="0.2">
      <c r="B65" s="197">
        <f t="shared" ref="B65:B67" si="17">B64+1</f>
        <v>2019</v>
      </c>
      <c r="C65" s="116">
        <v>0</v>
      </c>
      <c r="D65" s="116">
        <v>0</v>
      </c>
      <c r="E65" s="116">
        <v>0</v>
      </c>
      <c r="F65" s="116">
        <v>0</v>
      </c>
      <c r="G65" s="116">
        <v>0</v>
      </c>
      <c r="H65" s="215">
        <f t="shared" ref="H65:H67" si="18">SUM(C65:G65)</f>
        <v>0</v>
      </c>
    </row>
    <row r="66" spans="2:8" ht="21.95" customHeight="1" x14ac:dyDescent="0.2">
      <c r="B66" s="197">
        <f t="shared" si="17"/>
        <v>2020</v>
      </c>
      <c r="C66" s="116">
        <v>0</v>
      </c>
      <c r="D66" s="116">
        <v>0</v>
      </c>
      <c r="E66" s="116">
        <v>0</v>
      </c>
      <c r="F66" s="116">
        <v>0</v>
      </c>
      <c r="G66" s="116">
        <v>0</v>
      </c>
      <c r="H66" s="215">
        <f t="shared" si="18"/>
        <v>0</v>
      </c>
    </row>
    <row r="67" spans="2:8" ht="21.95" customHeight="1" x14ac:dyDescent="0.2">
      <c r="B67" s="197">
        <f t="shared" si="17"/>
        <v>2021</v>
      </c>
      <c r="C67" s="124">
        <v>0</v>
      </c>
      <c r="D67" s="124">
        <v>0</v>
      </c>
      <c r="E67" s="124">
        <v>0</v>
      </c>
      <c r="F67" s="124">
        <v>0</v>
      </c>
      <c r="G67" s="124">
        <v>0</v>
      </c>
      <c r="H67" s="215">
        <f t="shared" si="18"/>
        <v>0</v>
      </c>
    </row>
    <row r="68" spans="2:8" ht="21.95" customHeight="1" x14ac:dyDescent="0.2">
      <c r="B68" s="216" t="s">
        <v>181</v>
      </c>
      <c r="C68" s="125">
        <f>SUM(C63:C67)</f>
        <v>0</v>
      </c>
      <c r="D68" s="125">
        <f t="shared" ref="D68" si="19">SUM(D63:D67)</f>
        <v>0</v>
      </c>
      <c r="E68" s="125">
        <f t="shared" ref="E68" si="20">SUM(E63:E67)</f>
        <v>0</v>
      </c>
      <c r="F68" s="125">
        <f t="shared" ref="F68" si="21">SUM(F63:F67)</f>
        <v>0</v>
      </c>
      <c r="G68" s="125">
        <f>SUM(G63:G67)</f>
        <v>0</v>
      </c>
      <c r="H68" s="217">
        <f t="shared" ref="H68" si="22">SUM(H63:H67)</f>
        <v>0</v>
      </c>
    </row>
    <row r="69" spans="2:8" ht="21.95" customHeight="1" x14ac:dyDescent="0.2">
      <c r="B69" s="199" t="s">
        <v>85</v>
      </c>
      <c r="C69" s="146">
        <f>AVERAGE(C63:C67)</f>
        <v>0</v>
      </c>
      <c r="D69" s="146">
        <f t="shared" ref="D69:H69" si="23">AVERAGE(D63:D67)</f>
        <v>0</v>
      </c>
      <c r="E69" s="146">
        <f t="shared" si="23"/>
        <v>0</v>
      </c>
      <c r="F69" s="146">
        <f t="shared" si="23"/>
        <v>0</v>
      </c>
      <c r="G69" s="146">
        <f t="shared" si="23"/>
        <v>0</v>
      </c>
      <c r="H69" s="215">
        <f t="shared" si="23"/>
        <v>0</v>
      </c>
    </row>
    <row r="70" spans="2:8" ht="21.95" customHeight="1" thickBot="1" x14ac:dyDescent="0.25">
      <c r="B70" s="211" t="s">
        <v>203</v>
      </c>
      <c r="C70" s="1080" t="e">
        <f>C69/$H69</f>
        <v>#DIV/0!</v>
      </c>
      <c r="D70" s="1080" t="e">
        <f>D69/$H69</f>
        <v>#DIV/0!</v>
      </c>
      <c r="E70" s="1080" t="e">
        <f>E69/$H69</f>
        <v>#DIV/0!</v>
      </c>
      <c r="F70" s="1080" t="e">
        <f>F69/$H69</f>
        <v>#DIV/0!</v>
      </c>
      <c r="G70" s="1080" t="e">
        <f>G69/$H69</f>
        <v>#DIV/0!</v>
      </c>
      <c r="H70" s="1081">
        <f>H68/($H$16+ $H$29+$H$55+$H$68+$H$94+$H$107+$H$81)</f>
        <v>0</v>
      </c>
    </row>
    <row r="73" spans="2:8" ht="21.95" customHeight="1" thickBot="1" x14ac:dyDescent="0.25">
      <c r="B73" s="194" t="s">
        <v>517</v>
      </c>
    </row>
    <row r="74" spans="2:8" ht="21.95" customHeight="1" x14ac:dyDescent="0.2">
      <c r="B74" s="1363" t="s">
        <v>10</v>
      </c>
      <c r="C74" s="1365" t="s">
        <v>185</v>
      </c>
      <c r="D74" s="1365"/>
      <c r="E74" s="1365"/>
      <c r="F74" s="1365"/>
      <c r="G74" s="1365"/>
      <c r="H74" s="1359" t="s">
        <v>25</v>
      </c>
    </row>
    <row r="75" spans="2:8" ht="21.95" customHeight="1" x14ac:dyDescent="0.2">
      <c r="B75" s="1364"/>
      <c r="C75" s="123">
        <v>1</v>
      </c>
      <c r="D75" s="123">
        <v>2</v>
      </c>
      <c r="E75" s="123">
        <v>3</v>
      </c>
      <c r="F75" s="123">
        <v>4</v>
      </c>
      <c r="G75" s="123">
        <v>5</v>
      </c>
      <c r="H75" s="1366"/>
    </row>
    <row r="76" spans="2:8" ht="21.95" customHeight="1" x14ac:dyDescent="0.2">
      <c r="B76" s="214">
        <v>2017</v>
      </c>
      <c r="C76" s="220">
        <v>4</v>
      </c>
      <c r="D76" s="220">
        <v>0</v>
      </c>
      <c r="E76" s="220">
        <v>0</v>
      </c>
      <c r="F76" s="220">
        <v>0</v>
      </c>
      <c r="G76" s="220">
        <v>0</v>
      </c>
      <c r="H76" s="221">
        <f>SUM(C76:G76)</f>
        <v>4</v>
      </c>
    </row>
    <row r="77" spans="2:8" ht="21.95" customHeight="1" x14ac:dyDescent="0.2">
      <c r="B77" s="197">
        <f>B76+1</f>
        <v>2018</v>
      </c>
      <c r="C77" s="116">
        <v>3</v>
      </c>
      <c r="D77" s="116">
        <v>1</v>
      </c>
      <c r="E77" s="116">
        <v>1</v>
      </c>
      <c r="F77" s="116">
        <v>0</v>
      </c>
      <c r="G77" s="116">
        <v>0</v>
      </c>
      <c r="H77" s="215">
        <f>SUM(C77:G77)</f>
        <v>5</v>
      </c>
    </row>
    <row r="78" spans="2:8" ht="21.95" customHeight="1" x14ac:dyDescent="0.2">
      <c r="B78" s="197">
        <f>B77+1</f>
        <v>2019</v>
      </c>
      <c r="C78" s="116">
        <v>2</v>
      </c>
      <c r="D78" s="116">
        <v>1</v>
      </c>
      <c r="E78" s="116">
        <v>0</v>
      </c>
      <c r="F78" s="116">
        <v>0</v>
      </c>
      <c r="G78" s="116">
        <v>0</v>
      </c>
      <c r="H78" s="215">
        <f>SUM(C78:G78)</f>
        <v>3</v>
      </c>
    </row>
    <row r="79" spans="2:8" ht="21.95" customHeight="1" x14ac:dyDescent="0.2">
      <c r="B79" s="197">
        <f>B78+1</f>
        <v>2020</v>
      </c>
      <c r="C79" s="116">
        <v>2</v>
      </c>
      <c r="D79" s="116">
        <v>4</v>
      </c>
      <c r="E79" s="116">
        <v>0</v>
      </c>
      <c r="F79" s="116">
        <v>0</v>
      </c>
      <c r="G79" s="116">
        <v>0</v>
      </c>
      <c r="H79" s="215">
        <f>SUM(C79:G79)</f>
        <v>6</v>
      </c>
    </row>
    <row r="80" spans="2:8" ht="21.95" customHeight="1" x14ac:dyDescent="0.2">
      <c r="B80" s="197">
        <f>B79+1</f>
        <v>2021</v>
      </c>
      <c r="C80" s="124">
        <v>1</v>
      </c>
      <c r="D80" s="124">
        <v>0</v>
      </c>
      <c r="E80" s="124">
        <v>2</v>
      </c>
      <c r="F80" s="124">
        <v>0</v>
      </c>
      <c r="G80" s="124">
        <v>0</v>
      </c>
      <c r="H80" s="215">
        <f>SUM(C80:G80)</f>
        <v>3</v>
      </c>
    </row>
    <row r="81" spans="2:8" ht="21.95" customHeight="1" x14ac:dyDescent="0.2">
      <c r="B81" s="216" t="s">
        <v>181</v>
      </c>
      <c r="C81" s="125">
        <f t="shared" ref="C81:H81" si="24">SUM(C76:C80)</f>
        <v>12</v>
      </c>
      <c r="D81" s="125">
        <f t="shared" si="24"/>
        <v>6</v>
      </c>
      <c r="E81" s="125">
        <f t="shared" si="24"/>
        <v>3</v>
      </c>
      <c r="F81" s="125">
        <f t="shared" si="24"/>
        <v>0</v>
      </c>
      <c r="G81" s="125">
        <f t="shared" si="24"/>
        <v>0</v>
      </c>
      <c r="H81" s="217">
        <f t="shared" si="24"/>
        <v>21</v>
      </c>
    </row>
    <row r="82" spans="2:8" ht="21.95" customHeight="1" x14ac:dyDescent="0.2">
      <c r="B82" s="199" t="s">
        <v>85</v>
      </c>
      <c r="C82" s="146">
        <f t="shared" ref="C82:H82" si="25">AVERAGE(C76:C80)</f>
        <v>2.4</v>
      </c>
      <c r="D82" s="146">
        <f t="shared" si="25"/>
        <v>1.2</v>
      </c>
      <c r="E82" s="146">
        <f t="shared" si="25"/>
        <v>0.6</v>
      </c>
      <c r="F82" s="146">
        <f t="shared" si="25"/>
        <v>0</v>
      </c>
      <c r="G82" s="146">
        <f t="shared" si="25"/>
        <v>0</v>
      </c>
      <c r="H82" s="215">
        <f t="shared" si="25"/>
        <v>4.2</v>
      </c>
    </row>
    <row r="83" spans="2:8" ht="21.95" customHeight="1" thickBot="1" x14ac:dyDescent="0.25">
      <c r="B83" s="211" t="s">
        <v>203</v>
      </c>
      <c r="C83" s="218">
        <f>C82/$H82</f>
        <v>0.5714285714285714</v>
      </c>
      <c r="D83" s="218">
        <f>D82/$H82</f>
        <v>0.2857142857142857</v>
      </c>
      <c r="E83" s="218">
        <f>E82/$H82</f>
        <v>0.14285714285714285</v>
      </c>
      <c r="F83" s="218">
        <f>F82/$H82</f>
        <v>0</v>
      </c>
      <c r="G83" s="218">
        <f>G82/$H82</f>
        <v>0</v>
      </c>
      <c r="H83" s="219">
        <f>H81/($H$16+ $H$29+$H$55+$H$68+$H$94+$H$107+$H$81)</f>
        <v>0.36842105263157893</v>
      </c>
    </row>
    <row r="86" spans="2:8" ht="21.95" customHeight="1" thickBot="1" x14ac:dyDescent="0.25">
      <c r="B86" s="194" t="s">
        <v>518</v>
      </c>
    </row>
    <row r="87" spans="2:8" ht="21.95" customHeight="1" x14ac:dyDescent="0.2">
      <c r="B87" s="1361" t="s">
        <v>10</v>
      </c>
      <c r="C87" s="238" t="s">
        <v>185</v>
      </c>
      <c r="D87" s="238"/>
      <c r="E87" s="238"/>
      <c r="F87" s="238"/>
      <c r="G87" s="238"/>
      <c r="H87" s="1359" t="s">
        <v>25</v>
      </c>
    </row>
    <row r="88" spans="2:8" ht="21.95" customHeight="1" x14ac:dyDescent="0.2">
      <c r="B88" s="1362"/>
      <c r="C88" s="123">
        <v>1</v>
      </c>
      <c r="D88" s="123">
        <v>2</v>
      </c>
      <c r="E88" s="123">
        <v>3</v>
      </c>
      <c r="F88" s="123">
        <v>4</v>
      </c>
      <c r="G88" s="123">
        <v>5</v>
      </c>
      <c r="H88" s="1360"/>
    </row>
    <row r="89" spans="2:8" ht="21.95" customHeight="1" x14ac:dyDescent="0.2">
      <c r="B89" s="214">
        <v>2017</v>
      </c>
      <c r="C89" s="220">
        <v>1</v>
      </c>
      <c r="D89" s="220">
        <v>1</v>
      </c>
      <c r="E89" s="220">
        <v>0</v>
      </c>
      <c r="F89" s="220">
        <v>0</v>
      </c>
      <c r="G89" s="220">
        <v>0</v>
      </c>
      <c r="H89" s="221">
        <f>SUM(C89:G89)</f>
        <v>2</v>
      </c>
    </row>
    <row r="90" spans="2:8" ht="21.95" customHeight="1" x14ac:dyDescent="0.2">
      <c r="B90" s="197">
        <f>B89+1</f>
        <v>2018</v>
      </c>
      <c r="C90" s="116">
        <v>0</v>
      </c>
      <c r="D90" s="116">
        <v>0</v>
      </c>
      <c r="E90" s="116">
        <v>0</v>
      </c>
      <c r="F90" s="116">
        <v>0</v>
      </c>
      <c r="G90" s="116">
        <v>0</v>
      </c>
      <c r="H90" s="215">
        <f>SUM(C90:G90)</f>
        <v>0</v>
      </c>
    </row>
    <row r="91" spans="2:8" ht="21.95" customHeight="1" x14ac:dyDescent="0.2">
      <c r="B91" s="197">
        <f>B90+1</f>
        <v>2019</v>
      </c>
      <c r="C91" s="116">
        <v>2</v>
      </c>
      <c r="D91" s="116">
        <v>0</v>
      </c>
      <c r="E91" s="116">
        <v>0</v>
      </c>
      <c r="F91" s="116">
        <v>0</v>
      </c>
      <c r="G91" s="116">
        <v>0</v>
      </c>
      <c r="H91" s="215">
        <f>SUM(C91:G91)</f>
        <v>2</v>
      </c>
    </row>
    <row r="92" spans="2:8" ht="21.95" customHeight="1" x14ac:dyDescent="0.2">
      <c r="B92" s="197">
        <f>B91+1</f>
        <v>2020</v>
      </c>
      <c r="C92" s="116">
        <v>0</v>
      </c>
      <c r="D92" s="116">
        <v>0</v>
      </c>
      <c r="E92" s="116">
        <v>0</v>
      </c>
      <c r="F92" s="116">
        <v>0</v>
      </c>
      <c r="G92" s="116">
        <v>0</v>
      </c>
      <c r="H92" s="215">
        <f>SUM(C92:G92)</f>
        <v>0</v>
      </c>
    </row>
    <row r="93" spans="2:8" ht="21.95" customHeight="1" x14ac:dyDescent="0.2">
      <c r="B93" s="197">
        <f>B92+1</f>
        <v>2021</v>
      </c>
      <c r="C93" s="124">
        <v>4</v>
      </c>
      <c r="D93" s="124">
        <v>0</v>
      </c>
      <c r="E93" s="124">
        <v>0</v>
      </c>
      <c r="F93" s="124">
        <v>0</v>
      </c>
      <c r="G93" s="124">
        <v>0</v>
      </c>
      <c r="H93" s="215">
        <f>SUM(C93:G93)</f>
        <v>4</v>
      </c>
    </row>
    <row r="94" spans="2:8" ht="21.95" customHeight="1" x14ac:dyDescent="0.2">
      <c r="B94" s="216" t="s">
        <v>181</v>
      </c>
      <c r="C94" s="125">
        <f t="shared" ref="C94:H94" si="26">SUM(C89:C93)</f>
        <v>7</v>
      </c>
      <c r="D94" s="125">
        <f t="shared" si="26"/>
        <v>1</v>
      </c>
      <c r="E94" s="125">
        <f t="shared" si="26"/>
        <v>0</v>
      </c>
      <c r="F94" s="125">
        <f t="shared" si="26"/>
        <v>0</v>
      </c>
      <c r="G94" s="125">
        <f t="shared" si="26"/>
        <v>0</v>
      </c>
      <c r="H94" s="217">
        <f t="shared" si="26"/>
        <v>8</v>
      </c>
    </row>
    <row r="95" spans="2:8" ht="21.95" customHeight="1" x14ac:dyDescent="0.2">
      <c r="B95" s="199" t="s">
        <v>85</v>
      </c>
      <c r="C95" s="146">
        <f t="shared" ref="C95:H95" si="27">AVERAGE(C89:C93)</f>
        <v>1.4</v>
      </c>
      <c r="D95" s="146">
        <f t="shared" si="27"/>
        <v>0.2</v>
      </c>
      <c r="E95" s="146">
        <f t="shared" si="27"/>
        <v>0</v>
      </c>
      <c r="F95" s="146">
        <f t="shared" si="27"/>
        <v>0</v>
      </c>
      <c r="G95" s="146">
        <f t="shared" si="27"/>
        <v>0</v>
      </c>
      <c r="H95" s="215">
        <f t="shared" si="27"/>
        <v>1.6</v>
      </c>
    </row>
    <row r="96" spans="2:8" ht="21.95" customHeight="1" thickBot="1" x14ac:dyDescent="0.25">
      <c r="B96" s="211" t="s">
        <v>203</v>
      </c>
      <c r="C96" s="218">
        <f>C95/$H95</f>
        <v>0.87499999999999989</v>
      </c>
      <c r="D96" s="218">
        <f>D95/$H95</f>
        <v>0.125</v>
      </c>
      <c r="E96" s="218">
        <f>E95/$H95</f>
        <v>0</v>
      </c>
      <c r="F96" s="218">
        <f>F95/$H95</f>
        <v>0</v>
      </c>
      <c r="G96" s="218">
        <f>G95/$H95</f>
        <v>0</v>
      </c>
      <c r="H96" s="219">
        <f>H94/($H$16+ $H$29+$H$55+$H$68+$H$94+$H$107+$H$81)</f>
        <v>0.14035087719298245</v>
      </c>
    </row>
    <row r="99" spans="2:8" ht="21.95" customHeight="1" thickBot="1" x14ac:dyDescent="0.25">
      <c r="B99" s="194" t="s">
        <v>434</v>
      </c>
    </row>
    <row r="100" spans="2:8" ht="21.95" customHeight="1" x14ac:dyDescent="0.2">
      <c r="B100" s="1361" t="s">
        <v>10</v>
      </c>
      <c r="C100" s="238" t="s">
        <v>185</v>
      </c>
      <c r="D100" s="238"/>
      <c r="E100" s="238"/>
      <c r="F100" s="238"/>
      <c r="G100" s="238"/>
      <c r="H100" s="1359" t="s">
        <v>25</v>
      </c>
    </row>
    <row r="101" spans="2:8" ht="21.95" customHeight="1" x14ac:dyDescent="0.2">
      <c r="B101" s="1362"/>
      <c r="C101" s="123">
        <v>1</v>
      </c>
      <c r="D101" s="123">
        <v>2</v>
      </c>
      <c r="E101" s="123">
        <v>3</v>
      </c>
      <c r="F101" s="123">
        <v>4</v>
      </c>
      <c r="G101" s="123">
        <v>5</v>
      </c>
      <c r="H101" s="1360"/>
    </row>
    <row r="102" spans="2:8" ht="21.95" customHeight="1" x14ac:dyDescent="0.2">
      <c r="B102" s="214">
        <v>2017</v>
      </c>
      <c r="C102" s="220">
        <v>0</v>
      </c>
      <c r="D102" s="220">
        <v>0</v>
      </c>
      <c r="E102" s="220">
        <v>0</v>
      </c>
      <c r="F102" s="220">
        <v>0</v>
      </c>
      <c r="G102" s="220">
        <v>0</v>
      </c>
      <c r="H102" s="221">
        <f>SUM(C102:G102)</f>
        <v>0</v>
      </c>
    </row>
    <row r="103" spans="2:8" ht="21.95" customHeight="1" x14ac:dyDescent="0.2">
      <c r="B103" s="197">
        <f>B102+1</f>
        <v>2018</v>
      </c>
      <c r="C103" s="116">
        <v>0</v>
      </c>
      <c r="D103" s="116">
        <v>0</v>
      </c>
      <c r="E103" s="116">
        <v>0</v>
      </c>
      <c r="F103" s="116">
        <v>0</v>
      </c>
      <c r="G103" s="116">
        <v>0</v>
      </c>
      <c r="H103" s="215">
        <f>SUM(C103:G103)</f>
        <v>0</v>
      </c>
    </row>
    <row r="104" spans="2:8" ht="21.95" customHeight="1" x14ac:dyDescent="0.2">
      <c r="B104" s="197">
        <f>B103+1</f>
        <v>2019</v>
      </c>
      <c r="C104" s="116">
        <v>0</v>
      </c>
      <c r="D104" s="116">
        <v>0</v>
      </c>
      <c r="E104" s="116">
        <v>1</v>
      </c>
      <c r="F104" s="116">
        <v>0</v>
      </c>
      <c r="G104" s="116">
        <v>0</v>
      </c>
      <c r="H104" s="215">
        <f>SUM(C104:G104)</f>
        <v>1</v>
      </c>
    </row>
    <row r="105" spans="2:8" ht="21.95" customHeight="1" x14ac:dyDescent="0.2">
      <c r="B105" s="197">
        <f>B104+1</f>
        <v>2020</v>
      </c>
      <c r="C105" s="116">
        <v>1</v>
      </c>
      <c r="D105" s="116">
        <v>0</v>
      </c>
      <c r="E105" s="116">
        <v>1</v>
      </c>
      <c r="F105" s="116">
        <v>0</v>
      </c>
      <c r="G105" s="116">
        <v>0</v>
      </c>
      <c r="H105" s="215">
        <f>SUM(C105:G105)</f>
        <v>2</v>
      </c>
    </row>
    <row r="106" spans="2:8" ht="21.95" customHeight="1" x14ac:dyDescent="0.2">
      <c r="B106" s="197">
        <f>B105+1</f>
        <v>2021</v>
      </c>
      <c r="C106" s="124">
        <v>0</v>
      </c>
      <c r="D106" s="124">
        <v>0</v>
      </c>
      <c r="E106" s="124">
        <v>1</v>
      </c>
      <c r="F106" s="124">
        <v>0</v>
      </c>
      <c r="G106" s="124">
        <v>1</v>
      </c>
      <c r="H106" s="215">
        <f>SUM(C106:G106)</f>
        <v>2</v>
      </c>
    </row>
    <row r="107" spans="2:8" ht="21.95" customHeight="1" x14ac:dyDescent="0.2">
      <c r="B107" s="216" t="s">
        <v>181</v>
      </c>
      <c r="C107" s="125">
        <f t="shared" ref="C107:H107" si="28">SUM(C102:C106)</f>
        <v>1</v>
      </c>
      <c r="D107" s="125">
        <f t="shared" si="28"/>
        <v>0</v>
      </c>
      <c r="E107" s="125">
        <f t="shared" si="28"/>
        <v>3</v>
      </c>
      <c r="F107" s="125">
        <f t="shared" si="28"/>
        <v>0</v>
      </c>
      <c r="G107" s="125">
        <f t="shared" si="28"/>
        <v>1</v>
      </c>
      <c r="H107" s="217">
        <f t="shared" si="28"/>
        <v>5</v>
      </c>
    </row>
    <row r="108" spans="2:8" ht="21.95" customHeight="1" x14ac:dyDescent="0.2">
      <c r="B108" s="199" t="s">
        <v>85</v>
      </c>
      <c r="C108" s="146">
        <f t="shared" ref="C108:H108" si="29">AVERAGE(C102:C106)</f>
        <v>0.2</v>
      </c>
      <c r="D108" s="146">
        <f t="shared" si="29"/>
        <v>0</v>
      </c>
      <c r="E108" s="146">
        <f t="shared" si="29"/>
        <v>0.6</v>
      </c>
      <c r="F108" s="146">
        <f t="shared" si="29"/>
        <v>0</v>
      </c>
      <c r="G108" s="146">
        <f t="shared" si="29"/>
        <v>0.2</v>
      </c>
      <c r="H108" s="215">
        <f t="shared" si="29"/>
        <v>1</v>
      </c>
    </row>
    <row r="109" spans="2:8" ht="21.95" customHeight="1" thickBot="1" x14ac:dyDescent="0.25">
      <c r="B109" s="211" t="s">
        <v>203</v>
      </c>
      <c r="C109" s="218">
        <f>C108/$H108</f>
        <v>0.2</v>
      </c>
      <c r="D109" s="218">
        <f>D108/$H108</f>
        <v>0</v>
      </c>
      <c r="E109" s="218">
        <f>E108/$H108</f>
        <v>0.6</v>
      </c>
      <c r="F109" s="218">
        <f>F108/$H108</f>
        <v>0</v>
      </c>
      <c r="G109" s="218">
        <f>G108/$H108</f>
        <v>0.2</v>
      </c>
      <c r="H109" s="219">
        <f>H107/($H$16+ $H$29+$H$55+$H$68+$H$94+$H$107+$H$81)</f>
        <v>8.771929824561403E-2</v>
      </c>
    </row>
  </sheetData>
  <mergeCells count="26">
    <mergeCell ref="P47:P48"/>
    <mergeCell ref="C22:G22"/>
    <mergeCell ref="H22:H23"/>
    <mergeCell ref="C35:G35"/>
    <mergeCell ref="H35:H36"/>
    <mergeCell ref="J47:J48"/>
    <mergeCell ref="K47:O47"/>
    <mergeCell ref="B2:D2"/>
    <mergeCell ref="C61:G61"/>
    <mergeCell ref="H61:H62"/>
    <mergeCell ref="B22:B23"/>
    <mergeCell ref="B9:B10"/>
    <mergeCell ref="C9:G9"/>
    <mergeCell ref="H9:H10"/>
    <mergeCell ref="B35:B36"/>
    <mergeCell ref="H100:H101"/>
    <mergeCell ref="B100:B101"/>
    <mergeCell ref="B48:B49"/>
    <mergeCell ref="C48:G48"/>
    <mergeCell ref="H48:H49"/>
    <mergeCell ref="B61:B62"/>
    <mergeCell ref="B87:B88"/>
    <mergeCell ref="H87:H88"/>
    <mergeCell ref="B74:B75"/>
    <mergeCell ref="C74:G74"/>
    <mergeCell ref="H74:H75"/>
  </mergeCells>
  <hyperlinks>
    <hyperlink ref="B2" location="Emissions!A1" display="Back to Emissions Tab" xr:uid="{1E0B82D1-0EFD-4BE2-A756-EA33154C2AED}"/>
    <hyperlink ref="B2:D2" location="Safety!A1" display="Back to Safety Tab" xr:uid="{2B991986-226B-4A03-902D-CBD5563A3759}"/>
  </hyperlinks>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9D706-1525-4014-A332-80125F7C9569}">
  <sheetPr>
    <tabColor theme="9" tint="0.59999389629810485"/>
  </sheetPr>
  <dimension ref="A2:DA100"/>
  <sheetViews>
    <sheetView showGridLines="0" zoomScale="85" zoomScaleNormal="85" workbookViewId="0">
      <selection activeCell="J9" sqref="J9"/>
    </sheetView>
  </sheetViews>
  <sheetFormatPr defaultColWidth="10.625" defaultRowHeight="21.95" customHeight="1" x14ac:dyDescent="0.2"/>
  <cols>
    <col min="1" max="1" width="3.375" customWidth="1"/>
    <col min="2" max="2" width="13.75" customWidth="1"/>
    <col min="3" max="3" width="16.75" customWidth="1"/>
    <col min="4" max="4" width="23.125" bestFit="1" customWidth="1"/>
    <col min="5" max="5" width="24.125" style="12" bestFit="1" customWidth="1"/>
    <col min="6" max="6" width="13.125" style="12" hidden="1" customWidth="1"/>
    <col min="7" max="59" width="13.125" style="12" customWidth="1"/>
    <col min="60" max="60" width="17.625" style="12" customWidth="1"/>
    <col min="61" max="86" width="13.125" style="12" customWidth="1"/>
    <col min="87" max="87" width="17.125" style="12" customWidth="1"/>
    <col min="88" max="92" width="13.125" style="12" customWidth="1"/>
    <col min="93" max="105" width="12.25" style="12" customWidth="1"/>
    <col min="106" max="116" width="12.25" customWidth="1"/>
  </cols>
  <sheetData>
    <row r="2" spans="1:105" ht="23.25" x14ac:dyDescent="0.2">
      <c r="B2" s="394" t="s">
        <v>8</v>
      </c>
      <c r="C2" s="1169"/>
      <c r="D2" s="106"/>
      <c r="F2" s="521" t="s">
        <v>361</v>
      </c>
    </row>
    <row r="3" spans="1:105" ht="21.95" customHeight="1" x14ac:dyDescent="0.2">
      <c r="J3" s="1148"/>
    </row>
    <row r="4" spans="1:105" ht="21.95" customHeight="1" thickBot="1" x14ac:dyDescent="0.25">
      <c r="A4" s="14"/>
      <c r="B4" s="194" t="s">
        <v>358</v>
      </c>
      <c r="E4"/>
      <c r="F4"/>
      <c r="G4" s="279"/>
      <c r="H4" s="2"/>
      <c r="I4" s="2"/>
      <c r="CL4"/>
      <c r="CM4"/>
      <c r="CN4"/>
    </row>
    <row r="5" spans="1:105" ht="21.6" customHeight="1" x14ac:dyDescent="0.2">
      <c r="B5" s="1376" t="s">
        <v>27</v>
      </c>
      <c r="C5" s="1380" t="s">
        <v>328</v>
      </c>
      <c r="D5" s="1341" t="s">
        <v>18</v>
      </c>
      <c r="E5" s="1341"/>
      <c r="F5" s="1378" t="s">
        <v>362</v>
      </c>
      <c r="G5" s="1378" t="s">
        <v>387</v>
      </c>
      <c r="H5" s="1378" t="s">
        <v>176</v>
      </c>
      <c r="I5" s="1378" t="s">
        <v>351</v>
      </c>
      <c r="J5" s="1388" t="s">
        <v>352</v>
      </c>
      <c r="K5" s="1389"/>
      <c r="L5" s="1389"/>
      <c r="M5" s="1389"/>
      <c r="N5" s="1389"/>
      <c r="O5" s="1389"/>
      <c r="P5" s="1389"/>
      <c r="Q5" s="1389"/>
      <c r="R5" s="1389"/>
      <c r="S5" s="1389"/>
      <c r="T5" s="1389"/>
      <c r="U5" s="1389"/>
      <c r="V5" s="1389"/>
      <c r="W5" s="1389"/>
      <c r="X5" s="1389"/>
      <c r="Y5" s="1389"/>
      <c r="Z5" s="1389"/>
      <c r="AA5" s="1389"/>
      <c r="AB5" s="1389"/>
      <c r="AC5" s="1389"/>
      <c r="AD5" s="1389"/>
      <c r="AE5" s="1389"/>
      <c r="AF5" s="1389"/>
      <c r="AG5" s="1389"/>
      <c r="AH5" s="1389"/>
      <c r="AI5" s="1389"/>
      <c r="AJ5" s="1382" t="s">
        <v>383</v>
      </c>
      <c r="AK5" s="1386" t="s">
        <v>384</v>
      </c>
      <c r="AL5" s="1384"/>
      <c r="AM5" s="1384"/>
      <c r="AN5" s="1384"/>
      <c r="AO5" s="1384"/>
      <c r="AP5" s="1384"/>
      <c r="AQ5" s="1384"/>
      <c r="AR5" s="1384"/>
      <c r="AS5" s="1384"/>
      <c r="AT5" s="1384"/>
      <c r="AU5" s="1384"/>
      <c r="AV5" s="1384"/>
      <c r="AW5" s="1384"/>
      <c r="AX5" s="1384"/>
      <c r="AY5" s="1384"/>
      <c r="AZ5" s="1384"/>
      <c r="BA5" s="1384"/>
      <c r="BB5" s="1384"/>
      <c r="BC5" s="1384"/>
      <c r="BD5" s="1384"/>
      <c r="BE5" s="1384"/>
      <c r="BF5" s="1384"/>
      <c r="BG5" s="1384"/>
      <c r="BH5" s="1384"/>
      <c r="BI5" s="1384"/>
      <c r="BJ5" s="1387"/>
      <c r="BK5" s="1386" t="s">
        <v>385</v>
      </c>
      <c r="BL5" s="1384"/>
      <c r="BM5" s="1384"/>
      <c r="BN5" s="1384"/>
      <c r="BO5" s="1384"/>
      <c r="BP5" s="1384"/>
      <c r="BQ5" s="1384"/>
      <c r="BR5" s="1384"/>
      <c r="BS5" s="1384"/>
      <c r="BT5" s="1384"/>
      <c r="BU5" s="1384"/>
      <c r="BV5" s="1384"/>
      <c r="BW5" s="1384"/>
      <c r="BX5" s="1384"/>
      <c r="BY5" s="1384"/>
      <c r="BZ5" s="1384"/>
      <c r="CA5" s="1384"/>
      <c r="CB5" s="1384"/>
      <c r="CC5" s="1384"/>
      <c r="CD5" s="1384"/>
      <c r="CE5" s="1384"/>
      <c r="CF5" s="1384"/>
      <c r="CG5" s="1384"/>
      <c r="CH5" s="1384"/>
      <c r="CI5" s="1384"/>
      <c r="CJ5" s="1387"/>
      <c r="CK5" s="1384" t="s">
        <v>353</v>
      </c>
      <c r="CL5" s="1384" t="s">
        <v>354</v>
      </c>
      <c r="CM5" s="1384" t="s">
        <v>355</v>
      </c>
      <c r="CN5" s="1387" t="s">
        <v>356</v>
      </c>
      <c r="DA5"/>
    </row>
    <row r="6" spans="1:105" s="4" customFormat="1" ht="21.95" customHeight="1" x14ac:dyDescent="0.2">
      <c r="A6"/>
      <c r="B6" s="1377"/>
      <c r="C6" s="1381"/>
      <c r="D6" s="265" t="s">
        <v>329</v>
      </c>
      <c r="E6" s="265" t="s">
        <v>330</v>
      </c>
      <c r="F6" s="1379"/>
      <c r="G6" s="1379"/>
      <c r="H6" s="1379"/>
      <c r="I6" s="1379"/>
      <c r="J6" s="324">
        <v>2023</v>
      </c>
      <c r="K6" s="263">
        <v>2024</v>
      </c>
      <c r="L6" s="263">
        <v>2025</v>
      </c>
      <c r="M6" s="263">
        <v>2026</v>
      </c>
      <c r="N6" s="263">
        <v>2027</v>
      </c>
      <c r="O6" s="263">
        <v>2028</v>
      </c>
      <c r="P6" s="263">
        <v>2029</v>
      </c>
      <c r="Q6" s="263">
        <v>2030</v>
      </c>
      <c r="R6" s="263">
        <v>2031</v>
      </c>
      <c r="S6" s="263">
        <v>2032</v>
      </c>
      <c r="T6" s="263">
        <v>2033</v>
      </c>
      <c r="U6" s="263">
        <v>2034</v>
      </c>
      <c r="V6" s="263">
        <v>2035</v>
      </c>
      <c r="W6" s="263">
        <v>2036</v>
      </c>
      <c r="X6" s="263">
        <v>2037</v>
      </c>
      <c r="Y6" s="263">
        <v>2038</v>
      </c>
      <c r="Z6" s="263">
        <v>2039</v>
      </c>
      <c r="AA6" s="263">
        <v>2040</v>
      </c>
      <c r="AB6" s="263">
        <v>2041</v>
      </c>
      <c r="AC6" s="263">
        <v>2042</v>
      </c>
      <c r="AD6" s="263">
        <v>2043</v>
      </c>
      <c r="AE6" s="263">
        <v>2044</v>
      </c>
      <c r="AF6" s="263">
        <v>2045</v>
      </c>
      <c r="AG6" s="263">
        <v>2046</v>
      </c>
      <c r="AH6" s="263">
        <v>2047</v>
      </c>
      <c r="AI6" s="263">
        <v>2048</v>
      </c>
      <c r="AJ6" s="1383"/>
      <c r="AK6" s="351">
        <v>2023</v>
      </c>
      <c r="AL6" s="264">
        <v>2024</v>
      </c>
      <c r="AM6" s="264">
        <v>2025</v>
      </c>
      <c r="AN6" s="264">
        <v>2026</v>
      </c>
      <c r="AO6" s="264">
        <v>2027</v>
      </c>
      <c r="AP6" s="264">
        <v>2028</v>
      </c>
      <c r="AQ6" s="264">
        <v>2029</v>
      </c>
      <c r="AR6" s="264">
        <v>2030</v>
      </c>
      <c r="AS6" s="264">
        <v>2031</v>
      </c>
      <c r="AT6" s="264">
        <v>2032</v>
      </c>
      <c r="AU6" s="264">
        <v>2033</v>
      </c>
      <c r="AV6" s="264">
        <v>2034</v>
      </c>
      <c r="AW6" s="264">
        <v>2035</v>
      </c>
      <c r="AX6" s="264">
        <v>2036</v>
      </c>
      <c r="AY6" s="264">
        <v>2037</v>
      </c>
      <c r="AZ6" s="264">
        <v>2038</v>
      </c>
      <c r="BA6" s="264">
        <v>2039</v>
      </c>
      <c r="BB6" s="264">
        <v>2040</v>
      </c>
      <c r="BC6" s="264">
        <v>2041</v>
      </c>
      <c r="BD6" s="264">
        <v>2042</v>
      </c>
      <c r="BE6" s="264">
        <v>2043</v>
      </c>
      <c r="BF6" s="264">
        <v>2044</v>
      </c>
      <c r="BG6" s="264">
        <v>2045</v>
      </c>
      <c r="BH6" s="264">
        <v>2046</v>
      </c>
      <c r="BI6" s="264">
        <v>2047</v>
      </c>
      <c r="BJ6" s="272">
        <v>2048</v>
      </c>
      <c r="BK6" s="351">
        <v>2023</v>
      </c>
      <c r="BL6" s="264">
        <v>2024</v>
      </c>
      <c r="BM6" s="264">
        <v>2025</v>
      </c>
      <c r="BN6" s="264">
        <v>2026</v>
      </c>
      <c r="BO6" s="264">
        <v>2027</v>
      </c>
      <c r="BP6" s="264">
        <v>2028</v>
      </c>
      <c r="BQ6" s="264">
        <v>2029</v>
      </c>
      <c r="BR6" s="264">
        <v>2030</v>
      </c>
      <c r="BS6" s="264">
        <v>2031</v>
      </c>
      <c r="BT6" s="264">
        <v>2032</v>
      </c>
      <c r="BU6" s="264">
        <v>2033</v>
      </c>
      <c r="BV6" s="264">
        <v>2034</v>
      </c>
      <c r="BW6" s="264">
        <v>2035</v>
      </c>
      <c r="BX6" s="264">
        <v>2036</v>
      </c>
      <c r="BY6" s="264">
        <v>2037</v>
      </c>
      <c r="BZ6" s="264">
        <v>2038</v>
      </c>
      <c r="CA6" s="264">
        <v>2039</v>
      </c>
      <c r="CB6" s="264">
        <v>2040</v>
      </c>
      <c r="CC6" s="264">
        <v>2041</v>
      </c>
      <c r="CD6" s="264">
        <v>2042</v>
      </c>
      <c r="CE6" s="264">
        <v>2043</v>
      </c>
      <c r="CF6" s="264">
        <v>2044</v>
      </c>
      <c r="CG6" s="264">
        <v>2045</v>
      </c>
      <c r="CH6" s="264">
        <v>2046</v>
      </c>
      <c r="CI6" s="264">
        <v>2047</v>
      </c>
      <c r="CJ6" s="272">
        <v>2048</v>
      </c>
      <c r="CK6" s="1385"/>
      <c r="CL6" s="1385"/>
      <c r="CM6" s="1385"/>
      <c r="CN6" s="1396"/>
      <c r="CS6" s="13"/>
      <c r="CT6" s="13"/>
      <c r="CU6" s="13"/>
      <c r="CV6" s="13"/>
      <c r="CW6" s="13"/>
      <c r="CX6" s="13"/>
      <c r="CY6" s="13"/>
      <c r="CZ6" s="13"/>
    </row>
    <row r="7" spans="1:105" ht="21.95" customHeight="1" x14ac:dyDescent="0.2">
      <c r="B7" s="489" t="s">
        <v>9</v>
      </c>
      <c r="C7" s="1340" t="s">
        <v>331</v>
      </c>
      <c r="D7" s="220" t="s">
        <v>332</v>
      </c>
      <c r="E7" s="220" t="s">
        <v>282</v>
      </c>
      <c r="F7" s="220" t="s">
        <v>368</v>
      </c>
      <c r="G7" s="1149">
        <v>70</v>
      </c>
      <c r="H7" s="1150">
        <v>9.5000000000000001E-2</v>
      </c>
      <c r="I7" s="261">
        <v>4</v>
      </c>
      <c r="J7" s="325">
        <f>'Trip Gen'!W60</f>
        <v>16000</v>
      </c>
      <c r="K7" s="1151">
        <f>'Trip Gen'!X60</f>
        <v>16736.099999999999</v>
      </c>
      <c r="L7" s="1151">
        <f>'Trip Gen'!Y60</f>
        <v>17769.750000000004</v>
      </c>
      <c r="M7" s="1151">
        <f>'Trip Gen'!Z60</f>
        <v>19286.100000000002</v>
      </c>
      <c r="N7" s="1151">
        <f>'Trip Gen'!AA60</f>
        <v>20803</v>
      </c>
      <c r="O7" s="1151">
        <f>'Trip Gen'!AB60</f>
        <v>22319.949999999997</v>
      </c>
      <c r="P7" s="1151">
        <f>'Trip Gen'!AC60</f>
        <v>23836.299999999996</v>
      </c>
      <c r="Q7" s="1151">
        <f>'Trip Gen'!AD60</f>
        <v>25353.799999999996</v>
      </c>
      <c r="R7" s="1151">
        <f>'Trip Gen'!AE60</f>
        <v>26853.399999999998</v>
      </c>
      <c r="S7" s="1151">
        <f>'Trip Gen'!AF60</f>
        <v>28353.3</v>
      </c>
      <c r="T7" s="1151">
        <f>'Trip Gen'!AG60</f>
        <v>29852.9</v>
      </c>
      <c r="U7" s="1151">
        <f>'Trip Gen'!AH60</f>
        <v>31352.500000000004</v>
      </c>
      <c r="V7" s="1151">
        <f>'Trip Gen'!AI60</f>
        <v>32853.300000000003</v>
      </c>
      <c r="W7" s="1151">
        <f>'Trip Gen'!AJ60</f>
        <v>33869.599999999999</v>
      </c>
      <c r="X7" s="1151">
        <f>'Trip Gen'!AK60</f>
        <v>34605.699999999997</v>
      </c>
      <c r="Y7" s="1151">
        <f>'Trip Gen'!AL60</f>
        <v>35341.799999999996</v>
      </c>
      <c r="Z7" s="1151">
        <f>'Trip Gen'!AM60</f>
        <v>36077.9</v>
      </c>
      <c r="AA7" s="1151">
        <f>'Trip Gen'!AN60</f>
        <v>36814.300000000003</v>
      </c>
      <c r="AB7" s="1151">
        <f>'Trip Gen'!AO60</f>
        <v>37550.400000000001</v>
      </c>
      <c r="AC7" s="1151">
        <f>'Trip Gen'!AP60</f>
        <v>38286.799999999996</v>
      </c>
      <c r="AD7" s="1151">
        <f>'Trip Gen'!AQ60</f>
        <v>39022.9</v>
      </c>
      <c r="AE7" s="1151">
        <f>'Trip Gen'!AR60</f>
        <v>39759</v>
      </c>
      <c r="AF7" s="1151">
        <f>'Trip Gen'!AS60</f>
        <v>40495.399999999994</v>
      </c>
      <c r="AG7" s="1151">
        <f>'Trip Gen'!AT60</f>
        <v>41231.5</v>
      </c>
      <c r="AH7" s="1151">
        <f>'Trip Gen'!AU60</f>
        <v>41967.6</v>
      </c>
      <c r="AI7" s="1151">
        <f>'Trip Gen'!AV60</f>
        <v>42703.999999999993</v>
      </c>
      <c r="AJ7" s="1179">
        <f t="shared" ref="AJ7:AJ14" si="0">((AI7-J7)/J7)/25</f>
        <v>6.6759999999999986E-2</v>
      </c>
      <c r="AK7" s="325">
        <f>$H7*J7</f>
        <v>1520</v>
      </c>
      <c r="AL7" s="261">
        <f t="shared" ref="AL7:BJ22" si="1">$H7*K7</f>
        <v>1589.9295</v>
      </c>
      <c r="AM7" s="261">
        <f>$H7*L7</f>
        <v>1688.1262500000003</v>
      </c>
      <c r="AN7" s="261">
        <f t="shared" si="1"/>
        <v>1832.1795000000002</v>
      </c>
      <c r="AO7" s="261">
        <f t="shared" si="1"/>
        <v>1976.2850000000001</v>
      </c>
      <c r="AP7" s="261">
        <f t="shared" si="1"/>
        <v>2120.3952499999996</v>
      </c>
      <c r="AQ7" s="261">
        <f t="shared" si="1"/>
        <v>2264.4484999999995</v>
      </c>
      <c r="AR7" s="261">
        <f t="shared" si="1"/>
        <v>2408.6109999999994</v>
      </c>
      <c r="AS7" s="261">
        <f t="shared" si="1"/>
        <v>2551.0729999999999</v>
      </c>
      <c r="AT7" s="261">
        <f t="shared" si="1"/>
        <v>2693.5634999999997</v>
      </c>
      <c r="AU7" s="261">
        <f t="shared" si="1"/>
        <v>2836.0255000000002</v>
      </c>
      <c r="AV7" s="261">
        <f t="shared" si="1"/>
        <v>2978.4875000000002</v>
      </c>
      <c r="AW7" s="261">
        <f t="shared" si="1"/>
        <v>3121.0635000000002</v>
      </c>
      <c r="AX7" s="261">
        <f t="shared" si="1"/>
        <v>3217.6120000000001</v>
      </c>
      <c r="AY7" s="261">
        <f t="shared" si="1"/>
        <v>3287.5414999999998</v>
      </c>
      <c r="AZ7" s="261">
        <f t="shared" si="1"/>
        <v>3357.4709999999995</v>
      </c>
      <c r="BA7" s="261">
        <f t="shared" si="1"/>
        <v>3427.4005000000002</v>
      </c>
      <c r="BB7" s="261">
        <f t="shared" si="1"/>
        <v>3497.3585000000003</v>
      </c>
      <c r="BC7" s="261">
        <f t="shared" si="1"/>
        <v>3567.288</v>
      </c>
      <c r="BD7" s="261">
        <f t="shared" si="1"/>
        <v>3637.2459999999996</v>
      </c>
      <c r="BE7" s="261">
        <f t="shared" si="1"/>
        <v>3707.1755000000003</v>
      </c>
      <c r="BF7" s="261">
        <f t="shared" si="1"/>
        <v>3777.105</v>
      </c>
      <c r="BG7" s="261">
        <f t="shared" si="1"/>
        <v>3847.0629999999996</v>
      </c>
      <c r="BH7" s="261">
        <f t="shared" si="1"/>
        <v>3916.9924999999998</v>
      </c>
      <c r="BI7" s="261">
        <f t="shared" si="1"/>
        <v>3986.922</v>
      </c>
      <c r="BJ7" s="352">
        <f t="shared" si="1"/>
        <v>4056.8799999999992</v>
      </c>
      <c r="BK7" s="416">
        <f>((0.33*AK7)/Speed!X88)+((0.67*AK7)/Speed!AX88)</f>
        <v>21.175856323280648</v>
      </c>
      <c r="BL7" s="414">
        <f>((0.33*AL7)/Speed!Y88)+((0.67*AL7)/Speed!AY88)</f>
        <v>22.150102619634854</v>
      </c>
      <c r="BM7" s="414">
        <f>((0.33*AM7)/Speed!Z88)+((0.67*AM7)/Speed!AZ88)</f>
        <v>23.518189711090898</v>
      </c>
      <c r="BN7" s="414">
        <f>((0.33*AN7)/Speed!AA88)+((0.67*AN7)/Speed!BA88)</f>
        <v>25.525252941240666</v>
      </c>
      <c r="BO7" s="414">
        <f>((0.33*AO7)/Speed!AB88)+((0.67*AO7)/Speed!BB88)</f>
        <v>27.533271877052098</v>
      </c>
      <c r="BP7" s="414">
        <f>((0.33*AP7)/Speed!AC88)+((0.67*AP7)/Speed!BC88)</f>
        <v>29.541804898216601</v>
      </c>
      <c r="BQ7" s="414">
        <f>((0.33*AQ7)/Speed!AD88)+((0.67*AQ7)/Speed!BD88)</f>
        <v>31.550383329562955</v>
      </c>
      <c r="BR7" s="414">
        <f>((0.33*AR7)/Speed!AE88)+((0.67*AR7)/Speed!BE88)</f>
        <v>33.561999179548252</v>
      </c>
      <c r="BS7" s="414">
        <f>((0.33*AS7)/Speed!AF88)+((0.67*AS7)/Speed!BF88)</f>
        <v>35.552466135841016</v>
      </c>
      <c r="BT7" s="414">
        <f>((0.33*AT7)/Speed!AG88)+((0.67*AT7)/Speed!BG88)</f>
        <v>37.547632044749655</v>
      </c>
      <c r="BU7" s="414">
        <f>((0.33*AU7)/Speed!AH88)+((0.67*AU7)/Speed!BH88)</f>
        <v>39.549397944150073</v>
      </c>
      <c r="BV7" s="414">
        <f>((0.33*AV7)/Speed!AI88)+((0.67*AV7)/Speed!BI88)</f>
        <v>41.562274671004467</v>
      </c>
      <c r="BW7" s="414">
        <f>((0.33*AW7)/Speed!AJ88)+((0.67*AW7)/Speed!BJ88)</f>
        <v>43.594031787010238</v>
      </c>
      <c r="BX7" s="414">
        <f>((0.33*AX7)/Speed!AK88)+((0.67*AX7)/Speed!BK88)</f>
        <v>44.984107445356571</v>
      </c>
      <c r="BY7" s="414">
        <f>((0.33*AY7)/Speed!AL88)+((0.67*AY7)/Speed!BL88)</f>
        <v>46.000506573953217</v>
      </c>
      <c r="BZ7" s="414">
        <f>((0.33*AZ7)/Speed!AM88)+((0.67*AZ7)/Speed!BM88)</f>
        <v>47.02689978430967</v>
      </c>
      <c r="CA7" s="414">
        <f>((0.33*BA7)/Speed!AN88)+((0.67*BA7)/Speed!BN88)</f>
        <v>48.065370308533673</v>
      </c>
      <c r="CB7" s="414">
        <f>((0.33*BB7)/Speed!AO88)+((0.67*BB7)/Speed!BO88)</f>
        <v>49.118811109185962</v>
      </c>
      <c r="CC7" s="414">
        <f>((0.33*BC7)/Speed!AP88)+((0.67*BC7)/Speed!BP88)</f>
        <v>50.18926133267172</v>
      </c>
      <c r="CD7" s="414">
        <f>((0.33*BD7)/Speed!AQ88)+((0.67*BD7)/Speed!BQ88)</f>
        <v>51.28099517307426</v>
      </c>
      <c r="CE7" s="414">
        <f>((0.33*BE7)/Speed!AR88)+((0.67*BE7)/Speed!BR88)</f>
        <v>52.397099911480055</v>
      </c>
      <c r="CF7" s="414">
        <f>((0.33*BF7)/Speed!AS88)+((0.67*BF7)/Speed!BS88)</f>
        <v>53.542651942353984</v>
      </c>
      <c r="CG7" s="414">
        <f>((0.33*BG7)/Speed!AT88)+((0.67*BG7)/Speed!BT88)</f>
        <v>54.723531077369373</v>
      </c>
      <c r="CH7" s="414">
        <f>((0.33*BH7)/Speed!AU88)+((0.67*BH7)/Speed!BU88)</f>
        <v>55.945028383861562</v>
      </c>
      <c r="CI7" s="414">
        <f>((0.33*BI7)/Speed!AV88)+((0.67*BI7)/Speed!BV88)</f>
        <v>57.214846610117476</v>
      </c>
      <c r="CJ7" s="430">
        <f>((0.33*BJ7)/Speed!AW88)+((0.67*BJ7)/Speed!BW88)</f>
        <v>58.541877573945087</v>
      </c>
      <c r="CK7" s="1390">
        <f>Inputs!$D$35</f>
        <v>0.22</v>
      </c>
      <c r="CL7" s="1390">
        <f>Inputs!$D$36</f>
        <v>0.78</v>
      </c>
      <c r="CM7" s="1397">
        <f>1/(1+CK7)</f>
        <v>0.81967213114754101</v>
      </c>
      <c r="CN7" s="1404">
        <v>0.9</v>
      </c>
      <c r="CO7" s="1152"/>
      <c r="CP7" s="62"/>
      <c r="CQ7" s="1153"/>
      <c r="CR7" s="1154"/>
      <c r="DA7"/>
    </row>
    <row r="8" spans="1:105" ht="21.95" customHeight="1" x14ac:dyDescent="0.2">
      <c r="B8" s="492"/>
      <c r="C8" s="1339"/>
      <c r="D8" s="116" t="s">
        <v>282</v>
      </c>
      <c r="E8" s="116" t="s">
        <v>280</v>
      </c>
      <c r="F8" s="116" t="s">
        <v>369</v>
      </c>
      <c r="G8" s="364">
        <v>70</v>
      </c>
      <c r="H8" s="1155">
        <f>19116/foottomile</f>
        <v>3.6204545454545456</v>
      </c>
      <c r="I8" s="260">
        <v>4</v>
      </c>
      <c r="J8" s="326">
        <f>'Trip Gen'!W61</f>
        <v>13500</v>
      </c>
      <c r="K8" s="1151">
        <f>'Trip Gen'!X61</f>
        <v>14247.849999999999</v>
      </c>
      <c r="L8" s="1151">
        <f>'Trip Gen'!Y61</f>
        <v>15115.1</v>
      </c>
      <c r="M8" s="1151">
        <f>'Trip Gen'!Z61</f>
        <v>16733.349999999999</v>
      </c>
      <c r="N8" s="1151">
        <f>'Trip Gen'!AA61</f>
        <v>18352.200000000004</v>
      </c>
      <c r="O8" s="1151">
        <f>'Trip Gen'!AB61</f>
        <v>19971.350000000002</v>
      </c>
      <c r="P8" s="1151">
        <f>'Trip Gen'!AC61</f>
        <v>21589.600000000002</v>
      </c>
      <c r="Q8" s="1151">
        <f>'Trip Gen'!AD61</f>
        <v>23209.4</v>
      </c>
      <c r="R8" s="1151">
        <f>'Trip Gen'!AE61</f>
        <v>25129.5</v>
      </c>
      <c r="S8" s="1151">
        <f>'Trip Gen'!AF61</f>
        <v>27050.15</v>
      </c>
      <c r="T8" s="1151">
        <f>'Trip Gen'!AG61</f>
        <v>28970.25</v>
      </c>
      <c r="U8" s="1151">
        <f>'Trip Gen'!AH61</f>
        <v>30890.349999999995</v>
      </c>
      <c r="V8" s="1151">
        <f>'Trip Gen'!AI61</f>
        <v>32812.35</v>
      </c>
      <c r="W8" s="1151">
        <f>'Trip Gen'!AJ61</f>
        <v>33980.5</v>
      </c>
      <c r="X8" s="1151">
        <f>'Trip Gen'!AK61</f>
        <v>34728.35</v>
      </c>
      <c r="Y8" s="1151">
        <f>'Trip Gen'!AL61</f>
        <v>35476.199999999997</v>
      </c>
      <c r="Z8" s="1151">
        <f>'Trip Gen'!AM61</f>
        <v>36224.049999999996</v>
      </c>
      <c r="AA8" s="1151">
        <f>'Trip Gen'!AN61</f>
        <v>36972.400000000001</v>
      </c>
      <c r="AB8" s="1151">
        <f>'Trip Gen'!AO61</f>
        <v>37720.25</v>
      </c>
      <c r="AC8" s="1151">
        <f>'Trip Gen'!AP61</f>
        <v>38468.599999999991</v>
      </c>
      <c r="AD8" s="1151">
        <f>'Trip Gen'!AQ61</f>
        <v>39216.449999999997</v>
      </c>
      <c r="AE8" s="1151">
        <f>'Trip Gen'!AR61</f>
        <v>39964.299999999996</v>
      </c>
      <c r="AF8" s="1151">
        <f>'Trip Gen'!AS61</f>
        <v>40712.65</v>
      </c>
      <c r="AG8" s="1151">
        <f>'Trip Gen'!AT61</f>
        <v>41460.5</v>
      </c>
      <c r="AH8" s="1151">
        <f>'Trip Gen'!AU61</f>
        <v>42208.35</v>
      </c>
      <c r="AI8" s="1151">
        <f>'Trip Gen'!AV61</f>
        <v>42956.700000000004</v>
      </c>
      <c r="AJ8" s="1180">
        <f t="shared" si="0"/>
        <v>8.7279111111111127E-2</v>
      </c>
      <c r="AK8" s="326">
        <f>$H8*J8</f>
        <v>48876.136363636368</v>
      </c>
      <c r="AL8" s="260">
        <f t="shared" si="1"/>
        <v>51583.693295454541</v>
      </c>
      <c r="AM8" s="260">
        <f t="shared" si="1"/>
        <v>54723.532500000001</v>
      </c>
      <c r="AN8" s="260">
        <f t="shared" si="1"/>
        <v>60582.333068181819</v>
      </c>
      <c r="AO8" s="260">
        <f t="shared" si="1"/>
        <v>66443.305909090923</v>
      </c>
      <c r="AP8" s="260">
        <f t="shared" si="1"/>
        <v>72305.364886363648</v>
      </c>
      <c r="AQ8" s="260">
        <f t="shared" si="1"/>
        <v>78164.165454545466</v>
      </c>
      <c r="AR8" s="260">
        <f t="shared" si="1"/>
        <v>84028.577727272743</v>
      </c>
      <c r="AS8" s="260">
        <f t="shared" si="1"/>
        <v>90980.212500000009</v>
      </c>
      <c r="AT8" s="260">
        <f t="shared" si="1"/>
        <v>97933.838522727281</v>
      </c>
      <c r="AU8" s="260">
        <f t="shared" si="1"/>
        <v>104885.47329545455</v>
      </c>
      <c r="AV8" s="260">
        <f t="shared" si="1"/>
        <v>111837.1080681818</v>
      </c>
      <c r="AW8" s="260">
        <f t="shared" si="1"/>
        <v>118795.62170454545</v>
      </c>
      <c r="AX8" s="260">
        <f t="shared" si="1"/>
        <v>123024.85568181818</v>
      </c>
      <c r="AY8" s="260">
        <f t="shared" si="1"/>
        <v>125732.41261363636</v>
      </c>
      <c r="AZ8" s="260">
        <f t="shared" si="1"/>
        <v>128439.96954545454</v>
      </c>
      <c r="BA8" s="260">
        <f t="shared" si="1"/>
        <v>131147.52647727271</v>
      </c>
      <c r="BB8" s="260">
        <f t="shared" si="1"/>
        <v>133856.89363636365</v>
      </c>
      <c r="BC8" s="260">
        <f t="shared" si="1"/>
        <v>136564.45056818181</v>
      </c>
      <c r="BD8" s="260">
        <f t="shared" si="1"/>
        <v>139273.81772727269</v>
      </c>
      <c r="BE8" s="260">
        <f t="shared" si="1"/>
        <v>141981.37465909091</v>
      </c>
      <c r="BF8" s="260">
        <f t="shared" si="1"/>
        <v>144688.93159090908</v>
      </c>
      <c r="BG8" s="260">
        <f t="shared" si="1"/>
        <v>147398.29875000002</v>
      </c>
      <c r="BH8" s="260">
        <f t="shared" si="1"/>
        <v>150105.85568181818</v>
      </c>
      <c r="BI8" s="260">
        <f t="shared" si="1"/>
        <v>152813.41261363638</v>
      </c>
      <c r="BJ8" s="328">
        <f t="shared" si="1"/>
        <v>155522.77977272728</v>
      </c>
      <c r="BK8" s="417">
        <f>((0.33*'Traffic Data'!AK8)/Speed!X89)+((0.67*'Traffic Data'!AK8)/Speed!AX89)</f>
        <v>680.91604638444551</v>
      </c>
      <c r="BL8" s="415">
        <f>((0.33*AL8)/Speed!Y89)+((0.67*AL8)/Speed!AY89)</f>
        <v>718.63645673476947</v>
      </c>
      <c r="BM8" s="415">
        <f>((0.33*AM8)/Speed!Z89)+((0.67*AM8)/Speed!AZ89)</f>
        <v>762.37939495450348</v>
      </c>
      <c r="BN8" s="415">
        <f>((0.33*AN8)/Speed!AA89)+((0.67*AN8)/Speed!BA89)</f>
        <v>844.00276090028638</v>
      </c>
      <c r="BO8" s="415">
        <f>((0.33*AO8)/Speed!AB89)+((0.67*AO8)/Speed!BB89)</f>
        <v>925.65919620135833</v>
      </c>
      <c r="BP8" s="415">
        <f>((0.33*AP8)/Speed!AC89)+((0.67*AP8)/Speed!BC89)</f>
        <v>1007.3371491798091</v>
      </c>
      <c r="BQ8" s="415">
        <f>((0.33*AQ8)/Speed!AD89)+((0.67*AQ8)/Speed!BD89)</f>
        <v>1088.9832588248332</v>
      </c>
      <c r="BR8" s="415">
        <f>((0.33*AR8)/Speed!AE89)+((0.67*AR8)/Speed!BE89)</f>
        <v>1170.7347944005055</v>
      </c>
      <c r="BS8" s="415">
        <f>((0.33*AS8)/Speed!AF89)+((0.67*AS8)/Speed!BF89)</f>
        <v>1267.712901414674</v>
      </c>
      <c r="BT8" s="415">
        <f>((0.33*AT8)/Speed!AG89)+((0.67*AT8)/Speed!BG89)</f>
        <v>1364.8691018643431</v>
      </c>
      <c r="BU8" s="415">
        <f>((0.33*AU8)/Speed!AH89)+((0.67*AU8)/Speed!BH89)</f>
        <v>1462.2876460734778</v>
      </c>
      <c r="BV8" s="415">
        <f>((0.33*AV8)/Speed!AI89)+((0.67*AV8)/Speed!BI89)</f>
        <v>1560.2419768754926</v>
      </c>
      <c r="BW8" s="415">
        <f>((0.33*AW8)/Speed!AJ89)+((0.67*AW8)/Speed!BJ89)</f>
        <v>1659.2464729534929</v>
      </c>
      <c r="BX8" s="415">
        <f>((0.33*AX8)/Speed!AK89)+((0.67*AX8)/Speed!BK89)</f>
        <v>1720.160659095653</v>
      </c>
      <c r="BY8" s="415">
        <f>((0.33*AY8)/Speed!AL89)+((0.67*AY8)/Speed!BL89)</f>
        <v>1759.5706264694884</v>
      </c>
      <c r="BZ8" s="415">
        <f>((0.33*AZ8)/Speed!AM89)+((0.67*AZ8)/Speed!BM89)</f>
        <v>1799.3864693145651</v>
      </c>
      <c r="CA8" s="415">
        <f>((0.33*BA8)/Speed!AN89)+((0.67*BA8)/Speed!BN89)</f>
        <v>1839.6939310669509</v>
      </c>
      <c r="CB8" s="415">
        <f>((0.33*BB8)/Speed!AO89)+((0.67*BB8)/Speed!BO89)</f>
        <v>1880.6220521175178</v>
      </c>
      <c r="CC8" s="415">
        <f>((0.33*BC8)/Speed!AP89)+((0.67*BC8)/Speed!BP89)</f>
        <v>1922.2358942640944</v>
      </c>
      <c r="CD8" s="415">
        <f>((0.33*BD8)/Speed!AQ89)+((0.67*BD8)/Speed!BQ89)</f>
        <v>1964.7320068221111</v>
      </c>
      <c r="CE8" s="415">
        <f>((0.33*BE8)/Speed!AR89)+((0.67*BE8)/Speed!BR89)</f>
        <v>2008.2185714414427</v>
      </c>
      <c r="CF8" s="415">
        <f>((0.33*BF8)/Speed!AS89)+((0.67*BF8)/Speed!BS89)</f>
        <v>2052.9162896669827</v>
      </c>
      <c r="CG8" s="415">
        <f>((0.33*BG8)/Speed!AT89)+((0.67*BG8)/Speed!BT89)</f>
        <v>2099.0808758322391</v>
      </c>
      <c r="CH8" s="415">
        <f>((0.33*BH8)/Speed!AU89)+((0.67*BH8)/Speed!BU89)</f>
        <v>2146.9113394355081</v>
      </c>
      <c r="CI8" s="415">
        <f>((0.33*BI8)/Speed!AV89)+((0.67*BI8)/Speed!BV89)</f>
        <v>2196.7398049613312</v>
      </c>
      <c r="CJ8" s="453">
        <f>((0.33*BJ8)/Speed!AW89)+((0.67*BJ8)/Speed!BW89)</f>
        <v>2248.9506342170339</v>
      </c>
      <c r="CK8" s="1391"/>
      <c r="CL8" s="1391"/>
      <c r="CM8" s="1398"/>
      <c r="CN8" s="1405"/>
      <c r="CO8" s="1152"/>
      <c r="CP8" s="62"/>
      <c r="CQ8" s="1153"/>
      <c r="CR8" s="1154"/>
      <c r="DA8"/>
    </row>
    <row r="9" spans="1:105" ht="21.95" customHeight="1" x14ac:dyDescent="0.2">
      <c r="B9" s="492"/>
      <c r="C9" s="1339"/>
      <c r="D9" s="116" t="s">
        <v>280</v>
      </c>
      <c r="E9" s="116" t="s">
        <v>333</v>
      </c>
      <c r="F9" s="116" t="s">
        <v>370</v>
      </c>
      <c r="G9" s="364">
        <v>70</v>
      </c>
      <c r="H9" s="1155">
        <v>9.5000000000000001E-2</v>
      </c>
      <c r="I9" s="260">
        <v>4</v>
      </c>
      <c r="J9" s="326">
        <f>'Trip Gen'!W62</f>
        <v>12000</v>
      </c>
      <c r="K9" s="1156">
        <f>'Trip Gen'!X62</f>
        <v>12501.099999999999</v>
      </c>
      <c r="L9" s="1156">
        <f>'Trip Gen'!Y62</f>
        <v>13121.299999999997</v>
      </c>
      <c r="M9" s="1156">
        <f>'Trip Gen'!Z62</f>
        <v>13956.3</v>
      </c>
      <c r="N9" s="1156">
        <f>'Trip Gen'!AA62</f>
        <v>14791.600000000002</v>
      </c>
      <c r="O9" s="1156">
        <f>'Trip Gen'!AB62</f>
        <v>15626.800000000003</v>
      </c>
      <c r="P9" s="1156">
        <f>'Trip Gen'!AC62</f>
        <v>16461.800000000003</v>
      </c>
      <c r="Q9" s="1156">
        <f>'Trip Gen'!AD62</f>
        <v>17297.400000000005</v>
      </c>
      <c r="R9" s="1156">
        <f>'Trip Gen'!AE62</f>
        <v>18107</v>
      </c>
      <c r="S9" s="1156">
        <f>'Trip Gen'!AF62</f>
        <v>18916.899999999994</v>
      </c>
      <c r="T9" s="1156">
        <f>'Trip Gen'!AG62</f>
        <v>19726.5</v>
      </c>
      <c r="U9" s="1156">
        <f>'Trip Gen'!AH62</f>
        <v>20536.099999999999</v>
      </c>
      <c r="V9" s="1156">
        <f>'Trip Gen'!AI62</f>
        <v>21346.300000000003</v>
      </c>
      <c r="W9" s="1156">
        <f>'Trip Gen'!AJ62</f>
        <v>21940.799999999999</v>
      </c>
      <c r="X9" s="1156">
        <f>'Trip Gen'!AK62</f>
        <v>22441.9</v>
      </c>
      <c r="Y9" s="1156">
        <f>'Trip Gen'!AL62</f>
        <v>22942.999999999996</v>
      </c>
      <c r="Z9" s="1156">
        <f>'Trip Gen'!AM62</f>
        <v>23444.1</v>
      </c>
      <c r="AA9" s="1156">
        <f>'Trip Gen'!AN62</f>
        <v>23945.4</v>
      </c>
      <c r="AB9" s="1156">
        <f>'Trip Gen'!AO62</f>
        <v>24446.5</v>
      </c>
      <c r="AC9" s="1156">
        <f>'Trip Gen'!AP62</f>
        <v>24947.8</v>
      </c>
      <c r="AD9" s="1156">
        <f>'Trip Gen'!AQ62</f>
        <v>25448.900000000005</v>
      </c>
      <c r="AE9" s="1156">
        <f>'Trip Gen'!AR62</f>
        <v>25949.999999999996</v>
      </c>
      <c r="AF9" s="1156">
        <f>'Trip Gen'!AS62</f>
        <v>26451.3</v>
      </c>
      <c r="AG9" s="1156">
        <f>'Trip Gen'!AT62</f>
        <v>26952.400000000001</v>
      </c>
      <c r="AH9" s="1156">
        <f>'Trip Gen'!AU62</f>
        <v>27453.499999999996</v>
      </c>
      <c r="AI9" s="1156">
        <f>'Trip Gen'!AV62</f>
        <v>27954.799999999999</v>
      </c>
      <c r="AJ9" s="1180">
        <f t="shared" si="0"/>
        <v>5.3182666666666663E-2</v>
      </c>
      <c r="AK9" s="326">
        <f>$H9*J9</f>
        <v>1140</v>
      </c>
      <c r="AL9" s="260">
        <f t="shared" si="1"/>
        <v>1187.6044999999999</v>
      </c>
      <c r="AM9" s="260">
        <f t="shared" si="1"/>
        <v>1246.5234999999998</v>
      </c>
      <c r="AN9" s="260">
        <f t="shared" si="1"/>
        <v>1325.8485000000001</v>
      </c>
      <c r="AO9" s="260">
        <f t="shared" si="1"/>
        <v>1405.2020000000002</v>
      </c>
      <c r="AP9" s="260">
        <f t="shared" si="1"/>
        <v>1484.5460000000003</v>
      </c>
      <c r="AQ9" s="260">
        <f t="shared" si="1"/>
        <v>1563.8710000000003</v>
      </c>
      <c r="AR9" s="260">
        <f t="shared" si="1"/>
        <v>1643.2530000000006</v>
      </c>
      <c r="AS9" s="260">
        <f t="shared" si="1"/>
        <v>1720.165</v>
      </c>
      <c r="AT9" s="260">
        <f t="shared" si="1"/>
        <v>1797.1054999999994</v>
      </c>
      <c r="AU9" s="260">
        <f t="shared" si="1"/>
        <v>1874.0174999999999</v>
      </c>
      <c r="AV9" s="260">
        <f t="shared" si="1"/>
        <v>1950.9295</v>
      </c>
      <c r="AW9" s="260">
        <f t="shared" si="1"/>
        <v>2027.8985000000002</v>
      </c>
      <c r="AX9" s="260">
        <f t="shared" si="1"/>
        <v>2084.3759999999997</v>
      </c>
      <c r="AY9" s="260">
        <f t="shared" si="1"/>
        <v>2131.9805000000001</v>
      </c>
      <c r="AZ9" s="260">
        <f t="shared" si="1"/>
        <v>2179.5849999999996</v>
      </c>
      <c r="BA9" s="260">
        <f t="shared" si="1"/>
        <v>2227.1895</v>
      </c>
      <c r="BB9" s="260">
        <f t="shared" si="1"/>
        <v>2274.8130000000001</v>
      </c>
      <c r="BC9" s="260">
        <f t="shared" si="1"/>
        <v>2322.4175</v>
      </c>
      <c r="BD9" s="260">
        <f t="shared" si="1"/>
        <v>2370.0410000000002</v>
      </c>
      <c r="BE9" s="260">
        <f t="shared" si="1"/>
        <v>2417.6455000000005</v>
      </c>
      <c r="BF9" s="260">
        <f t="shared" si="1"/>
        <v>2465.2499999999995</v>
      </c>
      <c r="BG9" s="260">
        <f t="shared" si="1"/>
        <v>2512.8735000000001</v>
      </c>
      <c r="BH9" s="260">
        <f t="shared" si="1"/>
        <v>2560.4780000000001</v>
      </c>
      <c r="BI9" s="260">
        <f t="shared" si="1"/>
        <v>2608.0824999999995</v>
      </c>
      <c r="BJ9" s="328">
        <f t="shared" si="1"/>
        <v>2655.7060000000001</v>
      </c>
      <c r="BK9" s="417">
        <f>((0.33*'Traffic Data'!AK9)/Speed!X90)+((0.67*'Traffic Data'!AK9)/Speed!AX90)</f>
        <v>15.881862988392243</v>
      </c>
      <c r="BL9" s="415">
        <f>((0.33*AL9)/Speed!Y90)+((0.67*AL9)/Speed!AY90)</f>
        <v>16.545064036237527</v>
      </c>
      <c r="BM9" s="415">
        <f>((0.33*AM9)/Speed!Z90)+((0.67*AM9)/Speed!AZ90)</f>
        <v>17.365893490562563</v>
      </c>
      <c r="BN9" s="415">
        <f>((0.33*AN9)/Speed!AA90)+((0.67*AN9)/Speed!BA90)</f>
        <v>18.471010864573024</v>
      </c>
      <c r="BO9" s="415">
        <f>((0.33*AO9)/Speed!AB90)+((0.67*AO9)/Speed!BB90)</f>
        <v>19.576528986845659</v>
      </c>
      <c r="BP9" s="415">
        <f>((0.33*AP9)/Speed!AC90)+((0.67*AP9)/Speed!BC90)</f>
        <v>20.681920987581794</v>
      </c>
      <c r="BQ9" s="415">
        <f>((0.33*AQ9)/Speed!AD90)+((0.67*AQ9)/Speed!BD90)</f>
        <v>21.787058473423155</v>
      </c>
      <c r="BR9" s="415">
        <f>((0.33*AR9)/Speed!AE90)+((0.67*AR9)/Speed!BE90)</f>
        <v>22.893006334273554</v>
      </c>
      <c r="BS9" s="415">
        <f>((0.33*AS9)/Speed!AF90)+((0.67*AS9)/Speed!BF90)</f>
        <v>23.964566297660994</v>
      </c>
      <c r="BT9" s="415">
        <f>((0.33*AT9)/Speed!AG90)+((0.67*AT9)/Speed!BG90)</f>
        <v>25.036559222152846</v>
      </c>
      <c r="BU9" s="415">
        <f>((0.33*AU9)/Speed!AH90)+((0.67*AU9)/Speed!BH90)</f>
        <v>26.108208198047834</v>
      </c>
      <c r="BV9" s="415">
        <f>((0.33*AV9)/Speed!AI90)+((0.67*AV9)/Speed!BI90)</f>
        <v>27.179934573223086</v>
      </c>
      <c r="BW9" s="415">
        <f>((0.33*AW9)/Speed!AJ90)+((0.67*AW9)/Speed!BJ90)</f>
        <v>28.252566419637368</v>
      </c>
      <c r="BX9" s="415">
        <f>((0.33*AX9)/Speed!AK90)+((0.67*AX9)/Speed!BK90)</f>
        <v>29.039727859177333</v>
      </c>
      <c r="BY9" s="415">
        <f>((0.33*AY9)/Speed!AL90)+((0.67*AY9)/Speed!BL90)</f>
        <v>29.703303718788085</v>
      </c>
      <c r="BZ9" s="415">
        <f>((0.33*AZ9)/Speed!AM90)+((0.67*AZ9)/Speed!BM90)</f>
        <v>30.36697356143333</v>
      </c>
      <c r="CA9" s="415">
        <f>((0.33*BA9)/Speed!AN90)+((0.67*BA9)/Speed!BN90)</f>
        <v>31.030758037647267</v>
      </c>
      <c r="CB9" s="415">
        <f>((0.33*BB9)/Speed!AO90)+((0.67*BB9)/Speed!BO90)</f>
        <v>31.69494675442769</v>
      </c>
      <c r="CC9" s="415">
        <f>((0.33*BC9)/Speed!AP90)+((0.67*BC9)/Speed!BP90)</f>
        <v>32.359038920090214</v>
      </c>
      <c r="CD9" s="415">
        <f>((0.33*BD9)/Speed!AQ90)+((0.67*BD9)/Speed!BQ90)</f>
        <v>33.023599156914358</v>
      </c>
      <c r="CE9" s="415">
        <f>((0.33*BE9)/Speed!AR90)+((0.67*BE9)/Speed!BR90)</f>
        <v>33.688137835559431</v>
      </c>
      <c r="CF9" s="415">
        <f>((0.33*BF9)/Speed!AS90)+((0.67*BF9)/Speed!BS90)</f>
        <v>34.35296775269331</v>
      </c>
      <c r="CG9" s="415">
        <f>((0.33*BG9)/Speed!AT90)+((0.67*BG9)/Speed!BT90)</f>
        <v>35.018410310764139</v>
      </c>
      <c r="CH9" s="415">
        <f>((0.33*BH9)/Speed!AU90)+((0.67*BH9)/Speed!BU90)</f>
        <v>35.68399971977064</v>
      </c>
      <c r="CI9" s="415">
        <f>((0.33*BI9)/Speed!AV90)+((0.67*BI9)/Speed!BV90)</f>
        <v>36.350077213517366</v>
      </c>
      <c r="CJ9" s="453">
        <f>((0.33*BJ9)/Speed!AW90)+((0.67*BJ9)/Speed!BW90)</f>
        <v>37.016996968011611</v>
      </c>
      <c r="CK9" s="1392"/>
      <c r="CL9" s="1392"/>
      <c r="CM9" s="1399"/>
      <c r="CN9" s="1406"/>
      <c r="CO9" s="1152"/>
      <c r="CP9" s="62"/>
      <c r="CQ9" s="1153"/>
      <c r="CR9" s="1154"/>
      <c r="DA9"/>
    </row>
    <row r="10" spans="1:105" ht="21.95" customHeight="1" x14ac:dyDescent="0.2">
      <c r="B10" s="492"/>
      <c r="C10" s="1340" t="s">
        <v>280</v>
      </c>
      <c r="D10" s="220" t="s">
        <v>281</v>
      </c>
      <c r="E10" s="220" t="s">
        <v>335</v>
      </c>
      <c r="F10" s="220" t="s">
        <v>371</v>
      </c>
      <c r="G10" s="1149">
        <v>55</v>
      </c>
      <c r="H10" s="1150">
        <v>2.59</v>
      </c>
      <c r="I10" s="261">
        <v>2</v>
      </c>
      <c r="J10" s="325">
        <f>'Trip Gen'!W71</f>
        <v>4000</v>
      </c>
      <c r="K10" s="1151">
        <f>'Trip Gen'!X71</f>
        <v>4436.4500000000007</v>
      </c>
      <c r="L10" s="1151">
        <f>'Trip Gen'!Y71</f>
        <v>4897.3799999999992</v>
      </c>
      <c r="M10" s="1151">
        <f>'Trip Gen'!Z71</f>
        <v>6324.1100000000006</v>
      </c>
      <c r="N10" s="1151">
        <f>'Trip Gen'!AA71</f>
        <v>7751.5599999999995</v>
      </c>
      <c r="O10" s="1151">
        <f>'Trip Gen'!AB71</f>
        <v>9179.3900000000012</v>
      </c>
      <c r="P10" s="1151">
        <f>'Trip Gen'!AC71</f>
        <v>10606.12</v>
      </c>
      <c r="Q10" s="1151">
        <f>'Trip Gen'!AD71</f>
        <v>12034.820000000002</v>
      </c>
      <c r="R10" s="1151">
        <f>'Trip Gen'!AE71</f>
        <v>13952.019999999999</v>
      </c>
      <c r="S10" s="1151">
        <f>'Trip Gen'!AF71</f>
        <v>15870.069999999998</v>
      </c>
      <c r="T10" s="1151">
        <f>'Trip Gen'!AG71</f>
        <v>17787.27</v>
      </c>
      <c r="U10" s="1151">
        <f>'Trip Gen'!AH71</f>
        <v>19704.47</v>
      </c>
      <c r="V10" s="1151">
        <f>'Trip Gen'!AI71</f>
        <v>21624.170000000006</v>
      </c>
      <c r="W10" s="1151">
        <f>'Trip Gen'!AJ71</f>
        <v>22574.32</v>
      </c>
      <c r="X10" s="1151">
        <f>'Trip Gen'!AK71</f>
        <v>23010.77</v>
      </c>
      <c r="Y10" s="1151">
        <f>'Trip Gen'!AL71</f>
        <v>23447.22</v>
      </c>
      <c r="Z10" s="1151">
        <f>'Trip Gen'!AM71</f>
        <v>23883.670000000002</v>
      </c>
      <c r="AA10" s="1151">
        <f>'Trip Gen'!AN71</f>
        <v>24320.82</v>
      </c>
      <c r="AB10" s="1151">
        <f>'Trip Gen'!AO71</f>
        <v>24757.269999999997</v>
      </c>
      <c r="AC10" s="1151">
        <f>'Trip Gen'!AP71</f>
        <v>25194.42</v>
      </c>
      <c r="AD10" s="1151">
        <f>'Trip Gen'!AQ71</f>
        <v>25630.870000000003</v>
      </c>
      <c r="AE10" s="1151">
        <f>'Trip Gen'!AR71</f>
        <v>26067.32</v>
      </c>
      <c r="AF10" s="1151">
        <f>'Trip Gen'!AS71</f>
        <v>26504.470000000005</v>
      </c>
      <c r="AG10" s="1151">
        <f>'Trip Gen'!AT71</f>
        <v>26940.920000000002</v>
      </c>
      <c r="AH10" s="1151">
        <f>'Trip Gen'!AU71</f>
        <v>27377.37</v>
      </c>
      <c r="AI10" s="1151">
        <f>'Trip Gen'!AV71</f>
        <v>27814.52</v>
      </c>
      <c r="AJ10" s="1179">
        <f t="shared" si="0"/>
        <v>0.23814520000000003</v>
      </c>
      <c r="AK10" s="325">
        <f>H10*J10</f>
        <v>10360</v>
      </c>
      <c r="AL10" s="261">
        <f>$H10*K10</f>
        <v>11490.405500000001</v>
      </c>
      <c r="AM10" s="261">
        <f t="shared" si="1"/>
        <v>12684.214199999997</v>
      </c>
      <c r="AN10" s="261">
        <f t="shared" si="1"/>
        <v>16379.4449</v>
      </c>
      <c r="AO10" s="261">
        <f t="shared" si="1"/>
        <v>20076.540399999998</v>
      </c>
      <c r="AP10" s="261">
        <f t="shared" si="1"/>
        <v>23774.6201</v>
      </c>
      <c r="AQ10" s="261">
        <f t="shared" si="1"/>
        <v>27469.8508</v>
      </c>
      <c r="AR10" s="261">
        <f t="shared" si="1"/>
        <v>31170.183800000003</v>
      </c>
      <c r="AS10" s="261">
        <f t="shared" si="1"/>
        <v>36135.731799999994</v>
      </c>
      <c r="AT10" s="261">
        <f t="shared" si="1"/>
        <v>41103.481299999992</v>
      </c>
      <c r="AU10" s="261">
        <f t="shared" si="1"/>
        <v>46069.029300000002</v>
      </c>
      <c r="AV10" s="261">
        <f t="shared" si="1"/>
        <v>51034.577299999997</v>
      </c>
      <c r="AW10" s="261">
        <f t="shared" si="1"/>
        <v>56006.600300000013</v>
      </c>
      <c r="AX10" s="261">
        <f t="shared" si="1"/>
        <v>58467.488799999999</v>
      </c>
      <c r="AY10" s="261">
        <f t="shared" si="1"/>
        <v>59597.8943</v>
      </c>
      <c r="AZ10" s="261">
        <f t="shared" si="1"/>
        <v>60728.299800000001</v>
      </c>
      <c r="BA10" s="261">
        <f t="shared" si="1"/>
        <v>61858.705300000001</v>
      </c>
      <c r="BB10" s="261">
        <f t="shared" si="1"/>
        <v>62990.923799999997</v>
      </c>
      <c r="BC10" s="261">
        <f t="shared" si="1"/>
        <v>64121.32929999999</v>
      </c>
      <c r="BD10" s="261">
        <f t="shared" si="1"/>
        <v>65253.547799999993</v>
      </c>
      <c r="BE10" s="261">
        <f t="shared" si="1"/>
        <v>66383.953300000008</v>
      </c>
      <c r="BF10" s="261">
        <f t="shared" si="1"/>
        <v>67514.358800000002</v>
      </c>
      <c r="BG10" s="261">
        <f t="shared" si="1"/>
        <v>68646.577300000004</v>
      </c>
      <c r="BH10" s="261">
        <f t="shared" si="1"/>
        <v>69776.982799999998</v>
      </c>
      <c r="BI10" s="261">
        <f t="shared" si="1"/>
        <v>70907.388299999991</v>
      </c>
      <c r="BJ10" s="353">
        <f>H10*AI10</f>
        <v>72039.606799999994</v>
      </c>
      <c r="BK10" s="416">
        <f>((0.33*'Traffic Data'!AK10)/Speed!X91)+((0.67*'Traffic Data'!AK10)/Speed!AX91)</f>
        <v>174.13425924047147</v>
      </c>
      <c r="BL10" s="451">
        <f>((0.33*AL10)/Speed!Y91)+((0.67*AL10)/Speed!AY91)</f>
        <v>193.16795723583164</v>
      </c>
      <c r="BM10" s="451">
        <f>((0.33*AM10)/Speed!Z91)+((0.67*AM10)/Speed!AZ91)</f>
        <v>213.33401520830486</v>
      </c>
      <c r="BN10" s="451">
        <f>((0.33*AN10)/Speed!AA91)+((0.67*AN10)/Speed!BA91)</f>
        <v>277.84782201811618</v>
      </c>
      <c r="BO10" s="451">
        <f>((0.33*AO10)/Speed!AB91)+((0.67*AO10)/Speed!BB91)</f>
        <v>361.46676442351509</v>
      </c>
      <c r="BP10" s="451">
        <f>((0.33*AP10)/Speed!AC91)+((0.67*AP10)/Speed!BC91)</f>
        <v>553.99698499605904</v>
      </c>
      <c r="BQ10" s="451">
        <f>((0.33*AQ10)/Speed!AD91)+((0.67*AQ10)/Speed!BD91)</f>
        <v>1215.8321212219018</v>
      </c>
      <c r="BR10" s="451">
        <f>((0.33*AR10)/Speed!AE91)+((0.67*AR10)/Speed!BE91)</f>
        <v>1379.6209201350609</v>
      </c>
      <c r="BS10" s="451">
        <f>((0.33*AS10)/Speed!AF91)+((0.67*AS10)/Speed!BF91)</f>
        <v>1599.4385021094829</v>
      </c>
      <c r="BT10" s="451">
        <f>((0.33*AT10)/Speed!AG91)+((0.67*AT10)/Speed!BG91)</f>
        <v>1819.5241320596847</v>
      </c>
      <c r="BU10" s="451">
        <f>((0.33*AU10)/Speed!AH91)+((0.67*AU10)/Speed!BH91)</f>
        <v>2040.1086047272593</v>
      </c>
      <c r="BV10" s="451">
        <f>((0.33*AV10)/Speed!AI91)+((0.67*AV10)/Speed!BI91)</f>
        <v>2262.5246422776008</v>
      </c>
      <c r="BW10" s="451">
        <f>((0.33*AW10)/Speed!AJ91)+((0.67*AW10)/Speed!BJ91)</f>
        <v>2490.2077573628521</v>
      </c>
      <c r="BX10" s="451">
        <f>((0.33*AX10)/Speed!AK91)+((0.67*AX10)/Speed!BK91)</f>
        <v>2617.7612334844885</v>
      </c>
      <c r="BY10" s="451">
        <f>((0.33*AY10)/Speed!AL91)+((0.67*AY10)/Speed!BL91)</f>
        <v>2684.7812437671669</v>
      </c>
      <c r="BZ10" s="451">
        <f>((0.33*AZ10)/Speed!AM91)+((0.67*AZ10)/Speed!BM91)</f>
        <v>2745.8007912833791</v>
      </c>
      <c r="CA10" s="451">
        <f>((0.33*BA10)/Speed!AN91)+((0.67*BA10)/Speed!BN91)</f>
        <v>2809.1101857797839</v>
      </c>
      <c r="CB10" s="451">
        <f>((0.33*BB10)/Speed!AO91)+((0.67*BB10)/Speed!BO91)</f>
        <v>2875.213090314377</v>
      </c>
      <c r="CC10" s="451">
        <f>((0.33*BC10)/Speed!AP91)+((0.67*BC10)/Speed!BP91)</f>
        <v>2944.4634528886672</v>
      </c>
      <c r="CD10" s="451">
        <f>((0.33*BD10)/Speed!AQ91)+((0.67*BD10)/Speed!BQ91)</f>
        <v>3017.5371773447605</v>
      </c>
      <c r="CE10" s="451">
        <f>((0.33*BE10)/Speed!AR91)+((0.67*BE10)/Speed!BR91)</f>
        <v>3094.9885961760815</v>
      </c>
      <c r="CF10" s="451">
        <f>((0.33*BF10)/Speed!AS91)+((0.67*BF10)/Speed!BS91)</f>
        <v>3177.5727699358804</v>
      </c>
      <c r="CG10" s="451">
        <f>((0.33*BG10)/Speed!AT91)+((0.67*BG10)/Speed!BT91)</f>
        <v>3266.2748628066529</v>
      </c>
      <c r="CH10" s="451">
        <f>((0.33*BH10)/Speed!AU91)+((0.67*BH10)/Speed!BU91)</f>
        <v>3361.983578784173</v>
      </c>
      <c r="CI10" s="451">
        <f>((0.33*BI10)/Speed!AV91)+((0.67*BI10)/Speed!BV91)</f>
        <v>3465.7817407674429</v>
      </c>
      <c r="CJ10" s="452">
        <f>((0.33*BJ10)/Speed!AW91)+((0.67*BJ10)/Speed!BW91)</f>
        <v>3579.1087720037763</v>
      </c>
      <c r="CK10" s="1390">
        <f>Inputs!$E$35</f>
        <v>0.2</v>
      </c>
      <c r="CL10" s="1391">
        <f>Inputs!$E$36</f>
        <v>0.8</v>
      </c>
      <c r="CM10" s="1397">
        <f>1/(1+CK10)</f>
        <v>0.83333333333333337</v>
      </c>
      <c r="CN10" s="1405">
        <v>0.9</v>
      </c>
      <c r="CO10" s="1152"/>
      <c r="CP10" s="62"/>
      <c r="CQ10" s="1153"/>
      <c r="CR10" s="1154"/>
      <c r="DA10"/>
    </row>
    <row r="11" spans="1:105" ht="21.95" customHeight="1" x14ac:dyDescent="0.2">
      <c r="B11" s="492"/>
      <c r="C11" s="1339"/>
      <c r="D11" s="116" t="s">
        <v>335</v>
      </c>
      <c r="E11" s="116" t="s">
        <v>323</v>
      </c>
      <c r="F11" s="116" t="s">
        <v>372</v>
      </c>
      <c r="G11" s="364">
        <v>45</v>
      </c>
      <c r="H11" s="1155">
        <v>0.5</v>
      </c>
      <c r="I11" s="260">
        <v>2</v>
      </c>
      <c r="J11" s="326">
        <f>'Trip Gen'!W72</f>
        <v>2400</v>
      </c>
      <c r="K11" s="1151">
        <f>'Trip Gen'!X72</f>
        <v>2718.92</v>
      </c>
      <c r="L11" s="1151">
        <f>'Trip Gen'!Y72</f>
        <v>3038.0400000000004</v>
      </c>
      <c r="M11" s="1151">
        <f>'Trip Gen'!Z72</f>
        <v>4117.76</v>
      </c>
      <c r="N11" s="1151">
        <f>'Trip Gen'!AA72</f>
        <v>5197.7</v>
      </c>
      <c r="O11" s="1151">
        <f>'Trip Gen'!AB72</f>
        <v>6278.6200000000008</v>
      </c>
      <c r="P11" s="1151">
        <f>'Trip Gen'!AC72</f>
        <v>7358.34</v>
      </c>
      <c r="Q11" s="1151">
        <f>'Trip Gen'!AD72</f>
        <v>8439.08</v>
      </c>
      <c r="R11" s="1151">
        <f>'Trip Gen'!AE72</f>
        <v>10098.5</v>
      </c>
      <c r="S11" s="1151">
        <f>'Trip Gen'!AF72</f>
        <v>11757.740000000002</v>
      </c>
      <c r="T11" s="1151">
        <f>'Trip Gen'!AG72</f>
        <v>13417.140000000001</v>
      </c>
      <c r="U11" s="1151">
        <f>'Trip Gen'!AH72</f>
        <v>15076.56</v>
      </c>
      <c r="V11" s="1151">
        <f>'Trip Gen'!AI72</f>
        <v>16737.600000000002</v>
      </c>
      <c r="W11" s="1151">
        <f>'Trip Gen'!AJ72</f>
        <v>17635.600000000002</v>
      </c>
      <c r="X11" s="1151">
        <f>'Trip Gen'!AK72</f>
        <v>17954.52</v>
      </c>
      <c r="Y11" s="1151">
        <f>'Trip Gen'!AL72</f>
        <v>18273.440000000002</v>
      </c>
      <c r="Z11" s="1151">
        <f>'Trip Gen'!AM72</f>
        <v>18592.360000000004</v>
      </c>
      <c r="AA11" s="1151">
        <f>'Trip Gen'!AN72</f>
        <v>18911.480000000003</v>
      </c>
      <c r="AB11" s="1151">
        <f>'Trip Gen'!AO72</f>
        <v>19230.400000000001</v>
      </c>
      <c r="AC11" s="1151">
        <f>'Trip Gen'!AP72</f>
        <v>19549.52</v>
      </c>
      <c r="AD11" s="1151">
        <f>'Trip Gen'!AQ72</f>
        <v>19868.439999999999</v>
      </c>
      <c r="AE11" s="1151">
        <f>'Trip Gen'!AR72</f>
        <v>20187.36</v>
      </c>
      <c r="AF11" s="1151">
        <f>'Trip Gen'!AS72</f>
        <v>20506.480000000003</v>
      </c>
      <c r="AG11" s="1151">
        <f>'Trip Gen'!AT72</f>
        <v>20825.400000000001</v>
      </c>
      <c r="AH11" s="1151">
        <f>'Trip Gen'!AU72</f>
        <v>21144.32</v>
      </c>
      <c r="AI11" s="1151">
        <f>'Trip Gen'!AV72</f>
        <v>21463.439999999999</v>
      </c>
      <c r="AJ11" s="1180">
        <f t="shared" si="0"/>
        <v>0.31772399999999995</v>
      </c>
      <c r="AK11" s="326">
        <f>H11*J11</f>
        <v>1200</v>
      </c>
      <c r="AL11" s="260">
        <f t="shared" si="1"/>
        <v>1359.46</v>
      </c>
      <c r="AM11" s="260">
        <f t="shared" ref="AM11:AM26" si="2">$H11*L11</f>
        <v>1519.0200000000002</v>
      </c>
      <c r="AN11" s="260">
        <f t="shared" ref="AN11:AN26" si="3">$H11*M11</f>
        <v>2058.88</v>
      </c>
      <c r="AO11" s="260">
        <f t="shared" ref="AO11:AO26" si="4">$H11*N11</f>
        <v>2598.85</v>
      </c>
      <c r="AP11" s="260">
        <f t="shared" ref="AP11:AP26" si="5">$H11*O11</f>
        <v>3139.3100000000004</v>
      </c>
      <c r="AQ11" s="260">
        <f t="shared" ref="AQ11:AQ26" si="6">$H11*P11</f>
        <v>3679.17</v>
      </c>
      <c r="AR11" s="260">
        <f t="shared" ref="AR11:AR26" si="7">$H11*Q11</f>
        <v>4219.54</v>
      </c>
      <c r="AS11" s="260">
        <f t="shared" ref="AS11:AS26" si="8">$H11*R11</f>
        <v>5049.25</v>
      </c>
      <c r="AT11" s="260">
        <f t="shared" ref="AT11:AT26" si="9">$H11*S11</f>
        <v>5878.8700000000008</v>
      </c>
      <c r="AU11" s="260">
        <f t="shared" ref="AU11:AU26" si="10">$H11*T11</f>
        <v>6708.5700000000006</v>
      </c>
      <c r="AV11" s="260">
        <f t="shared" ref="AV11:AV26" si="11">$H11*U11</f>
        <v>7538.28</v>
      </c>
      <c r="AW11" s="260">
        <f t="shared" ref="AW11:AW26" si="12">$H11*V11</f>
        <v>8368.8000000000011</v>
      </c>
      <c r="AX11" s="260">
        <f t="shared" ref="AX11:AX26" si="13">$H11*W11</f>
        <v>8817.8000000000011</v>
      </c>
      <c r="AY11" s="260">
        <f t="shared" ref="AY11:AY26" si="14">$H11*X11</f>
        <v>8977.26</v>
      </c>
      <c r="AZ11" s="260">
        <f t="shared" ref="AZ11:AZ26" si="15">$H11*Y11</f>
        <v>9136.7200000000012</v>
      </c>
      <c r="BA11" s="260">
        <f t="shared" ref="BA11:BA26" si="16">$H11*Z11</f>
        <v>9296.1800000000021</v>
      </c>
      <c r="BB11" s="260">
        <f t="shared" ref="BB11:BB26" si="17">$H11*AA11</f>
        <v>9455.7400000000016</v>
      </c>
      <c r="BC11" s="260">
        <f t="shared" ref="BC11:BC26" si="18">$H11*AB11</f>
        <v>9615.2000000000007</v>
      </c>
      <c r="BD11" s="260">
        <f t="shared" ref="BD11:BD26" si="19">$H11*AC11</f>
        <v>9774.76</v>
      </c>
      <c r="BE11" s="260">
        <f t="shared" ref="BE11:BE26" si="20">$H11*AD11</f>
        <v>9934.2199999999993</v>
      </c>
      <c r="BF11" s="260">
        <f t="shared" ref="BF11:BF26" si="21">$H11*AE11</f>
        <v>10093.68</v>
      </c>
      <c r="BG11" s="260">
        <f t="shared" ref="BG11:BG26" si="22">$H11*AF11</f>
        <v>10253.240000000002</v>
      </c>
      <c r="BH11" s="260">
        <f t="shared" ref="BH11:BH26" si="23">$H11*AG11</f>
        <v>10412.700000000001</v>
      </c>
      <c r="BI11" s="260">
        <f t="shared" ref="BI11:BI26" si="24">$H11*AH11</f>
        <v>10572.16</v>
      </c>
      <c r="BJ11" s="354">
        <f>H11*AI11</f>
        <v>10731.72</v>
      </c>
      <c r="BK11" s="417">
        <f>((0.33*'Traffic Data'!AK11)/Speed!X92)+((0.67*'Traffic Data'!AK11)/Speed!AX92)</f>
        <v>24.242438227745033</v>
      </c>
      <c r="BL11" s="415">
        <f>((0.33*AL11)/Speed!Y92)+((0.67*AL11)/Speed!AY92)</f>
        <v>27.463893554076215</v>
      </c>
      <c r="BM11" s="415">
        <f>((0.33*AM11)/Speed!Z92)+((0.67*AM11)/Speed!AZ92)</f>
        <v>30.687459740693413</v>
      </c>
      <c r="BN11" s="415">
        <f>((0.33*AN11)/Speed!AA92)+((0.67*AN11)/Speed!BA92)</f>
        <v>41.59883948049935</v>
      </c>
      <c r="BO11" s="415">
        <f>((0.33*AO11)/Speed!AB92)+((0.67*AO11)/Speed!BB92)</f>
        <v>52.570769172795607</v>
      </c>
      <c r="BP11" s="415">
        <f>((0.33*AP11)/Speed!AC92)+((0.67*AP11)/Speed!BC92)</f>
        <v>63.969754431886031</v>
      </c>
      <c r="BQ11" s="415">
        <f>((0.33*AQ11)/Speed!AD92)+((0.67*AQ11)/Speed!BD92)</f>
        <v>77.473849377290193</v>
      </c>
      <c r="BR11" s="415">
        <f>((0.33*AR11)/Speed!AE92)+((0.67*AR11)/Speed!BE92)</f>
        <v>99.45310086885263</v>
      </c>
      <c r="BS11" s="415">
        <f>((0.33*AS11)/Speed!AF92)+((0.67*AS11)/Speed!BF92)</f>
        <v>204.37415713858363</v>
      </c>
      <c r="BT11" s="415">
        <f>((0.33*AT11)/Speed!AG92)+((0.67*AT11)/Speed!BG92)</f>
        <v>273.5770803973877</v>
      </c>
      <c r="BU11" s="415">
        <f>((0.33*AU11)/Speed!AH92)+((0.67*AU11)/Speed!BH92)</f>
        <v>312.19500971013565</v>
      </c>
      <c r="BV11" s="415">
        <f>((0.33*AV11)/Speed!AI92)+((0.67*AV11)/Speed!BI92)</f>
        <v>350.83579174591472</v>
      </c>
      <c r="BW11" s="415">
        <f>((0.33*AW11)/Speed!AJ92)+((0.67*AW11)/Speed!BJ92)</f>
        <v>389.5849740397498</v>
      </c>
      <c r="BX11" s="415">
        <f>((0.33*AX11)/Speed!AK92)+((0.67*AX11)/Speed!BK92)</f>
        <v>410.75866514099118</v>
      </c>
      <c r="BY11" s="415">
        <f>((0.33*AY11)/Speed!AL92)+((0.67*AY11)/Speed!BL92)</f>
        <v>418.4797499275561</v>
      </c>
      <c r="BZ11" s="415">
        <f>((0.33*AZ11)/Speed!AM92)+((0.67*AZ11)/Speed!BM92)</f>
        <v>426.05685650243805</v>
      </c>
      <c r="CA11" s="415">
        <f>((0.33*BA11)/Speed!AN92)+((0.67*BA11)/Speed!BN92)</f>
        <v>433.66433907401336</v>
      </c>
      <c r="CB11" s="415">
        <f>((0.33*BB11)/Speed!AO92)+((0.67*BB11)/Speed!BO92)</f>
        <v>441.31206929831927</v>
      </c>
      <c r="CC11" s="415">
        <f>((0.33*BC11)/Speed!AP92)+((0.67*BC11)/Speed!BP92)</f>
        <v>448.99686198332302</v>
      </c>
      <c r="CD11" s="415">
        <f>((0.33*BD11)/Speed!AQ92)+((0.67*BD11)/Speed!BQ92)</f>
        <v>456.7346173666117</v>
      </c>
      <c r="CE11" s="415">
        <f>((0.33*BE11)/Speed!AR92)+((0.67*BE11)/Speed!BR92)</f>
        <v>464.5242104838162</v>
      </c>
      <c r="CF11" s="415">
        <f>((0.33*BF11)/Speed!AS92)+((0.67*BF11)/Speed!BS92)</f>
        <v>472.37885609115904</v>
      </c>
      <c r="CG11" s="415">
        <f>((0.33*BG11)/Speed!AT92)+((0.67*BG11)/Speed!BT92)</f>
        <v>480.31364165554191</v>
      </c>
      <c r="CH11" s="415">
        <f>((0.33*BH11)/Speed!AU92)+((0.67*BH11)/Speed!BU92)</f>
        <v>488.33117666755902</v>
      </c>
      <c r="CI11" s="415">
        <f>((0.33*BI11)/Speed!AV92)+((0.67*BI11)/Speed!BV92)</f>
        <v>496.44863235209863</v>
      </c>
      <c r="CJ11" s="453">
        <f>((0.33*BJ11)/Speed!AW92)+((0.67*BJ11)/Speed!BW92)</f>
        <v>504.68593393683329</v>
      </c>
      <c r="CK11" s="1391"/>
      <c r="CL11" s="1391"/>
      <c r="CM11" s="1398"/>
      <c r="CN11" s="1405"/>
      <c r="CO11" s="1152"/>
      <c r="CP11" s="62"/>
      <c r="CQ11" s="1153"/>
      <c r="CR11" s="1154"/>
      <c r="DA11"/>
    </row>
    <row r="12" spans="1:105" ht="21.95" customHeight="1" x14ac:dyDescent="0.2">
      <c r="B12" s="492"/>
      <c r="C12" s="1353"/>
      <c r="D12" s="254" t="s">
        <v>323</v>
      </c>
      <c r="E12" s="254" t="s">
        <v>338</v>
      </c>
      <c r="F12" s="254" t="s">
        <v>373</v>
      </c>
      <c r="G12" s="1157">
        <v>45</v>
      </c>
      <c r="H12" s="1158">
        <v>2.68</v>
      </c>
      <c r="I12" s="262">
        <v>2</v>
      </c>
      <c r="J12" s="327">
        <f>'Trip Gen'!W73</f>
        <v>6000</v>
      </c>
      <c r="K12" s="1156">
        <f>'Trip Gen'!X73</f>
        <v>6222.5300000000007</v>
      </c>
      <c r="L12" s="1156">
        <f>'Trip Gen'!Y73</f>
        <v>6445.1999999999989</v>
      </c>
      <c r="M12" s="1156">
        <f>'Trip Gen'!Z73</f>
        <v>6877.63</v>
      </c>
      <c r="N12" s="1156">
        <f>'Trip Gen'!AA73</f>
        <v>7310.31</v>
      </c>
      <c r="O12" s="1156">
        <f>'Trip Gen'!AB73</f>
        <v>7742.880000000001</v>
      </c>
      <c r="P12" s="1156">
        <f>'Trip Gen'!AC73</f>
        <v>8175.3100000000013</v>
      </c>
      <c r="Q12" s="1156">
        <f>'Trip Gen'!AD73</f>
        <v>8608.2000000000007</v>
      </c>
      <c r="R12" s="1156">
        <f>'Trip Gen'!AE73</f>
        <v>9208.93</v>
      </c>
      <c r="S12" s="1156">
        <f>'Trip Gen'!AF73</f>
        <v>9809.98</v>
      </c>
      <c r="T12" s="1156">
        <f>'Trip Gen'!AG73</f>
        <v>10410.599999999999</v>
      </c>
      <c r="U12" s="1156">
        <f>'Trip Gen'!AH73</f>
        <v>11011.330000000002</v>
      </c>
      <c r="V12" s="1156">
        <f>'Trip Gen'!AI73</f>
        <v>11612.590000000002</v>
      </c>
      <c r="W12" s="1156">
        <f>'Trip Gen'!AJ73</f>
        <v>12003.24</v>
      </c>
      <c r="X12" s="1156">
        <f>'Trip Gen'!AK73</f>
        <v>12225.770000000002</v>
      </c>
      <c r="Y12" s="1156">
        <f>'Trip Gen'!AL73</f>
        <v>12448.300000000001</v>
      </c>
      <c r="Z12" s="1156">
        <f>'Trip Gen'!AM73</f>
        <v>12670.830000000002</v>
      </c>
      <c r="AA12" s="1156">
        <f>'Trip Gen'!AN73</f>
        <v>12893.500000000004</v>
      </c>
      <c r="AB12" s="1156">
        <f>'Trip Gen'!AO73</f>
        <v>13116.029999999999</v>
      </c>
      <c r="AC12" s="1156">
        <f>'Trip Gen'!AP73</f>
        <v>13338.7</v>
      </c>
      <c r="AD12" s="1156">
        <f>'Trip Gen'!AQ73</f>
        <v>13561.230000000001</v>
      </c>
      <c r="AE12" s="1156">
        <f>'Trip Gen'!AR73</f>
        <v>13783.760000000002</v>
      </c>
      <c r="AF12" s="1156">
        <f>'Trip Gen'!AS73</f>
        <v>14006.430000000002</v>
      </c>
      <c r="AG12" s="1156">
        <f>'Trip Gen'!AT73</f>
        <v>14228.960000000001</v>
      </c>
      <c r="AH12" s="1156">
        <f>'Trip Gen'!AU73</f>
        <v>14451.490000000002</v>
      </c>
      <c r="AI12" s="1156">
        <f>'Trip Gen'!AV73</f>
        <v>14674.160000000002</v>
      </c>
      <c r="AJ12" s="1181">
        <f t="shared" si="0"/>
        <v>5.7827733333333346E-2</v>
      </c>
      <c r="AK12" s="327">
        <f>H12*J12</f>
        <v>16080.000000000002</v>
      </c>
      <c r="AL12" s="262">
        <f t="shared" si="1"/>
        <v>16676.380400000002</v>
      </c>
      <c r="AM12" s="262">
        <f t="shared" si="2"/>
        <v>17273.135999999999</v>
      </c>
      <c r="AN12" s="262">
        <f t="shared" si="3"/>
        <v>18432.0484</v>
      </c>
      <c r="AO12" s="262">
        <f t="shared" si="4"/>
        <v>19591.630800000003</v>
      </c>
      <c r="AP12" s="262">
        <f t="shared" si="5"/>
        <v>20750.918400000002</v>
      </c>
      <c r="AQ12" s="262">
        <f t="shared" si="6"/>
        <v>21909.830800000003</v>
      </c>
      <c r="AR12" s="262">
        <f t="shared" si="7"/>
        <v>23069.976000000002</v>
      </c>
      <c r="AS12" s="262">
        <f t="shared" si="8"/>
        <v>24679.932400000002</v>
      </c>
      <c r="AT12" s="262">
        <f t="shared" si="9"/>
        <v>26290.7464</v>
      </c>
      <c r="AU12" s="262">
        <f t="shared" si="10"/>
        <v>27900.407999999999</v>
      </c>
      <c r="AV12" s="262">
        <f t="shared" si="11"/>
        <v>29510.364400000006</v>
      </c>
      <c r="AW12" s="262">
        <f t="shared" si="12"/>
        <v>31121.741200000008</v>
      </c>
      <c r="AX12" s="262">
        <f t="shared" si="13"/>
        <v>32168.683200000003</v>
      </c>
      <c r="AY12" s="262">
        <f t="shared" si="14"/>
        <v>32765.063600000009</v>
      </c>
      <c r="AZ12" s="262">
        <f t="shared" si="15"/>
        <v>33361.444000000003</v>
      </c>
      <c r="BA12" s="262">
        <f t="shared" si="16"/>
        <v>33957.824400000005</v>
      </c>
      <c r="BB12" s="262">
        <f t="shared" si="17"/>
        <v>34554.580000000009</v>
      </c>
      <c r="BC12" s="262">
        <f t="shared" si="18"/>
        <v>35150.960399999996</v>
      </c>
      <c r="BD12" s="262">
        <f t="shared" si="19"/>
        <v>35747.716000000008</v>
      </c>
      <c r="BE12" s="262">
        <f t="shared" si="20"/>
        <v>36344.096400000009</v>
      </c>
      <c r="BF12" s="262">
        <f t="shared" si="21"/>
        <v>36940.476800000011</v>
      </c>
      <c r="BG12" s="262">
        <f t="shared" si="22"/>
        <v>37537.232400000008</v>
      </c>
      <c r="BH12" s="262">
        <f t="shared" si="23"/>
        <v>38133.612800000003</v>
      </c>
      <c r="BI12" s="262">
        <f t="shared" si="24"/>
        <v>38729.993200000004</v>
      </c>
      <c r="BJ12" s="355">
        <f>H12*AI12</f>
        <v>39326.748800000008</v>
      </c>
      <c r="BK12" s="419">
        <f>((0.33*'Traffic Data'!AK12)/Speed!X93)+((0.67*'Traffic Data'!AK12)/Speed!AX93)</f>
        <v>344.00994144229037</v>
      </c>
      <c r="BL12" s="454">
        <f>((0.33*AL12)/Speed!Y93)+((0.67*AL12)/Speed!AY93)</f>
        <v>357.62627809346213</v>
      </c>
      <c r="BM12" s="454">
        <f>((0.33*AM12)/Speed!Z93)+((0.67*AM12)/Speed!AZ93)</f>
        <v>371.64990170314576</v>
      </c>
      <c r="BN12" s="454">
        <f>((0.33*AN12)/Speed!AA93)+((0.67*AN12)/Speed!BA93)</f>
        <v>400.62100859724751</v>
      </c>
      <c r="BO12" s="454">
        <f>((0.33*AO12)/Speed!AB93)+((0.67*AO12)/Speed!BB93)</f>
        <v>433.37468581304307</v>
      </c>
      <c r="BP12" s="454">
        <f>((0.33*AP12)/Speed!AC93)+((0.67*AP12)/Speed!BC93)</f>
        <v>472.62218751038506</v>
      </c>
      <c r="BQ12" s="454">
        <f>((0.33*AQ12)/Speed!AD93)+((0.67*AQ12)/Speed!BD93)</f>
        <v>522.73381529056746</v>
      </c>
      <c r="BR12" s="454">
        <f>((0.33*AR12)/Speed!AE93)+((0.67*AR12)/Speed!BE93)</f>
        <v>590.63299238794366</v>
      </c>
      <c r="BS12" s="454">
        <f>((0.33*AS12)/Speed!AF93)+((0.67*AS12)/Speed!BF93)</f>
        <v>734.6698715058767</v>
      </c>
      <c r="BT12" s="454">
        <f>((0.33*AT12)/Speed!AG93)+((0.67*AT12)/Speed!BG93)</f>
        <v>979.49162284236968</v>
      </c>
      <c r="BU12" s="454">
        <f>((0.33*AU12)/Speed!AH93)+((0.67*AU12)/Speed!BH93)</f>
        <v>1318.4493671556738</v>
      </c>
      <c r="BV12" s="454">
        <f>((0.33*AV12)/Speed!AI93)+((0.67*AV12)/Speed!BI93)</f>
        <v>1394.5344933580557</v>
      </c>
      <c r="BW12" s="454">
        <f>((0.33*AW12)/Speed!AJ93)+((0.67*AW12)/Speed!BJ93)</f>
        <v>1470.6914788198976</v>
      </c>
      <c r="BX12" s="454">
        <f>((0.33*AX12)/Speed!AK93)+((0.67*AX12)/Speed!BK93)</f>
        <v>1520.1830192953255</v>
      </c>
      <c r="BY12" s="454">
        <f>((0.33*AY12)/Speed!AL93)+((0.67*AY12)/Speed!BL93)</f>
        <v>1548.3825653524002</v>
      </c>
      <c r="BZ12" s="454">
        <f>((0.33*AZ12)/Speed!AM93)+((0.67*AZ12)/Speed!BM93)</f>
        <v>1576.5779054381624</v>
      </c>
      <c r="CA12" s="454">
        <f>((0.33*BA12)/Speed!AN93)+((0.67*BA12)/Speed!BN93)</f>
        <v>1604.7758741738239</v>
      </c>
      <c r="CB12" s="454">
        <f>((0.33*BB12)/Speed!AO93)+((0.67*BB12)/Speed!BO93)</f>
        <v>1632.9946652226281</v>
      </c>
      <c r="CC12" s="454">
        <f>((0.33*BC12)/Speed!AP93)+((0.67*BC12)/Speed!BP93)</f>
        <v>1661.199363372381</v>
      </c>
      <c r="CD12" s="454">
        <f>((0.33*BD12)/Speed!AQ93)+((0.67*BD12)/Speed!BQ93)</f>
        <v>1689.4260196028565</v>
      </c>
      <c r="CE12" s="454">
        <f>((0.33*BE12)/Speed!AR93)+((0.67*BE12)/Speed!BR93)</f>
        <v>1717.6399062630287</v>
      </c>
      <c r="CF12" s="454">
        <f>((0.33*BF12)/Speed!AS93)+((0.67*BF12)/Speed!BS93)</f>
        <v>1745.859525328327</v>
      </c>
      <c r="CG12" s="454">
        <f>((0.33*BG12)/Speed!AT93)+((0.67*BG12)/Speed!BT93)</f>
        <v>1774.1035476514971</v>
      </c>
      <c r="CH12" s="454">
        <f>((0.33*BH12)/Speed!AU93)+((0.67*BH12)/Speed!BU93)</f>
        <v>1802.3375903081633</v>
      </c>
      <c r="CI12" s="454">
        <f>((0.33*BI12)/Speed!AV93)+((0.67*BI12)/Speed!BV93)</f>
        <v>1830.580521748695</v>
      </c>
      <c r="CJ12" s="455">
        <f>((0.33*BJ12)/Speed!AW93)+((0.67*BJ12)/Speed!BW93)</f>
        <v>1858.8514603573021</v>
      </c>
      <c r="CK12" s="1392"/>
      <c r="CL12" s="1392"/>
      <c r="CM12" s="1399"/>
      <c r="CN12" s="1406"/>
      <c r="CO12" s="1152"/>
      <c r="CP12" s="62"/>
      <c r="CQ12" s="1153"/>
      <c r="CR12" s="1154"/>
      <c r="DA12"/>
    </row>
    <row r="13" spans="1:105" ht="21.95" customHeight="1" x14ac:dyDescent="0.2">
      <c r="B13" s="492"/>
      <c r="C13" s="116" t="s">
        <v>339</v>
      </c>
      <c r="D13" s="116" t="s">
        <v>335</v>
      </c>
      <c r="E13" s="116" t="s">
        <v>323</v>
      </c>
      <c r="F13" s="116" t="s">
        <v>374</v>
      </c>
      <c r="G13" s="364">
        <v>40</v>
      </c>
      <c r="H13" s="1155">
        <v>2.35</v>
      </c>
      <c r="I13" s="260">
        <v>2</v>
      </c>
      <c r="J13" s="326">
        <f>'Trip Gen'!W77</f>
        <v>20</v>
      </c>
      <c r="K13" s="1159">
        <f>'Trip Gen'!X77</f>
        <v>32.379999999999995</v>
      </c>
      <c r="L13" s="1159">
        <f>'Trip Gen'!Y77</f>
        <v>92.38</v>
      </c>
      <c r="M13" s="1159">
        <f>'Trip Gen'!Z77</f>
        <v>195.32</v>
      </c>
      <c r="N13" s="1159">
        <f>'Trip Gen'!AA77</f>
        <v>298.34000000000003</v>
      </c>
      <c r="O13" s="1159">
        <f>'Trip Gen'!AB77</f>
        <v>401.32000000000005</v>
      </c>
      <c r="P13" s="1159">
        <f>'Trip Gen'!AC77</f>
        <v>504.26000000000005</v>
      </c>
      <c r="Q13" s="1159">
        <f>'Trip Gen'!AD77</f>
        <v>607.36</v>
      </c>
      <c r="R13" s="1159">
        <f>'Trip Gen'!AE77</f>
        <v>662.74</v>
      </c>
      <c r="S13" s="1159">
        <f>'Trip Gen'!AF77</f>
        <v>718.19999999999993</v>
      </c>
      <c r="T13" s="1159">
        <f>'Trip Gen'!AG77</f>
        <v>773.6</v>
      </c>
      <c r="U13" s="1159">
        <f>'Trip Gen'!AH77</f>
        <v>828.98</v>
      </c>
      <c r="V13" s="1159">
        <f>'Trip Gen'!AI77</f>
        <v>884.5</v>
      </c>
      <c r="W13" s="1159">
        <f>'Trip Gen'!AJ77</f>
        <v>896.87999999999988</v>
      </c>
      <c r="X13" s="1159">
        <f>'Trip Gen'!AK77</f>
        <v>909.26</v>
      </c>
      <c r="Y13" s="1159">
        <f>'Trip Gen'!AL77</f>
        <v>921.63999999999987</v>
      </c>
      <c r="Z13" s="1159">
        <f>'Trip Gen'!AM77</f>
        <v>934.02</v>
      </c>
      <c r="AA13" s="1159">
        <f>'Trip Gen'!AN77</f>
        <v>946.45999999999992</v>
      </c>
      <c r="AB13" s="1159">
        <f>'Trip Gen'!AO77</f>
        <v>958.83999999999992</v>
      </c>
      <c r="AC13" s="1159">
        <f>'Trip Gen'!AP77</f>
        <v>971.28</v>
      </c>
      <c r="AD13" s="1159">
        <f>'Trip Gen'!AQ77</f>
        <v>983.65999999999985</v>
      </c>
      <c r="AE13" s="1159">
        <f>'Trip Gen'!AR77</f>
        <v>996.04</v>
      </c>
      <c r="AF13" s="1159">
        <f>'Trip Gen'!AS77</f>
        <v>1008.48</v>
      </c>
      <c r="AG13" s="1159">
        <f>'Trip Gen'!AT77</f>
        <v>1020.8599999999999</v>
      </c>
      <c r="AH13" s="1159">
        <f>'Trip Gen'!AU77</f>
        <v>1033.24</v>
      </c>
      <c r="AI13" s="1178">
        <f>'Trip Gen'!AV77</f>
        <v>1045.68</v>
      </c>
      <c r="AJ13" s="1180">
        <f t="shared" si="0"/>
        <v>2.0513600000000003</v>
      </c>
      <c r="AK13" s="326">
        <f t="shared" ref="AK13:AK35" si="25">$H13*J13</f>
        <v>47</v>
      </c>
      <c r="AL13" s="260">
        <f t="shared" si="1"/>
        <v>76.092999999999989</v>
      </c>
      <c r="AM13" s="260">
        <f t="shared" si="2"/>
        <v>217.09299999999999</v>
      </c>
      <c r="AN13" s="260">
        <f t="shared" si="3"/>
        <v>459.00200000000001</v>
      </c>
      <c r="AO13" s="260">
        <f t="shared" si="4"/>
        <v>701.09900000000005</v>
      </c>
      <c r="AP13" s="260">
        <f t="shared" si="5"/>
        <v>943.1020000000002</v>
      </c>
      <c r="AQ13" s="260">
        <f t="shared" si="6"/>
        <v>1185.0110000000002</v>
      </c>
      <c r="AR13" s="260">
        <f t="shared" si="7"/>
        <v>1427.296</v>
      </c>
      <c r="AS13" s="260">
        <f t="shared" si="8"/>
        <v>1557.4390000000001</v>
      </c>
      <c r="AT13" s="260">
        <f t="shared" si="9"/>
        <v>1687.77</v>
      </c>
      <c r="AU13" s="260">
        <f t="shared" si="10"/>
        <v>1817.96</v>
      </c>
      <c r="AV13" s="260">
        <f t="shared" si="11"/>
        <v>1948.1030000000001</v>
      </c>
      <c r="AW13" s="260">
        <f t="shared" si="12"/>
        <v>2078.5750000000003</v>
      </c>
      <c r="AX13" s="260">
        <f t="shared" si="13"/>
        <v>2107.6679999999997</v>
      </c>
      <c r="AY13" s="260">
        <f t="shared" si="14"/>
        <v>2136.761</v>
      </c>
      <c r="AZ13" s="260">
        <f t="shared" si="15"/>
        <v>2165.8539999999998</v>
      </c>
      <c r="BA13" s="260">
        <f t="shared" si="16"/>
        <v>2194.9470000000001</v>
      </c>
      <c r="BB13" s="260">
        <f t="shared" si="17"/>
        <v>2224.181</v>
      </c>
      <c r="BC13" s="260">
        <f t="shared" si="18"/>
        <v>2253.2739999999999</v>
      </c>
      <c r="BD13" s="260">
        <f t="shared" si="19"/>
        <v>2282.5079999999998</v>
      </c>
      <c r="BE13" s="260">
        <f t="shared" si="20"/>
        <v>2311.6009999999997</v>
      </c>
      <c r="BF13" s="260">
        <f t="shared" si="21"/>
        <v>2340.694</v>
      </c>
      <c r="BG13" s="260">
        <f t="shared" si="22"/>
        <v>2369.9280000000003</v>
      </c>
      <c r="BH13" s="260">
        <f t="shared" si="23"/>
        <v>2399.0209999999997</v>
      </c>
      <c r="BI13" s="260">
        <f t="shared" si="24"/>
        <v>2428.114</v>
      </c>
      <c r="BJ13" s="328">
        <f t="shared" ref="BJ13:BJ26" si="26">$H13*AI13</f>
        <v>2457.3480000000004</v>
      </c>
      <c r="BK13" s="417">
        <f>((0.33*'Traffic Data'!AK13)/Speed!X94)+((0.67*'Traffic Data'!AK13)/Speed!AX94)</f>
        <v>2.3152709359605912</v>
      </c>
      <c r="BL13" s="415">
        <f>((0.33*AL13)/Speed!Y94)+((0.67*AL13)/Speed!AY94)</f>
        <v>3.7484236453201967</v>
      </c>
      <c r="BM13" s="415">
        <f>((0.33*AM13)/Speed!Z94)+((0.67*AM13)/Speed!AZ94)</f>
        <v>10.69423645320197</v>
      </c>
      <c r="BN13" s="415">
        <f>((0.33*AN13)/Speed!AA94)+((0.67*AN13)/Speed!BA94)</f>
        <v>22.610935960591132</v>
      </c>
      <c r="BO13" s="415">
        <f>((0.33*AO13)/Speed!AB94)+((0.67*AO13)/Speed!BB94)</f>
        <v>34.536896551724162</v>
      </c>
      <c r="BP13" s="415">
        <f>((0.33*AP13)/Speed!AC94)+((0.67*AP13)/Speed!BC94)</f>
        <v>46.45822660098581</v>
      </c>
      <c r="BQ13" s="415">
        <f>((0.33*AQ13)/Speed!AD94)+((0.67*AQ13)/Speed!BD94)</f>
        <v>58.374926108381466</v>
      </c>
      <c r="BR13" s="415">
        <f>((0.33*AR13)/Speed!AE94)+((0.67*AR13)/Speed!BE94)</f>
        <v>70.31014778330595</v>
      </c>
      <c r="BS13" s="415">
        <f>((0.33*AS13)/Speed!AF94)+((0.67*AS13)/Speed!BF94)</f>
        <v>76.721133005068978</v>
      </c>
      <c r="BT13" s="415">
        <f>((0.33*AT13)/Speed!AG94)+((0.67*AT13)/Speed!BG94)</f>
        <v>83.141379310690638</v>
      </c>
      <c r="BU13" s="415">
        <f>((0.33*AU13)/Speed!AH94)+((0.67*AU13)/Speed!BH94)</f>
        <v>89.554679803738793</v>
      </c>
      <c r="BV13" s="415">
        <f>((0.33*AV13)/Speed!AI94)+((0.67*AV13)/Speed!BI94)</f>
        <v>95.965665026305999</v>
      </c>
      <c r="BW13" s="415">
        <f>((0.33*AW13)/Speed!AJ94)+((0.67*AW13)/Speed!BJ94)</f>
        <v>102.39285714627559</v>
      </c>
      <c r="BX13" s="415">
        <f>((0.33*AX13)/Speed!AK94)+((0.67*AX13)/Speed!BK94)</f>
        <v>103.82600985619993</v>
      </c>
      <c r="BY13" s="415">
        <f>((0.33*AY13)/Speed!AL94)+((0.67*AY13)/Speed!BL94)</f>
        <v>105.25916256620786</v>
      </c>
      <c r="BZ13" s="415">
        <f>((0.33*AZ13)/Speed!AM94)+((0.67*AZ13)/Speed!BM94)</f>
        <v>106.69231527631032</v>
      </c>
      <c r="CA13" s="415">
        <f>((0.33*BA13)/Speed!AN94)+((0.67*BA13)/Speed!BN94)</f>
        <v>108.12546798651958</v>
      </c>
      <c r="CB13" s="415">
        <f>((0.33*BB13)/Speed!AO94)+((0.67*BB13)/Speed!BO94)</f>
        <v>109.56556650966218</v>
      </c>
      <c r="CC13" s="415">
        <f>((0.33*BC13)/Speed!AP94)+((0.67*BC13)/Speed!BP94)</f>
        <v>110.99871922012807</v>
      </c>
      <c r="CD13" s="415">
        <f>((0.33*BD13)/Speed!AQ94)+((0.67*BD13)/Speed!BQ94)</f>
        <v>112.43881774356082</v>
      </c>
      <c r="CE13" s="415">
        <f>((0.33*BE13)/Speed!AR94)+((0.67*BE13)/Speed!BR94)</f>
        <v>113.87197045435116</v>
      </c>
      <c r="CF13" s="415">
        <f>((0.33*BF13)/Speed!AS94)+((0.67*BF13)/Speed!BS94)</f>
        <v>115.30512316533341</v>
      </c>
      <c r="CG13" s="415">
        <f>((0.33*BG13)/Speed!AT94)+((0.67*BG13)/Speed!BT94)</f>
        <v>116.74522168934769</v>
      </c>
      <c r="CH13" s="415">
        <f>((0.33*BH13)/Speed!AU94)+((0.67*BH13)/Speed!BU94)</f>
        <v>118.1783744007858</v>
      </c>
      <c r="CI13" s="415">
        <f>((0.33*BI13)/Speed!AV94)+((0.67*BI13)/Speed!BV94)</f>
        <v>119.61152711249193</v>
      </c>
      <c r="CJ13" s="453">
        <f>((0.33*BJ13)/Speed!AW94)+((0.67*BJ13)/Speed!BW94)</f>
        <v>121.05162563731817</v>
      </c>
      <c r="CK13" s="256">
        <f>Inputs!$F$35</f>
        <v>0.2</v>
      </c>
      <c r="CL13" s="256">
        <f>Inputs!$F$36</f>
        <v>0.8</v>
      </c>
      <c r="CM13" s="257">
        <f>1/(1+CK13)</f>
        <v>0.83333333333333337</v>
      </c>
      <c r="CN13" s="273">
        <v>0.88</v>
      </c>
      <c r="CO13" s="1152"/>
      <c r="CP13" s="62"/>
      <c r="CQ13" s="1153"/>
      <c r="CR13" s="1154"/>
      <c r="DA13"/>
    </row>
    <row r="14" spans="1:105" ht="21.95" customHeight="1" x14ac:dyDescent="0.2">
      <c r="B14" s="492"/>
      <c r="C14" s="1340" t="s">
        <v>323</v>
      </c>
      <c r="D14" s="220" t="s">
        <v>282</v>
      </c>
      <c r="E14" s="220" t="s">
        <v>339</v>
      </c>
      <c r="F14" s="220" t="s">
        <v>375</v>
      </c>
      <c r="G14" s="1149">
        <v>40</v>
      </c>
      <c r="H14" s="1150">
        <v>1.35</v>
      </c>
      <c r="I14" s="261">
        <v>2</v>
      </c>
      <c r="J14" s="325">
        <f>'Trip Gen'!W74</f>
        <v>100</v>
      </c>
      <c r="K14" s="1160">
        <f>'Trip Gen'!X74</f>
        <v>100</v>
      </c>
      <c r="L14" s="1160">
        <f>'Trip Gen'!Y74</f>
        <v>1170.1000000000001</v>
      </c>
      <c r="M14" s="1160">
        <f>'Trip Gen'!Z74</f>
        <v>2240.2000000000003</v>
      </c>
      <c r="N14" s="1160">
        <f>'Trip Gen'!AA74</f>
        <v>3311.2000000000003</v>
      </c>
      <c r="O14" s="1160">
        <f>'Trip Gen'!AB74</f>
        <v>4381.3</v>
      </c>
      <c r="P14" s="1160">
        <f>'Trip Gen'!AC74</f>
        <v>5451.4000000000005</v>
      </c>
      <c r="Q14" s="1160">
        <f>'Trip Gen'!AD74</f>
        <v>6522.4000000000005</v>
      </c>
      <c r="R14" s="1160">
        <f>'Trip Gen'!AE74</f>
        <v>6522.4000000000005</v>
      </c>
      <c r="S14" s="1160">
        <f>'Trip Gen'!AF74</f>
        <v>6522.4000000000005</v>
      </c>
      <c r="T14" s="1160">
        <f>'Trip Gen'!AG74</f>
        <v>6522.4000000000005</v>
      </c>
      <c r="U14" s="1160">
        <f>'Trip Gen'!AH74</f>
        <v>6522.4000000000005</v>
      </c>
      <c r="V14" s="1160">
        <f>'Trip Gen'!AI74</f>
        <v>6522.4000000000005</v>
      </c>
      <c r="W14" s="1160">
        <f>'Trip Gen'!AJ74</f>
        <v>6522.4000000000005</v>
      </c>
      <c r="X14" s="1160">
        <f>'Trip Gen'!AK74</f>
        <v>6522.4000000000005</v>
      </c>
      <c r="Y14" s="1160">
        <f>'Trip Gen'!AL74</f>
        <v>6522.4000000000005</v>
      </c>
      <c r="Z14" s="1160">
        <f>'Trip Gen'!AM74</f>
        <v>6522.4000000000005</v>
      </c>
      <c r="AA14" s="1160">
        <f>'Trip Gen'!AN74</f>
        <v>6522.4000000000005</v>
      </c>
      <c r="AB14" s="1160">
        <f>'Trip Gen'!AO74</f>
        <v>6522.4000000000005</v>
      </c>
      <c r="AC14" s="1160">
        <f>'Trip Gen'!AP74</f>
        <v>6522.4000000000005</v>
      </c>
      <c r="AD14" s="1160">
        <f>'Trip Gen'!AQ74</f>
        <v>6522.4000000000005</v>
      </c>
      <c r="AE14" s="1160">
        <f>'Trip Gen'!AR74</f>
        <v>6522.4000000000005</v>
      </c>
      <c r="AF14" s="1160">
        <f>'Trip Gen'!AS74</f>
        <v>6522.4000000000005</v>
      </c>
      <c r="AG14" s="1160">
        <f>'Trip Gen'!AT74</f>
        <v>6522.4000000000005</v>
      </c>
      <c r="AH14" s="1160">
        <f>'Trip Gen'!AU74</f>
        <v>6522.4000000000005</v>
      </c>
      <c r="AI14" s="1151">
        <f>'Trip Gen'!AV74</f>
        <v>6522.4000000000005</v>
      </c>
      <c r="AJ14" s="1179">
        <f t="shared" si="0"/>
        <v>2.5689600000000001</v>
      </c>
      <c r="AK14" s="325">
        <f t="shared" si="25"/>
        <v>135</v>
      </c>
      <c r="AL14" s="261">
        <f t="shared" si="1"/>
        <v>135</v>
      </c>
      <c r="AM14" s="261">
        <f t="shared" si="2"/>
        <v>1579.6350000000002</v>
      </c>
      <c r="AN14" s="261">
        <f t="shared" si="3"/>
        <v>3024.2700000000004</v>
      </c>
      <c r="AO14" s="261">
        <f t="shared" si="4"/>
        <v>4470.1200000000008</v>
      </c>
      <c r="AP14" s="261">
        <f t="shared" si="5"/>
        <v>5914.755000000001</v>
      </c>
      <c r="AQ14" s="261">
        <f t="shared" si="6"/>
        <v>7359.3900000000012</v>
      </c>
      <c r="AR14" s="261">
        <f t="shared" si="7"/>
        <v>8805.2400000000016</v>
      </c>
      <c r="AS14" s="261">
        <f t="shared" si="8"/>
        <v>8805.2400000000016</v>
      </c>
      <c r="AT14" s="261">
        <f t="shared" si="9"/>
        <v>8805.2400000000016</v>
      </c>
      <c r="AU14" s="261">
        <f t="shared" si="10"/>
        <v>8805.2400000000016</v>
      </c>
      <c r="AV14" s="261">
        <f t="shared" si="11"/>
        <v>8805.2400000000016</v>
      </c>
      <c r="AW14" s="261">
        <f t="shared" si="12"/>
        <v>8805.2400000000016</v>
      </c>
      <c r="AX14" s="261">
        <f t="shared" si="13"/>
        <v>8805.2400000000016</v>
      </c>
      <c r="AY14" s="261">
        <f t="shared" si="14"/>
        <v>8805.2400000000016</v>
      </c>
      <c r="AZ14" s="261">
        <f t="shared" si="15"/>
        <v>8805.2400000000016</v>
      </c>
      <c r="BA14" s="261">
        <f t="shared" si="16"/>
        <v>8805.2400000000016</v>
      </c>
      <c r="BB14" s="261">
        <f t="shared" si="17"/>
        <v>8805.2400000000016</v>
      </c>
      <c r="BC14" s="261">
        <f t="shared" si="18"/>
        <v>8805.2400000000016</v>
      </c>
      <c r="BD14" s="261">
        <f t="shared" si="19"/>
        <v>8805.2400000000016</v>
      </c>
      <c r="BE14" s="261">
        <f t="shared" si="20"/>
        <v>8805.2400000000016</v>
      </c>
      <c r="BF14" s="261">
        <f t="shared" si="21"/>
        <v>8805.2400000000016</v>
      </c>
      <c r="BG14" s="261">
        <f t="shared" si="22"/>
        <v>8805.2400000000016</v>
      </c>
      <c r="BH14" s="261">
        <f t="shared" si="23"/>
        <v>8805.2400000000016</v>
      </c>
      <c r="BI14" s="261">
        <f t="shared" si="24"/>
        <v>8805.2400000000016</v>
      </c>
      <c r="BJ14" s="352">
        <f t="shared" si="26"/>
        <v>8805.2400000000016</v>
      </c>
      <c r="BK14" s="416">
        <f>((0.33*'Traffic Data'!AK14)/Speed!X95)+((0.67*'Traffic Data'!AK14)/Speed!AX95)</f>
        <v>6.6502463054187189</v>
      </c>
      <c r="BL14" s="451">
        <f>((0.33*AL14)/Speed!Y95)+((0.67*AL14)/Speed!AY95)</f>
        <v>6.6502463054187189</v>
      </c>
      <c r="BM14" s="451">
        <f>((0.33*AM14)/Speed!Z95)+((0.67*AM14)/Speed!AZ95)</f>
        <v>77.814532062349272</v>
      </c>
      <c r="BN14" s="451">
        <f>((0.33*AN14)/Speed!AA95)+((0.67*AN14)/Speed!BA95)</f>
        <v>148.97887175569602</v>
      </c>
      <c r="BO14" s="451">
        <f>((0.33*AO14)/Speed!AB95)+((0.67*AO14)/Speed!BB95)</f>
        <v>220.20692989724688</v>
      </c>
      <c r="BP14" s="451">
        <f>((0.33*AP14)/Speed!AC95)+((0.67*AP14)/Speed!BC95)</f>
        <v>291.4537475056265</v>
      </c>
      <c r="BQ14" s="451">
        <f>((0.33*AQ14)/Speed!AD95)+((0.67*AQ14)/Speed!BD95)</f>
        <v>363.48872742935589</v>
      </c>
      <c r="BR14" s="451">
        <f>((0.33*AR14)/Speed!AE95)+((0.67*AR14)/Speed!BE95)</f>
        <v>440.64054490249248</v>
      </c>
      <c r="BS14" s="451">
        <f>((0.33*AS14)/Speed!AF95)+((0.67*AS14)/Speed!BF95)</f>
        <v>440.64063093545963</v>
      </c>
      <c r="BT14" s="451">
        <f>((0.33*AT14)/Speed!AG95)+((0.67*AT14)/Speed!BG95)</f>
        <v>440.64063093545963</v>
      </c>
      <c r="BU14" s="451">
        <f>((0.33*AU14)/Speed!AH95)+((0.67*AU14)/Speed!BH95)</f>
        <v>440.64063093545963</v>
      </c>
      <c r="BV14" s="451">
        <f>((0.33*AV14)/Speed!AI95)+((0.67*AV14)/Speed!BI95)</f>
        <v>440.64063093545963</v>
      </c>
      <c r="BW14" s="451">
        <f>((0.33*AW14)/Speed!AJ95)+((0.67*AW14)/Speed!BJ95)</f>
        <v>440.64063093545963</v>
      </c>
      <c r="BX14" s="451">
        <f>((0.33*AX14)/Speed!AK95)+((0.67*AX14)/Speed!BK95)</f>
        <v>440.64063093545963</v>
      </c>
      <c r="BY14" s="451">
        <f>((0.33*AY14)/Speed!AL95)+((0.67*AY14)/Speed!BL95)</f>
        <v>440.64063093545963</v>
      </c>
      <c r="BZ14" s="451">
        <f>((0.33*AZ14)/Speed!AM95)+((0.67*AZ14)/Speed!BM95)</f>
        <v>440.64063093545963</v>
      </c>
      <c r="CA14" s="451">
        <f>((0.33*BA14)/Speed!AN95)+((0.67*BA14)/Speed!BN95)</f>
        <v>440.64063093545963</v>
      </c>
      <c r="CB14" s="451">
        <f>((0.33*BB14)/Speed!AO95)+((0.67*BB14)/Speed!BO95)</f>
        <v>440.64063093545963</v>
      </c>
      <c r="CC14" s="451">
        <f>((0.33*BC14)/Speed!AP95)+((0.67*BC14)/Speed!BP95)</f>
        <v>440.64063093545963</v>
      </c>
      <c r="CD14" s="451">
        <f>((0.33*BD14)/Speed!AQ95)+((0.67*BD14)/Speed!BQ95)</f>
        <v>440.64063093545963</v>
      </c>
      <c r="CE14" s="451">
        <f>((0.33*BE14)/Speed!AR95)+((0.67*BE14)/Speed!BR95)</f>
        <v>440.64063093545963</v>
      </c>
      <c r="CF14" s="451">
        <f>((0.33*BF14)/Speed!AS95)+((0.67*BF14)/Speed!BS95)</f>
        <v>440.64063093545963</v>
      </c>
      <c r="CG14" s="451">
        <f>((0.33*BG14)/Speed!AT95)+((0.67*BG14)/Speed!BT95)</f>
        <v>440.64063093545963</v>
      </c>
      <c r="CH14" s="451">
        <f>((0.33*BH14)/Speed!AU95)+((0.67*BH14)/Speed!BU95)</f>
        <v>440.64063093545963</v>
      </c>
      <c r="CI14" s="451">
        <f>((0.33*BI14)/Speed!AV95)+((0.67*BI14)/Speed!BV95)</f>
        <v>440.64063093545963</v>
      </c>
      <c r="CJ14" s="452">
        <f>((0.33*BJ14)/Speed!AW95)+((0.67*BJ14)/Speed!BW95)</f>
        <v>440.64063093545963</v>
      </c>
      <c r="CK14" s="1390">
        <f>Inputs!$G$35</f>
        <v>0.2</v>
      </c>
      <c r="CL14" s="1390">
        <f>Inputs!$G$36</f>
        <v>0.8</v>
      </c>
      <c r="CM14" s="1397">
        <f>1/(1+CK14)</f>
        <v>0.83333333333333337</v>
      </c>
      <c r="CN14" s="1404">
        <v>0.88</v>
      </c>
      <c r="CO14" s="1152"/>
      <c r="CP14" s="62"/>
      <c r="CQ14" s="1153"/>
      <c r="CR14" s="1154"/>
      <c r="DA14"/>
    </row>
    <row r="15" spans="1:105" ht="21.95" customHeight="1" x14ac:dyDescent="0.2">
      <c r="B15" s="492"/>
      <c r="C15" s="1339"/>
      <c r="D15" s="116" t="s">
        <v>339</v>
      </c>
      <c r="E15" s="116" t="s">
        <v>288</v>
      </c>
      <c r="F15" s="116" t="s">
        <v>375</v>
      </c>
      <c r="G15" s="364">
        <v>40</v>
      </c>
      <c r="H15" s="1155">
        <v>0.28000000000000003</v>
      </c>
      <c r="I15" s="260">
        <v>2</v>
      </c>
      <c r="J15" s="326">
        <v>220</v>
      </c>
      <c r="K15" s="260">
        <f>ROUND((0.7333333333333*K16),0)</f>
        <v>418</v>
      </c>
      <c r="L15" s="260">
        <f t="shared" ref="L15:AI15" si="27">ROUND((0.7333333333333*L16),0)</f>
        <v>616</v>
      </c>
      <c r="M15" s="260">
        <f t="shared" si="27"/>
        <v>1340</v>
      </c>
      <c r="N15" s="260">
        <f t="shared" si="27"/>
        <v>2063</v>
      </c>
      <c r="O15" s="260">
        <f t="shared" si="27"/>
        <v>2788</v>
      </c>
      <c r="P15" s="260">
        <f t="shared" si="27"/>
        <v>3512</v>
      </c>
      <c r="Q15" s="260">
        <f t="shared" si="27"/>
        <v>4236</v>
      </c>
      <c r="R15" s="260">
        <f t="shared" si="27"/>
        <v>5495</v>
      </c>
      <c r="S15" s="260">
        <f t="shared" si="27"/>
        <v>6753</v>
      </c>
      <c r="T15" s="260">
        <f t="shared" si="27"/>
        <v>8011</v>
      </c>
      <c r="U15" s="260">
        <f t="shared" si="27"/>
        <v>9270</v>
      </c>
      <c r="V15" s="260">
        <f t="shared" si="27"/>
        <v>10529</v>
      </c>
      <c r="W15" s="260">
        <f t="shared" si="27"/>
        <v>11262</v>
      </c>
      <c r="X15" s="260">
        <f t="shared" si="27"/>
        <v>11459</v>
      </c>
      <c r="Y15" s="260">
        <f t="shared" si="27"/>
        <v>11657</v>
      </c>
      <c r="Z15" s="260">
        <f t="shared" si="27"/>
        <v>11855</v>
      </c>
      <c r="AA15" s="260">
        <f t="shared" si="27"/>
        <v>12053</v>
      </c>
      <c r="AB15" s="260">
        <f t="shared" si="27"/>
        <v>12251</v>
      </c>
      <c r="AC15" s="260">
        <f t="shared" si="27"/>
        <v>12449</v>
      </c>
      <c r="AD15" s="260">
        <f t="shared" si="27"/>
        <v>12647</v>
      </c>
      <c r="AE15" s="260">
        <f t="shared" si="27"/>
        <v>12845</v>
      </c>
      <c r="AF15" s="260">
        <f t="shared" si="27"/>
        <v>13042</v>
      </c>
      <c r="AG15" s="260">
        <f t="shared" si="27"/>
        <v>13240</v>
      </c>
      <c r="AH15" s="260">
        <f t="shared" si="27"/>
        <v>13438</v>
      </c>
      <c r="AI15" s="260">
        <f t="shared" si="27"/>
        <v>13636</v>
      </c>
      <c r="AJ15" s="1180" t="s">
        <v>326</v>
      </c>
      <c r="AK15" s="326">
        <f t="shared" si="25"/>
        <v>61.600000000000009</v>
      </c>
      <c r="AL15" s="260">
        <f t="shared" si="1"/>
        <v>117.04</v>
      </c>
      <c r="AM15" s="260">
        <f t="shared" si="2"/>
        <v>172.48000000000002</v>
      </c>
      <c r="AN15" s="260">
        <f t="shared" si="3"/>
        <v>375.20000000000005</v>
      </c>
      <c r="AO15" s="260">
        <f t="shared" si="4"/>
        <v>577.6400000000001</v>
      </c>
      <c r="AP15" s="260">
        <f t="shared" si="5"/>
        <v>780.6400000000001</v>
      </c>
      <c r="AQ15" s="260">
        <f t="shared" si="6"/>
        <v>983.36000000000013</v>
      </c>
      <c r="AR15" s="260">
        <f t="shared" si="7"/>
        <v>1186.0800000000002</v>
      </c>
      <c r="AS15" s="260">
        <f t="shared" si="8"/>
        <v>1538.6000000000001</v>
      </c>
      <c r="AT15" s="260">
        <f t="shared" si="9"/>
        <v>1890.8400000000001</v>
      </c>
      <c r="AU15" s="260">
        <f t="shared" si="10"/>
        <v>2243.0800000000004</v>
      </c>
      <c r="AV15" s="260">
        <f t="shared" si="11"/>
        <v>2595.6000000000004</v>
      </c>
      <c r="AW15" s="260">
        <f t="shared" si="12"/>
        <v>2948.1200000000003</v>
      </c>
      <c r="AX15" s="260">
        <f t="shared" si="13"/>
        <v>3153.36</v>
      </c>
      <c r="AY15" s="260">
        <f t="shared" si="14"/>
        <v>3208.5200000000004</v>
      </c>
      <c r="AZ15" s="260">
        <f t="shared" si="15"/>
        <v>3263.9600000000005</v>
      </c>
      <c r="BA15" s="260">
        <f t="shared" si="16"/>
        <v>3319.4</v>
      </c>
      <c r="BB15" s="260">
        <f t="shared" si="17"/>
        <v>3374.84</v>
      </c>
      <c r="BC15" s="260">
        <f t="shared" si="18"/>
        <v>3430.28</v>
      </c>
      <c r="BD15" s="260">
        <f t="shared" si="19"/>
        <v>3485.7200000000003</v>
      </c>
      <c r="BE15" s="260">
        <f t="shared" si="20"/>
        <v>3541.1600000000003</v>
      </c>
      <c r="BF15" s="260">
        <f t="shared" si="21"/>
        <v>3596.6000000000004</v>
      </c>
      <c r="BG15" s="260">
        <f t="shared" si="22"/>
        <v>3651.76</v>
      </c>
      <c r="BH15" s="260">
        <f t="shared" si="23"/>
        <v>3707.2000000000003</v>
      </c>
      <c r="BI15" s="260">
        <f t="shared" si="24"/>
        <v>3762.6400000000003</v>
      </c>
      <c r="BJ15" s="328">
        <f t="shared" si="26"/>
        <v>3818.0800000000004</v>
      </c>
      <c r="BK15" s="417">
        <f>((0.33*'Traffic Data'!AK15)/Speed!X96)+((0.67*'Traffic Data'!AK15)/Speed!AX96)</f>
        <v>1.6693766937669381</v>
      </c>
      <c r="BL15" s="415">
        <f>((0.33*AL15)/Speed!Y96)+((0.67*AL15)/Speed!AY96)</f>
        <v>3.1718157181572408</v>
      </c>
      <c r="BM15" s="415">
        <f>((0.33*AM15)/Speed!Z96)+((0.67*AM15)/Speed!AZ96)</f>
        <v>4.6742547425516152</v>
      </c>
      <c r="BN15" s="415">
        <f>((0.33*AN15)/Speed!AA96)+((0.67*AN15)/Speed!BA96)</f>
        <v>10.168021701837032</v>
      </c>
      <c r="BO15" s="415">
        <f>((0.33*AO15)/Speed!AB96)+((0.67*AO15)/Speed!BB96)</f>
        <v>15.654203032003959</v>
      </c>
      <c r="BP15" s="415">
        <f>((0.33*AP15)/Speed!AC96)+((0.67*AP15)/Speed!BC96)</f>
        <v>21.155623935427119</v>
      </c>
      <c r="BQ15" s="415">
        <f>((0.33*AQ15)/Speed!AD96)+((0.67*AQ15)/Speed!BD96)</f>
        <v>26.650189071352671</v>
      </c>
      <c r="BR15" s="415">
        <f>((0.33*AR15)/Speed!AE96)+((0.67*AR15)/Speed!BE96)</f>
        <v>32.149900636048038</v>
      </c>
      <c r="BS15" s="415">
        <f>((0.33*AS15)/Speed!AF96)+((0.67*AS15)/Speed!BF96)</f>
        <v>41.815697932708602</v>
      </c>
      <c r="BT15" s="415">
        <f>((0.33*AT15)/Speed!AG96)+((0.67*AT15)/Speed!BG96)</f>
        <v>52.393534186789701</v>
      </c>
      <c r="BU15" s="415">
        <f>((0.33*AU15)/Speed!AH96)+((0.67*AU15)/Speed!BH96)</f>
        <v>68.32619029973894</v>
      </c>
      <c r="BV15" s="415">
        <f>((0.33*AV15)/Speed!AI96)+((0.67*AV15)/Speed!BI96)</f>
        <v>107.88940076536704</v>
      </c>
      <c r="BW15" s="415">
        <f>((0.33*AW15)/Speed!AJ96)+((0.67*AW15)/Speed!BJ96)</f>
        <v>232.28879218691881</v>
      </c>
      <c r="BX15" s="415">
        <f>((0.33*AX15)/Speed!AK96)+((0.67*AX15)/Speed!BK96)</f>
        <v>265.38033338147568</v>
      </c>
      <c r="BY15" s="415">
        <f>((0.33*AY15)/Speed!AL96)+((0.67*AY15)/Speed!BL96)</f>
        <v>270.02487316725592</v>
      </c>
      <c r="BZ15" s="415">
        <f>((0.33*AZ15)/Speed!AM96)+((0.67*AZ15)/Speed!BM96)</f>
        <v>274.69157018071263</v>
      </c>
      <c r="CA15" s="415">
        <f>((0.33*BA15)/Speed!AN96)+((0.67*BA15)/Speed!BN96)</f>
        <v>279.35846489667449</v>
      </c>
      <c r="CB15" s="415">
        <f>((0.33*BB15)/Speed!AO96)+((0.67*BB15)/Speed!BO96)</f>
        <v>284.02558515979717</v>
      </c>
      <c r="CC15" s="415">
        <f>((0.33*BC15)/Speed!AP96)+((0.67*BC15)/Speed!BP96)</f>
        <v>288.69296781215883</v>
      </c>
      <c r="CD15" s="415">
        <f>((0.33*BD15)/Speed!AQ96)+((0.67*BD15)/Speed!BQ96)</f>
        <v>293.36065495145118</v>
      </c>
      <c r="CE15" s="415">
        <f>((0.33*BE15)/Speed!AR96)+((0.67*BE15)/Speed!BR96)</f>
        <v>298.02869457569295</v>
      </c>
      <c r="CF15" s="415">
        <f>((0.33*BF15)/Speed!AS96)+((0.67*BF15)/Speed!BS96)</f>
        <v>302.69714129458526</v>
      </c>
      <c r="CG15" s="415">
        <f>((0.33*BG15)/Speed!AT96)+((0.67*BG15)/Speed!BT96)</f>
        <v>307.3424915180367</v>
      </c>
      <c r="CH15" s="415">
        <f>((0.33*BH15)/Speed!AU96)+((0.67*BH15)/Speed!BU96)</f>
        <v>312.01192770292647</v>
      </c>
      <c r="CI15" s="415">
        <f>((0.33*BI15)/Speed!AV96)+((0.67*BI15)/Speed!BV96)</f>
        <v>316.68199836998639</v>
      </c>
      <c r="CJ15" s="453">
        <f>((0.33*BJ15)/Speed!AW96)+((0.67*BJ15)/Speed!BW96)</f>
        <v>321.35277709302454</v>
      </c>
      <c r="CK15" s="1391"/>
      <c r="CL15" s="1391"/>
      <c r="CM15" s="1398"/>
      <c r="CN15" s="1405"/>
      <c r="CO15" s="1152"/>
      <c r="CP15" s="62"/>
      <c r="CQ15" s="1153"/>
      <c r="CR15" s="1154"/>
      <c r="DA15"/>
    </row>
    <row r="16" spans="1:105" ht="21.95" customHeight="1" x14ac:dyDescent="0.2">
      <c r="B16" s="492"/>
      <c r="C16" s="1339"/>
      <c r="D16" s="116" t="s">
        <v>288</v>
      </c>
      <c r="E16" s="116" t="s">
        <v>340</v>
      </c>
      <c r="F16" s="116" t="s">
        <v>376</v>
      </c>
      <c r="G16" s="364">
        <v>40</v>
      </c>
      <c r="H16" s="1155">
        <v>0.73</v>
      </c>
      <c r="I16" s="260">
        <v>4</v>
      </c>
      <c r="J16" s="326">
        <f>'Trip Gen'!W78</f>
        <v>300</v>
      </c>
      <c r="K16" s="1160">
        <f>'Trip Gen'!X78</f>
        <v>569.87</v>
      </c>
      <c r="L16" s="1160">
        <f>'Trip Gen'!Y78</f>
        <v>839.65000000000009</v>
      </c>
      <c r="M16" s="1160">
        <f>'Trip Gen'!Z78</f>
        <v>1826.62</v>
      </c>
      <c r="N16" s="1160">
        <f>'Trip Gen'!AA78</f>
        <v>2813.63</v>
      </c>
      <c r="O16" s="1160">
        <f>'Trip Gen'!AB78</f>
        <v>3801.9000000000005</v>
      </c>
      <c r="P16" s="1160">
        <f>'Trip Gen'!AC78</f>
        <v>4788.87</v>
      </c>
      <c r="Q16" s="1160">
        <f>'Trip Gen'!AD78</f>
        <v>5776.4400000000005</v>
      </c>
      <c r="R16" s="1160">
        <f>'Trip Gen'!AE78</f>
        <v>7492.7100000000009</v>
      </c>
      <c r="S16" s="1160">
        <f>'Trip Gen'!AF78</f>
        <v>9208.2800000000007</v>
      </c>
      <c r="T16" s="1160">
        <f>'Trip Gen'!AG78</f>
        <v>10924.419999999998</v>
      </c>
      <c r="U16" s="1160">
        <f>'Trip Gen'!AH78</f>
        <v>12640.69</v>
      </c>
      <c r="V16" s="1160">
        <f>'Trip Gen'!AI78</f>
        <v>14358.21</v>
      </c>
      <c r="W16" s="1160">
        <f>'Trip Gen'!AJ78</f>
        <v>15356.599999999999</v>
      </c>
      <c r="X16" s="1160">
        <f>'Trip Gen'!AK78</f>
        <v>15626.47</v>
      </c>
      <c r="Y16" s="1160">
        <f>'Trip Gen'!AL78</f>
        <v>15896.34</v>
      </c>
      <c r="Z16" s="1160">
        <f>'Trip Gen'!AM78</f>
        <v>16166.21</v>
      </c>
      <c r="AA16" s="1160">
        <f>'Trip Gen'!AN78</f>
        <v>16435.989999999998</v>
      </c>
      <c r="AB16" s="1160">
        <f>'Trip Gen'!AO78</f>
        <v>16705.86</v>
      </c>
      <c r="AC16" s="1160">
        <f>'Trip Gen'!AP78</f>
        <v>16975.64</v>
      </c>
      <c r="AD16" s="1160">
        <f>'Trip Gen'!AQ78</f>
        <v>17245.509999999998</v>
      </c>
      <c r="AE16" s="1160">
        <f>'Trip Gen'!AR78</f>
        <v>17515.38</v>
      </c>
      <c r="AF16" s="1160">
        <f>'Trip Gen'!AS78</f>
        <v>17785.16</v>
      </c>
      <c r="AG16" s="1160">
        <f>'Trip Gen'!AT78</f>
        <v>18055.030000000002</v>
      </c>
      <c r="AH16" s="1160">
        <f>'Trip Gen'!AU78</f>
        <v>18324.900000000001</v>
      </c>
      <c r="AI16" s="1151">
        <f>'Trip Gen'!AV78</f>
        <v>18594.68</v>
      </c>
      <c r="AJ16" s="1180" t="s">
        <v>326</v>
      </c>
      <c r="AK16" s="326">
        <f t="shared" si="25"/>
        <v>219</v>
      </c>
      <c r="AL16" s="260">
        <f t="shared" si="1"/>
        <v>416.00509999999997</v>
      </c>
      <c r="AM16" s="260">
        <f t="shared" si="2"/>
        <v>612.94450000000006</v>
      </c>
      <c r="AN16" s="260">
        <f t="shared" si="3"/>
        <v>1333.4325999999999</v>
      </c>
      <c r="AO16" s="260">
        <f t="shared" si="4"/>
        <v>2053.9499000000001</v>
      </c>
      <c r="AP16" s="260">
        <f t="shared" si="5"/>
        <v>2775.3870000000002</v>
      </c>
      <c r="AQ16" s="260">
        <f t="shared" si="6"/>
        <v>3495.8750999999997</v>
      </c>
      <c r="AR16" s="260">
        <f t="shared" si="7"/>
        <v>4216.8011999999999</v>
      </c>
      <c r="AS16" s="260">
        <f t="shared" si="8"/>
        <v>5469.6783000000005</v>
      </c>
      <c r="AT16" s="260">
        <f t="shared" si="9"/>
        <v>6722.0444000000007</v>
      </c>
      <c r="AU16" s="260">
        <f t="shared" si="10"/>
        <v>7974.8265999999985</v>
      </c>
      <c r="AV16" s="260">
        <f t="shared" si="11"/>
        <v>9227.7037</v>
      </c>
      <c r="AW16" s="260">
        <f t="shared" si="12"/>
        <v>10481.493299999998</v>
      </c>
      <c r="AX16" s="260">
        <f t="shared" si="13"/>
        <v>11210.317999999999</v>
      </c>
      <c r="AY16" s="260">
        <f t="shared" si="14"/>
        <v>11407.3231</v>
      </c>
      <c r="AZ16" s="260">
        <f t="shared" si="15"/>
        <v>11604.3282</v>
      </c>
      <c r="BA16" s="260">
        <f t="shared" si="16"/>
        <v>11801.333299999998</v>
      </c>
      <c r="BB16" s="260">
        <f t="shared" si="17"/>
        <v>11998.272699999998</v>
      </c>
      <c r="BC16" s="260">
        <f t="shared" si="18"/>
        <v>12195.2778</v>
      </c>
      <c r="BD16" s="260">
        <f t="shared" si="19"/>
        <v>12392.217199999999</v>
      </c>
      <c r="BE16" s="260">
        <f t="shared" si="20"/>
        <v>12589.222299999998</v>
      </c>
      <c r="BF16" s="260">
        <f t="shared" si="21"/>
        <v>12786.2274</v>
      </c>
      <c r="BG16" s="260">
        <f t="shared" si="22"/>
        <v>12983.166799999999</v>
      </c>
      <c r="BH16" s="260">
        <f t="shared" si="23"/>
        <v>13180.171900000001</v>
      </c>
      <c r="BI16" s="260">
        <f t="shared" si="24"/>
        <v>13377.177000000001</v>
      </c>
      <c r="BJ16" s="328">
        <f t="shared" si="26"/>
        <v>13574.116399999999</v>
      </c>
      <c r="BK16" s="417">
        <f>((0.33*'Traffic Data'!AK16)/Speed!X97)+((0.67*'Traffic Data'!AK16)/Speed!AX97)</f>
        <v>5.3284671532846719</v>
      </c>
      <c r="BL16" s="415">
        <f>((0.33*AL16)/Speed!Y97)+((0.67*AL16)/Speed!AY97)</f>
        <v>10.121778588807786</v>
      </c>
      <c r="BM16" s="415">
        <f>((0.33*AM16)/Speed!Z97)+((0.67*AM16)/Speed!AZ97)</f>
        <v>14.913491484184917</v>
      </c>
      <c r="BN16" s="415">
        <f>((0.33*AN16)/Speed!AA97)+((0.67*AN16)/Speed!BA97)</f>
        <v>32.443615571776498</v>
      </c>
      <c r="BO16" s="415">
        <f>((0.33*AO16)/Speed!AB97)+((0.67*AO16)/Speed!BB97)</f>
        <v>49.974450121694034</v>
      </c>
      <c r="BP16" s="415">
        <f>((0.33*AP16)/Speed!AC97)+((0.67*AP16)/Speed!BC97)</f>
        <v>67.527664234660449</v>
      </c>
      <c r="BQ16" s="415">
        <f>((0.33*AQ16)/Speed!AD97)+((0.67*AQ16)/Speed!BD97)</f>
        <v>85.057788334892606</v>
      </c>
      <c r="BR16" s="415">
        <f>((0.33*AR16)/Speed!AE97)+((0.67*AR16)/Speed!BE97)</f>
        <v>102.59856945101092</v>
      </c>
      <c r="BS16" s="415">
        <f>((0.33*AS16)/Speed!AF97)+((0.67*AS16)/Speed!BF97)</f>
        <v>133.08219896814487</v>
      </c>
      <c r="BT16" s="415">
        <f>((0.33*AT16)/Speed!AG97)+((0.67*AT16)/Speed!BG97)</f>
        <v>163.55340996242012</v>
      </c>
      <c r="BU16" s="415">
        <f>((0.33*AU16)/Speed!AH97)+((0.67*AU16)/Speed!BH97)</f>
        <v>194.03482994991865</v>
      </c>
      <c r="BV16" s="415">
        <f>((0.33*AV16)/Speed!AI97)+((0.67*AV16)/Speed!BI97)</f>
        <v>224.51893306613511</v>
      </c>
      <c r="BW16" s="415">
        <f>((0.33*AW16)/Speed!AJ97)+((0.67*AW16)/Speed!BJ97)</f>
        <v>255.02658359228298</v>
      </c>
      <c r="BX16" s="415">
        <f>((0.33*AX16)/Speed!AK97)+((0.67*AX16)/Speed!BK97)</f>
        <v>272.76218939769223</v>
      </c>
      <c r="BY16" s="415">
        <f>((0.33*AY16)/Speed!AL97)+((0.67*AY16)/Speed!BL97)</f>
        <v>277.5565697428849</v>
      </c>
      <c r="BZ16" s="415">
        <f>((0.33*AZ16)/Speed!AM97)+((0.67*AZ16)/Speed!BM97)</f>
        <v>282.35115151537832</v>
      </c>
      <c r="CA16" s="415">
        <f>((0.33*BA16)/Speed!AN97)+((0.67*BA16)/Speed!BN97)</f>
        <v>287.14596829012248</v>
      </c>
      <c r="CB16" s="415">
        <f>((0.33*BB16)/Speed!AO97)+((0.67*BB16)/Speed!BO97)</f>
        <v>291.93945931165678</v>
      </c>
      <c r="CC16" s="415">
        <f>((0.33*BC16)/Speed!AP97)+((0.67*BC16)/Speed!BP97)</f>
        <v>296.73486674935623</v>
      </c>
      <c r="CD16" s="415">
        <f>((0.33*BD16)/Speed!AQ97)+((0.67*BD16)/Speed!BQ97)</f>
        <v>301.52904216411758</v>
      </c>
      <c r="CE16" s="415">
        <f>((0.33*BE16)/Speed!AR97)+((0.67*BE16)/Speed!BR97)</f>
        <v>306.32524124251</v>
      </c>
      <c r="CF16" s="415">
        <f>((0.33*BF16)/Speed!AS97)+((0.67*BF16)/Speed!BS97)</f>
        <v>311.12192938904008</v>
      </c>
      <c r="CG16" s="415">
        <f>((0.33*BG16)/Speed!AT97)+((0.67*BG16)/Speed!BT97)</f>
        <v>315.91757997424935</v>
      </c>
      <c r="CH16" s="415">
        <f>((0.33*BH16)/Speed!AU97)+((0.67*BH16)/Speed!BU97)</f>
        <v>320.71547562285417</v>
      </c>
      <c r="CI16" s="415">
        <f>((0.33*BI16)/Speed!AV97)+((0.67*BI16)/Speed!BV97)</f>
        <v>325.514110218062</v>
      </c>
      <c r="CJ16" s="453">
        <f>((0.33*BJ16)/Speed!AW97)+((0.67*BJ16)/Speed!BW97)</f>
        <v>330.31198853740739</v>
      </c>
      <c r="CK16" s="1391"/>
      <c r="CL16" s="1391"/>
      <c r="CM16" s="1398"/>
      <c r="CN16" s="1405"/>
      <c r="CO16" s="1152"/>
      <c r="CP16" s="62"/>
      <c r="CQ16" s="1153"/>
      <c r="CR16" s="1154"/>
      <c r="DA16"/>
    </row>
    <row r="17" spans="2:104" customFormat="1" ht="21.95" customHeight="1" x14ac:dyDescent="0.2">
      <c r="B17" s="492"/>
      <c r="C17" s="1353"/>
      <c r="D17" s="254" t="s">
        <v>340</v>
      </c>
      <c r="E17" s="254" t="s">
        <v>280</v>
      </c>
      <c r="F17" s="254" t="s">
        <v>376</v>
      </c>
      <c r="G17" s="1157">
        <v>40</v>
      </c>
      <c r="H17" s="1158">
        <v>1.05</v>
      </c>
      <c r="I17" s="262">
        <v>4</v>
      </c>
      <c r="J17" s="327">
        <f>'Trip Gen'!W78</f>
        <v>300</v>
      </c>
      <c r="K17" s="1161">
        <f>'Trip Gen'!X78</f>
        <v>569.87</v>
      </c>
      <c r="L17" s="1161">
        <f>'Trip Gen'!Y78</f>
        <v>839.65000000000009</v>
      </c>
      <c r="M17" s="1161">
        <f>'Trip Gen'!Z78</f>
        <v>1826.62</v>
      </c>
      <c r="N17" s="1161">
        <f>'Trip Gen'!AA78</f>
        <v>2813.63</v>
      </c>
      <c r="O17" s="1161">
        <f>'Trip Gen'!AB78</f>
        <v>3801.9000000000005</v>
      </c>
      <c r="P17" s="1161">
        <f>'Trip Gen'!AC78</f>
        <v>4788.87</v>
      </c>
      <c r="Q17" s="1161">
        <f>'Trip Gen'!AD78</f>
        <v>5776.4400000000005</v>
      </c>
      <c r="R17" s="1161">
        <f>'Trip Gen'!AE78</f>
        <v>7492.7100000000009</v>
      </c>
      <c r="S17" s="1161">
        <f>'Trip Gen'!AF78</f>
        <v>9208.2800000000007</v>
      </c>
      <c r="T17" s="1161">
        <f>'Trip Gen'!AG78</f>
        <v>10924.419999999998</v>
      </c>
      <c r="U17" s="1161">
        <f>'Trip Gen'!AH78</f>
        <v>12640.69</v>
      </c>
      <c r="V17" s="1161">
        <f>'Trip Gen'!AI78</f>
        <v>14358.21</v>
      </c>
      <c r="W17" s="1161">
        <f>'Trip Gen'!AJ78</f>
        <v>15356.599999999999</v>
      </c>
      <c r="X17" s="1161">
        <f>'Trip Gen'!AK78</f>
        <v>15626.47</v>
      </c>
      <c r="Y17" s="1161">
        <f>'Trip Gen'!AL78</f>
        <v>15896.34</v>
      </c>
      <c r="Z17" s="1161">
        <f>'Trip Gen'!AM78</f>
        <v>16166.21</v>
      </c>
      <c r="AA17" s="1161">
        <f>'Trip Gen'!AN78</f>
        <v>16435.989999999998</v>
      </c>
      <c r="AB17" s="1161">
        <f>'Trip Gen'!AO78</f>
        <v>16705.86</v>
      </c>
      <c r="AC17" s="1161">
        <f>'Trip Gen'!AP78</f>
        <v>16975.64</v>
      </c>
      <c r="AD17" s="1161">
        <f>'Trip Gen'!AQ78</f>
        <v>17245.509999999998</v>
      </c>
      <c r="AE17" s="1161">
        <f>'Trip Gen'!AR78</f>
        <v>17515.38</v>
      </c>
      <c r="AF17" s="1161">
        <f>'Trip Gen'!AS78</f>
        <v>17785.16</v>
      </c>
      <c r="AG17" s="1161">
        <f>'Trip Gen'!AT78</f>
        <v>18055.030000000002</v>
      </c>
      <c r="AH17" s="1161">
        <f>'Trip Gen'!AU78</f>
        <v>18324.900000000001</v>
      </c>
      <c r="AI17" s="1156">
        <f>'Trip Gen'!AV78</f>
        <v>18594.68</v>
      </c>
      <c r="AJ17" s="1181">
        <f t="shared" ref="AJ17:AJ27" si="28">((AI17-J17)/J17)/25</f>
        <v>2.4392906666666665</v>
      </c>
      <c r="AK17" s="327">
        <f t="shared" si="25"/>
        <v>315</v>
      </c>
      <c r="AL17" s="262">
        <f t="shared" si="1"/>
        <v>598.36350000000004</v>
      </c>
      <c r="AM17" s="262">
        <f t="shared" si="2"/>
        <v>881.63250000000016</v>
      </c>
      <c r="AN17" s="262">
        <f t="shared" si="3"/>
        <v>1917.951</v>
      </c>
      <c r="AO17" s="262">
        <f t="shared" si="4"/>
        <v>2954.3115000000003</v>
      </c>
      <c r="AP17" s="262">
        <f t="shared" si="5"/>
        <v>3991.9950000000008</v>
      </c>
      <c r="AQ17" s="262">
        <f t="shared" si="6"/>
        <v>5028.3135000000002</v>
      </c>
      <c r="AR17" s="262">
        <f t="shared" si="7"/>
        <v>6065.2620000000006</v>
      </c>
      <c r="AS17" s="262">
        <f t="shared" si="8"/>
        <v>7867.3455000000013</v>
      </c>
      <c r="AT17" s="262">
        <f t="shared" si="9"/>
        <v>9668.6940000000013</v>
      </c>
      <c r="AU17" s="262">
        <f t="shared" si="10"/>
        <v>11470.640999999998</v>
      </c>
      <c r="AV17" s="262">
        <f t="shared" si="11"/>
        <v>13272.7245</v>
      </c>
      <c r="AW17" s="262">
        <f t="shared" si="12"/>
        <v>15076.120499999999</v>
      </c>
      <c r="AX17" s="262">
        <f t="shared" si="13"/>
        <v>16124.429999999998</v>
      </c>
      <c r="AY17" s="262">
        <f t="shared" si="14"/>
        <v>16407.7935</v>
      </c>
      <c r="AZ17" s="262">
        <f t="shared" si="15"/>
        <v>16691.156999999999</v>
      </c>
      <c r="BA17" s="262">
        <f t="shared" si="16"/>
        <v>16974.520499999999</v>
      </c>
      <c r="BB17" s="262">
        <f t="shared" si="17"/>
        <v>17257.789499999999</v>
      </c>
      <c r="BC17" s="262">
        <f t="shared" si="18"/>
        <v>17541.153000000002</v>
      </c>
      <c r="BD17" s="262">
        <f t="shared" si="19"/>
        <v>17824.421999999999</v>
      </c>
      <c r="BE17" s="262">
        <f t="shared" si="20"/>
        <v>18107.785499999998</v>
      </c>
      <c r="BF17" s="262">
        <f t="shared" si="21"/>
        <v>18391.149000000001</v>
      </c>
      <c r="BG17" s="262">
        <f t="shared" si="22"/>
        <v>18674.418000000001</v>
      </c>
      <c r="BH17" s="262">
        <f t="shared" si="23"/>
        <v>18957.781500000005</v>
      </c>
      <c r="BI17" s="262">
        <f t="shared" si="24"/>
        <v>19241.145000000004</v>
      </c>
      <c r="BJ17" s="356">
        <f t="shared" si="26"/>
        <v>19524.414000000001</v>
      </c>
      <c r="BK17" s="419">
        <f>((0.33*'Traffic Data'!AK17)/Speed!X98)+((0.67*'Traffic Data'!AK17)/Speed!AX98)</f>
        <v>7.6642335766423351</v>
      </c>
      <c r="BL17" s="454">
        <f>((0.33*AL17)/Speed!Y98)+((0.67*AL17)/Speed!AY98)</f>
        <v>14.558722627737229</v>
      </c>
      <c r="BM17" s="454">
        <f>((0.33*AM17)/Speed!Z98)+((0.67*AM17)/Speed!AZ98)</f>
        <v>21.45091240875913</v>
      </c>
      <c r="BN17" s="454">
        <f>((0.33*AN17)/Speed!AA98)+((0.67*AN17)/Speed!BA98)</f>
        <v>46.665474452555237</v>
      </c>
      <c r="BO17" s="454">
        <f>((0.33*AO17)/Speed!AB98)+((0.67*AO17)/Speed!BB98)</f>
        <v>71.881058394217447</v>
      </c>
      <c r="BP17" s="454">
        <f>((0.33*AP17)/Speed!AC98)+((0.67*AP17)/Speed!BC98)</f>
        <v>97.128832118347219</v>
      </c>
      <c r="BQ17" s="454">
        <f>((0.33*AQ17)/Speed!AD98)+((0.67*AQ17)/Speed!BD98)</f>
        <v>122.34339418032501</v>
      </c>
      <c r="BR17" s="454">
        <f>((0.33*AR17)/Speed!AE98)+((0.67*AR17)/Speed!BE98)</f>
        <v>147.57328482679654</v>
      </c>
      <c r="BS17" s="454">
        <f>((0.33*AS17)/Speed!AF98)+((0.67*AS17)/Speed!BF98)</f>
        <v>191.41960125555082</v>
      </c>
      <c r="BT17" s="454">
        <f>((0.33*AT17)/Speed!AG98)+((0.67*AT17)/Speed!BG98)</f>
        <v>235.24805542539877</v>
      </c>
      <c r="BU17" s="454">
        <f>((0.33*AU17)/Speed!AH98)+((0.67*AU17)/Speed!BH98)</f>
        <v>279.0911937635816</v>
      </c>
      <c r="BV17" s="454">
        <f>((0.33*AV17)/Speed!AI98)+((0.67*AV17)/Speed!BI98)</f>
        <v>322.93819139649577</v>
      </c>
      <c r="BW17" s="454">
        <f>((0.33*AW17)/Speed!AJ98)+((0.67*AW17)/Speed!BJ98)</f>
        <v>366.81905859163999</v>
      </c>
      <c r="BX17" s="454">
        <f>((0.33*AX17)/Speed!AK98)+((0.67*AX17)/Speed!BK98)</f>
        <v>392.32917653092716</v>
      </c>
      <c r="BY17" s="454">
        <f>((0.33*AY17)/Speed!AL98)+((0.67*AY17)/Speed!BL98)</f>
        <v>399.22520305483448</v>
      </c>
      <c r="BZ17" s="454">
        <f>((0.33*AZ17)/Speed!AM98)+((0.67*AZ17)/Speed!BM98)</f>
        <v>406.12151930294135</v>
      </c>
      <c r="CA17" s="454">
        <f>((0.33*BA17)/Speed!AN98)+((0.67*BA17)/Speed!BN98)</f>
        <v>413.01817356798438</v>
      </c>
      <c r="CB17" s="454">
        <f>((0.33*BB17)/Speed!AO98)+((0.67*BB17)/Speed!BO98)</f>
        <v>419.91292092772557</v>
      </c>
      <c r="CC17" s="454">
        <f>((0.33*BC17)/Speed!AP98)+((0.67*BC17)/Speed!BP98)</f>
        <v>426.81042477647134</v>
      </c>
      <c r="CD17" s="454">
        <f>((0.33*BD17)/Speed!AQ98)+((0.67*BD17)/Speed!BQ98)</f>
        <v>433.70615653742948</v>
      </c>
      <c r="CE17" s="454">
        <f>((0.33*BE17)/Speed!AR98)+((0.67*BE17)/Speed!BR98)</f>
        <v>440.60479904744591</v>
      </c>
      <c r="CF17" s="454">
        <f>((0.33*BF17)/Speed!AS98)+((0.67*BF17)/Speed!BS98)</f>
        <v>447.504145011633</v>
      </c>
      <c r="CG17" s="454">
        <f>((0.33*BG17)/Speed!AT98)+((0.67*BG17)/Speed!BT98)</f>
        <v>454.40199859309848</v>
      </c>
      <c r="CH17" s="454">
        <f>((0.33*BH17)/Speed!AU98)+((0.67*BH17)/Speed!BU98)</f>
        <v>461.30308137533825</v>
      </c>
      <c r="CI17" s="454">
        <f>((0.33*BI17)/Speed!AV98)+((0.67*BI17)/Speed!BV98)</f>
        <v>468.20522702597964</v>
      </c>
      <c r="CJ17" s="455">
        <f>((0.33*BJ17)/Speed!AW98)+((0.67*BJ17)/Speed!BW98)</f>
        <v>475.10628488257231</v>
      </c>
      <c r="CK17" s="1392"/>
      <c r="CL17" s="1392"/>
      <c r="CM17" s="1399"/>
      <c r="CN17" s="1406"/>
      <c r="CO17" s="1152"/>
      <c r="CP17" s="62"/>
      <c r="CQ17" s="1153"/>
      <c r="CR17" s="1154"/>
      <c r="CS17" s="12"/>
      <c r="CT17" s="12"/>
      <c r="CU17" s="12"/>
      <c r="CV17" s="12"/>
      <c r="CW17" s="12"/>
      <c r="CX17" s="12"/>
      <c r="CY17" s="12"/>
      <c r="CZ17" s="12"/>
    </row>
    <row r="18" spans="2:104" customFormat="1" ht="21.95" customHeight="1" x14ac:dyDescent="0.2">
      <c r="B18" s="492"/>
      <c r="C18" s="1340" t="s">
        <v>334</v>
      </c>
      <c r="D18" s="116" t="s">
        <v>336</v>
      </c>
      <c r="E18" s="116" t="s">
        <v>337</v>
      </c>
      <c r="F18" s="116" t="s">
        <v>367</v>
      </c>
      <c r="G18" s="364">
        <v>50</v>
      </c>
      <c r="H18" s="1155">
        <v>0.5</v>
      </c>
      <c r="I18" s="364">
        <v>4</v>
      </c>
      <c r="J18" s="1168">
        <f>'Trip Gen'!W63</f>
        <v>14000</v>
      </c>
      <c r="K18" s="1151">
        <f>'Trip Gen'!X63</f>
        <v>14379.249999999998</v>
      </c>
      <c r="L18" s="1151">
        <f>'Trip Gen'!Y63</f>
        <v>14996.5</v>
      </c>
      <c r="M18" s="1151">
        <f>'Trip Gen'!Z63</f>
        <v>15882.050000000001</v>
      </c>
      <c r="N18" s="1151">
        <f>'Trip Gen'!AA63</f>
        <v>16768.000000000004</v>
      </c>
      <c r="O18" s="1151">
        <f>'Trip Gen'!AB63</f>
        <v>17653.850000000006</v>
      </c>
      <c r="P18" s="1151">
        <f>'Trip Gen'!AC63</f>
        <v>18539.400000000005</v>
      </c>
      <c r="Q18" s="1151">
        <f>'Trip Gen'!AD63</f>
        <v>19425.7</v>
      </c>
      <c r="R18" s="1151">
        <f>'Trip Gen'!AE63</f>
        <v>20213.699999999997</v>
      </c>
      <c r="S18" s="1151">
        <f>'Trip Gen'!AF63</f>
        <v>21001.95</v>
      </c>
      <c r="T18" s="1151">
        <f>'Trip Gen'!AG63</f>
        <v>21789.949999999997</v>
      </c>
      <c r="U18" s="1151">
        <f>'Trip Gen'!AH63</f>
        <v>22577.95</v>
      </c>
      <c r="V18" s="1151">
        <f>'Trip Gen'!AI63</f>
        <v>23366.649999999998</v>
      </c>
      <c r="W18" s="1151">
        <f>'Trip Gen'!AJ63</f>
        <v>23886</v>
      </c>
      <c r="X18" s="1151">
        <f>'Trip Gen'!AK63</f>
        <v>24265.249999999996</v>
      </c>
      <c r="Y18" s="1151">
        <f>'Trip Gen'!AL63</f>
        <v>24644.5</v>
      </c>
      <c r="Z18" s="1151">
        <f>'Trip Gen'!AM63</f>
        <v>25023.749999999996</v>
      </c>
      <c r="AA18" s="1151">
        <f>'Trip Gen'!AN63</f>
        <v>25403.199999999997</v>
      </c>
      <c r="AB18" s="1151">
        <f>'Trip Gen'!AO63</f>
        <v>25782.45</v>
      </c>
      <c r="AC18" s="1151">
        <f>'Trip Gen'!AP63</f>
        <v>26161.9</v>
      </c>
      <c r="AD18" s="1151">
        <f>'Trip Gen'!AQ63</f>
        <v>26541.149999999998</v>
      </c>
      <c r="AE18" s="1151">
        <f>'Trip Gen'!AR63</f>
        <v>26920.400000000001</v>
      </c>
      <c r="AF18" s="1151">
        <f>'Trip Gen'!AS63</f>
        <v>27299.85</v>
      </c>
      <c r="AG18" s="1151">
        <f>'Trip Gen'!AT63</f>
        <v>27679.1</v>
      </c>
      <c r="AH18" s="1151">
        <f>'Trip Gen'!AU63</f>
        <v>28058.35</v>
      </c>
      <c r="AI18" s="1151">
        <f>'Trip Gen'!AV63</f>
        <v>28437.799999999996</v>
      </c>
      <c r="AJ18" s="1182">
        <f t="shared" si="28"/>
        <v>4.1250857142857124E-2</v>
      </c>
      <c r="AK18" s="1162">
        <f t="shared" si="25"/>
        <v>7000</v>
      </c>
      <c r="AL18" s="364">
        <f t="shared" si="1"/>
        <v>7189.6249999999991</v>
      </c>
      <c r="AM18" s="364">
        <f t="shared" si="2"/>
        <v>7498.25</v>
      </c>
      <c r="AN18" s="364">
        <f t="shared" si="3"/>
        <v>7941.0250000000005</v>
      </c>
      <c r="AO18" s="364">
        <f t="shared" si="4"/>
        <v>8384.0000000000018</v>
      </c>
      <c r="AP18" s="364">
        <f t="shared" si="5"/>
        <v>8826.9250000000029</v>
      </c>
      <c r="AQ18" s="364">
        <f t="shared" si="6"/>
        <v>9269.7000000000025</v>
      </c>
      <c r="AR18" s="364">
        <f t="shared" si="7"/>
        <v>9712.85</v>
      </c>
      <c r="AS18" s="364">
        <f t="shared" si="8"/>
        <v>10106.849999999999</v>
      </c>
      <c r="AT18" s="364">
        <f t="shared" si="9"/>
        <v>10500.975</v>
      </c>
      <c r="AU18" s="364">
        <f t="shared" si="10"/>
        <v>10894.974999999999</v>
      </c>
      <c r="AV18" s="364">
        <f t="shared" si="11"/>
        <v>11288.975</v>
      </c>
      <c r="AW18" s="364">
        <f t="shared" si="12"/>
        <v>11683.324999999999</v>
      </c>
      <c r="AX18" s="364">
        <f t="shared" si="13"/>
        <v>11943</v>
      </c>
      <c r="AY18" s="364">
        <f t="shared" si="14"/>
        <v>12132.624999999998</v>
      </c>
      <c r="AZ18" s="364">
        <f t="shared" si="15"/>
        <v>12322.25</v>
      </c>
      <c r="BA18" s="364">
        <f t="shared" si="16"/>
        <v>12511.874999999998</v>
      </c>
      <c r="BB18" s="364">
        <f t="shared" si="17"/>
        <v>12701.599999999999</v>
      </c>
      <c r="BC18" s="364">
        <f t="shared" si="18"/>
        <v>12891.225</v>
      </c>
      <c r="BD18" s="364">
        <f t="shared" si="19"/>
        <v>13080.95</v>
      </c>
      <c r="BE18" s="364">
        <f t="shared" si="20"/>
        <v>13270.574999999999</v>
      </c>
      <c r="BF18" s="364">
        <f t="shared" si="21"/>
        <v>13460.2</v>
      </c>
      <c r="BG18" s="364">
        <f t="shared" si="22"/>
        <v>13649.924999999999</v>
      </c>
      <c r="BH18" s="364">
        <f t="shared" si="23"/>
        <v>13839.55</v>
      </c>
      <c r="BI18" s="364">
        <f t="shared" si="24"/>
        <v>14029.174999999999</v>
      </c>
      <c r="BJ18" s="365">
        <f t="shared" si="26"/>
        <v>14218.899999999998</v>
      </c>
      <c r="BK18" s="417">
        <f>((0.33*'Traffic Data'!AK18)/Speed!X99)+((0.67*'Traffic Data'!AK18)/Speed!AX99)</f>
        <v>137.52526465138232</v>
      </c>
      <c r="BL18" s="415">
        <f>((0.33*AL18)/Speed!Y99)+((0.67*AL18)/Speed!AY99)</f>
        <v>141.25094824472529</v>
      </c>
      <c r="BM18" s="415">
        <f>((0.33*AM18)/Speed!Z99)+((0.67*AM18)/Speed!AZ99)</f>
        <v>147.31486513047525</v>
      </c>
      <c r="BN18" s="415">
        <f>((0.33*AN18)/Speed!AA99)+((0.67*AN18)/Speed!BA99)</f>
        <v>156.01510901914088</v>
      </c>
      <c r="BO18" s="415">
        <f>((0.33*AO18)/Speed!AB99)+((0.67*AO18)/Speed!BB99)</f>
        <v>164.72026949420649</v>
      </c>
      <c r="BP18" s="415">
        <f>((0.33*AP18)/Speed!AC99)+((0.67*AP18)/Speed!BC99)</f>
        <v>173.42605256914925</v>
      </c>
      <c r="BQ18" s="415">
        <f>((0.33*AQ18)/Speed!AD99)+((0.67*AQ18)/Speed!BD99)</f>
        <v>182.13143289734586</v>
      </c>
      <c r="BR18" s="415">
        <f>((0.33*AR18)/Speed!AE99)+((0.67*AR18)/Speed!BE99)</f>
        <v>190.84814006049311</v>
      </c>
      <c r="BS18" s="415">
        <f>((0.33*AS18)/Speed!AF99)+((0.67*AS18)/Speed!BF99)</f>
        <v>198.60304053286347</v>
      </c>
      <c r="BT18" s="415">
        <f>((0.33*AT18)/Speed!AG99)+((0.67*AT18)/Speed!BG99)</f>
        <v>206.36718167407417</v>
      </c>
      <c r="BU18" s="415">
        <f>((0.33*AU18)/Speed!AH99)+((0.67*AU18)/Speed!BH99)</f>
        <v>214.13841727466911</v>
      </c>
      <c r="BV18" s="415">
        <f>((0.33*AV18)/Speed!AI99)+((0.67*AV18)/Speed!BI99)</f>
        <v>221.92295661124422</v>
      </c>
      <c r="BW18" s="415">
        <f>((0.33*AW18)/Speed!AJ99)+((0.67*AW18)/Speed!BJ99)</f>
        <v>229.73274344934862</v>
      </c>
      <c r="BX18" s="415">
        <f>((0.33*AX18)/Speed!AK99)+((0.67*AX18)/Speed!BK99)</f>
        <v>234.88854181332547</v>
      </c>
      <c r="BY18" s="415">
        <f>((0.33*AY18)/Speed!AL99)+((0.67*AY18)/Speed!BL99)</f>
        <v>238.66166231323137</v>
      </c>
      <c r="BZ18" s="415">
        <f>((0.33*AZ18)/Speed!AM99)+((0.67*AZ18)/Speed!BM99)</f>
        <v>242.44284690770439</v>
      </c>
      <c r="CA18" s="415">
        <f>((0.33*BA18)/Speed!AN99)+((0.67*BA18)/Speed!BN99)</f>
        <v>246.23330328879172</v>
      </c>
      <c r="CB18" s="415">
        <f>((0.33*BB18)/Speed!AO99)+((0.67*BB18)/Speed!BO99)</f>
        <v>250.03640469100839</v>
      </c>
      <c r="CC18" s="415">
        <f>((0.33*BC18)/Speed!AP99)+((0.67*BC18)/Speed!BP99)</f>
        <v>253.84968437030562</v>
      </c>
      <c r="CD18" s="415">
        <f>((0.33*BD18)/Speed!AQ99)+((0.67*BD18)/Speed!BQ99)</f>
        <v>257.67890342027601</v>
      </c>
      <c r="CE18" s="415">
        <f>((0.33*BE18)/Speed!AR99)+((0.67*BE18)/Speed!BR99)</f>
        <v>261.52198021511634</v>
      </c>
      <c r="CF18" s="415">
        <f>((0.33*BF18)/Speed!AS99)+((0.67*BF18)/Speed!BS99)</f>
        <v>265.38312359233691</v>
      </c>
      <c r="CG18" s="415">
        <f>((0.33*BG18)/Speed!AT99)+((0.67*BG18)/Speed!BT99)</f>
        <v>269.26684648296128</v>
      </c>
      <c r="CH18" s="415">
        <f>((0.33*BH18)/Speed!AU99)+((0.67*BH18)/Speed!BU99)</f>
        <v>273.17180952485137</v>
      </c>
      <c r="CI18" s="415">
        <f>((0.33*BI18)/Speed!AV99)+((0.67*BI18)/Speed!BV99)</f>
        <v>277.10313122299164</v>
      </c>
      <c r="CJ18" s="453">
        <f>((0.33*BJ18)/Speed!AW99)+((0.67*BJ18)/Speed!BW99)</f>
        <v>281.06634248933528</v>
      </c>
      <c r="CK18" s="1393">
        <f>Inputs!$H$35</f>
        <v>0.28000000000000003</v>
      </c>
      <c r="CL18" s="1393">
        <f>Inputs!$H$36</f>
        <v>0.72</v>
      </c>
      <c r="CM18" s="1401">
        <f>1/(1+CK18)</f>
        <v>0.78125</v>
      </c>
      <c r="CN18" s="1407">
        <v>0.9</v>
      </c>
      <c r="CS18" s="12"/>
      <c r="CT18" s="12"/>
      <c r="CU18" s="12"/>
      <c r="CV18" s="12"/>
      <c r="CW18" s="12"/>
      <c r="CX18" s="12"/>
      <c r="CY18" s="12"/>
      <c r="CZ18" s="12"/>
    </row>
    <row r="19" spans="2:104" customFormat="1" ht="21.95" customHeight="1" x14ac:dyDescent="0.2">
      <c r="B19" s="492"/>
      <c r="C19" s="1339"/>
      <c r="D19" s="116" t="s">
        <v>337</v>
      </c>
      <c r="E19" s="116" t="s">
        <v>386</v>
      </c>
      <c r="F19" s="116" t="s">
        <v>366</v>
      </c>
      <c r="G19" s="364">
        <v>50</v>
      </c>
      <c r="H19" s="1155">
        <v>0.5</v>
      </c>
      <c r="I19" s="364">
        <v>4</v>
      </c>
      <c r="J19" s="1162">
        <v>22000</v>
      </c>
      <c r="K19" s="364">
        <f>ROUND((0.785*K23),0)</f>
        <v>22457</v>
      </c>
      <c r="L19" s="364">
        <f t="shared" ref="L19:AI19" si="29">ROUND((0.785*L23),0)</f>
        <v>23541</v>
      </c>
      <c r="M19" s="364">
        <f t="shared" si="29"/>
        <v>24729</v>
      </c>
      <c r="N19" s="364">
        <f t="shared" si="29"/>
        <v>25919</v>
      </c>
      <c r="O19" s="364">
        <f t="shared" si="29"/>
        <v>27108</v>
      </c>
      <c r="P19" s="364">
        <f t="shared" si="29"/>
        <v>28296</v>
      </c>
      <c r="Q19" s="364">
        <f t="shared" si="29"/>
        <v>29486</v>
      </c>
      <c r="R19" s="364">
        <f t="shared" si="29"/>
        <v>30141</v>
      </c>
      <c r="S19" s="364">
        <f t="shared" si="29"/>
        <v>30797</v>
      </c>
      <c r="T19" s="364">
        <f t="shared" si="29"/>
        <v>31452</v>
      </c>
      <c r="U19" s="364">
        <f t="shared" si="29"/>
        <v>32108</v>
      </c>
      <c r="V19" s="364">
        <f t="shared" si="29"/>
        <v>32763</v>
      </c>
      <c r="W19" s="364">
        <f t="shared" si="29"/>
        <v>33314</v>
      </c>
      <c r="X19" s="364">
        <f t="shared" si="29"/>
        <v>33790</v>
      </c>
      <c r="Y19" s="364">
        <f t="shared" si="29"/>
        <v>34267</v>
      </c>
      <c r="Z19" s="364">
        <f t="shared" si="29"/>
        <v>34744</v>
      </c>
      <c r="AA19" s="364">
        <f t="shared" si="29"/>
        <v>35221</v>
      </c>
      <c r="AB19" s="364">
        <f t="shared" si="29"/>
        <v>35698</v>
      </c>
      <c r="AC19" s="364">
        <f t="shared" si="29"/>
        <v>36175</v>
      </c>
      <c r="AD19" s="364">
        <f t="shared" si="29"/>
        <v>36652</v>
      </c>
      <c r="AE19" s="364">
        <f t="shared" si="29"/>
        <v>37129</v>
      </c>
      <c r="AF19" s="364">
        <f t="shared" si="29"/>
        <v>37606</v>
      </c>
      <c r="AG19" s="364">
        <f t="shared" si="29"/>
        <v>38083</v>
      </c>
      <c r="AH19" s="364">
        <f t="shared" si="29"/>
        <v>38559</v>
      </c>
      <c r="AI19" s="364">
        <f t="shared" si="29"/>
        <v>39036</v>
      </c>
      <c r="AJ19" s="1182">
        <f t="shared" si="28"/>
        <v>3.0974545454545456E-2</v>
      </c>
      <c r="AK19" s="1162">
        <f t="shared" si="25"/>
        <v>11000</v>
      </c>
      <c r="AL19" s="364">
        <f t="shared" si="1"/>
        <v>11228.5</v>
      </c>
      <c r="AM19" s="364">
        <f t="shared" si="2"/>
        <v>11770.5</v>
      </c>
      <c r="AN19" s="364">
        <f t="shared" si="3"/>
        <v>12364.5</v>
      </c>
      <c r="AO19" s="364">
        <f t="shared" si="4"/>
        <v>12959.5</v>
      </c>
      <c r="AP19" s="364">
        <f t="shared" si="5"/>
        <v>13554</v>
      </c>
      <c r="AQ19" s="364">
        <f t="shared" si="6"/>
        <v>14148</v>
      </c>
      <c r="AR19" s="364">
        <f t="shared" si="7"/>
        <v>14743</v>
      </c>
      <c r="AS19" s="364">
        <f t="shared" si="8"/>
        <v>15070.5</v>
      </c>
      <c r="AT19" s="364">
        <f t="shared" si="9"/>
        <v>15398.5</v>
      </c>
      <c r="AU19" s="364">
        <f t="shared" si="10"/>
        <v>15726</v>
      </c>
      <c r="AV19" s="364">
        <f t="shared" si="11"/>
        <v>16054</v>
      </c>
      <c r="AW19" s="364">
        <f t="shared" si="12"/>
        <v>16381.5</v>
      </c>
      <c r="AX19" s="364">
        <f t="shared" si="13"/>
        <v>16657</v>
      </c>
      <c r="AY19" s="364">
        <f t="shared" si="14"/>
        <v>16895</v>
      </c>
      <c r="AZ19" s="364">
        <f t="shared" si="15"/>
        <v>17133.5</v>
      </c>
      <c r="BA19" s="364">
        <f t="shared" si="16"/>
        <v>17372</v>
      </c>
      <c r="BB19" s="364">
        <f t="shared" si="17"/>
        <v>17610.5</v>
      </c>
      <c r="BC19" s="364">
        <f t="shared" si="18"/>
        <v>17849</v>
      </c>
      <c r="BD19" s="364">
        <f t="shared" si="19"/>
        <v>18087.5</v>
      </c>
      <c r="BE19" s="364">
        <f t="shared" si="20"/>
        <v>18326</v>
      </c>
      <c r="BF19" s="364">
        <f t="shared" si="21"/>
        <v>18564.5</v>
      </c>
      <c r="BG19" s="364">
        <f t="shared" si="22"/>
        <v>18803</v>
      </c>
      <c r="BH19" s="364">
        <f t="shared" si="23"/>
        <v>19041.5</v>
      </c>
      <c r="BI19" s="364">
        <f t="shared" si="24"/>
        <v>19279.5</v>
      </c>
      <c r="BJ19" s="365">
        <f t="shared" si="26"/>
        <v>19518</v>
      </c>
      <c r="BK19" s="417">
        <f>((0.33*'Traffic Data'!AK19)/Speed!X100)+((0.67*'Traffic Data'!AK19)/Speed!AX100)</f>
        <v>227.31750368045189</v>
      </c>
      <c r="BL19" s="415">
        <f>((0.33*AL19)/Speed!Y100)+((0.67*AL19)/Speed!AY100)</f>
        <v>232.0499410415041</v>
      </c>
      <c r="BM19" s="415">
        <f>((0.33*AM19)/Speed!Z100)+((0.67*AM19)/Speed!AZ100)</f>
        <v>243.28643998863836</v>
      </c>
      <c r="BN19" s="415">
        <f>((0.33*AN19)/Speed!AA100)+((0.67*AN19)/Speed!BA100)</f>
        <v>255.62693360536164</v>
      </c>
      <c r="BO19" s="415">
        <f>((0.33*AO19)/Speed!AB100)+((0.67*AO19)/Speed!BB100)</f>
        <v>268.03003224916677</v>
      </c>
      <c r="BP19" s="415">
        <f>((0.33*AP19)/Speed!AC100)+((0.67*AP19)/Speed!BC100)</f>
        <v>280.48643467327747</v>
      </c>
      <c r="BQ19" s="415">
        <f>((0.33*AQ19)/Speed!AD100)+((0.67*AQ19)/Speed!BD100)</f>
        <v>293.02751513019882</v>
      </c>
      <c r="BR19" s="415">
        <f>((0.33*AR19)/Speed!AE100)+((0.67*AR19)/Speed!BE100)</f>
        <v>305.72990101794244</v>
      </c>
      <c r="BS19" s="415">
        <f>((0.33*AS19)/Speed!AF100)+((0.67*AS19)/Speed!BF100)</f>
        <v>312.80329757757323</v>
      </c>
      <c r="BT19" s="415">
        <f>((0.33*AT19)/Speed!AG100)+((0.67*AT19)/Speed!BG100)</f>
        <v>319.96212917679509</v>
      </c>
      <c r="BU19" s="415">
        <f>((0.33*AU19)/Speed!AH100)+((0.67*AU19)/Speed!BH100)</f>
        <v>327.20047917022782</v>
      </c>
      <c r="BV19" s="415">
        <f>((0.33*AV19)/Speed!AI100)+((0.67*AV19)/Speed!BI100)</f>
        <v>334.55934494600552</v>
      </c>
      <c r="BW19" s="415">
        <f>((0.33*AW19)/Speed!AJ100)+((0.67*AW19)/Speed!BJ100)</f>
        <v>342.03856678162987</v>
      </c>
      <c r="BX19" s="415">
        <f>((0.33*AX19)/Speed!AK100)+((0.67*AX19)/Speed!BK100)</f>
        <v>348.45115921968096</v>
      </c>
      <c r="BY19" s="415">
        <f>((0.33*AY19)/Speed!AL100)+((0.67*AY19)/Speed!BL100)</f>
        <v>354.09447209844097</v>
      </c>
      <c r="BZ19" s="415">
        <f>((0.33*AZ19)/Speed!AM100)+((0.67*AZ19)/Speed!BM100)</f>
        <v>359.85979923526048</v>
      </c>
      <c r="CA19" s="415">
        <f>((0.33*BA19)/Speed!AN100)+((0.67*BA19)/Speed!BN100)</f>
        <v>365.7502150745205</v>
      </c>
      <c r="CB19" s="415">
        <f>((0.33*BB19)/Speed!AO100)+((0.67*BB19)/Speed!BO100)</f>
        <v>371.78228785316378</v>
      </c>
      <c r="CC19" s="415">
        <f>((0.33*BC19)/Speed!AP100)+((0.67*BC19)/Speed!BP100)</f>
        <v>377.97450860694175</v>
      </c>
      <c r="CD19" s="415">
        <f>((0.33*BD19)/Speed!AQ100)+((0.67*BD19)/Speed!BQ100)</f>
        <v>384.34748364778898</v>
      </c>
      <c r="CE19" s="415">
        <f>((0.33*BE19)/Speed!AR100)+((0.67*BE19)/Speed!BR100)</f>
        <v>390.92414334967145</v>
      </c>
      <c r="CF19" s="415">
        <f>((0.33*BF19)/Speed!AS100)+((0.67*BF19)/Speed!BS100)</f>
        <v>397.72996835615788</v>
      </c>
      <c r="CG19" s="415">
        <f>((0.33*BG19)/Speed!AT100)+((0.67*BG19)/Speed!BT100)</f>
        <v>404.7932344047581</v>
      </c>
      <c r="CH19" s="415">
        <f>((0.33*BH19)/Speed!AU100)+((0.67*BH19)/Speed!BU100)</f>
        <v>412.14527702777434</v>
      </c>
      <c r="CI19" s="415">
        <f>((0.33*BI19)/Speed!AV100)+((0.67*BI19)/Speed!BV100)</f>
        <v>419.80432195853575</v>
      </c>
      <c r="CJ19" s="453">
        <f>((0.33*BJ19)/Speed!AW100)+((0.67*BJ19)/Speed!BW100)</f>
        <v>427.84081426179239</v>
      </c>
      <c r="CK19" s="1394"/>
      <c r="CL19" s="1394"/>
      <c r="CM19" s="1402"/>
      <c r="CN19" s="1408"/>
      <c r="CO19" s="12"/>
      <c r="CP19" s="1170"/>
      <c r="CQ19" s="12"/>
      <c r="CR19" s="12"/>
      <c r="CS19" s="12"/>
      <c r="CT19" s="12"/>
      <c r="CU19" s="12"/>
      <c r="CV19" s="12"/>
      <c r="CW19" s="12"/>
      <c r="CX19" s="12"/>
      <c r="CY19" s="12"/>
      <c r="CZ19" s="12"/>
    </row>
    <row r="20" spans="2:104" customFormat="1" ht="21.95" customHeight="1" x14ac:dyDescent="0.2">
      <c r="B20" s="492"/>
      <c r="C20" s="1339"/>
      <c r="D20" s="116" t="s">
        <v>342</v>
      </c>
      <c r="E20" s="116" t="s">
        <v>341</v>
      </c>
      <c r="F20" s="116" t="s">
        <v>366</v>
      </c>
      <c r="G20" s="364">
        <v>45</v>
      </c>
      <c r="H20" s="1155">
        <v>0.65</v>
      </c>
      <c r="I20" s="364">
        <v>4</v>
      </c>
      <c r="J20" s="1162">
        <v>22000</v>
      </c>
      <c r="K20" s="364">
        <f>ROUND((0.785*K23),0)</f>
        <v>22457</v>
      </c>
      <c r="L20" s="364">
        <f t="shared" ref="L20:AI20" si="30">ROUND((0.785*L23),0)</f>
        <v>23541</v>
      </c>
      <c r="M20" s="364">
        <f t="shared" si="30"/>
        <v>24729</v>
      </c>
      <c r="N20" s="364">
        <f t="shared" si="30"/>
        <v>25919</v>
      </c>
      <c r="O20" s="364">
        <f t="shared" si="30"/>
        <v>27108</v>
      </c>
      <c r="P20" s="364">
        <f t="shared" si="30"/>
        <v>28296</v>
      </c>
      <c r="Q20" s="364">
        <f t="shared" si="30"/>
        <v>29486</v>
      </c>
      <c r="R20" s="364">
        <f t="shared" si="30"/>
        <v>30141</v>
      </c>
      <c r="S20" s="364">
        <f t="shared" si="30"/>
        <v>30797</v>
      </c>
      <c r="T20" s="364">
        <f t="shared" si="30"/>
        <v>31452</v>
      </c>
      <c r="U20" s="364">
        <f t="shared" si="30"/>
        <v>32108</v>
      </c>
      <c r="V20" s="364">
        <f t="shared" si="30"/>
        <v>32763</v>
      </c>
      <c r="W20" s="364">
        <f t="shared" si="30"/>
        <v>33314</v>
      </c>
      <c r="X20" s="364">
        <f t="shared" si="30"/>
        <v>33790</v>
      </c>
      <c r="Y20" s="364">
        <f t="shared" si="30"/>
        <v>34267</v>
      </c>
      <c r="Z20" s="364">
        <f t="shared" si="30"/>
        <v>34744</v>
      </c>
      <c r="AA20" s="364">
        <f t="shared" si="30"/>
        <v>35221</v>
      </c>
      <c r="AB20" s="364">
        <f t="shared" si="30"/>
        <v>35698</v>
      </c>
      <c r="AC20" s="364">
        <f t="shared" si="30"/>
        <v>36175</v>
      </c>
      <c r="AD20" s="364">
        <f t="shared" si="30"/>
        <v>36652</v>
      </c>
      <c r="AE20" s="364">
        <f t="shared" si="30"/>
        <v>37129</v>
      </c>
      <c r="AF20" s="364">
        <f t="shared" si="30"/>
        <v>37606</v>
      </c>
      <c r="AG20" s="364">
        <f t="shared" si="30"/>
        <v>38083</v>
      </c>
      <c r="AH20" s="364">
        <f t="shared" si="30"/>
        <v>38559</v>
      </c>
      <c r="AI20" s="364">
        <f t="shared" si="30"/>
        <v>39036</v>
      </c>
      <c r="AJ20" s="1182">
        <f t="shared" si="28"/>
        <v>3.0974545454545456E-2</v>
      </c>
      <c r="AK20" s="1162">
        <f t="shared" si="25"/>
        <v>14300</v>
      </c>
      <c r="AL20" s="364">
        <f t="shared" si="1"/>
        <v>14597.050000000001</v>
      </c>
      <c r="AM20" s="364">
        <f t="shared" si="2"/>
        <v>15301.65</v>
      </c>
      <c r="AN20" s="364">
        <f t="shared" si="3"/>
        <v>16073.85</v>
      </c>
      <c r="AO20" s="364">
        <f t="shared" si="4"/>
        <v>16847.350000000002</v>
      </c>
      <c r="AP20" s="364">
        <f t="shared" si="5"/>
        <v>17620.2</v>
      </c>
      <c r="AQ20" s="364">
        <f t="shared" si="6"/>
        <v>18392.400000000001</v>
      </c>
      <c r="AR20" s="364">
        <f t="shared" si="7"/>
        <v>19165.900000000001</v>
      </c>
      <c r="AS20" s="364">
        <f t="shared" si="8"/>
        <v>19591.650000000001</v>
      </c>
      <c r="AT20" s="364">
        <f t="shared" si="9"/>
        <v>20018.05</v>
      </c>
      <c r="AU20" s="364">
        <f t="shared" si="10"/>
        <v>20443.8</v>
      </c>
      <c r="AV20" s="364">
        <f t="shared" si="11"/>
        <v>20870.2</v>
      </c>
      <c r="AW20" s="364">
        <f t="shared" si="12"/>
        <v>21295.95</v>
      </c>
      <c r="AX20" s="364">
        <f t="shared" si="13"/>
        <v>21654.100000000002</v>
      </c>
      <c r="AY20" s="364">
        <f t="shared" si="14"/>
        <v>21963.5</v>
      </c>
      <c r="AZ20" s="364">
        <f t="shared" si="15"/>
        <v>22273.55</v>
      </c>
      <c r="BA20" s="364">
        <f t="shared" si="16"/>
        <v>22583.600000000002</v>
      </c>
      <c r="BB20" s="364">
        <f t="shared" si="17"/>
        <v>22893.65</v>
      </c>
      <c r="BC20" s="364">
        <f t="shared" si="18"/>
        <v>23203.7</v>
      </c>
      <c r="BD20" s="364">
        <f t="shared" si="19"/>
        <v>23513.75</v>
      </c>
      <c r="BE20" s="364">
        <f t="shared" si="20"/>
        <v>23823.8</v>
      </c>
      <c r="BF20" s="364">
        <f t="shared" si="21"/>
        <v>24133.850000000002</v>
      </c>
      <c r="BG20" s="364">
        <f t="shared" si="22"/>
        <v>24443.9</v>
      </c>
      <c r="BH20" s="364">
        <f t="shared" si="23"/>
        <v>24753.95</v>
      </c>
      <c r="BI20" s="364">
        <f t="shared" si="24"/>
        <v>25063.350000000002</v>
      </c>
      <c r="BJ20" s="365">
        <f t="shared" si="26"/>
        <v>25373.4</v>
      </c>
      <c r="BK20" s="417">
        <f>((0.33*'Traffic Data'!AK20)/Speed!X101)+((0.67*'Traffic Data'!AK20)/Speed!AX101)</f>
        <v>329.5778428757539</v>
      </c>
      <c r="BL20" s="415">
        <f>((0.33*AL20)/Speed!Y101)+((0.67*AL20)/Speed!AY101)</f>
        <v>336.44382141501774</v>
      </c>
      <c r="BM20" s="415">
        <f>((0.33*AM20)/Speed!Z101)+((0.67*AM20)/Speed!AZ101)</f>
        <v>352.75106041743675</v>
      </c>
      <c r="BN20" s="415">
        <f>((0.33*AN20)/Speed!AA101)+((0.67*AN20)/Speed!BA101)</f>
        <v>370.67195911592472</v>
      </c>
      <c r="BO20" s="415">
        <f>((0.33*AO20)/Speed!AB101)+((0.67*AO20)/Speed!BB101)</f>
        <v>388.70220546204149</v>
      </c>
      <c r="BP20" s="415">
        <f>((0.33*AP20)/Speed!AC101)+((0.67*AP20)/Speed!BC101)</f>
        <v>406.83792556466278</v>
      </c>
      <c r="BQ20" s="415">
        <f>((0.33*AQ20)/Speed!AD101)+((0.67*AQ20)/Speed!BD101)</f>
        <v>425.13850638419763</v>
      </c>
      <c r="BR20" s="415">
        <f>((0.33*AR20)/Speed!AE101)+((0.67*AR20)/Speed!BE101)</f>
        <v>443.7352605603823</v>
      </c>
      <c r="BS20" s="415">
        <f>((0.33*AS20)/Speed!AF101)+((0.67*AS20)/Speed!BF101)</f>
        <v>454.12602481580643</v>
      </c>
      <c r="BT20" s="415">
        <f>((0.33*AT20)/Speed!AG101)+((0.67*AT20)/Speed!BG101)</f>
        <v>464.67392800336404</v>
      </c>
      <c r="BU20" s="415">
        <f>((0.33*AU20)/Speed!AH101)+((0.67*AU20)/Speed!BH101)</f>
        <v>475.37692545194301</v>
      </c>
      <c r="BV20" s="415">
        <f>((0.33*AV20)/Speed!AI101)+((0.67*AV20)/Speed!BI101)</f>
        <v>486.30346464753399</v>
      </c>
      <c r="BW20" s="415">
        <f>((0.33*AW20)/Speed!AJ101)+((0.67*AW20)/Speed!BJ101)</f>
        <v>497.46239794840221</v>
      </c>
      <c r="BX20" s="415">
        <f>((0.33*AX20)/Speed!AK101)+((0.67*AX20)/Speed!BK101)</f>
        <v>507.07839865433357</v>
      </c>
      <c r="BY20" s="415">
        <f>((0.33*AY20)/Speed!AL101)+((0.67*AY20)/Speed!BL101)</f>
        <v>515.58156435864976</v>
      </c>
      <c r="BZ20" s="415">
        <f>((0.33*AZ20)/Speed!AM101)+((0.67*AZ20)/Speed!BM101)</f>
        <v>524.31110820959952</v>
      </c>
      <c r="CA20" s="415">
        <f>((0.33*BA20)/Speed!AN101)+((0.67*BA20)/Speed!BN101)</f>
        <v>533.27742703449439</v>
      </c>
      <c r="CB20" s="415">
        <f>((0.33*BB20)/Speed!AO101)+((0.67*BB20)/Speed!BO101)</f>
        <v>542.51188212970965</v>
      </c>
      <c r="CC20" s="415">
        <f>((0.33*BC20)/Speed!AP101)+((0.67*BC20)/Speed!BP101)</f>
        <v>552.04947437400392</v>
      </c>
      <c r="CD20" s="415">
        <f>((0.33*BD20)/Speed!AQ101)+((0.67*BD20)/Speed!BQ101)</f>
        <v>561.92920856058618</v>
      </c>
      <c r="CE20" s="415">
        <f>((0.33*BE20)/Speed!AR101)+((0.67*BE20)/Speed!BR101)</f>
        <v>572.1944885987815</v>
      </c>
      <c r="CF20" s="415">
        <f>((0.33*BF20)/Speed!AS101)+((0.67*BF20)/Speed!BS101)</f>
        <v>582.89354569252282</v>
      </c>
      <c r="CG20" s="415">
        <f>((0.33*BG20)/Speed!AT101)+((0.67*BG20)/Speed!BT101)</f>
        <v>594.07990175771067</v>
      </c>
      <c r="CH20" s="415">
        <f>((0.33*BH20)/Speed!AU101)+((0.67*BH20)/Speed!BU101)</f>
        <v>605.81287046296313</v>
      </c>
      <c r="CI20" s="415">
        <f>((0.33*BI20)/Speed!AV101)+((0.67*BI20)/Speed!BV101)</f>
        <v>618.13152785262662</v>
      </c>
      <c r="CJ20" s="453">
        <f>((0.33*BJ20)/Speed!AW101)+((0.67*BJ20)/Speed!BW101)</f>
        <v>631.16006164124587</v>
      </c>
      <c r="CK20" s="1394"/>
      <c r="CL20" s="1394"/>
      <c r="CM20" s="1402"/>
      <c r="CN20" s="1408"/>
      <c r="CO20" s="12"/>
      <c r="CP20" s="1170"/>
      <c r="CQ20" s="12"/>
      <c r="CR20" s="12"/>
      <c r="CS20" s="12"/>
      <c r="CT20" s="12"/>
      <c r="CU20" s="12"/>
      <c r="CV20" s="12"/>
      <c r="CW20" s="12"/>
      <c r="CX20" s="12"/>
      <c r="CY20" s="12"/>
      <c r="CZ20" s="12"/>
    </row>
    <row r="21" spans="2:104" customFormat="1" ht="21.95" customHeight="1" x14ac:dyDescent="0.2">
      <c r="B21" s="492"/>
      <c r="C21" s="1339"/>
      <c r="D21" s="116" t="s">
        <v>341</v>
      </c>
      <c r="E21" s="116" t="s">
        <v>344</v>
      </c>
      <c r="F21" s="116" t="s">
        <v>366</v>
      </c>
      <c r="G21" s="364">
        <v>45</v>
      </c>
      <c r="H21" s="1155">
        <v>0.61</v>
      </c>
      <c r="I21" s="364">
        <v>4</v>
      </c>
      <c r="J21" s="1162">
        <v>26000</v>
      </c>
      <c r="K21" s="364">
        <f>ROUND((0.9285714*K23),0)</f>
        <v>26564</v>
      </c>
      <c r="L21" s="364">
        <f t="shared" ref="L21:AI21" si="31">ROUND((0.9285714*L23),0)</f>
        <v>27846</v>
      </c>
      <c r="M21" s="364">
        <f t="shared" si="31"/>
        <v>29252</v>
      </c>
      <c r="N21" s="364">
        <f t="shared" si="31"/>
        <v>30659</v>
      </c>
      <c r="O21" s="364">
        <f t="shared" si="31"/>
        <v>32065</v>
      </c>
      <c r="P21" s="364">
        <f t="shared" si="31"/>
        <v>33471</v>
      </c>
      <c r="Q21" s="364">
        <f t="shared" si="31"/>
        <v>34878</v>
      </c>
      <c r="R21" s="364">
        <f t="shared" si="31"/>
        <v>35654</v>
      </c>
      <c r="S21" s="364">
        <f t="shared" si="31"/>
        <v>36429</v>
      </c>
      <c r="T21" s="364">
        <f t="shared" si="31"/>
        <v>37205</v>
      </c>
      <c r="U21" s="364">
        <f t="shared" si="31"/>
        <v>37980</v>
      </c>
      <c r="V21" s="364">
        <f t="shared" si="31"/>
        <v>38756</v>
      </c>
      <c r="W21" s="364">
        <f t="shared" si="31"/>
        <v>39406</v>
      </c>
      <c r="X21" s="364">
        <f t="shared" si="31"/>
        <v>39970</v>
      </c>
      <c r="Y21" s="364">
        <f t="shared" si="31"/>
        <v>40535</v>
      </c>
      <c r="Z21" s="364">
        <f t="shared" si="31"/>
        <v>41099</v>
      </c>
      <c r="AA21" s="364">
        <f t="shared" si="31"/>
        <v>41663</v>
      </c>
      <c r="AB21" s="364">
        <f t="shared" si="31"/>
        <v>42227</v>
      </c>
      <c r="AC21" s="364">
        <f t="shared" si="31"/>
        <v>42791</v>
      </c>
      <c r="AD21" s="364">
        <f t="shared" si="31"/>
        <v>43355</v>
      </c>
      <c r="AE21" s="364">
        <f t="shared" si="31"/>
        <v>43919</v>
      </c>
      <c r="AF21" s="364">
        <f t="shared" si="31"/>
        <v>44483</v>
      </c>
      <c r="AG21" s="364">
        <f t="shared" si="31"/>
        <v>45048</v>
      </c>
      <c r="AH21" s="364">
        <f t="shared" si="31"/>
        <v>45612</v>
      </c>
      <c r="AI21" s="364">
        <f t="shared" si="31"/>
        <v>46176</v>
      </c>
      <c r="AJ21" s="1182">
        <f t="shared" si="28"/>
        <v>3.1040000000000002E-2</v>
      </c>
      <c r="AK21" s="1162">
        <f t="shared" si="25"/>
        <v>15860</v>
      </c>
      <c r="AL21" s="364">
        <f t="shared" si="1"/>
        <v>16204.039999999999</v>
      </c>
      <c r="AM21" s="364">
        <f t="shared" si="2"/>
        <v>16986.060000000001</v>
      </c>
      <c r="AN21" s="364">
        <f t="shared" si="3"/>
        <v>17843.72</v>
      </c>
      <c r="AO21" s="364">
        <f t="shared" si="4"/>
        <v>18701.989999999998</v>
      </c>
      <c r="AP21" s="364">
        <f t="shared" si="5"/>
        <v>19559.649999999998</v>
      </c>
      <c r="AQ21" s="364">
        <f t="shared" si="6"/>
        <v>20417.310000000001</v>
      </c>
      <c r="AR21" s="364">
        <f t="shared" si="7"/>
        <v>21275.579999999998</v>
      </c>
      <c r="AS21" s="364">
        <f t="shared" si="8"/>
        <v>21748.94</v>
      </c>
      <c r="AT21" s="364">
        <f t="shared" si="9"/>
        <v>22221.69</v>
      </c>
      <c r="AU21" s="364">
        <f t="shared" si="10"/>
        <v>22695.05</v>
      </c>
      <c r="AV21" s="364">
        <f t="shared" si="11"/>
        <v>23167.8</v>
      </c>
      <c r="AW21" s="364">
        <f t="shared" si="12"/>
        <v>23641.16</v>
      </c>
      <c r="AX21" s="364">
        <f t="shared" si="13"/>
        <v>24037.66</v>
      </c>
      <c r="AY21" s="364">
        <f t="shared" si="14"/>
        <v>24381.7</v>
      </c>
      <c r="AZ21" s="364">
        <f t="shared" si="15"/>
        <v>24726.35</v>
      </c>
      <c r="BA21" s="364">
        <f t="shared" si="16"/>
        <v>25070.39</v>
      </c>
      <c r="BB21" s="364">
        <f t="shared" si="17"/>
        <v>25414.43</v>
      </c>
      <c r="BC21" s="364">
        <f t="shared" si="18"/>
        <v>25758.47</v>
      </c>
      <c r="BD21" s="364">
        <f t="shared" si="19"/>
        <v>26102.51</v>
      </c>
      <c r="BE21" s="364">
        <f t="shared" si="20"/>
        <v>26446.55</v>
      </c>
      <c r="BF21" s="364">
        <f t="shared" si="21"/>
        <v>26790.59</v>
      </c>
      <c r="BG21" s="364">
        <f t="shared" si="22"/>
        <v>27134.63</v>
      </c>
      <c r="BH21" s="364">
        <f t="shared" si="23"/>
        <v>27479.279999999999</v>
      </c>
      <c r="BI21" s="364">
        <f t="shared" si="24"/>
        <v>27823.32</v>
      </c>
      <c r="BJ21" s="365">
        <f t="shared" si="26"/>
        <v>28167.360000000001</v>
      </c>
      <c r="BK21" s="417">
        <f>((0.33*'Traffic Data'!AK21)/Speed!X102)+((0.67*'Traffic Data'!AK21)/Speed!AX102)</f>
        <v>340.69973792930529</v>
      </c>
      <c r="BL21" s="415">
        <f>((0.33*AL21)/Speed!Y102)+((0.67*AL21)/Speed!AY102)</f>
        <v>348.17746013108973</v>
      </c>
      <c r="BM21" s="415">
        <f>((0.33*AM21)/Speed!Z102)+((0.67*AM21)/Speed!AZ102)</f>
        <v>365.26561779753916</v>
      </c>
      <c r="BN21" s="415">
        <f>((0.33*AN21)/Speed!AA102)+((0.67*AN21)/Speed!BA102)</f>
        <v>384.21539624741638</v>
      </c>
      <c r="BO21" s="415">
        <f>((0.33*AO21)/Speed!AB102)+((0.67*AO21)/Speed!BB102)</f>
        <v>403.514769510088</v>
      </c>
      <c r="BP21" s="415">
        <f>((0.33*AP21)/Speed!AC102)+((0.67*AP21)/Speed!BC102)</f>
        <v>423.31231978472454</v>
      </c>
      <c r="BQ21" s="415">
        <f>((0.33*AQ21)/Speed!AD102)+((0.67*AQ21)/Speed!BD102)</f>
        <v>443.8752133759026</v>
      </c>
      <c r="BR21" s="415">
        <f>((0.33*AR21)/Speed!AE102)+((0.67*AR21)/Speed!BE102)</f>
        <v>465.57912272060173</v>
      </c>
      <c r="BS21" s="415">
        <f>((0.33*AS21)/Speed!AF102)+((0.67*AS21)/Speed!BF102)</f>
        <v>478.20779447644077</v>
      </c>
      <c r="BT21" s="415">
        <f>((0.33*AT21)/Speed!AG102)+((0.67*AT21)/Speed!BG102)</f>
        <v>491.41950078630362</v>
      </c>
      <c r="BU21" s="415">
        <f>((0.33*AU21)/Speed!AH102)+((0.67*AU21)/Speed!BH102)</f>
        <v>505.37652905685798</v>
      </c>
      <c r="BV21" s="415">
        <f>((0.33*AV21)/Speed!AI102)+((0.67*AV21)/Speed!BI102)</f>
        <v>520.1945987750621</v>
      </c>
      <c r="BW21" s="415">
        <f>((0.33*AW21)/Speed!AJ102)+((0.67*AW21)/Speed!BJ102)</f>
        <v>536.09145406585731</v>
      </c>
      <c r="BX21" s="415">
        <f>((0.33*AX21)/Speed!AK102)+((0.67*AX21)/Speed!BK102)</f>
        <v>550.37610309884803</v>
      </c>
      <c r="BY21" s="415">
        <f>((0.33*AY21)/Speed!AL102)+((0.67*AY21)/Speed!BL102)</f>
        <v>563.60430181139759</v>
      </c>
      <c r="BZ21" s="415">
        <f>((0.33*AZ21)/Speed!AM102)+((0.67*AZ21)/Speed!BM102)</f>
        <v>577.74408781130535</v>
      </c>
      <c r="CA21" s="415">
        <f>((0.33*BA21)/Speed!AN102)+((0.67*BA21)/Speed!BN102)</f>
        <v>592.86461806554291</v>
      </c>
      <c r="CB21" s="415">
        <f>((0.33*BB21)/Speed!AO102)+((0.67*BB21)/Speed!BO102)</f>
        <v>609.12314511257068</v>
      </c>
      <c r="CC21" s="415">
        <f>((0.33*BC21)/Speed!AP102)+((0.67*BC21)/Speed!BP102)</f>
        <v>626.66814751523702</v>
      </c>
      <c r="CD21" s="415">
        <f>((0.33*BD21)/Speed!AQ102)+((0.67*BD21)/Speed!BQ102)</f>
        <v>645.66508106657193</v>
      </c>
      <c r="CE21" s="415">
        <f>((0.33*BE21)/Speed!AR102)+((0.67*BE21)/Speed!BR102)</f>
        <v>666.29805392132482</v>
      </c>
      <c r="CF21" s="415">
        <f>((0.33*BF21)/Speed!AS102)+((0.67*BF21)/Speed!BS102)</f>
        <v>688.77164127700223</v>
      </c>
      <c r="CG21" s="415">
        <f>((0.33*BG21)/Speed!AT102)+((0.67*BG21)/Speed!BT102)</f>
        <v>713.31284933676511</v>
      </c>
      <c r="CH21" s="415">
        <f>((0.33*BH21)/Speed!AU102)+((0.67*BH21)/Speed!BU102)</f>
        <v>740.2230834623241</v>
      </c>
      <c r="CI21" s="415">
        <f>((0.33*BI21)/Speed!AV102)+((0.67*BI21)/Speed!BV102)</f>
        <v>769.6859326362046</v>
      </c>
      <c r="CJ21" s="453">
        <f>((0.33*BJ21)/Speed!AW102)+((0.67*BJ21)/Speed!BW102)</f>
        <v>802.05467461620037</v>
      </c>
      <c r="CK21" s="1394"/>
      <c r="CL21" s="1394"/>
      <c r="CM21" s="1402"/>
      <c r="CN21" s="1408"/>
      <c r="CO21" s="12"/>
      <c r="CP21" s="1170"/>
      <c r="CQ21" s="12"/>
      <c r="CR21" s="12"/>
      <c r="CS21" s="12"/>
      <c r="CT21" s="12"/>
      <c r="CU21" s="12"/>
      <c r="CV21" s="12"/>
      <c r="CW21" s="12"/>
      <c r="CX21" s="12"/>
      <c r="CY21" s="12"/>
      <c r="CZ21" s="12"/>
    </row>
    <row r="22" spans="2:104" customFormat="1" ht="21.95" customHeight="1" x14ac:dyDescent="0.2">
      <c r="B22" s="492"/>
      <c r="C22" s="1339"/>
      <c r="D22" s="116" t="s">
        <v>344</v>
      </c>
      <c r="E22" s="116" t="s">
        <v>345</v>
      </c>
      <c r="F22" s="116" t="s">
        <v>366</v>
      </c>
      <c r="G22" s="364">
        <v>55</v>
      </c>
      <c r="H22" s="1155">
        <v>0.25</v>
      </c>
      <c r="I22" s="364">
        <v>4</v>
      </c>
      <c r="J22" s="1162">
        <v>26000</v>
      </c>
      <c r="K22" s="364">
        <f>ROUND((0.9285714*K23),0)</f>
        <v>26564</v>
      </c>
      <c r="L22" s="364">
        <f t="shared" ref="L22:AI22" si="32">ROUND((0.9285714*L23),0)</f>
        <v>27846</v>
      </c>
      <c r="M22" s="364">
        <f t="shared" si="32"/>
        <v>29252</v>
      </c>
      <c r="N22" s="364">
        <f t="shared" si="32"/>
        <v>30659</v>
      </c>
      <c r="O22" s="364">
        <f t="shared" si="32"/>
        <v>32065</v>
      </c>
      <c r="P22" s="364">
        <f t="shared" si="32"/>
        <v>33471</v>
      </c>
      <c r="Q22" s="364">
        <f t="shared" si="32"/>
        <v>34878</v>
      </c>
      <c r="R22" s="364">
        <f t="shared" si="32"/>
        <v>35654</v>
      </c>
      <c r="S22" s="364">
        <f t="shared" si="32"/>
        <v>36429</v>
      </c>
      <c r="T22" s="364">
        <f t="shared" si="32"/>
        <v>37205</v>
      </c>
      <c r="U22" s="364">
        <f t="shared" si="32"/>
        <v>37980</v>
      </c>
      <c r="V22" s="364">
        <f t="shared" si="32"/>
        <v>38756</v>
      </c>
      <c r="W22" s="364">
        <f t="shared" si="32"/>
        <v>39406</v>
      </c>
      <c r="X22" s="364">
        <f t="shared" si="32"/>
        <v>39970</v>
      </c>
      <c r="Y22" s="364">
        <f t="shared" si="32"/>
        <v>40535</v>
      </c>
      <c r="Z22" s="364">
        <f t="shared" si="32"/>
        <v>41099</v>
      </c>
      <c r="AA22" s="364">
        <f t="shared" si="32"/>
        <v>41663</v>
      </c>
      <c r="AB22" s="364">
        <f t="shared" si="32"/>
        <v>42227</v>
      </c>
      <c r="AC22" s="364">
        <f t="shared" si="32"/>
        <v>42791</v>
      </c>
      <c r="AD22" s="364">
        <f t="shared" si="32"/>
        <v>43355</v>
      </c>
      <c r="AE22" s="364">
        <f t="shared" si="32"/>
        <v>43919</v>
      </c>
      <c r="AF22" s="364">
        <f t="shared" si="32"/>
        <v>44483</v>
      </c>
      <c r="AG22" s="364">
        <f t="shared" si="32"/>
        <v>45048</v>
      </c>
      <c r="AH22" s="364">
        <f t="shared" si="32"/>
        <v>45612</v>
      </c>
      <c r="AI22" s="364">
        <f t="shared" si="32"/>
        <v>46176</v>
      </c>
      <c r="AJ22" s="1182">
        <f t="shared" si="28"/>
        <v>3.1040000000000002E-2</v>
      </c>
      <c r="AK22" s="1162">
        <f t="shared" si="25"/>
        <v>6500</v>
      </c>
      <c r="AL22" s="364">
        <f t="shared" si="1"/>
        <v>6641</v>
      </c>
      <c r="AM22" s="364">
        <f t="shared" si="2"/>
        <v>6961.5</v>
      </c>
      <c r="AN22" s="364">
        <f t="shared" si="3"/>
        <v>7313</v>
      </c>
      <c r="AO22" s="364">
        <f t="shared" si="4"/>
        <v>7664.75</v>
      </c>
      <c r="AP22" s="364">
        <f t="shared" si="5"/>
        <v>8016.25</v>
      </c>
      <c r="AQ22" s="364">
        <f t="shared" si="6"/>
        <v>8367.75</v>
      </c>
      <c r="AR22" s="364">
        <f t="shared" si="7"/>
        <v>8719.5</v>
      </c>
      <c r="AS22" s="364">
        <f t="shared" si="8"/>
        <v>8913.5</v>
      </c>
      <c r="AT22" s="364">
        <f t="shared" si="9"/>
        <v>9107.25</v>
      </c>
      <c r="AU22" s="364">
        <f t="shared" si="10"/>
        <v>9301.25</v>
      </c>
      <c r="AV22" s="364">
        <f t="shared" si="11"/>
        <v>9495</v>
      </c>
      <c r="AW22" s="364">
        <f t="shared" si="12"/>
        <v>9689</v>
      </c>
      <c r="AX22" s="364">
        <f t="shared" si="13"/>
        <v>9851.5</v>
      </c>
      <c r="AY22" s="364">
        <f t="shared" si="14"/>
        <v>9992.5</v>
      </c>
      <c r="AZ22" s="364">
        <f t="shared" si="15"/>
        <v>10133.75</v>
      </c>
      <c r="BA22" s="364">
        <f t="shared" si="16"/>
        <v>10274.75</v>
      </c>
      <c r="BB22" s="364">
        <f t="shared" si="17"/>
        <v>10415.75</v>
      </c>
      <c r="BC22" s="364">
        <f t="shared" si="18"/>
        <v>10556.75</v>
      </c>
      <c r="BD22" s="364">
        <f t="shared" si="19"/>
        <v>10697.75</v>
      </c>
      <c r="BE22" s="364">
        <f t="shared" si="20"/>
        <v>10838.75</v>
      </c>
      <c r="BF22" s="364">
        <f t="shared" si="21"/>
        <v>10979.75</v>
      </c>
      <c r="BG22" s="364">
        <f t="shared" si="22"/>
        <v>11120.75</v>
      </c>
      <c r="BH22" s="364">
        <f t="shared" si="23"/>
        <v>11262</v>
      </c>
      <c r="BI22" s="364">
        <f t="shared" si="24"/>
        <v>11403</v>
      </c>
      <c r="BJ22" s="365">
        <f t="shared" si="26"/>
        <v>11544</v>
      </c>
      <c r="BK22" s="417">
        <f>((0.33*'Traffic Data'!AK22)/Speed!X103)+((0.67*'Traffic Data'!AK22)/Speed!AX103)</f>
        <v>114.88519207754152</v>
      </c>
      <c r="BL22" s="415">
        <f>((0.33*AL22)/Speed!Y103)+((0.67*AL22)/Speed!AY103)</f>
        <v>117.38812720135061</v>
      </c>
      <c r="BM22" s="415">
        <f>((0.33*AM22)/Speed!Z103)+((0.67*AM22)/Speed!AZ103)</f>
        <v>123.08870017978012</v>
      </c>
      <c r="BN22" s="415">
        <f>((0.33*AN22)/Speed!AA103)+((0.67*AN22)/Speed!BA103)</f>
        <v>129.36655037525873</v>
      </c>
      <c r="BO22" s="415">
        <f>((0.33*AO22)/Speed!AB103)+((0.67*AO22)/Speed!BB103)</f>
        <v>135.69055382127459</v>
      </c>
      <c r="BP22" s="415">
        <f>((0.33*AP22)/Speed!AC103)+((0.67*AP22)/Speed!BC103)</f>
        <v>142.07355218231257</v>
      </c>
      <c r="BQ22" s="415">
        <f>((0.33*AQ22)/Speed!AD103)+((0.67*AQ22)/Speed!BD103)</f>
        <v>148.55147519572415</v>
      </c>
      <c r="BR22" s="415">
        <f>((0.33*AR22)/Speed!AE103)+((0.67*AR22)/Speed!BE103)</f>
        <v>155.17371048981806</v>
      </c>
      <c r="BS22" s="415">
        <f>((0.33*AS22)/Speed!AF103)+((0.67*AS22)/Speed!BF103)</f>
        <v>158.90771435937975</v>
      </c>
      <c r="BT22" s="415">
        <f>((0.33*AT22)/Speed!AG103)+((0.67*AT22)/Speed!BG103)</f>
        <v>162.71123792742628</v>
      </c>
      <c r="BU22" s="415">
        <f>((0.33*AU22)/Speed!AH103)+((0.67*AU22)/Speed!BH103)</f>
        <v>166.60999632957791</v>
      </c>
      <c r="BV22" s="415">
        <f>((0.33*AV22)/Speed!AI103)+((0.67*AV22)/Speed!BI103)</f>
        <v>170.61275530587443</v>
      </c>
      <c r="BW22" s="415">
        <f>((0.33*AW22)/Speed!AJ103)+((0.67*AW22)/Speed!BJ103)</f>
        <v>174.75210822499847</v>
      </c>
      <c r="BX22" s="415">
        <f>((0.33*AX22)/Speed!AK103)+((0.67*AX22)/Speed!BK103)</f>
        <v>178.3395317091786</v>
      </c>
      <c r="BY22" s="415">
        <f>((0.33*AY22)/Speed!AL103)+((0.67*AY22)/Speed!BL103)</f>
        <v>181.5556918288417</v>
      </c>
      <c r="BZ22" s="415">
        <f>((0.33*AZ22)/Speed!AM103)+((0.67*AZ22)/Speed!BM103)</f>
        <v>184.88770848008164</v>
      </c>
      <c r="CA22" s="415">
        <f>((0.33*BA22)/Speed!AN103)+((0.67*BA22)/Speed!BN103)</f>
        <v>188.33857230707201</v>
      </c>
      <c r="CB22" s="415">
        <f>((0.33*BB22)/Speed!AO103)+((0.67*BB22)/Speed!BO103)</f>
        <v>191.93058056901501</v>
      </c>
      <c r="CC22" s="415">
        <f>((0.33*BC22)/Speed!AP103)+((0.67*BC22)/Speed!BP103)</f>
        <v>195.68214889149795</v>
      </c>
      <c r="CD22" s="415">
        <f>((0.33*BD22)/Speed!AQ103)+((0.67*BD22)/Speed!BQ103)</f>
        <v>199.61379856646556</v>
      </c>
      <c r="CE22" s="415">
        <f>((0.33*BE22)/Speed!AR103)+((0.67*BE22)/Speed!BR103)</f>
        <v>203.74836431685972</v>
      </c>
      <c r="CF22" s="415">
        <f>((0.33*BF22)/Speed!AS103)+((0.67*BF22)/Speed!BS103)</f>
        <v>208.11121936942453</v>
      </c>
      <c r="CG22" s="415">
        <f>((0.33*BG22)/Speed!AT103)+((0.67*BG22)/Speed!BT103)</f>
        <v>212.73051904276781</v>
      </c>
      <c r="CH22" s="415">
        <f>((0.33*BH22)/Speed!AU103)+((0.67*BH22)/Speed!BU103)</f>
        <v>217.64643970516596</v>
      </c>
      <c r="CI22" s="415">
        <f>((0.33*BI22)/Speed!AV103)+((0.67*BI22)/Speed!BV103)</f>
        <v>222.87616487222977</v>
      </c>
      <c r="CJ22" s="453">
        <f>((0.33*BJ22)/Speed!AW103)+((0.67*BJ22)/Speed!BW103)</f>
        <v>228.46630458593401</v>
      </c>
      <c r="CK22" s="1394"/>
      <c r="CL22" s="1394"/>
      <c r="CM22" s="1402"/>
      <c r="CN22" s="1408"/>
      <c r="CO22" s="12"/>
      <c r="CP22" s="1170"/>
      <c r="CQ22" s="12"/>
      <c r="CR22" s="12"/>
      <c r="CS22" s="12"/>
      <c r="CT22" s="12"/>
      <c r="CU22" s="12"/>
      <c r="CV22" s="12"/>
      <c r="CW22" s="12"/>
      <c r="CX22" s="12"/>
      <c r="CY22" s="12"/>
      <c r="CZ22" s="12"/>
    </row>
    <row r="23" spans="2:104" customFormat="1" ht="21.95" customHeight="1" x14ac:dyDescent="0.2">
      <c r="B23" s="492"/>
      <c r="C23" s="1339"/>
      <c r="D23" s="116" t="s">
        <v>345</v>
      </c>
      <c r="E23" s="116" t="s">
        <v>323</v>
      </c>
      <c r="F23" s="116" t="s">
        <v>366</v>
      </c>
      <c r="G23" s="364">
        <v>65</v>
      </c>
      <c r="H23" s="1155">
        <v>2.8</v>
      </c>
      <c r="I23" s="364">
        <v>4</v>
      </c>
      <c r="J23" s="1162">
        <f>'Trip Gen'!W64</f>
        <v>28000</v>
      </c>
      <c r="K23" s="1151">
        <f>'Trip Gen'!X64</f>
        <v>28607.5</v>
      </c>
      <c r="L23" s="1151">
        <f>'Trip Gen'!Y64</f>
        <v>29987.899999999998</v>
      </c>
      <c r="M23" s="1151">
        <f>'Trip Gen'!Z64</f>
        <v>31502.250000000004</v>
      </c>
      <c r="N23" s="1151">
        <f>'Trip Gen'!AA64</f>
        <v>33017.300000000003</v>
      </c>
      <c r="O23" s="1151">
        <f>'Trip Gen'!AB64</f>
        <v>34531.850000000006</v>
      </c>
      <c r="P23" s="1151">
        <f>'Trip Gen'!AC64</f>
        <v>36046.199999999997</v>
      </c>
      <c r="Q23" s="1151">
        <f>'Trip Gen'!AD64</f>
        <v>37561.399999999994</v>
      </c>
      <c r="R23" s="1151">
        <f>'Trip Gen'!AE64</f>
        <v>38396.399999999987</v>
      </c>
      <c r="S23" s="1151">
        <f>'Trip Gen'!AF64</f>
        <v>39231.399999999994</v>
      </c>
      <c r="T23" s="1151">
        <f>'Trip Gen'!AG64</f>
        <v>40066.400000000001</v>
      </c>
      <c r="U23" s="1151">
        <f>'Trip Gen'!AH64</f>
        <v>40901.400000000009</v>
      </c>
      <c r="V23" s="1151">
        <f>'Trip Gen'!AI64</f>
        <v>41736.699999999997</v>
      </c>
      <c r="W23" s="1151">
        <f>'Trip Gen'!AJ64</f>
        <v>42437.599999999999</v>
      </c>
      <c r="X23" s="1151">
        <f>'Trip Gen'!AK64</f>
        <v>43045.1</v>
      </c>
      <c r="Y23" s="1151">
        <f>'Trip Gen'!AL64</f>
        <v>43652.6</v>
      </c>
      <c r="Z23" s="1151">
        <f>'Trip Gen'!AM64</f>
        <v>44260.100000000006</v>
      </c>
      <c r="AA23" s="1151">
        <f>'Trip Gen'!AN64</f>
        <v>44867.65</v>
      </c>
      <c r="AB23" s="1151">
        <f>'Trip Gen'!AO64</f>
        <v>45475.149999999994</v>
      </c>
      <c r="AC23" s="1151">
        <f>'Trip Gen'!AP64</f>
        <v>46082.700000000004</v>
      </c>
      <c r="AD23" s="1151">
        <f>'Trip Gen'!AQ64</f>
        <v>46690.200000000012</v>
      </c>
      <c r="AE23" s="1151">
        <f>'Trip Gen'!AR64</f>
        <v>47297.700000000004</v>
      </c>
      <c r="AF23" s="1151">
        <f>'Trip Gen'!AS64</f>
        <v>47905.25</v>
      </c>
      <c r="AG23" s="1151">
        <f>'Trip Gen'!AT64</f>
        <v>48512.750000000007</v>
      </c>
      <c r="AH23" s="1151">
        <f>'Trip Gen'!AU64</f>
        <v>49120.250000000007</v>
      </c>
      <c r="AI23" s="1151">
        <f>'Trip Gen'!AV64</f>
        <v>49727.8</v>
      </c>
      <c r="AJ23" s="1182">
        <f t="shared" si="28"/>
        <v>3.1039714285714292E-2</v>
      </c>
      <c r="AK23" s="1162">
        <f t="shared" si="25"/>
        <v>78400</v>
      </c>
      <c r="AL23" s="364">
        <f t="shared" ref="AL23:AL27" si="33">$H23*K23</f>
        <v>80101</v>
      </c>
      <c r="AM23" s="364">
        <f t="shared" si="2"/>
        <v>83966.12</v>
      </c>
      <c r="AN23" s="364">
        <f t="shared" si="3"/>
        <v>88206.3</v>
      </c>
      <c r="AO23" s="364">
        <f t="shared" si="4"/>
        <v>92448.44</v>
      </c>
      <c r="AP23" s="364">
        <f t="shared" si="5"/>
        <v>96689.180000000008</v>
      </c>
      <c r="AQ23" s="364">
        <f t="shared" si="6"/>
        <v>100929.35999999999</v>
      </c>
      <c r="AR23" s="364">
        <f t="shared" si="7"/>
        <v>105171.91999999998</v>
      </c>
      <c r="AS23" s="364">
        <f t="shared" si="8"/>
        <v>107509.91999999995</v>
      </c>
      <c r="AT23" s="364">
        <f t="shared" si="9"/>
        <v>109847.91999999998</v>
      </c>
      <c r="AU23" s="364">
        <f t="shared" si="10"/>
        <v>112185.92</v>
      </c>
      <c r="AV23" s="364">
        <f t="shared" si="11"/>
        <v>114523.92000000001</v>
      </c>
      <c r="AW23" s="364">
        <f t="shared" si="12"/>
        <v>116862.75999999998</v>
      </c>
      <c r="AX23" s="364">
        <f t="shared" si="13"/>
        <v>118825.27999999998</v>
      </c>
      <c r="AY23" s="364">
        <f t="shared" si="14"/>
        <v>120526.27999999998</v>
      </c>
      <c r="AZ23" s="364">
        <f t="shared" si="15"/>
        <v>122227.27999999998</v>
      </c>
      <c r="BA23" s="364">
        <f t="shared" si="16"/>
        <v>123928.28000000001</v>
      </c>
      <c r="BB23" s="364">
        <f t="shared" si="17"/>
        <v>125629.42</v>
      </c>
      <c r="BC23" s="364">
        <f t="shared" si="18"/>
        <v>127330.41999999997</v>
      </c>
      <c r="BD23" s="364">
        <f t="shared" si="19"/>
        <v>129031.56</v>
      </c>
      <c r="BE23" s="364">
        <f t="shared" si="20"/>
        <v>130732.56000000003</v>
      </c>
      <c r="BF23" s="364">
        <f t="shared" si="21"/>
        <v>132433.56</v>
      </c>
      <c r="BG23" s="364">
        <f t="shared" si="22"/>
        <v>134134.69999999998</v>
      </c>
      <c r="BH23" s="364">
        <f t="shared" si="23"/>
        <v>135835.70000000001</v>
      </c>
      <c r="BI23" s="364">
        <f t="shared" si="24"/>
        <v>137536.70000000001</v>
      </c>
      <c r="BJ23" s="365">
        <f t="shared" si="26"/>
        <v>139237.84</v>
      </c>
      <c r="BK23" s="417">
        <f>((0.33*'Traffic Data'!AK23)/Speed!X104)+((0.67*'Traffic Data'!AK23)/Speed!AX104)</f>
        <v>1134.9564903201647</v>
      </c>
      <c r="BL23" s="415">
        <f>((0.33*AL23)/Speed!Y104)+((0.67*AL23)/Speed!AY104)</f>
        <v>1159.6712387926773</v>
      </c>
      <c r="BM23" s="415">
        <f>((0.33*AM23)/Speed!Z104)+((0.67*AM23)/Speed!AZ104)</f>
        <v>1215.9237617866459</v>
      </c>
      <c r="BN23" s="415">
        <f>((0.33*AN23)/Speed!AA104)+((0.67*AN23)/Speed!BA104)</f>
        <v>1277.8510327942947</v>
      </c>
      <c r="BO23" s="415">
        <f>((0.33*AO23)/Speed!AB104)+((0.67*AO23)/Speed!BB104)</f>
        <v>1340.1548358173222</v>
      </c>
      <c r="BP23" s="415">
        <f>((0.33*AP23)/Speed!AC104)+((0.67*AP23)/Speed!BC104)</f>
        <v>1402.9681835819672</v>
      </c>
      <c r="BQ23" s="415">
        <f>((0.33*AQ23)/Speed!AD104)+((0.67*AQ23)/Speed!BD104)</f>
        <v>1466.5658334725424</v>
      </c>
      <c r="BR23" s="415">
        <f>((0.33*AR23)/Speed!AE104)+((0.67*AR23)/Speed!BE104)</f>
        <v>1531.3653895213711</v>
      </c>
      <c r="BS23" s="415">
        <f>((0.33*AS23)/Speed!AF104)+((0.67*AS23)/Speed!BF104)</f>
        <v>1567.7560800012764</v>
      </c>
      <c r="BT23" s="415">
        <f>((0.33*AT23)/Speed!AG104)+((0.67*AT23)/Speed!BG104)</f>
        <v>1604.7673678631372</v>
      </c>
      <c r="BU23" s="415">
        <f>((0.33*AU23)/Speed!AH104)+((0.67*AU23)/Speed!BH104)</f>
        <v>1642.5317705073007</v>
      </c>
      <c r="BV23" s="415">
        <f>((0.33*AV23)/Speed!AI104)+((0.67*AV23)/Speed!BI104)</f>
        <v>1681.2063613836835</v>
      </c>
      <c r="BW23" s="415">
        <f>((0.33*AW23)/Speed!AJ104)+((0.67*AW23)/Speed!BJ104)</f>
        <v>1720.9911997194179</v>
      </c>
      <c r="BX23" s="415">
        <f>((0.33*AX23)/Speed!AK104)+((0.67*AX23)/Speed!BK104)</f>
        <v>1755.3793423841425</v>
      </c>
      <c r="BY23" s="415">
        <f>((0.33*AY23)/Speed!AL104)+((0.67*AY23)/Speed!BL104)</f>
        <v>1786.0487325222846</v>
      </c>
      <c r="BZ23" s="415">
        <f>((0.33*AZ23)/Speed!AM104)+((0.67*AZ23)/Speed!BM104)</f>
        <v>1817.6354509111568</v>
      </c>
      <c r="CA23" s="415">
        <f>((0.33*BA23)/Speed!AN104)+((0.67*BA23)/Speed!BN104)</f>
        <v>1850.262790938049</v>
      </c>
      <c r="CB23" s="415">
        <f>((0.33*BB23)/Speed!AO104)+((0.67*BB23)/Speed!BO104)</f>
        <v>1884.0713845146727</v>
      </c>
      <c r="CC23" s="415">
        <f>((0.33*BC23)/Speed!AP104)+((0.67*BC23)/Speed!BP104)</f>
        <v>1919.2094626754597</v>
      </c>
      <c r="CD23" s="415">
        <f>((0.33*BD23)/Speed!AQ104)+((0.67*BD23)/Speed!BQ104)</f>
        <v>1955.8542137406412</v>
      </c>
      <c r="CE23" s="415">
        <f>((0.33*BE23)/Speed!AR104)+((0.67*BE23)/Speed!BR104)</f>
        <v>1994.1903172713182</v>
      </c>
      <c r="CF23" s="415">
        <f>((0.33*BF23)/Speed!AS104)+((0.67*BF23)/Speed!BS104)</f>
        <v>2034.4326273837219</v>
      </c>
      <c r="CG23" s="415">
        <f>((0.33*BG23)/Speed!AT104)+((0.67*BG23)/Speed!BT104)</f>
        <v>2076.8198692476935</v>
      </c>
      <c r="CH23" s="415">
        <f>((0.33*BH23)/Speed!AU104)+((0.67*BH23)/Speed!BU104)</f>
        <v>2121.6056661080452</v>
      </c>
      <c r="CI23" s="415">
        <f>((0.33*BI23)/Speed!AV104)+((0.67*BI23)/Speed!BV104)</f>
        <v>2169.0818138032409</v>
      </c>
      <c r="CJ23" s="453">
        <f>((0.33*BJ23)/Speed!AW104)+((0.67*BJ23)/Speed!BW104)</f>
        <v>2219.5713799702307</v>
      </c>
      <c r="CK23" s="1394"/>
      <c r="CL23" s="1394"/>
      <c r="CM23" s="1402"/>
      <c r="CN23" s="1408"/>
      <c r="CO23" s="12"/>
      <c r="CP23" s="1170"/>
      <c r="CQ23" s="12"/>
      <c r="CR23" s="12"/>
      <c r="CS23" s="12"/>
      <c r="CT23" s="12"/>
      <c r="CU23" s="12"/>
      <c r="CV23" s="12"/>
      <c r="CW23" s="12"/>
      <c r="CX23" s="12"/>
      <c r="CY23" s="12"/>
      <c r="CZ23" s="12"/>
    </row>
    <row r="24" spans="2:104" customFormat="1" ht="21.75" customHeight="1" x14ac:dyDescent="0.2">
      <c r="B24" s="492"/>
      <c r="C24" s="1339"/>
      <c r="D24" s="116" t="s">
        <v>323</v>
      </c>
      <c r="E24" s="116" t="s">
        <v>347</v>
      </c>
      <c r="F24" s="116" t="s">
        <v>365</v>
      </c>
      <c r="G24" s="364">
        <v>65</v>
      </c>
      <c r="H24" s="1155">
        <v>0.5</v>
      </c>
      <c r="I24" s="364">
        <v>4</v>
      </c>
      <c r="J24" s="1162">
        <f>'Trip Gen'!W65</f>
        <v>28000</v>
      </c>
      <c r="K24" s="1151">
        <f>'Trip Gen'!X65</f>
        <v>28607.5</v>
      </c>
      <c r="L24" s="1151">
        <f>'Trip Gen'!Y65</f>
        <v>29512.3</v>
      </c>
      <c r="M24" s="1151">
        <f>'Trip Gen'!Z65</f>
        <v>30551.050000000003</v>
      </c>
      <c r="N24" s="1151">
        <f>'Trip Gen'!AA65</f>
        <v>31590.100000000002</v>
      </c>
      <c r="O24" s="1151">
        <f>'Trip Gen'!AB65</f>
        <v>32629.05</v>
      </c>
      <c r="P24" s="1151">
        <f>'Trip Gen'!AC65</f>
        <v>33667.799999999996</v>
      </c>
      <c r="Q24" s="1151">
        <f>'Trip Gen'!AD65</f>
        <v>34706.999999999993</v>
      </c>
      <c r="R24" s="1151">
        <f>'Trip Gen'!AE65</f>
        <v>35541.999999999993</v>
      </c>
      <c r="S24" s="1151">
        <f>'Trip Gen'!AF65</f>
        <v>36376.999999999993</v>
      </c>
      <c r="T24" s="1151">
        <f>'Trip Gen'!AG65</f>
        <v>37212</v>
      </c>
      <c r="U24" s="1151">
        <f>'Trip Gen'!AH65</f>
        <v>38047.000000000007</v>
      </c>
      <c r="V24" s="1151">
        <f>'Trip Gen'!AI65</f>
        <v>38882.299999999996</v>
      </c>
      <c r="W24" s="1151">
        <f>'Trip Gen'!AJ65</f>
        <v>39583.199999999997</v>
      </c>
      <c r="X24" s="1151">
        <f>'Trip Gen'!AK65</f>
        <v>40190.699999999997</v>
      </c>
      <c r="Y24" s="1151">
        <f>'Trip Gen'!AL65</f>
        <v>40798.199999999997</v>
      </c>
      <c r="Z24" s="1151">
        <f>'Trip Gen'!AM65</f>
        <v>41405.700000000004</v>
      </c>
      <c r="AA24" s="1151">
        <f>'Trip Gen'!AN65</f>
        <v>42013.25</v>
      </c>
      <c r="AB24" s="1151">
        <f>'Trip Gen'!AO65</f>
        <v>42620.749999999993</v>
      </c>
      <c r="AC24" s="1151">
        <f>'Trip Gen'!AP65</f>
        <v>43228.3</v>
      </c>
      <c r="AD24" s="1151">
        <f>'Trip Gen'!AQ65</f>
        <v>43835.80000000001</v>
      </c>
      <c r="AE24" s="1151">
        <f>'Trip Gen'!AR65</f>
        <v>44443.3</v>
      </c>
      <c r="AF24" s="1151">
        <f>'Trip Gen'!AS65</f>
        <v>45050.85</v>
      </c>
      <c r="AG24" s="1151">
        <f>'Trip Gen'!AT65</f>
        <v>45658.350000000006</v>
      </c>
      <c r="AH24" s="1151">
        <f>'Trip Gen'!AU65</f>
        <v>46265.850000000006</v>
      </c>
      <c r="AI24" s="1151">
        <f>'Trip Gen'!AV65</f>
        <v>46873.4</v>
      </c>
      <c r="AJ24" s="1182">
        <f t="shared" si="28"/>
        <v>2.6962E-2</v>
      </c>
      <c r="AK24" s="1162">
        <f t="shared" si="25"/>
        <v>14000</v>
      </c>
      <c r="AL24" s="364">
        <f t="shared" si="33"/>
        <v>14303.75</v>
      </c>
      <c r="AM24" s="364">
        <f t="shared" si="2"/>
        <v>14756.15</v>
      </c>
      <c r="AN24" s="364">
        <f t="shared" si="3"/>
        <v>15275.525000000001</v>
      </c>
      <c r="AO24" s="364">
        <f t="shared" si="4"/>
        <v>15795.050000000001</v>
      </c>
      <c r="AP24" s="364">
        <f t="shared" si="5"/>
        <v>16314.525</v>
      </c>
      <c r="AQ24" s="364">
        <f t="shared" si="6"/>
        <v>16833.899999999998</v>
      </c>
      <c r="AR24" s="364">
        <f t="shared" si="7"/>
        <v>17353.499999999996</v>
      </c>
      <c r="AS24" s="364">
        <f t="shared" si="8"/>
        <v>17770.999999999996</v>
      </c>
      <c r="AT24" s="364">
        <f t="shared" si="9"/>
        <v>18188.499999999996</v>
      </c>
      <c r="AU24" s="364">
        <f t="shared" si="10"/>
        <v>18606</v>
      </c>
      <c r="AV24" s="364">
        <f t="shared" si="11"/>
        <v>19023.500000000004</v>
      </c>
      <c r="AW24" s="364">
        <f t="shared" si="12"/>
        <v>19441.149999999998</v>
      </c>
      <c r="AX24" s="364">
        <f t="shared" si="13"/>
        <v>19791.599999999999</v>
      </c>
      <c r="AY24" s="364">
        <f t="shared" si="14"/>
        <v>20095.349999999999</v>
      </c>
      <c r="AZ24" s="364">
        <f t="shared" si="15"/>
        <v>20399.099999999999</v>
      </c>
      <c r="BA24" s="364">
        <f t="shared" si="16"/>
        <v>20702.850000000002</v>
      </c>
      <c r="BB24" s="364">
        <f t="shared" si="17"/>
        <v>21006.625</v>
      </c>
      <c r="BC24" s="364">
        <f t="shared" si="18"/>
        <v>21310.374999999996</v>
      </c>
      <c r="BD24" s="364">
        <f t="shared" si="19"/>
        <v>21614.15</v>
      </c>
      <c r="BE24" s="364">
        <f t="shared" si="20"/>
        <v>21917.900000000005</v>
      </c>
      <c r="BF24" s="364">
        <f t="shared" si="21"/>
        <v>22221.65</v>
      </c>
      <c r="BG24" s="364">
        <f t="shared" si="22"/>
        <v>22525.424999999999</v>
      </c>
      <c r="BH24" s="364">
        <f t="shared" si="23"/>
        <v>22829.175000000003</v>
      </c>
      <c r="BI24" s="364">
        <f t="shared" si="24"/>
        <v>23132.925000000003</v>
      </c>
      <c r="BJ24" s="365">
        <f t="shared" si="26"/>
        <v>23436.7</v>
      </c>
      <c r="BK24" s="417">
        <f>((0.33*'Traffic Data'!AK24)/Speed!X105)+((0.67*'Traffic Data'!AK24)/Speed!AX105)</f>
        <v>202.67080184288653</v>
      </c>
      <c r="BL24" s="415">
        <f>((0.33*AL24)/Speed!Y105)+((0.67*AL24)/Speed!AY105)</f>
        <v>207.08414978440663</v>
      </c>
      <c r="BM24" s="415">
        <f>((0.33*AM24)/Speed!Z105)+((0.67*AM24)/Speed!AZ105)</f>
        <v>213.66526194470856</v>
      </c>
      <c r="BN24" s="415">
        <f>((0.33*AN24)/Speed!AA105)+((0.67*AN24)/Speed!BA105)</f>
        <v>221.23595128018454</v>
      </c>
      <c r="BO24" s="415">
        <f>((0.33*AO24)/Speed!AB105)+((0.67*AO24)/Speed!BB105)</f>
        <v>228.83085042086068</v>
      </c>
      <c r="BP24" s="415">
        <f>((0.33*AP24)/Speed!AC105)+((0.67*AP24)/Speed!BC105)</f>
        <v>236.45476230689857</v>
      </c>
      <c r="BQ24" s="415">
        <f>((0.33*AQ24)/Speed!AD105)+((0.67*AQ24)/Speed!BD105)</f>
        <v>244.11697595042946</v>
      </c>
      <c r="BR24" s="415">
        <f>((0.33*AR24)/Speed!AE105)+((0.67*AR24)/Speed!BE105)</f>
        <v>251.8352499156606</v>
      </c>
      <c r="BS24" s="415">
        <f>((0.33*AS24)/Speed!AF105)+((0.67*AS24)/Speed!BF105)</f>
        <v>258.08620777956065</v>
      </c>
      <c r="BT24" s="415">
        <f>((0.33*AT24)/Speed!AG105)+((0.67*AT24)/Speed!BG105)</f>
        <v>264.39248780470393</v>
      </c>
      <c r="BU24" s="415">
        <f>((0.33*AU24)/Speed!AH105)+((0.67*AU24)/Speed!BH105)</f>
        <v>270.76693934532392</v>
      </c>
      <c r="BV24" s="415">
        <f>((0.33*AV24)/Speed!AI105)+((0.67*AV24)/Speed!BI105)</f>
        <v>277.22499879032284</v>
      </c>
      <c r="BW24" s="415">
        <f>((0.33*AW24)/Speed!AJ105)+((0.67*AW24)/Speed!BJ105)</f>
        <v>283.78751285708267</v>
      </c>
      <c r="BX24" s="415">
        <f>((0.33*AX24)/Speed!AK105)+((0.67*AX24)/Speed!BK105)</f>
        <v>289.3889097459832</v>
      </c>
      <c r="BY24" s="415">
        <f>((0.33*AY24)/Speed!AL105)+((0.67*AY24)/Speed!BL105)</f>
        <v>294.32627662033974</v>
      </c>
      <c r="BZ24" s="415">
        <f>((0.33*AZ24)/Speed!AM105)+((0.67*AZ24)/Speed!BM105)</f>
        <v>299.35199827256639</v>
      </c>
      <c r="CA24" s="415">
        <f>((0.33*BA24)/Speed!AN105)+((0.67*BA24)/Speed!BN105)</f>
        <v>304.47884428758857</v>
      </c>
      <c r="CB24" s="415">
        <f>((0.33*BB24)/Speed!AO105)+((0.67*BB24)/Speed!BO105)</f>
        <v>309.72163471202543</v>
      </c>
      <c r="CC24" s="415">
        <f>((0.33*BC24)/Speed!AP105)+((0.67*BC24)/Speed!BP105)</f>
        <v>315.09568183584855</v>
      </c>
      <c r="CD24" s="415">
        <f>((0.33*BD24)/Speed!AQ105)+((0.67*BD24)/Speed!BQ105)</f>
        <v>320.62003048277671</v>
      </c>
      <c r="CE24" s="415">
        <f>((0.33*BE24)/Speed!AR105)+((0.67*BE24)/Speed!BR105)</f>
        <v>326.31412213423994</v>
      </c>
      <c r="CF24" s="415">
        <f>((0.33*BF24)/Speed!AS105)+((0.67*BF24)/Speed!BS105)</f>
        <v>332.20117499244986</v>
      </c>
      <c r="CG24" s="415">
        <f>((0.33*BG24)/Speed!AT105)+((0.67*BG24)/Speed!BT105)</f>
        <v>338.30714013163083</v>
      </c>
      <c r="CH24" s="415">
        <f>((0.33*BH24)/Speed!AU105)+((0.67*BH24)/Speed!BU105)</f>
        <v>344.65939208110711</v>
      </c>
      <c r="CI24" s="415">
        <f>((0.33*BI24)/Speed!AV105)+((0.67*BI24)/Speed!BV105)</f>
        <v>351.29003323164613</v>
      </c>
      <c r="CJ24" s="453">
        <f>((0.33*BJ24)/Speed!AW105)+((0.67*BJ24)/Speed!BW105)</f>
        <v>358.23480737843238</v>
      </c>
      <c r="CK24" s="1394"/>
      <c r="CL24" s="1394"/>
      <c r="CM24" s="1402"/>
      <c r="CN24" s="1408"/>
      <c r="CO24" s="12"/>
      <c r="CP24" s="1171"/>
      <c r="CQ24" s="12"/>
      <c r="CR24" s="12"/>
      <c r="CS24" s="12"/>
      <c r="CT24" s="12"/>
      <c r="CU24" s="12"/>
      <c r="CV24" s="12"/>
      <c r="CW24" s="12"/>
      <c r="CX24" s="12"/>
      <c r="CY24" s="12"/>
      <c r="CZ24" s="12"/>
    </row>
    <row r="25" spans="2:104" customFormat="1" ht="21.95" customHeight="1" x14ac:dyDescent="0.2">
      <c r="B25" s="492"/>
      <c r="C25" s="1339"/>
      <c r="D25" s="116" t="s">
        <v>347</v>
      </c>
      <c r="E25" s="116" t="s">
        <v>348</v>
      </c>
      <c r="F25" s="116" t="s">
        <v>364</v>
      </c>
      <c r="G25" s="364">
        <v>55</v>
      </c>
      <c r="H25" s="1155">
        <v>0.35</v>
      </c>
      <c r="I25" s="364">
        <v>4</v>
      </c>
      <c r="J25" s="1162">
        <f>'Trip Gen'!W66</f>
        <v>28000</v>
      </c>
      <c r="K25" s="1151">
        <f>'Trip Gen'!X66</f>
        <v>28607.5</v>
      </c>
      <c r="L25" s="1151">
        <f>'Trip Gen'!Y66</f>
        <v>29512.3</v>
      </c>
      <c r="M25" s="1151">
        <f>'Trip Gen'!Z66</f>
        <v>30551.050000000003</v>
      </c>
      <c r="N25" s="1151">
        <f>'Trip Gen'!AA66</f>
        <v>31590.100000000002</v>
      </c>
      <c r="O25" s="1151">
        <f>'Trip Gen'!AB66</f>
        <v>32629.05</v>
      </c>
      <c r="P25" s="1151">
        <f>'Trip Gen'!AC66</f>
        <v>33667.799999999996</v>
      </c>
      <c r="Q25" s="1151">
        <f>'Trip Gen'!AD66</f>
        <v>34706.999999999993</v>
      </c>
      <c r="R25" s="1151">
        <f>'Trip Gen'!AE66</f>
        <v>35541.999999999993</v>
      </c>
      <c r="S25" s="1151">
        <f>'Trip Gen'!AF66</f>
        <v>36376.999999999993</v>
      </c>
      <c r="T25" s="1151">
        <f>'Trip Gen'!AG66</f>
        <v>37212</v>
      </c>
      <c r="U25" s="1151">
        <f>'Trip Gen'!AH66</f>
        <v>38047.000000000007</v>
      </c>
      <c r="V25" s="1151">
        <f>'Trip Gen'!AI66</f>
        <v>38882.299999999996</v>
      </c>
      <c r="W25" s="1151">
        <f>'Trip Gen'!AJ66</f>
        <v>39583.199999999997</v>
      </c>
      <c r="X25" s="1151">
        <f>'Trip Gen'!AK66</f>
        <v>40190.699999999997</v>
      </c>
      <c r="Y25" s="1151">
        <f>'Trip Gen'!AL66</f>
        <v>40798.199999999997</v>
      </c>
      <c r="Z25" s="1151">
        <f>'Trip Gen'!AM66</f>
        <v>41405.700000000004</v>
      </c>
      <c r="AA25" s="1151">
        <f>'Trip Gen'!AN66</f>
        <v>42013.25</v>
      </c>
      <c r="AB25" s="1151">
        <f>'Trip Gen'!AO66</f>
        <v>42620.749999999993</v>
      </c>
      <c r="AC25" s="1151">
        <f>'Trip Gen'!AP66</f>
        <v>43228.3</v>
      </c>
      <c r="AD25" s="1151">
        <f>'Trip Gen'!AQ66</f>
        <v>43835.80000000001</v>
      </c>
      <c r="AE25" s="1151">
        <f>'Trip Gen'!AR66</f>
        <v>44443.3</v>
      </c>
      <c r="AF25" s="1151">
        <f>'Trip Gen'!AS66</f>
        <v>45050.85</v>
      </c>
      <c r="AG25" s="1151">
        <f>'Trip Gen'!AT66</f>
        <v>45658.350000000006</v>
      </c>
      <c r="AH25" s="1151">
        <f>'Trip Gen'!AU66</f>
        <v>46265.850000000006</v>
      </c>
      <c r="AI25" s="1151">
        <f>'Trip Gen'!AV66</f>
        <v>46873.4</v>
      </c>
      <c r="AJ25" s="1182">
        <f t="shared" si="28"/>
        <v>2.6962E-2</v>
      </c>
      <c r="AK25" s="1162">
        <f t="shared" si="25"/>
        <v>9800</v>
      </c>
      <c r="AL25" s="364">
        <f t="shared" si="33"/>
        <v>10012.625</v>
      </c>
      <c r="AM25" s="364">
        <f t="shared" si="2"/>
        <v>10329.304999999998</v>
      </c>
      <c r="AN25" s="364">
        <f t="shared" si="3"/>
        <v>10692.8675</v>
      </c>
      <c r="AO25" s="364">
        <f t="shared" si="4"/>
        <v>11056.535</v>
      </c>
      <c r="AP25" s="364">
        <f t="shared" si="5"/>
        <v>11420.1675</v>
      </c>
      <c r="AQ25" s="364">
        <f t="shared" si="6"/>
        <v>11783.729999999998</v>
      </c>
      <c r="AR25" s="364">
        <f t="shared" si="7"/>
        <v>12147.449999999997</v>
      </c>
      <c r="AS25" s="364">
        <f t="shared" si="8"/>
        <v>12439.699999999997</v>
      </c>
      <c r="AT25" s="364">
        <f t="shared" si="9"/>
        <v>12731.949999999997</v>
      </c>
      <c r="AU25" s="364">
        <f t="shared" si="10"/>
        <v>13024.199999999999</v>
      </c>
      <c r="AV25" s="364">
        <f t="shared" si="11"/>
        <v>13316.450000000003</v>
      </c>
      <c r="AW25" s="364">
        <f t="shared" si="12"/>
        <v>13608.804999999998</v>
      </c>
      <c r="AX25" s="364">
        <f t="shared" si="13"/>
        <v>13854.119999999999</v>
      </c>
      <c r="AY25" s="364">
        <f t="shared" si="14"/>
        <v>14066.744999999999</v>
      </c>
      <c r="AZ25" s="364">
        <f t="shared" si="15"/>
        <v>14279.369999999999</v>
      </c>
      <c r="BA25" s="364">
        <f t="shared" si="16"/>
        <v>14491.995000000001</v>
      </c>
      <c r="BB25" s="364">
        <f t="shared" si="17"/>
        <v>14704.637499999999</v>
      </c>
      <c r="BC25" s="364">
        <f t="shared" si="18"/>
        <v>14917.262499999997</v>
      </c>
      <c r="BD25" s="364">
        <f t="shared" si="19"/>
        <v>15129.905000000001</v>
      </c>
      <c r="BE25" s="364">
        <f t="shared" si="20"/>
        <v>15342.530000000002</v>
      </c>
      <c r="BF25" s="364">
        <f t="shared" si="21"/>
        <v>15555.155000000001</v>
      </c>
      <c r="BG25" s="364">
        <f t="shared" si="22"/>
        <v>15767.797499999999</v>
      </c>
      <c r="BH25" s="364">
        <f t="shared" si="23"/>
        <v>15980.422500000001</v>
      </c>
      <c r="BI25" s="364">
        <f t="shared" si="24"/>
        <v>16193.047500000001</v>
      </c>
      <c r="BJ25" s="365">
        <f t="shared" si="26"/>
        <v>16405.689999999999</v>
      </c>
      <c r="BK25" s="417">
        <f>((0.33*'Traffic Data'!AK25)/Speed!X106)+((0.67*'Traffic Data'!AK25)/Speed!AX106)</f>
        <v>165.90474437818594</v>
      </c>
      <c r="BL25" s="415">
        <f>((0.33*AL25)/Speed!Y106)+((0.67*AL25)/Speed!AY106)</f>
        <v>169.52485699478754</v>
      </c>
      <c r="BM25" s="415">
        <f>((0.33*AM25)/Speed!Z106)+((0.67*AM25)/Speed!AZ106)</f>
        <v>174.92673625070003</v>
      </c>
      <c r="BN25" s="415">
        <f>((0.33*AN25)/Speed!AA106)+((0.67*AN25)/Speed!BA106)</f>
        <v>181.14784164584131</v>
      </c>
      <c r="BO25" s="415">
        <f>((0.33*AO25)/Speed!AB106)+((0.67*AO25)/Speed!BB106)</f>
        <v>187.39885777578093</v>
      </c>
      <c r="BP25" s="415">
        <f>((0.33*AP25)/Speed!AC106)+((0.67*AP25)/Speed!BC106)</f>
        <v>193.68724181029597</v>
      </c>
      <c r="BQ25" s="415">
        <f>((0.33*AQ25)/Speed!AD106)+((0.67*AQ25)/Speed!BD106)</f>
        <v>200.02518318731023</v>
      </c>
      <c r="BR25" s="415">
        <f>((0.33*AR25)/Speed!AE106)+((0.67*AR25)/Speed!BE106)</f>
        <v>206.43319706509209</v>
      </c>
      <c r="BS25" s="415">
        <f>((0.33*AS25)/Speed!AF106)+((0.67*AS25)/Speed!BF106)</f>
        <v>211.64499275958354</v>
      </c>
      <c r="BT25" s="415">
        <f>((0.33*AT25)/Speed!AG106)+((0.67*AT25)/Speed!BG106)</f>
        <v>216.92741033765481</v>
      </c>
      <c r="BU25" s="415">
        <f>((0.33*AU25)/Speed!AH106)+((0.67*AU25)/Speed!BH106)</f>
        <v>222.29685273039843</v>
      </c>
      <c r="BV25" s="415">
        <f>((0.33*AV25)/Speed!AI106)+((0.67*AV25)/Speed!BI106)</f>
        <v>227.77302536571969</v>
      </c>
      <c r="BW25" s="415">
        <f>((0.33*AW25)/Speed!AJ106)+((0.67*AW25)/Speed!BJ106)</f>
        <v>233.38154580564441</v>
      </c>
      <c r="BX25" s="415">
        <f>((0.33*AX25)/Speed!AK106)+((0.67*AX25)/Speed!BK106)</f>
        <v>238.20866259729908</v>
      </c>
      <c r="BY25" s="415">
        <f>((0.33*AY25)/Speed!AL106)+((0.67*AY25)/Speed!BL106)</f>
        <v>242.4977151691881</v>
      </c>
      <c r="BZ25" s="415">
        <f>((0.33*AZ25)/Speed!AM106)+((0.67*AZ25)/Speed!BM106)</f>
        <v>246.89955763749947</v>
      </c>
      <c r="CA25" s="415">
        <f>((0.33*BA25)/Speed!AN106)+((0.67*BA25)/Speed!BN106)</f>
        <v>251.43049110326899</v>
      </c>
      <c r="CB25" s="415">
        <f>((0.33*BB25)/Speed!AO106)+((0.67*BB25)/Speed!BO106)</f>
        <v>256.10926845548738</v>
      </c>
      <c r="CC25" s="415">
        <f>((0.33*BC25)/Speed!AP106)+((0.67*BC25)/Speed!BP106)</f>
        <v>260.95576818863066</v>
      </c>
      <c r="CD25" s="415">
        <f>((0.33*BD25)/Speed!AQ106)+((0.67*BD25)/Speed!BQ106)</f>
        <v>265.99397061685647</v>
      </c>
      <c r="CE25" s="415">
        <f>((0.33*BE25)/Speed!AR106)+((0.67*BE25)/Speed!BR106)</f>
        <v>271.24902538225928</v>
      </c>
      <c r="CF25" s="415">
        <f>((0.33*BF25)/Speed!AS106)+((0.67*BF25)/Speed!BS106)</f>
        <v>276.750406096831</v>
      </c>
      <c r="CG25" s="415">
        <f>((0.33*BG25)/Speed!AT106)+((0.67*BG25)/Speed!BT106)</f>
        <v>282.53107503903584</v>
      </c>
      <c r="CH25" s="415">
        <f>((0.33*BH25)/Speed!AU106)+((0.67*BH25)/Speed!BU106)</f>
        <v>288.62630883755446</v>
      </c>
      <c r="CI25" s="415">
        <f>((0.33*BI25)/Speed!AV106)+((0.67*BI25)/Speed!BV106)</f>
        <v>295.07692227608612</v>
      </c>
      <c r="CJ25" s="453">
        <f>((0.33*BJ25)/Speed!AW106)+((0.67*BJ25)/Speed!BW106)</f>
        <v>301.92837859806184</v>
      </c>
      <c r="CK25" s="1394"/>
      <c r="CL25" s="1394"/>
      <c r="CM25" s="1402"/>
      <c r="CN25" s="1408"/>
      <c r="CO25" s="12"/>
      <c r="CP25" s="1171"/>
      <c r="CQ25" s="12"/>
      <c r="CR25" s="12"/>
      <c r="CS25" s="12"/>
      <c r="CT25" s="12"/>
      <c r="CU25" s="12"/>
      <c r="CV25" s="12"/>
      <c r="CW25" s="12"/>
      <c r="CX25" s="12"/>
      <c r="CY25" s="12"/>
      <c r="CZ25" s="12"/>
    </row>
    <row r="26" spans="2:104" customFormat="1" ht="21.75" customHeight="1" x14ac:dyDescent="0.2">
      <c r="B26" s="492"/>
      <c r="C26" s="1353"/>
      <c r="D26" s="254" t="s">
        <v>348</v>
      </c>
      <c r="E26" s="254" t="s">
        <v>349</v>
      </c>
      <c r="F26" s="254" t="s">
        <v>363</v>
      </c>
      <c r="G26" s="1157">
        <v>55</v>
      </c>
      <c r="H26" s="1158">
        <v>0.5</v>
      </c>
      <c r="I26" s="1157">
        <v>4</v>
      </c>
      <c r="J26" s="1163">
        <f>'Trip Gen'!W67</f>
        <v>32000</v>
      </c>
      <c r="K26" s="1151">
        <f>'Trip Gen'!X67</f>
        <v>32764.35</v>
      </c>
      <c r="L26" s="1151">
        <f>'Trip Gen'!Y67</f>
        <v>33826.1</v>
      </c>
      <c r="M26" s="1151">
        <f>'Trip Gen'!Z67</f>
        <v>35236.199999999997</v>
      </c>
      <c r="N26" s="1151">
        <f>'Trip Gen'!AA67</f>
        <v>36646.700000000004</v>
      </c>
      <c r="O26" s="1151">
        <f>'Trip Gen'!AB67</f>
        <v>38057.300000000003</v>
      </c>
      <c r="P26" s="1151">
        <f>'Trip Gen'!AC67</f>
        <v>39467.4</v>
      </c>
      <c r="Q26" s="1151">
        <f>'Trip Gen'!AD67</f>
        <v>40878.30000000001</v>
      </c>
      <c r="R26" s="1151">
        <f>'Trip Gen'!AE67</f>
        <v>42224.9</v>
      </c>
      <c r="S26" s="1151">
        <f>'Trip Gen'!AF67</f>
        <v>43571.549999999996</v>
      </c>
      <c r="T26" s="1151">
        <f>'Trip Gen'!AG67</f>
        <v>44918.149999999994</v>
      </c>
      <c r="U26" s="1151">
        <f>'Trip Gen'!AH67</f>
        <v>46264.75</v>
      </c>
      <c r="V26" s="1151">
        <f>'Trip Gen'!AI67</f>
        <v>47612.15</v>
      </c>
      <c r="W26" s="1151">
        <f>'Trip Gen'!AJ67</f>
        <v>48610</v>
      </c>
      <c r="X26" s="1151">
        <f>'Trip Gen'!AK67</f>
        <v>49374.35</v>
      </c>
      <c r="Y26" s="1151">
        <f>'Trip Gen'!AL67</f>
        <v>50138.7</v>
      </c>
      <c r="Z26" s="1151">
        <f>'Trip Gen'!AM67</f>
        <v>50903.049999999996</v>
      </c>
      <c r="AA26" s="1151">
        <f>'Trip Gen'!AN67</f>
        <v>51667.549999999996</v>
      </c>
      <c r="AB26" s="1151">
        <f>'Trip Gen'!AO67</f>
        <v>52431.899999999994</v>
      </c>
      <c r="AC26" s="1151">
        <f>'Trip Gen'!AP67</f>
        <v>53196.4</v>
      </c>
      <c r="AD26" s="1151">
        <f>'Trip Gen'!AQ67</f>
        <v>53960.75</v>
      </c>
      <c r="AE26" s="1151">
        <f>'Trip Gen'!AR67</f>
        <v>54725.1</v>
      </c>
      <c r="AF26" s="1151">
        <f>'Trip Gen'!AS67</f>
        <v>55489.599999999999</v>
      </c>
      <c r="AG26" s="1151">
        <f>'Trip Gen'!AT67</f>
        <v>56253.95</v>
      </c>
      <c r="AH26" s="1151">
        <f>'Trip Gen'!AU67</f>
        <v>57018.299999999996</v>
      </c>
      <c r="AI26" s="1151">
        <f>'Trip Gen'!AV67</f>
        <v>57782.799999999996</v>
      </c>
      <c r="AJ26" s="1183">
        <f t="shared" si="28"/>
        <v>3.2228499999999993E-2</v>
      </c>
      <c r="AK26" s="1163">
        <f t="shared" si="25"/>
        <v>16000</v>
      </c>
      <c r="AL26" s="1157">
        <f t="shared" si="33"/>
        <v>16382.174999999999</v>
      </c>
      <c r="AM26" s="1157">
        <f t="shared" si="2"/>
        <v>16913.05</v>
      </c>
      <c r="AN26" s="1157">
        <f t="shared" si="3"/>
        <v>17618.099999999999</v>
      </c>
      <c r="AO26" s="1157">
        <f t="shared" si="4"/>
        <v>18323.350000000002</v>
      </c>
      <c r="AP26" s="1157">
        <f t="shared" si="5"/>
        <v>19028.650000000001</v>
      </c>
      <c r="AQ26" s="1157">
        <f t="shared" si="6"/>
        <v>19733.7</v>
      </c>
      <c r="AR26" s="1157">
        <f t="shared" si="7"/>
        <v>20439.150000000005</v>
      </c>
      <c r="AS26" s="1157">
        <f t="shared" si="8"/>
        <v>21112.45</v>
      </c>
      <c r="AT26" s="1157">
        <f t="shared" si="9"/>
        <v>21785.774999999998</v>
      </c>
      <c r="AU26" s="1157">
        <f t="shared" si="10"/>
        <v>22459.074999999997</v>
      </c>
      <c r="AV26" s="1157">
        <f t="shared" si="11"/>
        <v>23132.375</v>
      </c>
      <c r="AW26" s="1157">
        <f t="shared" si="12"/>
        <v>23806.075000000001</v>
      </c>
      <c r="AX26" s="1157">
        <f t="shared" si="13"/>
        <v>24305</v>
      </c>
      <c r="AY26" s="1157">
        <f t="shared" si="14"/>
        <v>24687.174999999999</v>
      </c>
      <c r="AZ26" s="1157">
        <f t="shared" si="15"/>
        <v>25069.35</v>
      </c>
      <c r="BA26" s="1157">
        <f t="shared" si="16"/>
        <v>25451.524999999998</v>
      </c>
      <c r="BB26" s="1157">
        <f t="shared" si="17"/>
        <v>25833.774999999998</v>
      </c>
      <c r="BC26" s="1157">
        <f t="shared" si="18"/>
        <v>26215.949999999997</v>
      </c>
      <c r="BD26" s="1157">
        <f t="shared" si="19"/>
        <v>26598.2</v>
      </c>
      <c r="BE26" s="1157">
        <f t="shared" si="20"/>
        <v>26980.375</v>
      </c>
      <c r="BF26" s="1157">
        <f t="shared" si="21"/>
        <v>27362.55</v>
      </c>
      <c r="BG26" s="1157">
        <f t="shared" si="22"/>
        <v>27744.799999999999</v>
      </c>
      <c r="BH26" s="1157">
        <f t="shared" si="23"/>
        <v>28126.974999999999</v>
      </c>
      <c r="BI26" s="1157">
        <f t="shared" si="24"/>
        <v>28509.149999999998</v>
      </c>
      <c r="BJ26" s="1164">
        <f t="shared" si="26"/>
        <v>28891.399999999998</v>
      </c>
      <c r="BK26" s="417">
        <f>((0.33*'Traffic Data'!AK26)/Speed!X107)+((0.67*'Traffic Data'!AK26)/Speed!AX107)</f>
        <v>271.24951559126072</v>
      </c>
      <c r="BL26" s="415">
        <f>((0.33*AL26)/Speed!Y107)+((0.67*AL26)/Speed!AY107)</f>
        <v>277.87084127484479</v>
      </c>
      <c r="BM26" s="415">
        <f>((0.33*AM26)/Speed!Z107)+((0.67*AM26)/Speed!AZ107)</f>
        <v>287.13784747219387</v>
      </c>
      <c r="BN26" s="415">
        <f>((0.33*AN26)/Speed!AA107)+((0.67*AN26)/Speed!BA107)</f>
        <v>299.61266631864294</v>
      </c>
      <c r="BO26" s="415">
        <f>((0.33*AO26)/Speed!AB107)+((0.67*AO26)/Speed!BB107)</f>
        <v>312.35901720052664</v>
      </c>
      <c r="BP26" s="415">
        <f>((0.33*AP26)/Speed!AC107)+((0.67*AP26)/Speed!BC107)</f>
        <v>325.48761749409186</v>
      </c>
      <c r="BQ26" s="415">
        <f>((0.33*AQ26)/Speed!AD107)+((0.67*AQ26)/Speed!BD107)</f>
        <v>339.14665818903677</v>
      </c>
      <c r="BR26" s="415">
        <f>((0.33*AR26)/Speed!AE107)+((0.67*AR26)/Speed!BE107)</f>
        <v>353.55599113224503</v>
      </c>
      <c r="BS26" s="415">
        <f>((0.33*AS26)/Speed!AF107)+((0.67*AS26)/Speed!BF107)</f>
        <v>368.25363022334801</v>
      </c>
      <c r="BT26" s="415">
        <f>((0.33*AT26)/Speed!AG107)+((0.67*AT26)/Speed!BG107)</f>
        <v>384.19239323013846</v>
      </c>
      <c r="BU26" s="415">
        <f>((0.33*AU26)/Speed!AH107)+((0.67*AU26)/Speed!BH107)</f>
        <v>401.7755198331264</v>
      </c>
      <c r="BV26" s="415">
        <f>((0.33*AV26)/Speed!AI107)+((0.67*AV26)/Speed!BI107)</f>
        <v>421.52121859340048</v>
      </c>
      <c r="BW26" s="415">
        <f>((0.33*AW26)/Speed!AJ107)+((0.67*AW26)/Speed!BJ107)</f>
        <v>444.10159448845388</v>
      </c>
      <c r="BX26" s="415">
        <f>((0.33*AX26)/Speed!AK107)+((0.67*AX26)/Speed!BK107)</f>
        <v>463.12584228356161</v>
      </c>
      <c r="BY26" s="415">
        <f>((0.33*AY26)/Speed!AL107)+((0.67*AY26)/Speed!BL107)</f>
        <v>479.30458479015806</v>
      </c>
      <c r="BZ26" s="415">
        <f>((0.33*AZ26)/Speed!AM107)+((0.67*AZ26)/Speed!BM107)</f>
        <v>497.10914401223062</v>
      </c>
      <c r="CA26" s="415">
        <f>((0.33*BA26)/Speed!AN107)+((0.67*BA26)/Speed!BN107)</f>
        <v>516.7805397211107</v>
      </c>
      <c r="CB26" s="415">
        <f>((0.33*BB26)/Speed!AO107)+((0.67*BB26)/Speed!BO107)</f>
        <v>538.59551440967368</v>
      </c>
      <c r="CC26" s="415">
        <f>((0.33*BC26)/Speed!AP107)+((0.67*BC26)/Speed!BP107)</f>
        <v>562.8525282926812</v>
      </c>
      <c r="CD26" s="415">
        <f>((0.33*BD26)/Speed!AQ107)+((0.67*BD26)/Speed!BQ107)</f>
        <v>589.90677513331593</v>
      </c>
      <c r="CE26" s="415">
        <f>((0.33*BE26)/Speed!AR107)+((0.67*BE26)/Speed!BR107)</f>
        <v>620.13595725275036</v>
      </c>
      <c r="CF26" s="415">
        <f>((0.33*BF26)/Speed!AS107)+((0.67*BF26)/Speed!BS107)</f>
        <v>653.98063470875525</v>
      </c>
      <c r="CG26" s="415">
        <f>((0.33*BG26)/Speed!AT107)+((0.67*BG26)/Speed!BT107)</f>
        <v>691.93647141402789</v>
      </c>
      <c r="CH26" s="415">
        <f>((0.33*BH26)/Speed!AU107)+((0.67*BH26)/Speed!BU107)</f>
        <v>734.5340926192813</v>
      </c>
      <c r="CI26" s="415">
        <f>((0.33*BI26)/Speed!AV107)+((0.67*BI26)/Speed!BV107)</f>
        <v>782.38948293674059</v>
      </c>
      <c r="CJ26" s="453">
        <f>((0.33*BJ26)/Speed!AW107)+((0.67*BJ26)/Speed!BW107)</f>
        <v>836.19268916470151</v>
      </c>
      <c r="CK26" s="1395"/>
      <c r="CL26" s="1395"/>
      <c r="CM26" s="1411"/>
      <c r="CN26" s="1409"/>
      <c r="CO26" s="12"/>
      <c r="CP26" s="1170"/>
      <c r="CQ26" s="12"/>
      <c r="CR26" s="12"/>
      <c r="CS26" s="12"/>
      <c r="CT26" s="12"/>
      <c r="CU26" s="12"/>
      <c r="CV26" s="12"/>
      <c r="CW26" s="12"/>
      <c r="CX26" s="12"/>
      <c r="CY26" s="12"/>
      <c r="CZ26" s="12"/>
    </row>
    <row r="27" spans="2:104" customFormat="1" ht="21.95" customHeight="1" x14ac:dyDescent="0.2">
      <c r="B27" s="492"/>
      <c r="C27" s="116" t="s">
        <v>288</v>
      </c>
      <c r="D27" s="116" t="s">
        <v>323</v>
      </c>
      <c r="E27" s="116" t="s">
        <v>348</v>
      </c>
      <c r="F27" s="116" t="s">
        <v>377</v>
      </c>
      <c r="G27" s="364">
        <v>30</v>
      </c>
      <c r="H27" s="1155">
        <v>1</v>
      </c>
      <c r="I27" s="364">
        <v>2</v>
      </c>
      <c r="J27" s="1162">
        <f>'Trip Gen'!W76</f>
        <v>1800</v>
      </c>
      <c r="K27" s="1172">
        <f>'Trip Gen'!X76</f>
        <v>1867.48</v>
      </c>
      <c r="L27" s="1172">
        <f>'Trip Gen'!Y76</f>
        <v>1970.7</v>
      </c>
      <c r="M27" s="1172">
        <f>'Trip Gen'!Z76</f>
        <v>2298.6500000000005</v>
      </c>
      <c r="N27" s="1172">
        <f>'Trip Gen'!AA76</f>
        <v>2626.65</v>
      </c>
      <c r="O27" s="1172">
        <f>'Trip Gen'!AB76</f>
        <v>2954.9999999999995</v>
      </c>
      <c r="P27" s="1172">
        <f>'Trip Gen'!AC76</f>
        <v>3282.95</v>
      </c>
      <c r="Q27" s="1172">
        <f>'Trip Gen'!AD76</f>
        <v>3611.2200000000003</v>
      </c>
      <c r="R27" s="1172">
        <f>'Trip Gen'!AE76</f>
        <v>4043.75</v>
      </c>
      <c r="S27" s="1172">
        <f>'Trip Gen'!AF76</f>
        <v>4476.17</v>
      </c>
      <c r="T27" s="1172">
        <f>'Trip Gen'!AG76</f>
        <v>4908.75</v>
      </c>
      <c r="U27" s="1172">
        <f>'Trip Gen'!AH76</f>
        <v>5341.2800000000016</v>
      </c>
      <c r="V27" s="1172">
        <f>'Trip Gen'!AI76</f>
        <v>5774.3</v>
      </c>
      <c r="W27" s="1172">
        <f>'Trip Gen'!AJ76</f>
        <v>5981.8799999999992</v>
      </c>
      <c r="X27" s="1172">
        <f>'Trip Gen'!AK76</f>
        <v>6049.36</v>
      </c>
      <c r="Y27" s="1172">
        <f>'Trip Gen'!AL76</f>
        <v>6116.8399999999992</v>
      </c>
      <c r="Z27" s="1172">
        <f>'Trip Gen'!AM76</f>
        <v>6184.32</v>
      </c>
      <c r="AA27" s="1172">
        <f>'Trip Gen'!AN76</f>
        <v>6251.87</v>
      </c>
      <c r="AB27" s="1172">
        <f>'Trip Gen'!AO76</f>
        <v>6319.3499999999985</v>
      </c>
      <c r="AC27" s="1172">
        <f>'Trip Gen'!AP76</f>
        <v>6386.9000000000005</v>
      </c>
      <c r="AD27" s="1172">
        <f>'Trip Gen'!AQ76</f>
        <v>6454.380000000001</v>
      </c>
      <c r="AE27" s="1172">
        <f>'Trip Gen'!AR76</f>
        <v>6521.86</v>
      </c>
      <c r="AF27" s="1172">
        <f>'Trip Gen'!AS76</f>
        <v>6589.41</v>
      </c>
      <c r="AG27" s="1172">
        <f>'Trip Gen'!AT76</f>
        <v>6656.8900000000012</v>
      </c>
      <c r="AH27" s="1172">
        <f>'Trip Gen'!AU76</f>
        <v>6724.37</v>
      </c>
      <c r="AI27" s="1172">
        <f>'Trip Gen'!AV76</f>
        <v>6791.92</v>
      </c>
      <c r="AJ27" s="1182">
        <f t="shared" si="28"/>
        <v>0.11093155555555556</v>
      </c>
      <c r="AK27" s="326">
        <f t="shared" si="25"/>
        <v>1800</v>
      </c>
      <c r="AL27" s="260">
        <f t="shared" si="33"/>
        <v>1867.48</v>
      </c>
      <c r="AM27" s="260">
        <f t="shared" ref="AM27" si="34">$H27*L27</f>
        <v>1970.7</v>
      </c>
      <c r="AN27" s="260">
        <f t="shared" ref="AN27" si="35">$H27*M27</f>
        <v>2298.6500000000005</v>
      </c>
      <c r="AO27" s="260">
        <f t="shared" ref="AO27" si="36">$H27*N27</f>
        <v>2626.65</v>
      </c>
      <c r="AP27" s="260">
        <f t="shared" ref="AP27" si="37">$H27*O27</f>
        <v>2954.9999999999995</v>
      </c>
      <c r="AQ27" s="260">
        <f t="shared" ref="AQ27" si="38">$H27*P27</f>
        <v>3282.95</v>
      </c>
      <c r="AR27" s="260">
        <f t="shared" ref="AR27" si="39">$H27*Q27</f>
        <v>3611.2200000000003</v>
      </c>
      <c r="AS27" s="260">
        <f t="shared" ref="AS27" si="40">$H27*R27</f>
        <v>4043.75</v>
      </c>
      <c r="AT27" s="260">
        <f t="shared" ref="AT27" si="41">$H27*S27</f>
        <v>4476.17</v>
      </c>
      <c r="AU27" s="260">
        <f t="shared" ref="AU27" si="42">$H27*T27</f>
        <v>4908.75</v>
      </c>
      <c r="AV27" s="260">
        <f t="shared" ref="AV27" si="43">$H27*U27</f>
        <v>5341.2800000000016</v>
      </c>
      <c r="AW27" s="260">
        <f t="shared" ref="AW27" si="44">$H27*V27</f>
        <v>5774.3</v>
      </c>
      <c r="AX27" s="260">
        <f t="shared" ref="AX27" si="45">$H27*W27</f>
        <v>5981.8799999999992</v>
      </c>
      <c r="AY27" s="260">
        <f t="shared" ref="AY27" si="46">$H27*X27</f>
        <v>6049.36</v>
      </c>
      <c r="AZ27" s="260">
        <f t="shared" ref="AZ27" si="47">$H27*Y27</f>
        <v>6116.8399999999992</v>
      </c>
      <c r="BA27" s="260">
        <f t="shared" ref="BA27" si="48">$H27*Z27</f>
        <v>6184.32</v>
      </c>
      <c r="BB27" s="260">
        <f t="shared" ref="BB27" si="49">$H27*AA27</f>
        <v>6251.87</v>
      </c>
      <c r="BC27" s="260">
        <f t="shared" ref="BC27" si="50">$H27*AB27</f>
        <v>6319.3499999999985</v>
      </c>
      <c r="BD27" s="260">
        <f t="shared" ref="BD27" si="51">$H27*AC27</f>
        <v>6386.9000000000005</v>
      </c>
      <c r="BE27" s="260">
        <f t="shared" ref="BE27" si="52">$H27*AD27</f>
        <v>6454.380000000001</v>
      </c>
      <c r="BF27" s="260">
        <f t="shared" ref="BF27" si="53">$H27*AE27</f>
        <v>6521.86</v>
      </c>
      <c r="BG27" s="260">
        <f t="shared" ref="BG27" si="54">$H27*AF27</f>
        <v>6589.41</v>
      </c>
      <c r="BH27" s="260">
        <f t="shared" ref="BH27" si="55">$H27*AG27</f>
        <v>6656.8900000000012</v>
      </c>
      <c r="BI27" s="260">
        <f t="shared" ref="BI27" si="56">$H27*AH27</f>
        <v>6724.37</v>
      </c>
      <c r="BJ27" s="328">
        <f t="shared" ref="BJ27" si="57">$H27*AI27</f>
        <v>6791.92</v>
      </c>
      <c r="BK27" s="420">
        <f>((0.33*'Traffic Data'!AK27)/Speed!X108)+((0.67*'Traffic Data'!AK27)/Speed!AX108)</f>
        <v>64.748204072359712</v>
      </c>
      <c r="BL27" s="449">
        <f>((0.33*AL27)/Speed!Y108)+((0.67*AL27)/Speed!AY108)</f>
        <v>67.175543516108533</v>
      </c>
      <c r="BM27" s="449">
        <f>((0.33*AM27)/Speed!Z108)+((0.67*AM27)/Speed!AZ108)</f>
        <v>70.888496343083446</v>
      </c>
      <c r="BN27" s="449">
        <f>((0.33*AN27)/Speed!AA108)+((0.67*AN27)/Speed!BA108)</f>
        <v>82.685290589811075</v>
      </c>
      <c r="BO27" s="449">
        <f>((0.33*AO27)/Speed!AB108)+((0.67*AO27)/Speed!BB108)</f>
        <v>94.483981200397949</v>
      </c>
      <c r="BP27" s="449">
        <f>((0.33*AP27)/Speed!AC108)+((0.67*AP27)/Speed!BC108)</f>
        <v>106.29557873184046</v>
      </c>
      <c r="BQ27" s="449">
        <f>((0.33*AQ27)/Speed!AD108)+((0.67*AQ27)/Speed!BD108)</f>
        <v>118.09368294035119</v>
      </c>
      <c r="BR27" s="449">
        <f>((0.33*AR27)/Speed!AE108)+((0.67*AR27)/Speed!BE108)</f>
        <v>129.90558119199244</v>
      </c>
      <c r="BS27" s="449">
        <f>((0.33*AS27)/Speed!AF108)+((0.67*AS27)/Speed!BF108)</f>
        <v>145.47800446698426</v>
      </c>
      <c r="BT27" s="449">
        <f>((0.33*AT27)/Speed!AG108)+((0.67*AT27)/Speed!BG108)</f>
        <v>161.07253443669197</v>
      </c>
      <c r="BU27" s="449">
        <f>((0.33*AU27)/Speed!AH108)+((0.67*AU27)/Speed!BH108)</f>
        <v>176.73712657073358</v>
      </c>
      <c r="BV27" s="449">
        <f>((0.33*AV27)/Speed!AI108)+((0.67*AV27)/Speed!BI108)</f>
        <v>192.54602372058525</v>
      </c>
      <c r="BW27" s="449">
        <f>((0.33*AW27)/Speed!AJ108)+((0.67*AW27)/Speed!BJ108)</f>
        <v>208.68368290111914</v>
      </c>
      <c r="BX27" s="449">
        <f>((0.33*AX27)/Speed!AK108)+((0.67*AX27)/Speed!BK108)</f>
        <v>216.61351104245432</v>
      </c>
      <c r="BY27" s="449">
        <f>((0.33*AY27)/Speed!AL108)+((0.67*AY27)/Speed!BL108)</f>
        <v>219.22970176291</v>
      </c>
      <c r="BZ27" s="449">
        <f>((0.33*AZ27)/Speed!AM108)+((0.67*AZ27)/Speed!BM108)</f>
        <v>221.86817216136154</v>
      </c>
      <c r="CA27" s="449">
        <f>((0.33*BA27)/Speed!AN108)+((0.67*BA27)/Speed!BN108)</f>
        <v>224.53126555973577</v>
      </c>
      <c r="CB27" s="449">
        <f>((0.33*BB27)/Speed!AO108)+((0.67*BB27)/Speed!BO108)</f>
        <v>227.22434275375917</v>
      </c>
      <c r="CC27" s="449">
        <f>((0.33*BC27)/Speed!AP108)+((0.67*BC27)/Speed!BP108)</f>
        <v>229.9446127974058</v>
      </c>
      <c r="CD27" s="449">
        <f>((0.33*BD27)/Speed!AQ108)+((0.67*BD27)/Speed!BQ108)</f>
        <v>232.70076590473906</v>
      </c>
      <c r="CE27" s="449">
        <f>((0.33*BE27)/Speed!AR108)+((0.67*BE27)/Speed!BR108)</f>
        <v>235.49040357351413</v>
      </c>
      <c r="CF27" s="449">
        <f>((0.33*BF27)/Speed!AS108)+((0.67*BF27)/Speed!BS108)</f>
        <v>238.31996720028107</v>
      </c>
      <c r="CG27" s="449">
        <f>((0.33*BG27)/Speed!AT108)+((0.67*BG27)/Speed!BT108)</f>
        <v>241.19637891644311</v>
      </c>
      <c r="CH27" s="449">
        <f>((0.33*BH27)/Speed!AU108)+((0.67*BH27)/Speed!BU108)</f>
        <v>244.11793632025751</v>
      </c>
      <c r="CI27" s="449">
        <f>((0.33*BI27)/Speed!AV108)+((0.67*BI27)/Speed!BV108)</f>
        <v>247.09221548991155</v>
      </c>
      <c r="CJ27" s="450">
        <f>((0.33*BJ27)/Speed!AW108)+((0.67*BJ27)/Speed!BW108)</f>
        <v>250.12740238289575</v>
      </c>
      <c r="CK27" s="256">
        <f>Inputs!$I$35</f>
        <v>0.2</v>
      </c>
      <c r="CL27" s="256">
        <f>Inputs!$I$36</f>
        <v>0.8</v>
      </c>
      <c r="CM27" s="259">
        <f>1/(1+CK27)</f>
        <v>0.83333333333333337</v>
      </c>
      <c r="CN27" s="273">
        <v>0.88</v>
      </c>
      <c r="CO27" s="12"/>
      <c r="CP27" s="1170"/>
      <c r="CQ27" s="12"/>
      <c r="CR27" s="12"/>
      <c r="CS27" s="12"/>
      <c r="CT27" s="12"/>
      <c r="CU27" s="12"/>
      <c r="CV27" s="12"/>
      <c r="CW27" s="12"/>
      <c r="CX27" s="12"/>
      <c r="CY27" s="12"/>
      <c r="CZ27" s="12"/>
    </row>
    <row r="28" spans="2:104" customFormat="1" ht="21.95" customHeight="1" x14ac:dyDescent="0.2">
      <c r="B28" s="492"/>
      <c r="C28" s="277" t="s">
        <v>340</v>
      </c>
      <c r="D28" s="277" t="s">
        <v>335</v>
      </c>
      <c r="E28" s="277" t="s">
        <v>323</v>
      </c>
      <c r="F28" s="277" t="s">
        <v>378</v>
      </c>
      <c r="G28" s="1173">
        <v>40</v>
      </c>
      <c r="H28" s="1174">
        <v>1.58</v>
      </c>
      <c r="I28" s="1173">
        <v>0</v>
      </c>
      <c r="J28" s="1175">
        <f>'Trip Gen'!W79</f>
        <v>0</v>
      </c>
      <c r="K28" s="1176">
        <f>'Trip Gen'!X79</f>
        <v>0</v>
      </c>
      <c r="L28" s="1176">
        <f>'Trip Gen'!Y79</f>
        <v>0</v>
      </c>
      <c r="M28" s="1176">
        <f>'Trip Gen'!Z79</f>
        <v>0</v>
      </c>
      <c r="N28" s="1176">
        <f>'Trip Gen'!AA79</f>
        <v>0</v>
      </c>
      <c r="O28" s="1176">
        <f>'Trip Gen'!AB79</f>
        <v>0</v>
      </c>
      <c r="P28" s="1176">
        <f>'Trip Gen'!AC79</f>
        <v>0</v>
      </c>
      <c r="Q28" s="1176">
        <f>'Trip Gen'!AD79</f>
        <v>0</v>
      </c>
      <c r="R28" s="1176">
        <f>'Trip Gen'!AE79</f>
        <v>0</v>
      </c>
      <c r="S28" s="1176">
        <f>'Trip Gen'!AF79</f>
        <v>0</v>
      </c>
      <c r="T28" s="1176">
        <f>'Trip Gen'!AG79</f>
        <v>0</v>
      </c>
      <c r="U28" s="1176">
        <f>'Trip Gen'!AH79</f>
        <v>0</v>
      </c>
      <c r="V28" s="1176">
        <f>'Trip Gen'!AI79</f>
        <v>0</v>
      </c>
      <c r="W28" s="1176">
        <f>'Trip Gen'!AJ79</f>
        <v>0</v>
      </c>
      <c r="X28" s="1176">
        <f>'Trip Gen'!AK79</f>
        <v>0</v>
      </c>
      <c r="Y28" s="1176">
        <f>'Trip Gen'!AL79</f>
        <v>0</v>
      </c>
      <c r="Z28" s="1176">
        <f>'Trip Gen'!AM79</f>
        <v>0</v>
      </c>
      <c r="AA28" s="1176">
        <f>'Trip Gen'!AN79</f>
        <v>0</v>
      </c>
      <c r="AB28" s="1176">
        <f>'Trip Gen'!AO79</f>
        <v>0</v>
      </c>
      <c r="AC28" s="1176">
        <f>'Trip Gen'!AP79</f>
        <v>0</v>
      </c>
      <c r="AD28" s="1176">
        <f>'Trip Gen'!AQ79</f>
        <v>0</v>
      </c>
      <c r="AE28" s="1176">
        <f>'Trip Gen'!AR79</f>
        <v>0</v>
      </c>
      <c r="AF28" s="1176">
        <f>'Trip Gen'!AS79</f>
        <v>0</v>
      </c>
      <c r="AG28" s="1176">
        <f>'Trip Gen'!AT79</f>
        <v>0</v>
      </c>
      <c r="AH28" s="1176">
        <f>'Trip Gen'!AU79</f>
        <v>0</v>
      </c>
      <c r="AI28" s="1176">
        <f>'Trip Gen'!AV79</f>
        <v>0</v>
      </c>
      <c r="AJ28" s="1184" t="s">
        <v>326</v>
      </c>
      <c r="AK28" s="357">
        <f t="shared" si="25"/>
        <v>0</v>
      </c>
      <c r="AL28" s="280">
        <f t="shared" ref="AL28" si="58">$H28*K28</f>
        <v>0</v>
      </c>
      <c r="AM28" s="280">
        <f t="shared" ref="AM28" si="59">$H28*L28</f>
        <v>0</v>
      </c>
      <c r="AN28" s="280">
        <f t="shared" ref="AN28" si="60">$H28*M28</f>
        <v>0</v>
      </c>
      <c r="AO28" s="280">
        <f t="shared" ref="AO28" si="61">$H28*N28</f>
        <v>0</v>
      </c>
      <c r="AP28" s="280">
        <f t="shared" ref="AP28" si="62">$H28*O28</f>
        <v>0</v>
      </c>
      <c r="AQ28" s="280">
        <f t="shared" ref="AQ28" si="63">$H28*P28</f>
        <v>0</v>
      </c>
      <c r="AR28" s="280">
        <f t="shared" ref="AR28" si="64">$H28*Q28</f>
        <v>0</v>
      </c>
      <c r="AS28" s="280">
        <f t="shared" ref="AS28" si="65">$H28*R28</f>
        <v>0</v>
      </c>
      <c r="AT28" s="280">
        <f t="shared" ref="AT28" si="66">$H28*S28</f>
        <v>0</v>
      </c>
      <c r="AU28" s="280">
        <f t="shared" ref="AU28" si="67">$H28*T28</f>
        <v>0</v>
      </c>
      <c r="AV28" s="280">
        <f t="shared" ref="AV28" si="68">$H28*U28</f>
        <v>0</v>
      </c>
      <c r="AW28" s="280">
        <f t="shared" ref="AW28" si="69">$H28*V28</f>
        <v>0</v>
      </c>
      <c r="AX28" s="280">
        <f t="shared" ref="AX28" si="70">$H28*W28</f>
        <v>0</v>
      </c>
      <c r="AY28" s="280">
        <f t="shared" ref="AY28" si="71">$H28*X28</f>
        <v>0</v>
      </c>
      <c r="AZ28" s="280">
        <f t="shared" ref="AZ28" si="72">$H28*Y28</f>
        <v>0</v>
      </c>
      <c r="BA28" s="280">
        <f t="shared" ref="BA28" si="73">$H28*Z28</f>
        <v>0</v>
      </c>
      <c r="BB28" s="280">
        <f t="shared" ref="BB28" si="74">$H28*AA28</f>
        <v>0</v>
      </c>
      <c r="BC28" s="280">
        <f t="shared" ref="BC28" si="75">$H28*AB28</f>
        <v>0</v>
      </c>
      <c r="BD28" s="280">
        <f t="shared" ref="BD28" si="76">$H28*AC28</f>
        <v>0</v>
      </c>
      <c r="BE28" s="280">
        <f t="shared" ref="BE28" si="77">$H28*AD28</f>
        <v>0</v>
      </c>
      <c r="BF28" s="280">
        <f t="shared" ref="BF28" si="78">$H28*AE28</f>
        <v>0</v>
      </c>
      <c r="BG28" s="280">
        <f t="shared" ref="BG28" si="79">$H28*AF28</f>
        <v>0</v>
      </c>
      <c r="BH28" s="280">
        <f t="shared" ref="BH28" si="80">$H28*AG28</f>
        <v>0</v>
      </c>
      <c r="BI28" s="280">
        <f t="shared" ref="BI28" si="81">$H28*AH28</f>
        <v>0</v>
      </c>
      <c r="BJ28" s="358">
        <f t="shared" ref="BJ28" si="82">$H28*AI28</f>
        <v>0</v>
      </c>
      <c r="BK28" s="417" t="e">
        <f>((0.33*'Traffic Data'!AK28)/Speed!X109)+((0.67*'Traffic Data'!AK28)/Speed!AX109)</f>
        <v>#DIV/0!</v>
      </c>
      <c r="BL28" s="415" t="e">
        <f>((0.33*AL28)/Speed!Y109)+((0.67*AL28)/Speed!AY109)</f>
        <v>#DIV/0!</v>
      </c>
      <c r="BM28" s="415" t="e">
        <f>((0.33*AM28)/Speed!Z109)+((0.67*AM28)/Speed!AZ109)</f>
        <v>#DIV/0!</v>
      </c>
      <c r="BN28" s="415" t="e">
        <f>((0.33*AN28)/Speed!AA109)+((0.67*AN28)/Speed!BA109)</f>
        <v>#DIV/0!</v>
      </c>
      <c r="BO28" s="415" t="e">
        <f>((0.33*AO28)/Speed!AB109)+((0.67*AO28)/Speed!BB109)</f>
        <v>#DIV/0!</v>
      </c>
      <c r="BP28" s="415" t="e">
        <f>((0.33*AP28)/Speed!AC109)+((0.67*AP28)/Speed!BC109)</f>
        <v>#DIV/0!</v>
      </c>
      <c r="BQ28" s="415" t="e">
        <f>((0.33*AQ28)/Speed!AD109)+((0.67*AQ28)/Speed!BD109)</f>
        <v>#DIV/0!</v>
      </c>
      <c r="BR28" s="415" t="e">
        <f>((0.33*AR28)/Speed!AE109)+((0.67*AR28)/Speed!BE109)</f>
        <v>#DIV/0!</v>
      </c>
      <c r="BS28" s="415" t="e">
        <f>((0.33*AS28)/Speed!AF109)+((0.67*AS28)/Speed!BF109)</f>
        <v>#DIV/0!</v>
      </c>
      <c r="BT28" s="415" t="e">
        <f>((0.33*AT28)/Speed!AG109)+((0.67*AT28)/Speed!BG109)</f>
        <v>#DIV/0!</v>
      </c>
      <c r="BU28" s="415" t="e">
        <f>((0.33*AU28)/Speed!AH109)+((0.67*AU28)/Speed!BH109)</f>
        <v>#DIV/0!</v>
      </c>
      <c r="BV28" s="415" t="e">
        <f>((0.33*AV28)/Speed!AI109)+((0.67*AV28)/Speed!BI109)</f>
        <v>#DIV/0!</v>
      </c>
      <c r="BW28" s="415" t="e">
        <f>((0.33*AW28)/Speed!AJ109)+((0.67*AW28)/Speed!BJ109)</f>
        <v>#DIV/0!</v>
      </c>
      <c r="BX28" s="415" t="e">
        <f>((0.33*AX28)/Speed!AK109)+((0.67*AX28)/Speed!BK109)</f>
        <v>#DIV/0!</v>
      </c>
      <c r="BY28" s="415" t="e">
        <f>((0.33*AY28)/Speed!AL109)+((0.67*AY28)/Speed!BL109)</f>
        <v>#DIV/0!</v>
      </c>
      <c r="BZ28" s="415" t="e">
        <f>((0.33*AZ28)/Speed!AM109)+((0.67*AZ28)/Speed!BM109)</f>
        <v>#DIV/0!</v>
      </c>
      <c r="CA28" s="415" t="e">
        <f>((0.33*BA28)/Speed!AN109)+((0.67*BA28)/Speed!BN109)</f>
        <v>#DIV/0!</v>
      </c>
      <c r="CB28" s="415" t="e">
        <f>((0.33*BB28)/Speed!AO109)+((0.67*BB28)/Speed!BO109)</f>
        <v>#DIV/0!</v>
      </c>
      <c r="CC28" s="415" t="e">
        <f>((0.33*BC28)/Speed!AP109)+((0.67*BC28)/Speed!BP109)</f>
        <v>#DIV/0!</v>
      </c>
      <c r="CD28" s="415" t="e">
        <f>((0.33*BD28)/Speed!AQ109)+((0.67*BD28)/Speed!BQ109)</f>
        <v>#DIV/0!</v>
      </c>
      <c r="CE28" s="415" t="e">
        <f>((0.33*BE28)/Speed!AR109)+((0.67*BE28)/Speed!BR109)</f>
        <v>#DIV/0!</v>
      </c>
      <c r="CF28" s="415" t="e">
        <f>((0.33*BF28)/Speed!AS109)+((0.67*BF28)/Speed!BS109)</f>
        <v>#DIV/0!</v>
      </c>
      <c r="CG28" s="415" t="e">
        <f>((0.33*BG28)/Speed!AT109)+((0.67*BG28)/Speed!BT109)</f>
        <v>#DIV/0!</v>
      </c>
      <c r="CH28" s="415" t="e">
        <f>((0.33*BH28)/Speed!AU109)+((0.67*BH28)/Speed!BU109)</f>
        <v>#DIV/0!</v>
      </c>
      <c r="CI28" s="415" t="e">
        <f>((0.33*BI28)/Speed!AV109)+((0.67*BI28)/Speed!BV109)</f>
        <v>#DIV/0!</v>
      </c>
      <c r="CJ28" s="453" t="e">
        <f>((0.33*BJ28)/Speed!AW109)+((0.67*BJ28)/Speed!BW109)</f>
        <v>#DIV/0!</v>
      </c>
      <c r="CK28" s="258">
        <f>Inputs!$J$35</f>
        <v>0.2</v>
      </c>
      <c r="CL28" s="258">
        <f>Inputs!$J$36</f>
        <v>0.8</v>
      </c>
      <c r="CM28" s="259">
        <f t="shared" ref="CM28:CM29" si="83">1/(1+CK28)</f>
        <v>0.83333333333333337</v>
      </c>
      <c r="CN28" s="274">
        <v>0.88</v>
      </c>
      <c r="CO28" s="12"/>
      <c r="CP28" s="1170"/>
      <c r="CQ28" s="12"/>
      <c r="CR28" s="12"/>
      <c r="CS28" s="12"/>
      <c r="CT28" s="12"/>
      <c r="CU28" s="12"/>
      <c r="CV28" s="12"/>
      <c r="CW28" s="12"/>
      <c r="CX28" s="12"/>
      <c r="CY28" s="12"/>
      <c r="CZ28" s="12"/>
    </row>
    <row r="29" spans="2:104" customFormat="1" ht="21.95" customHeight="1" x14ac:dyDescent="0.2">
      <c r="B29" s="492"/>
      <c r="C29" s="277" t="s">
        <v>357</v>
      </c>
      <c r="D29" s="277" t="s">
        <v>338</v>
      </c>
      <c r="E29" s="277" t="s">
        <v>323</v>
      </c>
      <c r="F29" s="277" t="s">
        <v>382</v>
      </c>
      <c r="G29" s="1173">
        <v>30</v>
      </c>
      <c r="H29" s="1174">
        <f>4896/foottomile</f>
        <v>0.92727272727272725</v>
      </c>
      <c r="I29" s="1173">
        <v>2</v>
      </c>
      <c r="J29" s="1175">
        <f>'Trip Gen'!W75</f>
        <v>3600</v>
      </c>
      <c r="K29" s="1172">
        <f>'Trip Gen'!X75</f>
        <v>3655.6399999999994</v>
      </c>
      <c r="L29" s="1172">
        <f>'Trip Gen'!Y75</f>
        <v>3747.06</v>
      </c>
      <c r="M29" s="1172">
        <f>'Trip Gen'!Z75</f>
        <v>4057.7700000000004</v>
      </c>
      <c r="N29" s="1172">
        <f>'Trip Gen'!AA75</f>
        <v>4368.5200000000004</v>
      </c>
      <c r="O29" s="1172">
        <f>'Trip Gen'!AB75</f>
        <v>4679.6299999999992</v>
      </c>
      <c r="P29" s="1172">
        <f>'Trip Gen'!AC75</f>
        <v>4990.3399999999992</v>
      </c>
      <c r="Q29" s="1172">
        <f>'Trip Gen'!AD75</f>
        <v>5301.4</v>
      </c>
      <c r="R29" s="1172">
        <f>'Trip Gen'!AE75</f>
        <v>5669.9399999999987</v>
      </c>
      <c r="S29" s="1172">
        <f>'Trip Gen'!AF75</f>
        <v>6038.3999999999987</v>
      </c>
      <c r="T29" s="1172">
        <f>'Trip Gen'!AG75</f>
        <v>6407.0399999999991</v>
      </c>
      <c r="U29" s="1172">
        <f>'Trip Gen'!AH75</f>
        <v>6775.58</v>
      </c>
      <c r="V29" s="1172">
        <f>'Trip Gen'!AI75</f>
        <v>7144.6399999999994</v>
      </c>
      <c r="W29" s="1172">
        <f>'Trip Gen'!AJ75</f>
        <v>7293.6799999999994</v>
      </c>
      <c r="X29" s="1172">
        <f>'Trip Gen'!AK75</f>
        <v>7349.3199999999988</v>
      </c>
      <c r="Y29" s="1172">
        <f>'Trip Gen'!AL75</f>
        <v>7404.9600000000009</v>
      </c>
      <c r="Z29" s="1172">
        <f>'Trip Gen'!AM75</f>
        <v>7460.6</v>
      </c>
      <c r="AA29" s="1172">
        <f>'Trip Gen'!AN75</f>
        <v>7516.3499999999995</v>
      </c>
      <c r="AB29" s="1172">
        <f>'Trip Gen'!AO75</f>
        <v>7571.99</v>
      </c>
      <c r="AC29" s="1172">
        <f>'Trip Gen'!AP75</f>
        <v>7627.7400000000007</v>
      </c>
      <c r="AD29" s="1172">
        <f>'Trip Gen'!AQ75</f>
        <v>7683.38</v>
      </c>
      <c r="AE29" s="1172">
        <f>'Trip Gen'!AR75</f>
        <v>7739.0200000000013</v>
      </c>
      <c r="AF29" s="1172">
        <f>'Trip Gen'!AS75</f>
        <v>7794.77</v>
      </c>
      <c r="AG29" s="1172">
        <f>'Trip Gen'!AT75</f>
        <v>7850.4100000000008</v>
      </c>
      <c r="AH29" s="1172">
        <f>'Trip Gen'!AU75</f>
        <v>7906.0500000000011</v>
      </c>
      <c r="AI29" s="1172">
        <f>'Trip Gen'!AV75</f>
        <v>7961.8</v>
      </c>
      <c r="AJ29" s="1184">
        <f t="shared" ref="AJ29:AJ43" si="84">((AI29-J29)/J29)/25</f>
        <v>4.8464444444444449E-2</v>
      </c>
      <c r="AK29" s="357">
        <f t="shared" si="25"/>
        <v>3338.181818181818</v>
      </c>
      <c r="AL29" s="280">
        <f t="shared" ref="AL29:AL35" si="85">$H29*K29</f>
        <v>3389.7752727272723</v>
      </c>
      <c r="AM29" s="280">
        <f t="shared" ref="AM29:AM38" si="86">$H29*L29</f>
        <v>3474.5465454545451</v>
      </c>
      <c r="AN29" s="280">
        <f t="shared" ref="AN29:AN38" si="87">$H29*M29</f>
        <v>3762.659454545455</v>
      </c>
      <c r="AO29" s="280">
        <f t="shared" ref="AO29:AO38" si="88">$H29*N29</f>
        <v>4050.8094545454546</v>
      </c>
      <c r="AP29" s="280">
        <f t="shared" ref="AP29:AP38" si="89">$H29*O29</f>
        <v>4339.2932727272719</v>
      </c>
      <c r="AQ29" s="280">
        <f t="shared" ref="AQ29:AQ38" si="90">$H29*P29</f>
        <v>4627.4061818181808</v>
      </c>
      <c r="AR29" s="280">
        <f t="shared" ref="AR29:AR38" si="91">$H29*Q29</f>
        <v>4915.8436363636356</v>
      </c>
      <c r="AS29" s="280">
        <f t="shared" ref="AS29:AS38" si="92">$H29*R29</f>
        <v>5257.5807272727261</v>
      </c>
      <c r="AT29" s="280">
        <f t="shared" ref="AT29:AT38" si="93">$H29*S29</f>
        <v>5599.2436363636352</v>
      </c>
      <c r="AU29" s="280">
        <f t="shared" ref="AU29:AU38" si="94">$H29*T29</f>
        <v>5941.0734545454534</v>
      </c>
      <c r="AV29" s="280">
        <f t="shared" ref="AV29:AV38" si="95">$H29*U29</f>
        <v>6282.8105454545448</v>
      </c>
      <c r="AW29" s="280">
        <f t="shared" ref="AW29:AW38" si="96">$H29*V29</f>
        <v>6625.0298181818171</v>
      </c>
      <c r="AX29" s="280">
        <f t="shared" ref="AX29:AX38" si="97">$H29*W29</f>
        <v>6763.2305454545449</v>
      </c>
      <c r="AY29" s="280">
        <f t="shared" ref="AY29:AY38" si="98">$H29*X29</f>
        <v>6814.8239999999987</v>
      </c>
      <c r="AZ29" s="280">
        <f t="shared" ref="AZ29:AZ38" si="99">$H29*Y29</f>
        <v>6866.4174545454553</v>
      </c>
      <c r="BA29" s="280">
        <f t="shared" ref="BA29:BA38" si="100">$H29*Z29</f>
        <v>6918.0109090909091</v>
      </c>
      <c r="BB29" s="280">
        <f t="shared" ref="BB29:BB38" si="101">$H29*AA29</f>
        <v>6969.7063636363628</v>
      </c>
      <c r="BC29" s="280">
        <f t="shared" ref="BC29:BC38" si="102">$H29*AB29</f>
        <v>7021.2998181818175</v>
      </c>
      <c r="BD29" s="280">
        <f t="shared" ref="BD29:BD38" si="103">$H29*AC29</f>
        <v>7072.995272727273</v>
      </c>
      <c r="BE29" s="280">
        <f t="shared" ref="BE29:BE38" si="104">$H29*AD29</f>
        <v>7124.5887272727268</v>
      </c>
      <c r="BF29" s="280">
        <f t="shared" ref="BF29:BF38" si="105">$H29*AE29</f>
        <v>7176.1821818181825</v>
      </c>
      <c r="BG29" s="280">
        <f t="shared" ref="BG29:BG38" si="106">$H29*AF29</f>
        <v>7227.8776363636362</v>
      </c>
      <c r="BH29" s="280">
        <f t="shared" ref="BH29:BH38" si="107">$H29*AG29</f>
        <v>7279.4710909090918</v>
      </c>
      <c r="BI29" s="280">
        <f t="shared" ref="BI29:BI38" si="108">$H29*AH29</f>
        <v>7331.0645454545465</v>
      </c>
      <c r="BJ29" s="358">
        <f t="shared" ref="BJ29:BJ35" si="109">$H29*AI29</f>
        <v>7382.76</v>
      </c>
      <c r="BK29" s="420">
        <f>((0.33*'Traffic Data'!AK29)/Speed!X110)+((0.67*'Traffic Data'!AK29)/Speed!AX110)</f>
        <v>104.64955645778389</v>
      </c>
      <c r="BL29" s="449">
        <f>((0.33*AL29)/Speed!Y110)+((0.67*AL29)/Speed!AY110)</f>
        <v>106.26770709457413</v>
      </c>
      <c r="BM29" s="449">
        <f>((0.33*AM29)/Speed!Z110)+((0.67*AM29)/Speed!AZ110)</f>
        <v>108.92672449917394</v>
      </c>
      <c r="BN29" s="449">
        <f>((0.33*AN29)/Speed!AA110)+((0.67*AN29)/Speed!BA110)</f>
        <v>117.96796841410651</v>
      </c>
      <c r="BO29" s="449">
        <f>((0.33*AO29)/Speed!AB110)+((0.67*AO29)/Speed!BB110)</f>
        <v>127.0212386069351</v>
      </c>
      <c r="BP29" s="449">
        <f>((0.33*AP29)/Speed!AC110)+((0.67*AP29)/Speed!BC110)</f>
        <v>136.10604323714688</v>
      </c>
      <c r="BQ29" s="449">
        <f>((0.33*AQ29)/Speed!AD110)+((0.67*AQ29)/Speed!BD110)</f>
        <v>145.21803546635832</v>
      </c>
      <c r="BR29" s="449">
        <f>((0.33*AR29)/Speed!AE110)+((0.67*AR29)/Speed!BE110)</f>
        <v>154.4094983205907</v>
      </c>
      <c r="BS29" s="449">
        <f>((0.33*AS29)/Speed!AF110)+((0.67*AS29)/Speed!BF110)</f>
        <v>165.45914491541885</v>
      </c>
      <c r="BT29" s="449">
        <f>((0.33*AT29)/Speed!AG110)+((0.67*AT29)/Speed!BG110)</f>
        <v>176.81353419037498</v>
      </c>
      <c r="BU29" s="449">
        <f>((0.33*AU29)/Speed!AH110)+((0.67*AU29)/Speed!BH110)</f>
        <v>188.7135694113276</v>
      </c>
      <c r="BV29" s="449">
        <f>((0.33*AV29)/Speed!AI110)+((0.67*AV29)/Speed!BI110)</f>
        <v>201.52848255230433</v>
      </c>
      <c r="BW29" s="449">
        <f>((0.33*AW29)/Speed!AJ110)+((0.67*AW29)/Speed!BJ110)</f>
        <v>215.88055247193557</v>
      </c>
      <c r="BX29" s="449">
        <f>((0.33*AX29)/Speed!AK110)+((0.67*AX29)/Speed!BK110)</f>
        <v>222.30340939735993</v>
      </c>
      <c r="BY29" s="449">
        <f>((0.33*AY29)/Speed!AL110)+((0.67*AY29)/Speed!BL110)</f>
        <v>224.81794335048122</v>
      </c>
      <c r="BZ29" s="449">
        <f>((0.33*AZ29)/Speed!AM110)+((0.67*AZ29)/Speed!BM110)</f>
        <v>227.40301679390564</v>
      </c>
      <c r="CA29" s="449">
        <f>((0.33*BA29)/Speed!AN110)+((0.67*BA29)/Speed!BN110)</f>
        <v>230.06360245750574</v>
      </c>
      <c r="CB29" s="449">
        <f>((0.33*BB29)/Speed!AO110)+((0.67*BB29)/Speed!BO110)</f>
        <v>232.81046591123584</v>
      </c>
      <c r="CC29" s="449">
        <f>((0.33*BC29)/Speed!AP110)+((0.67*BC29)/Speed!BP110)</f>
        <v>235.63836293259195</v>
      </c>
      <c r="CD29" s="449">
        <f>((0.33*BD29)/Speed!AQ110)+((0.67*BD29)/Speed!BQ110)</f>
        <v>238.56442754394243</v>
      </c>
      <c r="CE29" s="449">
        <f>((0.33*BE29)/Speed!AR110)+((0.67*BE29)/Speed!BR110)</f>
        <v>241.58340988729785</v>
      </c>
      <c r="CF29" s="449">
        <f>((0.33*BF29)/Speed!AS110)+((0.67*BF29)/Speed!BS110)</f>
        <v>244.70765456781277</v>
      </c>
      <c r="CG29" s="449">
        <f>((0.33*BG29)/Speed!AT110)+((0.67*BG29)/Speed!BT110)</f>
        <v>247.95073840970383</v>
      </c>
      <c r="CH29" s="449">
        <f>((0.33*BH29)/Speed!AU110)+((0.67*BH29)/Speed!BU110)</f>
        <v>251.30735655723316</v>
      </c>
      <c r="CI29" s="449">
        <f>((0.33*BI29)/Speed!AV110)+((0.67*BI29)/Speed!BV110)</f>
        <v>254.79171487690357</v>
      </c>
      <c r="CJ29" s="450">
        <f>((0.33*BJ29)/Speed!AW110)+((0.67*BJ29)/Speed!BW110)</f>
        <v>258.41949418517584</v>
      </c>
      <c r="CK29" s="258">
        <f>Inputs!$K$35</f>
        <v>0.2</v>
      </c>
      <c r="CL29" s="258">
        <f>Inputs!$K$36</f>
        <v>0.8</v>
      </c>
      <c r="CM29" s="257">
        <f t="shared" si="83"/>
        <v>0.83333333333333337</v>
      </c>
      <c r="CN29" s="274">
        <v>0.88</v>
      </c>
      <c r="CO29" s="12"/>
      <c r="CP29" s="1170"/>
      <c r="CQ29" s="12"/>
      <c r="CR29" s="12"/>
      <c r="CS29" s="12"/>
      <c r="CT29" s="12"/>
      <c r="CU29" s="12"/>
      <c r="CV29" s="12"/>
      <c r="CW29" s="12"/>
      <c r="CX29" s="12"/>
      <c r="CY29" s="12"/>
      <c r="CZ29" s="12"/>
    </row>
    <row r="30" spans="2:104" customFormat="1" ht="21.95" customHeight="1" x14ac:dyDescent="0.2">
      <c r="B30" s="492"/>
      <c r="C30" s="116" t="s">
        <v>338</v>
      </c>
      <c r="D30" s="116" t="s">
        <v>282</v>
      </c>
      <c r="E30" s="116" t="s">
        <v>357</v>
      </c>
      <c r="F30" s="116" t="s">
        <v>379</v>
      </c>
      <c r="G30" s="364">
        <v>55</v>
      </c>
      <c r="H30" s="1155">
        <f>6330/foottomile</f>
        <v>1.1988636363636365</v>
      </c>
      <c r="I30" s="364">
        <v>4</v>
      </c>
      <c r="J30" s="1162">
        <f>'Trip Gen'!W68</f>
        <v>10000</v>
      </c>
      <c r="K30" s="1186">
        <f>'Trip Gen'!X68</f>
        <v>10371.85</v>
      </c>
      <c r="L30" s="1186">
        <f>'Trip Gen'!Y68</f>
        <v>10767.679999999998</v>
      </c>
      <c r="M30" s="1186">
        <f>'Trip Gen'!Z68</f>
        <v>11645.81</v>
      </c>
      <c r="N30" s="1186">
        <f>'Trip Gen'!AA68</f>
        <v>12524.160000000002</v>
      </c>
      <c r="O30" s="1186">
        <f>'Trip Gen'!AB68</f>
        <v>13402.990000000002</v>
      </c>
      <c r="P30" s="1186">
        <f>'Trip Gen'!AC68</f>
        <v>14281.120000000004</v>
      </c>
      <c r="Q30" s="1186">
        <f>'Trip Gen'!AD68</f>
        <v>15160.020000000002</v>
      </c>
      <c r="R30" s="1186">
        <f>'Trip Gen'!AE68</f>
        <v>16341.619999999997</v>
      </c>
      <c r="S30" s="1186">
        <f>'Trip Gen'!AF68</f>
        <v>17523.269999999997</v>
      </c>
      <c r="T30" s="1186">
        <f>'Trip Gen'!AG68</f>
        <v>18704.869999999995</v>
      </c>
      <c r="U30" s="1186">
        <f>'Trip Gen'!AH68</f>
        <v>19886.469999999998</v>
      </c>
      <c r="V30" s="1186">
        <f>'Trip Gen'!AI68</f>
        <v>21069.170000000002</v>
      </c>
      <c r="W30" s="1186">
        <f>'Trip Gen'!AJ68</f>
        <v>21767.919999999998</v>
      </c>
      <c r="X30" s="1186">
        <f>'Trip Gen'!AK68</f>
        <v>22139.77</v>
      </c>
      <c r="Y30" s="1186">
        <f>'Trip Gen'!AL68</f>
        <v>22511.619999999995</v>
      </c>
      <c r="Z30" s="1186">
        <f>'Trip Gen'!AM68</f>
        <v>22883.469999999998</v>
      </c>
      <c r="AA30" s="1186">
        <f>'Trip Gen'!AN68</f>
        <v>23255.519999999997</v>
      </c>
      <c r="AB30" s="1186">
        <f>'Trip Gen'!AO68</f>
        <v>23627.369999999995</v>
      </c>
      <c r="AC30" s="1186">
        <f>'Trip Gen'!AP68</f>
        <v>23999.419999999995</v>
      </c>
      <c r="AD30" s="1186">
        <f>'Trip Gen'!AQ68</f>
        <v>24371.27</v>
      </c>
      <c r="AE30" s="1186">
        <f>'Trip Gen'!AR68</f>
        <v>24743.119999999995</v>
      </c>
      <c r="AF30" s="1186">
        <f>'Trip Gen'!AS68</f>
        <v>25115.17</v>
      </c>
      <c r="AG30" s="1186">
        <f>'Trip Gen'!AT68</f>
        <v>25487.019999999997</v>
      </c>
      <c r="AH30" s="1186">
        <f>'Trip Gen'!AU68</f>
        <v>25858.869999999995</v>
      </c>
      <c r="AI30" s="1186">
        <f>'Trip Gen'!AV68</f>
        <v>26230.92</v>
      </c>
      <c r="AJ30" s="1182">
        <f t="shared" si="84"/>
        <v>6.4923679999999984E-2</v>
      </c>
      <c r="AK30" s="1162">
        <f t="shared" si="25"/>
        <v>11988.636363636364</v>
      </c>
      <c r="AL30" s="364">
        <f t="shared" si="85"/>
        <v>12434.433806818184</v>
      </c>
      <c r="AM30" s="364">
        <f t="shared" si="86"/>
        <v>12908.98</v>
      </c>
      <c r="AN30" s="364">
        <f t="shared" si="87"/>
        <v>13961.738125</v>
      </c>
      <c r="AO30" s="364">
        <f t="shared" si="88"/>
        <v>15014.760000000004</v>
      </c>
      <c r="AP30" s="364">
        <f t="shared" si="89"/>
        <v>16068.357329545457</v>
      </c>
      <c r="AQ30" s="364">
        <f t="shared" si="90"/>
        <v>17121.115454545463</v>
      </c>
      <c r="AR30" s="364">
        <f t="shared" si="91"/>
        <v>18174.796704545457</v>
      </c>
      <c r="AS30" s="364">
        <f t="shared" si="92"/>
        <v>19591.373977272724</v>
      </c>
      <c r="AT30" s="364">
        <f t="shared" si="93"/>
        <v>21008.011193181817</v>
      </c>
      <c r="AU30" s="364">
        <f t="shared" si="94"/>
        <v>22424.588465909088</v>
      </c>
      <c r="AV30" s="364">
        <f t="shared" si="95"/>
        <v>23841.165738636362</v>
      </c>
      <c r="AW30" s="364">
        <f t="shared" si="96"/>
        <v>25259.061761363642</v>
      </c>
      <c r="AX30" s="364">
        <f t="shared" si="97"/>
        <v>26096.767727272727</v>
      </c>
      <c r="AY30" s="364">
        <f t="shared" si="98"/>
        <v>26542.565170454549</v>
      </c>
      <c r="AZ30" s="364">
        <f t="shared" si="99"/>
        <v>26988.36261363636</v>
      </c>
      <c r="BA30" s="364">
        <f t="shared" si="100"/>
        <v>27434.160056818182</v>
      </c>
      <c r="BB30" s="364">
        <f t="shared" si="101"/>
        <v>27880.19727272727</v>
      </c>
      <c r="BC30" s="364">
        <f t="shared" si="102"/>
        <v>28325.994715909088</v>
      </c>
      <c r="BD30" s="364">
        <f t="shared" si="103"/>
        <v>28772.031931818179</v>
      </c>
      <c r="BE30" s="364">
        <f t="shared" si="104"/>
        <v>29217.829375000001</v>
      </c>
      <c r="BF30" s="364">
        <f t="shared" si="105"/>
        <v>29663.626818181816</v>
      </c>
      <c r="BG30" s="364">
        <f t="shared" si="106"/>
        <v>30109.664034090911</v>
      </c>
      <c r="BH30" s="364">
        <f t="shared" si="107"/>
        <v>30555.461477272725</v>
      </c>
      <c r="BI30" s="364">
        <f t="shared" si="108"/>
        <v>31001.258920454544</v>
      </c>
      <c r="BJ30" s="365">
        <f t="shared" si="109"/>
        <v>31447.296136363639</v>
      </c>
      <c r="BK30" s="417">
        <f>((0.33*'Traffic Data'!AK30)/Speed!X111)+((0.67*'Traffic Data'!AK30)/Speed!AX111)</f>
        <v>214.46577905864618</v>
      </c>
      <c r="BL30" s="415">
        <f>((0.33*AL30)/Speed!Y111)+((0.67*AL30)/Speed!AY111)</f>
        <v>222.44069465960939</v>
      </c>
      <c r="BM30" s="415">
        <f>((0.33*AM30)/Speed!Z111)+((0.67*AM30)/Speed!AZ111)</f>
        <v>230.92990245156457</v>
      </c>
      <c r="BN30" s="415">
        <f>((0.33*AN30)/Speed!AA111)+((0.67*AN30)/Speed!BA111)</f>
        <v>249.76282271157984</v>
      </c>
      <c r="BO30" s="415">
        <f>((0.33*AO30)/Speed!AB111)+((0.67*AO30)/Speed!BB111)</f>
        <v>268.60050365653848</v>
      </c>
      <c r="BP30" s="415">
        <f>((0.33*AP30)/Speed!AC111)+((0.67*AP30)/Speed!BC111)</f>
        <v>287.44856034909992</v>
      </c>
      <c r="BQ30" s="415">
        <f>((0.33*AQ30)/Speed!AD111)+((0.67*AQ30)/Speed!BD111)</f>
        <v>306.28175334649836</v>
      </c>
      <c r="BR30" s="415">
        <f>((0.33*AR30)/Speed!AE111)+((0.67*AR30)/Speed!BE111)</f>
        <v>325.13172384634822</v>
      </c>
      <c r="BS30" s="415">
        <f>((0.33*AS30)/Speed!AF111)+((0.67*AS30)/Speed!BF111)</f>
        <v>350.4745290402999</v>
      </c>
      <c r="BT30" s="415">
        <f>((0.33*AT30)/Speed!AG111)+((0.67*AT30)/Speed!BG111)</f>
        <v>375.82002202437508</v>
      </c>
      <c r="BU30" s="415">
        <f>((0.33*AU30)/Speed!AH111)+((0.67*AU30)/Speed!BH111)</f>
        <v>401.1674582241854</v>
      </c>
      <c r="BV30" s="415">
        <f>((0.33*AV30)/Speed!AI111)+((0.67*AV30)/Speed!BI111)</f>
        <v>426.52030202728895</v>
      </c>
      <c r="BW30" s="415">
        <f>((0.33*AW30)/Speed!AJ111)+((0.67*AW30)/Speed!BJ111)</f>
        <v>451.90612202745604</v>
      </c>
      <c r="BX30" s="415">
        <f>((0.33*AX30)/Speed!AK111)+((0.67*AX30)/Speed!BK111)</f>
        <v>466.91115259918877</v>
      </c>
      <c r="BY30" s="415">
        <f>((0.33*AY30)/Speed!AL111)+((0.67*AY30)/Speed!BL111)</f>
        <v>474.8991264111533</v>
      </c>
      <c r="BZ30" s="415">
        <f>((0.33*AZ30)/Speed!AM111)+((0.67*AZ30)/Speed!BM111)</f>
        <v>482.88948884895126</v>
      </c>
      <c r="CA30" s="415">
        <f>((0.33*BA30)/Speed!AN111)+((0.67*BA30)/Speed!BN111)</f>
        <v>490.88262618941872</v>
      </c>
      <c r="CB30" s="415">
        <f>((0.33*BB30)/Speed!AO111)+((0.67*BB30)/Speed!BO111)</f>
        <v>498.88328092359086</v>
      </c>
      <c r="CC30" s="415">
        <f>((0.33*BC30)/Speed!AP111)+((0.67*BC30)/Speed!BP111)</f>
        <v>506.88335343691239</v>
      </c>
      <c r="CD30" s="415">
        <f>((0.33*BD30)/Speed!AQ111)+((0.67*BD30)/Speed!BQ111)</f>
        <v>514.89202042306181</v>
      </c>
      <c r="CE30" s="415">
        <f>((0.33*BE30)/Speed!AR111)+((0.67*BE30)/Speed!BR111)</f>
        <v>522.90131870265327</v>
      </c>
      <c r="CF30" s="415">
        <f>((0.33*BF30)/Speed!AS111)+((0.67*BF30)/Speed!BS111)</f>
        <v>530.91628441306182</v>
      </c>
      <c r="CG30" s="415">
        <f>((0.33*BG30)/Speed!AT111)+((0.67*BG30)/Speed!BT111)</f>
        <v>538.94206102262228</v>
      </c>
      <c r="CH30" s="415">
        <f>((0.33*BH30)/Speed!AU111)+((0.67*BH30)/Speed!BU111)</f>
        <v>546.97095311536975</v>
      </c>
      <c r="CI30" s="415">
        <f>((0.33*BI30)/Speed!AV111)+((0.67*BI30)/Speed!BV111)</f>
        <v>555.00832338423129</v>
      </c>
      <c r="CJ30" s="453">
        <f>((0.33*BJ30)/Speed!AW111)+((0.67*BJ30)/Speed!BW111)</f>
        <v>563.05968289317445</v>
      </c>
      <c r="CK30" s="1394">
        <f>Inputs!$L$35</f>
        <v>0.2</v>
      </c>
      <c r="CL30" s="1393">
        <f>Inputs!$L$36</f>
        <v>0.8</v>
      </c>
      <c r="CM30" s="1401">
        <f>1/(1+CK30)</f>
        <v>0.83333333333333337</v>
      </c>
      <c r="CN30" s="1407">
        <v>0.9</v>
      </c>
      <c r="CO30" s="12"/>
      <c r="CP30" s="1170"/>
      <c r="CQ30" s="12"/>
      <c r="CR30" s="12"/>
      <c r="CS30" s="12"/>
      <c r="CT30" s="12"/>
      <c r="CU30" s="12"/>
      <c r="CV30" s="12"/>
      <c r="CW30" s="12"/>
      <c r="CX30" s="12"/>
      <c r="CY30" s="12"/>
      <c r="CZ30" s="12"/>
    </row>
    <row r="31" spans="2:104" customFormat="1" ht="21.95" customHeight="1" x14ac:dyDescent="0.2">
      <c r="B31" s="492"/>
      <c r="C31" s="116"/>
      <c r="D31" s="116" t="s">
        <v>357</v>
      </c>
      <c r="E31" s="116" t="s">
        <v>346</v>
      </c>
      <c r="F31" s="116" t="s">
        <v>380</v>
      </c>
      <c r="G31" s="364">
        <v>55</v>
      </c>
      <c r="H31" s="1155">
        <f>1213/foottomile</f>
        <v>0.22973484848484849</v>
      </c>
      <c r="I31" s="364">
        <v>4</v>
      </c>
      <c r="J31" s="1162">
        <f>'Trip Gen'!W69</f>
        <v>7600</v>
      </c>
      <c r="K31" s="1151">
        <f>'Trip Gen'!X69</f>
        <v>7870.45</v>
      </c>
      <c r="L31" s="1151">
        <f>'Trip Gen'!Y69</f>
        <v>8164.78</v>
      </c>
      <c r="M31" s="1151">
        <f>'Trip Gen'!Z69</f>
        <v>8727.510000000002</v>
      </c>
      <c r="N31" s="1151">
        <f>'Trip Gen'!AA69</f>
        <v>9290.4600000000009</v>
      </c>
      <c r="O31" s="1151">
        <f>'Trip Gen'!AB69</f>
        <v>9853.49</v>
      </c>
      <c r="P31" s="1151">
        <f>'Trip Gen'!AC69</f>
        <v>10416.219999999999</v>
      </c>
      <c r="Q31" s="1151">
        <f>'Trip Gen'!AD69</f>
        <v>10979.42</v>
      </c>
      <c r="R31" s="1151">
        <f>'Trip Gen'!AE69</f>
        <v>11752.119999999997</v>
      </c>
      <c r="S31" s="1151">
        <f>'Trip Gen'!AF69</f>
        <v>12524.969999999998</v>
      </c>
      <c r="T31" s="1151">
        <f>'Trip Gen'!AG69</f>
        <v>13297.57</v>
      </c>
      <c r="U31" s="1151">
        <f>'Trip Gen'!AH69</f>
        <v>14070.27</v>
      </c>
      <c r="V31" s="1151">
        <f>'Trip Gen'!AI69</f>
        <v>14843.569999999998</v>
      </c>
      <c r="W31" s="1151">
        <f>'Trip Gen'!AJ69</f>
        <v>15347.519999999999</v>
      </c>
      <c r="X31" s="1151">
        <f>'Trip Gen'!AK69</f>
        <v>15617.969999999998</v>
      </c>
      <c r="Y31" s="1151">
        <f>'Trip Gen'!AL69</f>
        <v>15888.419999999998</v>
      </c>
      <c r="Z31" s="1151">
        <f>'Trip Gen'!AM69</f>
        <v>16158.869999999999</v>
      </c>
      <c r="AA31" s="1151">
        <f>'Trip Gen'!AN69</f>
        <v>16429.419999999998</v>
      </c>
      <c r="AB31" s="1151">
        <f>'Trip Gen'!AO69</f>
        <v>16699.869999999995</v>
      </c>
      <c r="AC31" s="1151">
        <f>'Trip Gen'!AP69</f>
        <v>16970.420000000002</v>
      </c>
      <c r="AD31" s="1151">
        <f>'Trip Gen'!AQ69</f>
        <v>17240.87</v>
      </c>
      <c r="AE31" s="1151">
        <f>'Trip Gen'!AR69</f>
        <v>17511.32</v>
      </c>
      <c r="AF31" s="1151">
        <f>'Trip Gen'!AS69</f>
        <v>17781.87</v>
      </c>
      <c r="AG31" s="1151">
        <f>'Trip Gen'!AT69</f>
        <v>18052.32</v>
      </c>
      <c r="AH31" s="1151">
        <f>'Trip Gen'!AU69</f>
        <v>18322.77</v>
      </c>
      <c r="AI31" s="1151">
        <f>'Trip Gen'!AV69</f>
        <v>18593.319999999996</v>
      </c>
      <c r="AJ31" s="1182">
        <f t="shared" si="84"/>
        <v>5.7859578947368401E-2</v>
      </c>
      <c r="AK31" s="1162">
        <f t="shared" si="25"/>
        <v>1745.9848484848485</v>
      </c>
      <c r="AL31" s="364">
        <f t="shared" si="85"/>
        <v>1808.1166382575757</v>
      </c>
      <c r="AM31" s="364">
        <f t="shared" si="86"/>
        <v>1875.7344962121213</v>
      </c>
      <c r="AN31" s="364">
        <f t="shared" si="87"/>
        <v>2005.0131875000004</v>
      </c>
      <c r="AO31" s="364">
        <f t="shared" si="88"/>
        <v>2134.3424204545458</v>
      </c>
      <c r="AP31" s="364">
        <f t="shared" si="89"/>
        <v>2263.6900321969697</v>
      </c>
      <c r="AQ31" s="364">
        <f t="shared" si="90"/>
        <v>2392.9687234848484</v>
      </c>
      <c r="AR31" s="364">
        <f t="shared" si="91"/>
        <v>2522.3553901515152</v>
      </c>
      <c r="AS31" s="364">
        <f t="shared" si="92"/>
        <v>2699.8715075757568</v>
      </c>
      <c r="AT31" s="364">
        <f t="shared" si="93"/>
        <v>2877.422085227272</v>
      </c>
      <c r="AU31" s="364">
        <f t="shared" si="94"/>
        <v>3054.9152291666664</v>
      </c>
      <c r="AV31" s="364">
        <f t="shared" si="95"/>
        <v>3232.431346590909</v>
      </c>
      <c r="AW31" s="364">
        <f t="shared" si="96"/>
        <v>3410.0853049242419</v>
      </c>
      <c r="AX31" s="364">
        <f t="shared" si="97"/>
        <v>3525.8601818181814</v>
      </c>
      <c r="AY31" s="364">
        <f t="shared" si="98"/>
        <v>3587.9919715909086</v>
      </c>
      <c r="AZ31" s="364">
        <f t="shared" si="99"/>
        <v>3650.1237613636358</v>
      </c>
      <c r="BA31" s="364">
        <f t="shared" si="100"/>
        <v>3712.2555511363635</v>
      </c>
      <c r="BB31" s="364">
        <f t="shared" si="101"/>
        <v>3774.4103143939392</v>
      </c>
      <c r="BC31" s="364">
        <f t="shared" si="102"/>
        <v>3836.5421041666655</v>
      </c>
      <c r="BD31" s="364">
        <f t="shared" si="103"/>
        <v>3898.696867424243</v>
      </c>
      <c r="BE31" s="364">
        <f t="shared" si="104"/>
        <v>3960.8286571969693</v>
      </c>
      <c r="BF31" s="364">
        <f t="shared" si="105"/>
        <v>4022.9604469696969</v>
      </c>
      <c r="BG31" s="364">
        <f t="shared" si="106"/>
        <v>4085.1152102272727</v>
      </c>
      <c r="BH31" s="364">
        <f t="shared" si="107"/>
        <v>4147.2470000000003</v>
      </c>
      <c r="BI31" s="364">
        <f t="shared" si="108"/>
        <v>4209.378789772727</v>
      </c>
      <c r="BJ31" s="365">
        <f t="shared" si="109"/>
        <v>4271.5335530303018</v>
      </c>
      <c r="BK31" s="417">
        <f>((0.33*'Traffic Data'!AK31)/Speed!X112)+((0.67*'Traffic Data'!AK31)/Speed!AX112)</f>
        <v>31.234076116374347</v>
      </c>
      <c r="BL31" s="415">
        <f>((0.33*AL31)/Speed!Y112)+((0.67*AL31)/Speed!AY112)</f>
        <v>32.345557203751952</v>
      </c>
      <c r="BM31" s="415">
        <f>((0.33*AM31)/Speed!Z112)+((0.67*AM31)/Speed!AZ112)</f>
        <v>33.555179075807956</v>
      </c>
      <c r="BN31" s="415">
        <f>((0.33*AN31)/Speed!AA112)+((0.67*AN31)/Speed!BA112)</f>
        <v>35.867857189698491</v>
      </c>
      <c r="BO31" s="415">
        <f>((0.33*AO31)/Speed!AB112)+((0.67*AO31)/Speed!BB112)</f>
        <v>38.181439694755113</v>
      </c>
      <c r="BP31" s="415">
        <f>((0.33*AP31)/Speed!AC112)+((0.67*AP31)/Speed!BC112)</f>
        <v>40.49535141163696</v>
      </c>
      <c r="BQ31" s="415">
        <f>((0.33*AQ31)/Speed!AD112)+((0.67*AQ31)/Speed!BD112)</f>
        <v>42.808030935169313</v>
      </c>
      <c r="BR31" s="415">
        <f>((0.33*AR31)/Speed!AE112)+((0.67*AR31)/Speed!BE112)</f>
        <v>45.122643245511952</v>
      </c>
      <c r="BS31" s="415">
        <f>((0.33*AS31)/Speed!AF112)+((0.67*AS31)/Speed!BF112)</f>
        <v>48.2982519433208</v>
      </c>
      <c r="BT31" s="415">
        <f>((0.33*AT31)/Speed!AG112)+((0.67*AT31)/Speed!BG112)</f>
        <v>51.474483880949649</v>
      </c>
      <c r="BU31" s="415">
        <f>((0.33*AU31)/Speed!AH112)+((0.67*AU31)/Speed!BH112)</f>
        <v>54.649700355697895</v>
      </c>
      <c r="BV31" s="415">
        <f>((0.33*AV31)/Speed!AI112)+((0.67*AV31)/Speed!BI112)</f>
        <v>57.825348287118914</v>
      </c>
      <c r="BW31" s="415">
        <f>((0.33*AW31)/Speed!AJ112)+((0.67*AW31)/Speed!BJ112)</f>
        <v>61.003496122318253</v>
      </c>
      <c r="BX31" s="415">
        <f>((0.33*AX31)/Speed!AK112)+((0.67*AX31)/Speed!BK112)</f>
        <v>63.074683449204528</v>
      </c>
      <c r="BY31" s="415">
        <f>((0.33*AY31)/Speed!AL112)+((0.67*AY31)/Speed!BL112)</f>
        <v>64.18621990248495</v>
      </c>
      <c r="BZ31" s="415">
        <f>((0.33*AZ31)/Speed!AM112)+((0.67*AZ31)/Speed!BM112)</f>
        <v>65.297766830774037</v>
      </c>
      <c r="CA31" s="415">
        <f>((0.33*BA31)/Speed!AN112)+((0.67*BA31)/Speed!BN112)</f>
        <v>66.409325984175624</v>
      </c>
      <c r="CB31" s="415">
        <f>((0.33*BB31)/Speed!AO112)+((0.67*BB31)/Speed!BO112)</f>
        <v>67.521310379162529</v>
      </c>
      <c r="CC31" s="415">
        <f>((0.33*BC31)/Speed!AP112)+((0.67*BC31)/Speed!BP112)</f>
        <v>68.632900290655499</v>
      </c>
      <c r="CD31" s="415">
        <f>((0.33*BD31)/Speed!AQ112)+((0.67*BD31)/Speed!BQ112)</f>
        <v>69.744920365013016</v>
      </c>
      <c r="CE31" s="415">
        <f>((0.33*BE31)/Speed!AR112)+((0.67*BE31)/Speed!BR112)</f>
        <v>70.856551535031244</v>
      </c>
      <c r="CF31" s="415">
        <f>((0.33*BF31)/Speed!AS112)+((0.67*BF31)/Speed!BS112)</f>
        <v>71.968208199485034</v>
      </c>
      <c r="CG31" s="415">
        <f>((0.33*BG31)/Speed!AT112)+((0.67*BG31)/Speed!BT112)</f>
        <v>73.080305247044819</v>
      </c>
      <c r="CH31" s="415">
        <f>((0.33*BH31)/Speed!AU112)+((0.67*BH31)/Speed!BU112)</f>
        <v>74.192024914243774</v>
      </c>
      <c r="CI31" s="415">
        <f>((0.33*BI31)/Speed!AV112)+((0.67*BI31)/Speed!BV112)</f>
        <v>75.303783142927074</v>
      </c>
      <c r="CJ31" s="453">
        <f>((0.33*BJ31)/Speed!AW112)+((0.67*BJ31)/Speed!BW112)</f>
        <v>76.415996555811134</v>
      </c>
      <c r="CK31" s="1394"/>
      <c r="CL31" s="1394"/>
      <c r="CM31" s="1402"/>
      <c r="CN31" s="1408"/>
      <c r="CO31" s="12"/>
      <c r="CP31" s="1170"/>
      <c r="CQ31" s="12"/>
      <c r="CR31" s="12"/>
      <c r="CS31" s="12"/>
      <c r="CT31" s="12"/>
      <c r="CU31" s="12"/>
      <c r="CV31" s="12"/>
      <c r="CW31" s="12"/>
      <c r="CX31" s="12"/>
      <c r="CY31" s="12"/>
      <c r="CZ31" s="12"/>
    </row>
    <row r="32" spans="2:104" customFormat="1" ht="21.95" customHeight="1" x14ac:dyDescent="0.2">
      <c r="B32" s="492"/>
      <c r="C32" s="116"/>
      <c r="D32" s="116" t="s">
        <v>346</v>
      </c>
      <c r="E32" s="116" t="s">
        <v>343</v>
      </c>
      <c r="F32" s="116" t="s">
        <v>380</v>
      </c>
      <c r="G32" s="364">
        <v>45</v>
      </c>
      <c r="H32" s="1155">
        <f>300/foottomile</f>
        <v>5.6818181818181816E-2</v>
      </c>
      <c r="I32" s="364">
        <v>4</v>
      </c>
      <c r="J32" s="1162">
        <f>J31</f>
        <v>7600</v>
      </c>
      <c r="K32" s="1151">
        <f>K31</f>
        <v>7870.45</v>
      </c>
      <c r="L32" s="1151">
        <f t="shared" ref="L32:AI32" si="110">L31</f>
        <v>8164.78</v>
      </c>
      <c r="M32" s="1151">
        <f t="shared" si="110"/>
        <v>8727.510000000002</v>
      </c>
      <c r="N32" s="1151">
        <f t="shared" si="110"/>
        <v>9290.4600000000009</v>
      </c>
      <c r="O32" s="1151">
        <f t="shared" si="110"/>
        <v>9853.49</v>
      </c>
      <c r="P32" s="1151">
        <f t="shared" si="110"/>
        <v>10416.219999999999</v>
      </c>
      <c r="Q32" s="1151">
        <f t="shared" si="110"/>
        <v>10979.42</v>
      </c>
      <c r="R32" s="1151">
        <f t="shared" si="110"/>
        <v>11752.119999999997</v>
      </c>
      <c r="S32" s="1151">
        <f t="shared" si="110"/>
        <v>12524.969999999998</v>
      </c>
      <c r="T32" s="1151">
        <f t="shared" si="110"/>
        <v>13297.57</v>
      </c>
      <c r="U32" s="1151">
        <f t="shared" si="110"/>
        <v>14070.27</v>
      </c>
      <c r="V32" s="1151">
        <f t="shared" si="110"/>
        <v>14843.569999999998</v>
      </c>
      <c r="W32" s="1151">
        <f t="shared" si="110"/>
        <v>15347.519999999999</v>
      </c>
      <c r="X32" s="1151">
        <f t="shared" si="110"/>
        <v>15617.969999999998</v>
      </c>
      <c r="Y32" s="1151">
        <f t="shared" si="110"/>
        <v>15888.419999999998</v>
      </c>
      <c r="Z32" s="1151">
        <f t="shared" si="110"/>
        <v>16158.869999999999</v>
      </c>
      <c r="AA32" s="1151">
        <f t="shared" si="110"/>
        <v>16429.419999999998</v>
      </c>
      <c r="AB32" s="1151">
        <f t="shared" si="110"/>
        <v>16699.869999999995</v>
      </c>
      <c r="AC32" s="1151">
        <f t="shared" si="110"/>
        <v>16970.420000000002</v>
      </c>
      <c r="AD32" s="1151">
        <f t="shared" si="110"/>
        <v>17240.87</v>
      </c>
      <c r="AE32" s="1151">
        <f t="shared" si="110"/>
        <v>17511.32</v>
      </c>
      <c r="AF32" s="1151">
        <f t="shared" si="110"/>
        <v>17781.87</v>
      </c>
      <c r="AG32" s="1151">
        <f t="shared" si="110"/>
        <v>18052.32</v>
      </c>
      <c r="AH32" s="1151">
        <f t="shared" si="110"/>
        <v>18322.77</v>
      </c>
      <c r="AI32" s="1151">
        <f t="shared" si="110"/>
        <v>18593.319999999996</v>
      </c>
      <c r="AJ32" s="1182">
        <f t="shared" si="84"/>
        <v>5.7859578947368401E-2</v>
      </c>
      <c r="AK32" s="1162">
        <f t="shared" si="25"/>
        <v>431.81818181818181</v>
      </c>
      <c r="AL32" s="364">
        <f t="shared" si="85"/>
        <v>447.18465909090907</v>
      </c>
      <c r="AM32" s="364">
        <f t="shared" si="86"/>
        <v>463.90795454545452</v>
      </c>
      <c r="AN32" s="364">
        <f t="shared" si="87"/>
        <v>495.88125000000008</v>
      </c>
      <c r="AO32" s="364">
        <f t="shared" si="88"/>
        <v>527.86704545454552</v>
      </c>
      <c r="AP32" s="364">
        <f t="shared" si="89"/>
        <v>559.85738636363635</v>
      </c>
      <c r="AQ32" s="364">
        <f t="shared" si="90"/>
        <v>591.8306818181818</v>
      </c>
      <c r="AR32" s="364">
        <f t="shared" si="91"/>
        <v>623.8306818181818</v>
      </c>
      <c r="AS32" s="364">
        <f t="shared" si="92"/>
        <v>667.7340909090907</v>
      </c>
      <c r="AT32" s="364">
        <f t="shared" si="93"/>
        <v>711.64602272727257</v>
      </c>
      <c r="AU32" s="364">
        <f t="shared" si="94"/>
        <v>755.54374999999993</v>
      </c>
      <c r="AV32" s="364">
        <f t="shared" si="95"/>
        <v>799.44715909090905</v>
      </c>
      <c r="AW32" s="364">
        <f t="shared" si="96"/>
        <v>843.38465909090894</v>
      </c>
      <c r="AX32" s="364">
        <f t="shared" si="97"/>
        <v>872.01818181818169</v>
      </c>
      <c r="AY32" s="364">
        <f t="shared" si="98"/>
        <v>887.38465909090894</v>
      </c>
      <c r="AZ32" s="364">
        <f t="shared" si="99"/>
        <v>902.75113636363619</v>
      </c>
      <c r="BA32" s="364">
        <f t="shared" si="100"/>
        <v>918.11761363636356</v>
      </c>
      <c r="BB32" s="364">
        <f t="shared" si="101"/>
        <v>933.48977272727257</v>
      </c>
      <c r="BC32" s="364">
        <f t="shared" si="102"/>
        <v>948.8562499999997</v>
      </c>
      <c r="BD32" s="364">
        <f t="shared" si="103"/>
        <v>964.22840909090917</v>
      </c>
      <c r="BE32" s="364">
        <f t="shared" si="104"/>
        <v>979.59488636363631</v>
      </c>
      <c r="BF32" s="364">
        <f t="shared" si="105"/>
        <v>994.96136363636356</v>
      </c>
      <c r="BG32" s="364">
        <f t="shared" si="106"/>
        <v>1010.3335227272727</v>
      </c>
      <c r="BH32" s="364">
        <f t="shared" si="107"/>
        <v>1025.7</v>
      </c>
      <c r="BI32" s="364">
        <f t="shared" si="108"/>
        <v>1041.0664772727273</v>
      </c>
      <c r="BJ32" s="365">
        <f t="shared" si="109"/>
        <v>1056.4386363636361</v>
      </c>
      <c r="BK32" s="417">
        <f>((0.33*'Traffic Data'!AK32)/Speed!X113)+((0.67*'Traffic Data'!AK32)/Speed!AX113)</f>
        <v>9.4078036195684422</v>
      </c>
      <c r="BL32" s="415">
        <f>((0.33*AL32)/Speed!Y113)+((0.67*AL32)/Speed!AY113)</f>
        <v>9.7425853036454129</v>
      </c>
      <c r="BM32" s="415">
        <f>((0.33*AM32)/Speed!Z113)+((0.67*AM32)/Speed!AZ113)</f>
        <v>10.106927321346571</v>
      </c>
      <c r="BN32" s="415">
        <f>((0.33*AN32)/Speed!AA113)+((0.67*AN32)/Speed!BA113)</f>
        <v>10.803513502931144</v>
      </c>
      <c r="BO32" s="415">
        <f>((0.33*AO32)/Speed!AB113)+((0.67*AO32)/Speed!BB113)</f>
        <v>11.500372217957713</v>
      </c>
      <c r="BP32" s="415">
        <f>((0.33*AP32)/Speed!AC113)+((0.67*AP32)/Speed!BC113)</f>
        <v>12.197330316556418</v>
      </c>
      <c r="BQ32" s="415">
        <f>((0.33*AQ32)/Speed!AD113)+((0.67*AQ32)/Speed!BD113)</f>
        <v>12.893917653256178</v>
      </c>
      <c r="BR32" s="415">
        <f>((0.33*AR32)/Speed!AE113)+((0.67*AR32)/Speed!BE113)</f>
        <v>13.591087776406546</v>
      </c>
      <c r="BS32" s="415">
        <f>((0.33*AS32)/Speed!AF113)+((0.67*AS32)/Speed!BF113)</f>
        <v>14.547595056149163</v>
      </c>
      <c r="BT32" s="415">
        <f>((0.33*AT32)/Speed!AG113)+((0.67*AT32)/Speed!BG113)</f>
        <v>15.504293570211491</v>
      </c>
      <c r="BU32" s="415">
        <f>((0.33*AU32)/Speed!AH113)+((0.67*AU32)/Speed!BH113)</f>
        <v>16.46069242887323</v>
      </c>
      <c r="BV32" s="415">
        <f>((0.33*AV32)/Speed!AI113)+((0.67*AV32)/Speed!BI113)</f>
        <v>17.417231858159198</v>
      </c>
      <c r="BW32" s="415">
        <f>((0.33*AW32)/Speed!AJ113)+((0.67*AW32)/Speed!BJ113)</f>
        <v>18.374541915315277</v>
      </c>
      <c r="BX32" s="415">
        <f>((0.33*AX32)/Speed!AK113)+((0.67*AX32)/Speed!BK113)</f>
        <v>18.998431827428895</v>
      </c>
      <c r="BY32" s="415">
        <f>((0.33*AY32)/Speed!AL113)+((0.67*AY32)/Speed!BL113)</f>
        <v>19.333258880473828</v>
      </c>
      <c r="BZ32" s="415">
        <f>((0.33*AZ32)/Speed!AM113)+((0.67*AZ32)/Speed!BM113)</f>
        <v>19.668094517147068</v>
      </c>
      <c r="CA32" s="415">
        <f>((0.33*BA32)/Speed!AN113)+((0.67*BA32)/Speed!BN113)</f>
        <v>20.002940171551636</v>
      </c>
      <c r="CB32" s="415">
        <f>((0.33*BB32)/Speed!AO113)+((0.67*BB32)/Speed!BO113)</f>
        <v>20.337921303696703</v>
      </c>
      <c r="CC32" s="415">
        <f>((0.33*BC32)/Speed!AP113)+((0.67*BC32)/Speed!BP113)</f>
        <v>20.672792162474188</v>
      </c>
      <c r="CD32" s="415">
        <f>((0.33*BD32)/Speed!AQ113)+((0.67*BD32)/Speed!BQ113)</f>
        <v>21.007802531679246</v>
      </c>
      <c r="CE32" s="415">
        <f>((0.33*BE32)/Speed!AR113)+((0.67*BE32)/Speed!BR113)</f>
        <v>21.342707199292413</v>
      </c>
      <c r="CF32" s="415">
        <f>((0.33*BF32)/Speed!AS113)+((0.67*BF32)/Speed!BS113)</f>
        <v>21.677632758034768</v>
      </c>
      <c r="CG32" s="415">
        <f>((0.33*BG32)/Speed!AT113)+((0.67*BG32)/Speed!BT113)</f>
        <v>22.01270620206693</v>
      </c>
      <c r="CH32" s="415">
        <f>((0.33*BH32)/Speed!AU113)+((0.67*BH32)/Speed!BU113)</f>
        <v>22.347683387702023</v>
      </c>
      <c r="CI32" s="415">
        <f>((0.33*BI32)/Speed!AV113)+((0.67*BI32)/Speed!BV113)</f>
        <v>22.68269217211289</v>
      </c>
      <c r="CJ32" s="453">
        <f>((0.33*BJ32)/Speed!AW113)+((0.67*BJ32)/Speed!BW113)</f>
        <v>23.017860970404612</v>
      </c>
      <c r="CK32" s="1394"/>
      <c r="CL32" s="1394"/>
      <c r="CM32" s="1402"/>
      <c r="CN32" s="1408"/>
      <c r="CO32" s="12"/>
      <c r="CP32" s="1170"/>
      <c r="CQ32" s="12"/>
      <c r="CR32" s="12"/>
      <c r="CS32" s="12"/>
      <c r="CT32" s="12"/>
      <c r="CU32" s="12"/>
      <c r="CV32" s="12"/>
      <c r="CW32" s="12"/>
      <c r="CX32" s="12"/>
      <c r="CY32" s="12"/>
      <c r="CZ32" s="12"/>
    </row>
    <row r="33" spans="2:104" customFormat="1" ht="21.95" customHeight="1" x14ac:dyDescent="0.2">
      <c r="B33" s="492"/>
      <c r="C33" s="116"/>
      <c r="D33" s="116" t="s">
        <v>343</v>
      </c>
      <c r="E33" s="116" t="s">
        <v>350</v>
      </c>
      <c r="F33" s="116" t="s">
        <v>381</v>
      </c>
      <c r="G33" s="364">
        <v>45</v>
      </c>
      <c r="H33" s="1155">
        <f>975/foottomile</f>
        <v>0.18465909090909091</v>
      </c>
      <c r="I33" s="364">
        <v>4</v>
      </c>
      <c r="J33" s="1162">
        <f>'Trip Gen'!W70</f>
        <v>6000</v>
      </c>
      <c r="K33" s="1151">
        <f>'Trip Gen'!X70</f>
        <v>6206.63</v>
      </c>
      <c r="L33" s="1151">
        <f>'Trip Gen'!Y70</f>
        <v>6437.1599999999989</v>
      </c>
      <c r="M33" s="1151">
        <f>'Trip Gen'!Z70</f>
        <v>6839.8700000000008</v>
      </c>
      <c r="N33" s="1151">
        <f>'Trip Gen'!AA70</f>
        <v>7242.82</v>
      </c>
      <c r="O33" s="1151">
        <f>'Trip Gen'!AB70</f>
        <v>7645.6300000000019</v>
      </c>
      <c r="P33" s="1151">
        <f>'Trip Gen'!AC70</f>
        <v>8048.3400000000011</v>
      </c>
      <c r="Q33" s="1151">
        <f>'Trip Gen'!AD70</f>
        <v>8451.4600000000009</v>
      </c>
      <c r="R33" s="1151">
        <f>'Trip Gen'!AE70</f>
        <v>8970.6400000000012</v>
      </c>
      <c r="S33" s="1151">
        <f>'Trip Gen'!AF70</f>
        <v>9490.1100000000024</v>
      </c>
      <c r="T33" s="1151">
        <f>'Trip Gen'!AG70</f>
        <v>10009.189999999997</v>
      </c>
      <c r="U33" s="1151">
        <f>'Trip Gen'!AH70</f>
        <v>10528.369999999999</v>
      </c>
      <c r="V33" s="1151">
        <f>'Trip Gen'!AI70</f>
        <v>11047.99</v>
      </c>
      <c r="W33" s="1151">
        <f>'Trip Gen'!AJ70</f>
        <v>11394.720000000001</v>
      </c>
      <c r="X33" s="1151">
        <f>'Trip Gen'!AK70</f>
        <v>11601.350000000002</v>
      </c>
      <c r="Y33" s="1151">
        <f>'Trip Gen'!AL70</f>
        <v>11807.980000000001</v>
      </c>
      <c r="Z33" s="1151">
        <f>'Trip Gen'!AM70</f>
        <v>12014.610000000004</v>
      </c>
      <c r="AA33" s="1151">
        <f>'Trip Gen'!AN70</f>
        <v>12221.360000000004</v>
      </c>
      <c r="AB33" s="1151">
        <f>'Trip Gen'!AO70</f>
        <v>12427.990000000002</v>
      </c>
      <c r="AC33" s="1151">
        <f>'Trip Gen'!AP70</f>
        <v>12634.739999999998</v>
      </c>
      <c r="AD33" s="1151">
        <f>'Trip Gen'!AQ70</f>
        <v>12841.37</v>
      </c>
      <c r="AE33" s="1151">
        <f>'Trip Gen'!AR70</f>
        <v>13048</v>
      </c>
      <c r="AF33" s="1151">
        <f>'Trip Gen'!AS70</f>
        <v>13254.75</v>
      </c>
      <c r="AG33" s="1151">
        <f>'Trip Gen'!AT70</f>
        <v>13461.380000000001</v>
      </c>
      <c r="AH33" s="1151">
        <f>'Trip Gen'!AU70</f>
        <v>13668.01</v>
      </c>
      <c r="AI33" s="1151">
        <f>'Trip Gen'!AV70</f>
        <v>13874.76</v>
      </c>
      <c r="AJ33" s="1182">
        <f t="shared" si="84"/>
        <v>5.2498400000000001E-2</v>
      </c>
      <c r="AK33" s="1162">
        <f t="shared" si="25"/>
        <v>1107.9545454545455</v>
      </c>
      <c r="AL33" s="364">
        <f t="shared" si="85"/>
        <v>1146.1106534090909</v>
      </c>
      <c r="AM33" s="364">
        <f t="shared" si="86"/>
        <v>1188.6801136363636</v>
      </c>
      <c r="AN33" s="364">
        <f t="shared" si="87"/>
        <v>1263.0441761363638</v>
      </c>
      <c r="AO33" s="364">
        <f t="shared" si="88"/>
        <v>1337.4525568181818</v>
      </c>
      <c r="AP33" s="364">
        <f t="shared" si="89"/>
        <v>1411.8350852272731</v>
      </c>
      <c r="AQ33" s="364">
        <f t="shared" si="90"/>
        <v>1486.1991477272729</v>
      </c>
      <c r="AR33" s="364">
        <f t="shared" si="91"/>
        <v>1560.6389204545455</v>
      </c>
      <c r="AS33" s="364">
        <f t="shared" si="92"/>
        <v>1656.5102272727274</v>
      </c>
      <c r="AT33" s="364">
        <f t="shared" si="93"/>
        <v>1752.4350852272732</v>
      </c>
      <c r="AU33" s="364">
        <f t="shared" si="94"/>
        <v>1848.287926136363</v>
      </c>
      <c r="AV33" s="364">
        <f t="shared" si="95"/>
        <v>1944.1592329545454</v>
      </c>
      <c r="AW33" s="364">
        <f t="shared" si="96"/>
        <v>2040.1117897727272</v>
      </c>
      <c r="AX33" s="364">
        <f t="shared" si="97"/>
        <v>2104.1386363636366</v>
      </c>
      <c r="AY33" s="364">
        <f t="shared" si="98"/>
        <v>2142.2947443181824</v>
      </c>
      <c r="AZ33" s="364">
        <f t="shared" si="99"/>
        <v>2180.4508522727274</v>
      </c>
      <c r="BA33" s="364">
        <f t="shared" si="100"/>
        <v>2218.6069602272737</v>
      </c>
      <c r="BB33" s="364">
        <f t="shared" si="101"/>
        <v>2256.7852272727282</v>
      </c>
      <c r="BC33" s="364">
        <f t="shared" si="102"/>
        <v>2294.9413352272732</v>
      </c>
      <c r="BD33" s="364">
        <f t="shared" si="103"/>
        <v>2333.1196022727268</v>
      </c>
      <c r="BE33" s="364">
        <f t="shared" si="104"/>
        <v>2371.2757102272731</v>
      </c>
      <c r="BF33" s="364">
        <f t="shared" si="105"/>
        <v>2409.431818181818</v>
      </c>
      <c r="BG33" s="364">
        <f t="shared" si="106"/>
        <v>2447.610085227273</v>
      </c>
      <c r="BH33" s="364">
        <f t="shared" si="107"/>
        <v>2485.7661931818184</v>
      </c>
      <c r="BI33" s="364">
        <f t="shared" si="108"/>
        <v>2523.9223011363638</v>
      </c>
      <c r="BJ33" s="365">
        <f t="shared" si="109"/>
        <v>2562.1005681818183</v>
      </c>
      <c r="BK33" s="417">
        <f>((0.33*'Traffic Data'!AK33)/Speed!X114)+((0.67*'Traffic Data'!AK33)/Speed!AX114)</f>
        <v>24.138443278803063</v>
      </c>
      <c r="BL33" s="415">
        <f>((0.33*AL33)/Speed!Y114)+((0.67*AL33)/Speed!AY114)</f>
        <v>24.969731044053681</v>
      </c>
      <c r="BM33" s="415">
        <f>((0.33*AM33)/Speed!Z114)+((0.67*AM33)/Speed!AZ114)</f>
        <v>25.897170280960353</v>
      </c>
      <c r="BN33" s="415">
        <f>((0.33*AN33)/Speed!AA114)+((0.67*AN33)/Speed!BA114)</f>
        <v>27.517302408307703</v>
      </c>
      <c r="BO33" s="415">
        <f>((0.33*AO33)/Speed!AB114)+((0.67*AO33)/Speed!BB114)</f>
        <v>29.138400110810011</v>
      </c>
      <c r="BP33" s="415">
        <f>((0.33*AP33)/Speed!AC114)+((0.67*AP33)/Speed!BC114)</f>
        <v>30.758934645377032</v>
      </c>
      <c r="BQ33" s="415">
        <f>((0.33*AQ33)/Speed!AD114)+((0.67*AQ33)/Speed!BD114)</f>
        <v>32.3790669738964</v>
      </c>
      <c r="BR33" s="415">
        <f>((0.33*AR33)/Speed!AE114)+((0.67*AR33)/Speed!BE114)</f>
        <v>34.00084892386316</v>
      </c>
      <c r="BS33" s="415">
        <f>((0.33*AS33)/Speed!AF114)+((0.67*AS33)/Speed!BF114)</f>
        <v>36.089549330360207</v>
      </c>
      <c r="BT33" s="415">
        <f>((0.33*AT33)/Speed!AG114)+((0.67*AT33)/Speed!BG114)</f>
        <v>38.179417141866878</v>
      </c>
      <c r="BU33" s="415">
        <f>((0.33*AU33)/Speed!AH114)+((0.67*AU33)/Speed!BH114)</f>
        <v>40.267717133065226</v>
      </c>
      <c r="BV33" s="415">
        <f>((0.33*AV33)/Speed!AI114)+((0.67*AV33)/Speed!BI114)</f>
        <v>42.356421334028532</v>
      </c>
      <c r="BW33" s="415">
        <f>((0.33*AW33)/Speed!AJ114)+((0.67*AW33)/Speed!BJ114)</f>
        <v>44.446898689309592</v>
      </c>
      <c r="BX33" s="415">
        <f>((0.33*AX33)/Speed!AK114)+((0.67*AX33)/Speed!BK114)</f>
        <v>45.841826680051845</v>
      </c>
      <c r="BY33" s="415">
        <f>((0.33*AY33)/Speed!AL114)+((0.67*AY33)/Speed!BL114)</f>
        <v>46.673120188868111</v>
      </c>
      <c r="BZ33" s="415">
        <f>((0.33*AZ33)/Speed!AM114)+((0.67*AZ33)/Speed!BM114)</f>
        <v>47.504414819114757</v>
      </c>
      <c r="CA33" s="415">
        <f>((0.33*BA33)/Speed!AN114)+((0.67*BA33)/Speed!BN114)</f>
        <v>48.335710763867112</v>
      </c>
      <c r="CB33" s="415">
        <f>((0.33*BB33)/Speed!AO114)+((0.67*BB33)/Speed!BO114)</f>
        <v>49.167491020160242</v>
      </c>
      <c r="CC33" s="415">
        <f>((0.33*BC33)/Speed!AP114)+((0.67*BC33)/Speed!BP114)</f>
        <v>49.998790293859372</v>
      </c>
      <c r="CD33" s="415">
        <f>((0.33*BD33)/Speed!AQ114)+((0.67*BD33)/Speed!BQ114)</f>
        <v>50.830574428101855</v>
      </c>
      <c r="CE33" s="415">
        <f>((0.33*BE33)/Speed!AR114)+((0.67*BE33)/Speed!BR114)</f>
        <v>51.661878202665449</v>
      </c>
      <c r="CF33" s="415">
        <f>((0.33*BF33)/Speed!AS114)+((0.67*BF33)/Speed!BS114)</f>
        <v>52.493184773383319</v>
      </c>
      <c r="CG33" s="415">
        <f>((0.33*BG33)/Speed!AT114)+((0.67*BG33)/Speed!BT114)</f>
        <v>53.324977354795955</v>
      </c>
      <c r="CH33" s="415">
        <f>((0.33*BH33)/Speed!AU114)+((0.67*BH33)/Speed!BU114)</f>
        <v>54.156290873968615</v>
      </c>
      <c r="CI33" s="415">
        <f>((0.33*BI33)/Speed!AV114)+((0.67*BI33)/Speed!BV114)</f>
        <v>54.987608666846029</v>
      </c>
      <c r="CJ33" s="453">
        <f>((0.33*BJ33)/Speed!AW114)+((0.67*BJ33)/Speed!BW114)</f>
        <v>55.819414151919091</v>
      </c>
      <c r="CK33" s="1394"/>
      <c r="CL33" s="1394"/>
      <c r="CM33" s="1402"/>
      <c r="CN33" s="1408"/>
      <c r="CO33" s="12"/>
      <c r="CP33" s="1170"/>
      <c r="CQ33" s="12"/>
      <c r="CR33" s="12"/>
      <c r="CS33" s="12"/>
      <c r="CT33" s="12"/>
      <c r="CU33" s="12"/>
      <c r="CV33" s="12"/>
      <c r="CW33" s="12"/>
      <c r="CX33" s="12"/>
      <c r="CY33" s="12"/>
      <c r="CZ33" s="12"/>
    </row>
    <row r="34" spans="2:104" customFormat="1" ht="21.95" customHeight="1" x14ac:dyDescent="0.2">
      <c r="B34" s="492"/>
      <c r="C34" s="116"/>
      <c r="D34" s="116" t="s">
        <v>350</v>
      </c>
      <c r="E34" s="116" t="s">
        <v>280</v>
      </c>
      <c r="F34" s="116" t="s">
        <v>381</v>
      </c>
      <c r="G34" s="364">
        <v>55</v>
      </c>
      <c r="H34" s="1155">
        <f>8095/foottomile</f>
        <v>1.5331439393939394</v>
      </c>
      <c r="I34" s="364">
        <v>4</v>
      </c>
      <c r="J34" s="1162">
        <f>J33</f>
        <v>6000</v>
      </c>
      <c r="K34" s="1151">
        <f>K33</f>
        <v>6206.63</v>
      </c>
      <c r="L34" s="1151">
        <f t="shared" ref="L34:AI34" si="111">L33</f>
        <v>6437.1599999999989</v>
      </c>
      <c r="M34" s="1151">
        <f t="shared" si="111"/>
        <v>6839.8700000000008</v>
      </c>
      <c r="N34" s="1151">
        <f t="shared" si="111"/>
        <v>7242.82</v>
      </c>
      <c r="O34" s="1151">
        <f t="shared" si="111"/>
        <v>7645.6300000000019</v>
      </c>
      <c r="P34" s="1151">
        <f t="shared" si="111"/>
        <v>8048.3400000000011</v>
      </c>
      <c r="Q34" s="1151">
        <f t="shared" si="111"/>
        <v>8451.4600000000009</v>
      </c>
      <c r="R34" s="1151">
        <f t="shared" si="111"/>
        <v>8970.6400000000012</v>
      </c>
      <c r="S34" s="1151">
        <f t="shared" si="111"/>
        <v>9490.1100000000024</v>
      </c>
      <c r="T34" s="1151">
        <f t="shared" si="111"/>
        <v>10009.189999999997</v>
      </c>
      <c r="U34" s="1151">
        <f t="shared" si="111"/>
        <v>10528.369999999999</v>
      </c>
      <c r="V34" s="1151">
        <f t="shared" si="111"/>
        <v>11047.99</v>
      </c>
      <c r="W34" s="1151">
        <f t="shared" si="111"/>
        <v>11394.720000000001</v>
      </c>
      <c r="X34" s="1151">
        <f t="shared" si="111"/>
        <v>11601.350000000002</v>
      </c>
      <c r="Y34" s="1151">
        <f t="shared" si="111"/>
        <v>11807.980000000001</v>
      </c>
      <c r="Z34" s="1151">
        <f t="shared" si="111"/>
        <v>12014.610000000004</v>
      </c>
      <c r="AA34" s="1151">
        <f t="shared" si="111"/>
        <v>12221.360000000004</v>
      </c>
      <c r="AB34" s="1151">
        <f t="shared" si="111"/>
        <v>12427.990000000002</v>
      </c>
      <c r="AC34" s="1151">
        <f t="shared" si="111"/>
        <v>12634.739999999998</v>
      </c>
      <c r="AD34" s="1151">
        <f t="shared" si="111"/>
        <v>12841.37</v>
      </c>
      <c r="AE34" s="1151">
        <f t="shared" si="111"/>
        <v>13048</v>
      </c>
      <c r="AF34" s="1151">
        <f t="shared" si="111"/>
        <v>13254.75</v>
      </c>
      <c r="AG34" s="1151">
        <f t="shared" si="111"/>
        <v>13461.380000000001</v>
      </c>
      <c r="AH34" s="1151">
        <f t="shared" si="111"/>
        <v>13668.01</v>
      </c>
      <c r="AI34" s="1151">
        <f t="shared" si="111"/>
        <v>13874.76</v>
      </c>
      <c r="AJ34" s="1182">
        <f t="shared" si="84"/>
        <v>5.2498400000000001E-2</v>
      </c>
      <c r="AK34" s="1162">
        <f t="shared" si="25"/>
        <v>9198.863636363636</v>
      </c>
      <c r="AL34" s="364">
        <f t="shared" si="85"/>
        <v>9515.6571685606068</v>
      </c>
      <c r="AM34" s="364">
        <f t="shared" si="86"/>
        <v>9869.0928409090902</v>
      </c>
      <c r="AN34" s="364">
        <f t="shared" si="87"/>
        <v>10486.505236742425</v>
      </c>
      <c r="AO34" s="364">
        <f t="shared" si="88"/>
        <v>11104.285587121212</v>
      </c>
      <c r="AP34" s="364">
        <f t="shared" si="89"/>
        <v>11721.851297348489</v>
      </c>
      <c r="AQ34" s="364">
        <f t="shared" si="90"/>
        <v>12339.26369318182</v>
      </c>
      <c r="AR34" s="364">
        <f t="shared" si="91"/>
        <v>12957.304678030305</v>
      </c>
      <c r="AS34" s="364">
        <f t="shared" si="92"/>
        <v>13753.28234848485</v>
      </c>
      <c r="AT34" s="364">
        <f t="shared" si="93"/>
        <v>14549.704630681823</v>
      </c>
      <c r="AU34" s="364">
        <f t="shared" si="94"/>
        <v>15345.52898674242</v>
      </c>
      <c r="AV34" s="364">
        <f t="shared" si="95"/>
        <v>16141.506657196969</v>
      </c>
      <c r="AW34" s="364">
        <f t="shared" si="96"/>
        <v>16938.15891098485</v>
      </c>
      <c r="AX34" s="364">
        <f t="shared" si="97"/>
        <v>17469.745909090911</v>
      </c>
      <c r="AY34" s="364">
        <f t="shared" si="98"/>
        <v>17786.539441287881</v>
      </c>
      <c r="AZ34" s="364">
        <f t="shared" si="99"/>
        <v>18103.332973484852</v>
      </c>
      <c r="BA34" s="364">
        <f t="shared" si="100"/>
        <v>18420.126505681827</v>
      </c>
      <c r="BB34" s="364">
        <f t="shared" si="101"/>
        <v>18737.104015151523</v>
      </c>
      <c r="BC34" s="364">
        <f t="shared" si="102"/>
        <v>19053.89754734849</v>
      </c>
      <c r="BD34" s="364">
        <f t="shared" si="103"/>
        <v>19370.875056818179</v>
      </c>
      <c r="BE34" s="364">
        <f t="shared" si="104"/>
        <v>19687.668589015153</v>
      </c>
      <c r="BF34" s="364">
        <f t="shared" si="105"/>
        <v>20004.46212121212</v>
      </c>
      <c r="BG34" s="364">
        <f t="shared" si="106"/>
        <v>20321.43963068182</v>
      </c>
      <c r="BH34" s="364">
        <f t="shared" si="107"/>
        <v>20638.233162878791</v>
      </c>
      <c r="BI34" s="364">
        <f t="shared" si="108"/>
        <v>20955.026695075758</v>
      </c>
      <c r="BJ34" s="365">
        <f t="shared" si="109"/>
        <v>21272.004204545454</v>
      </c>
      <c r="BK34" s="417">
        <f>((0.33*'Traffic Data'!AK34)/Speed!X115)+((0.67*'Traffic Data'!AK34)/Speed!AX115)</f>
        <v>164.55927798828586</v>
      </c>
      <c r="BL34" s="415">
        <f>((0.33*AL34)/Speed!Y115)+((0.67*AL34)/Speed!AY115)</f>
        <v>170.22642528046316</v>
      </c>
      <c r="BM34" s="415">
        <f>((0.33*AM34)/Speed!Z115)+((0.67*AM34)/Speed!AZ115)</f>
        <v>176.54906704481721</v>
      </c>
      <c r="BN34" s="415">
        <f>((0.33*AN34)/Speed!AA115)+((0.67*AN34)/Speed!BA115)</f>
        <v>187.59401163122465</v>
      </c>
      <c r="BO34" s="415">
        <f>((0.33*AO34)/Speed!AB115)+((0.67*AO34)/Speed!BB115)</f>
        <v>198.64553868253029</v>
      </c>
      <c r="BP34" s="415">
        <f>((0.33*AP34)/Speed!AC115)+((0.67*AP34)/Speed!BC115)</f>
        <v>209.69322617373479</v>
      </c>
      <c r="BQ34" s="415">
        <f>((0.33*AQ34)/Speed!AD115)+((0.67*AQ34)/Speed!BD115)</f>
        <v>220.73817126425035</v>
      </c>
      <c r="BR34" s="415">
        <f>((0.33*AR34)/Speed!AE115)+((0.67*AR34)/Speed!BE115)</f>
        <v>231.79436164259732</v>
      </c>
      <c r="BS34" s="415">
        <f>((0.33*AS34)/Speed!AF115)+((0.67*AS34)/Speed!BF115)</f>
        <v>246.03367824620614</v>
      </c>
      <c r="BT34" s="415">
        <f>((0.33*AT34)/Speed!AG115)+((0.67*AT34)/Speed!BG115)</f>
        <v>260.28095033639124</v>
      </c>
      <c r="BU34" s="415">
        <f>((0.33*AU34)/Speed!AH115)+((0.67*AU34)/Speed!BH115)</f>
        <v>274.5175290266709</v>
      </c>
      <c r="BV34" s="415">
        <f>((0.33*AV34)/Speed!AI115)+((0.67*AV34)/Speed!BI115)</f>
        <v>288.75685513866716</v>
      </c>
      <c r="BW34" s="415">
        <f>((0.33*AW34)/Speed!AJ115)+((0.67*AW34)/Speed!BJ115)</f>
        <v>303.00825645315564</v>
      </c>
      <c r="BX34" s="415">
        <f>((0.33*AX34)/Speed!AK115)+((0.67*AX34)/Speed!BK115)</f>
        <v>312.5178818680501</v>
      </c>
      <c r="BY34" s="415">
        <f>((0.33*AY34)/Speed!AL115)+((0.67*AY34)/Speed!BL115)</f>
        <v>318.18504355277798</v>
      </c>
      <c r="BZ34" s="415">
        <f>((0.33*AZ34)/Speed!AM115)+((0.67*AZ34)/Speed!BM115)</f>
        <v>323.85220804764947</v>
      </c>
      <c r="CA34" s="415">
        <f>((0.33*BA34)/Speed!AN115)+((0.67*BA34)/Speed!BN115)</f>
        <v>329.51937583648345</v>
      </c>
      <c r="CB34" s="415">
        <f>((0.33*BB34)/Speed!AO115)+((0.67*BB34)/Speed!BO115)</f>
        <v>335.18983867659966</v>
      </c>
      <c r="CC34" s="415">
        <f>((0.33*BC34)/Speed!AP115)+((0.67*BC34)/Speed!BP115)</f>
        <v>340.85701480729614</v>
      </c>
      <c r="CD34" s="415">
        <f>((0.33*BD34)/Speed!AQ115)+((0.67*BD34)/Speed!BQ115)</f>
        <v>346.52748736499643</v>
      </c>
      <c r="CE34" s="415">
        <f>((0.33*BE34)/Speed!AR115)+((0.67*BE34)/Speed!BR115)</f>
        <v>352.1946747742129</v>
      </c>
      <c r="CF34" s="415">
        <f>((0.33*BF34)/Speed!AS115)+((0.67*BF34)/Speed!BS115)</f>
        <v>357.86186919019036</v>
      </c>
      <c r="CG34" s="415">
        <f>((0.33*BG34)/Speed!AT115)+((0.67*BG34)/Speed!BT115)</f>
        <v>363.532362915286</v>
      </c>
      <c r="CH34" s="415">
        <f>((0.33*BH34)/Speed!AU115)+((0.67*BH34)/Speed!BU115)</f>
        <v>369.19957474309331</v>
      </c>
      <c r="CI34" s="415">
        <f>((0.33*BI34)/Speed!AV115)+((0.67*BI34)/Speed!BV115)</f>
        <v>374.86679728019084</v>
      </c>
      <c r="CJ34" s="453">
        <f>((0.33*BJ34)/Speed!AW115)+((0.67*BJ34)/Speed!BW115)</f>
        <v>380.53732334000637</v>
      </c>
      <c r="CK34" s="1394"/>
      <c r="CL34" s="1394"/>
      <c r="CM34" s="1402"/>
      <c r="CN34" s="1408"/>
      <c r="CO34" s="12"/>
      <c r="CP34" s="1170"/>
      <c r="CQ34" s="12"/>
      <c r="CR34" s="12"/>
      <c r="CS34" s="12"/>
      <c r="CT34" s="12"/>
      <c r="CU34" s="12"/>
      <c r="CV34" s="12"/>
      <c r="CW34" s="12"/>
      <c r="CX34" s="12"/>
      <c r="CY34" s="12"/>
      <c r="CZ34" s="12"/>
    </row>
    <row r="35" spans="2:104" customFormat="1" ht="21.95" customHeight="1" thickBot="1" x14ac:dyDescent="0.25">
      <c r="B35" s="795"/>
      <c r="C35" s="278"/>
      <c r="D35" s="278" t="s">
        <v>280</v>
      </c>
      <c r="E35" s="278" t="s">
        <v>333</v>
      </c>
      <c r="F35" s="278"/>
      <c r="G35" s="1166">
        <v>55</v>
      </c>
      <c r="H35" s="1177">
        <f>500/foottomile</f>
        <v>9.4696969696969696E-2</v>
      </c>
      <c r="I35" s="1166">
        <v>4</v>
      </c>
      <c r="J35" s="1165">
        <v>2400</v>
      </c>
      <c r="K35" s="1166">
        <f>K34*0.4</f>
        <v>2482.652</v>
      </c>
      <c r="L35" s="1166">
        <f t="shared" ref="L35:AI35" si="112">L34*0.4</f>
        <v>2574.8639999999996</v>
      </c>
      <c r="M35" s="1166">
        <f t="shared" si="112"/>
        <v>2735.9480000000003</v>
      </c>
      <c r="N35" s="1166">
        <f t="shared" si="112"/>
        <v>2897.1280000000002</v>
      </c>
      <c r="O35" s="1166">
        <f t="shared" si="112"/>
        <v>3058.2520000000009</v>
      </c>
      <c r="P35" s="1166">
        <f t="shared" si="112"/>
        <v>3219.3360000000007</v>
      </c>
      <c r="Q35" s="1166">
        <f t="shared" si="112"/>
        <v>3380.5840000000007</v>
      </c>
      <c r="R35" s="1166">
        <f t="shared" si="112"/>
        <v>3588.2560000000008</v>
      </c>
      <c r="S35" s="1166">
        <f t="shared" si="112"/>
        <v>3796.0440000000012</v>
      </c>
      <c r="T35" s="1166">
        <f t="shared" si="112"/>
        <v>4003.675999999999</v>
      </c>
      <c r="U35" s="1166">
        <f t="shared" si="112"/>
        <v>4211.348</v>
      </c>
      <c r="V35" s="1166">
        <f t="shared" si="112"/>
        <v>4419.1959999999999</v>
      </c>
      <c r="W35" s="1166">
        <f t="shared" si="112"/>
        <v>4557.8880000000008</v>
      </c>
      <c r="X35" s="1166">
        <f t="shared" si="112"/>
        <v>4640.5400000000009</v>
      </c>
      <c r="Y35" s="1166">
        <f t="shared" si="112"/>
        <v>4723.1920000000009</v>
      </c>
      <c r="Z35" s="1166">
        <f t="shared" si="112"/>
        <v>4805.8440000000019</v>
      </c>
      <c r="AA35" s="1166">
        <f t="shared" si="112"/>
        <v>4888.5440000000017</v>
      </c>
      <c r="AB35" s="1166">
        <f t="shared" si="112"/>
        <v>4971.1960000000008</v>
      </c>
      <c r="AC35" s="1166">
        <f t="shared" si="112"/>
        <v>5053.8959999999997</v>
      </c>
      <c r="AD35" s="1166">
        <f t="shared" si="112"/>
        <v>5136.5480000000007</v>
      </c>
      <c r="AE35" s="1166">
        <f t="shared" si="112"/>
        <v>5219.2000000000007</v>
      </c>
      <c r="AF35" s="1166">
        <f t="shared" si="112"/>
        <v>5301.9000000000005</v>
      </c>
      <c r="AG35" s="1166">
        <f t="shared" si="112"/>
        <v>5384.5520000000006</v>
      </c>
      <c r="AH35" s="1166">
        <f t="shared" si="112"/>
        <v>5467.2040000000006</v>
      </c>
      <c r="AI35" s="1166">
        <f t="shared" si="112"/>
        <v>5549.9040000000005</v>
      </c>
      <c r="AJ35" s="1185">
        <f t="shared" si="84"/>
        <v>5.2498400000000008E-2</v>
      </c>
      <c r="AK35" s="1165">
        <f t="shared" si="25"/>
        <v>227.27272727272728</v>
      </c>
      <c r="AL35" s="1166">
        <f t="shared" si="85"/>
        <v>235.09962121212121</v>
      </c>
      <c r="AM35" s="1166">
        <f t="shared" si="86"/>
        <v>243.83181818181814</v>
      </c>
      <c r="AN35" s="1166">
        <f t="shared" si="87"/>
        <v>259.08598484848488</v>
      </c>
      <c r="AO35" s="1166">
        <f t="shared" si="88"/>
        <v>274.34924242424245</v>
      </c>
      <c r="AP35" s="1166">
        <f t="shared" si="89"/>
        <v>289.60719696969704</v>
      </c>
      <c r="AQ35" s="1166">
        <f t="shared" si="90"/>
        <v>304.86136363636371</v>
      </c>
      <c r="AR35" s="1166">
        <f t="shared" si="91"/>
        <v>320.13106060606066</v>
      </c>
      <c r="AS35" s="1166">
        <f t="shared" si="92"/>
        <v>339.79696969696977</v>
      </c>
      <c r="AT35" s="1166">
        <f t="shared" si="93"/>
        <v>359.47386363636377</v>
      </c>
      <c r="AU35" s="1166">
        <f t="shared" si="94"/>
        <v>379.13598484848472</v>
      </c>
      <c r="AV35" s="1166">
        <f t="shared" si="95"/>
        <v>398.80189393939395</v>
      </c>
      <c r="AW35" s="1166">
        <f t="shared" si="96"/>
        <v>418.48446969696971</v>
      </c>
      <c r="AX35" s="1166">
        <f t="shared" si="97"/>
        <v>431.61818181818188</v>
      </c>
      <c r="AY35" s="1166">
        <f t="shared" si="98"/>
        <v>439.44507575757586</v>
      </c>
      <c r="AZ35" s="1166">
        <f t="shared" si="99"/>
        <v>447.27196969696979</v>
      </c>
      <c r="BA35" s="1166">
        <f t="shared" si="100"/>
        <v>455.09886363636383</v>
      </c>
      <c r="BB35" s="1166">
        <f t="shared" si="101"/>
        <v>462.93030303030321</v>
      </c>
      <c r="BC35" s="1166">
        <f t="shared" si="102"/>
        <v>470.75719696969702</v>
      </c>
      <c r="BD35" s="1166">
        <f t="shared" si="103"/>
        <v>478.58863636363634</v>
      </c>
      <c r="BE35" s="1166">
        <f t="shared" si="104"/>
        <v>486.41553030303038</v>
      </c>
      <c r="BF35" s="1166">
        <f t="shared" si="105"/>
        <v>494.24242424242431</v>
      </c>
      <c r="BG35" s="1166">
        <f t="shared" si="106"/>
        <v>502.07386363636368</v>
      </c>
      <c r="BH35" s="1166">
        <f t="shared" si="107"/>
        <v>509.90075757575761</v>
      </c>
      <c r="BI35" s="1166">
        <f t="shared" si="108"/>
        <v>517.72765151515159</v>
      </c>
      <c r="BJ35" s="1167">
        <f t="shared" si="109"/>
        <v>525.55909090909097</v>
      </c>
      <c r="BK35" s="417">
        <f>((0.33*'Traffic Data'!AK35)/Speed!X116)+((0.67*'Traffic Data'!AK35)/Speed!AX116)</f>
        <v>4.1098166073256728</v>
      </c>
      <c r="BL35" s="415">
        <f>((0.33*AL35)/Speed!Y116)+((0.67*AL35)/Speed!AY116)</f>
        <v>4.251352829870549</v>
      </c>
      <c r="BM35" s="415">
        <f>((0.33*AM35)/Speed!Z116)+((0.67*AM35)/Speed!AZ116)</f>
        <v>4.4092604407971541</v>
      </c>
      <c r="BN35" s="415">
        <f>((0.33*AN35)/Speed!AA116)+((0.67*AN35)/Speed!BA116)</f>
        <v>4.6851092014513327</v>
      </c>
      <c r="BO35" s="415">
        <f>((0.33*AO35)/Speed!AB116)+((0.67*AO35)/Speed!BB116)</f>
        <v>4.9611262613522227</v>
      </c>
      <c r="BP35" s="415">
        <f>((0.33*AP35)/Speed!AC116)+((0.67*AP35)/Speed!BC116)</f>
        <v>5.2370539401404228</v>
      </c>
      <c r="BQ35" s="415">
        <f>((0.33*AQ35)/Speed!AD116)+((0.67*AQ35)/Speed!BD116)</f>
        <v>5.5129237006607008</v>
      </c>
      <c r="BR35" s="415">
        <f>((0.33*AR35)/Speed!AE116)+((0.67*AR35)/Speed!BE116)</f>
        <v>5.7890911214087266</v>
      </c>
      <c r="BS35" s="415">
        <f>((0.33*AS35)/Speed!AF116)+((0.67*AS35)/Speed!BF116)</f>
        <v>6.1448085015521556</v>
      </c>
      <c r="BT35" s="415">
        <f>((0.33*AT35)/Speed!AG116)+((0.67*AT35)/Speed!BG116)</f>
        <v>6.5007990122071329</v>
      </c>
      <c r="BU35" s="415">
        <f>((0.33*AU35)/Speed!AH116)+((0.67*AU35)/Speed!BH116)</f>
        <v>6.8566454060839988</v>
      </c>
      <c r="BV35" s="415">
        <f>((0.33*AV35)/Speed!AI116)+((0.67*AV35)/Speed!BI116)</f>
        <v>7.212758881480589</v>
      </c>
      <c r="BW35" s="415">
        <f>((0.33*AW35)/Speed!AJ116)+((0.67*AW35)/Speed!BJ116)</f>
        <v>7.5694870952593636</v>
      </c>
      <c r="BX35" s="415">
        <f>((0.33*AX35)/Speed!AK116)+((0.67*AX35)/Speed!BK116)</f>
        <v>7.8077782645697855</v>
      </c>
      <c r="BY35" s="415">
        <f>((0.33*AY35)/Speed!AL116)+((0.67*AY35)/Speed!BL116)</f>
        <v>7.9499140441904315</v>
      </c>
      <c r="BZ35" s="415">
        <f>((0.33*AZ35)/Speed!AM116)+((0.67*AZ35)/Speed!BM116)</f>
        <v>8.0921668872469681</v>
      </c>
      <c r="CA35" s="415">
        <f>((0.33*BA35)/Speed!AN116)+((0.67*BA35)/Speed!BN116)</f>
        <v>8.2345569484080237</v>
      </c>
      <c r="CB35" s="415">
        <f>((0.33*BB35)/Speed!AO116)+((0.67*BB35)/Speed!BO116)</f>
        <v>8.3771902420740112</v>
      </c>
      <c r="CC35" s="415">
        <f>((0.33*BC35)/Speed!AP116)+((0.67*BC35)/Speed!BP116)</f>
        <v>8.5199278040251372</v>
      </c>
      <c r="CD35" s="415">
        <f>((0.33*BD35)/Speed!AQ116)+((0.67*BD35)/Speed!BQ116)</f>
        <v>8.662965907549653</v>
      </c>
      <c r="CE35" s="415">
        <f>((0.33*BE35)/Speed!AR116)+((0.67*BE35)/Speed!BR116)</f>
        <v>8.8061733039726882</v>
      </c>
      <c r="CF35" s="415">
        <f>((0.33*BF35)/Speed!AS116)+((0.67*BF35)/Speed!BS116)</f>
        <v>8.9496725842516547</v>
      </c>
      <c r="CG35" s="415">
        <f>((0.33*BG35)/Speed!AT116)+((0.67*BG35)/Speed!BT116)</f>
        <v>9.0935924676540019</v>
      </c>
      <c r="CH35" s="415">
        <f>((0.33*BH35)/Speed!AU116)+((0.67*BH35)/Speed!BU116)</f>
        <v>9.2378170805035076</v>
      </c>
      <c r="CI35" s="415">
        <f>((0.33*BI35)/Speed!AV116)+((0.67*BI35)/Speed!BV116)</f>
        <v>9.3824878151671687</v>
      </c>
      <c r="CJ35" s="462">
        <f>((0.33*BJ35)/Speed!AW116)+((0.67*BJ35)/Speed!BW116)</f>
        <v>9.5277546808111335</v>
      </c>
      <c r="CK35" s="1400"/>
      <c r="CL35" s="1400"/>
      <c r="CM35" s="1403"/>
      <c r="CN35" s="1410"/>
      <c r="CO35" s="12"/>
      <c r="CP35" s="1170"/>
      <c r="CQ35" s="12"/>
      <c r="CR35" s="12"/>
      <c r="CS35" s="12"/>
      <c r="CT35" s="12"/>
      <c r="CU35" s="12"/>
      <c r="CV35" s="12"/>
      <c r="CW35" s="12"/>
      <c r="CX35" s="12"/>
      <c r="CY35" s="12"/>
      <c r="CZ35" s="12"/>
    </row>
    <row r="36" spans="2:104" customFormat="1" ht="21.95" customHeight="1" x14ac:dyDescent="0.2">
      <c r="B36" s="572" t="s">
        <v>359</v>
      </c>
      <c r="C36" s="1424" t="s">
        <v>331</v>
      </c>
      <c r="D36" s="574" t="s">
        <v>332</v>
      </c>
      <c r="E36" s="574" t="s">
        <v>282</v>
      </c>
      <c r="F36" s="281" t="s">
        <v>368</v>
      </c>
      <c r="G36" s="282">
        <v>70</v>
      </c>
      <c r="H36" s="283">
        <v>9.5000000000000001E-2</v>
      </c>
      <c r="I36" s="284">
        <v>4</v>
      </c>
      <c r="J36" s="329">
        <f>'Trip Gen'!W104</f>
        <v>16000</v>
      </c>
      <c r="K36" s="285">
        <f>'Trip Gen'!X104</f>
        <v>16727.55</v>
      </c>
      <c r="L36" s="285">
        <f>'Trip Gen'!Y104</f>
        <v>17752.600000000002</v>
      </c>
      <c r="M36" s="285">
        <f>'Trip Gen'!Z104</f>
        <v>19260.400000000001</v>
      </c>
      <c r="N36" s="285">
        <f>'Trip Gen'!AA104</f>
        <v>20768.75</v>
      </c>
      <c r="O36" s="285">
        <f>'Trip Gen'!AB104</f>
        <v>22277.1</v>
      </c>
      <c r="P36" s="285">
        <f>'Trip Gen'!AC104</f>
        <v>23784.899999999998</v>
      </c>
      <c r="Q36" s="285">
        <f>'Trip Gen'!AD104</f>
        <v>25293.799999999996</v>
      </c>
      <c r="R36" s="285">
        <f>'Trip Gen'!AE104</f>
        <v>26784.85</v>
      </c>
      <c r="S36" s="285">
        <f>'Trip Gen'!AF104</f>
        <v>28276.2</v>
      </c>
      <c r="T36" s="285">
        <f>'Trip Gen'!AG104</f>
        <v>29767.250000000004</v>
      </c>
      <c r="U36" s="285">
        <f>'Trip Gen'!AH104</f>
        <v>31258.300000000003</v>
      </c>
      <c r="V36" s="285">
        <f>'Trip Gen'!AI104</f>
        <v>32750.45</v>
      </c>
      <c r="W36" s="285">
        <f>'Trip Gen'!AJ104</f>
        <v>33758.200000000004</v>
      </c>
      <c r="X36" s="285">
        <f>'Trip Gen'!AK104</f>
        <v>34485.75</v>
      </c>
      <c r="Y36" s="285">
        <f>'Trip Gen'!AL104</f>
        <v>35213.299999999996</v>
      </c>
      <c r="Z36" s="285">
        <f>'Trip Gen'!AM104</f>
        <v>35940.85</v>
      </c>
      <c r="AA36" s="285">
        <f>'Trip Gen'!AN104</f>
        <v>36668.65</v>
      </c>
      <c r="AB36" s="285">
        <f>'Trip Gen'!AO104</f>
        <v>37396.200000000004</v>
      </c>
      <c r="AC36" s="285">
        <f>'Trip Gen'!AP104</f>
        <v>38123.999999999993</v>
      </c>
      <c r="AD36" s="285">
        <f>'Trip Gen'!AQ104</f>
        <v>38851.550000000003</v>
      </c>
      <c r="AE36" s="285">
        <f>'Trip Gen'!AR104</f>
        <v>39579.1</v>
      </c>
      <c r="AF36" s="285">
        <f>'Trip Gen'!AS104</f>
        <v>40306.899999999994</v>
      </c>
      <c r="AG36" s="285">
        <f>'Trip Gen'!AT104</f>
        <v>41034.449999999997</v>
      </c>
      <c r="AH36" s="285">
        <f>'Trip Gen'!AU104</f>
        <v>41762</v>
      </c>
      <c r="AI36" s="330">
        <f>'Trip Gen'!AV104</f>
        <v>42489.799999999996</v>
      </c>
      <c r="AJ36" s="286">
        <f t="shared" si="84"/>
        <v>6.6224499999999992E-2</v>
      </c>
      <c r="AK36" s="334">
        <f t="shared" ref="AK36:AK41" si="113">H36*J36</f>
        <v>1520</v>
      </c>
      <c r="AL36" s="287">
        <f>$H36*K36</f>
        <v>1589.11725</v>
      </c>
      <c r="AM36" s="287">
        <f t="shared" si="86"/>
        <v>1686.4970000000003</v>
      </c>
      <c r="AN36" s="287">
        <f t="shared" si="87"/>
        <v>1829.7380000000001</v>
      </c>
      <c r="AO36" s="287">
        <f t="shared" si="88"/>
        <v>1973.03125</v>
      </c>
      <c r="AP36" s="287">
        <f t="shared" si="89"/>
        <v>2116.3244999999997</v>
      </c>
      <c r="AQ36" s="287">
        <f t="shared" si="90"/>
        <v>2259.5654999999997</v>
      </c>
      <c r="AR36" s="287">
        <f t="shared" si="91"/>
        <v>2402.9109999999996</v>
      </c>
      <c r="AS36" s="287">
        <f t="shared" si="92"/>
        <v>2544.5607500000001</v>
      </c>
      <c r="AT36" s="287">
        <f t="shared" si="93"/>
        <v>2686.239</v>
      </c>
      <c r="AU36" s="287">
        <f t="shared" si="94"/>
        <v>2827.8887500000005</v>
      </c>
      <c r="AV36" s="287">
        <f t="shared" si="95"/>
        <v>2969.5385000000001</v>
      </c>
      <c r="AW36" s="287">
        <f t="shared" si="96"/>
        <v>3111.2927500000001</v>
      </c>
      <c r="AX36" s="287">
        <f t="shared" si="97"/>
        <v>3207.0290000000005</v>
      </c>
      <c r="AY36" s="287">
        <f t="shared" si="98"/>
        <v>3276.1462500000002</v>
      </c>
      <c r="AZ36" s="287">
        <f t="shared" si="99"/>
        <v>3345.2634999999996</v>
      </c>
      <c r="BA36" s="287">
        <f t="shared" si="100"/>
        <v>3414.3807499999998</v>
      </c>
      <c r="BB36" s="287">
        <f t="shared" si="101"/>
        <v>3483.5217500000003</v>
      </c>
      <c r="BC36" s="287">
        <f t="shared" si="102"/>
        <v>3552.6390000000006</v>
      </c>
      <c r="BD36" s="287">
        <f t="shared" si="103"/>
        <v>3621.7799999999993</v>
      </c>
      <c r="BE36" s="287">
        <f t="shared" si="104"/>
        <v>3690.8972500000004</v>
      </c>
      <c r="BF36" s="287">
        <f t="shared" si="105"/>
        <v>3760.0144999999998</v>
      </c>
      <c r="BG36" s="287">
        <f t="shared" si="106"/>
        <v>3829.1554999999994</v>
      </c>
      <c r="BH36" s="287">
        <f t="shared" si="107"/>
        <v>3898.2727499999996</v>
      </c>
      <c r="BI36" s="287">
        <f t="shared" si="108"/>
        <v>3967.39</v>
      </c>
      <c r="BJ36" s="359">
        <f t="shared" ref="BJ36:BJ41" si="114">H36*AI36</f>
        <v>4036.5309999999995</v>
      </c>
      <c r="BK36" s="421">
        <f>((0.33*'Traffic Data'!AK36)/Speed!X117)+((0.67*'Traffic Data'!AK36)/Speed!AX117)</f>
        <v>21.175856323280648</v>
      </c>
      <c r="BL36" s="422">
        <f>((0.33*AL36)/Speed!Y117)+((0.67*AL36)/Speed!AY117)</f>
        <v>22.138786413516861</v>
      </c>
      <c r="BM36" s="422">
        <f>((0.33*AM36)/Speed!Z117)+((0.67*AM36)/Speed!AZ117)</f>
        <v>23.495490499721907</v>
      </c>
      <c r="BN36" s="422">
        <f>((0.33*AN36)/Speed!AA117)+((0.67*AN36)/Speed!BA117)</f>
        <v>25.491234591079476</v>
      </c>
      <c r="BO36" s="422">
        <f>((0.33*AO36)/Speed!AB117)+((0.67*AO36)/Speed!BB117)</f>
        <v>27.4879290716447</v>
      </c>
      <c r="BP36" s="422">
        <f>((0.33*AP36)/Speed!AC117)+((0.67*AP36)/Speed!BC117)</f>
        <v>29.485059760979347</v>
      </c>
      <c r="BQ36" s="422">
        <f>((0.33*AQ36)/Speed!AD117)+((0.67*AQ36)/Speed!BD117)</f>
        <v>31.482278212945808</v>
      </c>
      <c r="BR36" s="422">
        <f>((0.33*AR36)/Speed!AE117)+((0.67*AR36)/Speed!BE117)</f>
        <v>33.482421677200207</v>
      </c>
      <c r="BS36" s="422">
        <f>((0.33*AS36)/Speed!AF117)+((0.67*AS36)/Speed!BF117)</f>
        <v>35.461399943164125</v>
      </c>
      <c r="BT36" s="422">
        <f>((0.33*AT36)/Speed!AG117)+((0.67*AT36)/Speed!BG117)</f>
        <v>37.444931060365626</v>
      </c>
      <c r="BU36" s="422">
        <f>((0.33*AU36)/Speed!AH117)+((0.67*AU36)/Speed!BH117)</f>
        <v>39.434814458183652</v>
      </c>
      <c r="BV36" s="422">
        <f>((0.33*AV36)/Speed!AI117)+((0.67*AV36)/Speed!BI117)</f>
        <v>41.435401031650102</v>
      </c>
      <c r="BW36" s="422">
        <f>((0.33*AW36)/Speed!AJ117)+((0.67*AW36)/Speed!BJ117)</f>
        <v>43.454077685743009</v>
      </c>
      <c r="BX36" s="422">
        <f>((0.33*AX36)/Speed!AK117)+((0.67*AX36)/Speed!BK117)</f>
        <v>44.831044522451549</v>
      </c>
      <c r="BY36" s="422">
        <f>((0.33*AY36)/Speed!AL117)+((0.67*AY36)/Speed!BL117)</f>
        <v>45.834249465083083</v>
      </c>
      <c r="BZ36" s="422">
        <f>((0.33*AZ36)/Speed!AM117)+((0.67*AZ36)/Speed!BM117)</f>
        <v>46.846916865588334</v>
      </c>
      <c r="CA36" s="422">
        <f>((0.33*BA36)/Speed!AN117)+((0.67*BA36)/Speed!BN117)</f>
        <v>47.871001659443337</v>
      </c>
      <c r="CB36" s="422">
        <f>((0.33*BB36)/Speed!AO117)+((0.67*BB36)/Speed!BO117)</f>
        <v>48.909168971547231</v>
      </c>
      <c r="CC36" s="422">
        <f>((0.33*BC36)/Speed!AP117)+((0.67*BC36)/Speed!BP117)</f>
        <v>49.963417348204437</v>
      </c>
      <c r="CD36" s="422">
        <f>((0.33*BD36)/Speed!AQ117)+((0.67*BD36)/Speed!BQ117)</f>
        <v>51.03765077107937</v>
      </c>
      <c r="CE36" s="422">
        <f>((0.33*BE36)/Speed!AR117)+((0.67*BE36)/Speed!BR117)</f>
        <v>52.134844181240247</v>
      </c>
      <c r="CF36" s="422">
        <f>((0.33*BF36)/Speed!AS117)+((0.67*BF36)/Speed!BS117)</f>
        <v>53.25968683915503</v>
      </c>
      <c r="CG36" s="422">
        <f>((0.33*BG36)/Speed!AT117)+((0.67*BG36)/Speed!BT117)</f>
        <v>54.41760492974214</v>
      </c>
      <c r="CH36" s="422">
        <f>((0.33*BH36)/Speed!AU117)+((0.67*BH36)/Speed!BU117)</f>
        <v>55.61362209866909</v>
      </c>
      <c r="CI36" s="422">
        <f>((0.33*BI36)/Speed!AV117)+((0.67*BI36)/Speed!BV117)</f>
        <v>56.854851008888318</v>
      </c>
      <c r="CJ36" s="431">
        <f>((0.33*BJ36)/Speed!AW117)+((0.67*BJ36)/Speed!BW117)</f>
        <v>58.149490938130704</v>
      </c>
      <c r="CK36" s="1415">
        <f>Inputs!$D$35</f>
        <v>0.22</v>
      </c>
      <c r="CL36" s="1415">
        <f>Inputs!$D$36</f>
        <v>0.78</v>
      </c>
      <c r="CM36" s="1418">
        <f>1/(1+CK36)</f>
        <v>0.81967213114754101</v>
      </c>
      <c r="CN36" s="1421">
        <v>0.9</v>
      </c>
      <c r="CO36" s="12"/>
      <c r="CP36" s="12"/>
      <c r="CQ36" s="12"/>
      <c r="CR36" s="12"/>
      <c r="CS36" s="12"/>
      <c r="CT36" s="12"/>
      <c r="CU36" s="12"/>
      <c r="CV36" s="12"/>
      <c r="CW36" s="12"/>
      <c r="CX36" s="12"/>
      <c r="CY36" s="12"/>
      <c r="CZ36" s="12"/>
    </row>
    <row r="37" spans="2:104" customFormat="1" ht="21.95" customHeight="1" x14ac:dyDescent="0.2">
      <c r="B37" s="927"/>
      <c r="C37" s="1413"/>
      <c r="D37" s="289" t="s">
        <v>282</v>
      </c>
      <c r="E37" s="289" t="s">
        <v>280</v>
      </c>
      <c r="F37" s="289" t="s">
        <v>369</v>
      </c>
      <c r="G37" s="290">
        <v>70</v>
      </c>
      <c r="H37" s="291">
        <f>19116/foottomile</f>
        <v>3.6204545454545456</v>
      </c>
      <c r="I37" s="292">
        <v>4</v>
      </c>
      <c r="J37" s="331">
        <f>'Trip Gen'!W105</f>
        <v>13500</v>
      </c>
      <c r="K37" s="332">
        <f>'Trip Gen'!X105</f>
        <v>14212.599999999997</v>
      </c>
      <c r="L37" s="332">
        <f>'Trip Gen'!Y105</f>
        <v>15282.300000000001</v>
      </c>
      <c r="M37" s="332">
        <f>'Trip Gen'!Z105</f>
        <v>17049.599999999999</v>
      </c>
      <c r="N37" s="332">
        <f>'Trip Gen'!AA105</f>
        <v>18817.7</v>
      </c>
      <c r="O37" s="332">
        <f>'Trip Gen'!AB105</f>
        <v>20585.699999999997</v>
      </c>
      <c r="P37" s="332">
        <f>'Trip Gen'!AC105</f>
        <v>22353</v>
      </c>
      <c r="Q37" s="332">
        <f>'Trip Gen'!AD105</f>
        <v>24121.899999999998</v>
      </c>
      <c r="R37" s="332">
        <f>'Trip Gen'!AE105</f>
        <v>25906.499999999996</v>
      </c>
      <c r="S37" s="332">
        <f>'Trip Gen'!AF105</f>
        <v>27691.699999999997</v>
      </c>
      <c r="T37" s="332">
        <f>'Trip Gen'!AG105</f>
        <v>29476.299999999996</v>
      </c>
      <c r="U37" s="332">
        <f>'Trip Gen'!AH105</f>
        <v>31260.899999999998</v>
      </c>
      <c r="V37" s="332">
        <f>'Trip Gen'!AI105</f>
        <v>33047.1</v>
      </c>
      <c r="W37" s="332">
        <f>'Trip Gen'!AJ105</f>
        <v>34133.300000000003</v>
      </c>
      <c r="X37" s="332">
        <f>'Trip Gen'!AK105</f>
        <v>34845.899999999994</v>
      </c>
      <c r="Y37" s="332">
        <f>'Trip Gen'!AL105</f>
        <v>35558.5</v>
      </c>
      <c r="Z37" s="332">
        <f>'Trip Gen'!AM105</f>
        <v>36271.100000000006</v>
      </c>
      <c r="AA37" s="332">
        <f>'Trip Gen'!AN105</f>
        <v>36984.1</v>
      </c>
      <c r="AB37" s="332">
        <f>'Trip Gen'!AO105</f>
        <v>37696.699999999997</v>
      </c>
      <c r="AC37" s="332">
        <f>'Trip Gen'!AP105</f>
        <v>38409.700000000004</v>
      </c>
      <c r="AD37" s="332">
        <f>'Trip Gen'!AQ105</f>
        <v>39122.300000000003</v>
      </c>
      <c r="AE37" s="332">
        <f>'Trip Gen'!AR105</f>
        <v>39834.9</v>
      </c>
      <c r="AF37" s="332">
        <f>'Trip Gen'!AS105</f>
        <v>40547.900000000009</v>
      </c>
      <c r="AG37" s="332">
        <f>'Trip Gen'!AT105</f>
        <v>41260.5</v>
      </c>
      <c r="AH37" s="332">
        <f>'Trip Gen'!AU105</f>
        <v>41973.1</v>
      </c>
      <c r="AI37" s="333">
        <f>'Trip Gen'!AV105</f>
        <v>42686.1</v>
      </c>
      <c r="AJ37" s="293">
        <f t="shared" si="84"/>
        <v>8.6477333333333337E-2</v>
      </c>
      <c r="AK37" s="331">
        <f t="shared" si="113"/>
        <v>48876.136363636368</v>
      </c>
      <c r="AL37" s="292">
        <f t="shared" ref="AL37:AL38" si="115">$H37*K37</f>
        <v>51456.072272727266</v>
      </c>
      <c r="AM37" s="292">
        <f t="shared" si="86"/>
        <v>55328.872500000005</v>
      </c>
      <c r="AN37" s="292">
        <f t="shared" si="87"/>
        <v>61727.301818181819</v>
      </c>
      <c r="AO37" s="292">
        <f t="shared" si="88"/>
        <v>68128.627500000002</v>
      </c>
      <c r="AP37" s="292">
        <f t="shared" si="89"/>
        <v>74529.591136363626</v>
      </c>
      <c r="AQ37" s="292">
        <f t="shared" si="90"/>
        <v>80928.020454545462</v>
      </c>
      <c r="AR37" s="292">
        <f t="shared" si="91"/>
        <v>87332.242499999993</v>
      </c>
      <c r="AS37" s="292">
        <f t="shared" si="92"/>
        <v>93793.305681818179</v>
      </c>
      <c r="AT37" s="292">
        <f t="shared" si="93"/>
        <v>100256.54113636362</v>
      </c>
      <c r="AU37" s="292">
        <f t="shared" si="94"/>
        <v>106717.60431818181</v>
      </c>
      <c r="AV37" s="292">
        <f t="shared" si="95"/>
        <v>113178.6675</v>
      </c>
      <c r="AW37" s="292">
        <f t="shared" si="96"/>
        <v>119645.52340909091</v>
      </c>
      <c r="AX37" s="292">
        <f t="shared" si="97"/>
        <v>123578.06113636366</v>
      </c>
      <c r="AY37" s="292">
        <f t="shared" si="98"/>
        <v>126157.99704545453</v>
      </c>
      <c r="AZ37" s="292">
        <f t="shared" si="99"/>
        <v>128737.93295454545</v>
      </c>
      <c r="BA37" s="292">
        <f t="shared" si="100"/>
        <v>131317.86886363639</v>
      </c>
      <c r="BB37" s="292">
        <f t="shared" si="101"/>
        <v>133899.25295454546</v>
      </c>
      <c r="BC37" s="292">
        <f t="shared" si="102"/>
        <v>136479.18886363634</v>
      </c>
      <c r="BD37" s="292">
        <f t="shared" si="103"/>
        <v>139060.57295454547</v>
      </c>
      <c r="BE37" s="292">
        <f t="shared" si="104"/>
        <v>141640.50886363638</v>
      </c>
      <c r="BF37" s="292">
        <f t="shared" si="105"/>
        <v>144220.44477272729</v>
      </c>
      <c r="BG37" s="292">
        <f t="shared" si="106"/>
        <v>146801.82886363639</v>
      </c>
      <c r="BH37" s="292">
        <f t="shared" si="107"/>
        <v>149381.76477272727</v>
      </c>
      <c r="BI37" s="292">
        <f t="shared" si="108"/>
        <v>151961.70068181818</v>
      </c>
      <c r="BJ37" s="360">
        <f t="shared" si="114"/>
        <v>154543.08477272728</v>
      </c>
      <c r="BK37" s="423">
        <f>((0.33*'Traffic Data'!AK37)/Speed!X118)+((0.67*'Traffic Data'!AK37)/Speed!AX118)</f>
        <v>680.91604638444551</v>
      </c>
      <c r="BL37" s="424">
        <f>((0.33*AL37)/Speed!Y118)+((0.67*AL37)/Speed!AY118)</f>
        <v>716.85849809295996</v>
      </c>
      <c r="BM37" s="424">
        <f>((0.33*AM37)/Speed!Z118)+((0.67*AM37)/Speed!AZ118)</f>
        <v>770.81277164223434</v>
      </c>
      <c r="BN37" s="424">
        <f>((0.33*AN37)/Speed!AA118)+((0.67*AN37)/Speed!BA118)</f>
        <v>859.95443383944394</v>
      </c>
      <c r="BO37" s="424">
        <f>((0.33*AO37)/Speed!AB118)+((0.67*AO37)/Speed!BB118)</f>
        <v>949.14044109065003</v>
      </c>
      <c r="BP37" s="424">
        <f>((0.33*AP37)/Speed!AC118)+((0.67*AP37)/Speed!BC118)</f>
        <v>1038.3310017213648</v>
      </c>
      <c r="BQ37" s="424">
        <f>((0.33*AQ37)/Speed!AD118)+((0.67*AQ37)/Speed!BD118)</f>
        <v>1127.5075871659647</v>
      </c>
      <c r="BR37" s="424">
        <f>((0.33*AR37)/Speed!AE118)+((0.67*AR37)/Speed!BE118)</f>
        <v>1216.8094601364107</v>
      </c>
      <c r="BS37" s="424">
        <f>((0.33*AS37)/Speed!AF118)+((0.67*AS37)/Speed!BF118)</f>
        <v>1306.993297646645</v>
      </c>
      <c r="BT37" s="424">
        <f>((0.33*AT37)/Speed!AG118)+((0.67*AT37)/Speed!BG118)</f>
        <v>1397.3771601550618</v>
      </c>
      <c r="BU37" s="424">
        <f>((0.33*AU37)/Speed!AH118)+((0.67*AU37)/Speed!BH118)</f>
        <v>1488.0385627227906</v>
      </c>
      <c r="BV37" s="424">
        <f>((0.33*AV37)/Speed!AI118)+((0.67*AV37)/Speed!BI118)</f>
        <v>1579.2385345174253</v>
      </c>
      <c r="BW37" s="424">
        <f>((0.33*AW37)/Speed!AJ118)+((0.67*AW37)/Speed!BJ118)</f>
        <v>1671.4335618143059</v>
      </c>
      <c r="BX37" s="424">
        <f>((0.33*AX37)/Speed!AK118)+((0.67*AX37)/Speed!BK118)</f>
        <v>1728.1835666354411</v>
      </c>
      <c r="BY37" s="424">
        <f>((0.33*AY37)/Speed!AL118)+((0.67*AY37)/Speed!BL118)</f>
        <v>1765.8001323105918</v>
      </c>
      <c r="BZ37" s="424">
        <f>((0.33*AZ37)/Speed!AM118)+((0.67*AZ37)/Speed!BM118)</f>
        <v>1803.7964890742078</v>
      </c>
      <c r="CA37" s="424">
        <f>((0.33*BA37)/Speed!AN118)+((0.67*BA37)/Speed!BN118)</f>
        <v>1842.2485017470296</v>
      </c>
      <c r="CB37" s="424">
        <f>((0.33*BB37)/Speed!AO118)+((0.67*BB37)/Speed!BO118)</f>
        <v>1881.2672691847188</v>
      </c>
      <c r="CC37" s="424">
        <f>((0.33*BC37)/Speed!AP118)+((0.67*BC37)/Speed!BP118)</f>
        <v>1920.913245760471</v>
      </c>
      <c r="CD37" s="424">
        <f>((0.33*BD37)/Speed!AQ118)+((0.67*BD37)/Speed!BQ118)</f>
        <v>1961.3526301440988</v>
      </c>
      <c r="CE37" s="424">
        <f>((0.33*BE37)/Speed!AR118)+((0.67*BE37)/Speed!BR118)</f>
        <v>2002.6814935472876</v>
      </c>
      <c r="CF37" s="424">
        <f>((0.33*BF37)/Speed!AS118)+((0.67*BF37)/Speed!BS118)</f>
        <v>2045.0862865008839</v>
      </c>
      <c r="CG37" s="424">
        <f>((0.33*BG37)/Speed!AT118)+((0.67*BG37)/Speed!BT118)</f>
        <v>2088.781619518275</v>
      </c>
      <c r="CH37" s="424">
        <f>((0.33*BH37)/Speed!AU118)+((0.67*BH37)/Speed!BU118)</f>
        <v>2133.9374498247475</v>
      </c>
      <c r="CI37" s="424">
        <f>((0.33*BI37)/Speed!AV118)+((0.67*BI37)/Speed!BV118)</f>
        <v>2180.8298315717088</v>
      </c>
      <c r="CJ37" s="432">
        <f>((0.33*BJ37)/Speed!AW118)+((0.67*BJ37)/Speed!BW118)</f>
        <v>2229.776073039015</v>
      </c>
      <c r="CK37" s="1416"/>
      <c r="CL37" s="1416"/>
      <c r="CM37" s="1419"/>
      <c r="CN37" s="1422"/>
      <c r="CO37" s="12"/>
      <c r="CP37" s="12"/>
      <c r="CQ37" s="12"/>
      <c r="CR37" s="12"/>
      <c r="CS37" s="12"/>
      <c r="CT37" s="12"/>
      <c r="CU37" s="12"/>
      <c r="CV37" s="12"/>
      <c r="CW37" s="12"/>
      <c r="CX37" s="12"/>
      <c r="CY37" s="12"/>
      <c r="CZ37" s="12"/>
    </row>
    <row r="38" spans="2:104" customFormat="1" ht="21.95" customHeight="1" x14ac:dyDescent="0.2">
      <c r="B38" s="927"/>
      <c r="C38" s="1413"/>
      <c r="D38" s="289" t="s">
        <v>280</v>
      </c>
      <c r="E38" s="289" t="s">
        <v>333</v>
      </c>
      <c r="F38" s="289" t="s">
        <v>370</v>
      </c>
      <c r="G38" s="290">
        <v>70</v>
      </c>
      <c r="H38" s="291">
        <v>9.5000000000000001E-2</v>
      </c>
      <c r="I38" s="292">
        <v>4</v>
      </c>
      <c r="J38" s="331">
        <f>'Trip Gen'!W106</f>
        <v>12000</v>
      </c>
      <c r="K38" s="332">
        <f>'Trip Gen'!X106</f>
        <v>12501.099999999999</v>
      </c>
      <c r="L38" s="332">
        <f>'Trip Gen'!Y106</f>
        <v>13121.299999999997</v>
      </c>
      <c r="M38" s="332">
        <f>'Trip Gen'!Z106</f>
        <v>13956.3</v>
      </c>
      <c r="N38" s="332">
        <f>'Trip Gen'!AA106</f>
        <v>14791.600000000002</v>
      </c>
      <c r="O38" s="332">
        <f>'Trip Gen'!AB106</f>
        <v>15626.800000000003</v>
      </c>
      <c r="P38" s="332">
        <f>'Trip Gen'!AC106</f>
        <v>16461.800000000003</v>
      </c>
      <c r="Q38" s="332">
        <f>'Trip Gen'!AD106</f>
        <v>17297.400000000005</v>
      </c>
      <c r="R38" s="332">
        <f>'Trip Gen'!AE106</f>
        <v>18107</v>
      </c>
      <c r="S38" s="332">
        <f>'Trip Gen'!AF106</f>
        <v>18916.899999999994</v>
      </c>
      <c r="T38" s="332">
        <f>'Trip Gen'!AG106</f>
        <v>19726.5</v>
      </c>
      <c r="U38" s="332">
        <f>'Trip Gen'!AH106</f>
        <v>20536.099999999999</v>
      </c>
      <c r="V38" s="332">
        <f>'Trip Gen'!AI106</f>
        <v>21346.300000000003</v>
      </c>
      <c r="W38" s="332">
        <f>'Trip Gen'!AJ106</f>
        <v>21940.799999999999</v>
      </c>
      <c r="X38" s="332">
        <f>'Trip Gen'!AK106</f>
        <v>22441.9</v>
      </c>
      <c r="Y38" s="332">
        <f>'Trip Gen'!AL106</f>
        <v>22942.999999999996</v>
      </c>
      <c r="Z38" s="332">
        <f>'Trip Gen'!AM106</f>
        <v>23444.1</v>
      </c>
      <c r="AA38" s="332">
        <f>'Trip Gen'!AN106</f>
        <v>23945.4</v>
      </c>
      <c r="AB38" s="332">
        <f>'Trip Gen'!AO106</f>
        <v>24446.5</v>
      </c>
      <c r="AC38" s="332">
        <f>'Trip Gen'!AP106</f>
        <v>24947.8</v>
      </c>
      <c r="AD38" s="332">
        <f>'Trip Gen'!AQ106</f>
        <v>25448.900000000005</v>
      </c>
      <c r="AE38" s="332">
        <f>'Trip Gen'!AR106</f>
        <v>25949.999999999996</v>
      </c>
      <c r="AF38" s="332">
        <f>'Trip Gen'!AS106</f>
        <v>26451.3</v>
      </c>
      <c r="AG38" s="332">
        <f>'Trip Gen'!AT106</f>
        <v>26952.400000000001</v>
      </c>
      <c r="AH38" s="332">
        <f>'Trip Gen'!AU106</f>
        <v>27453.499999999996</v>
      </c>
      <c r="AI38" s="333">
        <f>'Trip Gen'!AV106</f>
        <v>27954.799999999999</v>
      </c>
      <c r="AJ38" s="293">
        <f t="shared" si="84"/>
        <v>5.3182666666666663E-2</v>
      </c>
      <c r="AK38" s="336">
        <f t="shared" si="113"/>
        <v>1140</v>
      </c>
      <c r="AL38" s="297">
        <f t="shared" si="115"/>
        <v>1187.6044999999999</v>
      </c>
      <c r="AM38" s="297">
        <f t="shared" si="86"/>
        <v>1246.5234999999998</v>
      </c>
      <c r="AN38" s="297">
        <f t="shared" si="87"/>
        <v>1325.8485000000001</v>
      </c>
      <c r="AO38" s="297">
        <f t="shared" si="88"/>
        <v>1405.2020000000002</v>
      </c>
      <c r="AP38" s="297">
        <f t="shared" si="89"/>
        <v>1484.5460000000003</v>
      </c>
      <c r="AQ38" s="297">
        <f t="shared" si="90"/>
        <v>1563.8710000000003</v>
      </c>
      <c r="AR38" s="297">
        <f t="shared" si="91"/>
        <v>1643.2530000000006</v>
      </c>
      <c r="AS38" s="297">
        <f t="shared" si="92"/>
        <v>1720.165</v>
      </c>
      <c r="AT38" s="297">
        <f t="shared" si="93"/>
        <v>1797.1054999999994</v>
      </c>
      <c r="AU38" s="297">
        <f t="shared" si="94"/>
        <v>1874.0174999999999</v>
      </c>
      <c r="AV38" s="297">
        <f t="shared" si="95"/>
        <v>1950.9295</v>
      </c>
      <c r="AW38" s="297">
        <f t="shared" si="96"/>
        <v>2027.8985000000002</v>
      </c>
      <c r="AX38" s="297">
        <f t="shared" si="97"/>
        <v>2084.3759999999997</v>
      </c>
      <c r="AY38" s="297">
        <f t="shared" si="98"/>
        <v>2131.9805000000001</v>
      </c>
      <c r="AZ38" s="297">
        <f t="shared" si="99"/>
        <v>2179.5849999999996</v>
      </c>
      <c r="BA38" s="297">
        <f t="shared" si="100"/>
        <v>2227.1895</v>
      </c>
      <c r="BB38" s="297">
        <f t="shared" si="101"/>
        <v>2274.8130000000001</v>
      </c>
      <c r="BC38" s="297">
        <f t="shared" si="102"/>
        <v>2322.4175</v>
      </c>
      <c r="BD38" s="297">
        <f t="shared" si="103"/>
        <v>2370.0410000000002</v>
      </c>
      <c r="BE38" s="297">
        <f t="shared" si="104"/>
        <v>2417.6455000000005</v>
      </c>
      <c r="BF38" s="297">
        <f t="shared" si="105"/>
        <v>2465.2499999999995</v>
      </c>
      <c r="BG38" s="297">
        <f t="shared" si="106"/>
        <v>2512.8735000000001</v>
      </c>
      <c r="BH38" s="297">
        <f t="shared" si="107"/>
        <v>2560.4780000000001</v>
      </c>
      <c r="BI38" s="297">
        <f t="shared" si="108"/>
        <v>2608.0824999999995</v>
      </c>
      <c r="BJ38" s="361">
        <f t="shared" si="114"/>
        <v>2655.7060000000001</v>
      </c>
      <c r="BK38" s="423">
        <f>((0.33*'Traffic Data'!AK38)/Speed!X119)+((0.67*'Traffic Data'!AK38)/Speed!AX119)</f>
        <v>15.881862988392243</v>
      </c>
      <c r="BL38" s="424">
        <f>((0.33*AL38)/Speed!Y119)+((0.67*AL38)/Speed!AY119)</f>
        <v>16.545064036237527</v>
      </c>
      <c r="BM38" s="424">
        <f>((0.33*AM38)/Speed!Z119)+((0.67*AM38)/Speed!AZ119)</f>
        <v>17.365893490562563</v>
      </c>
      <c r="BN38" s="424">
        <f>((0.33*AN38)/Speed!AA119)+((0.67*AN38)/Speed!BA119)</f>
        <v>18.471010864573024</v>
      </c>
      <c r="BO38" s="424">
        <f>((0.33*AO38)/Speed!AB119)+((0.67*AO38)/Speed!BB119)</f>
        <v>19.576528986845659</v>
      </c>
      <c r="BP38" s="424">
        <f>((0.33*AP38)/Speed!AC119)+((0.67*AP38)/Speed!BC119)</f>
        <v>20.681920987581794</v>
      </c>
      <c r="BQ38" s="424">
        <f>((0.33*AQ38)/Speed!AD119)+((0.67*AQ38)/Speed!BD119)</f>
        <v>21.787058473423155</v>
      </c>
      <c r="BR38" s="424">
        <f>((0.33*AR38)/Speed!AE119)+((0.67*AR38)/Speed!BE119)</f>
        <v>22.893006334273554</v>
      </c>
      <c r="BS38" s="424">
        <f>((0.33*AS38)/Speed!AF119)+((0.67*AS38)/Speed!BF119)</f>
        <v>23.964566297660994</v>
      </c>
      <c r="BT38" s="424">
        <f>((0.33*AT38)/Speed!AG119)+((0.67*AT38)/Speed!BG119)</f>
        <v>25.036559222152846</v>
      </c>
      <c r="BU38" s="424">
        <f>((0.33*AU38)/Speed!AH119)+((0.67*AU38)/Speed!BH119)</f>
        <v>26.108208198047834</v>
      </c>
      <c r="BV38" s="424">
        <f>((0.33*AV38)/Speed!AI119)+((0.67*AV38)/Speed!BI119)</f>
        <v>27.179934573223086</v>
      </c>
      <c r="BW38" s="424">
        <f>((0.33*AW38)/Speed!AJ119)+((0.67*AW38)/Speed!BJ119)</f>
        <v>28.252566419637368</v>
      </c>
      <c r="BX38" s="424">
        <f>((0.33*AX38)/Speed!AK119)+((0.67*AX38)/Speed!BK119)</f>
        <v>29.039727859177333</v>
      </c>
      <c r="BY38" s="424">
        <f>((0.33*AY38)/Speed!AL119)+((0.67*AY38)/Speed!BL119)</f>
        <v>29.703303718788085</v>
      </c>
      <c r="BZ38" s="424">
        <f>((0.33*AZ38)/Speed!AM119)+((0.67*AZ38)/Speed!BM119)</f>
        <v>30.36697356143333</v>
      </c>
      <c r="CA38" s="424">
        <f>((0.33*BA38)/Speed!AN119)+((0.67*BA38)/Speed!BN119)</f>
        <v>31.030758037647267</v>
      </c>
      <c r="CB38" s="424">
        <f>((0.33*BB38)/Speed!AO119)+((0.67*BB38)/Speed!BO119)</f>
        <v>31.69494675442769</v>
      </c>
      <c r="CC38" s="424">
        <f>((0.33*BC38)/Speed!AP119)+((0.67*BC38)/Speed!BP119)</f>
        <v>32.359038920090214</v>
      </c>
      <c r="CD38" s="424">
        <f>((0.33*BD38)/Speed!AQ119)+((0.67*BD38)/Speed!BQ119)</f>
        <v>33.023599156914358</v>
      </c>
      <c r="CE38" s="424">
        <f>((0.33*BE38)/Speed!AR119)+((0.67*BE38)/Speed!BR119)</f>
        <v>33.688137835559431</v>
      </c>
      <c r="CF38" s="424">
        <f>((0.33*BF38)/Speed!AS119)+((0.67*BF38)/Speed!BS119)</f>
        <v>34.35296775269331</v>
      </c>
      <c r="CG38" s="424">
        <f>((0.33*BG38)/Speed!AT119)+((0.67*BG38)/Speed!BT119)</f>
        <v>35.018410310764139</v>
      </c>
      <c r="CH38" s="424">
        <f>((0.33*BH38)/Speed!AU119)+((0.67*BH38)/Speed!BU119)</f>
        <v>35.68399971977064</v>
      </c>
      <c r="CI38" s="424">
        <f>((0.33*BI38)/Speed!AV119)+((0.67*BI38)/Speed!BV119)</f>
        <v>36.350077213517366</v>
      </c>
      <c r="CJ38" s="432">
        <f>((0.33*BJ38)/Speed!AW119)+((0.67*BJ38)/Speed!BW119)</f>
        <v>37.016996968011611</v>
      </c>
      <c r="CK38" s="1417"/>
      <c r="CL38" s="1417"/>
      <c r="CM38" s="1420"/>
      <c r="CN38" s="1423"/>
      <c r="CO38" s="12"/>
      <c r="CP38" s="12"/>
      <c r="CQ38" s="12"/>
      <c r="CR38" s="12"/>
      <c r="CS38" s="12"/>
      <c r="CT38" s="12"/>
      <c r="CU38" s="12"/>
      <c r="CV38" s="12"/>
      <c r="CW38" s="12"/>
      <c r="CX38" s="12"/>
      <c r="CY38" s="12"/>
      <c r="CZ38" s="12"/>
    </row>
    <row r="39" spans="2:104" customFormat="1" ht="21.95" customHeight="1" x14ac:dyDescent="0.2">
      <c r="B39" s="927"/>
      <c r="C39" s="1412" t="s">
        <v>280</v>
      </c>
      <c r="D39" s="281" t="s">
        <v>281</v>
      </c>
      <c r="E39" s="281" t="s">
        <v>335</v>
      </c>
      <c r="F39" s="281" t="s">
        <v>371</v>
      </c>
      <c r="G39" s="298">
        <v>55</v>
      </c>
      <c r="H39" s="299">
        <v>2.59</v>
      </c>
      <c r="I39" s="287">
        <v>4</v>
      </c>
      <c r="J39" s="334">
        <f>'Trip Gen'!W115</f>
        <v>4000</v>
      </c>
      <c r="K39" s="300">
        <f>'Trip Gen'!X115</f>
        <v>4404.62</v>
      </c>
      <c r="L39" s="300">
        <f>'Trip Gen'!Y115</f>
        <v>5309.24</v>
      </c>
      <c r="M39" s="300">
        <f>'Trip Gen'!Z115</f>
        <v>7126.2400000000007</v>
      </c>
      <c r="N39" s="300">
        <f>'Trip Gen'!AA115</f>
        <v>8944.3599999999988</v>
      </c>
      <c r="O39" s="300">
        <f>'Trip Gen'!AB115</f>
        <v>10762.279999999999</v>
      </c>
      <c r="P39" s="300">
        <f>'Trip Gen'!AC115</f>
        <v>12579.279999999999</v>
      </c>
      <c r="Q39" s="300">
        <f>'Trip Gen'!AD115</f>
        <v>14398.52</v>
      </c>
      <c r="R39" s="300">
        <f>'Trip Gen'!AE115</f>
        <v>16183.639999999998</v>
      </c>
      <c r="S39" s="300">
        <f>'Trip Gen'!AF115</f>
        <v>17969.659999999996</v>
      </c>
      <c r="T39" s="300">
        <f>'Trip Gen'!AG115</f>
        <v>19754.78</v>
      </c>
      <c r="U39" s="300">
        <f>'Trip Gen'!AH115</f>
        <v>21539.9</v>
      </c>
      <c r="V39" s="300">
        <f>'Trip Gen'!AI115</f>
        <v>23327.260000000002</v>
      </c>
      <c r="W39" s="300">
        <f>'Trip Gen'!AJ115</f>
        <v>24198.879999999997</v>
      </c>
      <c r="X39" s="300">
        <f>'Trip Gen'!AK115</f>
        <v>24603.499999999996</v>
      </c>
      <c r="Y39" s="300">
        <f>'Trip Gen'!AL115</f>
        <v>25008.12</v>
      </c>
      <c r="Z39" s="300">
        <f>'Trip Gen'!AM115</f>
        <v>25412.739999999998</v>
      </c>
      <c r="AA39" s="300">
        <f>'Trip Gen'!AN115</f>
        <v>25817.98</v>
      </c>
      <c r="AB39" s="300">
        <f>'Trip Gen'!AO115</f>
        <v>26222.6</v>
      </c>
      <c r="AC39" s="300">
        <f>'Trip Gen'!AP115</f>
        <v>26627.839999999997</v>
      </c>
      <c r="AD39" s="300">
        <f>'Trip Gen'!AQ115</f>
        <v>27032.459999999995</v>
      </c>
      <c r="AE39" s="300">
        <f>'Trip Gen'!AR115</f>
        <v>27437.079999999998</v>
      </c>
      <c r="AF39" s="300">
        <f>'Trip Gen'!AS115</f>
        <v>27842.32</v>
      </c>
      <c r="AG39" s="300">
        <f>'Trip Gen'!AT115</f>
        <v>28246.94</v>
      </c>
      <c r="AH39" s="300">
        <f>'Trip Gen'!AU115</f>
        <v>28651.559999999998</v>
      </c>
      <c r="AI39" s="335">
        <f>'Trip Gen'!AV115</f>
        <v>29056.799999999996</v>
      </c>
      <c r="AJ39" s="301">
        <f t="shared" si="84"/>
        <v>0.25056799999999996</v>
      </c>
      <c r="AK39" s="334">
        <f t="shared" si="113"/>
        <v>10360</v>
      </c>
      <c r="AL39" s="287">
        <f>$H39*K39</f>
        <v>11407.9658</v>
      </c>
      <c r="AM39" s="287">
        <f t="shared" ref="AM39:AM46" si="116">$H39*L39</f>
        <v>13750.931599999998</v>
      </c>
      <c r="AN39" s="287">
        <f t="shared" ref="AN39:AN46" si="117">$H39*M39</f>
        <v>18456.961600000002</v>
      </c>
      <c r="AO39" s="287">
        <f t="shared" ref="AO39:AO46" si="118">$H39*N39</f>
        <v>23165.892399999997</v>
      </c>
      <c r="AP39" s="287">
        <f t="shared" ref="AP39:AP46" si="119">$H39*O39</f>
        <v>27874.305199999995</v>
      </c>
      <c r="AQ39" s="287">
        <f t="shared" ref="AQ39:AQ46" si="120">$H39*P39</f>
        <v>32580.335199999994</v>
      </c>
      <c r="AR39" s="287">
        <f t="shared" ref="AR39:AR46" si="121">$H39*Q39</f>
        <v>37292.166799999999</v>
      </c>
      <c r="AS39" s="287">
        <f t="shared" ref="AS39:AS46" si="122">$H39*R39</f>
        <v>41915.627599999993</v>
      </c>
      <c r="AT39" s="287">
        <f t="shared" ref="AT39:AT46" si="123">$H39*S39</f>
        <v>46541.419399999984</v>
      </c>
      <c r="AU39" s="287">
        <f t="shared" ref="AU39:AU46" si="124">$H39*T39</f>
        <v>51164.880199999992</v>
      </c>
      <c r="AV39" s="287">
        <f t="shared" ref="AV39:AV46" si="125">$H39*U39</f>
        <v>55788.341</v>
      </c>
      <c r="AW39" s="287">
        <f t="shared" ref="AW39:AW46" si="126">$H39*V39</f>
        <v>60417.6034</v>
      </c>
      <c r="AX39" s="287">
        <f t="shared" ref="AX39:AX46" si="127">$H39*W39</f>
        <v>62675.09919999999</v>
      </c>
      <c r="AY39" s="287">
        <f t="shared" ref="AY39:AY46" si="128">$H39*X39</f>
        <v>63723.064999999988</v>
      </c>
      <c r="AZ39" s="287">
        <f t="shared" ref="AZ39:AZ46" si="129">$H39*Y39</f>
        <v>64771.030799999993</v>
      </c>
      <c r="BA39" s="287">
        <f t="shared" ref="BA39:BA46" si="130">$H39*Z39</f>
        <v>65818.996599999984</v>
      </c>
      <c r="BB39" s="287">
        <f t="shared" ref="BB39:BB46" si="131">$H39*AA39</f>
        <v>66868.568199999994</v>
      </c>
      <c r="BC39" s="287">
        <f t="shared" ref="BC39:BC46" si="132">$H39*AB39</f>
        <v>67916.534</v>
      </c>
      <c r="BD39" s="287">
        <f t="shared" ref="BD39:BD46" si="133">$H39*AC39</f>
        <v>68966.105599999981</v>
      </c>
      <c r="BE39" s="287">
        <f t="shared" ref="BE39:BE46" si="134">$H39*AD39</f>
        <v>70014.071399999986</v>
      </c>
      <c r="BF39" s="287">
        <f t="shared" ref="BF39:BF46" si="135">$H39*AE39</f>
        <v>71062.037199999992</v>
      </c>
      <c r="BG39" s="287">
        <f t="shared" ref="BG39:BG46" si="136">$H39*AF39</f>
        <v>72111.608800000002</v>
      </c>
      <c r="BH39" s="287">
        <f t="shared" ref="BH39:BH46" si="137">$H39*AG39</f>
        <v>73159.574599999993</v>
      </c>
      <c r="BI39" s="287">
        <f t="shared" ref="BI39:BI46" si="138">$H39*AH39</f>
        <v>74207.540399999983</v>
      </c>
      <c r="BJ39" s="359">
        <f t="shared" si="114"/>
        <v>75257.111999999979</v>
      </c>
      <c r="BK39" s="425">
        <f>((0.33*'Traffic Data'!AK39)/Speed!X120)+((0.67*'Traffic Data'!AK39)/Speed!AX120)</f>
        <v>180.1739130441569</v>
      </c>
      <c r="BL39" s="456">
        <f>((0.33*AL39)/Speed!Y120)+((0.67*AL39)/Speed!AY120)</f>
        <v>198.39940521935003</v>
      </c>
      <c r="BM39" s="456">
        <f>((0.33*AM39)/Speed!Z120)+((0.67*AM39)/Speed!AZ120)</f>
        <v>239.14663653702672</v>
      </c>
      <c r="BN39" s="456">
        <f>((0.33*AN39)/Speed!AA120)+((0.67*AN39)/Speed!BA120)</f>
        <v>320.99063691118562</v>
      </c>
      <c r="BO39" s="456">
        <f>((0.33*AO39)/Speed!AB120)+((0.67*AO39)/Speed!BB120)</f>
        <v>402.88508996008551</v>
      </c>
      <c r="BP39" s="456">
        <f>((0.33*AP39)/Speed!AC120)+((0.67*AP39)/Speed!BC120)</f>
        <v>484.7705615194003</v>
      </c>
      <c r="BQ39" s="456">
        <f>((0.33*AQ39)/Speed!AD120)+((0.67*AQ39)/Speed!BD120)</f>
        <v>566.61472714582476</v>
      </c>
      <c r="BR39" s="456">
        <f>((0.33*AR39)/Speed!AE120)+((0.67*AR39)/Speed!BE120)</f>
        <v>648.56031484638231</v>
      </c>
      <c r="BS39" s="456">
        <f>((0.33*AS39)/Speed!AF120)+((0.67*AS39)/Speed!BF120)</f>
        <v>728.97066369889296</v>
      </c>
      <c r="BT39" s="456">
        <f>((0.33*AT39)/Speed!AG120)+((0.67*AT39)/Speed!BG120)</f>
        <v>809.42619715546334</v>
      </c>
      <c r="BU39" s="456">
        <f>((0.33*AU39)/Speed!AH120)+((0.67*AU39)/Speed!BH120)</f>
        <v>889.85293552649728</v>
      </c>
      <c r="BV39" s="456">
        <f>((0.33*AV39)/Speed!AI120)+((0.67*AV39)/Speed!BI120)</f>
        <v>970.30694911685259</v>
      </c>
      <c r="BW39" s="456">
        <f>((0.33*AW39)/Speed!AJ120)+((0.67*AW39)/Speed!BJ120)</f>
        <v>1050.9210173884364</v>
      </c>
      <c r="BX39" s="456">
        <f>((0.33*AX39)/Speed!AK120)+((0.67*AX39)/Speed!BK120)</f>
        <v>1090.2713345486043</v>
      </c>
      <c r="BY39" s="456">
        <f>((0.33*AY39)/Speed!AL120)+((0.67*AY39)/Speed!BL120)</f>
        <v>1108.5507766385717</v>
      </c>
      <c r="BZ39" s="456">
        <f>((0.33*AZ39)/Speed!AM120)+((0.67*AZ39)/Speed!BM120)</f>
        <v>1126.8398597793532</v>
      </c>
      <c r="CA39" s="456">
        <f>((0.33*BA39)/Speed!AN120)+((0.67*BA39)/Speed!BN120)</f>
        <v>1145.1401086419644</v>
      </c>
      <c r="CB39" s="456">
        <f>((0.33*BB39)/Speed!AO120)+((0.67*BB39)/Speed!BO120)</f>
        <v>1163.4813299369839</v>
      </c>
      <c r="CC39" s="456">
        <f>((0.33*BC39)/Speed!AP120)+((0.67*BC39)/Speed!BP120)</f>
        <v>1181.8093738877506</v>
      </c>
      <c r="CD39" s="456">
        <f>((0.33*BD39)/Speed!AQ120)+((0.67*BD39)/Speed!BQ120)</f>
        <v>1200.1826496692556</v>
      </c>
      <c r="CE39" s="456">
        <f>((0.33*BE39)/Speed!AR120)+((0.67*BE39)/Speed!BR120)</f>
        <v>1218.5474669848813</v>
      </c>
      <c r="CF39" s="456">
        <f>((0.33*BF39)/Speed!AS120)+((0.67*BF39)/Speed!BS120)</f>
        <v>1236.9347763626247</v>
      </c>
      <c r="CG39" s="456">
        <f>((0.33*BG39)/Speed!AT120)+((0.67*BG39)/Speed!BT120)</f>
        <v>1255.3760304438147</v>
      </c>
      <c r="CH39" s="456">
        <f>((0.33*BH39)/Speed!AU120)+((0.67*BH39)/Speed!BU120)</f>
        <v>1273.8184249878695</v>
      </c>
      <c r="CI39" s="456">
        <f>((0.33*BI39)/Speed!AV120)+((0.67*BI39)/Speed!BV120)</f>
        <v>1292.2942200159512</v>
      </c>
      <c r="CJ39" s="457">
        <f>((0.33*BJ39)/Speed!AW120)+((0.67*BJ39)/Speed!BW120)</f>
        <v>1310.8363756674971</v>
      </c>
      <c r="CK39" s="1415">
        <f>Inputs!$E$35</f>
        <v>0.2</v>
      </c>
      <c r="CL39" s="1416">
        <f>Inputs!$E$36</f>
        <v>0.8</v>
      </c>
      <c r="CM39" s="1418">
        <f>1/(1+CK39)</f>
        <v>0.83333333333333337</v>
      </c>
      <c r="CN39" s="1422">
        <v>0.9</v>
      </c>
      <c r="CO39" s="12"/>
      <c r="CP39" s="12"/>
      <c r="CQ39" s="12"/>
      <c r="CR39" s="12"/>
      <c r="CS39" s="12"/>
      <c r="CT39" s="12"/>
      <c r="CU39" s="12"/>
      <c r="CV39" s="12"/>
      <c r="CW39" s="12"/>
      <c r="CX39" s="12"/>
      <c r="CY39" s="12"/>
      <c r="CZ39" s="12"/>
    </row>
    <row r="40" spans="2:104" customFormat="1" ht="21.95" customHeight="1" x14ac:dyDescent="0.2">
      <c r="B40" s="927"/>
      <c r="C40" s="1413"/>
      <c r="D40" s="289" t="s">
        <v>335</v>
      </c>
      <c r="E40" s="289" t="s">
        <v>323</v>
      </c>
      <c r="F40" s="289" t="s">
        <v>372</v>
      </c>
      <c r="G40" s="290">
        <v>45</v>
      </c>
      <c r="H40" s="291">
        <v>0.5</v>
      </c>
      <c r="I40" s="292">
        <v>2</v>
      </c>
      <c r="J40" s="331">
        <f>'Trip Gen'!W116</f>
        <v>2400</v>
      </c>
      <c r="K40" s="332">
        <f>'Trip Gen'!X116</f>
        <v>2650.4800000000005</v>
      </c>
      <c r="L40" s="332">
        <f>'Trip Gen'!Y116</f>
        <v>2996.2599999999998</v>
      </c>
      <c r="M40" s="332">
        <f>'Trip Gen'!Z116</f>
        <v>3631.2599999999998</v>
      </c>
      <c r="N40" s="332">
        <f>'Trip Gen'!AA116</f>
        <v>4266.4400000000005</v>
      </c>
      <c r="O40" s="332">
        <f>'Trip Gen'!AB116</f>
        <v>4901.7400000000007</v>
      </c>
      <c r="P40" s="332">
        <f>'Trip Gen'!AC116</f>
        <v>5536.74</v>
      </c>
      <c r="Q40" s="332">
        <f>'Trip Gen'!AD116</f>
        <v>6172.3200000000006</v>
      </c>
      <c r="R40" s="332">
        <f>'Trip Gen'!AE116</f>
        <v>7086.2</v>
      </c>
      <c r="S40" s="332">
        <f>'Trip Gen'!AF116</f>
        <v>8000.28</v>
      </c>
      <c r="T40" s="332">
        <f>'Trip Gen'!AG116</f>
        <v>8913.98</v>
      </c>
      <c r="U40" s="332">
        <f>'Trip Gen'!AH116</f>
        <v>9827.86</v>
      </c>
      <c r="V40" s="332">
        <f>'Trip Gen'!AI116</f>
        <v>10742.320000000002</v>
      </c>
      <c r="W40" s="332">
        <f>'Trip Gen'!AJ116</f>
        <v>11366.4</v>
      </c>
      <c r="X40" s="332">
        <f>'Trip Gen'!AK116</f>
        <v>11616.880000000001</v>
      </c>
      <c r="Y40" s="332">
        <f>'Trip Gen'!AL116</f>
        <v>11867.36</v>
      </c>
      <c r="Z40" s="332">
        <f>'Trip Gen'!AM116</f>
        <v>12117.84</v>
      </c>
      <c r="AA40" s="332">
        <f>'Trip Gen'!AN116</f>
        <v>12368.500000000002</v>
      </c>
      <c r="AB40" s="332">
        <f>'Trip Gen'!AO116</f>
        <v>12618.98</v>
      </c>
      <c r="AC40" s="332">
        <f>'Trip Gen'!AP116</f>
        <v>12869.640000000001</v>
      </c>
      <c r="AD40" s="332">
        <f>'Trip Gen'!AQ116</f>
        <v>13120.12</v>
      </c>
      <c r="AE40" s="332">
        <f>'Trip Gen'!AR116</f>
        <v>13370.6</v>
      </c>
      <c r="AF40" s="332">
        <f>'Trip Gen'!AS116</f>
        <v>13621.26</v>
      </c>
      <c r="AG40" s="332">
        <f>'Trip Gen'!AT116</f>
        <v>13871.74</v>
      </c>
      <c r="AH40" s="332">
        <f>'Trip Gen'!AU116</f>
        <v>14122.220000000001</v>
      </c>
      <c r="AI40" s="333">
        <f>'Trip Gen'!AV116</f>
        <v>14372.88</v>
      </c>
      <c r="AJ40" s="293">
        <f t="shared" si="84"/>
        <v>0.19954799999999998</v>
      </c>
      <c r="AK40" s="331">
        <f t="shared" si="113"/>
        <v>1200</v>
      </c>
      <c r="AL40" s="292">
        <f t="shared" ref="AL40:AL46" si="139">$H40*K40</f>
        <v>1325.2400000000002</v>
      </c>
      <c r="AM40" s="292">
        <f t="shared" si="116"/>
        <v>1498.1299999999999</v>
      </c>
      <c r="AN40" s="292">
        <f t="shared" si="117"/>
        <v>1815.6299999999999</v>
      </c>
      <c r="AO40" s="292">
        <f t="shared" si="118"/>
        <v>2133.2200000000003</v>
      </c>
      <c r="AP40" s="292">
        <f t="shared" si="119"/>
        <v>2450.8700000000003</v>
      </c>
      <c r="AQ40" s="292">
        <f t="shared" si="120"/>
        <v>2768.37</v>
      </c>
      <c r="AR40" s="292">
        <f t="shared" si="121"/>
        <v>3086.1600000000003</v>
      </c>
      <c r="AS40" s="292">
        <f t="shared" si="122"/>
        <v>3543.1</v>
      </c>
      <c r="AT40" s="292">
        <f t="shared" si="123"/>
        <v>4000.14</v>
      </c>
      <c r="AU40" s="292">
        <f t="shared" si="124"/>
        <v>4456.99</v>
      </c>
      <c r="AV40" s="292">
        <f t="shared" si="125"/>
        <v>4913.93</v>
      </c>
      <c r="AW40" s="292">
        <f t="shared" si="126"/>
        <v>5371.1600000000008</v>
      </c>
      <c r="AX40" s="292">
        <f t="shared" si="127"/>
        <v>5683.2</v>
      </c>
      <c r="AY40" s="292">
        <f t="shared" si="128"/>
        <v>5808.4400000000005</v>
      </c>
      <c r="AZ40" s="292">
        <f t="shared" si="129"/>
        <v>5933.68</v>
      </c>
      <c r="BA40" s="292">
        <f t="shared" si="130"/>
        <v>6058.92</v>
      </c>
      <c r="BB40" s="292">
        <f t="shared" si="131"/>
        <v>6184.2500000000009</v>
      </c>
      <c r="BC40" s="292">
        <f t="shared" si="132"/>
        <v>6309.49</v>
      </c>
      <c r="BD40" s="292">
        <f t="shared" si="133"/>
        <v>6434.8200000000006</v>
      </c>
      <c r="BE40" s="292">
        <f t="shared" si="134"/>
        <v>6560.06</v>
      </c>
      <c r="BF40" s="292">
        <f t="shared" si="135"/>
        <v>6685.3</v>
      </c>
      <c r="BG40" s="292">
        <f t="shared" si="136"/>
        <v>6810.63</v>
      </c>
      <c r="BH40" s="292">
        <f t="shared" si="137"/>
        <v>6935.87</v>
      </c>
      <c r="BI40" s="292">
        <f t="shared" si="138"/>
        <v>7061.1100000000006</v>
      </c>
      <c r="BJ40" s="360">
        <f t="shared" si="114"/>
        <v>7186.44</v>
      </c>
      <c r="BK40" s="423">
        <f>((0.33*'Traffic Data'!AK40)/Speed!X121)+((0.67*'Traffic Data'!AK40)/Speed!AX121)</f>
        <v>24.242438227745033</v>
      </c>
      <c r="BL40" s="424">
        <f>((0.33*AL40)/Speed!Y121)+((0.67*AL40)/Speed!AY121)</f>
        <v>26.772566931259625</v>
      </c>
      <c r="BM40" s="424">
        <f>((0.33*AM40)/Speed!Z121)+((0.67*AM40)/Speed!AZ121)</f>
        <v>30.265413115303303</v>
      </c>
      <c r="BN40" s="424">
        <f>((0.33*AN40)/Speed!AA121)+((0.67*AN40)/Speed!BA121)</f>
        <v>36.680724314222864</v>
      </c>
      <c r="BO40" s="424">
        <f>((0.33*AO40)/Speed!AB121)+((0.67*AO40)/Speed!BB121)</f>
        <v>43.103189015765814</v>
      </c>
      <c r="BP40" s="424">
        <f>((0.33*AP40)/Speed!AC121)+((0.67*AP40)/Speed!BC121)</f>
        <v>49.548599466346218</v>
      </c>
      <c r="BQ40" s="424">
        <f>((0.33*AQ40)/Speed!AD121)+((0.67*AQ40)/Speed!BD121)</f>
        <v>56.064431895766106</v>
      </c>
      <c r="BR40" s="424">
        <f>((0.33*AR40)/Speed!AE121)+((0.67*AR40)/Speed!BE121)</f>
        <v>62.801945259838917</v>
      </c>
      <c r="BS40" s="424">
        <f>((0.33*AS40)/Speed!AF121)+((0.67*AS40)/Speed!BF121)</f>
        <v>73.656954300230609</v>
      </c>
      <c r="BT40" s="424">
        <f>((0.33*AT40)/Speed!AG121)+((0.67*AT40)/Speed!BG121)</f>
        <v>88.708620429555651</v>
      </c>
      <c r="BU40" s="424">
        <f>((0.33*AU40)/Speed!AH121)+((0.67*AU40)/Speed!BH121)</f>
        <v>115.98992226610844</v>
      </c>
      <c r="BV40" s="424">
        <f>((0.33*AV40)/Speed!AI121)+((0.67*AV40)/Speed!BI121)</f>
        <v>175.19779739199328</v>
      </c>
      <c r="BW40" s="424">
        <f>((0.33*AW40)/Speed!AJ121)+((0.67*AW40)/Speed!BJ121)</f>
        <v>249.95007347240909</v>
      </c>
      <c r="BX40" s="424">
        <f>((0.33*AX40)/Speed!AK121)+((0.67*AX40)/Speed!BK121)</f>
        <v>264.47292547841982</v>
      </c>
      <c r="BY40" s="424">
        <f>((0.33*AY40)/Speed!AL121)+((0.67*AY40)/Speed!BL121)</f>
        <v>270.30356916990411</v>
      </c>
      <c r="BZ40" s="424">
        <f>((0.33*AZ40)/Speed!AM121)+((0.67*AZ40)/Speed!BM121)</f>
        <v>276.13321425490045</v>
      </c>
      <c r="CA40" s="424">
        <f>((0.33*BA40)/Speed!AN121)+((0.67*BA40)/Speed!BN121)</f>
        <v>281.96323316614433</v>
      </c>
      <c r="CB40" s="424">
        <f>((0.33*BB40)/Speed!AO121)+((0.67*BB40)/Speed!BO121)</f>
        <v>287.79789316149265</v>
      </c>
      <c r="CC40" s="424">
        <f>((0.33*BC40)/Speed!AP121)+((0.67*BC40)/Speed!BP121)</f>
        <v>293.62891307661738</v>
      </c>
      <c r="CD40" s="424">
        <f>((0.33*BD40)/Speed!AQ121)+((0.67*BD40)/Speed!BQ121)</f>
        <v>299.46477602296955</v>
      </c>
      <c r="CE40" s="424">
        <f>((0.33*BE40)/Speed!AR121)+((0.67*BE40)/Speed!BR121)</f>
        <v>305.29723951904862</v>
      </c>
      <c r="CF40" s="424">
        <f>((0.33*BF40)/Speed!AS121)+((0.67*BF40)/Speed!BS121)</f>
        <v>311.13063799959554</v>
      </c>
      <c r="CG40" s="424">
        <f>((0.33*BG40)/Speed!AT121)+((0.67*BG40)/Speed!BT121)</f>
        <v>316.96933987411904</v>
      </c>
      <c r="CH40" s="424">
        <f>((0.33*BH40)/Speed!AU121)+((0.67*BH40)/Speed!BU121)</f>
        <v>322.80517986777943</v>
      </c>
      <c r="CI40" s="424">
        <f>((0.33*BI40)/Speed!AV121)+((0.67*BI40)/Speed!BV121)</f>
        <v>328.64257617464057</v>
      </c>
      <c r="CJ40" s="432">
        <f>((0.33*BJ40)/Speed!AW121)+((0.67*BJ40)/Speed!BW121)</f>
        <v>334.48599992073434</v>
      </c>
      <c r="CK40" s="1416"/>
      <c r="CL40" s="1416"/>
      <c r="CM40" s="1419"/>
      <c r="CN40" s="1422"/>
      <c r="CO40" s="12"/>
      <c r="CP40" s="12"/>
      <c r="CQ40" s="12"/>
      <c r="CR40" s="12"/>
      <c r="CS40" s="12"/>
      <c r="CT40" s="12"/>
      <c r="CU40" s="12"/>
      <c r="CV40" s="12"/>
      <c r="CW40" s="12"/>
      <c r="CX40" s="12"/>
      <c r="CY40" s="12"/>
      <c r="CZ40" s="12"/>
    </row>
    <row r="41" spans="2:104" customFormat="1" ht="21.95" customHeight="1" x14ac:dyDescent="0.2">
      <c r="B41" s="927"/>
      <c r="C41" s="1414"/>
      <c r="D41" s="302" t="s">
        <v>323</v>
      </c>
      <c r="E41" s="302" t="s">
        <v>338</v>
      </c>
      <c r="F41" s="302" t="s">
        <v>373</v>
      </c>
      <c r="G41" s="303">
        <v>45</v>
      </c>
      <c r="H41" s="304">
        <v>2.68</v>
      </c>
      <c r="I41" s="297">
        <v>2</v>
      </c>
      <c r="J41" s="336">
        <f>'Trip Gen'!W117</f>
        <v>6000</v>
      </c>
      <c r="K41" s="305">
        <f>'Trip Gen'!X117</f>
        <v>6168.0199999999995</v>
      </c>
      <c r="L41" s="305">
        <f>'Trip Gen'!Y117</f>
        <v>6407.46</v>
      </c>
      <c r="M41" s="305">
        <f>'Trip Gen'!Z117</f>
        <v>6743.52</v>
      </c>
      <c r="N41" s="305">
        <f>'Trip Gen'!AA117</f>
        <v>7079.7199999999984</v>
      </c>
      <c r="O41" s="305">
        <f>'Trip Gen'!AB117</f>
        <v>7415.8900000000021</v>
      </c>
      <c r="P41" s="305">
        <f>'Trip Gen'!AC117</f>
        <v>7751.9500000000016</v>
      </c>
      <c r="Q41" s="305">
        <f>'Trip Gen'!AD117</f>
        <v>8088.2800000000007</v>
      </c>
      <c r="R41" s="305">
        <f>'Trip Gen'!AE117</f>
        <v>8427.7999999999993</v>
      </c>
      <c r="S41" s="305">
        <f>'Trip Gen'!AF117</f>
        <v>8767.42</v>
      </c>
      <c r="T41" s="305">
        <f>'Trip Gen'!AG117</f>
        <v>9106.909999999998</v>
      </c>
      <c r="U41" s="305">
        <f>'Trip Gen'!AH117</f>
        <v>9446.43</v>
      </c>
      <c r="V41" s="305">
        <f>'Trip Gen'!AI117</f>
        <v>9786.2200000000012</v>
      </c>
      <c r="W41" s="305">
        <f>'Trip Gen'!AJ117</f>
        <v>10028.960000000001</v>
      </c>
      <c r="X41" s="305">
        <f>'Trip Gen'!AK117</f>
        <v>10196.98</v>
      </c>
      <c r="Y41" s="305">
        <f>'Trip Gen'!AL117</f>
        <v>10365</v>
      </c>
      <c r="Z41" s="305">
        <f>'Trip Gen'!AM117</f>
        <v>10533.019999999999</v>
      </c>
      <c r="AA41" s="305">
        <f>'Trip Gen'!AN117</f>
        <v>10701.119999999999</v>
      </c>
      <c r="AB41" s="305">
        <f>'Trip Gen'!AO117</f>
        <v>10869.140000000001</v>
      </c>
      <c r="AC41" s="305">
        <f>'Trip Gen'!AP117</f>
        <v>11037.240000000002</v>
      </c>
      <c r="AD41" s="305">
        <f>'Trip Gen'!AQ117</f>
        <v>11205.26</v>
      </c>
      <c r="AE41" s="305">
        <f>'Trip Gen'!AR117</f>
        <v>11373.28</v>
      </c>
      <c r="AF41" s="305">
        <f>'Trip Gen'!AS117</f>
        <v>11541.38</v>
      </c>
      <c r="AG41" s="305">
        <f>'Trip Gen'!AT117</f>
        <v>11709.399999999998</v>
      </c>
      <c r="AH41" s="305">
        <f>'Trip Gen'!AU117</f>
        <v>11877.419999999998</v>
      </c>
      <c r="AI41" s="337">
        <f>'Trip Gen'!AV117</f>
        <v>12045.519999999999</v>
      </c>
      <c r="AJ41" s="306">
        <f t="shared" si="84"/>
        <v>4.0303466666666656E-2</v>
      </c>
      <c r="AK41" s="336">
        <f t="shared" si="113"/>
        <v>16080.000000000002</v>
      </c>
      <c r="AL41" s="297">
        <f t="shared" si="139"/>
        <v>16530.293600000001</v>
      </c>
      <c r="AM41" s="297">
        <f t="shared" si="116"/>
        <v>17171.9928</v>
      </c>
      <c r="AN41" s="297">
        <f t="shared" si="117"/>
        <v>18072.633600000001</v>
      </c>
      <c r="AO41" s="297">
        <f t="shared" si="118"/>
        <v>18973.649599999997</v>
      </c>
      <c r="AP41" s="297">
        <f t="shared" si="119"/>
        <v>19874.585200000009</v>
      </c>
      <c r="AQ41" s="297">
        <f t="shared" si="120"/>
        <v>20775.226000000006</v>
      </c>
      <c r="AR41" s="297">
        <f t="shared" si="121"/>
        <v>21676.590400000005</v>
      </c>
      <c r="AS41" s="297">
        <f t="shared" si="122"/>
        <v>22586.504000000001</v>
      </c>
      <c r="AT41" s="297">
        <f t="shared" si="123"/>
        <v>23496.685600000001</v>
      </c>
      <c r="AU41" s="297">
        <f t="shared" si="124"/>
        <v>24406.518799999998</v>
      </c>
      <c r="AV41" s="297">
        <f t="shared" si="125"/>
        <v>25316.432400000002</v>
      </c>
      <c r="AW41" s="297">
        <f t="shared" si="126"/>
        <v>26227.069600000006</v>
      </c>
      <c r="AX41" s="297">
        <f t="shared" si="127"/>
        <v>26877.612800000003</v>
      </c>
      <c r="AY41" s="297">
        <f t="shared" si="128"/>
        <v>27327.9064</v>
      </c>
      <c r="AZ41" s="297">
        <f t="shared" si="129"/>
        <v>27778.2</v>
      </c>
      <c r="BA41" s="297">
        <f t="shared" si="130"/>
        <v>28228.493599999998</v>
      </c>
      <c r="BB41" s="297">
        <f t="shared" si="131"/>
        <v>28679.0016</v>
      </c>
      <c r="BC41" s="297">
        <f t="shared" si="132"/>
        <v>29129.295200000004</v>
      </c>
      <c r="BD41" s="297">
        <f t="shared" si="133"/>
        <v>29579.803200000006</v>
      </c>
      <c r="BE41" s="297">
        <f t="shared" si="134"/>
        <v>30030.096800000003</v>
      </c>
      <c r="BF41" s="297">
        <f t="shared" si="135"/>
        <v>30480.390400000004</v>
      </c>
      <c r="BG41" s="297">
        <f t="shared" si="136"/>
        <v>30930.898399999998</v>
      </c>
      <c r="BH41" s="297">
        <f t="shared" si="137"/>
        <v>31381.191999999995</v>
      </c>
      <c r="BI41" s="297">
        <f t="shared" si="138"/>
        <v>31831.485599999996</v>
      </c>
      <c r="BJ41" s="361">
        <f t="shared" si="114"/>
        <v>32281.993599999998</v>
      </c>
      <c r="BK41" s="426">
        <f>((0.33*'Traffic Data'!AK41)/Speed!X122)+((0.67*'Traffic Data'!AK41)/Speed!AX122)</f>
        <v>344.00994144229037</v>
      </c>
      <c r="BL41" s="458">
        <f>((0.33*AL41)/Speed!Y122)+((0.67*AL41)/Speed!AY122)</f>
        <v>354.25885985355177</v>
      </c>
      <c r="BM41" s="458">
        <f>((0.33*AM41)/Speed!Z122)+((0.67*AM41)/Speed!AZ122)</f>
        <v>369.2391558691844</v>
      </c>
      <c r="BN41" s="458">
        <f>((0.33*AN41)/Speed!AA122)+((0.67*AN41)/Speed!BA122)</f>
        <v>391.32823105524932</v>
      </c>
      <c r="BO41" s="458">
        <f>((0.33*AO41)/Speed!AB122)+((0.67*AO41)/Speed!BB122)</f>
        <v>415.31438255131764</v>
      </c>
      <c r="BP41" s="458">
        <f>((0.33*AP41)/Speed!AC122)+((0.67*AP41)/Speed!BC122)</f>
        <v>442.2194679590059</v>
      </c>
      <c r="BQ41" s="458">
        <f>((0.33*AQ41)/Speed!AD122)+((0.67*AQ41)/Speed!BD122)</f>
        <v>473.54267098954176</v>
      </c>
      <c r="BR41" s="458">
        <f>((0.33*AR41)/Speed!AE122)+((0.67*AR41)/Speed!BE122)</f>
        <v>511.48883651680319</v>
      </c>
      <c r="BS41" s="458">
        <f>((0.33*AS41)/Speed!AF122)+((0.67*AS41)/Speed!BF122)</f>
        <v>559.60904866767874</v>
      </c>
      <c r="BT41" s="458">
        <f>((0.33*AT41)/Speed!AG122)+((0.67*AT41)/Speed!BG122)</f>
        <v>621.99941473577576</v>
      </c>
      <c r="BU41" s="458">
        <f>((0.33*AU41)/Speed!AH122)+((0.67*AU41)/Speed!BH122)</f>
        <v>704.68362467616817</v>
      </c>
      <c r="BV41" s="458">
        <f>((0.33*AV41)/Speed!AI122)+((0.67*AV41)/Speed!BI122)</f>
        <v>815.95634598057131</v>
      </c>
      <c r="BW41" s="458">
        <f>((0.33*AW41)/Speed!AJ122)+((0.67*AW41)/Speed!BJ122)</f>
        <v>967.07962524660104</v>
      </c>
      <c r="BX41" s="458">
        <f>((0.33*AX41)/Speed!AK122)+((0.67*AX41)/Speed!BK122)</f>
        <v>1107.45647097029</v>
      </c>
      <c r="BY41" s="458">
        <f>((0.33*AY41)/Speed!AL122)+((0.67*AY41)/Speed!BL122)</f>
        <v>1224.4391575300999</v>
      </c>
      <c r="BZ41" s="458">
        <f>((0.33*AZ41)/Speed!AM122)+((0.67*AZ41)/Speed!BM122)</f>
        <v>1312.6775031307229</v>
      </c>
      <c r="CA41" s="458">
        <f>((0.33*BA41)/Speed!AN122)+((0.67*BA41)/Speed!BN122)</f>
        <v>1333.9581972737878</v>
      </c>
      <c r="CB41" s="458">
        <f>((0.33*BB41)/Speed!AO122)+((0.67*BB41)/Speed!BO122)</f>
        <v>1355.2493614693506</v>
      </c>
      <c r="CC41" s="458">
        <f>((0.33*BC41)/Speed!AP122)+((0.67*BC41)/Speed!BP122)</f>
        <v>1376.5307862852196</v>
      </c>
      <c r="CD41" s="458">
        <f>((0.33*BD41)/Speed!AQ122)+((0.67*BD41)/Speed!BQ122)</f>
        <v>1397.822792495981</v>
      </c>
      <c r="CE41" s="458">
        <f>((0.33*BE41)/Speed!AR122)+((0.67*BE41)/Speed!BR122)</f>
        <v>1419.1051872397343</v>
      </c>
      <c r="CF41" s="458">
        <f>((0.33*BF41)/Speed!AS122)+((0.67*BF41)/Speed!BS122)</f>
        <v>1440.3881756896799</v>
      </c>
      <c r="CG41" s="458">
        <f>((0.33*BG41)/Speed!AT122)+((0.67*BG41)/Speed!BT122)</f>
        <v>1461.6819775983247</v>
      </c>
      <c r="CH41" s="458">
        <f>((0.33*BH41)/Speed!AU122)+((0.67*BH41)/Speed!BU122)</f>
        <v>1482.9664296580349</v>
      </c>
      <c r="CI41" s="458">
        <f>((0.33*BI41)/Speed!AV122)+((0.67*BI41)/Speed!BV122)</f>
        <v>1504.2517684775089</v>
      </c>
      <c r="CJ41" s="459">
        <f>((0.33*BJ41)/Speed!AW122)+((0.67*BJ41)/Speed!BW122)</f>
        <v>1525.548251527242</v>
      </c>
      <c r="CK41" s="1417"/>
      <c r="CL41" s="1417"/>
      <c r="CM41" s="1420"/>
      <c r="CN41" s="1423"/>
      <c r="CO41" s="12"/>
      <c r="CP41" s="12"/>
      <c r="CQ41" s="12"/>
      <c r="CR41" s="12"/>
      <c r="CS41" s="12"/>
      <c r="CT41" s="12"/>
      <c r="CU41" s="12"/>
      <c r="CV41" s="12"/>
      <c r="CW41" s="12"/>
      <c r="CX41" s="12"/>
      <c r="CY41" s="12"/>
      <c r="CZ41" s="12"/>
    </row>
    <row r="42" spans="2:104" customFormat="1" ht="21.95" customHeight="1" x14ac:dyDescent="0.2">
      <c r="B42" s="927"/>
      <c r="C42" s="289" t="s">
        <v>339</v>
      </c>
      <c r="D42" s="289" t="s">
        <v>335</v>
      </c>
      <c r="E42" s="289" t="s">
        <v>323</v>
      </c>
      <c r="F42" s="289" t="s">
        <v>374</v>
      </c>
      <c r="G42" s="290">
        <v>40</v>
      </c>
      <c r="H42" s="291">
        <v>2.35</v>
      </c>
      <c r="I42" s="292">
        <v>2</v>
      </c>
      <c r="J42" s="331">
        <f>'Trip Gen'!W121</f>
        <v>20</v>
      </c>
      <c r="K42" s="338">
        <f>'Trip Gen'!X121</f>
        <v>151.58000000000001</v>
      </c>
      <c r="L42" s="338">
        <f>'Trip Gen'!Y121</f>
        <v>878.18</v>
      </c>
      <c r="M42" s="338">
        <f>'Trip Gen'!Z121</f>
        <v>2022.6599999999999</v>
      </c>
      <c r="N42" s="338">
        <f>'Trip Gen'!AA121</f>
        <v>3167.8599999999997</v>
      </c>
      <c r="O42" s="338">
        <f>'Trip Gen'!AB121</f>
        <v>4313.1200000000008</v>
      </c>
      <c r="P42" s="338">
        <f>'Trip Gen'!AC121</f>
        <v>5457.6</v>
      </c>
      <c r="Q42" s="338">
        <f>'Trip Gen'!AD121</f>
        <v>6603.6</v>
      </c>
      <c r="R42" s="338">
        <f>'Trip Gen'!AE121</f>
        <v>7247.079999999999</v>
      </c>
      <c r="S42" s="338">
        <f>'Trip Gen'!AF121</f>
        <v>7890.8</v>
      </c>
      <c r="T42" s="338">
        <f>'Trip Gen'!AG121</f>
        <v>8534.4599999999991</v>
      </c>
      <c r="U42" s="338">
        <f>'Trip Gen'!AH121</f>
        <v>9177.9399999999987</v>
      </c>
      <c r="V42" s="338">
        <f>'Trip Gen'!AI121</f>
        <v>9822.9400000000023</v>
      </c>
      <c r="W42" s="338">
        <f>'Trip Gen'!AJ121</f>
        <v>10047.920000000004</v>
      </c>
      <c r="X42" s="338">
        <f>'Trip Gen'!AK121</f>
        <v>10179.5</v>
      </c>
      <c r="Y42" s="338">
        <f>'Trip Gen'!AL121</f>
        <v>10311.080000000002</v>
      </c>
      <c r="Z42" s="338">
        <f>'Trip Gen'!AM121</f>
        <v>10442.660000000002</v>
      </c>
      <c r="AA42" s="338">
        <f>'Trip Gen'!AN121</f>
        <v>10574.76</v>
      </c>
      <c r="AB42" s="338">
        <f>'Trip Gen'!AO121</f>
        <v>10706.340000000002</v>
      </c>
      <c r="AC42" s="338">
        <f>'Trip Gen'!AP121</f>
        <v>10838.440000000004</v>
      </c>
      <c r="AD42" s="338">
        <f>'Trip Gen'!AQ121</f>
        <v>10970.02</v>
      </c>
      <c r="AE42" s="338">
        <f>'Trip Gen'!AR121</f>
        <v>11101.600000000002</v>
      </c>
      <c r="AF42" s="338">
        <f>'Trip Gen'!AS121</f>
        <v>11233.700000000004</v>
      </c>
      <c r="AG42" s="338">
        <f>'Trip Gen'!AT121</f>
        <v>11365.28</v>
      </c>
      <c r="AH42" s="338">
        <f>'Trip Gen'!AU121</f>
        <v>11496.86</v>
      </c>
      <c r="AI42" s="333">
        <f>'Trip Gen'!AV121</f>
        <v>11628.960000000003</v>
      </c>
      <c r="AJ42" s="293">
        <f t="shared" si="84"/>
        <v>23.217920000000003</v>
      </c>
      <c r="AK42" s="362">
        <f>$H42*J42</f>
        <v>47</v>
      </c>
      <c r="AL42" s="307">
        <f t="shared" si="139"/>
        <v>356.21300000000002</v>
      </c>
      <c r="AM42" s="307">
        <f t="shared" si="116"/>
        <v>2063.723</v>
      </c>
      <c r="AN42" s="307">
        <f t="shared" si="117"/>
        <v>4753.2510000000002</v>
      </c>
      <c r="AO42" s="307">
        <f t="shared" si="118"/>
        <v>7444.4709999999995</v>
      </c>
      <c r="AP42" s="307">
        <f t="shared" si="119"/>
        <v>10135.832000000002</v>
      </c>
      <c r="AQ42" s="307">
        <f t="shared" si="120"/>
        <v>12825.36</v>
      </c>
      <c r="AR42" s="307">
        <f t="shared" si="121"/>
        <v>15518.460000000001</v>
      </c>
      <c r="AS42" s="307">
        <f t="shared" si="122"/>
        <v>17030.637999999999</v>
      </c>
      <c r="AT42" s="307">
        <f t="shared" si="123"/>
        <v>18543.38</v>
      </c>
      <c r="AU42" s="307">
        <f t="shared" si="124"/>
        <v>20055.981</v>
      </c>
      <c r="AV42" s="307">
        <f t="shared" si="125"/>
        <v>21568.158999999996</v>
      </c>
      <c r="AW42" s="307">
        <f t="shared" si="126"/>
        <v>23083.909000000007</v>
      </c>
      <c r="AX42" s="307">
        <f t="shared" si="127"/>
        <v>23612.612000000008</v>
      </c>
      <c r="AY42" s="307">
        <f t="shared" si="128"/>
        <v>23921.825000000001</v>
      </c>
      <c r="AZ42" s="307">
        <f t="shared" si="129"/>
        <v>24231.038000000004</v>
      </c>
      <c r="BA42" s="307">
        <f t="shared" si="130"/>
        <v>24540.251000000004</v>
      </c>
      <c r="BB42" s="307">
        <f t="shared" si="131"/>
        <v>24850.686000000002</v>
      </c>
      <c r="BC42" s="307">
        <f t="shared" si="132"/>
        <v>25159.899000000005</v>
      </c>
      <c r="BD42" s="307">
        <f t="shared" si="133"/>
        <v>25470.33400000001</v>
      </c>
      <c r="BE42" s="307">
        <f t="shared" si="134"/>
        <v>25779.547000000002</v>
      </c>
      <c r="BF42" s="307">
        <f t="shared" si="135"/>
        <v>26088.760000000006</v>
      </c>
      <c r="BG42" s="307">
        <f t="shared" si="136"/>
        <v>26399.195000000011</v>
      </c>
      <c r="BH42" s="307">
        <f t="shared" si="137"/>
        <v>26708.408000000003</v>
      </c>
      <c r="BI42" s="307">
        <f t="shared" si="138"/>
        <v>27017.621000000003</v>
      </c>
      <c r="BJ42" s="363">
        <f>$H42*AI42</f>
        <v>27328.056000000008</v>
      </c>
      <c r="BK42" s="423">
        <f>((0.33*'Traffic Data'!AK42)/Speed!X123)+((0.67*'Traffic Data'!AK42)/Speed!AX123)</f>
        <v>1.087962962962963</v>
      </c>
      <c r="BL42" s="424">
        <f>((0.33*AL42)/Speed!Y123)+((0.67*AL42)/Speed!AY123)</f>
        <v>8.2456712962962975</v>
      </c>
      <c r="BM42" s="424">
        <f>((0.33*AM42)/Speed!Z123)+((0.67*AM42)/Speed!AZ123)</f>
        <v>47.771365742225235</v>
      </c>
      <c r="BN42" s="424">
        <f>((0.33*AN42)/Speed!AA123)+((0.67*AN42)/Speed!BA123)</f>
        <v>110.02897269853389</v>
      </c>
      <c r="BO42" s="424">
        <f>((0.33*AO42)/Speed!AB123)+((0.67*AO42)/Speed!BB123)</f>
        <v>172.32771554805237</v>
      </c>
      <c r="BP42" s="424">
        <f>((0.33*AP42)/Speed!AC123)+((0.67*AP42)/Speed!BC123)</f>
        <v>234.68528874332719</v>
      </c>
      <c r="BQ42" s="424">
        <f>((0.33*AQ42)/Speed!AD123)+((0.67*AQ42)/Speed!BD123)</f>
        <v>297.67616189701926</v>
      </c>
      <c r="BR42" s="424">
        <f>((0.33*AR42)/Speed!AE123)+((0.67*AR42)/Speed!BE123)</f>
        <v>365.67642682388777</v>
      </c>
      <c r="BS42" s="424">
        <f>((0.33*AS42)/Speed!AF123)+((0.67*AS42)/Speed!BF123)</f>
        <v>412.17325474595953</v>
      </c>
      <c r="BT42" s="424">
        <f>((0.33*AT42)/Speed!AG123)+((0.67*AT42)/Speed!BG123)</f>
        <v>475.0057614889119</v>
      </c>
      <c r="BU42" s="424">
        <f>((0.33*AU42)/Speed!AH123)+((0.67*AU42)/Speed!BH123)</f>
        <v>572.676331882569</v>
      </c>
      <c r="BV42" s="424">
        <f>((0.33*AV42)/Speed!AI123)+((0.67*AV42)/Speed!BI123)</f>
        <v>740.45357988217302</v>
      </c>
      <c r="BW42" s="424">
        <f>((0.33*AW42)/Speed!AJ123)+((0.67*AW42)/Speed!BJ123)</f>
        <v>1043.4691523897727</v>
      </c>
      <c r="BX42" s="424">
        <f>((0.33*AX42)/Speed!AK123)+((0.67*AX42)/Speed!BK123)</f>
        <v>1145.4381233867302</v>
      </c>
      <c r="BY42" s="424">
        <f>((0.33*AY42)/Speed!AL123)+((0.67*AY42)/Speed!BL123)</f>
        <v>1160.4399290286522</v>
      </c>
      <c r="BZ42" s="424">
        <f>((0.33*AZ42)/Speed!AM123)+((0.67*AZ42)/Speed!BM123)</f>
        <v>1175.4411467047316</v>
      </c>
      <c r="CA42" s="424">
        <f>((0.33*BA42)/Speed!AN123)+((0.67*BA42)/Speed!BN123)</f>
        <v>1190.4425743986117</v>
      </c>
      <c r="CB42" s="424">
        <f>((0.33*BB42)/Speed!AO123)+((0.67*BB42)/Speed!BO123)</f>
        <v>1205.5035168667425</v>
      </c>
      <c r="CC42" s="424">
        <f>((0.33*BC42)/Speed!AP123)+((0.67*BC42)/Speed!BP123)</f>
        <v>1220.5054530929933</v>
      </c>
      <c r="CD42" s="424">
        <f>((0.33*BD42)/Speed!AQ123)+((0.67*BD42)/Speed!BQ123)</f>
        <v>1235.5669568135215</v>
      </c>
      <c r="CE42" s="424">
        <f>((0.33*BE42)/Speed!AR123)+((0.67*BE42)/Speed!BR123)</f>
        <v>1250.5695228596505</v>
      </c>
      <c r="CF42" s="424">
        <f>((0.33*BF42)/Speed!AS123)+((0.67*BF42)/Speed!BS123)</f>
        <v>1265.5724482833643</v>
      </c>
      <c r="CG42" s="424">
        <f>((0.33*BG42)/Speed!AT123)+((0.67*BG42)/Speed!BT123)</f>
        <v>1280.6350647315394</v>
      </c>
      <c r="CH42" s="424">
        <f>((0.33*BH42)/Speed!AU123)+((0.67*BH42)/Speed!BU123)</f>
        <v>1295.6388751690934</v>
      </c>
      <c r="CI42" s="424">
        <f>((0.33*BI42)/Speed!AV123)+((0.67*BI42)/Speed!BV123)</f>
        <v>1310.6431809422431</v>
      </c>
      <c r="CJ42" s="432">
        <f>((0.33*BJ42)/Speed!AW123)+((0.67*BJ42)/Speed!BW123)</f>
        <v>1325.7073324092203</v>
      </c>
      <c r="CK42" s="294">
        <f>Inputs!$F$35</f>
        <v>0.2</v>
      </c>
      <c r="CL42" s="294">
        <f>Inputs!$F$36</f>
        <v>0.8</v>
      </c>
      <c r="CM42" s="295">
        <f>1/(1+CK42)</f>
        <v>0.83333333333333337</v>
      </c>
      <c r="CN42" s="296">
        <v>0.88</v>
      </c>
      <c r="CO42" s="12"/>
      <c r="CP42" s="12"/>
      <c r="CQ42" s="12"/>
      <c r="CR42" s="12"/>
      <c r="CS42" s="12"/>
      <c r="CT42" s="12"/>
      <c r="CU42" s="12"/>
      <c r="CV42" s="12"/>
      <c r="CW42" s="12"/>
      <c r="CX42" s="12"/>
      <c r="CY42" s="12"/>
      <c r="CZ42" s="12"/>
    </row>
    <row r="43" spans="2:104" customFormat="1" ht="21.95" customHeight="1" x14ac:dyDescent="0.2">
      <c r="B43" s="927"/>
      <c r="C43" s="1412" t="s">
        <v>323</v>
      </c>
      <c r="D43" s="281" t="s">
        <v>282</v>
      </c>
      <c r="E43" s="281" t="s">
        <v>339</v>
      </c>
      <c r="F43" s="281" t="s">
        <v>375</v>
      </c>
      <c r="G43" s="298">
        <v>40</v>
      </c>
      <c r="H43" s="299">
        <v>1.35</v>
      </c>
      <c r="I43" s="287">
        <v>4</v>
      </c>
      <c r="J43" s="339">
        <f>'Trip Gen'!W118</f>
        <v>100</v>
      </c>
      <c r="K43" s="308">
        <f>'Trip Gen'!X118</f>
        <v>222.24999999999997</v>
      </c>
      <c r="L43" s="308">
        <f>'Trip Gen'!Y118</f>
        <v>939.35</v>
      </c>
      <c r="M43" s="308">
        <f>'Trip Gen'!Z118</f>
        <v>2111.6</v>
      </c>
      <c r="N43" s="308">
        <f>'Trip Gen'!AA118</f>
        <v>3284.5000000000005</v>
      </c>
      <c r="O43" s="308">
        <f>'Trip Gen'!AB118</f>
        <v>4457.4499999999989</v>
      </c>
      <c r="P43" s="308">
        <f>'Trip Gen'!AC118</f>
        <v>5629.7</v>
      </c>
      <c r="Q43" s="308">
        <f>'Trip Gen'!AD118</f>
        <v>6803.3</v>
      </c>
      <c r="R43" s="308">
        <f>'Trip Gen'!AE118</f>
        <v>7708.3000000000011</v>
      </c>
      <c r="S43" s="308">
        <f>'Trip Gen'!AF118</f>
        <v>8613.4500000000007</v>
      </c>
      <c r="T43" s="308">
        <f>'Trip Gen'!AG118</f>
        <v>9518.4499999999989</v>
      </c>
      <c r="U43" s="308">
        <f>'Trip Gen'!AH118</f>
        <v>10423.449999999999</v>
      </c>
      <c r="V43" s="308">
        <f>'Trip Gen'!AI118</f>
        <v>11329.65</v>
      </c>
      <c r="W43" s="308">
        <f>'Trip Gen'!AJ118</f>
        <v>11778.8</v>
      </c>
      <c r="X43" s="308">
        <f>'Trip Gen'!AK118</f>
        <v>11901.050000000001</v>
      </c>
      <c r="Y43" s="308">
        <f>'Trip Gen'!AL118</f>
        <v>12023.3</v>
      </c>
      <c r="Z43" s="308">
        <f>'Trip Gen'!AM118</f>
        <v>12145.550000000001</v>
      </c>
      <c r="AA43" s="308">
        <f>'Trip Gen'!AN118</f>
        <v>12268.150000000001</v>
      </c>
      <c r="AB43" s="308">
        <f>'Trip Gen'!AO118</f>
        <v>12390.4</v>
      </c>
      <c r="AC43" s="308">
        <f>'Trip Gen'!AP118</f>
        <v>12512.999999999996</v>
      </c>
      <c r="AD43" s="308">
        <f>'Trip Gen'!AQ118</f>
        <v>12635.249999999998</v>
      </c>
      <c r="AE43" s="308">
        <f>'Trip Gen'!AR118</f>
        <v>12757.499999999998</v>
      </c>
      <c r="AF43" s="308">
        <f>'Trip Gen'!AS118</f>
        <v>12880.099999999999</v>
      </c>
      <c r="AG43" s="308">
        <f>'Trip Gen'!AT118</f>
        <v>13002.349999999999</v>
      </c>
      <c r="AH43" s="308">
        <f>'Trip Gen'!AU118</f>
        <v>13124.599999999999</v>
      </c>
      <c r="AI43" s="335">
        <f>'Trip Gen'!AV118</f>
        <v>13247.199999999999</v>
      </c>
      <c r="AJ43" s="301">
        <f t="shared" si="84"/>
        <v>5.2588799999999996</v>
      </c>
      <c r="AK43" s="342">
        <f>$H43*J43</f>
        <v>135</v>
      </c>
      <c r="AL43" s="290">
        <f t="shared" si="139"/>
        <v>300.03749999999997</v>
      </c>
      <c r="AM43" s="290">
        <f t="shared" si="116"/>
        <v>1268.1225000000002</v>
      </c>
      <c r="AN43" s="290">
        <f t="shared" si="117"/>
        <v>2850.66</v>
      </c>
      <c r="AO43" s="290">
        <f t="shared" si="118"/>
        <v>4434.0750000000007</v>
      </c>
      <c r="AP43" s="290">
        <f t="shared" si="119"/>
        <v>6017.557499999999</v>
      </c>
      <c r="AQ43" s="290">
        <f t="shared" si="120"/>
        <v>7600.0950000000003</v>
      </c>
      <c r="AR43" s="290">
        <f t="shared" si="121"/>
        <v>9184.4550000000017</v>
      </c>
      <c r="AS43" s="290">
        <f t="shared" si="122"/>
        <v>10406.205000000002</v>
      </c>
      <c r="AT43" s="290">
        <f t="shared" si="123"/>
        <v>11628.157500000001</v>
      </c>
      <c r="AU43" s="290">
        <f t="shared" si="124"/>
        <v>12849.907499999999</v>
      </c>
      <c r="AV43" s="290">
        <f t="shared" si="125"/>
        <v>14071.657499999999</v>
      </c>
      <c r="AW43" s="290">
        <f t="shared" si="126"/>
        <v>15295.0275</v>
      </c>
      <c r="AX43" s="290">
        <f t="shared" si="127"/>
        <v>15901.38</v>
      </c>
      <c r="AY43" s="290">
        <f t="shared" si="128"/>
        <v>16066.417500000003</v>
      </c>
      <c r="AZ43" s="290">
        <f t="shared" si="129"/>
        <v>16231.455</v>
      </c>
      <c r="BA43" s="290">
        <f t="shared" si="130"/>
        <v>16396.492500000004</v>
      </c>
      <c r="BB43" s="290">
        <f t="shared" si="131"/>
        <v>16562.002500000002</v>
      </c>
      <c r="BC43" s="290">
        <f t="shared" si="132"/>
        <v>16727.04</v>
      </c>
      <c r="BD43" s="290">
        <f t="shared" si="133"/>
        <v>16892.549999999996</v>
      </c>
      <c r="BE43" s="290">
        <f t="shared" si="134"/>
        <v>17057.587499999998</v>
      </c>
      <c r="BF43" s="290">
        <f t="shared" si="135"/>
        <v>17222.625</v>
      </c>
      <c r="BG43" s="290">
        <f t="shared" si="136"/>
        <v>17388.134999999998</v>
      </c>
      <c r="BH43" s="290">
        <f t="shared" si="137"/>
        <v>17553.172500000001</v>
      </c>
      <c r="BI43" s="290">
        <f t="shared" si="138"/>
        <v>17718.21</v>
      </c>
      <c r="BJ43" s="343">
        <f t="shared" ref="BJ43:BJ45" si="140">$H43*AI43</f>
        <v>17883.72</v>
      </c>
      <c r="BK43" s="425">
        <f>((0.33*'Traffic Data'!AK43)/Speed!X124)+((0.67*'Traffic Data'!AK43)/Speed!AX124)</f>
        <v>3.2846715328467155</v>
      </c>
      <c r="BL43" s="456">
        <f>((0.33*AL43)/Speed!Y124)+((0.67*AL43)/Speed!AY124)</f>
        <v>7.3001824817518237</v>
      </c>
      <c r="BM43" s="456">
        <f>((0.33*AM43)/Speed!Z124)+((0.67*AM43)/Speed!AZ124)</f>
        <v>30.854562043795625</v>
      </c>
      <c r="BN43" s="456">
        <f>((0.33*AN43)/Speed!AA124)+((0.67*AN43)/Speed!BA124)</f>
        <v>69.359124087594353</v>
      </c>
      <c r="BO43" s="456">
        <f>((0.33*AO43)/Speed!AB124)+((0.67*AO43)/Speed!BB124)</f>
        <v>107.88503649675135</v>
      </c>
      <c r="BP43" s="456">
        <f>((0.33*AP43)/Speed!AC124)+((0.67*AP43)/Speed!BC124)</f>
        <v>146.41259125240782</v>
      </c>
      <c r="BQ43" s="456">
        <f>((0.33*AQ43)/Speed!AD124)+((0.67*AQ43)/Speed!BD124)</f>
        <v>184.91715343508571</v>
      </c>
      <c r="BR43" s="456">
        <f>((0.33*AR43)/Speed!AE124)+((0.67*AR43)/Speed!BE124)</f>
        <v>223.46605960160525</v>
      </c>
      <c r="BS43" s="456">
        <f>((0.33*AS43)/Speed!AF124)+((0.67*AS43)/Speed!BF124)</f>
        <v>253.19234053618828</v>
      </c>
      <c r="BT43" s="456">
        <f>((0.33*AT43)/Speed!AG124)+((0.67*AT43)/Speed!BG124)</f>
        <v>282.92355632309994</v>
      </c>
      <c r="BU43" s="456">
        <f>((0.33*AU43)/Speed!AH124)+((0.67*AU43)/Speed!BH124)</f>
        <v>312.64986606736858</v>
      </c>
      <c r="BV43" s="456">
        <f>((0.33*AV43)/Speed!AI124)+((0.67*AV43)/Speed!BI124)</f>
        <v>342.37622674028637</v>
      </c>
      <c r="BW43" s="456">
        <f>((0.33*AW43)/Speed!AJ124)+((0.67*AW43)/Speed!BJ124)</f>
        <v>372.14211818497421</v>
      </c>
      <c r="BX43" s="456">
        <f>((0.33*AX43)/Speed!AK124)+((0.67*AX43)/Speed!BK124)</f>
        <v>386.89539641288866</v>
      </c>
      <c r="BY43" s="456">
        <f>((0.33*AY43)/Speed!AL124)+((0.67*AY43)/Speed!BL124)</f>
        <v>390.91096821354404</v>
      </c>
      <c r="BZ43" s="456">
        <f>((0.33*AZ43)/Speed!AM124)+((0.67*AZ43)/Speed!BM124)</f>
        <v>394.92654659498311</v>
      </c>
      <c r="CA43" s="456">
        <f>((0.33*BA43)/Speed!AN124)+((0.67*BA43)/Speed!BN124)</f>
        <v>398.94213219296728</v>
      </c>
      <c r="CB43" s="456">
        <f>((0.33*BB43)/Speed!AO124)+((0.67*BB43)/Speed!BO124)</f>
        <v>402.96922229404697</v>
      </c>
      <c r="CC43" s="456">
        <f>((0.33*BC43)/Speed!AP124)+((0.67*BC43)/Speed!BP124)</f>
        <v>406.98482447205708</v>
      </c>
      <c r="CD43" s="456">
        <f>((0.33*BD43)/Speed!AQ124)+((0.67*BD43)/Speed!BQ124)</f>
        <v>411.01193276260096</v>
      </c>
      <c r="CE43" s="456">
        <f>((0.33*BE43)/Speed!AR124)+((0.67*BE43)/Speed!BR124)</f>
        <v>415.02755476432606</v>
      </c>
      <c r="CF43" s="456">
        <f>((0.33*BF43)/Speed!AS124)+((0.67*BF43)/Speed!BS124)</f>
        <v>419.04318804698721</v>
      </c>
      <c r="CG43" s="456">
        <f>((0.33*BG43)/Speed!AT124)+((0.67*BG43)/Speed!BT124)</f>
        <v>423.0703303861813</v>
      </c>
      <c r="CH43" s="456">
        <f>((0.33*BH43)/Speed!AU124)+((0.67*BH43)/Speed!BU124)</f>
        <v>427.0859894153383</v>
      </c>
      <c r="CI43" s="456">
        <f>((0.33*BI43)/Speed!AV124)+((0.67*BI43)/Speed!BV124)</f>
        <v>431.10166304183417</v>
      </c>
      <c r="CJ43" s="457">
        <f>((0.33*BJ43)/Speed!AW124)+((0.67*BJ43)/Speed!BW124)</f>
        <v>435.12884943388639</v>
      </c>
      <c r="CK43" s="1415">
        <f>Inputs!$G$35</f>
        <v>0.2</v>
      </c>
      <c r="CL43" s="1415">
        <f>Inputs!$G$36</f>
        <v>0.8</v>
      </c>
      <c r="CM43" s="1418">
        <f>1/(1+CK43)</f>
        <v>0.83333333333333337</v>
      </c>
      <c r="CN43" s="1421">
        <v>0.88</v>
      </c>
      <c r="CO43" s="12"/>
      <c r="CP43" s="12"/>
      <c r="CQ43" s="12"/>
      <c r="CR43" s="12"/>
      <c r="CS43" s="12"/>
      <c r="CT43" s="12"/>
      <c r="CU43" s="12"/>
      <c r="CV43" s="12"/>
      <c r="CW43" s="12"/>
      <c r="CX43" s="12"/>
      <c r="CY43" s="12"/>
      <c r="CZ43" s="12"/>
    </row>
    <row r="44" spans="2:104" customFormat="1" ht="21.95" customHeight="1" x14ac:dyDescent="0.2">
      <c r="B44" s="927"/>
      <c r="C44" s="1413"/>
      <c r="D44" s="289" t="s">
        <v>339</v>
      </c>
      <c r="E44" s="289" t="s">
        <v>288</v>
      </c>
      <c r="F44" s="289" t="s">
        <v>375</v>
      </c>
      <c r="G44" s="290">
        <v>40</v>
      </c>
      <c r="H44" s="291">
        <v>0.28000000000000003</v>
      </c>
      <c r="I44" s="292">
        <v>4</v>
      </c>
      <c r="J44" s="331">
        <v>0</v>
      </c>
      <c r="K44" s="292">
        <f>ROUND((0.7333333333333*MAX(K46,K43)),0)</f>
        <v>328</v>
      </c>
      <c r="L44" s="292">
        <f>L43</f>
        <v>939.35</v>
      </c>
      <c r="M44" s="292">
        <f t="shared" ref="M44:AI44" si="141">M43</f>
        <v>2111.6</v>
      </c>
      <c r="N44" s="292">
        <f t="shared" si="141"/>
        <v>3284.5000000000005</v>
      </c>
      <c r="O44" s="292">
        <f t="shared" si="141"/>
        <v>4457.4499999999989</v>
      </c>
      <c r="P44" s="292">
        <f t="shared" si="141"/>
        <v>5629.7</v>
      </c>
      <c r="Q44" s="292">
        <f t="shared" si="141"/>
        <v>6803.3</v>
      </c>
      <c r="R44" s="292">
        <f t="shared" si="141"/>
        <v>7708.3000000000011</v>
      </c>
      <c r="S44" s="292">
        <f t="shared" si="141"/>
        <v>8613.4500000000007</v>
      </c>
      <c r="T44" s="292">
        <f t="shared" si="141"/>
        <v>9518.4499999999989</v>
      </c>
      <c r="U44" s="292">
        <f t="shared" si="141"/>
        <v>10423.449999999999</v>
      </c>
      <c r="V44" s="292">
        <f t="shared" si="141"/>
        <v>11329.65</v>
      </c>
      <c r="W44" s="292">
        <f t="shared" si="141"/>
        <v>11778.8</v>
      </c>
      <c r="X44" s="292">
        <f t="shared" si="141"/>
        <v>11901.050000000001</v>
      </c>
      <c r="Y44" s="292">
        <f t="shared" si="141"/>
        <v>12023.3</v>
      </c>
      <c r="Z44" s="292">
        <f t="shared" si="141"/>
        <v>12145.550000000001</v>
      </c>
      <c r="AA44" s="292">
        <f t="shared" si="141"/>
        <v>12268.150000000001</v>
      </c>
      <c r="AB44" s="292">
        <f t="shared" si="141"/>
        <v>12390.4</v>
      </c>
      <c r="AC44" s="292">
        <f t="shared" si="141"/>
        <v>12512.999999999996</v>
      </c>
      <c r="AD44" s="292">
        <f t="shared" si="141"/>
        <v>12635.249999999998</v>
      </c>
      <c r="AE44" s="292">
        <f t="shared" si="141"/>
        <v>12757.499999999998</v>
      </c>
      <c r="AF44" s="292">
        <f t="shared" si="141"/>
        <v>12880.099999999999</v>
      </c>
      <c r="AG44" s="292">
        <f t="shared" si="141"/>
        <v>13002.349999999999</v>
      </c>
      <c r="AH44" s="292">
        <f t="shared" si="141"/>
        <v>13124.599999999999</v>
      </c>
      <c r="AI44" s="340">
        <f t="shared" si="141"/>
        <v>13247.199999999999</v>
      </c>
      <c r="AJ44" s="293" t="s">
        <v>326</v>
      </c>
      <c r="AK44" s="342">
        <f>$H44*J44</f>
        <v>0</v>
      </c>
      <c r="AL44" s="290">
        <f t="shared" si="139"/>
        <v>91.84</v>
      </c>
      <c r="AM44" s="290">
        <f t="shared" si="116"/>
        <v>263.01800000000003</v>
      </c>
      <c r="AN44" s="290">
        <f t="shared" si="117"/>
        <v>591.24800000000005</v>
      </c>
      <c r="AO44" s="290">
        <f t="shared" si="118"/>
        <v>919.6600000000002</v>
      </c>
      <c r="AP44" s="290">
        <f t="shared" si="119"/>
        <v>1248.0859999999998</v>
      </c>
      <c r="AQ44" s="290">
        <f t="shared" si="120"/>
        <v>1576.316</v>
      </c>
      <c r="AR44" s="290">
        <f t="shared" si="121"/>
        <v>1904.9240000000002</v>
      </c>
      <c r="AS44" s="290">
        <f t="shared" si="122"/>
        <v>2158.3240000000005</v>
      </c>
      <c r="AT44" s="290">
        <f t="shared" si="123"/>
        <v>2411.7660000000005</v>
      </c>
      <c r="AU44" s="290">
        <f t="shared" si="124"/>
        <v>2665.1660000000002</v>
      </c>
      <c r="AV44" s="290">
        <f t="shared" si="125"/>
        <v>2918.5659999999998</v>
      </c>
      <c r="AW44" s="290">
        <f t="shared" si="126"/>
        <v>3172.3020000000001</v>
      </c>
      <c r="AX44" s="290">
        <f t="shared" si="127"/>
        <v>3298.0640000000003</v>
      </c>
      <c r="AY44" s="290">
        <f t="shared" si="128"/>
        <v>3332.2940000000008</v>
      </c>
      <c r="AZ44" s="290">
        <f t="shared" si="129"/>
        <v>3366.5240000000003</v>
      </c>
      <c r="BA44" s="290">
        <f t="shared" si="130"/>
        <v>3400.7540000000008</v>
      </c>
      <c r="BB44" s="290">
        <f t="shared" si="131"/>
        <v>3435.0820000000008</v>
      </c>
      <c r="BC44" s="290">
        <f t="shared" si="132"/>
        <v>3469.3120000000004</v>
      </c>
      <c r="BD44" s="290">
        <f t="shared" si="133"/>
        <v>3503.6399999999994</v>
      </c>
      <c r="BE44" s="290">
        <f t="shared" si="134"/>
        <v>3537.87</v>
      </c>
      <c r="BF44" s="290">
        <f t="shared" si="135"/>
        <v>3572.1</v>
      </c>
      <c r="BG44" s="290">
        <f t="shared" si="136"/>
        <v>3606.4279999999999</v>
      </c>
      <c r="BH44" s="290">
        <f t="shared" si="137"/>
        <v>3640.6579999999999</v>
      </c>
      <c r="BI44" s="290">
        <f t="shared" si="138"/>
        <v>3674.8879999999999</v>
      </c>
      <c r="BJ44" s="343">
        <f t="shared" si="140"/>
        <v>3709.2159999999999</v>
      </c>
      <c r="BK44" s="423">
        <f>((0.33*'Traffic Data'!AK44)/Speed!X125)+((0.67*'Traffic Data'!AK44)/Speed!AX125)</f>
        <v>0</v>
      </c>
      <c r="BL44" s="424">
        <f>((0.33*AL44)/Speed!Y125)+((0.67*AL44)/Speed!AY125)</f>
        <v>2.2345498783454989</v>
      </c>
      <c r="BM44" s="424">
        <f>((0.33*AM44)/Speed!Z125)+((0.67*AM44)/Speed!AZ125)</f>
        <v>6.3994647201946488</v>
      </c>
      <c r="BN44" s="424">
        <f>((0.33*AN44)/Speed!AA125)+((0.67*AN44)/Speed!BA125)</f>
        <v>14.385596107056607</v>
      </c>
      <c r="BO44" s="424">
        <f>((0.33*AO44)/Speed!AB125)+((0.67*AO44)/Speed!BB125)</f>
        <v>22.376155717844728</v>
      </c>
      <c r="BP44" s="424">
        <f>((0.33*AP44)/Speed!AC125)+((0.67*AP44)/Speed!BC125)</f>
        <v>30.367055963462363</v>
      </c>
      <c r="BQ44" s="424">
        <f>((0.33*AQ44)/Speed!AD125)+((0.67*AQ44)/Speed!BD125)</f>
        <v>38.35318737912889</v>
      </c>
      <c r="BR44" s="424">
        <f>((0.33*AR44)/Speed!AE125)+((0.67*AR44)/Speed!BE125)</f>
        <v>46.348516065518126</v>
      </c>
      <c r="BS44" s="424">
        <f>((0.33*AS44)/Speed!AF125)+((0.67*AS44)/Speed!BF125)</f>
        <v>52.513966926024239</v>
      </c>
      <c r="BT44" s="424">
        <f>((0.33*AT44)/Speed!AG125)+((0.67*AT44)/Speed!BG125)</f>
        <v>58.68044131145777</v>
      </c>
      <c r="BU44" s="424">
        <f>((0.33*AU44)/Speed!AH125)+((0.67*AU44)/Speed!BH125)</f>
        <v>64.845898147306087</v>
      </c>
      <c r="BV44" s="424">
        <f>((0.33*AV44)/Speed!AI125)+((0.67*AV44)/Speed!BI125)</f>
        <v>71.011365546133476</v>
      </c>
      <c r="BW44" s="424">
        <f>((0.33*AW44)/Speed!AJ125)+((0.67*AW44)/Speed!BJ125)</f>
        <v>77.185031919846494</v>
      </c>
      <c r="BX44" s="424">
        <f>((0.33*AX44)/Speed!AK125)+((0.67*AX44)/Speed!BK125)</f>
        <v>80.244971107858404</v>
      </c>
      <c r="BY44" s="424">
        <f>((0.33*AY44)/Speed!AL125)+((0.67*AY44)/Speed!BL125)</f>
        <v>81.077830444290612</v>
      </c>
      <c r="BZ44" s="424">
        <f>((0.33*AZ44)/Speed!AM125)+((0.67*AZ44)/Speed!BM125)</f>
        <v>81.910691145626132</v>
      </c>
      <c r="CA44" s="424">
        <f>((0.33*BA44)/Speed!AN125)+((0.67*BA44)/Speed!BN125)</f>
        <v>82.743553343726546</v>
      </c>
      <c r="CB44" s="424">
        <f>((0.33*BB44)/Speed!AO125)+((0.67*BB44)/Speed!BO125)</f>
        <v>83.578801660987523</v>
      </c>
      <c r="CC44" s="424">
        <f>((0.33*BC44)/Speed!AP125)+((0.67*BC44)/Speed!BP125)</f>
        <v>84.411667297908139</v>
      </c>
      <c r="CD44" s="424">
        <f>((0.33*BD44)/Speed!AQ125)+((0.67*BD44)/Speed!BQ125)</f>
        <v>85.246919387798727</v>
      </c>
      <c r="CE44" s="424">
        <f>((0.33*BE44)/Speed!AR125)+((0.67*BE44)/Speed!BR125)</f>
        <v>86.079789136304669</v>
      </c>
      <c r="CF44" s="424">
        <f>((0.33*BF44)/Speed!AS125)+((0.67*BF44)/Speed!BS125)</f>
        <v>86.91266122456031</v>
      </c>
      <c r="CG44" s="424">
        <f>((0.33*BG44)/Speed!AT125)+((0.67*BG44)/Speed!BT125)</f>
        <v>87.747920376393154</v>
      </c>
      <c r="CH44" s="424">
        <f>((0.33*BH44)/Speed!AU125)+((0.67*BH44)/Speed!BU125)</f>
        <v>88.580797804662751</v>
      </c>
      <c r="CI44" s="424">
        <f>((0.33*BI44)/Speed!AV125)+((0.67*BI44)/Speed!BV125)</f>
        <v>89.413678260528584</v>
      </c>
      <c r="CJ44" s="432">
        <f>((0.33*BJ44)/Speed!AW125)+((0.67*BJ44)/Speed!BW125)</f>
        <v>90.248946549250491</v>
      </c>
      <c r="CK44" s="1416"/>
      <c r="CL44" s="1416"/>
      <c r="CM44" s="1419"/>
      <c r="CN44" s="1422"/>
      <c r="CO44" s="12"/>
      <c r="CP44" s="12"/>
      <c r="CQ44" s="12"/>
      <c r="CR44" s="12"/>
      <c r="CS44" s="12"/>
      <c r="CT44" s="12"/>
      <c r="CU44" s="12"/>
      <c r="CV44" s="12"/>
      <c r="CW44" s="12"/>
      <c r="CX44" s="12"/>
      <c r="CY44" s="12"/>
      <c r="CZ44" s="12"/>
    </row>
    <row r="45" spans="2:104" customFormat="1" ht="21.95" customHeight="1" x14ac:dyDescent="0.2">
      <c r="B45" s="927"/>
      <c r="C45" s="1413"/>
      <c r="D45" s="289" t="s">
        <v>288</v>
      </c>
      <c r="E45" s="289" t="s">
        <v>340</v>
      </c>
      <c r="F45" s="289" t="s">
        <v>376</v>
      </c>
      <c r="G45" s="290">
        <v>40</v>
      </c>
      <c r="H45" s="291">
        <v>0.73</v>
      </c>
      <c r="I45" s="292">
        <v>4</v>
      </c>
      <c r="J45" s="331">
        <v>0</v>
      </c>
      <c r="K45" s="292">
        <f>ROUND((0.7333333333333*MAX(K46,K43)),0)</f>
        <v>328</v>
      </c>
      <c r="L45" s="292">
        <f>L43</f>
        <v>939.35</v>
      </c>
      <c r="M45" s="292">
        <f t="shared" ref="M45:AI45" si="142">M43</f>
        <v>2111.6</v>
      </c>
      <c r="N45" s="292">
        <f t="shared" si="142"/>
        <v>3284.5000000000005</v>
      </c>
      <c r="O45" s="292">
        <f t="shared" si="142"/>
        <v>4457.4499999999989</v>
      </c>
      <c r="P45" s="292">
        <f t="shared" si="142"/>
        <v>5629.7</v>
      </c>
      <c r="Q45" s="292">
        <f t="shared" si="142"/>
        <v>6803.3</v>
      </c>
      <c r="R45" s="292">
        <f t="shared" si="142"/>
        <v>7708.3000000000011</v>
      </c>
      <c r="S45" s="292">
        <f t="shared" si="142"/>
        <v>8613.4500000000007</v>
      </c>
      <c r="T45" s="292">
        <f t="shared" si="142"/>
        <v>9518.4499999999989</v>
      </c>
      <c r="U45" s="292">
        <f t="shared" si="142"/>
        <v>10423.449999999999</v>
      </c>
      <c r="V45" s="292">
        <f t="shared" si="142"/>
        <v>11329.65</v>
      </c>
      <c r="W45" s="292">
        <f t="shared" si="142"/>
        <v>11778.8</v>
      </c>
      <c r="X45" s="292">
        <f t="shared" si="142"/>
        <v>11901.050000000001</v>
      </c>
      <c r="Y45" s="292">
        <f t="shared" si="142"/>
        <v>12023.3</v>
      </c>
      <c r="Z45" s="292">
        <f t="shared" si="142"/>
        <v>12145.550000000001</v>
      </c>
      <c r="AA45" s="292">
        <f t="shared" si="142"/>
        <v>12268.150000000001</v>
      </c>
      <c r="AB45" s="292">
        <f t="shared" si="142"/>
        <v>12390.4</v>
      </c>
      <c r="AC45" s="292">
        <f t="shared" si="142"/>
        <v>12512.999999999996</v>
      </c>
      <c r="AD45" s="292">
        <f t="shared" si="142"/>
        <v>12635.249999999998</v>
      </c>
      <c r="AE45" s="292">
        <f t="shared" si="142"/>
        <v>12757.499999999998</v>
      </c>
      <c r="AF45" s="292">
        <f t="shared" si="142"/>
        <v>12880.099999999999</v>
      </c>
      <c r="AG45" s="292">
        <f t="shared" si="142"/>
        <v>13002.349999999999</v>
      </c>
      <c r="AH45" s="292">
        <f t="shared" si="142"/>
        <v>13124.599999999999</v>
      </c>
      <c r="AI45" s="340">
        <f t="shared" si="142"/>
        <v>13247.199999999999</v>
      </c>
      <c r="AJ45" s="293" t="s">
        <v>326</v>
      </c>
      <c r="AK45" s="342">
        <f>$H45*J45</f>
        <v>0</v>
      </c>
      <c r="AL45" s="290">
        <f t="shared" si="139"/>
        <v>239.44</v>
      </c>
      <c r="AM45" s="290">
        <f t="shared" si="116"/>
        <v>685.72550000000001</v>
      </c>
      <c r="AN45" s="290">
        <f t="shared" si="117"/>
        <v>1541.4679999999998</v>
      </c>
      <c r="AO45" s="290">
        <f t="shared" si="118"/>
        <v>2397.6850000000004</v>
      </c>
      <c r="AP45" s="290">
        <f t="shared" si="119"/>
        <v>3253.9384999999993</v>
      </c>
      <c r="AQ45" s="290">
        <f t="shared" si="120"/>
        <v>4109.6809999999996</v>
      </c>
      <c r="AR45" s="290">
        <f t="shared" si="121"/>
        <v>4966.4089999999997</v>
      </c>
      <c r="AS45" s="290">
        <f t="shared" si="122"/>
        <v>5627.0590000000011</v>
      </c>
      <c r="AT45" s="290">
        <f t="shared" si="123"/>
        <v>6287.8185000000003</v>
      </c>
      <c r="AU45" s="290">
        <f t="shared" si="124"/>
        <v>6948.468499999999</v>
      </c>
      <c r="AV45" s="290">
        <f t="shared" si="125"/>
        <v>7609.1184999999987</v>
      </c>
      <c r="AW45" s="290">
        <f t="shared" si="126"/>
        <v>8270.6445000000003</v>
      </c>
      <c r="AX45" s="290">
        <f t="shared" si="127"/>
        <v>8598.5239999999994</v>
      </c>
      <c r="AY45" s="290">
        <f t="shared" si="128"/>
        <v>8687.7664999999997</v>
      </c>
      <c r="AZ45" s="290">
        <f t="shared" si="129"/>
        <v>8777.009</v>
      </c>
      <c r="BA45" s="290">
        <f t="shared" si="130"/>
        <v>8866.2515000000003</v>
      </c>
      <c r="BB45" s="290">
        <f t="shared" si="131"/>
        <v>8955.7495000000017</v>
      </c>
      <c r="BC45" s="290">
        <f t="shared" si="132"/>
        <v>9044.9920000000002</v>
      </c>
      <c r="BD45" s="290">
        <f t="shared" si="133"/>
        <v>9134.489999999998</v>
      </c>
      <c r="BE45" s="290">
        <f t="shared" si="134"/>
        <v>9223.7324999999983</v>
      </c>
      <c r="BF45" s="290">
        <f t="shared" si="135"/>
        <v>9312.9749999999985</v>
      </c>
      <c r="BG45" s="290">
        <f t="shared" si="136"/>
        <v>9402.4729999999981</v>
      </c>
      <c r="BH45" s="290">
        <f t="shared" si="137"/>
        <v>9491.7154999999984</v>
      </c>
      <c r="BI45" s="290">
        <f t="shared" si="138"/>
        <v>9580.9579999999987</v>
      </c>
      <c r="BJ45" s="343">
        <f t="shared" si="140"/>
        <v>9670.4559999999983</v>
      </c>
      <c r="BK45" s="423">
        <f>((0.33*'Traffic Data'!AK45)/Speed!X126)+((0.67*'Traffic Data'!AK45)/Speed!AX126)</f>
        <v>0</v>
      </c>
      <c r="BL45" s="424">
        <f>((0.33*AL45)/Speed!Y126)+((0.67*AL45)/Speed!AY126)</f>
        <v>5.8257907542579073</v>
      </c>
      <c r="BM45" s="424">
        <f>((0.33*AM45)/Speed!Z126)+((0.67*AM45)/Speed!AZ126)</f>
        <v>16.684318734793187</v>
      </c>
      <c r="BN45" s="424">
        <f>((0.33*AN45)/Speed!AA126)+((0.67*AN45)/Speed!BA126)</f>
        <v>37.505304136254715</v>
      </c>
      <c r="BO45" s="424">
        <f>((0.33*AO45)/Speed!AB126)+((0.67*AO45)/Speed!BB126)</f>
        <v>58.337834550095181</v>
      </c>
      <c r="BP45" s="424">
        <f>((0.33*AP45)/Speed!AC126)+((0.67*AP45)/Speed!BC126)</f>
        <v>79.171253047598313</v>
      </c>
      <c r="BQ45" s="424">
        <f>((0.33*AQ45)/Speed!AD126)+((0.67*AQ45)/Speed!BD126)</f>
        <v>99.992238524157443</v>
      </c>
      <c r="BR45" s="424">
        <f>((0.33*AR45)/Speed!AE126)+((0.67*AR45)/Speed!BE126)</f>
        <v>120.83720259938653</v>
      </c>
      <c r="BS45" s="424">
        <f>((0.33*AS45)/Speed!AF126)+((0.67*AS45)/Speed!BF126)</f>
        <v>136.91141377142031</v>
      </c>
      <c r="BT45" s="424">
        <f>((0.33*AT45)/Speed!AG126)+((0.67*AT45)/Speed!BG126)</f>
        <v>152.98829341915774</v>
      </c>
      <c r="BU45" s="424">
        <f>((0.33*AU45)/Speed!AH126)+((0.67*AU45)/Speed!BH126)</f>
        <v>169.06252016976228</v>
      </c>
      <c r="BV45" s="424">
        <f>((0.33*AV45)/Speed!AI126)+((0.67*AV45)/Speed!BI126)</f>
        <v>185.13677445956222</v>
      </c>
      <c r="BW45" s="424">
        <f>((0.33*AW45)/Speed!AJ126)+((0.67*AW45)/Speed!BJ126)</f>
        <v>201.23240464817127</v>
      </c>
      <c r="BX45" s="424">
        <f>((0.33*AX45)/Speed!AK126)+((0.67*AX45)/Speed!BK126)</f>
        <v>209.21010324548797</v>
      </c>
      <c r="BY45" s="424">
        <f>((0.33*AY45)/Speed!AL126)+((0.67*AY45)/Speed!BL126)</f>
        <v>211.38148651547192</v>
      </c>
      <c r="BZ45" s="424">
        <f>((0.33*AZ45)/Speed!AM126)+((0.67*AZ45)/Speed!BM126)</f>
        <v>213.55287334395385</v>
      </c>
      <c r="CA45" s="424">
        <f>((0.33*BA45)/Speed!AN126)+((0.67*BA45)/Speed!BN126)</f>
        <v>215.72426407471559</v>
      </c>
      <c r="CB45" s="424">
        <f>((0.33*BB45)/Speed!AO126)+((0.67*BB45)/Speed!BO126)</f>
        <v>217.90187575900316</v>
      </c>
      <c r="CC45" s="424">
        <f>((0.33*BC45)/Speed!AP126)+((0.67*BC45)/Speed!BP126)</f>
        <v>220.0732754552605</v>
      </c>
      <c r="CD45" s="424">
        <f>((0.33*BD45)/Speed!AQ126)+((0.67*BD45)/Speed!BQ126)</f>
        <v>222.25089697533238</v>
      </c>
      <c r="CE45" s="424">
        <f>((0.33*BE45)/Speed!AR126)+((0.67*BE45)/Speed!BR126)</f>
        <v>224.42230739107998</v>
      </c>
      <c r="CF45" s="424">
        <f>((0.33*BF45)/Speed!AS126)+((0.67*BF45)/Speed!BS126)</f>
        <v>226.59372390688935</v>
      </c>
      <c r="CG45" s="424">
        <f>((0.33*BG45)/Speed!AT126)+((0.67*BG45)/Speed!BT126)</f>
        <v>228.77136383845354</v>
      </c>
      <c r="CH45" s="424">
        <f>((0.33*BH45)/Speed!AU126)+((0.67*BH45)/Speed!BU126)</f>
        <v>230.94279427644213</v>
      </c>
      <c r="CI45" s="424">
        <f>((0.33*BI45)/Speed!AV126)+((0.67*BI45)/Speed!BV126)</f>
        <v>233.1142326078066</v>
      </c>
      <c r="CJ45" s="432">
        <f>((0.33*BJ45)/Speed!AW126)+((0.67*BJ45)/Speed!BW126)</f>
        <v>235.29189636054591</v>
      </c>
      <c r="CK45" s="1416"/>
      <c r="CL45" s="1416"/>
      <c r="CM45" s="1419"/>
      <c r="CN45" s="1422"/>
      <c r="CO45" s="12"/>
      <c r="CP45" s="12"/>
      <c r="CQ45" s="12"/>
      <c r="CR45" s="12"/>
      <c r="CS45" s="12"/>
      <c r="CT45" s="12"/>
      <c r="CU45" s="12"/>
      <c r="CV45" s="12"/>
      <c r="CW45" s="12"/>
      <c r="CX45" s="12"/>
      <c r="CY45" s="12"/>
      <c r="CZ45" s="12"/>
    </row>
    <row r="46" spans="2:104" customFormat="1" ht="21.95" customHeight="1" x14ac:dyDescent="0.2">
      <c r="B46" s="927"/>
      <c r="C46" s="1414"/>
      <c r="D46" s="302" t="s">
        <v>340</v>
      </c>
      <c r="E46" s="302" t="s">
        <v>280</v>
      </c>
      <c r="F46" s="302" t="s">
        <v>376</v>
      </c>
      <c r="G46" s="303">
        <v>40</v>
      </c>
      <c r="H46" s="304">
        <v>1.05</v>
      </c>
      <c r="I46" s="297">
        <v>4</v>
      </c>
      <c r="J46" s="341">
        <f>'Trip Gen'!W122</f>
        <v>300</v>
      </c>
      <c r="K46" s="309">
        <f>'Trip Gen'!X122</f>
        <v>447.21</v>
      </c>
      <c r="L46" s="309">
        <f>'Trip Gen'!Y122</f>
        <v>629.64</v>
      </c>
      <c r="M46" s="309">
        <f>'Trip Gen'!Z122</f>
        <v>1090.82</v>
      </c>
      <c r="N46" s="309">
        <f>'Trip Gen'!AA122</f>
        <v>1552.05</v>
      </c>
      <c r="O46" s="309">
        <f>'Trip Gen'!AB122</f>
        <v>2013.5100000000002</v>
      </c>
      <c r="P46" s="309">
        <f>'Trip Gen'!AC122</f>
        <v>2474.69</v>
      </c>
      <c r="Q46" s="309">
        <f>'Trip Gen'!AD122</f>
        <v>2935.72</v>
      </c>
      <c r="R46" s="309">
        <f>'Trip Gen'!AE122</f>
        <v>4109.2299999999996</v>
      </c>
      <c r="S46" s="309">
        <f>'Trip Gen'!AF122</f>
        <v>5282.28</v>
      </c>
      <c r="T46" s="309">
        <f>'Trip Gen'!AG122</f>
        <v>6455.24</v>
      </c>
      <c r="U46" s="309">
        <f>'Trip Gen'!AH122</f>
        <v>7628.75</v>
      </c>
      <c r="V46" s="309">
        <f>'Trip Gen'!AI122</f>
        <v>8802.11</v>
      </c>
      <c r="W46" s="309">
        <f>'Trip Gen'!AJ122</f>
        <v>9696.52</v>
      </c>
      <c r="X46" s="309">
        <f>'Trip Gen'!AK122</f>
        <v>9843.73</v>
      </c>
      <c r="Y46" s="309">
        <f>'Trip Gen'!AL122</f>
        <v>9990.94</v>
      </c>
      <c r="Z46" s="309">
        <f>'Trip Gen'!AM122</f>
        <v>10138.15</v>
      </c>
      <c r="AA46" s="309">
        <f>'Trip Gen'!AN122</f>
        <v>10284.91</v>
      </c>
      <c r="AB46" s="309">
        <f>'Trip Gen'!AO122</f>
        <v>10432.120000000001</v>
      </c>
      <c r="AC46" s="309">
        <f>'Trip Gen'!AP122</f>
        <v>10578.880000000001</v>
      </c>
      <c r="AD46" s="309">
        <f>'Trip Gen'!AQ122</f>
        <v>10726.09</v>
      </c>
      <c r="AE46" s="309">
        <f>'Trip Gen'!AR122</f>
        <v>10873.300000000001</v>
      </c>
      <c r="AF46" s="309">
        <f>'Trip Gen'!AS122</f>
        <v>11020.06</v>
      </c>
      <c r="AG46" s="309">
        <f>'Trip Gen'!AT122</f>
        <v>11167.27</v>
      </c>
      <c r="AH46" s="309">
        <f>'Trip Gen'!AU122</f>
        <v>11314.48</v>
      </c>
      <c r="AI46" s="337">
        <f>'Trip Gen'!AV122</f>
        <v>11461.24</v>
      </c>
      <c r="AJ46" s="306">
        <f t="shared" ref="AJ46:AJ56" si="143">((AI46-J46)/J46)/25</f>
        <v>1.4881653333333333</v>
      </c>
      <c r="AK46" s="336">
        <f>H46*J46</f>
        <v>315</v>
      </c>
      <c r="AL46" s="297">
        <f t="shared" si="139"/>
        <v>469.57049999999998</v>
      </c>
      <c r="AM46" s="297">
        <f t="shared" si="116"/>
        <v>661.12199999999996</v>
      </c>
      <c r="AN46" s="297">
        <f t="shared" si="117"/>
        <v>1145.3609999999999</v>
      </c>
      <c r="AO46" s="297">
        <f t="shared" si="118"/>
        <v>1629.6524999999999</v>
      </c>
      <c r="AP46" s="297">
        <f t="shared" si="119"/>
        <v>2114.1855000000005</v>
      </c>
      <c r="AQ46" s="297">
        <f t="shared" si="120"/>
        <v>2598.4245000000001</v>
      </c>
      <c r="AR46" s="297">
        <f t="shared" si="121"/>
        <v>3082.5059999999999</v>
      </c>
      <c r="AS46" s="297">
        <f t="shared" si="122"/>
        <v>4314.6914999999999</v>
      </c>
      <c r="AT46" s="297">
        <f t="shared" si="123"/>
        <v>5546.3940000000002</v>
      </c>
      <c r="AU46" s="297">
        <f t="shared" si="124"/>
        <v>6778.0020000000004</v>
      </c>
      <c r="AV46" s="297">
        <f t="shared" si="125"/>
        <v>8010.1875</v>
      </c>
      <c r="AW46" s="297">
        <f t="shared" si="126"/>
        <v>9242.2155000000002</v>
      </c>
      <c r="AX46" s="297">
        <f t="shared" si="127"/>
        <v>10181.346000000001</v>
      </c>
      <c r="AY46" s="297">
        <f t="shared" si="128"/>
        <v>10335.916499999999</v>
      </c>
      <c r="AZ46" s="297">
        <f t="shared" si="129"/>
        <v>10490.487000000001</v>
      </c>
      <c r="BA46" s="297">
        <f t="shared" si="130"/>
        <v>10645.057500000001</v>
      </c>
      <c r="BB46" s="297">
        <f t="shared" si="131"/>
        <v>10799.155500000001</v>
      </c>
      <c r="BC46" s="297">
        <f t="shared" si="132"/>
        <v>10953.726000000001</v>
      </c>
      <c r="BD46" s="297">
        <f t="shared" si="133"/>
        <v>11107.824000000002</v>
      </c>
      <c r="BE46" s="297">
        <f t="shared" si="134"/>
        <v>11262.3945</v>
      </c>
      <c r="BF46" s="297">
        <f t="shared" si="135"/>
        <v>11416.965000000002</v>
      </c>
      <c r="BG46" s="297">
        <f t="shared" si="136"/>
        <v>11571.063</v>
      </c>
      <c r="BH46" s="297">
        <f t="shared" si="137"/>
        <v>11725.633500000002</v>
      </c>
      <c r="BI46" s="297">
        <f t="shared" si="138"/>
        <v>11880.204</v>
      </c>
      <c r="BJ46" s="361">
        <f>H46*AI46</f>
        <v>12034.302</v>
      </c>
      <c r="BK46" s="426">
        <f>((0.33*'Traffic Data'!AK46)/Speed!X127)+((0.67*'Traffic Data'!AK46)/Speed!AX127)</f>
        <v>7.6642335766423351</v>
      </c>
      <c r="BL46" s="458">
        <f>((0.33*AL46)/Speed!Y127)+((0.67*AL46)/Speed!AY127)</f>
        <v>11.425072992700731</v>
      </c>
      <c r="BM46" s="458">
        <f>((0.33*AM46)/Speed!Z127)+((0.67*AM46)/Speed!AZ127)</f>
        <v>16.085693430656931</v>
      </c>
      <c r="BN46" s="458">
        <f>((0.33*AN46)/Speed!AA127)+((0.67*AN46)/Speed!BA127)</f>
        <v>27.86766423357664</v>
      </c>
      <c r="BO46" s="458">
        <f>((0.33*AO46)/Speed!AB127)+((0.67*AO46)/Speed!BB127)</f>
        <v>39.650912408759204</v>
      </c>
      <c r="BP46" s="458">
        <f>((0.33*AP46)/Speed!AC127)+((0.67*AP46)/Speed!BC127)</f>
        <v>51.440036496351809</v>
      </c>
      <c r="BQ46" s="458">
        <f>((0.33*AQ46)/Speed!AD127)+((0.67*AQ46)/Speed!BD127)</f>
        <v>63.222007299283923</v>
      </c>
      <c r="BR46" s="458">
        <f>((0.33*AR46)/Speed!AE127)+((0.67*AR46)/Speed!BE127)</f>
        <v>75.000145985492168</v>
      </c>
      <c r="BS46" s="458">
        <f>((0.33*AS46)/Speed!AF127)+((0.67*AS46)/Speed!BF127)</f>
        <v>104.9803284708191</v>
      </c>
      <c r="BT46" s="458">
        <f>((0.33*AT46)/Speed!AG127)+((0.67*AT46)/Speed!BG127)</f>
        <v>134.94875918214291</v>
      </c>
      <c r="BU46" s="458">
        <f>((0.33*AU46)/Speed!AH127)+((0.67*AU46)/Speed!BH127)</f>
        <v>164.91489103798841</v>
      </c>
      <c r="BV46" s="458">
        <f>((0.33*AV46)/Speed!AI127)+((0.67*AV46)/Speed!BI127)</f>
        <v>194.89507630244452</v>
      </c>
      <c r="BW46" s="458">
        <f>((0.33*AW46)/Speed!AJ127)+((0.67*AW46)/Speed!BJ127)</f>
        <v>224.87143932609368</v>
      </c>
      <c r="BX46" s="458">
        <f>((0.33*AX46)/Speed!AK127)+((0.67*AX46)/Speed!BK127)</f>
        <v>247.7213601688577</v>
      </c>
      <c r="BY46" s="458">
        <f>((0.33*AY46)/Speed!AL127)+((0.67*AY46)/Speed!BL127)</f>
        <v>251.48220793190256</v>
      </c>
      <c r="BZ46" s="458">
        <f>((0.33*AZ46)/Speed!AM127)+((0.67*AZ46)/Speed!BM127)</f>
        <v>255.24305704078219</v>
      </c>
      <c r="CA46" s="458">
        <f>((0.33*BA46)/Speed!AN127)+((0.67*BA46)/Speed!BN127)</f>
        <v>259.00390768817658</v>
      </c>
      <c r="CB46" s="458">
        <f>((0.33*BB46)/Speed!AO127)+((0.67*BB46)/Speed!BO127)</f>
        <v>262.75326369751338</v>
      </c>
      <c r="CC46" s="458">
        <f>((0.33*BC46)/Speed!AP127)+((0.67*BC46)/Speed!BP127)</f>
        <v>266.51411809128371</v>
      </c>
      <c r="CD46" s="458">
        <f>((0.33*BD46)/Speed!AQ127)+((0.67*BD46)/Speed!BQ127)</f>
        <v>270.26347834781723</v>
      </c>
      <c r="CE46" s="458">
        <f>((0.33*BE46)/Speed!AR127)+((0.67*BE46)/Speed!BR127)</f>
        <v>274.02433757740852</v>
      </c>
      <c r="CF46" s="458">
        <f>((0.33*BF46)/Speed!AS127)+((0.67*BF46)/Speed!BS127)</f>
        <v>277.785199721357</v>
      </c>
      <c r="CG46" s="458">
        <f>((0.33*BG46)/Speed!AT127)+((0.67*BG46)/Speed!BT127)</f>
        <v>281.53456872460293</v>
      </c>
      <c r="CH46" s="458">
        <f>((0.33*BH46)/Speed!AU127)+((0.67*BH46)/Speed!BU127)</f>
        <v>285.29543786956361</v>
      </c>
      <c r="CI46" s="458">
        <f>((0.33*BI46)/Speed!AV127)+((0.67*BI46)/Speed!BV127)</f>
        <v>289.05631120299051</v>
      </c>
      <c r="CJ46" s="459">
        <f>((0.33*BJ46)/Speed!AW127)+((0.67*BJ46)/Speed!BW127)</f>
        <v>292.80569277249839</v>
      </c>
      <c r="CK46" s="1417"/>
      <c r="CL46" s="1417"/>
      <c r="CM46" s="1420"/>
      <c r="CN46" s="1423"/>
      <c r="CO46" s="12"/>
      <c r="CP46" s="12"/>
      <c r="CQ46" s="12"/>
      <c r="CR46" s="12"/>
      <c r="CS46" s="12"/>
      <c r="CT46" s="12"/>
      <c r="CU46" s="12"/>
      <c r="CV46" s="12"/>
      <c r="CW46" s="12"/>
      <c r="CX46" s="12"/>
      <c r="CY46" s="12"/>
      <c r="CZ46" s="12"/>
    </row>
    <row r="47" spans="2:104" customFormat="1" ht="21.95" customHeight="1" x14ac:dyDescent="0.2">
      <c r="B47" s="927"/>
      <c r="C47" s="1412" t="s">
        <v>334</v>
      </c>
      <c r="D47" s="289" t="s">
        <v>336</v>
      </c>
      <c r="E47" s="289" t="s">
        <v>337</v>
      </c>
      <c r="F47" s="289" t="s">
        <v>367</v>
      </c>
      <c r="G47" s="290">
        <v>50</v>
      </c>
      <c r="H47" s="291">
        <v>0.5</v>
      </c>
      <c r="I47" s="290">
        <v>4</v>
      </c>
      <c r="J47" s="342">
        <f>'Trip Gen'!W107</f>
        <v>14000</v>
      </c>
      <c r="K47" s="332">
        <f>'Trip Gen'!X107</f>
        <v>14387.8</v>
      </c>
      <c r="L47" s="332">
        <f>'Trip Gen'!Y107</f>
        <v>15013.65</v>
      </c>
      <c r="M47" s="332">
        <f>'Trip Gen'!Z107</f>
        <v>15907.75</v>
      </c>
      <c r="N47" s="332">
        <f>'Trip Gen'!AA107</f>
        <v>16802.250000000004</v>
      </c>
      <c r="O47" s="332">
        <f>'Trip Gen'!AB107</f>
        <v>17696.700000000004</v>
      </c>
      <c r="P47" s="332">
        <f>'Trip Gen'!AC107</f>
        <v>18590.800000000007</v>
      </c>
      <c r="Q47" s="332">
        <f>'Trip Gen'!AD107</f>
        <v>19485.7</v>
      </c>
      <c r="R47" s="332">
        <f>'Trip Gen'!AE107</f>
        <v>20282.249999999996</v>
      </c>
      <c r="S47" s="332">
        <f>'Trip Gen'!AF107</f>
        <v>21079.05</v>
      </c>
      <c r="T47" s="332">
        <f>'Trip Gen'!AG107</f>
        <v>21875.599999999999</v>
      </c>
      <c r="U47" s="332">
        <f>'Trip Gen'!AH107</f>
        <v>22672.149999999998</v>
      </c>
      <c r="V47" s="332">
        <f>'Trip Gen'!AI107</f>
        <v>23469.5</v>
      </c>
      <c r="W47" s="332">
        <f>'Trip Gen'!AJ107</f>
        <v>23997.4</v>
      </c>
      <c r="X47" s="332">
        <f>'Trip Gen'!AK107</f>
        <v>24385.200000000001</v>
      </c>
      <c r="Y47" s="332">
        <f>'Trip Gen'!AL107</f>
        <v>24773</v>
      </c>
      <c r="Z47" s="332">
        <f>'Trip Gen'!AM107</f>
        <v>25160.799999999999</v>
      </c>
      <c r="AA47" s="332">
        <f>'Trip Gen'!AN107</f>
        <v>25548.85</v>
      </c>
      <c r="AB47" s="332">
        <f>'Trip Gen'!AO107</f>
        <v>25936.650000000005</v>
      </c>
      <c r="AC47" s="332">
        <f>'Trip Gen'!AP107</f>
        <v>26324.699999999997</v>
      </c>
      <c r="AD47" s="332">
        <f>'Trip Gen'!AQ107</f>
        <v>26712.499999999996</v>
      </c>
      <c r="AE47" s="332">
        <f>'Trip Gen'!AR107</f>
        <v>27100.3</v>
      </c>
      <c r="AF47" s="332">
        <f>'Trip Gen'!AS107</f>
        <v>27488.35</v>
      </c>
      <c r="AG47" s="332">
        <f>'Trip Gen'!AT107</f>
        <v>27876.149999999994</v>
      </c>
      <c r="AH47" s="332">
        <f>'Trip Gen'!AU107</f>
        <v>28263.949999999997</v>
      </c>
      <c r="AI47" s="333">
        <f>'Trip Gen'!AV107</f>
        <v>28651.999999999996</v>
      </c>
      <c r="AJ47" s="293">
        <f t="shared" si="143"/>
        <v>4.1862857142857132E-2</v>
      </c>
      <c r="AK47" s="342">
        <f>$H47*J47</f>
        <v>7000</v>
      </c>
      <c r="AL47" s="290">
        <f t="shared" ref="AL47:AL49" si="144">$H47*K47</f>
        <v>7193.9</v>
      </c>
      <c r="AM47" s="290">
        <f t="shared" ref="AM47:AM49" si="145">$H47*L47</f>
        <v>7506.8249999999998</v>
      </c>
      <c r="AN47" s="290">
        <f t="shared" ref="AN47:AN49" si="146">$H47*M47</f>
        <v>7953.875</v>
      </c>
      <c r="AO47" s="290">
        <f t="shared" ref="AO47:AO49" si="147">$H47*N47</f>
        <v>8401.1250000000018</v>
      </c>
      <c r="AP47" s="290">
        <f t="shared" ref="AP47:AP49" si="148">$H47*O47</f>
        <v>8848.3500000000022</v>
      </c>
      <c r="AQ47" s="290">
        <f t="shared" ref="AQ47:AQ49" si="149">$H47*P47</f>
        <v>9295.4000000000033</v>
      </c>
      <c r="AR47" s="290">
        <f t="shared" ref="AR47:AR49" si="150">$H47*Q47</f>
        <v>9742.85</v>
      </c>
      <c r="AS47" s="290">
        <f t="shared" ref="AS47:AS49" si="151">$H47*R47</f>
        <v>10141.124999999998</v>
      </c>
      <c r="AT47" s="290">
        <f t="shared" ref="AT47:AT49" si="152">$H47*S47</f>
        <v>10539.525</v>
      </c>
      <c r="AU47" s="290">
        <f t="shared" ref="AU47:AU49" si="153">$H47*T47</f>
        <v>10937.8</v>
      </c>
      <c r="AV47" s="290">
        <f t="shared" ref="AV47:AV49" si="154">$H47*U47</f>
        <v>11336.074999999999</v>
      </c>
      <c r="AW47" s="290">
        <f t="shared" ref="AW47:AW49" si="155">$H47*V47</f>
        <v>11734.75</v>
      </c>
      <c r="AX47" s="290">
        <f t="shared" ref="AX47:AX49" si="156">$H47*W47</f>
        <v>11998.7</v>
      </c>
      <c r="AY47" s="290">
        <f t="shared" ref="AY47:AY49" si="157">$H47*X47</f>
        <v>12192.6</v>
      </c>
      <c r="AZ47" s="290">
        <f t="shared" ref="AZ47:AZ49" si="158">$H47*Y47</f>
        <v>12386.5</v>
      </c>
      <c r="BA47" s="290">
        <f t="shared" ref="BA47:BA49" si="159">$H47*Z47</f>
        <v>12580.4</v>
      </c>
      <c r="BB47" s="290">
        <f t="shared" ref="BB47:BB49" si="160">$H47*AA47</f>
        <v>12774.424999999999</v>
      </c>
      <c r="BC47" s="290">
        <f t="shared" ref="BC47:BC49" si="161">$H47*AB47</f>
        <v>12968.325000000003</v>
      </c>
      <c r="BD47" s="290">
        <f t="shared" ref="BD47:BD49" si="162">$H47*AC47</f>
        <v>13162.349999999999</v>
      </c>
      <c r="BE47" s="290">
        <f t="shared" ref="BE47:BE49" si="163">$H47*AD47</f>
        <v>13356.249999999998</v>
      </c>
      <c r="BF47" s="290">
        <f t="shared" ref="BF47:BF49" si="164">$H47*AE47</f>
        <v>13550.15</v>
      </c>
      <c r="BG47" s="290">
        <f t="shared" ref="BG47:BG49" si="165">$H47*AF47</f>
        <v>13744.174999999999</v>
      </c>
      <c r="BH47" s="290">
        <f t="shared" ref="BH47:BH49" si="166">$H47*AG47</f>
        <v>13938.074999999997</v>
      </c>
      <c r="BI47" s="290">
        <f t="shared" ref="BI47:BI49" si="167">$H47*AH47</f>
        <v>14131.974999999999</v>
      </c>
      <c r="BJ47" s="343">
        <f t="shared" ref="BJ47:BJ49" si="168">$H47*AI47</f>
        <v>14325.999999999998</v>
      </c>
      <c r="BK47" s="423">
        <f>((0.33*'Traffic Data'!AK47)/Speed!X128)+((0.67*'Traffic Data'!AK47)/Speed!AX128)</f>
        <v>137.52526465138232</v>
      </c>
      <c r="BL47" s="424">
        <f>((0.33*AL47)/Speed!Y128)+((0.67*AL47)/Speed!AY128)</f>
        <v>141.3349426774738</v>
      </c>
      <c r="BM47" s="424">
        <f>((0.33*AM47)/Speed!Z128)+((0.67*AM47)/Speed!AZ128)</f>
        <v>147.48335176243444</v>
      </c>
      <c r="BN47" s="424">
        <f>((0.33*AN47)/Speed!AA128)+((0.67*AN47)/Speed!BA128)</f>
        <v>156.26761559890261</v>
      </c>
      <c r="BO47" s="424">
        <f>((0.33*AO47)/Speed!AB128)+((0.67*AO47)/Speed!BB128)</f>
        <v>165.05683021682353</v>
      </c>
      <c r="BP47" s="424">
        <f>((0.33*AP47)/Speed!AC128)+((0.67*AP47)/Speed!BC128)</f>
        <v>173.84722076166179</v>
      </c>
      <c r="BQ47" s="424">
        <f>((0.33*AQ47)/Speed!AD128)+((0.67*AQ47)/Speed!BD128)</f>
        <v>182.63682440071628</v>
      </c>
      <c r="BR47" s="424">
        <f>((0.33*AR47)/Speed!AE128)+((0.67*AR47)/Speed!BE128)</f>
        <v>191.43842607585717</v>
      </c>
      <c r="BS47" s="424">
        <f>((0.33*AS47)/Speed!AF128)+((0.67*AS47)/Speed!BF128)</f>
        <v>199.27794395579707</v>
      </c>
      <c r="BT47" s="424">
        <f>((0.33*AT47)/Speed!AG128)+((0.67*AT47)/Speed!BG128)</f>
        <v>207.12706587146309</v>
      </c>
      <c r="BU47" s="424">
        <f>((0.33*AU47)/Speed!AH128)+((0.67*AU47)/Speed!BH128)</f>
        <v>214.98381915087208</v>
      </c>
      <c r="BV47" s="424">
        <f>((0.33*AV47)/Speed!AI128)+((0.67*AV47)/Speed!BI128)</f>
        <v>222.85465648994312</v>
      </c>
      <c r="BW47" s="424">
        <f>((0.33*AW47)/Speed!AJ128)+((0.67*AW47)/Speed!BJ128)</f>
        <v>230.75285182475454</v>
      </c>
      <c r="BX47" s="424">
        <f>((0.33*AX47)/Speed!AK128)+((0.67*AX47)/Speed!BK128)</f>
        <v>235.99607817463465</v>
      </c>
      <c r="BY47" s="424">
        <f>((0.33*AY47)/Speed!AL128)+((0.67*AY47)/Speed!BL128)</f>
        <v>239.85665718935371</v>
      </c>
      <c r="BZ47" s="424">
        <f>((0.33*AZ47)/Speed!AM128)+((0.67*AZ47)/Speed!BM128)</f>
        <v>243.7260510943791</v>
      </c>
      <c r="CA47" s="424">
        <f>((0.33*BA47)/Speed!AN128)+((0.67*BA47)/Speed!BN128)</f>
        <v>247.60560459946257</v>
      </c>
      <c r="CB47" s="424">
        <f>((0.33*BB47)/Speed!AO128)+((0.67*BB47)/Speed!BO128)</f>
        <v>251.49935417690713</v>
      </c>
      <c r="CC47" s="424">
        <f>((0.33*BC47)/Speed!AP128)+((0.67*BC47)/Speed!BP128)</f>
        <v>255.40400744556575</v>
      </c>
      <c r="CD47" s="424">
        <f>((0.33*BD47)/Speed!AQ128)+((0.67*BD47)/Speed!BQ128)</f>
        <v>259.32654779226715</v>
      </c>
      <c r="CE47" s="424">
        <f>((0.33*BE47)/Speed!AR128)+((0.67*BE47)/Speed!BR128)</f>
        <v>263.26411582297862</v>
      </c>
      <c r="CF47" s="424">
        <f>((0.33*BF47)/Speed!AS128)+((0.67*BF47)/Speed!BS128)</f>
        <v>267.2217013955235</v>
      </c>
      <c r="CG47" s="424">
        <f>((0.33*BG47)/Speed!AT128)+((0.67*BG47)/Speed!BT128)</f>
        <v>271.20465027751357</v>
      </c>
      <c r="CH47" s="424">
        <f>((0.33*BH47)/Speed!AU128)+((0.67*BH47)/Speed!BU128)</f>
        <v>275.21094008812776</v>
      </c>
      <c r="CI47" s="424">
        <f>((0.33*BI47)/Speed!AV128)+((0.67*BI47)/Speed!BV128)</f>
        <v>279.24660843993581</v>
      </c>
      <c r="CJ47" s="432">
        <f>((0.33*BJ47)/Speed!AW128)+((0.67*BJ47)/Speed!BW128)</f>
        <v>283.31817878092693</v>
      </c>
      <c r="CK47" s="1425">
        <f>Inputs!$H$35</f>
        <v>0.28000000000000003</v>
      </c>
      <c r="CL47" s="1425">
        <f>Inputs!$H$36</f>
        <v>0.72</v>
      </c>
      <c r="CM47" s="1428">
        <f>1/(1+CK47)</f>
        <v>0.78125</v>
      </c>
      <c r="CN47" s="1431">
        <v>0.9</v>
      </c>
      <c r="CO47" s="12"/>
      <c r="CP47" s="12"/>
      <c r="CQ47" s="12"/>
      <c r="CR47" s="12"/>
      <c r="CS47" s="12"/>
      <c r="CT47" s="12"/>
      <c r="CU47" s="12"/>
      <c r="CV47" s="12"/>
      <c r="CW47" s="12"/>
      <c r="CX47" s="12"/>
      <c r="CY47" s="12"/>
      <c r="CZ47" s="12"/>
    </row>
    <row r="48" spans="2:104" customFormat="1" ht="21.95" customHeight="1" x14ac:dyDescent="0.2">
      <c r="B48" s="927"/>
      <c r="C48" s="1413"/>
      <c r="D48" s="289" t="s">
        <v>337</v>
      </c>
      <c r="E48" s="289" t="s">
        <v>342</v>
      </c>
      <c r="F48" s="289" t="s">
        <v>366</v>
      </c>
      <c r="G48" s="290">
        <v>50</v>
      </c>
      <c r="H48" s="291">
        <v>0.5</v>
      </c>
      <c r="I48" s="290">
        <v>4</v>
      </c>
      <c r="J48" s="342">
        <v>22000</v>
      </c>
      <c r="K48" s="290">
        <f t="shared" ref="K48:R51" si="169">$J48*(1+(K$6-$J$6)*0.002)</f>
        <v>22044</v>
      </c>
      <c r="L48" s="290">
        <f t="shared" si="169"/>
        <v>22088</v>
      </c>
      <c r="M48" s="290">
        <f t="shared" si="169"/>
        <v>22132</v>
      </c>
      <c r="N48" s="290">
        <f t="shared" si="169"/>
        <v>22176</v>
      </c>
      <c r="O48" s="290">
        <f t="shared" si="169"/>
        <v>22220</v>
      </c>
      <c r="P48" s="290">
        <f t="shared" si="169"/>
        <v>22264</v>
      </c>
      <c r="Q48" s="290">
        <f t="shared" si="169"/>
        <v>22308</v>
      </c>
      <c r="R48" s="290">
        <f t="shared" si="169"/>
        <v>22352</v>
      </c>
      <c r="S48" s="290">
        <v>22352</v>
      </c>
      <c r="T48" s="290">
        <f t="shared" ref="T48:AI48" si="170">0.6*T52</f>
        <v>22879.89</v>
      </c>
      <c r="U48" s="290">
        <f t="shared" si="170"/>
        <v>23462.189999999995</v>
      </c>
      <c r="V48" s="290">
        <f t="shared" si="170"/>
        <v>24044.849999999995</v>
      </c>
      <c r="W48" s="290">
        <f t="shared" si="170"/>
        <v>24514.559999999998</v>
      </c>
      <c r="X48" s="290">
        <f t="shared" si="170"/>
        <v>24900.209999999995</v>
      </c>
      <c r="Y48" s="290">
        <f t="shared" si="170"/>
        <v>25285.859999999993</v>
      </c>
      <c r="Z48" s="290">
        <f t="shared" si="170"/>
        <v>25671.509999999995</v>
      </c>
      <c r="AA48" s="290">
        <f t="shared" si="170"/>
        <v>26057.249999999996</v>
      </c>
      <c r="AB48" s="290">
        <f t="shared" si="170"/>
        <v>26442.899999999994</v>
      </c>
      <c r="AC48" s="290">
        <f t="shared" si="170"/>
        <v>26828.639999999996</v>
      </c>
      <c r="AD48" s="290">
        <f t="shared" si="170"/>
        <v>27214.289999999997</v>
      </c>
      <c r="AE48" s="290">
        <f t="shared" si="170"/>
        <v>27599.939999999995</v>
      </c>
      <c r="AF48" s="290">
        <f t="shared" si="170"/>
        <v>27985.679999999997</v>
      </c>
      <c r="AG48" s="290">
        <f t="shared" si="170"/>
        <v>28371.329999999991</v>
      </c>
      <c r="AH48" s="290">
        <f t="shared" si="170"/>
        <v>28756.979999999996</v>
      </c>
      <c r="AI48" s="343">
        <f t="shared" si="170"/>
        <v>29142.719999999998</v>
      </c>
      <c r="AJ48" s="293">
        <f t="shared" si="143"/>
        <v>1.2986763636363632E-2</v>
      </c>
      <c r="AK48" s="342">
        <f>$H48*J48</f>
        <v>11000</v>
      </c>
      <c r="AL48" s="290">
        <f t="shared" si="144"/>
        <v>11022</v>
      </c>
      <c r="AM48" s="290">
        <f t="shared" si="145"/>
        <v>11044</v>
      </c>
      <c r="AN48" s="290">
        <f t="shared" si="146"/>
        <v>11066</v>
      </c>
      <c r="AO48" s="290">
        <f t="shared" si="147"/>
        <v>11088</v>
      </c>
      <c r="AP48" s="290">
        <f t="shared" si="148"/>
        <v>11110</v>
      </c>
      <c r="AQ48" s="290">
        <f t="shared" si="149"/>
        <v>11132</v>
      </c>
      <c r="AR48" s="290">
        <f t="shared" si="150"/>
        <v>11154</v>
      </c>
      <c r="AS48" s="290">
        <f t="shared" si="151"/>
        <v>11176</v>
      </c>
      <c r="AT48" s="290">
        <f t="shared" si="152"/>
        <v>11176</v>
      </c>
      <c r="AU48" s="290">
        <f t="shared" si="153"/>
        <v>11439.945</v>
      </c>
      <c r="AV48" s="290">
        <f t="shared" si="154"/>
        <v>11731.094999999998</v>
      </c>
      <c r="AW48" s="290">
        <f t="shared" si="155"/>
        <v>12022.424999999997</v>
      </c>
      <c r="AX48" s="290">
        <f t="shared" si="156"/>
        <v>12257.279999999999</v>
      </c>
      <c r="AY48" s="290">
        <f t="shared" si="157"/>
        <v>12450.104999999998</v>
      </c>
      <c r="AZ48" s="290">
        <f t="shared" si="158"/>
        <v>12642.929999999997</v>
      </c>
      <c r="BA48" s="290">
        <f t="shared" si="159"/>
        <v>12835.754999999997</v>
      </c>
      <c r="BB48" s="290">
        <f t="shared" si="160"/>
        <v>13028.624999999998</v>
      </c>
      <c r="BC48" s="290">
        <f t="shared" si="161"/>
        <v>13221.449999999997</v>
      </c>
      <c r="BD48" s="290">
        <f t="shared" si="162"/>
        <v>13414.319999999998</v>
      </c>
      <c r="BE48" s="290">
        <f t="shared" si="163"/>
        <v>13607.144999999999</v>
      </c>
      <c r="BF48" s="290">
        <f t="shared" si="164"/>
        <v>13799.969999999998</v>
      </c>
      <c r="BG48" s="290">
        <f t="shared" si="165"/>
        <v>13992.839999999998</v>
      </c>
      <c r="BH48" s="290">
        <f t="shared" si="166"/>
        <v>14185.664999999995</v>
      </c>
      <c r="BI48" s="290">
        <f t="shared" si="167"/>
        <v>14378.489999999998</v>
      </c>
      <c r="BJ48" s="343">
        <f t="shared" si="168"/>
        <v>14571.359999999999</v>
      </c>
      <c r="BK48" s="423">
        <f>((0.33*'Traffic Data'!AK48)/Speed!X129)+((0.67*'Traffic Data'!AK48)/Speed!AX129)</f>
        <v>227.29953656203841</v>
      </c>
      <c r="BL48" s="424">
        <f>((0.33*AL48)/Speed!Y129)+((0.67*AL48)/Speed!AY129)</f>
        <v>227.75467774639668</v>
      </c>
      <c r="BM48" s="424">
        <f>((0.33*AM48)/Speed!Z129)+((0.67*AM48)/Speed!AZ129)</f>
        <v>228.20983094912759</v>
      </c>
      <c r="BN48" s="424">
        <f>((0.33*AN48)/Speed!AA129)+((0.67*AN48)/Speed!BA129)</f>
        <v>228.66499637975147</v>
      </c>
      <c r="BO48" s="424">
        <f>((0.33*AO48)/Speed!AB129)+((0.67*AO48)/Speed!BB129)</f>
        <v>229.12017425924716</v>
      </c>
      <c r="BP48" s="424">
        <f>((0.33*AP48)/Speed!AC129)+((0.67*AP48)/Speed!BC129)</f>
        <v>229.57536481213646</v>
      </c>
      <c r="BQ48" s="424">
        <f>((0.33*AQ48)/Speed!AD129)+((0.67*AQ48)/Speed!BD129)</f>
        <v>230.03056826653312</v>
      </c>
      <c r="BR48" s="424">
        <f>((0.33*AR48)/Speed!AE129)+((0.67*AR48)/Speed!BE129)</f>
        <v>230.48578485419341</v>
      </c>
      <c r="BS48" s="424">
        <f>((0.33*AS48)/Speed!AF129)+((0.67*AS48)/Speed!BF129)</f>
        <v>230.94101481056691</v>
      </c>
      <c r="BT48" s="424">
        <f>((0.33*AT48)/Speed!AG129)+((0.67*AT48)/Speed!BG129)</f>
        <v>230.94101481990339</v>
      </c>
      <c r="BU48" s="424">
        <f>((0.33*AU48)/Speed!AH129)+((0.67*AU48)/Speed!BH129)</f>
        <v>236.40376935781217</v>
      </c>
      <c r="BV48" s="424">
        <f>((0.33*AV48)/Speed!AI129)+((0.67*AV48)/Speed!BI129)</f>
        <v>242.43240707823662</v>
      </c>
      <c r="BW48" s="424">
        <f>((0.33*AW48)/Speed!AJ129)+((0.67*AW48)/Speed!BJ129)</f>
        <v>248.46847589154174</v>
      </c>
      <c r="BX48" s="424">
        <f>((0.33*AX48)/Speed!AK129)+((0.67*AX48)/Speed!BK129)</f>
        <v>253.33775250469699</v>
      </c>
      <c r="BY48" s="424">
        <f>((0.33*AY48)/Speed!AL129)+((0.67*AY48)/Speed!BL129)</f>
        <v>257.33825540829696</v>
      </c>
      <c r="BZ48" s="424">
        <f>((0.33*AZ48)/Speed!AM129)+((0.67*AZ48)/Speed!BM129)</f>
        <v>261.3415243631091</v>
      </c>
      <c r="CA48" s="424">
        <f>((0.33*BA48)/Speed!AN129)+((0.67*BA48)/Speed!BN129)</f>
        <v>265.3479696058746</v>
      </c>
      <c r="CB48" s="424">
        <f>((0.33*BB48)/Speed!AO129)+((0.67*BB48)/Speed!BO129)</f>
        <v>269.35899085022533</v>
      </c>
      <c r="CC48" s="424">
        <f>((0.33*BC48)/Speed!AP129)+((0.67*BC48)/Speed!BP129)</f>
        <v>273.37323908068151</v>
      </c>
      <c r="CD48" s="424">
        <f>((0.33*BD48)/Speed!AQ129)+((0.67*BD48)/Speed!BQ129)</f>
        <v>277.39317645743529</v>
      </c>
      <c r="CE48" s="424">
        <f>((0.33*BE48)/Speed!AR129)+((0.67*BE48)/Speed!BR129)</f>
        <v>281.41758827606009</v>
      </c>
      <c r="CF48" s="424">
        <f>((0.33*BF48)/Speed!AS129)+((0.67*BF48)/Speed!BS129)</f>
        <v>285.44815343060674</v>
      </c>
      <c r="CG48" s="424">
        <f>((0.33*BG48)/Speed!AT129)+((0.67*BG48)/Speed!BT129)</f>
        <v>289.48664559456353</v>
      </c>
      <c r="CH48" s="424">
        <f>((0.33*BH48)/Speed!AU129)+((0.67*BH48)/Speed!BU129)</f>
        <v>293.53210918742468</v>
      </c>
      <c r="CI48" s="424">
        <f>((0.33*BI48)/Speed!AV129)+((0.67*BI48)/Speed!BV129)</f>
        <v>297.58652257450456</v>
      </c>
      <c r="CJ48" s="432">
        <f>((0.33*BJ48)/Speed!AW129)+((0.67*BJ48)/Speed!BW129)</f>
        <v>301.65199162535703</v>
      </c>
      <c r="CK48" s="1426"/>
      <c r="CL48" s="1426"/>
      <c r="CM48" s="1429"/>
      <c r="CN48" s="1432"/>
      <c r="CO48" s="12"/>
      <c r="CP48" s="12"/>
      <c r="CQ48" s="12"/>
      <c r="CR48" s="12"/>
      <c r="CS48" s="12"/>
      <c r="CT48" s="12"/>
      <c r="CU48" s="12"/>
      <c r="CV48" s="12"/>
      <c r="CW48" s="12"/>
      <c r="CX48" s="12"/>
      <c r="CY48" s="12"/>
      <c r="CZ48" s="12"/>
    </row>
    <row r="49" spans="2:104" customFormat="1" ht="21.95" customHeight="1" x14ac:dyDescent="0.2">
      <c r="B49" s="927"/>
      <c r="C49" s="1413"/>
      <c r="D49" s="289" t="s">
        <v>342</v>
      </c>
      <c r="E49" s="289" t="s">
        <v>341</v>
      </c>
      <c r="F49" s="289" t="s">
        <v>366</v>
      </c>
      <c r="G49" s="290">
        <v>45</v>
      </c>
      <c r="H49" s="291">
        <v>0.65</v>
      </c>
      <c r="I49" s="290">
        <v>4</v>
      </c>
      <c r="J49" s="342">
        <v>22000</v>
      </c>
      <c r="K49" s="290">
        <f t="shared" si="169"/>
        <v>22044</v>
      </c>
      <c r="L49" s="290">
        <f t="shared" si="169"/>
        <v>22088</v>
      </c>
      <c r="M49" s="290">
        <f t="shared" si="169"/>
        <v>22132</v>
      </c>
      <c r="N49" s="290">
        <f t="shared" si="169"/>
        <v>22176</v>
      </c>
      <c r="O49" s="290">
        <f t="shared" si="169"/>
        <v>22220</v>
      </c>
      <c r="P49" s="290">
        <f t="shared" si="169"/>
        <v>22264</v>
      </c>
      <c r="Q49" s="290">
        <f t="shared" si="169"/>
        <v>22308</v>
      </c>
      <c r="R49" s="290">
        <f t="shared" si="169"/>
        <v>22352</v>
      </c>
      <c r="S49" s="290">
        <v>22352</v>
      </c>
      <c r="T49" s="290">
        <f t="shared" ref="T49:AI49" si="171">0.6*T52</f>
        <v>22879.89</v>
      </c>
      <c r="U49" s="290">
        <f t="shared" si="171"/>
        <v>23462.189999999995</v>
      </c>
      <c r="V49" s="290">
        <f t="shared" si="171"/>
        <v>24044.849999999995</v>
      </c>
      <c r="W49" s="290">
        <f t="shared" si="171"/>
        <v>24514.559999999998</v>
      </c>
      <c r="X49" s="290">
        <f t="shared" si="171"/>
        <v>24900.209999999995</v>
      </c>
      <c r="Y49" s="290">
        <f t="shared" si="171"/>
        <v>25285.859999999993</v>
      </c>
      <c r="Z49" s="290">
        <f t="shared" si="171"/>
        <v>25671.509999999995</v>
      </c>
      <c r="AA49" s="290">
        <f t="shared" si="171"/>
        <v>26057.249999999996</v>
      </c>
      <c r="AB49" s="290">
        <f t="shared" si="171"/>
        <v>26442.899999999994</v>
      </c>
      <c r="AC49" s="290">
        <f t="shared" si="171"/>
        <v>26828.639999999996</v>
      </c>
      <c r="AD49" s="290">
        <f t="shared" si="171"/>
        <v>27214.289999999997</v>
      </c>
      <c r="AE49" s="290">
        <f t="shared" si="171"/>
        <v>27599.939999999995</v>
      </c>
      <c r="AF49" s="290">
        <f t="shared" si="171"/>
        <v>27985.679999999997</v>
      </c>
      <c r="AG49" s="290">
        <f t="shared" si="171"/>
        <v>28371.329999999991</v>
      </c>
      <c r="AH49" s="290">
        <f t="shared" si="171"/>
        <v>28756.979999999996</v>
      </c>
      <c r="AI49" s="343">
        <f t="shared" si="171"/>
        <v>29142.719999999998</v>
      </c>
      <c r="AJ49" s="293">
        <f t="shared" si="143"/>
        <v>1.2986763636363632E-2</v>
      </c>
      <c r="AK49" s="342">
        <f>$H49*J49</f>
        <v>14300</v>
      </c>
      <c r="AL49" s="290">
        <f t="shared" si="144"/>
        <v>14328.6</v>
      </c>
      <c r="AM49" s="290">
        <f t="shared" si="145"/>
        <v>14357.2</v>
      </c>
      <c r="AN49" s="290">
        <f t="shared" si="146"/>
        <v>14385.800000000001</v>
      </c>
      <c r="AO49" s="290">
        <f t="shared" si="147"/>
        <v>14414.4</v>
      </c>
      <c r="AP49" s="290">
        <f t="shared" si="148"/>
        <v>14443</v>
      </c>
      <c r="AQ49" s="290">
        <f t="shared" si="149"/>
        <v>14471.6</v>
      </c>
      <c r="AR49" s="290">
        <f t="shared" si="150"/>
        <v>14500.2</v>
      </c>
      <c r="AS49" s="290">
        <f t="shared" si="151"/>
        <v>14528.800000000001</v>
      </c>
      <c r="AT49" s="290">
        <f t="shared" si="152"/>
        <v>14528.800000000001</v>
      </c>
      <c r="AU49" s="290">
        <f t="shared" si="153"/>
        <v>14871.9285</v>
      </c>
      <c r="AV49" s="290">
        <f t="shared" si="154"/>
        <v>15250.423499999997</v>
      </c>
      <c r="AW49" s="290">
        <f t="shared" si="155"/>
        <v>15629.152499999997</v>
      </c>
      <c r="AX49" s="290">
        <f t="shared" si="156"/>
        <v>15934.463999999998</v>
      </c>
      <c r="AY49" s="290">
        <f t="shared" si="157"/>
        <v>16185.136499999997</v>
      </c>
      <c r="AZ49" s="290">
        <f t="shared" si="158"/>
        <v>16435.808999999997</v>
      </c>
      <c r="BA49" s="290">
        <f t="shared" si="159"/>
        <v>16686.481499999998</v>
      </c>
      <c r="BB49" s="290">
        <f t="shared" si="160"/>
        <v>16937.212499999998</v>
      </c>
      <c r="BC49" s="290">
        <f t="shared" si="161"/>
        <v>17187.884999999998</v>
      </c>
      <c r="BD49" s="290">
        <f t="shared" si="162"/>
        <v>17438.615999999998</v>
      </c>
      <c r="BE49" s="290">
        <f t="shared" si="163"/>
        <v>17689.288499999999</v>
      </c>
      <c r="BF49" s="290">
        <f t="shared" si="164"/>
        <v>17939.960999999996</v>
      </c>
      <c r="BG49" s="290">
        <f t="shared" si="165"/>
        <v>18190.691999999999</v>
      </c>
      <c r="BH49" s="290">
        <f t="shared" si="166"/>
        <v>18441.364499999996</v>
      </c>
      <c r="BI49" s="290">
        <f t="shared" si="167"/>
        <v>18692.036999999997</v>
      </c>
      <c r="BJ49" s="343">
        <f t="shared" si="168"/>
        <v>18942.768</v>
      </c>
      <c r="BK49" s="423">
        <f>((0.33*'Traffic Data'!AK49)/Speed!X130)+((0.67*'Traffic Data'!AK49)/Speed!AX130)</f>
        <v>329.55800303165972</v>
      </c>
      <c r="BL49" s="424">
        <f>((0.33*AL49)/Speed!Y130)+((0.67*AL49)/Speed!AY130)</f>
        <v>330.21843169496475</v>
      </c>
      <c r="BM49" s="424">
        <f>((0.33*AM49)/Speed!Z130)+((0.67*AM49)/Speed!AZ130)</f>
        <v>330.87888945931559</v>
      </c>
      <c r="BN49" s="424">
        <f>((0.33*AN49)/Speed!AA130)+((0.67*AN49)/Speed!BA130)</f>
        <v>331.53937683204055</v>
      </c>
      <c r="BO49" s="424">
        <f>((0.33*AO49)/Speed!AB130)+((0.67*AO49)/Speed!BB130)</f>
        <v>332.1998943482136</v>
      </c>
      <c r="BP49" s="424">
        <f>((0.33*AP49)/Speed!AC130)+((0.67*AP49)/Speed!BC130)</f>
        <v>332.86044255148693</v>
      </c>
      <c r="BQ49" s="424">
        <f>((0.33*AQ49)/Speed!AD130)+((0.67*AQ49)/Speed!BD130)</f>
        <v>333.52102199421074</v>
      </c>
      <c r="BR49" s="424">
        <f>((0.33*AR49)/Speed!AE130)+((0.67*AR49)/Speed!BE130)</f>
        <v>334.1816332375551</v>
      </c>
      <c r="BS49" s="424">
        <f>((0.33*AS49)/Speed!AF130)+((0.67*AS49)/Speed!BF130)</f>
        <v>334.84227685163268</v>
      </c>
      <c r="BT49" s="424">
        <f>((0.33*AT49)/Speed!AG130)+((0.67*AT49)/Speed!BG130)</f>
        <v>334.84227687423993</v>
      </c>
      <c r="BU49" s="424">
        <f>((0.33*AU49)/Speed!AH130)+((0.67*AU49)/Speed!BH130)</f>
        <v>342.77109238763114</v>
      </c>
      <c r="BV49" s="424">
        <f>((0.33*AV49)/Speed!AI130)+((0.67*AV49)/Speed!BI130)</f>
        <v>351.52399675470406</v>
      </c>
      <c r="BW49" s="424">
        <f>((0.33*AW49)/Speed!AJ130)+((0.67*AW49)/Speed!BJ130)</f>
        <v>360.29128119389304</v>
      </c>
      <c r="BX49" s="424">
        <f>((0.33*AX49)/Speed!AK130)+((0.67*AX49)/Speed!BK130)</f>
        <v>367.3670311076437</v>
      </c>
      <c r="BY49" s="424">
        <f>((0.33*AY49)/Speed!AL130)+((0.67*AY49)/Speed!BL130)</f>
        <v>373.18288497898544</v>
      </c>
      <c r="BZ49" s="424">
        <f>((0.33*AZ49)/Speed!AM130)+((0.67*AZ49)/Speed!BM130)</f>
        <v>379.00543651111263</v>
      </c>
      <c r="CA49" s="424">
        <f>((0.33*BA49)/Speed!AN130)+((0.67*BA49)/Speed!BN130)</f>
        <v>384.83567904302112</v>
      </c>
      <c r="CB49" s="424">
        <f>((0.33*BB49)/Speed!AO130)+((0.67*BB49)/Speed!BO130)</f>
        <v>390.67609845646342</v>
      </c>
      <c r="CC49" s="424">
        <f>((0.33*BC49)/Speed!AP130)+((0.67*BC49)/Speed!BP130)</f>
        <v>396.52523498586351</v>
      </c>
      <c r="CD49" s="424">
        <f>((0.33*BD49)/Speed!AQ130)+((0.67*BD49)/Speed!BQ130)</f>
        <v>402.3872437430208</v>
      </c>
      <c r="CE49" s="424">
        <f>((0.33*BE49)/Speed!AR130)+((0.67*BE49)/Speed!BR130)</f>
        <v>408.26099018044283</v>
      </c>
      <c r="CF49" s="424">
        <f>((0.33*BF49)/Speed!AS130)+((0.67*BF49)/Speed!BS130)</f>
        <v>414.14963618173425</v>
      </c>
      <c r="CG49" s="424">
        <f>((0.33*BG49)/Speed!AT130)+((0.67*BG49)/Speed!BT130)</f>
        <v>420.05657312752476</v>
      </c>
      <c r="CH49" s="424">
        <f>((0.33*BH49)/Speed!AU130)+((0.67*BH49)/Speed!BU130)</f>
        <v>425.98129390777285</v>
      </c>
      <c r="CI49" s="424">
        <f>((0.33*BI49)/Speed!AV130)+((0.67*BI49)/Speed!BV130)</f>
        <v>431.92768553977947</v>
      </c>
      <c r="CJ49" s="432">
        <f>((0.33*BJ49)/Speed!AW130)+((0.67*BJ49)/Speed!BW130)</f>
        <v>437.89994377704721</v>
      </c>
      <c r="CK49" s="1426"/>
      <c r="CL49" s="1426"/>
      <c r="CM49" s="1429"/>
      <c r="CN49" s="1432"/>
      <c r="CO49" s="12"/>
      <c r="CP49" s="12"/>
      <c r="CQ49" s="12"/>
      <c r="CR49" s="12"/>
      <c r="CS49" s="12"/>
      <c r="CT49" s="12"/>
      <c r="CU49" s="12"/>
      <c r="CV49" s="12"/>
      <c r="CW49" s="12"/>
      <c r="CX49" s="12"/>
      <c r="CY49" s="12"/>
      <c r="CZ49" s="12"/>
    </row>
    <row r="50" spans="2:104" customFormat="1" ht="21.95" customHeight="1" x14ac:dyDescent="0.2">
      <c r="B50" s="927"/>
      <c r="C50" s="1413"/>
      <c r="D50" s="289" t="s">
        <v>341</v>
      </c>
      <c r="E50" s="289" t="s">
        <v>344</v>
      </c>
      <c r="F50" s="289" t="s">
        <v>366</v>
      </c>
      <c r="G50" s="290">
        <v>45</v>
      </c>
      <c r="H50" s="291">
        <v>0.61</v>
      </c>
      <c r="I50" s="290">
        <v>4</v>
      </c>
      <c r="J50" s="342">
        <v>26000</v>
      </c>
      <c r="K50" s="290">
        <f t="shared" si="169"/>
        <v>26052</v>
      </c>
      <c r="L50" s="290">
        <f t="shared" si="169"/>
        <v>26104</v>
      </c>
      <c r="M50" s="290">
        <f t="shared" si="169"/>
        <v>26156</v>
      </c>
      <c r="N50" s="290">
        <f t="shared" si="169"/>
        <v>26208</v>
      </c>
      <c r="O50" s="290">
        <f t="shared" si="169"/>
        <v>26260</v>
      </c>
      <c r="P50" s="290">
        <f t="shared" si="169"/>
        <v>26312</v>
      </c>
      <c r="Q50" s="290">
        <f t="shared" si="169"/>
        <v>26364</v>
      </c>
      <c r="R50" s="290">
        <f t="shared" si="169"/>
        <v>26416</v>
      </c>
      <c r="S50" s="290">
        <v>26416</v>
      </c>
      <c r="T50" s="290">
        <f>T48*1.16</f>
        <v>26540.672399999996</v>
      </c>
      <c r="U50" s="290">
        <f>U48*1.15</f>
        <v>26981.518499999991</v>
      </c>
      <c r="V50" s="290">
        <f>V48*1.14</f>
        <v>27411.128999999994</v>
      </c>
      <c r="W50" s="290">
        <f>W48*1.13</f>
        <v>27701.452799999995</v>
      </c>
      <c r="X50" s="290">
        <f>X48*1.12</f>
        <v>27888.235199999999</v>
      </c>
      <c r="Y50" s="290">
        <f t="shared" ref="Y50:AI50" si="172">Y48*1.12</f>
        <v>28320.163199999995</v>
      </c>
      <c r="Z50" s="290">
        <f t="shared" si="172"/>
        <v>28752.091199999995</v>
      </c>
      <c r="AA50" s="290">
        <f t="shared" si="172"/>
        <v>29184.12</v>
      </c>
      <c r="AB50" s="290">
        <f t="shared" si="172"/>
        <v>29616.047999999995</v>
      </c>
      <c r="AC50" s="290">
        <f t="shared" si="172"/>
        <v>30048.076799999999</v>
      </c>
      <c r="AD50" s="290">
        <f t="shared" si="172"/>
        <v>30480.004799999999</v>
      </c>
      <c r="AE50" s="290">
        <f t="shared" si="172"/>
        <v>30911.932799999999</v>
      </c>
      <c r="AF50" s="290">
        <f t="shared" si="172"/>
        <v>31343.961599999999</v>
      </c>
      <c r="AG50" s="290">
        <f t="shared" si="172"/>
        <v>31775.889599999991</v>
      </c>
      <c r="AH50" s="290">
        <f t="shared" si="172"/>
        <v>32207.817599999998</v>
      </c>
      <c r="AI50" s="343">
        <f t="shared" si="172"/>
        <v>32639.846399999999</v>
      </c>
      <c r="AJ50" s="293">
        <f t="shared" si="143"/>
        <v>1.0215148307692306E-2</v>
      </c>
      <c r="AK50" s="342">
        <f t="shared" ref="AK50:AK54" si="173">$H50*J50</f>
        <v>15860</v>
      </c>
      <c r="AL50" s="290">
        <f t="shared" ref="AL50:AL55" si="174">$H50*K50</f>
        <v>15891.72</v>
      </c>
      <c r="AM50" s="290">
        <f t="shared" ref="AM50:AM55" si="175">$H50*L50</f>
        <v>15923.44</v>
      </c>
      <c r="AN50" s="290">
        <f t="shared" ref="AN50:AN55" si="176">$H50*M50</f>
        <v>15955.16</v>
      </c>
      <c r="AO50" s="290">
        <f t="shared" ref="AO50:AO55" si="177">$H50*N50</f>
        <v>15986.88</v>
      </c>
      <c r="AP50" s="290">
        <f t="shared" ref="AP50:AP55" si="178">$H50*O50</f>
        <v>16018.6</v>
      </c>
      <c r="AQ50" s="290">
        <f t="shared" ref="AQ50:AQ55" si="179">$H50*P50</f>
        <v>16050.32</v>
      </c>
      <c r="AR50" s="290">
        <f t="shared" ref="AR50:AR55" si="180">$H50*Q50</f>
        <v>16082.039999999999</v>
      </c>
      <c r="AS50" s="290">
        <f t="shared" ref="AS50:AS55" si="181">$H50*R50</f>
        <v>16113.76</v>
      </c>
      <c r="AT50" s="290">
        <f t="shared" ref="AT50:AT55" si="182">$H50*S50</f>
        <v>16113.76</v>
      </c>
      <c r="AU50" s="290">
        <f t="shared" ref="AU50:AU55" si="183">$H50*T50</f>
        <v>16189.810163999997</v>
      </c>
      <c r="AV50" s="290">
        <f t="shared" ref="AV50:AV55" si="184">$H50*U50</f>
        <v>16458.726284999993</v>
      </c>
      <c r="AW50" s="290">
        <f t="shared" ref="AW50:AW55" si="185">$H50*V50</f>
        <v>16720.788689999994</v>
      </c>
      <c r="AX50" s="290">
        <f t="shared" ref="AX50:AX55" si="186">$H50*W50</f>
        <v>16897.886207999996</v>
      </c>
      <c r="AY50" s="290">
        <f t="shared" ref="AY50:AY55" si="187">$H50*X50</f>
        <v>17011.823472</v>
      </c>
      <c r="AZ50" s="290">
        <f t="shared" ref="AZ50:AZ55" si="188">$H50*Y50</f>
        <v>17275.299551999997</v>
      </c>
      <c r="BA50" s="290">
        <f t="shared" ref="BA50:BA55" si="189">$H50*Z50</f>
        <v>17538.775631999997</v>
      </c>
      <c r="BB50" s="290">
        <f t="shared" ref="BB50:BB55" si="190">$H50*AA50</f>
        <v>17802.313200000001</v>
      </c>
      <c r="BC50" s="290">
        <f t="shared" ref="BC50:BC55" si="191">$H50*AB50</f>
        <v>18065.789279999997</v>
      </c>
      <c r="BD50" s="290">
        <f t="shared" ref="BD50:BD55" si="192">$H50*AC50</f>
        <v>18329.326848000001</v>
      </c>
      <c r="BE50" s="290">
        <f t="shared" ref="BE50:BE55" si="193">$H50*AD50</f>
        <v>18592.802927999997</v>
      </c>
      <c r="BF50" s="290">
        <f t="shared" ref="BF50:BF55" si="194">$H50*AE50</f>
        <v>18856.279007999998</v>
      </c>
      <c r="BG50" s="290">
        <f t="shared" ref="BG50:BG55" si="195">$H50*AF50</f>
        <v>19119.816575999997</v>
      </c>
      <c r="BH50" s="290">
        <f t="shared" ref="BH50:BH55" si="196">$H50*AG50</f>
        <v>19383.292655999994</v>
      </c>
      <c r="BI50" s="290">
        <f t="shared" ref="BI50:BI55" si="197">$H50*AH50</f>
        <v>19646.768735999998</v>
      </c>
      <c r="BJ50" s="343">
        <f t="shared" ref="BJ50:BJ54" si="198">$H50*AI50</f>
        <v>19910.306303999998</v>
      </c>
      <c r="BK50" s="423">
        <f>((0.33*'Traffic Data'!AK50)/Speed!X131)+((0.67*'Traffic Data'!AK50)/Speed!AX131)</f>
        <v>340.69973792930529</v>
      </c>
      <c r="BL50" s="424">
        <f>((0.33*AL50)/Speed!Y131)+((0.67*AL50)/Speed!AY131)</f>
        <v>341.38834398112442</v>
      </c>
      <c r="BM50" s="424">
        <f>((0.33*AM50)/Speed!Z131)+((0.67*AM50)/Speed!AZ131)</f>
        <v>342.07710979962957</v>
      </c>
      <c r="BN50" s="424">
        <f>((0.33*AN50)/Speed!AA131)+((0.67*AN50)/Speed!BA131)</f>
        <v>342.76603817008669</v>
      </c>
      <c r="BO50" s="424">
        <f>((0.33*AO50)/Speed!AB131)+((0.67*AO50)/Speed!BB131)</f>
        <v>343.45513203008807</v>
      </c>
      <c r="BP50" s="424">
        <f>((0.33*AP50)/Speed!AC131)+((0.67*AP50)/Speed!BC131)</f>
        <v>344.14439436431996</v>
      </c>
      <c r="BQ50" s="424">
        <f>((0.33*AQ50)/Speed!AD131)+((0.67*AQ50)/Speed!BD131)</f>
        <v>344.83382820522252</v>
      </c>
      <c r="BR50" s="424">
        <f>((0.33*AR50)/Speed!AE131)+((0.67*AR50)/Speed!BE131)</f>
        <v>345.5234366336565</v>
      </c>
      <c r="BS50" s="424">
        <f>((0.33*AS50)/Speed!AF131)+((0.67*AS50)/Speed!BF131)</f>
        <v>346.21322277957904</v>
      </c>
      <c r="BT50" s="424">
        <f>((0.33*AT50)/Speed!AG131)+((0.67*AT50)/Speed!BG131)</f>
        <v>346.21322290369426</v>
      </c>
      <c r="BU50" s="424">
        <f>((0.33*AU50)/Speed!AH131)+((0.67*AU50)/Speed!BH131)</f>
        <v>347.86775963508649</v>
      </c>
      <c r="BV50" s="424">
        <f>((0.33*AV50)/Speed!AI131)+((0.67*AV50)/Speed!BI131)</f>
        <v>353.72728407336587</v>
      </c>
      <c r="BW50" s="424">
        <f>((0.33*AW50)/Speed!AJ131)+((0.67*AW50)/Speed!BJ131)</f>
        <v>359.45261114381515</v>
      </c>
      <c r="BX50" s="424">
        <f>((0.33*AX50)/Speed!AK131)+((0.67*AX50)/Speed!BK131)</f>
        <v>363.331309200595</v>
      </c>
      <c r="BY50" s="424">
        <f>((0.33*AY50)/Speed!AL131)+((0.67*AY50)/Speed!BL131)</f>
        <v>365.83122672773146</v>
      </c>
      <c r="BZ50" s="424">
        <f>((0.33*AZ50)/Speed!AM131)+((0.67*AZ50)/Speed!BM131)</f>
        <v>371.62716356467195</v>
      </c>
      <c r="CA50" s="424">
        <f>((0.33*BA50)/Speed!AN131)+((0.67*BA50)/Speed!BN131)</f>
        <v>377.44648437998529</v>
      </c>
      <c r="CB50" s="424">
        <f>((0.33*BB50)/Speed!AO131)+((0.67*BB50)/Speed!BO131)</f>
        <v>383.29396748283585</v>
      </c>
      <c r="CC50" s="424">
        <f>((0.33*BC50)/Speed!AP131)+((0.67*BC50)/Speed!BP131)</f>
        <v>389.17073199662707</v>
      </c>
      <c r="CD50" s="424">
        <f>((0.33*BD50)/Speed!AQ131)+((0.67*BD50)/Speed!BQ131)</f>
        <v>395.08385349872356</v>
      </c>
      <c r="CE50" s="424">
        <f>((0.33*BE50)/Speed!AR131)+((0.67*BE50)/Speed!BR131)</f>
        <v>401.03543987785133</v>
      </c>
      <c r="CF50" s="424">
        <f>((0.33*BF50)/Speed!AS131)+((0.67*BF50)/Speed!BS131)</f>
        <v>407.03232562016376</v>
      </c>
      <c r="CG50" s="424">
        <f>((0.33*BG50)/Speed!AT131)+((0.67*BG50)/Speed!BT131)</f>
        <v>413.08204295499274</v>
      </c>
      <c r="CH50" s="424">
        <f>((0.33*BH50)/Speed!AU131)+((0.67*BH50)/Speed!BU131)</f>
        <v>419.18860737837679</v>
      </c>
      <c r="CI50" s="424">
        <f>((0.33*BI50)/Speed!AV131)+((0.67*BI50)/Speed!BV131)</f>
        <v>425.36105801111034</v>
      </c>
      <c r="CJ50" s="432">
        <f>((0.33*BJ50)/Speed!AW131)+((0.67*BJ50)/Speed!BW131)</f>
        <v>431.60937262920288</v>
      </c>
      <c r="CK50" s="1426"/>
      <c r="CL50" s="1426"/>
      <c r="CM50" s="1429"/>
      <c r="CN50" s="1432"/>
      <c r="CO50" s="12"/>
      <c r="CP50" s="12"/>
      <c r="CQ50" s="12"/>
      <c r="CR50" s="12"/>
      <c r="CS50" s="12"/>
      <c r="CT50" s="12"/>
      <c r="CU50" s="12"/>
      <c r="CV50" s="12"/>
      <c r="CW50" s="12"/>
      <c r="CX50" s="12"/>
      <c r="CY50" s="12"/>
      <c r="CZ50" s="12"/>
    </row>
    <row r="51" spans="2:104" customFormat="1" ht="21.95" customHeight="1" x14ac:dyDescent="0.2">
      <c r="B51" s="927"/>
      <c r="C51" s="1413"/>
      <c r="D51" s="289" t="s">
        <v>344</v>
      </c>
      <c r="E51" s="289" t="s">
        <v>345</v>
      </c>
      <c r="F51" s="289" t="s">
        <v>366</v>
      </c>
      <c r="G51" s="290">
        <v>55</v>
      </c>
      <c r="H51" s="291">
        <v>0.25</v>
      </c>
      <c r="I51" s="290">
        <v>4</v>
      </c>
      <c r="J51" s="342">
        <v>26000</v>
      </c>
      <c r="K51" s="290">
        <f t="shared" si="169"/>
        <v>26052</v>
      </c>
      <c r="L51" s="290">
        <f t="shared" si="169"/>
        <v>26104</v>
      </c>
      <c r="M51" s="290">
        <f t="shared" si="169"/>
        <v>26156</v>
      </c>
      <c r="N51" s="290">
        <f t="shared" si="169"/>
        <v>26208</v>
      </c>
      <c r="O51" s="290">
        <f t="shared" si="169"/>
        <v>26260</v>
      </c>
      <c r="P51" s="290">
        <f t="shared" si="169"/>
        <v>26312</v>
      </c>
      <c r="Q51" s="290">
        <f t="shared" si="169"/>
        <v>26364</v>
      </c>
      <c r="R51" s="290">
        <f t="shared" si="169"/>
        <v>26416</v>
      </c>
      <c r="S51" s="290">
        <v>26416</v>
      </c>
      <c r="T51" s="290">
        <f>T49*1.16</f>
        <v>26540.672399999996</v>
      </c>
      <c r="U51" s="290">
        <f>U49*1.15</f>
        <v>26981.518499999991</v>
      </c>
      <c r="V51" s="290">
        <f>V49*1.14</f>
        <v>27411.128999999994</v>
      </c>
      <c r="W51" s="290">
        <f>W49*1.13</f>
        <v>27701.452799999995</v>
      </c>
      <c r="X51" s="290">
        <f>X49*1.12</f>
        <v>27888.235199999999</v>
      </c>
      <c r="Y51" s="290">
        <f t="shared" ref="Y51:AI51" si="199">Y49*1.12</f>
        <v>28320.163199999995</v>
      </c>
      <c r="Z51" s="290">
        <f t="shared" si="199"/>
        <v>28752.091199999995</v>
      </c>
      <c r="AA51" s="290">
        <f t="shared" si="199"/>
        <v>29184.12</v>
      </c>
      <c r="AB51" s="290">
        <f t="shared" si="199"/>
        <v>29616.047999999995</v>
      </c>
      <c r="AC51" s="290">
        <f t="shared" si="199"/>
        <v>30048.076799999999</v>
      </c>
      <c r="AD51" s="290">
        <f t="shared" si="199"/>
        <v>30480.004799999999</v>
      </c>
      <c r="AE51" s="290">
        <f t="shared" si="199"/>
        <v>30911.932799999999</v>
      </c>
      <c r="AF51" s="290">
        <f t="shared" si="199"/>
        <v>31343.961599999999</v>
      </c>
      <c r="AG51" s="290">
        <f t="shared" si="199"/>
        <v>31775.889599999991</v>
      </c>
      <c r="AH51" s="290">
        <f t="shared" si="199"/>
        <v>32207.817599999998</v>
      </c>
      <c r="AI51" s="343">
        <f t="shared" si="199"/>
        <v>32639.846399999999</v>
      </c>
      <c r="AJ51" s="293">
        <f t="shared" si="143"/>
        <v>1.0215148307692306E-2</v>
      </c>
      <c r="AK51" s="342">
        <f t="shared" si="173"/>
        <v>6500</v>
      </c>
      <c r="AL51" s="290">
        <f t="shared" si="174"/>
        <v>6513</v>
      </c>
      <c r="AM51" s="290">
        <f t="shared" si="175"/>
        <v>6526</v>
      </c>
      <c r="AN51" s="290">
        <f t="shared" si="176"/>
        <v>6539</v>
      </c>
      <c r="AO51" s="290">
        <f t="shared" si="177"/>
        <v>6552</v>
      </c>
      <c r="AP51" s="290">
        <f t="shared" si="178"/>
        <v>6565</v>
      </c>
      <c r="AQ51" s="290">
        <f t="shared" si="179"/>
        <v>6578</v>
      </c>
      <c r="AR51" s="290">
        <f t="shared" si="180"/>
        <v>6591</v>
      </c>
      <c r="AS51" s="290">
        <f t="shared" si="181"/>
        <v>6604</v>
      </c>
      <c r="AT51" s="290">
        <f t="shared" si="182"/>
        <v>6604</v>
      </c>
      <c r="AU51" s="290">
        <f t="shared" si="183"/>
        <v>6635.168099999999</v>
      </c>
      <c r="AV51" s="290">
        <f t="shared" si="184"/>
        <v>6745.3796249999978</v>
      </c>
      <c r="AW51" s="290">
        <f t="shared" si="185"/>
        <v>6852.7822499999984</v>
      </c>
      <c r="AX51" s="290">
        <f t="shared" si="186"/>
        <v>6925.3631999999989</v>
      </c>
      <c r="AY51" s="290">
        <f t="shared" si="187"/>
        <v>6972.0587999999998</v>
      </c>
      <c r="AZ51" s="290">
        <f t="shared" si="188"/>
        <v>7080.0407999999989</v>
      </c>
      <c r="BA51" s="290">
        <f t="shared" si="189"/>
        <v>7188.0227999999988</v>
      </c>
      <c r="BB51" s="290">
        <f t="shared" si="190"/>
        <v>7296.03</v>
      </c>
      <c r="BC51" s="290">
        <f t="shared" si="191"/>
        <v>7404.0119999999988</v>
      </c>
      <c r="BD51" s="290">
        <f t="shared" si="192"/>
        <v>7512.0191999999997</v>
      </c>
      <c r="BE51" s="290">
        <f t="shared" si="193"/>
        <v>7620.0011999999997</v>
      </c>
      <c r="BF51" s="290">
        <f t="shared" si="194"/>
        <v>7727.9831999999997</v>
      </c>
      <c r="BG51" s="290">
        <f t="shared" si="195"/>
        <v>7835.9903999999997</v>
      </c>
      <c r="BH51" s="290">
        <f t="shared" si="196"/>
        <v>7943.9723999999978</v>
      </c>
      <c r="BI51" s="290">
        <f t="shared" si="197"/>
        <v>8051.9543999999996</v>
      </c>
      <c r="BJ51" s="343">
        <f t="shared" si="198"/>
        <v>8159.9615999999996</v>
      </c>
      <c r="BK51" s="423">
        <f>((0.33*'Traffic Data'!AK51)/Speed!X132)+((0.67*'Traffic Data'!AK51)/Speed!AX132)</f>
        <v>114.88519207754152</v>
      </c>
      <c r="BL51" s="424">
        <f>((0.33*AL51)/Speed!Y132)+((0.67*AL51)/Speed!AY132)</f>
        <v>115.11585628503454</v>
      </c>
      <c r="BM51" s="424">
        <f>((0.33*AM51)/Speed!Z132)+((0.67*AM51)/Speed!AZ132)</f>
        <v>115.3465403082061</v>
      </c>
      <c r="BN51" s="424">
        <f>((0.33*AN51)/Speed!AA132)+((0.67*AN51)/Speed!BA132)</f>
        <v>115.57724449250955</v>
      </c>
      <c r="BO51" s="424">
        <f>((0.33*AO51)/Speed!AB132)+((0.67*AO51)/Speed!BB132)</f>
        <v>115.80796920229105</v>
      </c>
      <c r="BP51" s="424">
        <f>((0.33*AP51)/Speed!AC132)+((0.67*AP51)/Speed!BC132)</f>
        <v>116.03871480773783</v>
      </c>
      <c r="BQ51" s="424">
        <f>((0.33*AQ51)/Speed!AD132)+((0.67*AQ51)/Speed!BD132)</f>
        <v>116.26948168495994</v>
      </c>
      <c r="BR51" s="424">
        <f>((0.33*AR51)/Speed!AE132)+((0.67*AR51)/Speed!BE132)</f>
        <v>116.50027021607305</v>
      </c>
      <c r="BS51" s="424">
        <f>((0.33*AS51)/Speed!AF132)+((0.67*AS51)/Speed!BF132)</f>
        <v>116.7310807892821</v>
      </c>
      <c r="BT51" s="424">
        <f>((0.33*AT51)/Speed!AG132)+((0.67*AT51)/Speed!BG132)</f>
        <v>116.73108080467595</v>
      </c>
      <c r="BU51" s="424">
        <f>((0.33*AU51)/Speed!AH132)+((0.67*AU51)/Speed!BH132)</f>
        <v>117.2845519118377</v>
      </c>
      <c r="BV51" s="424">
        <f>((0.33*AV51)/Speed!AI132)+((0.67*AV51)/Speed!BI132)</f>
        <v>119.24276479821437</v>
      </c>
      <c r="BW51" s="424">
        <f>((0.33*AW51)/Speed!AJ132)+((0.67*AW51)/Speed!BJ132)</f>
        <v>121.15294772992837</v>
      </c>
      <c r="BX51" s="424">
        <f>((0.33*AX51)/Speed!AK132)+((0.67*AX51)/Speed!BK132)</f>
        <v>122.44501087417042</v>
      </c>
      <c r="BY51" s="424">
        <f>((0.33*AY51)/Speed!AL132)+((0.67*AY51)/Speed!BL132)</f>
        <v>123.27683213002942</v>
      </c>
      <c r="BZ51" s="424">
        <f>((0.33*AZ51)/Speed!AM132)+((0.67*AZ51)/Speed!BM132)</f>
        <v>125.2022464318467</v>
      </c>
      <c r="CA51" s="424">
        <f>((0.33*BA51)/Speed!AN132)+((0.67*BA51)/Speed!BN132)</f>
        <v>127.13056102163954</v>
      </c>
      <c r="CB51" s="424">
        <f>((0.33*BB51)/Speed!AO132)+((0.67*BB51)/Speed!BO132)</f>
        <v>129.06265012308046</v>
      </c>
      <c r="CC51" s="424">
        <f>((0.33*BC51)/Speed!AP132)+((0.67*BC51)/Speed!BP132)</f>
        <v>130.9980893888079</v>
      </c>
      <c r="CD51" s="424">
        <f>((0.33*BD51)/Speed!AQ132)+((0.67*BD51)/Speed!BQ132)</f>
        <v>132.93831954550615</v>
      </c>
      <c r="CE51" s="424">
        <f>((0.33*BE51)/Speed!AR132)+((0.67*BE51)/Speed!BR132)</f>
        <v>134.88303888124076</v>
      </c>
      <c r="CF51" s="424">
        <f>((0.33*BF51)/Speed!AS132)+((0.67*BF51)/Speed!BS132)</f>
        <v>136.8333766449542</v>
      </c>
      <c r="CG51" s="424">
        <f>((0.33*BG51)/Speed!AT132)+((0.67*BG51)/Speed!BT132)</f>
        <v>138.79054862587375</v>
      </c>
      <c r="CH51" s="424">
        <f>((0.33*BH51)/Speed!AU132)+((0.67*BH51)/Speed!BU132)</f>
        <v>140.75448971040868</v>
      </c>
      <c r="CI51" s="424">
        <f>((0.33*BI51)/Speed!AV132)+((0.67*BI51)/Speed!BV132)</f>
        <v>142.72660258580345</v>
      </c>
      <c r="CJ51" s="432">
        <f>((0.33*BJ51)/Speed!AW132)+((0.67*BJ51)/Speed!BW132)</f>
        <v>144.70840635963043</v>
      </c>
      <c r="CK51" s="1426"/>
      <c r="CL51" s="1426"/>
      <c r="CM51" s="1429"/>
      <c r="CN51" s="1432"/>
      <c r="CO51" s="12"/>
      <c r="CP51" s="12"/>
      <c r="CQ51" s="12"/>
      <c r="CR51" s="12"/>
      <c r="CS51" s="12"/>
      <c r="CT51" s="12"/>
      <c r="CU51" s="12"/>
      <c r="CV51" s="12"/>
      <c r="CW51" s="12"/>
      <c r="CX51" s="12"/>
      <c r="CY51" s="12"/>
      <c r="CZ51" s="12"/>
    </row>
    <row r="52" spans="2:104" customFormat="1" ht="21.95" customHeight="1" x14ac:dyDescent="0.2">
      <c r="B52" s="927"/>
      <c r="C52" s="1413"/>
      <c r="D52" s="289" t="s">
        <v>345</v>
      </c>
      <c r="E52" s="289" t="s">
        <v>323</v>
      </c>
      <c r="F52" s="289" t="s">
        <v>366</v>
      </c>
      <c r="G52" s="290">
        <v>65</v>
      </c>
      <c r="H52" s="291">
        <v>2.8</v>
      </c>
      <c r="I52" s="290">
        <v>4</v>
      </c>
      <c r="J52" s="342">
        <f>'Trip Gen'!W108</f>
        <v>28000</v>
      </c>
      <c r="K52" s="332">
        <f>'Trip Gen'!X108</f>
        <v>28642.75</v>
      </c>
      <c r="L52" s="332">
        <f>'Trip Gen'!Y108</f>
        <v>29582.9</v>
      </c>
      <c r="M52" s="332">
        <f>'Trip Gen'!Z108</f>
        <v>30710.400000000001</v>
      </c>
      <c r="N52" s="332">
        <f>'Trip Gen'!AA108</f>
        <v>31838.2</v>
      </c>
      <c r="O52" s="332">
        <f>'Trip Gen'!AB108</f>
        <v>32966.100000000013</v>
      </c>
      <c r="P52" s="332">
        <f>'Trip Gen'!AC108</f>
        <v>34093.600000000006</v>
      </c>
      <c r="Q52" s="332">
        <f>'Trip Gen'!AD108</f>
        <v>35221.700000000004</v>
      </c>
      <c r="R52" s="332">
        <f>'Trip Gen'!AE108</f>
        <v>36192.199999999997</v>
      </c>
      <c r="S52" s="332">
        <f>'Trip Gen'!AF108</f>
        <v>37162.65</v>
      </c>
      <c r="T52" s="332">
        <f>'Trip Gen'!AG108</f>
        <v>38133.15</v>
      </c>
      <c r="U52" s="332">
        <f>'Trip Gen'!AH108</f>
        <v>39103.649999999994</v>
      </c>
      <c r="V52" s="332">
        <f>'Trip Gen'!AI108</f>
        <v>40074.749999999993</v>
      </c>
      <c r="W52" s="332">
        <f>'Trip Gen'!AJ108</f>
        <v>40857.599999999999</v>
      </c>
      <c r="X52" s="332">
        <f>'Trip Gen'!AK108</f>
        <v>41500.349999999991</v>
      </c>
      <c r="Y52" s="332">
        <f>'Trip Gen'!AL108</f>
        <v>42143.099999999991</v>
      </c>
      <c r="Z52" s="332">
        <f>'Trip Gen'!AM108</f>
        <v>42785.849999999991</v>
      </c>
      <c r="AA52" s="332">
        <f>'Trip Gen'!AN108</f>
        <v>43428.749999999993</v>
      </c>
      <c r="AB52" s="332">
        <f>'Trip Gen'!AO108</f>
        <v>44071.499999999993</v>
      </c>
      <c r="AC52" s="332">
        <f>'Trip Gen'!AP108</f>
        <v>44714.399999999994</v>
      </c>
      <c r="AD52" s="332">
        <f>'Trip Gen'!AQ108</f>
        <v>45357.149999999994</v>
      </c>
      <c r="AE52" s="332">
        <f>'Trip Gen'!AR108</f>
        <v>45999.899999999994</v>
      </c>
      <c r="AF52" s="332">
        <f>'Trip Gen'!AS108</f>
        <v>46642.799999999996</v>
      </c>
      <c r="AG52" s="332">
        <f>'Trip Gen'!AT108</f>
        <v>47285.549999999988</v>
      </c>
      <c r="AH52" s="332">
        <f>'Trip Gen'!AU108</f>
        <v>47928.299999999996</v>
      </c>
      <c r="AI52" s="333">
        <f>'Trip Gen'!AV108</f>
        <v>48571.199999999997</v>
      </c>
      <c r="AJ52" s="293">
        <f t="shared" si="143"/>
        <v>2.9387428571428568E-2</v>
      </c>
      <c r="AK52" s="342">
        <f t="shared" si="173"/>
        <v>78400</v>
      </c>
      <c r="AL52" s="290">
        <f t="shared" si="174"/>
        <v>80199.7</v>
      </c>
      <c r="AM52" s="290">
        <f t="shared" si="175"/>
        <v>82832.12</v>
      </c>
      <c r="AN52" s="290">
        <f t="shared" si="176"/>
        <v>85989.119999999995</v>
      </c>
      <c r="AO52" s="290">
        <f t="shared" si="177"/>
        <v>89146.959999999992</v>
      </c>
      <c r="AP52" s="290">
        <f t="shared" si="178"/>
        <v>92305.080000000031</v>
      </c>
      <c r="AQ52" s="290">
        <f t="shared" si="179"/>
        <v>95462.080000000016</v>
      </c>
      <c r="AR52" s="290">
        <f t="shared" si="180"/>
        <v>98620.760000000009</v>
      </c>
      <c r="AS52" s="290">
        <f t="shared" si="181"/>
        <v>101338.15999999999</v>
      </c>
      <c r="AT52" s="290">
        <f t="shared" si="182"/>
        <v>104055.42</v>
      </c>
      <c r="AU52" s="290">
        <f t="shared" si="183"/>
        <v>106772.81999999999</v>
      </c>
      <c r="AV52" s="290">
        <f t="shared" si="184"/>
        <v>109490.21999999997</v>
      </c>
      <c r="AW52" s="290">
        <f t="shared" si="185"/>
        <v>112209.29999999997</v>
      </c>
      <c r="AX52" s="290">
        <f t="shared" si="186"/>
        <v>114401.27999999998</v>
      </c>
      <c r="AY52" s="290">
        <f t="shared" si="187"/>
        <v>116200.97999999997</v>
      </c>
      <c r="AZ52" s="290">
        <f t="shared" si="188"/>
        <v>118000.67999999996</v>
      </c>
      <c r="BA52" s="290">
        <f t="shared" si="189"/>
        <v>119800.37999999996</v>
      </c>
      <c r="BB52" s="290">
        <f t="shared" si="190"/>
        <v>121600.49999999997</v>
      </c>
      <c r="BC52" s="290">
        <f t="shared" si="191"/>
        <v>123400.19999999997</v>
      </c>
      <c r="BD52" s="290">
        <f t="shared" si="192"/>
        <v>125200.31999999998</v>
      </c>
      <c r="BE52" s="290">
        <f t="shared" si="193"/>
        <v>127000.01999999997</v>
      </c>
      <c r="BF52" s="290">
        <f t="shared" si="194"/>
        <v>128799.71999999997</v>
      </c>
      <c r="BG52" s="290">
        <f t="shared" si="195"/>
        <v>130599.83999999998</v>
      </c>
      <c r="BH52" s="290">
        <f t="shared" si="196"/>
        <v>132399.53999999995</v>
      </c>
      <c r="BI52" s="290">
        <f t="shared" si="197"/>
        <v>134199.24</v>
      </c>
      <c r="BJ52" s="343">
        <f t="shared" si="198"/>
        <v>135999.35999999999</v>
      </c>
      <c r="BK52" s="423">
        <f>((0.33*'Traffic Data'!AK52)/Speed!X133)+((0.67*'Traffic Data'!AK52)/Speed!AX133)</f>
        <v>1134.9564903201647</v>
      </c>
      <c r="BL52" s="424">
        <f>((0.33*AL52)/Speed!Y133)+((0.67*AL52)/Speed!AY133)</f>
        <v>1161.1059748820933</v>
      </c>
      <c r="BM52" s="424">
        <f>((0.33*AM52)/Speed!Z133)+((0.67*AM52)/Speed!AZ133)</f>
        <v>1199.403772545772</v>
      </c>
      <c r="BN52" s="424">
        <f>((0.33*AN52)/Speed!AA133)+((0.67*AN52)/Speed!BA133)</f>
        <v>1245.4350442957102</v>
      </c>
      <c r="BO52" s="424">
        <f>((0.33*AO52)/Speed!AB133)+((0.67*AO52)/Speed!BB133)</f>
        <v>1291.6310039145421</v>
      </c>
      <c r="BP52" s="424">
        <f>((0.33*AP52)/Speed!AC133)+((0.67*AP52)/Speed!BC133)</f>
        <v>1338.041888365884</v>
      </c>
      <c r="BQ52" s="424">
        <f>((0.33*AQ52)/Speed!AD133)+((0.67*AQ52)/Speed!BD133)</f>
        <v>1384.724417954603</v>
      </c>
      <c r="BR52" s="424">
        <f>((0.33*AR52)/Speed!AE133)+((0.67*AR52)/Speed!BE133)</f>
        <v>1431.821829209704</v>
      </c>
      <c r="BS52" s="424">
        <f>((0.33*AS52)/Speed!AF133)+((0.67*AS52)/Speed!BF133)</f>
        <v>1472.7519075308414</v>
      </c>
      <c r="BT52" s="424">
        <f>((0.33*AT52)/Speed!AG133)+((0.67*AT52)/Speed!BG133)</f>
        <v>1514.1730101474132</v>
      </c>
      <c r="BU52" s="424">
        <f>((0.33*AU52)/Speed!AH133)+((0.67*AU52)/Speed!BH133)</f>
        <v>1556.2218817822077</v>
      </c>
      <c r="BV52" s="424">
        <f>((0.33*AV52)/Speed!AI133)+((0.67*AV52)/Speed!BI133)</f>
        <v>1599.0596234698478</v>
      </c>
      <c r="BW52" s="424">
        <f>((0.33*AW52)/Speed!AJ133)+((0.67*AW52)/Speed!BJ133)</f>
        <v>1642.9137188612522</v>
      </c>
      <c r="BX52" s="424">
        <f>((0.33*AX52)/Speed!AK133)+((0.67*AX52)/Speed!BK133)</f>
        <v>1679.152204164435</v>
      </c>
      <c r="BY52" s="424">
        <f>((0.33*AY52)/Speed!AL133)+((0.67*AY52)/Speed!BL133)</f>
        <v>1709.6107346445513</v>
      </c>
      <c r="BZ52" s="424">
        <f>((0.33*AZ52)/Speed!AM133)+((0.67*AZ52)/Speed!BM133)</f>
        <v>1740.8084845998801</v>
      </c>
      <c r="CA52" s="424">
        <f>((0.33*BA52)/Speed!AN133)+((0.67*BA52)/Speed!BN133)</f>
        <v>1772.8550886558439</v>
      </c>
      <c r="CB52" s="424">
        <f>((0.33*BB52)/Speed!AO133)+((0.67*BB52)/Speed!BO133)</f>
        <v>1805.8822208783208</v>
      </c>
      <c r="CC52" s="424">
        <f>((0.33*BC52)/Speed!AP133)+((0.67*BC52)/Speed!BP133)</f>
        <v>1840.0141516413366</v>
      </c>
      <c r="CD52" s="424">
        <f>((0.33*BD52)/Speed!AQ133)+((0.67*BD52)/Speed!BQ133)</f>
        <v>1875.4240953920089</v>
      </c>
      <c r="CE52" s="424">
        <f>((0.33*BE52)/Speed!AR133)+((0.67*BE52)/Speed!BR133)</f>
        <v>1912.2722167588981</v>
      </c>
      <c r="CF52" s="424">
        <f>((0.33*BF52)/Speed!AS133)+((0.67*BF52)/Speed!BS133)</f>
        <v>1950.7647999965243</v>
      </c>
      <c r="CG52" s="424">
        <f>((0.33*BG52)/Speed!AT133)+((0.67*BG52)/Speed!BT133)</f>
        <v>1991.133458899887</v>
      </c>
      <c r="CH52" s="424">
        <f>((0.33*BH52)/Speed!AU133)+((0.67*BH52)/Speed!BU133)</f>
        <v>2033.6076082429872</v>
      </c>
      <c r="CI52" s="424">
        <f>((0.33*BI52)/Speed!AV133)+((0.67*BI52)/Speed!BV133)</f>
        <v>2078.4735651406654</v>
      </c>
      <c r="CJ52" s="432">
        <f>((0.33*BJ52)/Speed!AW133)+((0.67*BJ52)/Speed!BW133)</f>
        <v>2126.0517218603254</v>
      </c>
      <c r="CK52" s="1426"/>
      <c r="CL52" s="1426"/>
      <c r="CM52" s="1429"/>
      <c r="CN52" s="1432"/>
      <c r="CO52" s="12"/>
      <c r="CP52" s="12"/>
      <c r="CQ52" s="12"/>
      <c r="CR52" s="12"/>
      <c r="CS52" s="12"/>
      <c r="CT52" s="12"/>
      <c r="CU52" s="12"/>
      <c r="CV52" s="12"/>
      <c r="CW52" s="12"/>
      <c r="CX52" s="12"/>
      <c r="CY52" s="12"/>
      <c r="CZ52" s="12"/>
    </row>
    <row r="53" spans="2:104" customFormat="1" ht="21.95" customHeight="1" x14ac:dyDescent="0.2">
      <c r="B53" s="927"/>
      <c r="C53" s="1413"/>
      <c r="D53" s="289" t="s">
        <v>323</v>
      </c>
      <c r="E53" s="289" t="s">
        <v>347</v>
      </c>
      <c r="F53" s="289" t="s">
        <v>365</v>
      </c>
      <c r="G53" s="290">
        <v>65</v>
      </c>
      <c r="H53" s="291">
        <v>0.5</v>
      </c>
      <c r="I53" s="290">
        <v>4</v>
      </c>
      <c r="J53" s="342">
        <f>'Trip Gen'!W109</f>
        <v>28000</v>
      </c>
      <c r="K53" s="332">
        <f>'Trip Gen'!X109</f>
        <v>28618.7</v>
      </c>
      <c r="L53" s="332">
        <f>'Trip Gen'!Y109</f>
        <v>29534.75</v>
      </c>
      <c r="M53" s="332">
        <f>'Trip Gen'!Z109</f>
        <v>30697.3</v>
      </c>
      <c r="N53" s="332">
        <f>'Trip Gen'!AA109</f>
        <v>31860.200000000004</v>
      </c>
      <c r="O53" s="332">
        <f>'Trip Gen'!AB109</f>
        <v>33023.03</v>
      </c>
      <c r="P53" s="332">
        <f>'Trip Gen'!AC109</f>
        <v>34185.579999999994</v>
      </c>
      <c r="Q53" s="332">
        <f>'Trip Gen'!AD109</f>
        <v>35348.759999999995</v>
      </c>
      <c r="R53" s="332">
        <f>'Trip Gen'!AE109</f>
        <v>36382.36</v>
      </c>
      <c r="S53" s="332">
        <f>'Trip Gen'!AF109</f>
        <v>37416.06</v>
      </c>
      <c r="T53" s="332">
        <f>'Trip Gen'!AG109</f>
        <v>38449.659999999996</v>
      </c>
      <c r="U53" s="332">
        <f>'Trip Gen'!AH109</f>
        <v>39483.26</v>
      </c>
      <c r="V53" s="332">
        <f>'Trip Gen'!AI109</f>
        <v>40517.339999999997</v>
      </c>
      <c r="W53" s="332">
        <f>'Trip Gen'!AJ109</f>
        <v>41304.159999999996</v>
      </c>
      <c r="X53" s="332">
        <f>'Trip Gen'!AK109</f>
        <v>41922.86</v>
      </c>
      <c r="Y53" s="332">
        <f>'Trip Gen'!AL109</f>
        <v>42541.560000000005</v>
      </c>
      <c r="Z53" s="332">
        <f>'Trip Gen'!AM109</f>
        <v>43160.260000000009</v>
      </c>
      <c r="AA53" s="332">
        <f>'Trip Gen'!AN109</f>
        <v>43779.060000000005</v>
      </c>
      <c r="AB53" s="332">
        <f>'Trip Gen'!AO109</f>
        <v>44397.759999999995</v>
      </c>
      <c r="AC53" s="332">
        <f>'Trip Gen'!AP109</f>
        <v>45016.560000000005</v>
      </c>
      <c r="AD53" s="332">
        <f>'Trip Gen'!AQ109</f>
        <v>45635.260000000009</v>
      </c>
      <c r="AE53" s="332">
        <f>'Trip Gen'!AR109</f>
        <v>46253.960000000006</v>
      </c>
      <c r="AF53" s="332">
        <f>'Trip Gen'!AS109</f>
        <v>46872.76</v>
      </c>
      <c r="AG53" s="332">
        <f>'Trip Gen'!AT109</f>
        <v>47491.460000000014</v>
      </c>
      <c r="AH53" s="332">
        <f>'Trip Gen'!AU109</f>
        <v>48110.160000000011</v>
      </c>
      <c r="AI53" s="333">
        <f>'Trip Gen'!AV109</f>
        <v>48728.960000000006</v>
      </c>
      <c r="AJ53" s="293">
        <f t="shared" si="143"/>
        <v>2.9612800000000009E-2</v>
      </c>
      <c r="AK53" s="342">
        <f t="shared" si="173"/>
        <v>14000</v>
      </c>
      <c r="AL53" s="290">
        <f t="shared" si="174"/>
        <v>14309.35</v>
      </c>
      <c r="AM53" s="290">
        <f t="shared" si="175"/>
        <v>14767.375</v>
      </c>
      <c r="AN53" s="290">
        <f t="shared" si="176"/>
        <v>15348.65</v>
      </c>
      <c r="AO53" s="290">
        <f t="shared" si="177"/>
        <v>15930.100000000002</v>
      </c>
      <c r="AP53" s="290">
        <f t="shared" si="178"/>
        <v>16511.514999999999</v>
      </c>
      <c r="AQ53" s="290">
        <f t="shared" si="179"/>
        <v>17092.789999999997</v>
      </c>
      <c r="AR53" s="290">
        <f t="shared" si="180"/>
        <v>17674.379999999997</v>
      </c>
      <c r="AS53" s="290">
        <f t="shared" si="181"/>
        <v>18191.18</v>
      </c>
      <c r="AT53" s="290">
        <f t="shared" si="182"/>
        <v>18708.03</v>
      </c>
      <c r="AU53" s="290">
        <f t="shared" si="183"/>
        <v>19224.829999999998</v>
      </c>
      <c r="AV53" s="290">
        <f t="shared" si="184"/>
        <v>19741.63</v>
      </c>
      <c r="AW53" s="290">
        <f t="shared" si="185"/>
        <v>20258.669999999998</v>
      </c>
      <c r="AX53" s="290">
        <f t="shared" si="186"/>
        <v>20652.079999999998</v>
      </c>
      <c r="AY53" s="290">
        <f t="shared" si="187"/>
        <v>20961.43</v>
      </c>
      <c r="AZ53" s="290">
        <f t="shared" si="188"/>
        <v>21270.780000000002</v>
      </c>
      <c r="BA53" s="290">
        <f t="shared" si="189"/>
        <v>21580.130000000005</v>
      </c>
      <c r="BB53" s="290">
        <f t="shared" si="190"/>
        <v>21889.530000000002</v>
      </c>
      <c r="BC53" s="290">
        <f t="shared" si="191"/>
        <v>22198.879999999997</v>
      </c>
      <c r="BD53" s="290">
        <f t="shared" si="192"/>
        <v>22508.280000000002</v>
      </c>
      <c r="BE53" s="290">
        <f t="shared" si="193"/>
        <v>22817.630000000005</v>
      </c>
      <c r="BF53" s="290">
        <f t="shared" si="194"/>
        <v>23126.980000000003</v>
      </c>
      <c r="BG53" s="290">
        <f t="shared" si="195"/>
        <v>23436.38</v>
      </c>
      <c r="BH53" s="290">
        <f t="shared" si="196"/>
        <v>23745.730000000007</v>
      </c>
      <c r="BI53" s="290">
        <f t="shared" si="197"/>
        <v>24055.080000000005</v>
      </c>
      <c r="BJ53" s="343">
        <f t="shared" si="198"/>
        <v>24364.480000000003</v>
      </c>
      <c r="BK53" s="423">
        <f>((0.33*'Traffic Data'!AK53)/Speed!X134)+((0.67*'Traffic Data'!AK53)/Speed!AX134)</f>
        <v>202.67080184288653</v>
      </c>
      <c r="BL53" s="424">
        <f>((0.33*AL53)/Speed!Y134)+((0.67*AL53)/Speed!AY134)</f>
        <v>207.16555173290146</v>
      </c>
      <c r="BM53" s="424">
        <f>((0.33*AM53)/Speed!Z134)+((0.67*AM53)/Speed!AZ134)</f>
        <v>213.82869466595818</v>
      </c>
      <c r="BN53" s="424">
        <f>((0.33*AN53)/Speed!AA134)+((0.67*AN53)/Speed!BA134)</f>
        <v>222.30347252646754</v>
      </c>
      <c r="BO53" s="424">
        <f>((0.33*AO53)/Speed!AB134)+((0.67*AO53)/Speed!BB134)</f>
        <v>230.80964764896754</v>
      </c>
      <c r="BP53" s="424">
        <f>((0.33*AP53)/Speed!AC134)+((0.67*AP53)/Speed!BC134)</f>
        <v>239.35559718109712</v>
      </c>
      <c r="BQ53" s="424">
        <f>((0.33*AQ53)/Speed!AD134)+((0.67*AQ53)/Speed!BD134)</f>
        <v>247.95506096363607</v>
      </c>
      <c r="BR53" s="424">
        <f>((0.33*AR53)/Speed!AE134)+((0.67*AR53)/Speed!BE134)</f>
        <v>256.63507972682339</v>
      </c>
      <c r="BS53" s="424">
        <f>((0.33*AS53)/Speed!AF134)+((0.67*AS53)/Speed!BF134)</f>
        <v>264.43317323622671</v>
      </c>
      <c r="BT53" s="424">
        <f>((0.33*AT53)/Speed!AG134)+((0.67*AT53)/Speed!BG134)</f>
        <v>272.33680752023128</v>
      </c>
      <c r="BU53" s="424">
        <f>((0.33*AU53)/Speed!AH134)+((0.67*AU53)/Speed!BH134)</f>
        <v>280.37446400426154</v>
      </c>
      <c r="BV53" s="424">
        <f>((0.33*AV53)/Speed!AI134)+((0.67*AV53)/Speed!BI134)</f>
        <v>288.58432102176766</v>
      </c>
      <c r="BW53" s="424">
        <f>((0.33*AW53)/Speed!AJ134)+((0.67*AW53)/Speed!BJ134)</f>
        <v>297.01673714218327</v>
      </c>
      <c r="BX53" s="424">
        <f>((0.33*AX53)/Speed!AK134)+((0.67*AX53)/Speed!BK134)</f>
        <v>303.61429090379204</v>
      </c>
      <c r="BY53" s="424">
        <f>((0.33*AY53)/Speed!AL134)+((0.67*AY53)/Speed!BL134)</f>
        <v>308.93369709733469</v>
      </c>
      <c r="BZ53" s="424">
        <f>((0.33*AZ53)/Speed!AM134)+((0.67*AZ53)/Speed!BM134)</f>
        <v>314.3870692081901</v>
      </c>
      <c r="CA53" s="424">
        <f>((0.33*BA53)/Speed!AN134)+((0.67*BA53)/Speed!BN134)</f>
        <v>319.99328538096046</v>
      </c>
      <c r="CB53" s="424">
        <f>((0.33*BB53)/Speed!AO134)+((0.67*BB53)/Speed!BO134)</f>
        <v>325.77449897607886</v>
      </c>
      <c r="CC53" s="424">
        <f>((0.33*BC53)/Speed!AP134)+((0.67*BC53)/Speed!BP134)</f>
        <v>331.75262431957071</v>
      </c>
      <c r="CD53" s="424">
        <f>((0.33*BD53)/Speed!AQ134)+((0.67*BD53)/Speed!BQ134)</f>
        <v>337.95622845455887</v>
      </c>
      <c r="CE53" s="424">
        <f>((0.33*BE53)/Speed!AR134)+((0.67*BE53)/Speed!BR134)</f>
        <v>344.41307484622723</v>
      </c>
      <c r="CF53" s="424">
        <f>((0.33*BF53)/Speed!AS134)+((0.67*BF53)/Speed!BS134)</f>
        <v>351.15737005397102</v>
      </c>
      <c r="CG53" s="424">
        <f>((0.33*BG53)/Speed!AT134)+((0.67*BG53)/Speed!BT134)</f>
        <v>358.2273127323266</v>
      </c>
      <c r="CH53" s="424">
        <f>((0.33*BH53)/Speed!AU134)+((0.67*BH53)/Speed!BU134)</f>
        <v>365.66183227517456</v>
      </c>
      <c r="CI53" s="424">
        <f>((0.33*BI53)/Speed!AV134)+((0.67*BI53)/Speed!BV134)</f>
        <v>373.50784134723625</v>
      </c>
      <c r="CJ53" s="432">
        <f>((0.33*BJ53)/Speed!AW134)+((0.67*BJ53)/Speed!BW134)</f>
        <v>381.81754971658847</v>
      </c>
      <c r="CK53" s="1426"/>
      <c r="CL53" s="1426"/>
      <c r="CM53" s="1429"/>
      <c r="CN53" s="1432"/>
      <c r="CO53" s="12"/>
      <c r="CP53" s="12"/>
      <c r="CQ53" s="12"/>
      <c r="CR53" s="12"/>
      <c r="CS53" s="12"/>
      <c r="CT53" s="12"/>
      <c r="CU53" s="12"/>
      <c r="CV53" s="12"/>
      <c r="CW53" s="12"/>
      <c r="CX53" s="12"/>
      <c r="CY53" s="12"/>
      <c r="CZ53" s="12"/>
    </row>
    <row r="54" spans="2:104" customFormat="1" ht="21.95" customHeight="1" x14ac:dyDescent="0.2">
      <c r="B54" s="927"/>
      <c r="C54" s="1413"/>
      <c r="D54" s="289" t="s">
        <v>347</v>
      </c>
      <c r="E54" s="289" t="s">
        <v>348</v>
      </c>
      <c r="F54" s="289" t="s">
        <v>364</v>
      </c>
      <c r="G54" s="290">
        <v>55</v>
      </c>
      <c r="H54" s="291">
        <v>0.35</v>
      </c>
      <c r="I54" s="290">
        <v>4</v>
      </c>
      <c r="J54" s="342">
        <f>'Trip Gen'!W110</f>
        <v>28000</v>
      </c>
      <c r="K54" s="332">
        <f>'Trip Gen'!X109</f>
        <v>28618.7</v>
      </c>
      <c r="L54" s="332">
        <f>'Trip Gen'!Y109</f>
        <v>29534.75</v>
      </c>
      <c r="M54" s="332">
        <f>'Trip Gen'!Z109</f>
        <v>30697.3</v>
      </c>
      <c r="N54" s="332">
        <f>'Trip Gen'!AA109</f>
        <v>31860.200000000004</v>
      </c>
      <c r="O54" s="332">
        <f>'Trip Gen'!AB109</f>
        <v>33023.03</v>
      </c>
      <c r="P54" s="332">
        <f>'Trip Gen'!AC109</f>
        <v>34185.579999999994</v>
      </c>
      <c r="Q54" s="332">
        <f>'Trip Gen'!AD109</f>
        <v>35348.759999999995</v>
      </c>
      <c r="R54" s="332">
        <f>'Trip Gen'!AE109</f>
        <v>36382.36</v>
      </c>
      <c r="S54" s="332">
        <f>'Trip Gen'!AF109</f>
        <v>37416.06</v>
      </c>
      <c r="T54" s="332">
        <f>'Trip Gen'!AG109</f>
        <v>38449.659999999996</v>
      </c>
      <c r="U54" s="332">
        <f>'Trip Gen'!AH109</f>
        <v>39483.26</v>
      </c>
      <c r="V54" s="332">
        <f>'Trip Gen'!AI109</f>
        <v>40517.339999999997</v>
      </c>
      <c r="W54" s="332">
        <f>'Trip Gen'!AJ109</f>
        <v>41304.159999999996</v>
      </c>
      <c r="X54" s="332">
        <f>'Trip Gen'!AK109</f>
        <v>41922.86</v>
      </c>
      <c r="Y54" s="332">
        <f>'Trip Gen'!AL109</f>
        <v>42541.560000000005</v>
      </c>
      <c r="Z54" s="332">
        <f>'Trip Gen'!AM109</f>
        <v>43160.260000000009</v>
      </c>
      <c r="AA54" s="332">
        <f>'Trip Gen'!AN109</f>
        <v>43779.060000000005</v>
      </c>
      <c r="AB54" s="332">
        <f>'Trip Gen'!AO109</f>
        <v>44397.759999999995</v>
      </c>
      <c r="AC54" s="332">
        <f>'Trip Gen'!AP109</f>
        <v>45016.560000000005</v>
      </c>
      <c r="AD54" s="332">
        <f>'Trip Gen'!AQ109</f>
        <v>45635.260000000009</v>
      </c>
      <c r="AE54" s="332">
        <f>'Trip Gen'!AR109</f>
        <v>46253.960000000006</v>
      </c>
      <c r="AF54" s="332">
        <f>'Trip Gen'!AS109</f>
        <v>46872.76</v>
      </c>
      <c r="AG54" s="332">
        <f>'Trip Gen'!AT109</f>
        <v>47491.460000000014</v>
      </c>
      <c r="AH54" s="332">
        <f>'Trip Gen'!AU109</f>
        <v>48110.160000000011</v>
      </c>
      <c r="AI54" s="333">
        <f>'Trip Gen'!AV110</f>
        <v>48728.960000000006</v>
      </c>
      <c r="AJ54" s="293">
        <f t="shared" si="143"/>
        <v>2.9612800000000009E-2</v>
      </c>
      <c r="AK54" s="342">
        <f t="shared" si="173"/>
        <v>9800</v>
      </c>
      <c r="AL54" s="290">
        <f t="shared" si="174"/>
        <v>10016.545</v>
      </c>
      <c r="AM54" s="290">
        <f t="shared" si="175"/>
        <v>10337.162499999999</v>
      </c>
      <c r="AN54" s="290">
        <f t="shared" si="176"/>
        <v>10744.054999999998</v>
      </c>
      <c r="AO54" s="290">
        <f t="shared" si="177"/>
        <v>11151.070000000002</v>
      </c>
      <c r="AP54" s="290">
        <f t="shared" si="178"/>
        <v>11558.0605</v>
      </c>
      <c r="AQ54" s="290">
        <f t="shared" si="179"/>
        <v>11964.952999999998</v>
      </c>
      <c r="AR54" s="290">
        <f t="shared" si="180"/>
        <v>12372.065999999997</v>
      </c>
      <c r="AS54" s="290">
        <f t="shared" si="181"/>
        <v>12733.825999999999</v>
      </c>
      <c r="AT54" s="290">
        <f t="shared" si="182"/>
        <v>13095.620999999999</v>
      </c>
      <c r="AU54" s="290">
        <f t="shared" si="183"/>
        <v>13457.380999999998</v>
      </c>
      <c r="AV54" s="290">
        <f t="shared" si="184"/>
        <v>13819.141</v>
      </c>
      <c r="AW54" s="290">
        <f t="shared" si="185"/>
        <v>14181.068999999998</v>
      </c>
      <c r="AX54" s="290">
        <f t="shared" si="186"/>
        <v>14456.455999999998</v>
      </c>
      <c r="AY54" s="290">
        <f t="shared" si="187"/>
        <v>14673.000999999998</v>
      </c>
      <c r="AZ54" s="290">
        <f t="shared" si="188"/>
        <v>14889.546</v>
      </c>
      <c r="BA54" s="290">
        <f t="shared" si="189"/>
        <v>15106.091000000002</v>
      </c>
      <c r="BB54" s="290">
        <f t="shared" si="190"/>
        <v>15322.671</v>
      </c>
      <c r="BC54" s="290">
        <f t="shared" si="191"/>
        <v>15539.215999999997</v>
      </c>
      <c r="BD54" s="290">
        <f t="shared" si="192"/>
        <v>15755.796</v>
      </c>
      <c r="BE54" s="290">
        <f t="shared" si="193"/>
        <v>15972.341000000002</v>
      </c>
      <c r="BF54" s="290">
        <f t="shared" si="194"/>
        <v>16188.886</v>
      </c>
      <c r="BG54" s="290">
        <f t="shared" si="195"/>
        <v>16405.466</v>
      </c>
      <c r="BH54" s="290">
        <f t="shared" si="196"/>
        <v>16622.011000000002</v>
      </c>
      <c r="BI54" s="290">
        <f t="shared" si="197"/>
        <v>16838.556000000004</v>
      </c>
      <c r="BJ54" s="343">
        <f t="shared" si="198"/>
        <v>17055.136000000002</v>
      </c>
      <c r="BK54" s="423">
        <f>((0.33*'Traffic Data'!AK54)/Speed!X135)+((0.67*'Traffic Data'!AK54)/Speed!AX135)</f>
        <v>165.90474437818594</v>
      </c>
      <c r="BL54" s="424">
        <f>((0.33*AL54)/Speed!Y135)+((0.67*AL54)/Speed!AY135)</f>
        <v>169.59164478733635</v>
      </c>
      <c r="BM54" s="424">
        <f>((0.33*AM54)/Speed!Z135)+((0.67*AM54)/Speed!AZ135)</f>
        <v>175.06094882275545</v>
      </c>
      <c r="BN54" s="424">
        <f>((0.33*AN54)/Speed!AA135)+((0.67*AN54)/Speed!BA135)</f>
        <v>182.02579505556247</v>
      </c>
      <c r="BO54" s="424">
        <f>((0.33*AO54)/Speed!AB135)+((0.67*AO54)/Speed!BB135)</f>
        <v>189.02956147737206</v>
      </c>
      <c r="BP54" s="424">
        <f>((0.33*AP54)/Speed!AC135)+((0.67*AP54)/Speed!BC135)</f>
        <v>196.08433423416182</v>
      </c>
      <c r="BQ54" s="424">
        <f>((0.33*AQ54)/Speed!AD135)+((0.67*AQ54)/Speed!BD135)</f>
        <v>203.20834913413125</v>
      </c>
      <c r="BR54" s="424">
        <f>((0.33*AR54)/Speed!AE135)+((0.67*AR54)/Speed!BE135)</f>
        <v>210.43310868476033</v>
      </c>
      <c r="BS54" s="424">
        <f>((0.33*AS54)/Speed!AF135)+((0.67*AS54)/Speed!BF135)</f>
        <v>216.96157995894225</v>
      </c>
      <c r="BT54" s="424">
        <f>((0.33*AT54)/Speed!AG135)+((0.67*AT54)/Speed!BG135)</f>
        <v>223.62444854539049</v>
      </c>
      <c r="BU54" s="424">
        <f>((0.33*AU54)/Speed!AH135)+((0.67*AU54)/Speed!BH135)</f>
        <v>230.45873557448812</v>
      </c>
      <c r="BV54" s="424">
        <f>((0.33*AV54)/Speed!AI135)+((0.67*AV54)/Speed!BI135)</f>
        <v>237.51284637319719</v>
      </c>
      <c r="BW54" s="424">
        <f>((0.33*AW54)/Speed!AJ135)+((0.67*AW54)/Speed!BJ135)</f>
        <v>244.84947538563119</v>
      </c>
      <c r="BX54" s="424">
        <f>((0.33*AX54)/Speed!AK135)+((0.67*AX54)/Speed!BK135)</f>
        <v>250.6634303571231</v>
      </c>
      <c r="BY54" s="424">
        <f>((0.33*AY54)/Speed!AL135)+((0.67*AY54)/Speed!BL135)</f>
        <v>255.40305141478785</v>
      </c>
      <c r="BZ54" s="424">
        <f>((0.33*AZ54)/Speed!AM135)+((0.67*AZ54)/Speed!BM135)</f>
        <v>260.3136875811096</v>
      </c>
      <c r="CA54" s="424">
        <f>((0.33*BA54)/Speed!AN135)+((0.67*BA54)/Speed!BN135)</f>
        <v>265.41943788078873</v>
      </c>
      <c r="CB54" s="424">
        <f>((0.33*BB54)/Speed!AO135)+((0.67*BB54)/Speed!BO135)</f>
        <v>270.74825085180174</v>
      </c>
      <c r="CC54" s="424">
        <f>((0.33*BC54)/Speed!AP135)+((0.67*BC54)/Speed!BP135)</f>
        <v>276.32876434884645</v>
      </c>
      <c r="CD54" s="424">
        <f>((0.33*BD54)/Speed!AQ135)+((0.67*BD54)/Speed!BQ135)</f>
        <v>282.1967828545238</v>
      </c>
      <c r="CE54" s="424">
        <f>((0.33*BE54)/Speed!AR135)+((0.67*BE54)/Speed!BR135)</f>
        <v>288.38841098215823</v>
      </c>
      <c r="CF54" s="424">
        <f>((0.33*BF54)/Speed!AS135)+((0.67*BF54)/Speed!BS135)</f>
        <v>294.94698386335756</v>
      </c>
      <c r="CG54" s="424">
        <f>((0.33*BG54)/Speed!AT135)+((0.67*BG54)/Speed!BT135)</f>
        <v>301.92093276610495</v>
      </c>
      <c r="CH54" s="424">
        <f>((0.33*BH54)/Speed!AU135)+((0.67*BH54)/Speed!BU135)</f>
        <v>309.3606162464265</v>
      </c>
      <c r="CI54" s="424">
        <f>((0.33*BI54)/Speed!AV135)+((0.67*BI54)/Speed!BV135)</f>
        <v>317.32558950164906</v>
      </c>
      <c r="CJ54" s="432">
        <f>((0.33*BJ54)/Speed!AW135)+((0.67*BJ54)/Speed!BW135)</f>
        <v>325.88216978264347</v>
      </c>
      <c r="CK54" s="1426"/>
      <c r="CL54" s="1426"/>
      <c r="CM54" s="1429"/>
      <c r="CN54" s="1432"/>
      <c r="CO54" s="12"/>
      <c r="CP54" s="12"/>
      <c r="CQ54" s="12"/>
      <c r="CR54" s="12"/>
      <c r="CS54" s="12"/>
      <c r="CT54" s="12"/>
      <c r="CU54" s="12"/>
      <c r="CV54" s="12"/>
      <c r="CW54" s="12"/>
      <c r="CX54" s="12"/>
      <c r="CY54" s="12"/>
      <c r="CZ54" s="12"/>
    </row>
    <row r="55" spans="2:104" customFormat="1" ht="21.95" customHeight="1" x14ac:dyDescent="0.2">
      <c r="B55" s="927"/>
      <c r="C55" s="1414"/>
      <c r="D55" s="302" t="s">
        <v>348</v>
      </c>
      <c r="E55" s="302" t="s">
        <v>349</v>
      </c>
      <c r="F55" s="302" t="s">
        <v>363</v>
      </c>
      <c r="G55" s="303">
        <v>55</v>
      </c>
      <c r="H55" s="304">
        <v>0.5</v>
      </c>
      <c r="I55" s="303">
        <v>4</v>
      </c>
      <c r="J55" s="344">
        <f>'Trip Gen'!W111</f>
        <v>32000</v>
      </c>
      <c r="K55" s="305">
        <f>'Trip Gen'!X111</f>
        <v>32764.35</v>
      </c>
      <c r="L55" s="305">
        <f>'Trip Gen'!Y111</f>
        <v>33826.1</v>
      </c>
      <c r="M55" s="305">
        <f>'Trip Gen'!Z111</f>
        <v>35236.199999999997</v>
      </c>
      <c r="N55" s="305">
        <f>'Trip Gen'!AA111</f>
        <v>36646.700000000004</v>
      </c>
      <c r="O55" s="305">
        <f>'Trip Gen'!AB111</f>
        <v>38057.300000000003</v>
      </c>
      <c r="P55" s="305">
        <f>'Trip Gen'!AC111</f>
        <v>39467.4</v>
      </c>
      <c r="Q55" s="305">
        <f>'Trip Gen'!AD111</f>
        <v>40878.30000000001</v>
      </c>
      <c r="R55" s="305">
        <f>'Trip Gen'!AE111</f>
        <v>42224.9</v>
      </c>
      <c r="S55" s="305">
        <f>'Trip Gen'!AF111</f>
        <v>43571.549999999996</v>
      </c>
      <c r="T55" s="305">
        <f>'Trip Gen'!AG111</f>
        <v>44918.149999999994</v>
      </c>
      <c r="U55" s="305">
        <f>'Trip Gen'!AH111</f>
        <v>46264.75</v>
      </c>
      <c r="V55" s="305">
        <f>'Trip Gen'!AI111</f>
        <v>47612.15</v>
      </c>
      <c r="W55" s="305">
        <f>'Trip Gen'!AJ111</f>
        <v>48610</v>
      </c>
      <c r="X55" s="305">
        <f>'Trip Gen'!AK111</f>
        <v>49374.35</v>
      </c>
      <c r="Y55" s="305">
        <f>'Trip Gen'!AL111</f>
        <v>50138.7</v>
      </c>
      <c r="Z55" s="305">
        <f>'Trip Gen'!AM111</f>
        <v>50903.049999999996</v>
      </c>
      <c r="AA55" s="305">
        <f>'Trip Gen'!AN111</f>
        <v>51667.549999999996</v>
      </c>
      <c r="AB55" s="305">
        <f>'Trip Gen'!AO111</f>
        <v>52431.899999999994</v>
      </c>
      <c r="AC55" s="305">
        <f>'Trip Gen'!AP111</f>
        <v>53196.4</v>
      </c>
      <c r="AD55" s="305">
        <f>'Trip Gen'!AQ111</f>
        <v>53960.75</v>
      </c>
      <c r="AE55" s="305">
        <f>'Trip Gen'!AR111</f>
        <v>54725.1</v>
      </c>
      <c r="AF55" s="305">
        <f>'Trip Gen'!AS111</f>
        <v>55489.599999999999</v>
      </c>
      <c r="AG55" s="305">
        <f>'Trip Gen'!AT111</f>
        <v>56253.95</v>
      </c>
      <c r="AH55" s="305">
        <f>'Trip Gen'!AU111</f>
        <v>57018.299999999996</v>
      </c>
      <c r="AI55" s="337">
        <f>'Trip Gen'!AV111</f>
        <v>57782.799999999996</v>
      </c>
      <c r="AJ55" s="306">
        <f t="shared" si="143"/>
        <v>3.2228499999999993E-2</v>
      </c>
      <c r="AK55" s="336">
        <f>H55*J55</f>
        <v>16000</v>
      </c>
      <c r="AL55" s="297">
        <f t="shared" si="174"/>
        <v>16382.174999999999</v>
      </c>
      <c r="AM55" s="297">
        <f t="shared" si="175"/>
        <v>16913.05</v>
      </c>
      <c r="AN55" s="297">
        <f t="shared" si="176"/>
        <v>17618.099999999999</v>
      </c>
      <c r="AO55" s="297">
        <f t="shared" si="177"/>
        <v>18323.350000000002</v>
      </c>
      <c r="AP55" s="297">
        <f t="shared" si="178"/>
        <v>19028.650000000001</v>
      </c>
      <c r="AQ55" s="297">
        <f t="shared" si="179"/>
        <v>19733.7</v>
      </c>
      <c r="AR55" s="297">
        <f t="shared" si="180"/>
        <v>20439.150000000005</v>
      </c>
      <c r="AS55" s="297">
        <f t="shared" si="181"/>
        <v>21112.45</v>
      </c>
      <c r="AT55" s="297">
        <f t="shared" si="182"/>
        <v>21785.774999999998</v>
      </c>
      <c r="AU55" s="297">
        <f t="shared" si="183"/>
        <v>22459.074999999997</v>
      </c>
      <c r="AV55" s="297">
        <f t="shared" si="184"/>
        <v>23132.375</v>
      </c>
      <c r="AW55" s="297">
        <f t="shared" si="185"/>
        <v>23806.075000000001</v>
      </c>
      <c r="AX55" s="297">
        <f t="shared" si="186"/>
        <v>24305</v>
      </c>
      <c r="AY55" s="297">
        <f t="shared" si="187"/>
        <v>24687.174999999999</v>
      </c>
      <c r="AZ55" s="297">
        <f t="shared" si="188"/>
        <v>25069.35</v>
      </c>
      <c r="BA55" s="297">
        <f t="shared" si="189"/>
        <v>25451.524999999998</v>
      </c>
      <c r="BB55" s="297">
        <f t="shared" si="190"/>
        <v>25833.774999999998</v>
      </c>
      <c r="BC55" s="297">
        <f t="shared" si="191"/>
        <v>26215.949999999997</v>
      </c>
      <c r="BD55" s="297">
        <f t="shared" si="192"/>
        <v>26598.2</v>
      </c>
      <c r="BE55" s="297">
        <f t="shared" si="193"/>
        <v>26980.375</v>
      </c>
      <c r="BF55" s="297">
        <f t="shared" si="194"/>
        <v>27362.55</v>
      </c>
      <c r="BG55" s="297">
        <f t="shared" si="195"/>
        <v>27744.799999999999</v>
      </c>
      <c r="BH55" s="297">
        <f t="shared" si="196"/>
        <v>28126.974999999999</v>
      </c>
      <c r="BI55" s="297">
        <f t="shared" si="197"/>
        <v>28509.149999999998</v>
      </c>
      <c r="BJ55" s="361">
        <f>H55*AI55</f>
        <v>28891.399999999998</v>
      </c>
      <c r="BK55" s="423">
        <f>((0.33*'Traffic Data'!AK55)/Speed!X136)+((0.67*'Traffic Data'!AK55)/Speed!AX136)</f>
        <v>271.24951559126072</v>
      </c>
      <c r="BL55" s="424">
        <f>((0.33*AL55)/Speed!Y136)+((0.67*AL55)/Speed!AY136)</f>
        <v>277.87084127484479</v>
      </c>
      <c r="BM55" s="424">
        <f>((0.33*AM55)/Speed!Z136)+((0.67*AM55)/Speed!AZ136)</f>
        <v>287.13784747219387</v>
      </c>
      <c r="BN55" s="424">
        <f>((0.33*AN55)/Speed!AA136)+((0.67*AN55)/Speed!BA136)</f>
        <v>299.61266631864294</v>
      </c>
      <c r="BO55" s="424">
        <f>((0.33*AO55)/Speed!AB136)+((0.67*AO55)/Speed!BB136)</f>
        <v>312.35901720052664</v>
      </c>
      <c r="BP55" s="424">
        <f>((0.33*AP55)/Speed!AC136)+((0.67*AP55)/Speed!BC136)</f>
        <v>325.48761749409186</v>
      </c>
      <c r="BQ55" s="424">
        <f>((0.33*AQ55)/Speed!AD136)+((0.67*AQ55)/Speed!BD136)</f>
        <v>339.14665818903677</v>
      </c>
      <c r="BR55" s="424">
        <f>((0.33*AR55)/Speed!AE136)+((0.67*AR55)/Speed!BE136)</f>
        <v>353.55599113224503</v>
      </c>
      <c r="BS55" s="424">
        <f>((0.33*AS55)/Speed!AF136)+((0.67*AS55)/Speed!BF136)</f>
        <v>368.25363022334801</v>
      </c>
      <c r="BT55" s="424">
        <f>((0.33*AT55)/Speed!AG136)+((0.67*AT55)/Speed!BG136)</f>
        <v>384.19239323013846</v>
      </c>
      <c r="BU55" s="424">
        <f>((0.33*AU55)/Speed!AH136)+((0.67*AU55)/Speed!BH136)</f>
        <v>401.7755198331264</v>
      </c>
      <c r="BV55" s="424">
        <f>((0.33*AV55)/Speed!AI136)+((0.67*AV55)/Speed!BI136)</f>
        <v>421.52121859340048</v>
      </c>
      <c r="BW55" s="424">
        <f>((0.33*AW55)/Speed!AJ136)+((0.67*AW55)/Speed!BJ136)</f>
        <v>444.10159448845388</v>
      </c>
      <c r="BX55" s="424">
        <f>((0.33*AX55)/Speed!AK136)+((0.67*AX55)/Speed!BK136)</f>
        <v>463.12584228356161</v>
      </c>
      <c r="BY55" s="424">
        <f>((0.33*AY55)/Speed!AL136)+((0.67*AY55)/Speed!BL136)</f>
        <v>479.30458479015806</v>
      </c>
      <c r="BZ55" s="424">
        <f>((0.33*AZ55)/Speed!AM136)+((0.67*AZ55)/Speed!BM136)</f>
        <v>497.10914401223062</v>
      </c>
      <c r="CA55" s="424">
        <f>((0.33*BA55)/Speed!AN136)+((0.67*BA55)/Speed!BN136)</f>
        <v>516.7805397211107</v>
      </c>
      <c r="CB55" s="424">
        <f>((0.33*BB55)/Speed!AO136)+((0.67*BB55)/Speed!BO136)</f>
        <v>538.59551440967368</v>
      </c>
      <c r="CC55" s="424">
        <f>((0.33*BC55)/Speed!AP136)+((0.67*BC55)/Speed!BP136)</f>
        <v>562.8525282926812</v>
      </c>
      <c r="CD55" s="424">
        <f>((0.33*BD55)/Speed!AQ136)+((0.67*BD55)/Speed!BQ136)</f>
        <v>589.90677513331593</v>
      </c>
      <c r="CE55" s="424">
        <f>((0.33*BE55)/Speed!AR136)+((0.67*BE55)/Speed!BR136)</f>
        <v>620.13595725275036</v>
      </c>
      <c r="CF55" s="424">
        <f>((0.33*BF55)/Speed!AS136)+((0.67*BF55)/Speed!BS136)</f>
        <v>653.98063470875525</v>
      </c>
      <c r="CG55" s="424">
        <f>((0.33*BG55)/Speed!AT136)+((0.67*BG55)/Speed!BT136)</f>
        <v>691.93647141402789</v>
      </c>
      <c r="CH55" s="424">
        <f>((0.33*BH55)/Speed!AU136)+((0.67*BH55)/Speed!BU136)</f>
        <v>734.5340926192813</v>
      </c>
      <c r="CI55" s="424">
        <f>((0.33*BI55)/Speed!AV136)+((0.67*BI55)/Speed!BV136)</f>
        <v>782.38948293674059</v>
      </c>
      <c r="CJ55" s="432">
        <f>((0.33*BJ55)/Speed!AW136)+((0.67*BJ55)/Speed!BW136)</f>
        <v>836.19268916470151</v>
      </c>
      <c r="CK55" s="1427"/>
      <c r="CL55" s="1427"/>
      <c r="CM55" s="1430"/>
      <c r="CN55" s="1433"/>
      <c r="CO55" s="12"/>
      <c r="CP55" s="12"/>
      <c r="CQ55" s="12"/>
      <c r="CR55" s="12"/>
      <c r="CS55" s="12"/>
      <c r="CT55" s="12"/>
      <c r="CU55" s="12"/>
      <c r="CV55" s="12"/>
      <c r="CW55" s="12"/>
      <c r="CX55" s="12"/>
      <c r="CY55" s="12"/>
      <c r="CZ55" s="12"/>
    </row>
    <row r="56" spans="2:104" customFormat="1" ht="21.95" customHeight="1" x14ac:dyDescent="0.2">
      <c r="B56" s="927"/>
      <c r="C56" s="289" t="s">
        <v>288</v>
      </c>
      <c r="D56" s="289" t="s">
        <v>323</v>
      </c>
      <c r="E56" s="289" t="s">
        <v>348</v>
      </c>
      <c r="F56" s="289" t="s">
        <v>377</v>
      </c>
      <c r="G56" s="290">
        <v>30</v>
      </c>
      <c r="H56" s="291">
        <v>1</v>
      </c>
      <c r="I56" s="290">
        <v>2</v>
      </c>
      <c r="J56" s="342">
        <f>'Trip Gen'!W120</f>
        <v>1800</v>
      </c>
      <c r="K56" s="332">
        <f>'Trip Gen'!X120</f>
        <v>1910.68</v>
      </c>
      <c r="L56" s="332">
        <f>'Trip Gen'!Y120</f>
        <v>2057.15</v>
      </c>
      <c r="M56" s="332">
        <f>'Trip Gen'!Z120</f>
        <v>2251.7999999999997</v>
      </c>
      <c r="N56" s="332">
        <f>'Trip Gen'!AA120</f>
        <v>2446.5099999999998</v>
      </c>
      <c r="O56" s="332">
        <f>'Trip Gen'!AB120</f>
        <v>2641.6400000000003</v>
      </c>
      <c r="P56" s="332">
        <f>'Trip Gen'!AC120</f>
        <v>2836.2899999999995</v>
      </c>
      <c r="Q56" s="332">
        <f>'Trip Gen'!AD120</f>
        <v>3031.1499999999996</v>
      </c>
      <c r="R56" s="332">
        <f>'Trip Gen'!AE120</f>
        <v>3208.83</v>
      </c>
      <c r="S56" s="332">
        <f>'Trip Gen'!AF120</f>
        <v>3386.36</v>
      </c>
      <c r="T56" s="332">
        <f>'Trip Gen'!AG120</f>
        <v>3564.0499999999997</v>
      </c>
      <c r="U56" s="332">
        <f>'Trip Gen'!AH120</f>
        <v>3741.73</v>
      </c>
      <c r="V56" s="332">
        <f>'Trip Gen'!AI120</f>
        <v>3920.04</v>
      </c>
      <c r="W56" s="332">
        <f>'Trip Gen'!AJ120</f>
        <v>4049.4</v>
      </c>
      <c r="X56" s="332">
        <f>'Trip Gen'!AK120</f>
        <v>4160.08</v>
      </c>
      <c r="Y56" s="332">
        <f>'Trip Gen'!AL120</f>
        <v>4270.7599999999993</v>
      </c>
      <c r="Z56" s="332">
        <f>'Trip Gen'!AM120</f>
        <v>4381.4399999999996</v>
      </c>
      <c r="AA56" s="332">
        <f>'Trip Gen'!AN120</f>
        <v>4492.24</v>
      </c>
      <c r="AB56" s="332">
        <f>'Trip Gen'!AO120</f>
        <v>4602.9199999999992</v>
      </c>
      <c r="AC56" s="332">
        <f>'Trip Gen'!AP120</f>
        <v>4713.87</v>
      </c>
      <c r="AD56" s="332">
        <f>'Trip Gen'!AQ120</f>
        <v>4824.5499999999993</v>
      </c>
      <c r="AE56" s="332">
        <f>'Trip Gen'!AR120</f>
        <v>4935.2299999999996</v>
      </c>
      <c r="AF56" s="332">
        <f>'Trip Gen'!AS120</f>
        <v>5046.0299999999988</v>
      </c>
      <c r="AG56" s="332">
        <f>'Trip Gen'!AT120</f>
        <v>5156.71</v>
      </c>
      <c r="AH56" s="332">
        <f>'Trip Gen'!AU120</f>
        <v>5267.3899999999994</v>
      </c>
      <c r="AI56" s="333">
        <f>'Trip Gen'!AV120</f>
        <v>5378.3399999999992</v>
      </c>
      <c r="AJ56" s="293">
        <f t="shared" si="143"/>
        <v>7.9518666666666654E-2</v>
      </c>
      <c r="AK56" s="362">
        <f t="shared" ref="AK56:AK63" si="200">$H56*J56</f>
        <v>1800</v>
      </c>
      <c r="AL56" s="307">
        <f t="shared" ref="AL56:AL61" si="201">$H56*K56</f>
        <v>1910.68</v>
      </c>
      <c r="AM56" s="307">
        <f t="shared" ref="AM56:AM61" si="202">$H56*L56</f>
        <v>2057.15</v>
      </c>
      <c r="AN56" s="307">
        <f t="shared" ref="AN56:AN61" si="203">$H56*M56</f>
        <v>2251.7999999999997</v>
      </c>
      <c r="AO56" s="307">
        <f t="shared" ref="AO56:AO61" si="204">$H56*N56</f>
        <v>2446.5099999999998</v>
      </c>
      <c r="AP56" s="307">
        <f t="shared" ref="AP56:AP61" si="205">$H56*O56</f>
        <v>2641.6400000000003</v>
      </c>
      <c r="AQ56" s="307">
        <f t="shared" ref="AQ56:AQ61" si="206">$H56*P56</f>
        <v>2836.2899999999995</v>
      </c>
      <c r="AR56" s="307">
        <f t="shared" ref="AR56:AR61" si="207">$H56*Q56</f>
        <v>3031.1499999999996</v>
      </c>
      <c r="AS56" s="307">
        <f t="shared" ref="AS56:AS61" si="208">$H56*R56</f>
        <v>3208.83</v>
      </c>
      <c r="AT56" s="307">
        <f t="shared" ref="AT56:AT61" si="209">$H56*S56</f>
        <v>3386.36</v>
      </c>
      <c r="AU56" s="307">
        <f t="shared" ref="AU56:AU61" si="210">$H56*T56</f>
        <v>3564.0499999999997</v>
      </c>
      <c r="AV56" s="307">
        <f t="shared" ref="AV56:AV61" si="211">$H56*U56</f>
        <v>3741.73</v>
      </c>
      <c r="AW56" s="307">
        <f t="shared" ref="AW56:AW61" si="212">$H56*V56</f>
        <v>3920.04</v>
      </c>
      <c r="AX56" s="307">
        <f t="shared" ref="AX56:AX61" si="213">$H56*W56</f>
        <v>4049.4</v>
      </c>
      <c r="AY56" s="307">
        <f t="shared" ref="AY56:AY61" si="214">$H56*X56</f>
        <v>4160.08</v>
      </c>
      <c r="AZ56" s="307">
        <f t="shared" ref="AZ56:AZ61" si="215">$H56*Y56</f>
        <v>4270.7599999999993</v>
      </c>
      <c r="BA56" s="307">
        <f t="shared" ref="BA56:BA61" si="216">$H56*Z56</f>
        <v>4381.4399999999996</v>
      </c>
      <c r="BB56" s="307">
        <f t="shared" ref="BB56:BB61" si="217">$H56*AA56</f>
        <v>4492.24</v>
      </c>
      <c r="BC56" s="307">
        <f t="shared" ref="BC56:BC61" si="218">$H56*AB56</f>
        <v>4602.9199999999992</v>
      </c>
      <c r="BD56" s="307">
        <f t="shared" ref="BD56:BD61" si="219">$H56*AC56</f>
        <v>4713.87</v>
      </c>
      <c r="BE56" s="307">
        <f t="shared" ref="BE56:BE61" si="220">$H56*AD56</f>
        <v>4824.5499999999993</v>
      </c>
      <c r="BF56" s="307">
        <f t="shared" ref="BF56:BF61" si="221">$H56*AE56</f>
        <v>4935.2299999999996</v>
      </c>
      <c r="BG56" s="307">
        <f t="shared" ref="BG56:BG61" si="222">$H56*AF56</f>
        <v>5046.0299999999988</v>
      </c>
      <c r="BH56" s="307">
        <f t="shared" ref="BH56:BH61" si="223">$H56*AG56</f>
        <v>5156.71</v>
      </c>
      <c r="BI56" s="307">
        <f t="shared" ref="BI56:BI61" si="224">$H56*AH56</f>
        <v>5267.3899999999994</v>
      </c>
      <c r="BJ56" s="363">
        <f>$H56*AI56</f>
        <v>5378.3399999999992</v>
      </c>
      <c r="BK56" s="427">
        <f>((0.33*'Traffic Data'!AK56)/Speed!X137)+((0.67*'Traffic Data'!AK56)/Speed!AX137)</f>
        <v>64.748204072359712</v>
      </c>
      <c r="BL56" s="460">
        <f>((0.33*AL56)/Speed!Y137)+((0.67*AL56)/Speed!AY137)</f>
        <v>68.729501479819135</v>
      </c>
      <c r="BM56" s="460">
        <f>((0.33*AM56)/Speed!Z137)+((0.67*AM56)/Speed!AZ137)</f>
        <v>73.998212879736201</v>
      </c>
      <c r="BN56" s="460">
        <f>((0.33*AN56)/Speed!AA137)+((0.67*AN56)/Speed!BA137)</f>
        <v>81.00003092869774</v>
      </c>
      <c r="BO56" s="460">
        <f>((0.33*AO56)/Speed!AB137)+((0.67*AO56)/Speed!BB137)</f>
        <v>88.004033845188573</v>
      </c>
      <c r="BP56" s="460">
        <f>((0.33*AP56)/Speed!AC137)+((0.67*AP56)/Speed!BC137)</f>
        <v>95.02320070270504</v>
      </c>
      <c r="BQ56" s="460">
        <f>((0.33*AQ56)/Speed!AD137)+((0.67*AQ56)/Speed!BD137)</f>
        <v>102.02521169746962</v>
      </c>
      <c r="BR56" s="460">
        <f>((0.33*AR56)/Speed!AE137)+((0.67*AR56)/Speed!BE137)</f>
        <v>109.0349858969395</v>
      </c>
      <c r="BS56" s="460">
        <f>((0.33*AS56)/Speed!AF137)+((0.67*AS56)/Speed!BF137)</f>
        <v>115.42706133660177</v>
      </c>
      <c r="BT56" s="460">
        <f>((0.33*AT56)/Speed!AG137)+((0.67*AT56)/Speed!BG137)</f>
        <v>121.8142624795331</v>
      </c>
      <c r="BU56" s="460">
        <f>((0.33*AU56)/Speed!AH137)+((0.67*AU56)/Speed!BH137)</f>
        <v>128.20806707063016</v>
      </c>
      <c r="BV56" s="460">
        <f>((0.33*AV56)/Speed!AI137)+((0.67*AV56)/Speed!BI137)</f>
        <v>134.6028519992222</v>
      </c>
      <c r="BW56" s="460">
        <f>((0.33*AW56)/Speed!AJ137)+((0.67*AW56)/Speed!BJ137)</f>
        <v>141.02239664801937</v>
      </c>
      <c r="BX56" s="460">
        <f>((0.33*AX56)/Speed!AK137)+((0.67*AX56)/Speed!BK137)</f>
        <v>145.68154181006008</v>
      </c>
      <c r="BY56" s="460">
        <f>((0.33*AY56)/Speed!AL137)+((0.67*AY56)/Speed!BL137)</f>
        <v>149.66962940820338</v>
      </c>
      <c r="BZ56" s="460">
        <f>((0.33*AZ56)/Speed!AM137)+((0.67*AZ56)/Speed!BM137)</f>
        <v>153.65978630220158</v>
      </c>
      <c r="CA56" s="460">
        <f>((0.33*BA56)/Speed!AN137)+((0.67*BA56)/Speed!BN137)</f>
        <v>157.65256356245285</v>
      </c>
      <c r="CB56" s="460">
        <f>((0.33*BB56)/Speed!AO137)+((0.67*BB56)/Speed!BO137)</f>
        <v>161.65297369400625</v>
      </c>
      <c r="CC56" s="460">
        <f>((0.33*BC56)/Speed!AP137)+((0.67*BC56)/Speed!BP137)</f>
        <v>165.6531818830378</v>
      </c>
      <c r="CD56" s="460">
        <f>((0.33*BD56)/Speed!AQ137)+((0.67*BD56)/Speed!BQ137)</f>
        <v>169.66830714901798</v>
      </c>
      <c r="CE56" s="460">
        <f>((0.33*BE56)/Speed!AR137)+((0.67*BE56)/Speed!BR137)</f>
        <v>173.68003472085121</v>
      </c>
      <c r="CF56" s="460">
        <f>((0.33*BF56)/Speed!AS137)+((0.67*BF56)/Speed!BS137)</f>
        <v>177.69960649715389</v>
      </c>
      <c r="CG56" s="460">
        <f>((0.33*BG56)/Speed!AT137)+((0.67*BG56)/Speed!BT137)</f>
        <v>181.73317200443176</v>
      </c>
      <c r="CH56" s="460">
        <f>((0.33*BH56)/Speed!AU137)+((0.67*BH56)/Speed!BU137)</f>
        <v>185.77412001718218</v>
      </c>
      <c r="CI56" s="460">
        <f>((0.33*BI56)/Speed!AV137)+((0.67*BI56)/Speed!BV137)</f>
        <v>189.82934451690102</v>
      </c>
      <c r="CJ56" s="461">
        <f>((0.33*BJ56)/Speed!AW137)+((0.67*BJ56)/Speed!BW137)</f>
        <v>193.91180896010025</v>
      </c>
      <c r="CK56" s="294">
        <f>Inputs!$I$35</f>
        <v>0.2</v>
      </c>
      <c r="CL56" s="294">
        <f>Inputs!$I$36</f>
        <v>0.8</v>
      </c>
      <c r="CM56" s="316">
        <f>1/(1+CK56)</f>
        <v>0.83333333333333337</v>
      </c>
      <c r="CN56" s="296">
        <v>0.88</v>
      </c>
      <c r="CO56" s="12"/>
      <c r="CP56" s="12"/>
      <c r="CQ56" s="12"/>
      <c r="CR56" s="12"/>
      <c r="CS56" s="12"/>
      <c r="CT56" s="12"/>
      <c r="CU56" s="12"/>
      <c r="CV56" s="12"/>
      <c r="CW56" s="12"/>
      <c r="CX56" s="12"/>
      <c r="CY56" s="12"/>
      <c r="CZ56" s="12"/>
    </row>
    <row r="57" spans="2:104" customFormat="1" ht="21.95" customHeight="1" x14ac:dyDescent="0.2">
      <c r="B57" s="927"/>
      <c r="C57" s="310" t="s">
        <v>340</v>
      </c>
      <c r="D57" s="310" t="s">
        <v>335</v>
      </c>
      <c r="E57" s="310" t="s">
        <v>323</v>
      </c>
      <c r="F57" s="310" t="s">
        <v>378</v>
      </c>
      <c r="G57" s="311">
        <v>40</v>
      </c>
      <c r="H57" s="312">
        <v>1.58</v>
      </c>
      <c r="I57" s="311">
        <v>0</v>
      </c>
      <c r="J57" s="345">
        <f>'Trip Gen'!W123</f>
        <v>0</v>
      </c>
      <c r="K57" s="313">
        <f>'Trip Gen'!X123</f>
        <v>0</v>
      </c>
      <c r="L57" s="313">
        <f>'Trip Gen'!Y123</f>
        <v>0</v>
      </c>
      <c r="M57" s="313">
        <f>'Trip Gen'!Z123</f>
        <v>0</v>
      </c>
      <c r="N57" s="313">
        <f>'Trip Gen'!AA123</f>
        <v>0</v>
      </c>
      <c r="O57" s="313">
        <f>'Trip Gen'!AB123</f>
        <v>0</v>
      </c>
      <c r="P57" s="313">
        <f>'Trip Gen'!AC123</f>
        <v>0</v>
      </c>
      <c r="Q57" s="313">
        <f>'Trip Gen'!AD123</f>
        <v>0</v>
      </c>
      <c r="R57" s="313">
        <f>'Trip Gen'!AE123</f>
        <v>0</v>
      </c>
      <c r="S57" s="313">
        <f>'Trip Gen'!AF123</f>
        <v>0</v>
      </c>
      <c r="T57" s="313">
        <f>'Trip Gen'!AG123</f>
        <v>0</v>
      </c>
      <c r="U57" s="313">
        <f>'Trip Gen'!AH123</f>
        <v>0</v>
      </c>
      <c r="V57" s="313">
        <f>'Trip Gen'!AI123</f>
        <v>0</v>
      </c>
      <c r="W57" s="313">
        <f>'Trip Gen'!AJ123</f>
        <v>0</v>
      </c>
      <c r="X57" s="313">
        <f>'Trip Gen'!AK123</f>
        <v>0</v>
      </c>
      <c r="Y57" s="313">
        <f>'Trip Gen'!AL123</f>
        <v>0</v>
      </c>
      <c r="Z57" s="313">
        <f>'Trip Gen'!AM123</f>
        <v>0</v>
      </c>
      <c r="AA57" s="313">
        <f>'Trip Gen'!AN123</f>
        <v>0</v>
      </c>
      <c r="AB57" s="313">
        <f>'Trip Gen'!AO123</f>
        <v>0</v>
      </c>
      <c r="AC57" s="313">
        <f>'Trip Gen'!AP123</f>
        <v>0</v>
      </c>
      <c r="AD57" s="313">
        <f>'Trip Gen'!AQ123</f>
        <v>0</v>
      </c>
      <c r="AE57" s="313">
        <f>'Trip Gen'!AR123</f>
        <v>0</v>
      </c>
      <c r="AF57" s="313">
        <f>'Trip Gen'!AS123</f>
        <v>0</v>
      </c>
      <c r="AG57" s="313">
        <f>'Trip Gen'!AT123</f>
        <v>0</v>
      </c>
      <c r="AH57" s="313">
        <f>'Trip Gen'!AU123</f>
        <v>0</v>
      </c>
      <c r="AI57" s="346">
        <f>'Trip Gen'!AV123</f>
        <v>0</v>
      </c>
      <c r="AJ57" s="314" t="s">
        <v>326</v>
      </c>
      <c r="AK57" s="362">
        <f t="shared" si="200"/>
        <v>0</v>
      </c>
      <c r="AL57" s="307">
        <f t="shared" si="201"/>
        <v>0</v>
      </c>
      <c r="AM57" s="307">
        <f t="shared" si="202"/>
        <v>0</v>
      </c>
      <c r="AN57" s="307">
        <f t="shared" si="203"/>
        <v>0</v>
      </c>
      <c r="AO57" s="307">
        <f t="shared" si="204"/>
        <v>0</v>
      </c>
      <c r="AP57" s="307">
        <f t="shared" si="205"/>
        <v>0</v>
      </c>
      <c r="AQ57" s="307">
        <f t="shared" si="206"/>
        <v>0</v>
      </c>
      <c r="AR57" s="307">
        <f t="shared" si="207"/>
        <v>0</v>
      </c>
      <c r="AS57" s="307">
        <f t="shared" si="208"/>
        <v>0</v>
      </c>
      <c r="AT57" s="307">
        <f t="shared" si="209"/>
        <v>0</v>
      </c>
      <c r="AU57" s="307">
        <f t="shared" si="210"/>
        <v>0</v>
      </c>
      <c r="AV57" s="307">
        <f t="shared" si="211"/>
        <v>0</v>
      </c>
      <c r="AW57" s="307">
        <f t="shared" si="212"/>
        <v>0</v>
      </c>
      <c r="AX57" s="307">
        <f t="shared" si="213"/>
        <v>0</v>
      </c>
      <c r="AY57" s="307">
        <f t="shared" si="214"/>
        <v>0</v>
      </c>
      <c r="AZ57" s="307">
        <f t="shared" si="215"/>
        <v>0</v>
      </c>
      <c r="BA57" s="307">
        <f t="shared" si="216"/>
        <v>0</v>
      </c>
      <c r="BB57" s="307">
        <f t="shared" si="217"/>
        <v>0</v>
      </c>
      <c r="BC57" s="307">
        <f t="shared" si="218"/>
        <v>0</v>
      </c>
      <c r="BD57" s="307">
        <f t="shared" si="219"/>
        <v>0</v>
      </c>
      <c r="BE57" s="307">
        <f t="shared" si="220"/>
        <v>0</v>
      </c>
      <c r="BF57" s="307">
        <f t="shared" si="221"/>
        <v>0</v>
      </c>
      <c r="BG57" s="307">
        <f t="shared" si="222"/>
        <v>0</v>
      </c>
      <c r="BH57" s="307">
        <f t="shared" si="223"/>
        <v>0</v>
      </c>
      <c r="BI57" s="307">
        <f t="shared" si="224"/>
        <v>0</v>
      </c>
      <c r="BJ57" s="363">
        <f>$H57*AI57</f>
        <v>0</v>
      </c>
      <c r="BK57" s="423" t="e">
        <f>((0.33*'Traffic Data'!AK57)/Speed!X138)+((0.67*'Traffic Data'!AK57)/Speed!AX138)</f>
        <v>#DIV/0!</v>
      </c>
      <c r="BL57" s="424" t="e">
        <f>((0.33*AL57)/Speed!Y138)+((0.67*AL57)/Speed!AY138)</f>
        <v>#DIV/0!</v>
      </c>
      <c r="BM57" s="424" t="e">
        <f>((0.33*AM57)/Speed!Z138)+((0.67*AM57)/Speed!AZ138)</f>
        <v>#DIV/0!</v>
      </c>
      <c r="BN57" s="424" t="e">
        <f>((0.33*AN57)/Speed!AA138)+((0.67*AN57)/Speed!BA138)</f>
        <v>#DIV/0!</v>
      </c>
      <c r="BO57" s="424" t="e">
        <f>((0.33*AO57)/Speed!AB138)+((0.67*AO57)/Speed!BB138)</f>
        <v>#DIV/0!</v>
      </c>
      <c r="BP57" s="424" t="e">
        <f>((0.33*AP57)/Speed!AC138)+((0.67*AP57)/Speed!BC138)</f>
        <v>#DIV/0!</v>
      </c>
      <c r="BQ57" s="424" t="e">
        <f>((0.33*AQ57)/Speed!AD138)+((0.67*AQ57)/Speed!BD138)</f>
        <v>#DIV/0!</v>
      </c>
      <c r="BR57" s="424" t="e">
        <f>((0.33*AR57)/Speed!AE138)+((0.67*AR57)/Speed!BE138)</f>
        <v>#DIV/0!</v>
      </c>
      <c r="BS57" s="424" t="e">
        <f>((0.33*AS57)/Speed!AF138)+((0.67*AS57)/Speed!BF138)</f>
        <v>#DIV/0!</v>
      </c>
      <c r="BT57" s="424" t="e">
        <f>((0.33*AT57)/Speed!AG138)+((0.67*AT57)/Speed!BG138)</f>
        <v>#DIV/0!</v>
      </c>
      <c r="BU57" s="424" t="e">
        <f>((0.33*AU57)/Speed!AH138)+((0.67*AU57)/Speed!BH138)</f>
        <v>#DIV/0!</v>
      </c>
      <c r="BV57" s="424" t="e">
        <f>((0.33*AV57)/Speed!AI138)+((0.67*AV57)/Speed!BI138)</f>
        <v>#DIV/0!</v>
      </c>
      <c r="BW57" s="424" t="e">
        <f>((0.33*AW57)/Speed!AJ138)+((0.67*AW57)/Speed!BJ138)</f>
        <v>#DIV/0!</v>
      </c>
      <c r="BX57" s="424" t="e">
        <f>((0.33*AX57)/Speed!AK138)+((0.67*AX57)/Speed!BK138)</f>
        <v>#DIV/0!</v>
      </c>
      <c r="BY57" s="424" t="e">
        <f>((0.33*AY57)/Speed!AL138)+((0.67*AY57)/Speed!BL138)</f>
        <v>#DIV/0!</v>
      </c>
      <c r="BZ57" s="424" t="e">
        <f>((0.33*AZ57)/Speed!AM138)+((0.67*AZ57)/Speed!BM138)</f>
        <v>#DIV/0!</v>
      </c>
      <c r="CA57" s="424" t="e">
        <f>((0.33*BA57)/Speed!AN138)+((0.67*BA57)/Speed!BN138)</f>
        <v>#DIV/0!</v>
      </c>
      <c r="CB57" s="424" t="e">
        <f>((0.33*BB57)/Speed!AO138)+((0.67*BB57)/Speed!BO138)</f>
        <v>#DIV/0!</v>
      </c>
      <c r="CC57" s="424" t="e">
        <f>((0.33*BC57)/Speed!AP138)+((0.67*BC57)/Speed!BP138)</f>
        <v>#DIV/0!</v>
      </c>
      <c r="CD57" s="424" t="e">
        <f>((0.33*BD57)/Speed!AQ138)+((0.67*BD57)/Speed!BQ138)</f>
        <v>#DIV/0!</v>
      </c>
      <c r="CE57" s="424" t="e">
        <f>((0.33*BE57)/Speed!AR138)+((0.67*BE57)/Speed!BR138)</f>
        <v>#DIV/0!</v>
      </c>
      <c r="CF57" s="424" t="e">
        <f>((0.33*BF57)/Speed!AS138)+((0.67*BF57)/Speed!BS138)</f>
        <v>#DIV/0!</v>
      </c>
      <c r="CG57" s="424" t="e">
        <f>((0.33*BG57)/Speed!AT138)+((0.67*BG57)/Speed!BT138)</f>
        <v>#DIV/0!</v>
      </c>
      <c r="CH57" s="424" t="e">
        <f>((0.33*BH57)/Speed!AU138)+((0.67*BH57)/Speed!BU138)</f>
        <v>#DIV/0!</v>
      </c>
      <c r="CI57" s="424" t="e">
        <f>((0.33*BI57)/Speed!AV138)+((0.67*BI57)/Speed!BV138)</f>
        <v>#DIV/0!</v>
      </c>
      <c r="CJ57" s="432" t="e">
        <f>((0.33*BJ57)/Speed!AW138)+((0.67*BJ57)/Speed!BW138)</f>
        <v>#DIV/0!</v>
      </c>
      <c r="CK57" s="315">
        <f>Inputs!$J$35</f>
        <v>0.2</v>
      </c>
      <c r="CL57" s="315">
        <f>Inputs!$J$36</f>
        <v>0.8</v>
      </c>
      <c r="CM57" s="316">
        <f t="shared" ref="CM57:CM58" si="225">1/(1+CK57)</f>
        <v>0.83333333333333337</v>
      </c>
      <c r="CN57" s="317">
        <v>0.88</v>
      </c>
      <c r="CO57" s="12"/>
      <c r="CP57" s="12"/>
      <c r="CQ57" s="12"/>
      <c r="CR57" s="12"/>
      <c r="CS57" s="12"/>
      <c r="CT57" s="12"/>
      <c r="CU57" s="12"/>
      <c r="CV57" s="12"/>
      <c r="CW57" s="12"/>
      <c r="CX57" s="12"/>
      <c r="CY57" s="12"/>
      <c r="CZ57" s="12"/>
    </row>
    <row r="58" spans="2:104" customFormat="1" ht="21.95" customHeight="1" x14ac:dyDescent="0.2">
      <c r="B58" s="927"/>
      <c r="C58" s="310" t="s">
        <v>357</v>
      </c>
      <c r="D58" s="310" t="s">
        <v>338</v>
      </c>
      <c r="E58" s="310" t="s">
        <v>323</v>
      </c>
      <c r="F58" s="310" t="s">
        <v>382</v>
      </c>
      <c r="G58" s="311">
        <v>30</v>
      </c>
      <c r="H58" s="312">
        <f>4896/foottomile</f>
        <v>0.92727272727272725</v>
      </c>
      <c r="I58" s="311">
        <v>2</v>
      </c>
      <c r="J58" s="345">
        <f>'Trip Gen'!W119</f>
        <v>3600</v>
      </c>
      <c r="K58" s="318">
        <f>'Trip Gen'!X119</f>
        <v>3649.43</v>
      </c>
      <c r="L58" s="318">
        <f>'Trip Gen'!Y119</f>
        <v>3734.87</v>
      </c>
      <c r="M58" s="318">
        <f>'Trip Gen'!Z119</f>
        <v>3852.1700000000005</v>
      </c>
      <c r="N58" s="318">
        <f>'Trip Gen'!AA119</f>
        <v>3969.52</v>
      </c>
      <c r="O58" s="318">
        <f>'Trip Gen'!AB119</f>
        <v>4087.0399999999995</v>
      </c>
      <c r="P58" s="318">
        <f>'Trip Gen'!AC119</f>
        <v>4204.34</v>
      </c>
      <c r="Q58" s="318">
        <f>'Trip Gen'!AD119</f>
        <v>4322.05</v>
      </c>
      <c r="R58" s="318">
        <f>'Trip Gen'!AE119</f>
        <v>4403.68</v>
      </c>
      <c r="S58" s="318">
        <f>'Trip Gen'!AF119</f>
        <v>4485.32</v>
      </c>
      <c r="T58" s="318">
        <f>'Trip Gen'!AG119</f>
        <v>4566.97</v>
      </c>
      <c r="U58" s="318">
        <f>'Trip Gen'!AH119</f>
        <v>4648.6000000000004</v>
      </c>
      <c r="V58" s="318">
        <f>'Trip Gen'!AI119</f>
        <v>4730.8099999999995</v>
      </c>
      <c r="W58" s="318">
        <f>'Trip Gen'!AJ119</f>
        <v>4780.24</v>
      </c>
      <c r="X58" s="318">
        <f>'Trip Gen'!AK119</f>
        <v>4829.6699999999992</v>
      </c>
      <c r="Y58" s="318">
        <f>'Trip Gen'!AL119</f>
        <v>4879.1000000000004</v>
      </c>
      <c r="Z58" s="318">
        <f>'Trip Gen'!AM119</f>
        <v>4928.5299999999988</v>
      </c>
      <c r="AA58" s="318">
        <f>'Trip Gen'!AN119</f>
        <v>4978.3</v>
      </c>
      <c r="AB58" s="318">
        <f>'Trip Gen'!AO119</f>
        <v>5027.7299999999996</v>
      </c>
      <c r="AC58" s="318">
        <f>'Trip Gen'!AP119</f>
        <v>5077.3500000000004</v>
      </c>
      <c r="AD58" s="318">
        <f>'Trip Gen'!AQ119</f>
        <v>5126.78</v>
      </c>
      <c r="AE58" s="318">
        <f>'Trip Gen'!AR119</f>
        <v>5176.2100000000009</v>
      </c>
      <c r="AF58" s="318">
        <f>'Trip Gen'!AS119</f>
        <v>5225.9800000000005</v>
      </c>
      <c r="AG58" s="318">
        <f>'Trip Gen'!AT119</f>
        <v>5275.4100000000008</v>
      </c>
      <c r="AH58" s="318">
        <f>'Trip Gen'!AU119</f>
        <v>5324.84</v>
      </c>
      <c r="AI58" s="347">
        <f>'Trip Gen'!AV119</f>
        <v>5374.46</v>
      </c>
      <c r="AJ58" s="314">
        <f t="shared" ref="AJ58:AJ72" si="226">((AI58-J58)/J58)/25</f>
        <v>1.9716222222222222E-2</v>
      </c>
      <c r="AK58" s="362">
        <f t="shared" si="200"/>
        <v>3338.181818181818</v>
      </c>
      <c r="AL58" s="307">
        <f t="shared" si="201"/>
        <v>3384.0169090909089</v>
      </c>
      <c r="AM58" s="307">
        <f t="shared" si="202"/>
        <v>3463.2430909090908</v>
      </c>
      <c r="AN58" s="307">
        <f t="shared" si="203"/>
        <v>3572.0121818181824</v>
      </c>
      <c r="AO58" s="307">
        <f t="shared" si="204"/>
        <v>3680.8276363636364</v>
      </c>
      <c r="AP58" s="307">
        <f t="shared" si="205"/>
        <v>3789.8007272727268</v>
      </c>
      <c r="AQ58" s="307">
        <f t="shared" si="206"/>
        <v>3898.5698181818184</v>
      </c>
      <c r="AR58" s="307">
        <f t="shared" si="207"/>
        <v>4007.7190909090909</v>
      </c>
      <c r="AS58" s="307">
        <f t="shared" si="208"/>
        <v>4083.4123636363638</v>
      </c>
      <c r="AT58" s="307">
        <f t="shared" si="209"/>
        <v>4159.1149090909084</v>
      </c>
      <c r="AU58" s="307">
        <f t="shared" si="210"/>
        <v>4234.8267272727271</v>
      </c>
      <c r="AV58" s="307">
        <f t="shared" si="211"/>
        <v>4310.5200000000004</v>
      </c>
      <c r="AW58" s="307">
        <f t="shared" si="212"/>
        <v>4386.7510909090906</v>
      </c>
      <c r="AX58" s="307">
        <f t="shared" si="213"/>
        <v>4432.5861818181811</v>
      </c>
      <c r="AY58" s="307">
        <f t="shared" si="214"/>
        <v>4478.4212727272716</v>
      </c>
      <c r="AZ58" s="307">
        <f t="shared" si="215"/>
        <v>4524.2563636363639</v>
      </c>
      <c r="BA58" s="307">
        <f t="shared" si="216"/>
        <v>4570.0914545454534</v>
      </c>
      <c r="BB58" s="307">
        <f t="shared" si="217"/>
        <v>4616.2418181818184</v>
      </c>
      <c r="BC58" s="307">
        <f t="shared" si="218"/>
        <v>4662.0769090909089</v>
      </c>
      <c r="BD58" s="307">
        <f t="shared" si="219"/>
        <v>4708.0881818181824</v>
      </c>
      <c r="BE58" s="307">
        <f t="shared" si="220"/>
        <v>4753.923272727272</v>
      </c>
      <c r="BF58" s="307">
        <f t="shared" si="221"/>
        <v>4799.7583636363643</v>
      </c>
      <c r="BG58" s="307">
        <f t="shared" si="222"/>
        <v>4845.9087272727274</v>
      </c>
      <c r="BH58" s="307">
        <f t="shared" si="223"/>
        <v>4891.7438181818188</v>
      </c>
      <c r="BI58" s="307">
        <f t="shared" si="224"/>
        <v>4937.5789090909093</v>
      </c>
      <c r="BJ58" s="363">
        <f>$H58*AI58</f>
        <v>4983.5901818181819</v>
      </c>
      <c r="BK58" s="427">
        <f>((0.33*'Traffic Data'!AK58)/Speed!X139)+((0.67*'Traffic Data'!AK58)/Speed!AX139)</f>
        <v>104.64955645778389</v>
      </c>
      <c r="BL58" s="460">
        <f>((0.33*AL58)/Speed!Y139)+((0.67*AL58)/Speed!AY139)</f>
        <v>106.08709853493662</v>
      </c>
      <c r="BM58" s="460">
        <f>((0.33*AM58)/Speed!Z139)+((0.67*AM58)/Speed!AZ139)</f>
        <v>108.57214586454704</v>
      </c>
      <c r="BN58" s="460">
        <f>((0.33*AN58)/Speed!AA139)+((0.67*AN58)/Speed!BA139)</f>
        <v>111.98448170079229</v>
      </c>
      <c r="BO58" s="460">
        <f>((0.33*AO58)/Speed!AB139)+((0.67*AO58)/Speed!BB139)</f>
        <v>115.39921406114266</v>
      </c>
      <c r="BP58" s="460">
        <f>((0.33*AP58)/Speed!AC139)+((0.67*AP58)/Speed!BC139)</f>
        <v>118.82012993036895</v>
      </c>
      <c r="BQ58" s="460">
        <f>((0.33*AQ58)/Speed!AD139)+((0.67*AQ58)/Speed!BD139)</f>
        <v>122.2362455738577</v>
      </c>
      <c r="BR58" s="460">
        <f>((0.33*AR58)/Speed!AE139)+((0.67*AR58)/Speed!BE139)</f>
        <v>125.66637986724388</v>
      </c>
      <c r="BS58" s="460">
        <f>((0.33*AS58)/Speed!AF139)+((0.67*AS58)/Speed!BF139)</f>
        <v>128.04664900068963</v>
      </c>
      <c r="BT58" s="460">
        <f>((0.33*AT58)/Speed!AG139)+((0.67*AT58)/Speed!BG139)</f>
        <v>130.42872468443366</v>
      </c>
      <c r="BU58" s="460">
        <f>((0.33*AU58)/Speed!AH139)+((0.67*AU58)/Speed!BH139)</f>
        <v>132.81287980007198</v>
      </c>
      <c r="BV58" s="460">
        <f>((0.33*AV58)/Speed!AI139)+((0.67*AV58)/Speed!BI139)</f>
        <v>135.19855287834918</v>
      </c>
      <c r="BW58" s="460">
        <f>((0.33*AW58)/Speed!AJ139)+((0.67*AW58)/Speed!BJ139)</f>
        <v>137.60366887671296</v>
      </c>
      <c r="BX58" s="460">
        <f>((0.33*AX58)/Speed!AK139)+((0.67*AX58)/Speed!BK139)</f>
        <v>139.05116039348516</v>
      </c>
      <c r="BY58" s="460">
        <f>((0.33*AY58)/Speed!AL139)+((0.67*AY58)/Speed!BL139)</f>
        <v>140.49981247205523</v>
      </c>
      <c r="BZ58" s="460">
        <f>((0.33*AZ58)/Speed!AM139)+((0.67*AZ58)/Speed!BM139)</f>
        <v>141.9497377679692</v>
      </c>
      <c r="CA58" s="460">
        <f>((0.33*BA58)/Speed!AN139)+((0.67*BA58)/Speed!BN139)</f>
        <v>143.40105845966994</v>
      </c>
      <c r="CB58" s="460">
        <f>((0.33*BB58)/Speed!AO139)+((0.67*BB58)/Speed!BO139)</f>
        <v>144.86390594762008</v>
      </c>
      <c r="CC58" s="460">
        <f>((0.33*BC58)/Speed!AP139)+((0.67*BC58)/Speed!BP139)</f>
        <v>146.31843799366482</v>
      </c>
      <c r="CD58" s="460">
        <f>((0.33*BD58)/Speed!AQ139)+((0.67*BD58)/Speed!BQ139)</f>
        <v>147.78039974360837</v>
      </c>
      <c r="CE58" s="460">
        <f>((0.33*BE58)/Speed!AR139)+((0.67*BE58)/Speed!BR139)</f>
        <v>149.23876400027706</v>
      </c>
      <c r="CF58" s="460">
        <f>((0.33*BF58)/Speed!AS139)+((0.67*BF58)/Speed!BS139)</f>
        <v>150.69930705352868</v>
      </c>
      <c r="CG58" s="460">
        <f>((0.33*BG58)/Speed!AT139)+((0.67*BG58)/Speed!BT139)</f>
        <v>152.17229666235184</v>
      </c>
      <c r="CH58" s="460">
        <f>((0.33*BH58)/Speed!AU139)+((0.67*BH58)/Speed!BU139)</f>
        <v>153.63782096527862</v>
      </c>
      <c r="CI58" s="460">
        <f>((0.33*BI58)/Speed!AV139)+((0.67*BI58)/Speed!BV139)</f>
        <v>155.10616304709134</v>
      </c>
      <c r="CJ58" s="461">
        <f>((0.33*BJ58)/Speed!AW139)+((0.67*BJ58)/Speed!BW139)</f>
        <v>156.5832316722751</v>
      </c>
      <c r="CK58" s="315">
        <f>Inputs!$K$35</f>
        <v>0.2</v>
      </c>
      <c r="CL58" s="315">
        <f>Inputs!$K$36</f>
        <v>0.8</v>
      </c>
      <c r="CM58" s="295">
        <f t="shared" si="225"/>
        <v>0.83333333333333337</v>
      </c>
      <c r="CN58" s="317">
        <v>0.88</v>
      </c>
      <c r="CO58" s="12"/>
      <c r="CP58" s="12"/>
      <c r="CQ58" s="12"/>
      <c r="CR58" s="12"/>
      <c r="CS58" s="12"/>
      <c r="CT58" s="12"/>
      <c r="CU58" s="12"/>
      <c r="CV58" s="12"/>
      <c r="CW58" s="12"/>
      <c r="CX58" s="12"/>
      <c r="CY58" s="12"/>
      <c r="CZ58" s="12"/>
    </row>
    <row r="59" spans="2:104" customFormat="1" ht="21.95" customHeight="1" x14ac:dyDescent="0.2">
      <c r="B59" s="927"/>
      <c r="C59" s="289" t="s">
        <v>338</v>
      </c>
      <c r="D59" s="289" t="s">
        <v>282</v>
      </c>
      <c r="E59" s="289" t="s">
        <v>357</v>
      </c>
      <c r="F59" s="289" t="s">
        <v>379</v>
      </c>
      <c r="G59" s="290">
        <v>55</v>
      </c>
      <c r="H59" s="291">
        <f>6330/foottomile</f>
        <v>1.1988636363636365</v>
      </c>
      <c r="I59" s="290">
        <v>4</v>
      </c>
      <c r="J59" s="342">
        <f>'Trip Gen'!W112</f>
        <v>10000</v>
      </c>
      <c r="K59" s="332">
        <f>'Trip Gen'!X112</f>
        <v>10288.270000000002</v>
      </c>
      <c r="L59" s="332">
        <f>'Trip Gen'!Y112</f>
        <v>10600.29</v>
      </c>
      <c r="M59" s="332">
        <f>'Trip Gen'!Z112</f>
        <v>11014.24</v>
      </c>
      <c r="N59" s="332">
        <f>'Trip Gen'!AA112</f>
        <v>11428.259999999998</v>
      </c>
      <c r="O59" s="332">
        <f>'Trip Gen'!AB112</f>
        <v>11842.449999999999</v>
      </c>
      <c r="P59" s="332">
        <f>'Trip Gen'!AC112</f>
        <v>12256.400000000001</v>
      </c>
      <c r="Q59" s="332">
        <f>'Trip Gen'!AD112</f>
        <v>12670.460000000001</v>
      </c>
      <c r="R59" s="332">
        <f>'Trip Gen'!AE112</f>
        <v>13126.080000000002</v>
      </c>
      <c r="S59" s="332">
        <f>'Trip Gen'!AF112</f>
        <v>13581.55</v>
      </c>
      <c r="T59" s="332">
        <f>'Trip Gen'!AG112</f>
        <v>14037.17</v>
      </c>
      <c r="U59" s="332">
        <f>'Trip Gen'!AH112</f>
        <v>14492.789999999999</v>
      </c>
      <c r="V59" s="332">
        <f>'Trip Gen'!AI112</f>
        <v>14948.670000000002</v>
      </c>
      <c r="W59" s="332">
        <f>'Trip Gen'!AJ112</f>
        <v>15302.32</v>
      </c>
      <c r="X59" s="332">
        <f>'Trip Gen'!AK112</f>
        <v>15590.59</v>
      </c>
      <c r="Y59" s="332">
        <f>'Trip Gen'!AL112</f>
        <v>15878.86</v>
      </c>
      <c r="Z59" s="332">
        <f>'Trip Gen'!AM112</f>
        <v>16167.130000000001</v>
      </c>
      <c r="AA59" s="332">
        <f>'Trip Gen'!AN112</f>
        <v>16455.37</v>
      </c>
      <c r="AB59" s="332">
        <f>'Trip Gen'!AO112</f>
        <v>16743.639999999996</v>
      </c>
      <c r="AC59" s="332">
        <f>'Trip Gen'!AP112</f>
        <v>17031.879999999994</v>
      </c>
      <c r="AD59" s="332">
        <f>'Trip Gen'!AQ112</f>
        <v>17320.150000000001</v>
      </c>
      <c r="AE59" s="332">
        <f>'Trip Gen'!AR112</f>
        <v>17608.420000000002</v>
      </c>
      <c r="AF59" s="332">
        <f>'Trip Gen'!AS112</f>
        <v>17896.66</v>
      </c>
      <c r="AG59" s="332">
        <f>'Trip Gen'!AT112</f>
        <v>18184.93</v>
      </c>
      <c r="AH59" s="332">
        <f>'Trip Gen'!AU112</f>
        <v>18473.2</v>
      </c>
      <c r="AI59" s="333">
        <f>'Trip Gen'!AV112</f>
        <v>18761.440000000002</v>
      </c>
      <c r="AJ59" s="293">
        <f t="shared" si="226"/>
        <v>3.5045760000000009E-2</v>
      </c>
      <c r="AK59" s="342">
        <f t="shared" si="200"/>
        <v>11988.636363636364</v>
      </c>
      <c r="AL59" s="290">
        <f t="shared" si="201"/>
        <v>12334.232784090913</v>
      </c>
      <c r="AM59" s="290">
        <f t="shared" si="202"/>
        <v>12708.302215909092</v>
      </c>
      <c r="AN59" s="290">
        <f t="shared" si="203"/>
        <v>13204.571818181819</v>
      </c>
      <c r="AO59" s="290">
        <f t="shared" si="204"/>
        <v>13700.925340909091</v>
      </c>
      <c r="AP59" s="290">
        <f t="shared" si="205"/>
        <v>14197.482670454545</v>
      </c>
      <c r="AQ59" s="290">
        <f t="shared" si="206"/>
        <v>14693.752272727275</v>
      </c>
      <c r="AR59" s="290">
        <f t="shared" si="207"/>
        <v>15190.153750000003</v>
      </c>
      <c r="AS59" s="290">
        <f t="shared" si="208"/>
        <v>15736.380000000003</v>
      </c>
      <c r="AT59" s="290">
        <f t="shared" si="209"/>
        <v>16282.426420454545</v>
      </c>
      <c r="AU59" s="290">
        <f t="shared" si="210"/>
        <v>16828.652670454547</v>
      </c>
      <c r="AV59" s="290">
        <f t="shared" si="211"/>
        <v>17374.878920454546</v>
      </c>
      <c r="AW59" s="290">
        <f t="shared" si="212"/>
        <v>17921.416875000003</v>
      </c>
      <c r="AX59" s="290">
        <f t="shared" si="213"/>
        <v>18345.395</v>
      </c>
      <c r="AY59" s="290">
        <f t="shared" si="214"/>
        <v>18690.991420454546</v>
      </c>
      <c r="AZ59" s="290">
        <f t="shared" si="215"/>
        <v>19036.587840909095</v>
      </c>
      <c r="BA59" s="290">
        <f t="shared" si="216"/>
        <v>19382.18426136364</v>
      </c>
      <c r="BB59" s="290">
        <f t="shared" si="217"/>
        <v>19727.744715909092</v>
      </c>
      <c r="BC59" s="290">
        <f t="shared" si="218"/>
        <v>20073.341136363633</v>
      </c>
      <c r="BD59" s="290">
        <f t="shared" si="219"/>
        <v>20418.901590909085</v>
      </c>
      <c r="BE59" s="290">
        <f t="shared" si="220"/>
        <v>20764.498011363641</v>
      </c>
      <c r="BF59" s="290">
        <f t="shared" si="221"/>
        <v>21110.094431818186</v>
      </c>
      <c r="BG59" s="290">
        <f t="shared" si="222"/>
        <v>21455.654886363638</v>
      </c>
      <c r="BH59" s="290">
        <f t="shared" si="223"/>
        <v>21801.251306818183</v>
      </c>
      <c r="BI59" s="290">
        <f t="shared" si="224"/>
        <v>22146.847727272729</v>
      </c>
      <c r="BJ59" s="343">
        <f t="shared" ref="BJ59:BJ61" si="227">$H59*AI59</f>
        <v>22492.408181818188</v>
      </c>
      <c r="BK59" s="423">
        <f>((0.33*'Traffic Data'!AK59)/Speed!X140)+((0.67*'Traffic Data'!AK59)/Speed!AX140)</f>
        <v>214.46577905864618</v>
      </c>
      <c r="BL59" s="424">
        <f>((0.33*AL59)/Speed!Y140)+((0.67*AL59)/Speed!AY140)</f>
        <v>220.64818821987501</v>
      </c>
      <c r="BM59" s="424">
        <f>((0.33*AM59)/Speed!Z140)+((0.67*AM59)/Speed!AZ140)</f>
        <v>227.33995559997894</v>
      </c>
      <c r="BN59" s="424">
        <f>((0.33*AN59)/Speed!AA140)+((0.67*AN59)/Speed!BA140)</f>
        <v>236.21777822389637</v>
      </c>
      <c r="BO59" s="424">
        <f>((0.33*AO59)/Speed!AB140)+((0.67*AO59)/Speed!BB140)</f>
        <v>245.09710767466362</v>
      </c>
      <c r="BP59" s="424">
        <f>((0.33*AP59)/Speed!AC140)+((0.67*AP59)/Speed!BC140)</f>
        <v>253.98009080795657</v>
      </c>
      <c r="BQ59" s="424">
        <f>((0.33*AQ59)/Speed!AD140)+((0.67*AQ59)/Speed!BD140)</f>
        <v>262.85793742110286</v>
      </c>
      <c r="BR59" s="424">
        <f>((0.33*AR59)/Speed!AE140)+((0.67*AR59)/Speed!BE140)</f>
        <v>271.73815770362825</v>
      </c>
      <c r="BS59" s="424">
        <f>((0.33*AS59)/Speed!AF140)+((0.67*AS59)/Speed!BF140)</f>
        <v>281.50972569035298</v>
      </c>
      <c r="BT59" s="424">
        <f>((0.33*AT59)/Speed!AG140)+((0.67*AT59)/Speed!BG140)</f>
        <v>291.27810928322657</v>
      </c>
      <c r="BU59" s="424">
        <f>((0.33*AU59)/Speed!AH140)+((0.67*AU59)/Speed!BH140)</f>
        <v>301.04975423549342</v>
      </c>
      <c r="BV59" s="424">
        <f>((0.33*AV59)/Speed!AI140)+((0.67*AV59)/Speed!BI140)</f>
        <v>310.82145883664066</v>
      </c>
      <c r="BW59" s="424">
        <f>((0.33*AW59)/Speed!AJ140)+((0.67*AW59)/Speed!BJ140)</f>
        <v>320.59881922816004</v>
      </c>
      <c r="BX59" s="424">
        <f>((0.33*AX59)/Speed!AK140)+((0.67*AX59)/Speed!BK140)</f>
        <v>328.18370078050259</v>
      </c>
      <c r="BY59" s="424">
        <f>((0.33*AY59)/Speed!AL140)+((0.67*AY59)/Speed!BL140)</f>
        <v>334.36640659908471</v>
      </c>
      <c r="BZ59" s="424">
        <f>((0.33*AZ59)/Speed!AM140)+((0.67*AZ59)/Speed!BM140)</f>
        <v>340.54917356646649</v>
      </c>
      <c r="CA59" s="424">
        <f>((0.33*BA59)/Speed!AN140)+((0.67*BA59)/Speed!BN140)</f>
        <v>346.73201263991746</v>
      </c>
      <c r="CB59" s="424">
        <f>((0.33*BB59)/Speed!AO140)+((0.67*BB59)/Speed!BO140)</f>
        <v>352.91429303139887</v>
      </c>
      <c r="CC59" s="424">
        <f>((0.33*BC59)/Speed!AP140)+((0.67*BC59)/Speed!BP140)</f>
        <v>359.09731625157406</v>
      </c>
      <c r="CD59" s="424">
        <f>((0.33*BD59)/Speed!AQ140)+((0.67*BD59)/Speed!BQ140)</f>
        <v>365.27981217910178</v>
      </c>
      <c r="CE59" s="424">
        <f>((0.33*BE59)/Speed!AR140)+((0.67*BE59)/Speed!BR140)</f>
        <v>371.4630870458862</v>
      </c>
      <c r="CF59" s="424">
        <f>((0.33*BF59)/Speed!AS140)+((0.67*BF59)/Speed!BS140)</f>
        <v>377.64651946542722</v>
      </c>
      <c r="CG59" s="424">
        <f>((0.33*BG59)/Speed!AT140)+((0.67*BG59)/Speed!BT140)</f>
        <v>383.82949112809354</v>
      </c>
      <c r="CH59" s="424">
        <f>((0.33*BH59)/Speed!AU140)+((0.67*BH59)/Speed!BU140)</f>
        <v>390.01331782986495</v>
      </c>
      <c r="CI59" s="424">
        <f>((0.33*BI59)/Speed!AV140)+((0.67*BI59)/Speed!BV140)</f>
        <v>396.19738876159977</v>
      </c>
      <c r="CJ59" s="432">
        <f>((0.33*BJ59)/Speed!AW140)+((0.67*BJ59)/Speed!BW140)</f>
        <v>402.38109743135249</v>
      </c>
      <c r="CK59" s="1426">
        <f>Inputs!$L$35</f>
        <v>0.2</v>
      </c>
      <c r="CL59" s="1425">
        <f>Inputs!$L$36</f>
        <v>0.8</v>
      </c>
      <c r="CM59" s="1428">
        <f>1/(1+CK59)</f>
        <v>0.83333333333333337</v>
      </c>
      <c r="CN59" s="1431">
        <v>0.9</v>
      </c>
      <c r="CO59" s="12"/>
      <c r="CP59" s="12"/>
      <c r="CQ59" s="12"/>
      <c r="CR59" s="12"/>
      <c r="CS59" s="12"/>
      <c r="CT59" s="12"/>
      <c r="CU59" s="12"/>
      <c r="CV59" s="12"/>
      <c r="CW59" s="12"/>
      <c r="CX59" s="12"/>
      <c r="CY59" s="12"/>
      <c r="CZ59" s="12"/>
    </row>
    <row r="60" spans="2:104" customFormat="1" ht="21.95" customHeight="1" x14ac:dyDescent="0.2">
      <c r="B60" s="927"/>
      <c r="C60" s="289"/>
      <c r="D60" s="289" t="s">
        <v>357</v>
      </c>
      <c r="E60" s="289" t="s">
        <v>346</v>
      </c>
      <c r="F60" s="289" t="s">
        <v>380</v>
      </c>
      <c r="G60" s="290">
        <v>55</v>
      </c>
      <c r="H60" s="291">
        <f>1213/foottomile</f>
        <v>0.22973484848484849</v>
      </c>
      <c r="I60" s="290">
        <v>4</v>
      </c>
      <c r="J60" s="342">
        <f>'Trip Gen'!W113</f>
        <v>7600</v>
      </c>
      <c r="K60" s="332">
        <f>'Trip Gen'!X113</f>
        <v>7815.7</v>
      </c>
      <c r="L60" s="332">
        <f>'Trip Gen'!Y113</f>
        <v>8055.07</v>
      </c>
      <c r="M60" s="332">
        <f>'Trip Gen'!Z113</f>
        <v>8391.0499999999993</v>
      </c>
      <c r="N60" s="332">
        <f>'Trip Gen'!AA113</f>
        <v>8727.09</v>
      </c>
      <c r="O60" s="332">
        <f>'Trip Gen'!AB113</f>
        <v>9063.1999999999989</v>
      </c>
      <c r="P60" s="332">
        <f>'Trip Gen'!AC113</f>
        <v>9399.18</v>
      </c>
      <c r="Q60" s="332">
        <f>'Trip Gen'!AD113</f>
        <v>9735.18</v>
      </c>
      <c r="R60" s="332">
        <f>'Trip Gen'!AE113</f>
        <v>10112.830000000002</v>
      </c>
      <c r="S60" s="332">
        <f>'Trip Gen'!AF113</f>
        <v>10490.349999999999</v>
      </c>
      <c r="T60" s="332">
        <f>'Trip Gen'!AG113</f>
        <v>10867.999999999998</v>
      </c>
      <c r="U60" s="332">
        <f>'Trip Gen'!AH113</f>
        <v>11245.649999999998</v>
      </c>
      <c r="V60" s="332">
        <f>'Trip Gen'!AI113</f>
        <v>11623.36</v>
      </c>
      <c r="W60" s="332">
        <f>'Trip Gen'!AJ113</f>
        <v>11904.439999999999</v>
      </c>
      <c r="X60" s="332">
        <f>'Trip Gen'!AK113</f>
        <v>12120.14</v>
      </c>
      <c r="Y60" s="332">
        <f>'Trip Gen'!AL113</f>
        <v>12335.84</v>
      </c>
      <c r="Z60" s="332">
        <f>'Trip Gen'!AM113</f>
        <v>12551.539999999999</v>
      </c>
      <c r="AA60" s="332">
        <f>'Trip Gen'!AN113</f>
        <v>12767.129999999997</v>
      </c>
      <c r="AB60" s="332">
        <f>'Trip Gen'!AO113</f>
        <v>12982.829999999998</v>
      </c>
      <c r="AC60" s="332">
        <f>'Trip Gen'!AP113</f>
        <v>13198.42</v>
      </c>
      <c r="AD60" s="332">
        <f>'Trip Gen'!AQ113</f>
        <v>13414.119999999999</v>
      </c>
      <c r="AE60" s="332">
        <f>'Trip Gen'!AR113</f>
        <v>13629.82</v>
      </c>
      <c r="AF60" s="332">
        <f>'Trip Gen'!AS113</f>
        <v>13845.409999999998</v>
      </c>
      <c r="AG60" s="332">
        <f>'Trip Gen'!AT113</f>
        <v>14061.109999999999</v>
      </c>
      <c r="AH60" s="332">
        <f>'Trip Gen'!AU113</f>
        <v>14276.809999999998</v>
      </c>
      <c r="AI60" s="333">
        <f>'Trip Gen'!AV113</f>
        <v>14492.399999999998</v>
      </c>
      <c r="AJ60" s="293">
        <f t="shared" si="226"/>
        <v>3.6275789473684199E-2</v>
      </c>
      <c r="AK60" s="342">
        <f t="shared" si="200"/>
        <v>1745.9848484848485</v>
      </c>
      <c r="AL60" s="290">
        <f t="shared" si="201"/>
        <v>1795.5386553030303</v>
      </c>
      <c r="AM60" s="290">
        <f t="shared" si="202"/>
        <v>1850.5302859848484</v>
      </c>
      <c r="AN60" s="290">
        <f t="shared" si="203"/>
        <v>1927.7166003787877</v>
      </c>
      <c r="AO60" s="290">
        <f t="shared" si="204"/>
        <v>2004.9166988636364</v>
      </c>
      <c r="AP60" s="290">
        <f t="shared" si="205"/>
        <v>2082.1328787878783</v>
      </c>
      <c r="AQ60" s="290">
        <f t="shared" si="206"/>
        <v>2159.3191931818183</v>
      </c>
      <c r="AR60" s="290">
        <f t="shared" si="207"/>
        <v>2236.5101022727272</v>
      </c>
      <c r="AS60" s="290">
        <f t="shared" si="208"/>
        <v>2323.2694678030307</v>
      </c>
      <c r="AT60" s="290">
        <f t="shared" si="209"/>
        <v>2409.9989678030302</v>
      </c>
      <c r="AU60" s="290">
        <f t="shared" si="210"/>
        <v>2496.7583333333328</v>
      </c>
      <c r="AV60" s="290">
        <f t="shared" si="211"/>
        <v>2583.5176988636358</v>
      </c>
      <c r="AW60" s="290">
        <f t="shared" si="212"/>
        <v>2670.2908484848485</v>
      </c>
      <c r="AX60" s="290">
        <f t="shared" si="213"/>
        <v>2734.8647196969696</v>
      </c>
      <c r="AY60" s="290">
        <f t="shared" si="214"/>
        <v>2784.4185265151514</v>
      </c>
      <c r="AZ60" s="290">
        <f t="shared" si="215"/>
        <v>2833.9723333333336</v>
      </c>
      <c r="BA60" s="290">
        <f t="shared" si="216"/>
        <v>2883.5261401515149</v>
      </c>
      <c r="BB60" s="290">
        <f t="shared" si="217"/>
        <v>2933.054676136363</v>
      </c>
      <c r="BC60" s="290">
        <f t="shared" si="218"/>
        <v>2982.6084829545453</v>
      </c>
      <c r="BD60" s="290">
        <f t="shared" si="219"/>
        <v>3032.1370189393938</v>
      </c>
      <c r="BE60" s="290">
        <f t="shared" si="220"/>
        <v>3081.6908257575756</v>
      </c>
      <c r="BF60" s="290">
        <f t="shared" si="221"/>
        <v>3131.2446325757574</v>
      </c>
      <c r="BG60" s="290">
        <f t="shared" si="222"/>
        <v>3180.7731685606054</v>
      </c>
      <c r="BH60" s="290">
        <f t="shared" si="223"/>
        <v>3230.3269753787877</v>
      </c>
      <c r="BI60" s="290">
        <f t="shared" si="224"/>
        <v>3279.880782196969</v>
      </c>
      <c r="BJ60" s="343">
        <f t="shared" si="227"/>
        <v>3329.4093181818175</v>
      </c>
      <c r="BK60" s="423">
        <f>((0.33*'Traffic Data'!AK60)/Speed!X141)+((0.67*'Traffic Data'!AK60)/Speed!AX141)</f>
        <v>31.234076116374347</v>
      </c>
      <c r="BL60" s="424">
        <f>((0.33*AL60)/Speed!Y141)+((0.67*AL60)/Speed!AY141)</f>
        <v>32.120548551664228</v>
      </c>
      <c r="BM60" s="424">
        <f>((0.33*AM60)/Speed!Z141)+((0.67*AM60)/Speed!AZ141)</f>
        <v>33.104298714799931</v>
      </c>
      <c r="BN60" s="424">
        <f>((0.33*AN60)/Speed!AA141)+((0.67*AN60)/Speed!BA141)</f>
        <v>34.4850915824601</v>
      </c>
      <c r="BO60" s="424">
        <f>((0.33*AO60)/Speed!AB141)+((0.67*AO60)/Speed!BB141)</f>
        <v>35.866131095747598</v>
      </c>
      <c r="BP60" s="424">
        <f>((0.33*AP60)/Speed!AC141)+((0.67*AP60)/Speed!BC141)</f>
        <v>37.24745837789014</v>
      </c>
      <c r="BQ60" s="424">
        <f>((0.33*AQ60)/Speed!AD141)+((0.67*AQ60)/Speed!BD141)</f>
        <v>38.628251514288444</v>
      </c>
      <c r="BR60" s="424">
        <f>((0.33*AR60)/Speed!AE141)+((0.67*AR60)/Speed!BE141)</f>
        <v>40.009127014068632</v>
      </c>
      <c r="BS60" s="424">
        <f>((0.33*AS60)/Speed!AF141)+((0.67*AS60)/Speed!BF141)</f>
        <v>41.561173818789896</v>
      </c>
      <c r="BT60" s="424">
        <f>((0.33*AT60)/Speed!AG141)+((0.67*AT60)/Speed!BG141)</f>
        <v>43.112686767272081</v>
      </c>
      <c r="BU60" s="424">
        <f>((0.33*AU60)/Speed!AH141)+((0.67*AU60)/Speed!BH141)</f>
        <v>44.664734555035196</v>
      </c>
      <c r="BV60" s="424">
        <f>((0.33*AV60)/Speed!AI141)+((0.67*AV60)/Speed!BI141)</f>
        <v>46.216783128509725</v>
      </c>
      <c r="BW60" s="424">
        <f>((0.33*AW60)/Speed!AJ141)+((0.67*AW60)/Speed!BJ141)</f>
        <v>47.769079355491229</v>
      </c>
      <c r="BX60" s="424">
        <f>((0.33*AX60)/Speed!AK141)+((0.67*AX60)/Speed!BK141)</f>
        <v>48.924250695110807</v>
      </c>
      <c r="BY60" s="424">
        <f>((0.33*AY60)/Speed!AL141)+((0.67*AY60)/Speed!BL141)</f>
        <v>49.810726582266469</v>
      </c>
      <c r="BZ60" s="424">
        <f>((0.33*AZ60)/Speed!AM141)+((0.67*AZ60)/Speed!BM141)</f>
        <v>50.697203149697522</v>
      </c>
      <c r="CA60" s="424">
        <f>((0.33*BA60)/Speed!AN141)+((0.67*BA60)/Speed!BN141)</f>
        <v>51.583680514412421</v>
      </c>
      <c r="CB60" s="424">
        <f>((0.33*BB60)/Speed!AO141)+((0.67*BB60)/Speed!BO141)</f>
        <v>52.469706735539802</v>
      </c>
      <c r="CC60" s="424">
        <f>((0.33*BC60)/Speed!AP141)+((0.67*BC60)/Speed!BP141)</f>
        <v>53.356186117708226</v>
      </c>
      <c r="CD60" s="424">
        <f>((0.33*BD60)/Speed!AQ141)+((0.67*BD60)/Speed!BQ141)</f>
        <v>54.242214685981281</v>
      </c>
      <c r="CE60" s="424">
        <f>((0.33*BE60)/Speed!AR141)+((0.67*BE60)/Speed!BR141)</f>
        <v>55.128696794783082</v>
      </c>
      <c r="CF60" s="424">
        <f>((0.33*BF60)/Speed!AS141)+((0.67*BF60)/Speed!BS141)</f>
        <v>56.015180598045049</v>
      </c>
      <c r="CG60" s="424">
        <f>((0.33*BG60)/Speed!AT141)+((0.67*BG60)/Speed!BT141)</f>
        <v>56.901214277758683</v>
      </c>
      <c r="CH60" s="424">
        <f>((0.33*BH60)/Speed!AU141)+((0.67*BH60)/Speed!BU141)</f>
        <v>57.787702288511326</v>
      </c>
      <c r="CI60" s="424">
        <f>((0.33*BI60)/Speed!AV141)+((0.67*BI60)/Speed!BV141)</f>
        <v>58.67419288799919</v>
      </c>
      <c r="CJ60" s="432">
        <f>((0.33*BJ60)/Speed!AW141)+((0.67*BJ60)/Speed!BW141)</f>
        <v>59.560234372457685</v>
      </c>
      <c r="CK60" s="1426"/>
      <c r="CL60" s="1426"/>
      <c r="CM60" s="1429"/>
      <c r="CN60" s="1432"/>
      <c r="CO60" s="12"/>
      <c r="CP60" s="12"/>
      <c r="CQ60" s="12"/>
      <c r="CR60" s="12"/>
      <c r="CS60" s="12"/>
      <c r="CT60" s="12"/>
      <c r="CU60" s="12"/>
      <c r="CV60" s="12"/>
      <c r="CW60" s="12"/>
      <c r="CX60" s="12"/>
      <c r="CY60" s="12"/>
      <c r="CZ60" s="12"/>
    </row>
    <row r="61" spans="2:104" customFormat="1" ht="21.95" customHeight="1" x14ac:dyDescent="0.2">
      <c r="B61" s="927"/>
      <c r="C61" s="289"/>
      <c r="D61" s="289" t="s">
        <v>346</v>
      </c>
      <c r="E61" s="289" t="s">
        <v>343</v>
      </c>
      <c r="F61" s="289" t="s">
        <v>380</v>
      </c>
      <c r="G61" s="290">
        <v>45</v>
      </c>
      <c r="H61" s="291">
        <f>300/foottomile</f>
        <v>5.6818181818181816E-2</v>
      </c>
      <c r="I61" s="290">
        <v>4</v>
      </c>
      <c r="J61" s="342">
        <f>J60</f>
        <v>7600</v>
      </c>
      <c r="K61" s="332">
        <f>K60</f>
        <v>7815.7</v>
      </c>
      <c r="L61" s="332">
        <f t="shared" ref="L61:AH61" si="228">L60</f>
        <v>8055.07</v>
      </c>
      <c r="M61" s="332">
        <f t="shared" si="228"/>
        <v>8391.0499999999993</v>
      </c>
      <c r="N61" s="332">
        <f t="shared" si="228"/>
        <v>8727.09</v>
      </c>
      <c r="O61" s="332">
        <f t="shared" si="228"/>
        <v>9063.1999999999989</v>
      </c>
      <c r="P61" s="332">
        <f t="shared" si="228"/>
        <v>9399.18</v>
      </c>
      <c r="Q61" s="332">
        <f t="shared" si="228"/>
        <v>9735.18</v>
      </c>
      <c r="R61" s="332">
        <f t="shared" si="228"/>
        <v>10112.830000000002</v>
      </c>
      <c r="S61" s="332">
        <f t="shared" si="228"/>
        <v>10490.349999999999</v>
      </c>
      <c r="T61" s="332">
        <f t="shared" si="228"/>
        <v>10867.999999999998</v>
      </c>
      <c r="U61" s="332">
        <f t="shared" si="228"/>
        <v>11245.649999999998</v>
      </c>
      <c r="V61" s="332">
        <f t="shared" si="228"/>
        <v>11623.36</v>
      </c>
      <c r="W61" s="332">
        <f t="shared" si="228"/>
        <v>11904.439999999999</v>
      </c>
      <c r="X61" s="332">
        <f t="shared" si="228"/>
        <v>12120.14</v>
      </c>
      <c r="Y61" s="332">
        <f t="shared" si="228"/>
        <v>12335.84</v>
      </c>
      <c r="Z61" s="332">
        <f t="shared" si="228"/>
        <v>12551.539999999999</v>
      </c>
      <c r="AA61" s="332">
        <f t="shared" si="228"/>
        <v>12767.129999999997</v>
      </c>
      <c r="AB61" s="332">
        <f t="shared" si="228"/>
        <v>12982.829999999998</v>
      </c>
      <c r="AC61" s="332">
        <f t="shared" si="228"/>
        <v>13198.42</v>
      </c>
      <c r="AD61" s="332">
        <f t="shared" si="228"/>
        <v>13414.119999999999</v>
      </c>
      <c r="AE61" s="332">
        <f t="shared" si="228"/>
        <v>13629.82</v>
      </c>
      <c r="AF61" s="332">
        <f t="shared" si="228"/>
        <v>13845.409999999998</v>
      </c>
      <c r="AG61" s="332">
        <f t="shared" si="228"/>
        <v>14061.109999999999</v>
      </c>
      <c r="AH61" s="332">
        <f t="shared" si="228"/>
        <v>14276.809999999998</v>
      </c>
      <c r="AI61" s="333">
        <f>AI60</f>
        <v>14492.399999999998</v>
      </c>
      <c r="AJ61" s="293">
        <f t="shared" si="226"/>
        <v>3.6275789473684199E-2</v>
      </c>
      <c r="AK61" s="342">
        <f t="shared" si="200"/>
        <v>431.81818181818181</v>
      </c>
      <c r="AL61" s="290">
        <f t="shared" si="201"/>
        <v>444.07386363636363</v>
      </c>
      <c r="AM61" s="290">
        <f t="shared" si="202"/>
        <v>457.6744318181818</v>
      </c>
      <c r="AN61" s="290">
        <f t="shared" si="203"/>
        <v>476.7642045454545</v>
      </c>
      <c r="AO61" s="290">
        <f t="shared" si="204"/>
        <v>495.85738636363635</v>
      </c>
      <c r="AP61" s="290">
        <f t="shared" si="205"/>
        <v>514.95454545454538</v>
      </c>
      <c r="AQ61" s="290">
        <f t="shared" si="206"/>
        <v>534.0443181818182</v>
      </c>
      <c r="AR61" s="290">
        <f t="shared" si="207"/>
        <v>553.13522727272732</v>
      </c>
      <c r="AS61" s="290">
        <f t="shared" si="208"/>
        <v>574.59261363636369</v>
      </c>
      <c r="AT61" s="290">
        <f t="shared" si="209"/>
        <v>596.04261363636351</v>
      </c>
      <c r="AU61" s="290">
        <f t="shared" si="210"/>
        <v>617.49999999999989</v>
      </c>
      <c r="AV61" s="290">
        <f t="shared" si="211"/>
        <v>638.95738636363626</v>
      </c>
      <c r="AW61" s="290">
        <f t="shared" si="212"/>
        <v>660.41818181818178</v>
      </c>
      <c r="AX61" s="290">
        <f t="shared" si="213"/>
        <v>676.38863636363624</v>
      </c>
      <c r="AY61" s="290">
        <f t="shared" si="214"/>
        <v>688.64431818181811</v>
      </c>
      <c r="AZ61" s="290">
        <f t="shared" si="215"/>
        <v>700.9</v>
      </c>
      <c r="BA61" s="290">
        <f t="shared" si="216"/>
        <v>713.15568181818173</v>
      </c>
      <c r="BB61" s="290">
        <f t="shared" si="217"/>
        <v>725.40511363636347</v>
      </c>
      <c r="BC61" s="290">
        <f t="shared" si="218"/>
        <v>737.66079545454534</v>
      </c>
      <c r="BD61" s="290">
        <f t="shared" si="219"/>
        <v>749.9102272727273</v>
      </c>
      <c r="BE61" s="290">
        <f t="shared" si="220"/>
        <v>762.16590909090905</v>
      </c>
      <c r="BF61" s="290">
        <f t="shared" si="221"/>
        <v>774.42159090909092</v>
      </c>
      <c r="BG61" s="290">
        <f t="shared" si="222"/>
        <v>786.67102272727254</v>
      </c>
      <c r="BH61" s="290">
        <f t="shared" si="223"/>
        <v>798.92670454545441</v>
      </c>
      <c r="BI61" s="290">
        <f t="shared" si="224"/>
        <v>811.18238636363617</v>
      </c>
      <c r="BJ61" s="343">
        <f t="shared" si="227"/>
        <v>823.43181818181802</v>
      </c>
      <c r="BK61" s="423">
        <f>((0.33*'Traffic Data'!AK61)/Speed!X142)+((0.67*'Traffic Data'!AK61)/Speed!AX142)</f>
        <v>9.4078036195684422</v>
      </c>
      <c r="BL61" s="424">
        <f>((0.33*AL61)/Speed!Y142)+((0.67*AL61)/Speed!AY142)</f>
        <v>9.6748119719759647</v>
      </c>
      <c r="BM61" s="424">
        <f>((0.33*AM61)/Speed!Z142)+((0.67*AM61)/Speed!AZ142)</f>
        <v>9.9711206973509867</v>
      </c>
      <c r="BN61" s="424">
        <f>((0.33*AN61)/Speed!AA142)+((0.67*AN61)/Speed!BA142)</f>
        <v>10.387019986577329</v>
      </c>
      <c r="BO61" s="424">
        <f>((0.33*AO61)/Speed!AB142)+((0.67*AO61)/Speed!BB142)</f>
        <v>10.802993597772398</v>
      </c>
      <c r="BP61" s="424">
        <f>((0.33*AP61)/Speed!AC142)+((0.67*AP61)/Speed!BC142)</f>
        <v>11.219053930733216</v>
      </c>
      <c r="BQ61" s="424">
        <f>((0.33*AQ61)/Speed!AD142)+((0.67*AQ61)/Speed!BD142)</f>
        <v>11.634953440173998</v>
      </c>
      <c r="BR61" s="424">
        <f>((0.33*AR61)/Speed!AE142)+((0.67*AR61)/Speed!BE142)</f>
        <v>12.050877845022891</v>
      </c>
      <c r="BS61" s="424">
        <f>((0.33*AS61)/Speed!AF142)+((0.67*AS61)/Speed!BF142)</f>
        <v>12.518359774879601</v>
      </c>
      <c r="BT61" s="424">
        <f>((0.33*AT61)/Speed!AG142)+((0.67*AT61)/Speed!BG142)</f>
        <v>12.985681118448058</v>
      </c>
      <c r="BU61" s="424">
        <f>((0.33*AU61)/Speed!AH142)+((0.67*AU61)/Speed!BH142)</f>
        <v>13.453163853847396</v>
      </c>
      <c r="BV61" s="424">
        <f>((0.33*AV61)/Speed!AI142)+((0.67*AV61)/Speed!BI142)</f>
        <v>13.920647233089133</v>
      </c>
      <c r="BW61" s="424">
        <f>((0.33*AW61)/Speed!AJ142)+((0.67*AW61)/Speed!BJ142)</f>
        <v>14.388205760195277</v>
      </c>
      <c r="BX61" s="424">
        <f>((0.33*AX61)/Speed!AK142)+((0.67*AX61)/Speed!BK142)</f>
        <v>14.736148975987113</v>
      </c>
      <c r="BY61" s="424">
        <f>((0.33*AY61)/Speed!AL142)+((0.67*AY61)/Speed!BL142)</f>
        <v>15.003160156987317</v>
      </c>
      <c r="BZ61" s="424">
        <f>((0.33*AZ61)/Speed!AM142)+((0.67*AZ61)/Speed!BM142)</f>
        <v>15.270171895431563</v>
      </c>
      <c r="CA61" s="424">
        <f>((0.33*BA61)/Speed!AN142)+((0.67*BA61)/Speed!BN142)</f>
        <v>15.537184287201123</v>
      </c>
      <c r="CB61" s="424">
        <f>((0.33*BB61)/Speed!AO142)+((0.67*BB61)/Speed!BO142)</f>
        <v>15.804061274295618</v>
      </c>
      <c r="CC61" s="424">
        <f>((0.33*BC61)/Speed!AP142)+((0.67*BC61)/Speed!BP142)</f>
        <v>16.071075319244823</v>
      </c>
      <c r="CD61" s="424">
        <f>((0.33*BD61)/Speed!AQ142)+((0.67*BD61)/Speed!BQ142)</f>
        <v>16.337954229681515</v>
      </c>
      <c r="CE61" s="424">
        <f>((0.33*BE61)/Speed!AR142)+((0.67*BE61)/Speed!BR142)</f>
        <v>16.604970508939857</v>
      </c>
      <c r="CF61" s="424">
        <f>((0.33*BF61)/Speed!AS142)+((0.67*BF61)/Speed!BS142)</f>
        <v>16.871988176704569</v>
      </c>
      <c r="CG61" s="424">
        <f>((0.33*BG61)/Speed!AT142)+((0.67*BG61)/Speed!BT142)</f>
        <v>17.138871275653894</v>
      </c>
      <c r="CH61" s="424">
        <f>((0.33*BH61)/Speed!AU142)+((0.67*BH61)/Speed!BU142)</f>
        <v>17.405892391199643</v>
      </c>
      <c r="CI61" s="424">
        <f>((0.33*BI61)/Speed!AV142)+((0.67*BI61)/Speed!BV142)</f>
        <v>17.672915628055435</v>
      </c>
      <c r="CJ61" s="432">
        <f>((0.33*BJ61)/Speed!AW142)+((0.67*BJ61)/Speed!BW142)</f>
        <v>17.939805122515388</v>
      </c>
      <c r="CK61" s="1426"/>
      <c r="CL61" s="1426"/>
      <c r="CM61" s="1429"/>
      <c r="CN61" s="1432"/>
      <c r="CO61" s="12"/>
      <c r="CP61" s="12"/>
      <c r="CQ61" s="12"/>
      <c r="CR61" s="12"/>
      <c r="CS61" s="12"/>
      <c r="CT61" s="12"/>
      <c r="CU61" s="12"/>
      <c r="CV61" s="12"/>
      <c r="CW61" s="12"/>
      <c r="CX61" s="12"/>
      <c r="CY61" s="12"/>
      <c r="CZ61" s="12"/>
    </row>
    <row r="62" spans="2:104" customFormat="1" ht="21.95" customHeight="1" x14ac:dyDescent="0.2">
      <c r="B62" s="927"/>
      <c r="C62" s="289"/>
      <c r="D62" s="289" t="s">
        <v>343</v>
      </c>
      <c r="E62" s="289" t="s">
        <v>350</v>
      </c>
      <c r="F62" s="289" t="s">
        <v>381</v>
      </c>
      <c r="G62" s="290">
        <v>45</v>
      </c>
      <c r="H62" s="291">
        <f>975/foottomile</f>
        <v>0.18465909090909091</v>
      </c>
      <c r="I62" s="290">
        <v>4</v>
      </c>
      <c r="J62" s="342">
        <f>'Trip Gen'!W114</f>
        <v>6000</v>
      </c>
      <c r="K62" s="332">
        <f>'Trip Gen'!X114</f>
        <v>6170.14</v>
      </c>
      <c r="L62" s="332">
        <f>'Trip Gen'!Y114</f>
        <v>6364.0099999999993</v>
      </c>
      <c r="M62" s="332">
        <f>'Trip Gen'!Z114</f>
        <v>6611.7300000000005</v>
      </c>
      <c r="N62" s="332">
        <f>'Trip Gen'!AA114</f>
        <v>6859.53</v>
      </c>
      <c r="O62" s="332">
        <f>'Trip Gen'!AB114</f>
        <v>7107.2900000000027</v>
      </c>
      <c r="P62" s="332">
        <f>'Trip Gen'!AC114</f>
        <v>7355.0100000000011</v>
      </c>
      <c r="Q62" s="332">
        <f>'Trip Gen'!AD114</f>
        <v>7602.7800000000016</v>
      </c>
      <c r="R62" s="332">
        <f>'Trip Gen'!AE114</f>
        <v>7882.82</v>
      </c>
      <c r="S62" s="332">
        <f>'Trip Gen'!AF114</f>
        <v>8162.85</v>
      </c>
      <c r="T62" s="332">
        <f>'Trip Gen'!AG114</f>
        <v>8442.85</v>
      </c>
      <c r="U62" s="332">
        <f>'Trip Gen'!AH114</f>
        <v>8722.8900000000012</v>
      </c>
      <c r="V62" s="332">
        <f>'Trip Gen'!AI114</f>
        <v>9002.98</v>
      </c>
      <c r="W62" s="332">
        <f>'Trip Gen'!AJ114</f>
        <v>9229.16</v>
      </c>
      <c r="X62" s="332">
        <f>'Trip Gen'!AK114</f>
        <v>9399.3000000000011</v>
      </c>
      <c r="Y62" s="332">
        <f>'Trip Gen'!AL114</f>
        <v>9569.4400000000023</v>
      </c>
      <c r="Z62" s="332">
        <f>'Trip Gen'!AM114</f>
        <v>9739.5800000000017</v>
      </c>
      <c r="AA62" s="332">
        <f>'Trip Gen'!AN114</f>
        <v>9909.6700000000019</v>
      </c>
      <c r="AB62" s="332">
        <f>'Trip Gen'!AO114</f>
        <v>10079.809999999998</v>
      </c>
      <c r="AC62" s="332">
        <f>'Trip Gen'!AP114</f>
        <v>10249.899999999998</v>
      </c>
      <c r="AD62" s="332">
        <f>'Trip Gen'!AQ114</f>
        <v>10420.039999999997</v>
      </c>
      <c r="AE62" s="332">
        <f>'Trip Gen'!AR114</f>
        <v>10590.179999999998</v>
      </c>
      <c r="AF62" s="332">
        <f>'Trip Gen'!AS114</f>
        <v>10760.269999999997</v>
      </c>
      <c r="AG62" s="332">
        <f>'Trip Gen'!AT114</f>
        <v>10930.409999999998</v>
      </c>
      <c r="AH62" s="332">
        <f>'Trip Gen'!AU114</f>
        <v>11100.549999999997</v>
      </c>
      <c r="AI62" s="333">
        <f>'Trip Gen'!AV114</f>
        <v>11270.639999999998</v>
      </c>
      <c r="AJ62" s="293">
        <f t="shared" si="226"/>
        <v>3.5137599999999984E-2</v>
      </c>
      <c r="AK62" s="342">
        <f t="shared" si="200"/>
        <v>1107.9545454545455</v>
      </c>
      <c r="AL62" s="290">
        <f t="shared" ref="AL62:AL64" si="229">$H62*K62</f>
        <v>1139.3724431818182</v>
      </c>
      <c r="AM62" s="290">
        <f t="shared" ref="AM62:AM64" si="230">$H62*L62</f>
        <v>1175.1723011363636</v>
      </c>
      <c r="AN62" s="290">
        <f t="shared" ref="AN62:AN64" si="231">$H62*M62</f>
        <v>1220.9160511363636</v>
      </c>
      <c r="AO62" s="290">
        <f t="shared" ref="AO62:AO64" si="232">$H62*N62</f>
        <v>1266.6745738636364</v>
      </c>
      <c r="AP62" s="290">
        <f t="shared" ref="AP62:AP64" si="233">$H62*O62</f>
        <v>1312.4257102272732</v>
      </c>
      <c r="AQ62" s="290">
        <f t="shared" ref="AQ62:AQ64" si="234">$H62*P62</f>
        <v>1358.169460227273</v>
      </c>
      <c r="AR62" s="290">
        <f t="shared" ref="AR62:AR64" si="235">$H62*Q62</f>
        <v>1403.9224431818184</v>
      </c>
      <c r="AS62" s="290">
        <f t="shared" ref="AS62:AS64" si="236">$H62*R62</f>
        <v>1455.6343749999999</v>
      </c>
      <c r="AT62" s="290">
        <f t="shared" ref="AT62:AT64" si="237">$H62*S62</f>
        <v>1507.3444602272727</v>
      </c>
      <c r="AU62" s="290">
        <f t="shared" ref="AU62:AU64" si="238">$H62*T62</f>
        <v>1559.0490056818182</v>
      </c>
      <c r="AV62" s="290">
        <f t="shared" ref="AV62:AV64" si="239">$H62*U62</f>
        <v>1610.7609375000002</v>
      </c>
      <c r="AW62" s="290">
        <f t="shared" ref="AW62:AW64" si="240">$H62*V62</f>
        <v>1662.4821022727272</v>
      </c>
      <c r="AX62" s="290">
        <f t="shared" ref="AX62:AX64" si="241">$H62*W62</f>
        <v>1704.2482954545455</v>
      </c>
      <c r="AY62" s="290">
        <f t="shared" ref="AY62:AY64" si="242">$H62*X62</f>
        <v>1735.6661931818185</v>
      </c>
      <c r="AZ62" s="290">
        <f t="shared" ref="AZ62:AZ64" si="243">$H62*Y62</f>
        <v>1767.0840909090914</v>
      </c>
      <c r="BA62" s="290">
        <f t="shared" ref="BA62:BA64" si="244">$H62*Z62</f>
        <v>1798.5019886363639</v>
      </c>
      <c r="BB62" s="290">
        <f t="shared" ref="BB62:BB64" si="245">$H62*AA62</f>
        <v>1829.9106534090913</v>
      </c>
      <c r="BC62" s="290">
        <f t="shared" ref="BC62:BC64" si="246">$H62*AB62</f>
        <v>1861.3285511363633</v>
      </c>
      <c r="BD62" s="290">
        <f t="shared" ref="BD62:BD64" si="247">$H62*AC62</f>
        <v>1892.7372159090905</v>
      </c>
      <c r="BE62" s="290">
        <f t="shared" ref="BE62:BE64" si="248">$H62*AD62</f>
        <v>1924.1551136363632</v>
      </c>
      <c r="BF62" s="290">
        <f t="shared" ref="BF62:BF64" si="249">$H62*AE62</f>
        <v>1955.5730113636362</v>
      </c>
      <c r="BG62" s="290">
        <f t="shared" ref="BG62:BG64" si="250">$H62*AF62</f>
        <v>1986.9816761363631</v>
      </c>
      <c r="BH62" s="290">
        <f t="shared" ref="BH62:BH64" si="251">$H62*AG62</f>
        <v>2018.3995738636361</v>
      </c>
      <c r="BI62" s="290">
        <f t="shared" ref="BI62:BI64" si="252">$H62*AH62</f>
        <v>2049.8174715909086</v>
      </c>
      <c r="BJ62" s="343">
        <f t="shared" ref="BJ62:BJ63" si="253">$H62*AI62</f>
        <v>2081.2261363636358</v>
      </c>
      <c r="BK62" s="423">
        <f>((0.33*'Traffic Data'!AK62)/Speed!X143)+((0.67*'Traffic Data'!AK62)/Speed!AX143)</f>
        <v>24.138443278803063</v>
      </c>
      <c r="BL62" s="424">
        <f>((0.33*AL62)/Speed!Y143)+((0.67*AL62)/Speed!AY143)</f>
        <v>24.822929076247767</v>
      </c>
      <c r="BM62" s="424">
        <f>((0.33*AM62)/Speed!Z143)+((0.67*AM62)/Speed!AZ143)</f>
        <v>25.602882421113925</v>
      </c>
      <c r="BN62" s="424">
        <f>((0.33*AN62)/Speed!AA143)+((0.67*AN62)/Speed!BA143)</f>
        <v>26.599478304345006</v>
      </c>
      <c r="BO62" s="424">
        <f>((0.33*AO62)/Speed!AB143)+((0.67*AO62)/Speed!BB143)</f>
        <v>27.596396043788651</v>
      </c>
      <c r="BP62" s="424">
        <f>((0.33*AP62)/Speed!AC143)+((0.67*AP62)/Speed!BC143)</f>
        <v>28.593152874598079</v>
      </c>
      <c r="BQ62" s="424">
        <f>((0.33*AQ62)/Speed!AD143)+((0.67*AQ62)/Speed!BD143)</f>
        <v>29.589748802143767</v>
      </c>
      <c r="BR62" s="424">
        <f>((0.33*AR62)/Speed!AE143)+((0.67*AR62)/Speed!BE143)</f>
        <v>30.586545910204492</v>
      </c>
      <c r="BS62" s="424">
        <f>((0.33*AS62)/Speed!AF143)+((0.67*AS62)/Speed!BF143)</f>
        <v>31.713167668524129</v>
      </c>
      <c r="BT62" s="424">
        <f>((0.33*AT62)/Speed!AG143)+((0.67*AT62)/Speed!BG143)</f>
        <v>32.839749260048009</v>
      </c>
      <c r="BU62" s="424">
        <f>((0.33*AU62)/Speed!AH143)+((0.67*AU62)/Speed!BH143)</f>
        <v>33.96621024682468</v>
      </c>
      <c r="BV62" s="424">
        <f>((0.33*AV62)/Speed!AI143)+((0.67*AV62)/Speed!BI143)</f>
        <v>35.09283227508773</v>
      </c>
      <c r="BW62" s="424">
        <f>((0.33*AW62)/Speed!AJ143)+((0.67*AW62)/Speed!BJ143)</f>
        <v>36.219655616042374</v>
      </c>
      <c r="BX62" s="424">
        <f>((0.33*AX62)/Speed!AK143)+((0.67*AX62)/Speed!BK143)</f>
        <v>37.129595084091591</v>
      </c>
      <c r="BY62" s="424">
        <f>((0.33*AY62)/Speed!AL143)+((0.67*AY62)/Speed!BL143)</f>
        <v>37.814081449881925</v>
      </c>
      <c r="BZ62" s="424">
        <f>((0.33*AZ62)/Speed!AM143)+((0.67*AZ62)/Speed!BM143)</f>
        <v>38.498567930043293</v>
      </c>
      <c r="CA62" s="424">
        <f>((0.33*BA62)/Speed!AN143)+((0.67*BA62)/Speed!BN143)</f>
        <v>39.18305454460878</v>
      </c>
      <c r="CB62" s="424">
        <f>((0.33*BB62)/Speed!AO143)+((0.67*BB62)/Speed!BO143)</f>
        <v>39.867340162661222</v>
      </c>
      <c r="CC62" s="424">
        <f>((0.33*BC62)/Speed!AP143)+((0.67*BC62)/Speed!BP143)</f>
        <v>40.551827118711422</v>
      </c>
      <c r="CD62" s="424">
        <f>((0.33*BD62)/Speed!AQ143)+((0.67*BD62)/Speed!BQ143)</f>
        <v>41.23611313512535</v>
      </c>
      <c r="CE62" s="424">
        <f>((0.33*BE62)/Speed!AR143)+((0.67*BE62)/Speed!BR143)</f>
        <v>41.92060055495331</v>
      </c>
      <c r="CF62" s="424">
        <f>((0.33*BF62)/Speed!AS143)+((0.67*BF62)/Speed!BS143)</f>
        <v>42.605088263935485</v>
      </c>
      <c r="CG62" s="424">
        <f>((0.33*BG62)/Speed!AT143)+((0.67*BG62)/Speed!BT143)</f>
        <v>43.289375153020359</v>
      </c>
      <c r="CH62" s="424">
        <f>((0.33*BH62)/Speed!AU143)+((0.67*BH62)/Speed!BU143)</f>
        <v>43.973863582483787</v>
      </c>
      <c r="CI62" s="424">
        <f>((0.33*BI62)/Speed!AV143)+((0.67*BI62)/Speed!BV143)</f>
        <v>44.65835245654759</v>
      </c>
      <c r="CJ62" s="432">
        <f>((0.33*BJ62)/Speed!AW143)+((0.67*BJ62)/Speed!BW143)</f>
        <v>45.342640686663643</v>
      </c>
      <c r="CK62" s="1426"/>
      <c r="CL62" s="1426"/>
      <c r="CM62" s="1429"/>
      <c r="CN62" s="1432"/>
      <c r="CO62" s="12"/>
      <c r="CP62" s="12"/>
      <c r="CQ62" s="12"/>
      <c r="CR62" s="12"/>
      <c r="CS62" s="12"/>
      <c r="CT62" s="12"/>
      <c r="CU62" s="12"/>
      <c r="CV62" s="12"/>
      <c r="CW62" s="12"/>
      <c r="CX62" s="12"/>
      <c r="CY62" s="12"/>
      <c r="CZ62" s="12"/>
    </row>
    <row r="63" spans="2:104" customFormat="1" ht="21.95" customHeight="1" x14ac:dyDescent="0.2">
      <c r="B63" s="927"/>
      <c r="C63" s="289"/>
      <c r="D63" s="289" t="s">
        <v>350</v>
      </c>
      <c r="E63" s="289" t="s">
        <v>280</v>
      </c>
      <c r="F63" s="289" t="s">
        <v>381</v>
      </c>
      <c r="G63" s="290">
        <v>55</v>
      </c>
      <c r="H63" s="291">
        <f>8095/foottomile</f>
        <v>1.5331439393939394</v>
      </c>
      <c r="I63" s="290">
        <v>4</v>
      </c>
      <c r="J63" s="342">
        <f>J62</f>
        <v>6000</v>
      </c>
      <c r="K63" s="332">
        <f>K62</f>
        <v>6170.14</v>
      </c>
      <c r="L63" s="332">
        <f t="shared" ref="L63:AH63" si="254">L62</f>
        <v>6364.0099999999993</v>
      </c>
      <c r="M63" s="332">
        <f t="shared" si="254"/>
        <v>6611.7300000000005</v>
      </c>
      <c r="N63" s="332">
        <f t="shared" si="254"/>
        <v>6859.53</v>
      </c>
      <c r="O63" s="332">
        <f t="shared" si="254"/>
        <v>7107.2900000000027</v>
      </c>
      <c r="P63" s="332">
        <f t="shared" si="254"/>
        <v>7355.0100000000011</v>
      </c>
      <c r="Q63" s="332">
        <f t="shared" si="254"/>
        <v>7602.7800000000016</v>
      </c>
      <c r="R63" s="332">
        <f t="shared" si="254"/>
        <v>7882.82</v>
      </c>
      <c r="S63" s="332">
        <f t="shared" si="254"/>
        <v>8162.85</v>
      </c>
      <c r="T63" s="332">
        <f t="shared" si="254"/>
        <v>8442.85</v>
      </c>
      <c r="U63" s="332">
        <f t="shared" si="254"/>
        <v>8722.8900000000012</v>
      </c>
      <c r="V63" s="332">
        <f t="shared" si="254"/>
        <v>9002.98</v>
      </c>
      <c r="W63" s="332">
        <f t="shared" si="254"/>
        <v>9229.16</v>
      </c>
      <c r="X63" s="332">
        <f t="shared" si="254"/>
        <v>9399.3000000000011</v>
      </c>
      <c r="Y63" s="332">
        <f t="shared" si="254"/>
        <v>9569.4400000000023</v>
      </c>
      <c r="Z63" s="332">
        <f t="shared" si="254"/>
        <v>9739.5800000000017</v>
      </c>
      <c r="AA63" s="332">
        <f t="shared" si="254"/>
        <v>9909.6700000000019</v>
      </c>
      <c r="AB63" s="332">
        <f t="shared" si="254"/>
        <v>10079.809999999998</v>
      </c>
      <c r="AC63" s="332">
        <f t="shared" si="254"/>
        <v>10249.899999999998</v>
      </c>
      <c r="AD63" s="332">
        <f t="shared" si="254"/>
        <v>10420.039999999997</v>
      </c>
      <c r="AE63" s="332">
        <f t="shared" si="254"/>
        <v>10590.179999999998</v>
      </c>
      <c r="AF63" s="332">
        <f t="shared" si="254"/>
        <v>10760.269999999997</v>
      </c>
      <c r="AG63" s="332">
        <f t="shared" si="254"/>
        <v>10930.409999999998</v>
      </c>
      <c r="AH63" s="332">
        <f t="shared" si="254"/>
        <v>11100.549999999997</v>
      </c>
      <c r="AI63" s="333">
        <f>AI62</f>
        <v>11270.639999999998</v>
      </c>
      <c r="AJ63" s="293">
        <f t="shared" si="226"/>
        <v>3.5137599999999984E-2</v>
      </c>
      <c r="AK63" s="342">
        <f t="shared" si="200"/>
        <v>9198.863636363636</v>
      </c>
      <c r="AL63" s="290">
        <f t="shared" si="229"/>
        <v>9459.7127462121225</v>
      </c>
      <c r="AM63" s="290">
        <f t="shared" si="230"/>
        <v>9756.9433617424238</v>
      </c>
      <c r="AN63" s="290">
        <f t="shared" si="231"/>
        <v>10136.733778409092</v>
      </c>
      <c r="AO63" s="290">
        <f t="shared" si="232"/>
        <v>10516.646846590909</v>
      </c>
      <c r="AP63" s="290">
        <f t="shared" si="233"/>
        <v>10896.498589015157</v>
      </c>
      <c r="AQ63" s="290">
        <f t="shared" si="234"/>
        <v>11276.28900568182</v>
      </c>
      <c r="AR63" s="290">
        <f t="shared" si="235"/>
        <v>11656.156079545457</v>
      </c>
      <c r="AS63" s="290">
        <f t="shared" si="236"/>
        <v>12085.497708333332</v>
      </c>
      <c r="AT63" s="290">
        <f t="shared" si="237"/>
        <v>12514.824005681819</v>
      </c>
      <c r="AU63" s="290">
        <f t="shared" si="238"/>
        <v>12944.104308712122</v>
      </c>
      <c r="AV63" s="290">
        <f t="shared" si="239"/>
        <v>13373.445937500002</v>
      </c>
      <c r="AW63" s="290">
        <f t="shared" si="240"/>
        <v>13802.864223484848</v>
      </c>
      <c r="AX63" s="290">
        <f t="shared" si="241"/>
        <v>14149.63071969697</v>
      </c>
      <c r="AY63" s="290">
        <f t="shared" si="242"/>
        <v>14410.479829545457</v>
      </c>
      <c r="AZ63" s="290">
        <f t="shared" si="243"/>
        <v>14671.328939393943</v>
      </c>
      <c r="BA63" s="290">
        <f t="shared" si="244"/>
        <v>14932.178049242428</v>
      </c>
      <c r="BB63" s="290">
        <f t="shared" si="245"/>
        <v>15192.950501893944</v>
      </c>
      <c r="BC63" s="290">
        <f t="shared" si="246"/>
        <v>15453.799611742421</v>
      </c>
      <c r="BD63" s="290">
        <f t="shared" si="247"/>
        <v>15714.572064393937</v>
      </c>
      <c r="BE63" s="290">
        <f t="shared" si="248"/>
        <v>15975.421174242421</v>
      </c>
      <c r="BF63" s="290">
        <f t="shared" si="249"/>
        <v>16236.270284090908</v>
      </c>
      <c r="BG63" s="290">
        <f t="shared" si="250"/>
        <v>16497.04273674242</v>
      </c>
      <c r="BH63" s="290">
        <f t="shared" si="251"/>
        <v>16757.891846590908</v>
      </c>
      <c r="BI63" s="290">
        <f t="shared" si="252"/>
        <v>17018.740956439389</v>
      </c>
      <c r="BJ63" s="343">
        <f t="shared" si="253"/>
        <v>17279.513409090905</v>
      </c>
      <c r="BK63" s="423">
        <f>((0.33*'Traffic Data'!AK63)/Speed!X144)+((0.67*'Traffic Data'!AK63)/Speed!AX144)</f>
        <v>164.55927798828586</v>
      </c>
      <c r="BL63" s="424">
        <f>((0.33*AL63)/Speed!Y144)+((0.67*AL63)/Speed!AY144)</f>
        <v>169.22563059998978</v>
      </c>
      <c r="BM63" s="424">
        <f>((0.33*AM63)/Speed!Z144)+((0.67*AM63)/Speed!AZ144)</f>
        <v>174.54281516679669</v>
      </c>
      <c r="BN63" s="424">
        <f>((0.33*AN63)/Speed!AA144)+((0.67*AN63)/Speed!BA144)</f>
        <v>181.33691927845092</v>
      </c>
      <c r="BO63" s="424">
        <f>((0.33*AO63)/Speed!AB144)+((0.67*AO63)/Speed!BB144)</f>
        <v>188.13321753962737</v>
      </c>
      <c r="BP63" s="424">
        <f>((0.33*AP63)/Speed!AC144)+((0.67*AP63)/Speed!BC144)</f>
        <v>194.92841877483693</v>
      </c>
      <c r="BQ63" s="424">
        <f>((0.33*AQ63)/Speed!AD144)+((0.67*AQ63)/Speed!BD144)</f>
        <v>201.72252299753711</v>
      </c>
      <c r="BR63" s="424">
        <f>((0.33*AR63)/Speed!AE144)+((0.67*AR63)/Speed!BE144)</f>
        <v>208.5179986147636</v>
      </c>
      <c r="BS63" s="424">
        <f>((0.33*AS63)/Speed!AF144)+((0.67*AS63)/Speed!BF144)</f>
        <v>216.19852902282696</v>
      </c>
      <c r="BT63" s="424">
        <f>((0.33*AT63)/Speed!AG144)+((0.67*AT63)/Speed!BG144)</f>
        <v>223.87878532565918</v>
      </c>
      <c r="BU63" s="424">
        <f>((0.33*AU63)/Speed!AH144)+((0.67*AU63)/Speed!BH144)</f>
        <v>231.55821905128661</v>
      </c>
      <c r="BV63" s="424">
        <f>((0.33*AV63)/Speed!AI144)+((0.67*AV63)/Speed!BI144)</f>
        <v>239.23875013578953</v>
      </c>
      <c r="BW63" s="424">
        <f>((0.33*AW63)/Speed!AJ144)+((0.67*AW63)/Speed!BJ144)</f>
        <v>246.92065294603401</v>
      </c>
      <c r="BX63" s="424">
        <f>((0.33*AX63)/Speed!AK144)+((0.67*AX63)/Speed!BK144)</f>
        <v>253.12399074367437</v>
      </c>
      <c r="BY63" s="424">
        <f>((0.33*AY63)/Speed!AL144)+((0.67*AY63)/Speed!BL144)</f>
        <v>257.79034477957077</v>
      </c>
      <c r="BZ63" s="424">
        <f>((0.33*AZ63)/Speed!AM144)+((0.67*AZ63)/Speed!BM144)</f>
        <v>262.45669910206459</v>
      </c>
      <c r="CA63" s="424">
        <f>((0.33*BA63)/Speed!AN144)+((0.67*BA63)/Speed!BN144)</f>
        <v>267.12305376135583</v>
      </c>
      <c r="CB63" s="424">
        <f>((0.33*BB63)/Speed!AO144)+((0.67*BB63)/Speed!BO144)</f>
        <v>271.78803748720338</v>
      </c>
      <c r="CC63" s="424">
        <f>((0.33*BC63)/Speed!AP144)+((0.67*BC63)/Speed!BP144)</f>
        <v>276.45439300220619</v>
      </c>
      <c r="CD63" s="424">
        <f>((0.33*BD63)/Speed!AQ144)+((0.67*BD63)/Speed!BQ144)</f>
        <v>281.1193777262904</v>
      </c>
      <c r="CE63" s="424">
        <f>((0.33*BE63)/Speed!AR144)+((0.67*BE63)/Speed!BR144)</f>
        <v>285.78573440345377</v>
      </c>
      <c r="CF63" s="424">
        <f>((0.33*BF63)/Speed!AS144)+((0.67*BF63)/Speed!BS144)</f>
        <v>290.45209180519612</v>
      </c>
      <c r="CG63" s="424">
        <f>((0.33*BG63)/Speed!AT144)+((0.67*BG63)/Speed!BT144)</f>
        <v>295.11707871606836</v>
      </c>
      <c r="CH63" s="424">
        <f>((0.33*BH63)/Speed!AU144)+((0.67*BH63)/Speed!BU144)</f>
        <v>299.78343792323324</v>
      </c>
      <c r="CI63" s="424">
        <f>((0.33*BI63)/Speed!AV144)+((0.67*BI63)/Speed!BV144)</f>
        <v>304.44979824450263</v>
      </c>
      <c r="CJ63" s="432">
        <f>((0.33*BJ63)/Speed!AW144)+((0.67*BJ63)/Speed!BW144)</f>
        <v>309.11478851580648</v>
      </c>
      <c r="CK63" s="1426"/>
      <c r="CL63" s="1426"/>
      <c r="CM63" s="1429"/>
      <c r="CN63" s="1432"/>
      <c r="CO63" s="12"/>
      <c r="CP63" s="12"/>
      <c r="CQ63" s="12"/>
      <c r="CR63" s="12"/>
      <c r="CS63" s="12"/>
      <c r="CT63" s="12"/>
      <c r="CU63" s="12"/>
      <c r="CV63" s="12"/>
      <c r="CW63" s="12"/>
      <c r="CX63" s="12"/>
      <c r="CY63" s="12"/>
      <c r="CZ63" s="12"/>
    </row>
    <row r="64" spans="2:104" customFormat="1" ht="21.95" customHeight="1" thickBot="1" x14ac:dyDescent="0.25">
      <c r="B64" s="928"/>
      <c r="C64" s="320"/>
      <c r="D64" s="320" t="s">
        <v>280</v>
      </c>
      <c r="E64" s="320" t="s">
        <v>333</v>
      </c>
      <c r="F64" s="320"/>
      <c r="G64" s="321">
        <v>55</v>
      </c>
      <c r="H64" s="322">
        <f>500/foottomile</f>
        <v>9.4696969696969696E-2</v>
      </c>
      <c r="I64" s="321">
        <v>4</v>
      </c>
      <c r="J64" s="348">
        <v>2400</v>
      </c>
      <c r="K64" s="321">
        <f>K63*0.4</f>
        <v>2468.0560000000005</v>
      </c>
      <c r="L64" s="321">
        <f t="shared" ref="L64" si="255">L63*0.4</f>
        <v>2545.6039999999998</v>
      </c>
      <c r="M64" s="321">
        <f t="shared" ref="M64" si="256">M63*0.4</f>
        <v>2644.6920000000005</v>
      </c>
      <c r="N64" s="321">
        <f t="shared" ref="N64" si="257">N63*0.4</f>
        <v>2743.8119999999999</v>
      </c>
      <c r="O64" s="321">
        <f t="shared" ref="O64" si="258">O63*0.4</f>
        <v>2842.9160000000011</v>
      </c>
      <c r="P64" s="321">
        <f t="shared" ref="P64" si="259">P63*0.4</f>
        <v>2942.0040000000008</v>
      </c>
      <c r="Q64" s="321">
        <f t="shared" ref="Q64" si="260">Q63*0.4</f>
        <v>3041.112000000001</v>
      </c>
      <c r="R64" s="321">
        <f t="shared" ref="R64" si="261">R63*0.4</f>
        <v>3153.1280000000002</v>
      </c>
      <c r="S64" s="321">
        <f t="shared" ref="S64" si="262">S63*0.4</f>
        <v>3265.1400000000003</v>
      </c>
      <c r="T64" s="321">
        <f t="shared" ref="T64" si="263">T63*0.4</f>
        <v>3377.1400000000003</v>
      </c>
      <c r="U64" s="321">
        <f t="shared" ref="U64" si="264">U63*0.4</f>
        <v>3489.1560000000009</v>
      </c>
      <c r="V64" s="321">
        <f t="shared" ref="V64" si="265">V63*0.4</f>
        <v>3601.192</v>
      </c>
      <c r="W64" s="321">
        <f t="shared" ref="W64" si="266">W63*0.4</f>
        <v>3691.6640000000002</v>
      </c>
      <c r="X64" s="321">
        <f t="shared" ref="X64" si="267">X63*0.4</f>
        <v>3759.7200000000007</v>
      </c>
      <c r="Y64" s="321">
        <f t="shared" ref="Y64" si="268">Y63*0.4</f>
        <v>3827.7760000000012</v>
      </c>
      <c r="Z64" s="321">
        <f t="shared" ref="Z64" si="269">Z63*0.4</f>
        <v>3895.8320000000008</v>
      </c>
      <c r="AA64" s="321">
        <f t="shared" ref="AA64" si="270">AA63*0.4</f>
        <v>3963.8680000000008</v>
      </c>
      <c r="AB64" s="321">
        <f t="shared" ref="AB64" si="271">AB63*0.4</f>
        <v>4031.9239999999991</v>
      </c>
      <c r="AC64" s="321">
        <f t="shared" ref="AC64" si="272">AC63*0.4</f>
        <v>4099.9599999999991</v>
      </c>
      <c r="AD64" s="321">
        <f t="shared" ref="AD64" si="273">AD63*0.4</f>
        <v>4168.0159999999987</v>
      </c>
      <c r="AE64" s="321">
        <f t="shared" ref="AE64" si="274">AE63*0.4</f>
        <v>4236.0719999999992</v>
      </c>
      <c r="AF64" s="321">
        <f t="shared" ref="AF64" si="275">AF63*0.4</f>
        <v>4304.1079999999993</v>
      </c>
      <c r="AG64" s="321">
        <f t="shared" ref="AG64" si="276">AG63*0.4</f>
        <v>4372.1639999999998</v>
      </c>
      <c r="AH64" s="321">
        <f t="shared" ref="AH64" si="277">AH63*0.4</f>
        <v>4440.2199999999993</v>
      </c>
      <c r="AI64" s="349">
        <f t="shared" ref="AI64" si="278">AI63*0.4</f>
        <v>4508.2559999999994</v>
      </c>
      <c r="AJ64" s="323">
        <f t="shared" si="226"/>
        <v>3.5137599999999991E-2</v>
      </c>
      <c r="AK64" s="336">
        <f t="shared" ref="AK64:AK70" si="279">H64*J64</f>
        <v>227.27272727272728</v>
      </c>
      <c r="AL64" s="297">
        <f t="shared" si="229"/>
        <v>233.7174242424243</v>
      </c>
      <c r="AM64" s="297">
        <f t="shared" si="230"/>
        <v>241.06098484848482</v>
      </c>
      <c r="AN64" s="297">
        <f t="shared" si="231"/>
        <v>250.44431818181823</v>
      </c>
      <c r="AO64" s="297">
        <f t="shared" si="232"/>
        <v>259.8306818181818</v>
      </c>
      <c r="AP64" s="297">
        <f t="shared" si="233"/>
        <v>269.21553030303039</v>
      </c>
      <c r="AQ64" s="297">
        <f t="shared" si="234"/>
        <v>278.59886363636372</v>
      </c>
      <c r="AR64" s="297">
        <f t="shared" si="235"/>
        <v>287.98409090909098</v>
      </c>
      <c r="AS64" s="297">
        <f t="shared" si="236"/>
        <v>298.5916666666667</v>
      </c>
      <c r="AT64" s="297">
        <f t="shared" si="237"/>
        <v>309.19886363636368</v>
      </c>
      <c r="AU64" s="297">
        <f t="shared" si="238"/>
        <v>319.80492424242425</v>
      </c>
      <c r="AV64" s="297">
        <f t="shared" si="239"/>
        <v>330.41250000000008</v>
      </c>
      <c r="AW64" s="297">
        <f t="shared" si="240"/>
        <v>341.02196969696968</v>
      </c>
      <c r="AX64" s="297">
        <f t="shared" si="241"/>
        <v>349.58939393939397</v>
      </c>
      <c r="AY64" s="297">
        <f t="shared" si="242"/>
        <v>356.03409090909099</v>
      </c>
      <c r="AZ64" s="297">
        <f t="shared" si="243"/>
        <v>362.47878787878801</v>
      </c>
      <c r="BA64" s="297">
        <f t="shared" si="244"/>
        <v>368.92348484848492</v>
      </c>
      <c r="BB64" s="297">
        <f t="shared" si="245"/>
        <v>375.36628787878794</v>
      </c>
      <c r="BC64" s="297">
        <f t="shared" si="246"/>
        <v>381.81098484848474</v>
      </c>
      <c r="BD64" s="297">
        <f t="shared" si="247"/>
        <v>388.25378787878782</v>
      </c>
      <c r="BE64" s="297">
        <f t="shared" si="248"/>
        <v>394.69848484848472</v>
      </c>
      <c r="BF64" s="297">
        <f t="shared" si="249"/>
        <v>401.14318181818174</v>
      </c>
      <c r="BG64" s="297">
        <f t="shared" si="250"/>
        <v>407.58598484848477</v>
      </c>
      <c r="BH64" s="297">
        <f t="shared" si="251"/>
        <v>414.03068181818179</v>
      </c>
      <c r="BI64" s="297">
        <f t="shared" si="252"/>
        <v>420.4753787878787</v>
      </c>
      <c r="BJ64" s="361">
        <f t="shared" ref="BJ64:BJ70" si="280">H64*AI64</f>
        <v>426.91818181818178</v>
      </c>
      <c r="BK64" s="428">
        <f>((0.33*'Traffic Data'!AK64)/Speed!X145)+((0.67*'Traffic Data'!AK64)/Speed!AX145)</f>
        <v>4.1098166073256728</v>
      </c>
      <c r="BL64" s="429">
        <f>((0.33*AL64)/Speed!Y145)+((0.67*AL64)/Speed!AY145)</f>
        <v>4.2263580935276419</v>
      </c>
      <c r="BM64" s="429">
        <f>((0.33*AM64)/Speed!Z145)+((0.67*AM64)/Speed!AZ145)</f>
        <v>4.3591543484551938</v>
      </c>
      <c r="BN64" s="429">
        <f>((0.33*AN64)/Speed!AA145)+((0.67*AN64)/Speed!BA145)</f>
        <v>4.5288372448012844</v>
      </c>
      <c r="BO64" s="429">
        <f>((0.33*AO64)/Speed!AB145)+((0.67*AO64)/Speed!BB145)</f>
        <v>4.6985760141229438</v>
      </c>
      <c r="BP64" s="429">
        <f>((0.33*AP64)/Speed!AC145)+((0.67*AP64)/Speed!BC145)</f>
        <v>4.8682888795979888</v>
      </c>
      <c r="BQ64" s="429">
        <f>((0.33*AQ64)/Speed!AD145)+((0.67*AQ64)/Speed!BD145)</f>
        <v>5.0379764018406874</v>
      </c>
      <c r="BR64" s="429">
        <f>((0.33*AR64)/Speed!AE145)+((0.67*AR64)/Speed!BE145)</f>
        <v>5.2077009723411614</v>
      </c>
      <c r="BS64" s="429">
        <f>((0.33*AS64)/Speed!AF145)+((0.67*AS64)/Speed!BF145)</f>
        <v>5.3995353686660401</v>
      </c>
      <c r="BT64" s="429">
        <f>((0.33*AT64)/Speed!AG145)+((0.67*AT64)/Speed!BG145)</f>
        <v>5.5913695901580205</v>
      </c>
      <c r="BU64" s="429">
        <f>((0.33*AU64)/Speed!AH145)+((0.67*AU64)/Speed!BH145)</f>
        <v>5.7831923932666776</v>
      </c>
      <c r="BV64" s="429">
        <f>((0.33*AV64)/Speed!AI145)+((0.67*AV64)/Speed!BI145)</f>
        <v>5.9750549683384424</v>
      </c>
      <c r="BW64" s="429">
        <f>((0.33*AW64)/Speed!AJ145)+((0.67*AW64)/Speed!BJ145)</f>
        <v>6.1669683892631788</v>
      </c>
      <c r="BX64" s="429">
        <f>((0.33*AX64)/Speed!AK145)+((0.67*AX64)/Speed!BK145)</f>
        <v>6.3219592787364434</v>
      </c>
      <c r="BY64" s="429">
        <f>((0.33*AY64)/Speed!AL145)+((0.67*AY64)/Speed!BL145)</f>
        <v>6.4385600931778431</v>
      </c>
      <c r="BZ64" s="429">
        <f>((0.33*AZ64)/Speed!AM145)+((0.67*AZ64)/Speed!BM145)</f>
        <v>6.5551728465395769</v>
      </c>
      <c r="CA64" s="429">
        <f>((0.33*BA64)/Speed!AN145)+((0.67*BA64)/Speed!BN145)</f>
        <v>6.6717996300245872</v>
      </c>
      <c r="CB64" s="429">
        <f>((0.33*BB64)/Speed!AO145)+((0.67*BB64)/Speed!BO145)</f>
        <v>6.7884085727822407</v>
      </c>
      <c r="CC64" s="429">
        <f>((0.33*BC64)/Speed!AP145)+((0.67*BC64)/Speed!BP145)</f>
        <v>6.9050710030408249</v>
      </c>
      <c r="CD64" s="429">
        <f>((0.33*BD64)/Speed!AQ145)+((0.67*BD64)/Speed!BQ145)</f>
        <v>7.0217215298009208</v>
      </c>
      <c r="CE64" s="429">
        <f>((0.33*BE64)/Speed!AR145)+((0.67*BE64)/Speed!BR145)</f>
        <v>7.1384323727100245</v>
      </c>
      <c r="CF64" s="429">
        <f>((0.33*BF64)/Speed!AS145)+((0.67*BF64)/Speed!BS145)</f>
        <v>7.2551733997344883</v>
      </c>
      <c r="CG64" s="429">
        <f>((0.33*BG64)/Speed!AT145)+((0.67*BG64)/Speed!BT145)</f>
        <v>7.3719150225261867</v>
      </c>
      <c r="CH64" s="429">
        <f>((0.33*BH64)/Speed!AU145)+((0.67*BH64)/Speed!BU145)</f>
        <v>7.4887312588652737</v>
      </c>
      <c r="CI64" s="429">
        <f>((0.33*BI64)/Speed!AV145)+((0.67*BI64)/Speed!BV145)</f>
        <v>7.6055939059746951</v>
      </c>
      <c r="CJ64" s="433">
        <f>((0.33*BJ64)/Speed!AW145)+((0.67*BJ64)/Speed!BW145)</f>
        <v>7.7224755158027385</v>
      </c>
      <c r="CK64" s="1434"/>
      <c r="CL64" s="1434"/>
      <c r="CM64" s="1435"/>
      <c r="CN64" s="1436"/>
      <c r="CO64" s="12"/>
      <c r="CP64" s="12"/>
      <c r="CQ64" s="12"/>
      <c r="CR64" s="12"/>
      <c r="CS64" s="12"/>
      <c r="CT64" s="12"/>
      <c r="CU64" s="12"/>
      <c r="CV64" s="12"/>
      <c r="CW64" s="12"/>
      <c r="CX64" s="12"/>
      <c r="CY64" s="12"/>
      <c r="CZ64" s="12"/>
    </row>
    <row r="65" spans="2:104" customFormat="1" ht="21.95" customHeight="1" x14ac:dyDescent="0.2">
      <c r="B65" s="1187" t="s">
        <v>293</v>
      </c>
      <c r="C65" s="1342" t="s">
        <v>331</v>
      </c>
      <c r="D65" s="770" t="s">
        <v>332</v>
      </c>
      <c r="E65" s="770" t="s">
        <v>282</v>
      </c>
      <c r="F65" s="220" t="s">
        <v>368</v>
      </c>
      <c r="G65" s="1188">
        <v>70</v>
      </c>
      <c r="H65" s="1189">
        <v>9.5000000000000001E-2</v>
      </c>
      <c r="I65" s="276">
        <v>4</v>
      </c>
      <c r="J65" s="350">
        <f>'Trip Gen'!W148</f>
        <v>16000</v>
      </c>
      <c r="K65" s="1190">
        <f>'Trip Gen'!X148</f>
        <v>16727.55</v>
      </c>
      <c r="L65" s="1190">
        <f>'Trip Gen'!Y148</f>
        <v>17752.600000000002</v>
      </c>
      <c r="M65" s="1190">
        <f>'Trip Gen'!Z148</f>
        <v>19260.400000000001</v>
      </c>
      <c r="N65" s="1190">
        <f>'Trip Gen'!AA148</f>
        <v>20768.75</v>
      </c>
      <c r="O65" s="1190">
        <f>'Trip Gen'!AB148</f>
        <v>22277.1</v>
      </c>
      <c r="P65" s="1190">
        <f>'Trip Gen'!AC148</f>
        <v>23784.899999999998</v>
      </c>
      <c r="Q65" s="1190">
        <f>'Trip Gen'!AD148</f>
        <v>25293.799999999996</v>
      </c>
      <c r="R65" s="1190">
        <f>'Trip Gen'!AE148</f>
        <v>26784.85</v>
      </c>
      <c r="S65" s="1190">
        <f>'Trip Gen'!AF148</f>
        <v>28276.2</v>
      </c>
      <c r="T65" s="1190">
        <f>'Trip Gen'!AG148</f>
        <v>29767.250000000004</v>
      </c>
      <c r="U65" s="1190">
        <f>'Trip Gen'!AH148</f>
        <v>31258.300000000003</v>
      </c>
      <c r="V65" s="1190">
        <f>'Trip Gen'!AI148</f>
        <v>32750.45</v>
      </c>
      <c r="W65" s="1190">
        <f>'Trip Gen'!AJ148</f>
        <v>33758.200000000004</v>
      </c>
      <c r="X65" s="1190">
        <f>'Trip Gen'!AK148</f>
        <v>34485.75</v>
      </c>
      <c r="Y65" s="1190">
        <f>'Trip Gen'!AL148</f>
        <v>35213.299999999996</v>
      </c>
      <c r="Z65" s="1190">
        <f>'Trip Gen'!AM148</f>
        <v>35940.85</v>
      </c>
      <c r="AA65" s="1190">
        <f>'Trip Gen'!AN148</f>
        <v>36668.65</v>
      </c>
      <c r="AB65" s="1190">
        <f>'Trip Gen'!AO148</f>
        <v>37396.200000000004</v>
      </c>
      <c r="AC65" s="1190">
        <f>'Trip Gen'!AP148</f>
        <v>38123.999999999993</v>
      </c>
      <c r="AD65" s="1190">
        <f>'Trip Gen'!AQ148</f>
        <v>38851.550000000003</v>
      </c>
      <c r="AE65" s="1190">
        <f>'Trip Gen'!AR148</f>
        <v>39579.1</v>
      </c>
      <c r="AF65" s="1190">
        <f>'Trip Gen'!AS148</f>
        <v>40306.899999999994</v>
      </c>
      <c r="AG65" s="1190">
        <f>'Trip Gen'!AT148</f>
        <v>41034.449999999997</v>
      </c>
      <c r="AH65" s="1190">
        <f>'Trip Gen'!AU148</f>
        <v>41762</v>
      </c>
      <c r="AI65" s="1190">
        <f>'Trip Gen'!AV148</f>
        <v>42489.799999999996</v>
      </c>
      <c r="AJ65" s="1196">
        <f t="shared" si="226"/>
        <v>6.6224499999999992E-2</v>
      </c>
      <c r="AK65" s="325">
        <f t="shared" si="279"/>
        <v>1520</v>
      </c>
      <c r="AL65" s="261">
        <f>$H65*K65</f>
        <v>1589.11725</v>
      </c>
      <c r="AM65" s="261">
        <f t="shared" ref="AM65:AM67" si="281">$H65*L65</f>
        <v>1686.4970000000003</v>
      </c>
      <c r="AN65" s="261">
        <f t="shared" ref="AN65:AN67" si="282">$H65*M65</f>
        <v>1829.7380000000001</v>
      </c>
      <c r="AO65" s="261">
        <f t="shared" ref="AO65:AO67" si="283">$H65*N65</f>
        <v>1973.03125</v>
      </c>
      <c r="AP65" s="261">
        <f t="shared" ref="AP65:AP67" si="284">$H65*O65</f>
        <v>2116.3244999999997</v>
      </c>
      <c r="AQ65" s="261">
        <f t="shared" ref="AQ65:AQ67" si="285">$H65*P65</f>
        <v>2259.5654999999997</v>
      </c>
      <c r="AR65" s="261">
        <f t="shared" ref="AR65:AR67" si="286">$H65*Q65</f>
        <v>2402.9109999999996</v>
      </c>
      <c r="AS65" s="261">
        <f t="shared" ref="AS65:AS67" si="287">$H65*R65</f>
        <v>2544.5607500000001</v>
      </c>
      <c r="AT65" s="261">
        <f t="shared" ref="AT65:AT67" si="288">$H65*S65</f>
        <v>2686.239</v>
      </c>
      <c r="AU65" s="261">
        <f t="shared" ref="AU65:AU67" si="289">$H65*T65</f>
        <v>2827.8887500000005</v>
      </c>
      <c r="AV65" s="261">
        <f t="shared" ref="AV65:AV67" si="290">$H65*U65</f>
        <v>2969.5385000000001</v>
      </c>
      <c r="AW65" s="261">
        <f t="shared" ref="AW65:AW67" si="291">$H65*V65</f>
        <v>3111.2927500000001</v>
      </c>
      <c r="AX65" s="261">
        <f t="shared" ref="AX65:AX67" si="292">$H65*W65</f>
        <v>3207.0290000000005</v>
      </c>
      <c r="AY65" s="261">
        <f t="shared" ref="AY65:AY67" si="293">$H65*X65</f>
        <v>3276.1462500000002</v>
      </c>
      <c r="AZ65" s="261">
        <f t="shared" ref="AZ65:AZ67" si="294">$H65*Y65</f>
        <v>3345.2634999999996</v>
      </c>
      <c r="BA65" s="261">
        <f t="shared" ref="BA65:BA67" si="295">$H65*Z65</f>
        <v>3414.3807499999998</v>
      </c>
      <c r="BB65" s="261">
        <f t="shared" ref="BB65:BB67" si="296">$H65*AA65</f>
        <v>3483.5217500000003</v>
      </c>
      <c r="BC65" s="261">
        <f t="shared" ref="BC65:BC67" si="297">$H65*AB65</f>
        <v>3552.6390000000006</v>
      </c>
      <c r="BD65" s="261">
        <f t="shared" ref="BD65:BD67" si="298">$H65*AC65</f>
        <v>3621.7799999999993</v>
      </c>
      <c r="BE65" s="261">
        <f t="shared" ref="BE65:BE67" si="299">$H65*AD65</f>
        <v>3690.8972500000004</v>
      </c>
      <c r="BF65" s="261">
        <f t="shared" ref="BF65:BF67" si="300">$H65*AE65</f>
        <v>3760.0144999999998</v>
      </c>
      <c r="BG65" s="261">
        <f t="shared" ref="BG65:BG67" si="301">$H65*AF65</f>
        <v>3829.1554999999994</v>
      </c>
      <c r="BH65" s="261">
        <f t="shared" ref="BH65:BH67" si="302">$H65*AG65</f>
        <v>3898.2727499999996</v>
      </c>
      <c r="BI65" s="261">
        <f t="shared" ref="BI65:BI67" si="303">$H65*AH65</f>
        <v>3967.39</v>
      </c>
      <c r="BJ65" s="353">
        <f t="shared" si="280"/>
        <v>4036.5309999999995</v>
      </c>
      <c r="BK65" s="417">
        <f>((0.33*'Traffic Data'!AK65)/Speed!X146)+((0.67*'Traffic Data'!AK65)/Speed!AX146)</f>
        <v>21.175856323280648</v>
      </c>
      <c r="BL65" s="463">
        <f>((0.33*AL65)/Speed!Y146)+((0.67*AL65)/Speed!AY146)</f>
        <v>22.138786413516861</v>
      </c>
      <c r="BM65" s="463">
        <f>((0.33*AM65)/Speed!Z146)+((0.67*AM65)/Speed!AZ146)</f>
        <v>23.495490499721907</v>
      </c>
      <c r="BN65" s="463">
        <f>((0.33*AN65)/Speed!AA146)+((0.67*AN65)/Speed!BA146)</f>
        <v>25.491234591079476</v>
      </c>
      <c r="BO65" s="463">
        <f>((0.33*AO65)/Speed!AB146)+((0.67*AO65)/Speed!BB146)</f>
        <v>27.4879290716447</v>
      </c>
      <c r="BP65" s="463">
        <f>((0.33*AP65)/Speed!AC146)+((0.67*AP65)/Speed!BC146)</f>
        <v>29.485059760979347</v>
      </c>
      <c r="BQ65" s="463">
        <f>((0.33*AQ65)/Speed!AD146)+((0.67*AQ65)/Speed!BD146)</f>
        <v>31.482278212945808</v>
      </c>
      <c r="BR65" s="463">
        <f>((0.33*AR65)/Speed!AE146)+((0.67*AR65)/Speed!BE146)</f>
        <v>33.482421677200207</v>
      </c>
      <c r="BS65" s="463">
        <f>((0.33*AS65)/Speed!AF146)+((0.67*AS65)/Speed!BF146)</f>
        <v>35.461399943164125</v>
      </c>
      <c r="BT65" s="463">
        <f>((0.33*AT65)/Speed!AG146)+((0.67*AT65)/Speed!BG146)</f>
        <v>37.444931060365626</v>
      </c>
      <c r="BU65" s="463">
        <f>((0.33*AU65)/Speed!AH146)+((0.67*AU65)/Speed!BH146)</f>
        <v>39.434814458183652</v>
      </c>
      <c r="BV65" s="463">
        <f>((0.33*AV65)/Speed!AI146)+((0.67*AV65)/Speed!BI146)</f>
        <v>41.435401031650102</v>
      </c>
      <c r="BW65" s="463">
        <f>((0.33*AW65)/Speed!AJ146)+((0.67*AW65)/Speed!BJ146)</f>
        <v>43.454077685743009</v>
      </c>
      <c r="BX65" s="463">
        <f>((0.33*AX65)/Speed!AK146)+((0.67*AX65)/Speed!BK146)</f>
        <v>44.831044522451549</v>
      </c>
      <c r="BY65" s="463">
        <f>((0.33*AY65)/Speed!AL146)+((0.67*AY65)/Speed!BL146)</f>
        <v>45.834249465083083</v>
      </c>
      <c r="BZ65" s="463">
        <f>((0.33*AZ65)/Speed!AM146)+((0.67*AZ65)/Speed!BM146)</f>
        <v>46.846916865588334</v>
      </c>
      <c r="CA65" s="463">
        <f>((0.33*BA65)/Speed!AN146)+((0.67*BA65)/Speed!BN146)</f>
        <v>47.871001659443337</v>
      </c>
      <c r="CB65" s="463">
        <f>((0.33*BB65)/Speed!AO146)+((0.67*BB65)/Speed!BO146)</f>
        <v>48.909168971547231</v>
      </c>
      <c r="CC65" s="463">
        <f>((0.33*BC65)/Speed!AP146)+((0.67*BC65)/Speed!BP146)</f>
        <v>49.963417348204437</v>
      </c>
      <c r="CD65" s="463">
        <f>((0.33*BD65)/Speed!AQ146)+((0.67*BD65)/Speed!BQ146)</f>
        <v>51.03765077107937</v>
      </c>
      <c r="CE65" s="463">
        <f>((0.33*BE65)/Speed!AR146)+((0.67*BE65)/Speed!BR146)</f>
        <v>52.134844181240247</v>
      </c>
      <c r="CF65" s="463">
        <f>((0.33*BF65)/Speed!AS146)+((0.67*BF65)/Speed!BS146)</f>
        <v>53.25968683915503</v>
      </c>
      <c r="CG65" s="463">
        <f>((0.33*BG65)/Speed!AT146)+((0.67*BG65)/Speed!BT146)</f>
        <v>54.41760492974214</v>
      </c>
      <c r="CH65" s="463">
        <f>((0.33*BH65)/Speed!AU146)+((0.67*BH65)/Speed!BU146)</f>
        <v>55.61362209866909</v>
      </c>
      <c r="CI65" s="463">
        <f>((0.33*BI65)/Speed!AV146)+((0.67*BI65)/Speed!BV146)</f>
        <v>56.854851008888318</v>
      </c>
      <c r="CJ65" s="464">
        <f>((0.33*BJ65)/Speed!AW146)+((0.67*BJ65)/Speed!BW146)</f>
        <v>58.149490938130704</v>
      </c>
      <c r="CK65" s="1390">
        <f>Inputs!$D$35</f>
        <v>0.22</v>
      </c>
      <c r="CL65" s="1390">
        <f>Inputs!$D$36</f>
        <v>0.78</v>
      </c>
      <c r="CM65" s="1397">
        <f>1/(1+CK65)</f>
        <v>0.81967213114754101</v>
      </c>
      <c r="CN65" s="1404">
        <v>0.9</v>
      </c>
      <c r="CO65" s="12"/>
      <c r="CP65" s="12"/>
      <c r="CQ65" s="12"/>
      <c r="CR65" s="12"/>
      <c r="CS65" s="12"/>
      <c r="CT65" s="12"/>
      <c r="CU65" s="12"/>
      <c r="CV65" s="12"/>
      <c r="CW65" s="12"/>
      <c r="CX65" s="12"/>
      <c r="CY65" s="12"/>
      <c r="CZ65" s="12"/>
    </row>
    <row r="66" spans="2:104" customFormat="1" ht="21.95" customHeight="1" x14ac:dyDescent="0.2">
      <c r="B66" s="492"/>
      <c r="C66" s="1339"/>
      <c r="D66" s="116" t="s">
        <v>282</v>
      </c>
      <c r="E66" s="116" t="s">
        <v>280</v>
      </c>
      <c r="F66" s="116" t="s">
        <v>369</v>
      </c>
      <c r="G66" s="364">
        <v>70</v>
      </c>
      <c r="H66" s="1155">
        <f>19116/foottomile</f>
        <v>3.6204545454545456</v>
      </c>
      <c r="I66" s="260">
        <v>4</v>
      </c>
      <c r="J66" s="326">
        <f>'Trip Gen'!W149</f>
        <v>13500</v>
      </c>
      <c r="K66" s="1151">
        <f>'Trip Gen'!X149</f>
        <v>14212.599999999997</v>
      </c>
      <c r="L66" s="1151">
        <f>'Trip Gen'!Y149</f>
        <v>15282.300000000001</v>
      </c>
      <c r="M66" s="1151">
        <f>'Trip Gen'!Z149</f>
        <v>17049.599999999999</v>
      </c>
      <c r="N66" s="1151">
        <f>'Trip Gen'!AA149</f>
        <v>18817.7</v>
      </c>
      <c r="O66" s="1151">
        <f>'Trip Gen'!AB149</f>
        <v>20585.699999999997</v>
      </c>
      <c r="P66" s="1151">
        <f>'Trip Gen'!AC149</f>
        <v>22353</v>
      </c>
      <c r="Q66" s="1151">
        <f>'Trip Gen'!AD149</f>
        <v>24121.899999999998</v>
      </c>
      <c r="R66" s="1151">
        <f>'Trip Gen'!AE149</f>
        <v>25906.499999999996</v>
      </c>
      <c r="S66" s="1151">
        <f>'Trip Gen'!AF149</f>
        <v>27691.699999999997</v>
      </c>
      <c r="T66" s="1151">
        <f>'Trip Gen'!AG149</f>
        <v>29476.299999999996</v>
      </c>
      <c r="U66" s="1151">
        <f>'Trip Gen'!AH149</f>
        <v>31260.899999999998</v>
      </c>
      <c r="V66" s="1151">
        <f>'Trip Gen'!AI149</f>
        <v>33047.1</v>
      </c>
      <c r="W66" s="1151">
        <f>'Trip Gen'!AJ149</f>
        <v>34133.300000000003</v>
      </c>
      <c r="X66" s="1151">
        <f>'Trip Gen'!AK149</f>
        <v>34845.899999999994</v>
      </c>
      <c r="Y66" s="1151">
        <f>'Trip Gen'!AL149</f>
        <v>35558.5</v>
      </c>
      <c r="Z66" s="1151">
        <f>'Trip Gen'!AM149</f>
        <v>36271.100000000006</v>
      </c>
      <c r="AA66" s="1151">
        <f>'Trip Gen'!AN149</f>
        <v>36984.1</v>
      </c>
      <c r="AB66" s="1151">
        <f>'Trip Gen'!AO149</f>
        <v>37696.699999999997</v>
      </c>
      <c r="AC66" s="1151">
        <f>'Trip Gen'!AP149</f>
        <v>38409.700000000004</v>
      </c>
      <c r="AD66" s="1151">
        <f>'Trip Gen'!AQ149</f>
        <v>39122.300000000003</v>
      </c>
      <c r="AE66" s="1151">
        <f>'Trip Gen'!AR149</f>
        <v>39834.9</v>
      </c>
      <c r="AF66" s="1151">
        <f>'Trip Gen'!AS149</f>
        <v>40547.900000000009</v>
      </c>
      <c r="AG66" s="1151">
        <f>'Trip Gen'!AT149</f>
        <v>41260.5</v>
      </c>
      <c r="AH66" s="1151">
        <f>'Trip Gen'!AU149</f>
        <v>41973.1</v>
      </c>
      <c r="AI66" s="1151">
        <f>'Trip Gen'!AV149</f>
        <v>42686.1</v>
      </c>
      <c r="AJ66" s="1182">
        <f t="shared" si="226"/>
        <v>8.6477333333333337E-2</v>
      </c>
      <c r="AK66" s="326">
        <f t="shared" si="279"/>
        <v>48876.136363636368</v>
      </c>
      <c r="AL66" s="260">
        <f t="shared" ref="AL66:AL67" si="304">$H66*K66</f>
        <v>51456.072272727266</v>
      </c>
      <c r="AM66" s="260">
        <f t="shared" si="281"/>
        <v>55328.872500000005</v>
      </c>
      <c r="AN66" s="260">
        <f t="shared" si="282"/>
        <v>61727.301818181819</v>
      </c>
      <c r="AO66" s="260">
        <f t="shared" si="283"/>
        <v>68128.627500000002</v>
      </c>
      <c r="AP66" s="260">
        <f t="shared" si="284"/>
        <v>74529.591136363626</v>
      </c>
      <c r="AQ66" s="260">
        <f t="shared" si="285"/>
        <v>80928.020454545462</v>
      </c>
      <c r="AR66" s="260">
        <f t="shared" si="286"/>
        <v>87332.242499999993</v>
      </c>
      <c r="AS66" s="260">
        <f t="shared" si="287"/>
        <v>93793.305681818179</v>
      </c>
      <c r="AT66" s="260">
        <f t="shared" si="288"/>
        <v>100256.54113636362</v>
      </c>
      <c r="AU66" s="260">
        <f t="shared" si="289"/>
        <v>106717.60431818181</v>
      </c>
      <c r="AV66" s="260">
        <f t="shared" si="290"/>
        <v>113178.6675</v>
      </c>
      <c r="AW66" s="260">
        <f t="shared" si="291"/>
        <v>119645.52340909091</v>
      </c>
      <c r="AX66" s="260">
        <f t="shared" si="292"/>
        <v>123578.06113636366</v>
      </c>
      <c r="AY66" s="260">
        <f t="shared" si="293"/>
        <v>126157.99704545453</v>
      </c>
      <c r="AZ66" s="260">
        <f t="shared" si="294"/>
        <v>128737.93295454545</v>
      </c>
      <c r="BA66" s="260">
        <f t="shared" si="295"/>
        <v>131317.86886363639</v>
      </c>
      <c r="BB66" s="260">
        <f t="shared" si="296"/>
        <v>133899.25295454546</v>
      </c>
      <c r="BC66" s="260">
        <f t="shared" si="297"/>
        <v>136479.18886363634</v>
      </c>
      <c r="BD66" s="260">
        <f t="shared" si="298"/>
        <v>139060.57295454547</v>
      </c>
      <c r="BE66" s="260">
        <f t="shared" si="299"/>
        <v>141640.50886363638</v>
      </c>
      <c r="BF66" s="260">
        <f t="shared" si="300"/>
        <v>144220.44477272729</v>
      </c>
      <c r="BG66" s="260">
        <f t="shared" si="301"/>
        <v>146801.82886363639</v>
      </c>
      <c r="BH66" s="260">
        <f t="shared" si="302"/>
        <v>149381.76477272727</v>
      </c>
      <c r="BI66" s="260">
        <f t="shared" si="303"/>
        <v>151961.70068181818</v>
      </c>
      <c r="BJ66" s="354">
        <f t="shared" si="280"/>
        <v>154543.08477272728</v>
      </c>
      <c r="BK66" s="417">
        <f>((0.33*'Traffic Data'!AK66)/Speed!X147)+((0.67*'Traffic Data'!AK66)/Speed!AX147)</f>
        <v>680.91604638444551</v>
      </c>
      <c r="BL66" s="415">
        <f>((0.33*AL66)/Speed!Y147)+((0.67*AL66)/Speed!AY147)</f>
        <v>716.85849809295996</v>
      </c>
      <c r="BM66" s="415">
        <f>((0.33*AM66)/Speed!Z147)+((0.67*AM66)/Speed!AZ147)</f>
        <v>770.81277164223434</v>
      </c>
      <c r="BN66" s="415">
        <f>((0.33*AN66)/Speed!AA147)+((0.67*AN66)/Speed!BA147)</f>
        <v>859.95443383944394</v>
      </c>
      <c r="BO66" s="415">
        <f>((0.33*AO66)/Speed!AB147)+((0.67*AO66)/Speed!BB147)</f>
        <v>949.14044109065003</v>
      </c>
      <c r="BP66" s="415">
        <f>((0.33*AP66)/Speed!AC147)+((0.67*AP66)/Speed!BC147)</f>
        <v>1038.3310017213648</v>
      </c>
      <c r="BQ66" s="415">
        <f>((0.33*AQ66)/Speed!AD147)+((0.67*AQ66)/Speed!BD147)</f>
        <v>1127.5075871659647</v>
      </c>
      <c r="BR66" s="415">
        <f>((0.33*AR66)/Speed!AE147)+((0.67*AR66)/Speed!BE147)</f>
        <v>1216.8094601364107</v>
      </c>
      <c r="BS66" s="415">
        <f>((0.33*AS66)/Speed!AF147)+((0.67*AS66)/Speed!BF147)</f>
        <v>1306.993297646645</v>
      </c>
      <c r="BT66" s="415">
        <f>((0.33*AT66)/Speed!AG147)+((0.67*AT66)/Speed!BG147)</f>
        <v>1397.3771601550618</v>
      </c>
      <c r="BU66" s="415">
        <f>((0.33*AU66)/Speed!AH147)+((0.67*AU66)/Speed!BH147)</f>
        <v>1488.0385627227906</v>
      </c>
      <c r="BV66" s="415">
        <f>((0.33*AV66)/Speed!AI147)+((0.67*AV66)/Speed!BI147)</f>
        <v>1579.2385345174253</v>
      </c>
      <c r="BW66" s="415">
        <f>((0.33*AW66)/Speed!AJ147)+((0.67*AW66)/Speed!BJ147)</f>
        <v>1671.4335618143059</v>
      </c>
      <c r="BX66" s="415">
        <f>((0.33*AX66)/Speed!AK147)+((0.67*AX66)/Speed!BK147)</f>
        <v>1728.1835666354411</v>
      </c>
      <c r="BY66" s="415">
        <f>((0.33*AY66)/Speed!AL147)+((0.67*AY66)/Speed!BL147)</f>
        <v>1765.8001323105918</v>
      </c>
      <c r="BZ66" s="415">
        <f>((0.33*AZ66)/Speed!AM147)+((0.67*AZ66)/Speed!BM147)</f>
        <v>1803.7964890742078</v>
      </c>
      <c r="CA66" s="415">
        <f>((0.33*BA66)/Speed!AN147)+((0.67*BA66)/Speed!BN147)</f>
        <v>1842.2485017470296</v>
      </c>
      <c r="CB66" s="415">
        <f>((0.33*BB66)/Speed!AO147)+((0.67*BB66)/Speed!BO147)</f>
        <v>1881.2672691847188</v>
      </c>
      <c r="CC66" s="415">
        <f>((0.33*BC66)/Speed!AP147)+((0.67*BC66)/Speed!BP147)</f>
        <v>1920.913245760471</v>
      </c>
      <c r="CD66" s="415">
        <f>((0.33*BD66)/Speed!AQ147)+((0.67*BD66)/Speed!BQ147)</f>
        <v>1961.3526301440988</v>
      </c>
      <c r="CE66" s="415">
        <f>((0.33*BE66)/Speed!AR147)+((0.67*BE66)/Speed!BR147)</f>
        <v>2002.6814935472876</v>
      </c>
      <c r="CF66" s="415">
        <f>((0.33*BF66)/Speed!AS147)+((0.67*BF66)/Speed!BS147)</f>
        <v>2045.0862865008839</v>
      </c>
      <c r="CG66" s="415">
        <f>((0.33*BG66)/Speed!AT147)+((0.67*BG66)/Speed!BT147)</f>
        <v>2088.781619518275</v>
      </c>
      <c r="CH66" s="415">
        <f>((0.33*BH66)/Speed!AU147)+((0.67*BH66)/Speed!BU147)</f>
        <v>2133.9374498247475</v>
      </c>
      <c r="CI66" s="415">
        <f>((0.33*BI66)/Speed!AV147)+((0.67*BI66)/Speed!BV147)</f>
        <v>2180.8298315717088</v>
      </c>
      <c r="CJ66" s="453">
        <f>((0.33*BJ66)/Speed!AW147)+((0.67*BJ66)/Speed!BW147)</f>
        <v>2229.776073039015</v>
      </c>
      <c r="CK66" s="1391"/>
      <c r="CL66" s="1391"/>
      <c r="CM66" s="1398"/>
      <c r="CN66" s="1405"/>
      <c r="CO66" s="12"/>
      <c r="CP66" s="12"/>
      <c r="CQ66" s="12"/>
      <c r="CR66" s="12"/>
      <c r="CS66" s="12"/>
      <c r="CT66" s="12"/>
      <c r="CU66" s="12"/>
      <c r="CV66" s="12"/>
      <c r="CW66" s="12"/>
      <c r="CX66" s="12"/>
      <c r="CY66" s="12"/>
      <c r="CZ66" s="12"/>
    </row>
    <row r="67" spans="2:104" customFormat="1" ht="21.95" customHeight="1" x14ac:dyDescent="0.2">
      <c r="B67" s="492"/>
      <c r="C67" s="1339"/>
      <c r="D67" s="116" t="s">
        <v>280</v>
      </c>
      <c r="E67" s="116" t="s">
        <v>333</v>
      </c>
      <c r="F67" s="116" t="s">
        <v>370</v>
      </c>
      <c r="G67" s="364">
        <v>70</v>
      </c>
      <c r="H67" s="1155">
        <v>9.5000000000000001E-2</v>
      </c>
      <c r="I67" s="260">
        <v>4</v>
      </c>
      <c r="J67" s="326">
        <f>'Trip Gen'!W150</f>
        <v>12000</v>
      </c>
      <c r="K67" s="1156">
        <f>'Trip Gen'!X150</f>
        <v>12501.099999999999</v>
      </c>
      <c r="L67" s="1156">
        <f>'Trip Gen'!Y150</f>
        <v>13121.299999999997</v>
      </c>
      <c r="M67" s="1156">
        <f>'Trip Gen'!Z150</f>
        <v>13956.3</v>
      </c>
      <c r="N67" s="1156">
        <f>'Trip Gen'!AA150</f>
        <v>14791.600000000002</v>
      </c>
      <c r="O67" s="1156">
        <f>'Trip Gen'!AB150</f>
        <v>15626.800000000003</v>
      </c>
      <c r="P67" s="1156">
        <f>'Trip Gen'!AC150</f>
        <v>16461.800000000003</v>
      </c>
      <c r="Q67" s="1156">
        <f>'Trip Gen'!AD150</f>
        <v>17297.400000000005</v>
      </c>
      <c r="R67" s="1156">
        <f>'Trip Gen'!AE150</f>
        <v>18107</v>
      </c>
      <c r="S67" s="1156">
        <f>'Trip Gen'!AF150</f>
        <v>18916.899999999994</v>
      </c>
      <c r="T67" s="1156">
        <f>'Trip Gen'!AG150</f>
        <v>19726.5</v>
      </c>
      <c r="U67" s="1156">
        <f>'Trip Gen'!AH150</f>
        <v>20536.099999999999</v>
      </c>
      <c r="V67" s="1156">
        <f>'Trip Gen'!AI150</f>
        <v>21346.300000000003</v>
      </c>
      <c r="W67" s="1156">
        <f>'Trip Gen'!AJ150</f>
        <v>21940.799999999999</v>
      </c>
      <c r="X67" s="1156">
        <f>'Trip Gen'!AK150</f>
        <v>22441.9</v>
      </c>
      <c r="Y67" s="1156">
        <f>'Trip Gen'!AL150</f>
        <v>22942.999999999996</v>
      </c>
      <c r="Z67" s="1156">
        <f>'Trip Gen'!AM150</f>
        <v>23444.1</v>
      </c>
      <c r="AA67" s="1156">
        <f>'Trip Gen'!AN150</f>
        <v>23945.4</v>
      </c>
      <c r="AB67" s="1156">
        <f>'Trip Gen'!AO150</f>
        <v>24446.5</v>
      </c>
      <c r="AC67" s="1156">
        <f>'Trip Gen'!AP150</f>
        <v>24947.8</v>
      </c>
      <c r="AD67" s="1156">
        <f>'Trip Gen'!AQ150</f>
        <v>25448.900000000005</v>
      </c>
      <c r="AE67" s="1156">
        <f>'Trip Gen'!AR150</f>
        <v>25949.999999999996</v>
      </c>
      <c r="AF67" s="1156">
        <f>'Trip Gen'!AS150</f>
        <v>26451.3</v>
      </c>
      <c r="AG67" s="1156">
        <f>'Trip Gen'!AT150</f>
        <v>26952.400000000001</v>
      </c>
      <c r="AH67" s="1156">
        <f>'Trip Gen'!AU150</f>
        <v>27453.499999999996</v>
      </c>
      <c r="AI67" s="1156">
        <f>'Trip Gen'!AV150</f>
        <v>27954.799999999999</v>
      </c>
      <c r="AJ67" s="1182">
        <f t="shared" si="226"/>
        <v>5.3182666666666663E-2</v>
      </c>
      <c r="AK67" s="327">
        <f t="shared" si="279"/>
        <v>1140</v>
      </c>
      <c r="AL67" s="262">
        <f t="shared" si="304"/>
        <v>1187.6044999999999</v>
      </c>
      <c r="AM67" s="262">
        <f t="shared" si="281"/>
        <v>1246.5234999999998</v>
      </c>
      <c r="AN67" s="262">
        <f t="shared" si="282"/>
        <v>1325.8485000000001</v>
      </c>
      <c r="AO67" s="262">
        <f t="shared" si="283"/>
        <v>1405.2020000000002</v>
      </c>
      <c r="AP67" s="262">
        <f t="shared" si="284"/>
        <v>1484.5460000000003</v>
      </c>
      <c r="AQ67" s="262">
        <f t="shared" si="285"/>
        <v>1563.8710000000003</v>
      </c>
      <c r="AR67" s="262">
        <f t="shared" si="286"/>
        <v>1643.2530000000006</v>
      </c>
      <c r="AS67" s="262">
        <f t="shared" si="287"/>
        <v>1720.165</v>
      </c>
      <c r="AT67" s="262">
        <f t="shared" si="288"/>
        <v>1797.1054999999994</v>
      </c>
      <c r="AU67" s="262">
        <f t="shared" si="289"/>
        <v>1874.0174999999999</v>
      </c>
      <c r="AV67" s="262">
        <f t="shared" si="290"/>
        <v>1950.9295</v>
      </c>
      <c r="AW67" s="262">
        <f t="shared" si="291"/>
        <v>2027.8985000000002</v>
      </c>
      <c r="AX67" s="262">
        <f t="shared" si="292"/>
        <v>2084.3759999999997</v>
      </c>
      <c r="AY67" s="262">
        <f t="shared" si="293"/>
        <v>2131.9805000000001</v>
      </c>
      <c r="AZ67" s="262">
        <f t="shared" si="294"/>
        <v>2179.5849999999996</v>
      </c>
      <c r="BA67" s="262">
        <f t="shared" si="295"/>
        <v>2227.1895</v>
      </c>
      <c r="BB67" s="262">
        <f t="shared" si="296"/>
        <v>2274.8130000000001</v>
      </c>
      <c r="BC67" s="262">
        <f t="shared" si="297"/>
        <v>2322.4175</v>
      </c>
      <c r="BD67" s="262">
        <f t="shared" si="298"/>
        <v>2370.0410000000002</v>
      </c>
      <c r="BE67" s="262">
        <f t="shared" si="299"/>
        <v>2417.6455000000005</v>
      </c>
      <c r="BF67" s="262">
        <f t="shared" si="300"/>
        <v>2465.2499999999995</v>
      </c>
      <c r="BG67" s="262">
        <f t="shared" si="301"/>
        <v>2512.8735000000001</v>
      </c>
      <c r="BH67" s="262">
        <f t="shared" si="302"/>
        <v>2560.4780000000001</v>
      </c>
      <c r="BI67" s="262">
        <f t="shared" si="303"/>
        <v>2608.0824999999995</v>
      </c>
      <c r="BJ67" s="355">
        <f t="shared" si="280"/>
        <v>2655.7060000000001</v>
      </c>
      <c r="BK67" s="417">
        <f>((0.33*'Traffic Data'!AK67)/Speed!X148)+((0.67*'Traffic Data'!AK67)/Speed!AX148)</f>
        <v>15.883648845893468</v>
      </c>
      <c r="BL67" s="415">
        <f>((0.33*AL67)/Speed!Y148)+((0.67*AL67)/Speed!AY148)</f>
        <v>16.547864831942661</v>
      </c>
      <c r="BM67" s="415">
        <f>((0.33*AM67)/Speed!Z148)+((0.67*AM67)/Speed!AZ148)</f>
        <v>17.370664344425322</v>
      </c>
      <c r="BN67" s="415">
        <f>((0.33*AN67)/Speed!AA148)+((0.67*AN67)/Speed!BA148)</f>
        <v>18.4804150970871</v>
      </c>
      <c r="BO67" s="415">
        <f>((0.33*AO67)/Speed!AB148)+((0.67*AO67)/Speed!BB148)</f>
        <v>19.594353468930894</v>
      </c>
      <c r="BP67" s="415">
        <f>((0.33*AP67)/Speed!AC148)+((0.67*AP67)/Speed!BC148)</f>
        <v>20.714536254495361</v>
      </c>
      <c r="BQ67" s="415">
        <f>((0.33*AQ67)/Speed!AD148)+((0.67*AQ67)/Speed!BD148)</f>
        <v>21.844881521998552</v>
      </c>
      <c r="BR67" s="415">
        <f>((0.33*AR67)/Speed!AE148)+((0.67*AR67)/Speed!BE148)</f>
        <v>22.992693596193522</v>
      </c>
      <c r="BS67" s="415">
        <f>((0.33*AS67)/Speed!AF148)+((0.67*AS67)/Speed!BF148)</f>
        <v>24.129444112744107</v>
      </c>
      <c r="BT67" s="415">
        <f>((0.33*AT67)/Speed!AG148)+((0.67*AT67)/Speed!BG148)</f>
        <v>25.303368198924868</v>
      </c>
      <c r="BU67" s="415">
        <f>((0.33*AU67)/Speed!AH148)+((0.67*AU67)/Speed!BH148)</f>
        <v>26.531267523186301</v>
      </c>
      <c r="BV67" s="415">
        <f>((0.33*AV67)/Speed!AI148)+((0.67*AV67)/Speed!BI148)</f>
        <v>27.838423710449902</v>
      </c>
      <c r="BW67" s="415">
        <f>((0.33*AW67)/Speed!AJ148)+((0.67*AW67)/Speed!BJ148)</f>
        <v>29.260425243905519</v>
      </c>
      <c r="BX67" s="415">
        <f>((0.33*AX67)/Speed!AK148)+((0.67*AX67)/Speed!BK148)</f>
        <v>30.403144459612925</v>
      </c>
      <c r="BY67" s="415">
        <f>((0.33*AY67)/Speed!AL148)+((0.67*AY67)/Speed!BL148)</f>
        <v>31.451167693498796</v>
      </c>
      <c r="BZ67" s="415">
        <f>((0.33*AZ67)/Speed!AM148)+((0.67*AZ67)/Speed!BM148)</f>
        <v>32.595429554712979</v>
      </c>
      <c r="CA67" s="415">
        <f>((0.33*BA67)/Speed!AN148)+((0.67*BA67)/Speed!BN148)</f>
        <v>33.857076190252798</v>
      </c>
      <c r="CB67" s="415">
        <f>((0.33*BB67)/Speed!AO148)+((0.67*BB67)/Speed!BO148)</f>
        <v>35.261879431694837</v>
      </c>
      <c r="CC67" s="415">
        <f>((0.33*BC67)/Speed!AP148)+((0.67*BC67)/Speed!BP148)</f>
        <v>36.838600062599532</v>
      </c>
      <c r="CD67" s="415">
        <f>((0.33*BD67)/Speed!AQ148)+((0.67*BD67)/Speed!BQ148)</f>
        <v>38.623839828811199</v>
      </c>
      <c r="CE67" s="415">
        <f>((0.33*BE67)/Speed!AR148)+((0.67*BE67)/Speed!BR148)</f>
        <v>40.65778975383509</v>
      </c>
      <c r="CF67" s="415">
        <f>((0.33*BF67)/Speed!AS148)+((0.67*BF67)/Speed!BS148)</f>
        <v>42.989967891416597</v>
      </c>
      <c r="CG67" s="415">
        <f>((0.33*BG67)/Speed!AT148)+((0.67*BG67)/Speed!BT148)</f>
        <v>45.678704614228714</v>
      </c>
      <c r="CH67" s="415">
        <f>((0.33*BH67)/Speed!AU148)+((0.67*BH67)/Speed!BU148)</f>
        <v>48.788602429366691</v>
      </c>
      <c r="CI67" s="415">
        <f>((0.33*BI67)/Speed!AV148)+((0.67*BI67)/Speed!BV148)</f>
        <v>52.398299018490746</v>
      </c>
      <c r="CJ67" s="453">
        <f>((0.33*BJ67)/Speed!AW148)+((0.67*BJ67)/Speed!BW148)</f>
        <v>56.599684878885469</v>
      </c>
      <c r="CK67" s="1392"/>
      <c r="CL67" s="1392"/>
      <c r="CM67" s="1399"/>
      <c r="CN67" s="1406"/>
      <c r="CO67" s="12"/>
      <c r="CP67" s="12"/>
      <c r="CQ67" s="12"/>
      <c r="CR67" s="12"/>
      <c r="CS67" s="12"/>
      <c r="CT67" s="12"/>
      <c r="CU67" s="12"/>
      <c r="CV67" s="12"/>
      <c r="CW67" s="12"/>
      <c r="CX67" s="12"/>
      <c r="CY67" s="12"/>
      <c r="CZ67" s="12"/>
    </row>
    <row r="68" spans="2:104" customFormat="1" ht="21.95" customHeight="1" x14ac:dyDescent="0.2">
      <c r="B68" s="492"/>
      <c r="C68" s="1340" t="s">
        <v>280</v>
      </c>
      <c r="D68" s="220" t="s">
        <v>281</v>
      </c>
      <c r="E68" s="220" t="s">
        <v>335</v>
      </c>
      <c r="F68" s="220" t="s">
        <v>371</v>
      </c>
      <c r="G68" s="1149">
        <v>55</v>
      </c>
      <c r="H68" s="1150">
        <v>2.59</v>
      </c>
      <c r="I68" s="261">
        <v>4</v>
      </c>
      <c r="J68" s="325">
        <f>'Trip Gen'!W159</f>
        <v>4000</v>
      </c>
      <c r="K68" s="1151">
        <f>'Trip Gen'!X159</f>
        <v>4404.62</v>
      </c>
      <c r="L68" s="1151">
        <f>'Trip Gen'!Y159</f>
        <v>5309.24</v>
      </c>
      <c r="M68" s="1151">
        <f>'Trip Gen'!Z159</f>
        <v>7126.2400000000007</v>
      </c>
      <c r="N68" s="1151">
        <f>'Trip Gen'!AA159</f>
        <v>8944.3599999999988</v>
      </c>
      <c r="O68" s="1151">
        <f>'Trip Gen'!AB159</f>
        <v>10762.279999999999</v>
      </c>
      <c r="P68" s="1151">
        <f>'Trip Gen'!AC159</f>
        <v>12579.279999999999</v>
      </c>
      <c r="Q68" s="1151">
        <f>'Trip Gen'!AD159</f>
        <v>14398.52</v>
      </c>
      <c r="R68" s="1151">
        <f>'Trip Gen'!AE159</f>
        <v>16183.639999999998</v>
      </c>
      <c r="S68" s="1151">
        <f>'Trip Gen'!AF159</f>
        <v>17969.659999999996</v>
      </c>
      <c r="T68" s="1151">
        <f>'Trip Gen'!AG159</f>
        <v>19754.78</v>
      </c>
      <c r="U68" s="1151">
        <f>'Trip Gen'!AH159</f>
        <v>21539.9</v>
      </c>
      <c r="V68" s="1151">
        <f>'Trip Gen'!AI159</f>
        <v>23327.260000000002</v>
      </c>
      <c r="W68" s="1151">
        <f>'Trip Gen'!AJ159</f>
        <v>24198.879999999997</v>
      </c>
      <c r="X68" s="1151">
        <f>'Trip Gen'!AK159</f>
        <v>24603.499999999996</v>
      </c>
      <c r="Y68" s="1151">
        <f>'Trip Gen'!AL159</f>
        <v>25008.12</v>
      </c>
      <c r="Z68" s="1151">
        <f>'Trip Gen'!AM159</f>
        <v>25412.739999999998</v>
      </c>
      <c r="AA68" s="1151">
        <f>'Trip Gen'!AN159</f>
        <v>25817.98</v>
      </c>
      <c r="AB68" s="1151">
        <f>'Trip Gen'!AO159</f>
        <v>26222.6</v>
      </c>
      <c r="AC68" s="1151">
        <f>'Trip Gen'!AP159</f>
        <v>26627.839999999997</v>
      </c>
      <c r="AD68" s="1151">
        <f>'Trip Gen'!AQ159</f>
        <v>27032.459999999995</v>
      </c>
      <c r="AE68" s="1151">
        <f>'Trip Gen'!AR159</f>
        <v>27437.079999999998</v>
      </c>
      <c r="AF68" s="1151">
        <f>'Trip Gen'!AS159</f>
        <v>27842.32</v>
      </c>
      <c r="AG68" s="1151">
        <f>'Trip Gen'!AT159</f>
        <v>28246.94</v>
      </c>
      <c r="AH68" s="1151">
        <f>'Trip Gen'!AU159</f>
        <v>28651.559999999998</v>
      </c>
      <c r="AI68" s="1151">
        <f>'Trip Gen'!AV159</f>
        <v>29056.799999999996</v>
      </c>
      <c r="AJ68" s="1197">
        <f t="shared" si="226"/>
        <v>0.25056799999999996</v>
      </c>
      <c r="AK68" s="325">
        <f t="shared" si="279"/>
        <v>10360</v>
      </c>
      <c r="AL68" s="261">
        <f>$H68*K68</f>
        <v>11407.9658</v>
      </c>
      <c r="AM68" s="261">
        <f t="shared" ref="AM68:AM70" si="305">$H68*L68</f>
        <v>13750.931599999998</v>
      </c>
      <c r="AN68" s="261">
        <f t="shared" ref="AN68:AN70" si="306">$H68*M68</f>
        <v>18456.961600000002</v>
      </c>
      <c r="AO68" s="261">
        <f t="shared" ref="AO68:AO70" si="307">$H68*N68</f>
        <v>23165.892399999997</v>
      </c>
      <c r="AP68" s="261">
        <f t="shared" ref="AP68:AP70" si="308">$H68*O68</f>
        <v>27874.305199999995</v>
      </c>
      <c r="AQ68" s="261">
        <f t="shared" ref="AQ68:AQ70" si="309">$H68*P68</f>
        <v>32580.335199999994</v>
      </c>
      <c r="AR68" s="261">
        <f t="shared" ref="AR68:AR70" si="310">$H68*Q68</f>
        <v>37292.166799999999</v>
      </c>
      <c r="AS68" s="261">
        <f t="shared" ref="AS68:AS70" si="311">$H68*R68</f>
        <v>41915.627599999993</v>
      </c>
      <c r="AT68" s="261">
        <f t="shared" ref="AT68:AT70" si="312">$H68*S68</f>
        <v>46541.419399999984</v>
      </c>
      <c r="AU68" s="261">
        <f t="shared" ref="AU68:AU70" si="313">$H68*T68</f>
        <v>51164.880199999992</v>
      </c>
      <c r="AV68" s="261">
        <f t="shared" ref="AV68:AV70" si="314">$H68*U68</f>
        <v>55788.341</v>
      </c>
      <c r="AW68" s="261">
        <f t="shared" ref="AW68:AW70" si="315">$H68*V68</f>
        <v>60417.6034</v>
      </c>
      <c r="AX68" s="261">
        <f t="shared" ref="AX68:AX70" si="316">$H68*W68</f>
        <v>62675.09919999999</v>
      </c>
      <c r="AY68" s="261">
        <f t="shared" ref="AY68:AY70" si="317">$H68*X68</f>
        <v>63723.064999999988</v>
      </c>
      <c r="AZ68" s="261">
        <f t="shared" ref="AZ68:AZ70" si="318">$H68*Y68</f>
        <v>64771.030799999993</v>
      </c>
      <c r="BA68" s="261">
        <f t="shared" ref="BA68:BA70" si="319">$H68*Z68</f>
        <v>65818.996599999984</v>
      </c>
      <c r="BB68" s="261">
        <f t="shared" ref="BB68:BB70" si="320">$H68*AA68</f>
        <v>66868.568199999994</v>
      </c>
      <c r="BC68" s="261">
        <f t="shared" ref="BC68:BC70" si="321">$H68*AB68</f>
        <v>67916.534</v>
      </c>
      <c r="BD68" s="261">
        <f t="shared" ref="BD68:BD70" si="322">$H68*AC68</f>
        <v>68966.105599999981</v>
      </c>
      <c r="BE68" s="261">
        <f t="shared" ref="BE68:BE70" si="323">$H68*AD68</f>
        <v>70014.071399999986</v>
      </c>
      <c r="BF68" s="261">
        <f t="shared" ref="BF68:BF70" si="324">$H68*AE68</f>
        <v>71062.037199999992</v>
      </c>
      <c r="BG68" s="261">
        <f t="shared" ref="BG68:BG70" si="325">$H68*AF68</f>
        <v>72111.608800000002</v>
      </c>
      <c r="BH68" s="261">
        <f t="shared" ref="BH68:BH70" si="326">$H68*AG68</f>
        <v>73159.574599999993</v>
      </c>
      <c r="BI68" s="261">
        <f t="shared" ref="BI68:BI70" si="327">$H68*AH68</f>
        <v>74207.540399999983</v>
      </c>
      <c r="BJ68" s="353">
        <f t="shared" si="280"/>
        <v>75257.111999999979</v>
      </c>
      <c r="BK68" s="416">
        <f>((0.33*'Traffic Data'!AK68)/Speed!X149)+((0.67*'Traffic Data'!AK68)/Speed!AX149)</f>
        <v>180.17391304455893</v>
      </c>
      <c r="BL68" s="451">
        <f>((0.33*AL68)/Speed!Y149)+((0.67*AL68)/Speed!AY149)</f>
        <v>198.39940522051029</v>
      </c>
      <c r="BM68" s="451">
        <f>((0.33*AM68)/Speed!Z149)+((0.67*AM68)/Speed!AZ149)</f>
        <v>239.14663654608211</v>
      </c>
      <c r="BN68" s="451">
        <f>((0.33*AN68)/Speed!AA149)+((0.67*AN68)/Speed!BA149)</f>
        <v>320.99063714186752</v>
      </c>
      <c r="BO68" s="451">
        <f>((0.33*AO68)/Speed!AB149)+((0.67*AO68)/Speed!BB149)</f>
        <v>402.88509276933934</v>
      </c>
      <c r="BP68" s="451">
        <f>((0.33*AP68)/Speed!AC149)+((0.67*AP68)/Speed!BC149)</f>
        <v>484.77058302227363</v>
      </c>
      <c r="BQ68" s="451">
        <f>((0.33*AQ68)/Speed!AD149)+((0.67*AQ68)/Speed!BD149)</f>
        <v>566.61484675467386</v>
      </c>
      <c r="BR68" s="451">
        <f>((0.33*AR68)/Speed!AE149)+((0.67*AR68)/Speed!BE149)</f>
        <v>648.56084334809418</v>
      </c>
      <c r="BS68" s="451">
        <f>((0.33*AS68)/Speed!AF149)+((0.67*AS68)/Speed!BF149)</f>
        <v>728.97257526200656</v>
      </c>
      <c r="BT68" s="451">
        <f>((0.33*AT68)/Speed!AG149)+((0.67*AT68)/Speed!BG149)</f>
        <v>809.43224344671523</v>
      </c>
      <c r="BU68" s="451">
        <f>((0.33*AU68)/Speed!AH149)+((0.67*AU68)/Speed!BH149)</f>
        <v>889.87007292973726</v>
      </c>
      <c r="BV68" s="451">
        <f>((0.33*AV68)/Speed!AI149)+((0.67*AV68)/Speed!BI149)</f>
        <v>970.35133364108992</v>
      </c>
      <c r="BW68" s="451">
        <f>((0.33*AW68)/Speed!AJ149)+((0.67*AW68)/Speed!BJ149)</f>
        <v>1051.027689841143</v>
      </c>
      <c r="BX68" s="451">
        <f>((0.33*AX68)/Speed!AK149)+((0.67*AX68)/Speed!BK149)</f>
        <v>1090.4310330182216</v>
      </c>
      <c r="BY68" s="451">
        <f>((0.33*AY68)/Speed!AL149)+((0.67*AY68)/Speed!BL149)</f>
        <v>1108.7424314169384</v>
      </c>
      <c r="BZ68" s="451">
        <f>((0.33*AZ68)/Speed!AM149)+((0.67*AZ68)/Speed!BM149)</f>
        <v>1127.0691815777916</v>
      </c>
      <c r="CA68" s="451">
        <f>((0.33*BA68)/Speed!AN149)+((0.67*BA68)/Speed!BN149)</f>
        <v>1145.4137112845603</v>
      </c>
      <c r="CB68" s="451">
        <f>((0.33*BB68)/Speed!AO149)+((0.67*BB68)/Speed!BO149)</f>
        <v>1163.8069406879422</v>
      </c>
      <c r="CC68" s="451">
        <f>((0.33*BC68)/Speed!AP149)+((0.67*BC68)/Speed!BP149)</f>
        <v>1182.1957294272747</v>
      </c>
      <c r="CD68" s="451">
        <f>((0.33*BD68)/Speed!AQ149)+((0.67*BD68)/Speed!BQ149)</f>
        <v>1200.6400002432003</v>
      </c>
      <c r="CE68" s="451">
        <f>((0.33*BE68)/Speed!AR149)+((0.67*BE68)/Speed!BR149)</f>
        <v>1219.0873444202316</v>
      </c>
      <c r="CF68" s="451">
        <f>((0.33*BF68)/Speed!AS149)+((0.67*BF68)/Speed!BS149)</f>
        <v>1237.5705034471446</v>
      </c>
      <c r="CG68" s="451">
        <f>((0.33*BG68)/Speed!AT149)+((0.67*BG68)/Speed!BT149)</f>
        <v>1256.1230183442758</v>
      </c>
      <c r="CH68" s="451">
        <f>((0.33*BH68)/Speed!AU149)+((0.67*BH68)/Speed!BU149)</f>
        <v>1274.6938912922947</v>
      </c>
      <c r="CI68" s="451">
        <f>((0.33*BI68)/Speed!AV149)+((0.67*BI68)/Speed!BV149)</f>
        <v>1293.3179489289876</v>
      </c>
      <c r="CJ68" s="452">
        <f>((0.33*BJ68)/Speed!AW149)+((0.67*BJ68)/Speed!BW149)</f>
        <v>1312.0311327134871</v>
      </c>
      <c r="CK68" s="1390">
        <f>Inputs!$E$35</f>
        <v>0.2</v>
      </c>
      <c r="CL68" s="1391">
        <f>Inputs!$E$36</f>
        <v>0.8</v>
      </c>
      <c r="CM68" s="1397">
        <f>1/(1+CK68)</f>
        <v>0.83333333333333337</v>
      </c>
      <c r="CN68" s="1405">
        <v>0.9</v>
      </c>
      <c r="CO68" s="12"/>
      <c r="CP68" s="12"/>
      <c r="CQ68" s="12"/>
      <c r="CR68" s="12"/>
      <c r="CS68" s="12"/>
      <c r="CT68" s="12"/>
      <c r="CU68" s="12"/>
      <c r="CV68" s="12"/>
      <c r="CW68" s="12"/>
      <c r="CX68" s="12"/>
      <c r="CY68" s="12"/>
      <c r="CZ68" s="12"/>
    </row>
    <row r="69" spans="2:104" customFormat="1" ht="21.95" customHeight="1" x14ac:dyDescent="0.2">
      <c r="B69" s="492"/>
      <c r="C69" s="1339"/>
      <c r="D69" s="116" t="s">
        <v>335</v>
      </c>
      <c r="E69" s="116" t="s">
        <v>323</v>
      </c>
      <c r="F69" s="116" t="s">
        <v>372</v>
      </c>
      <c r="G69" s="364">
        <v>45</v>
      </c>
      <c r="H69" s="1155">
        <v>0.5</v>
      </c>
      <c r="I69" s="260">
        <v>2</v>
      </c>
      <c r="J69" s="326">
        <f>'Trip Gen'!W160</f>
        <v>2400</v>
      </c>
      <c r="K69" s="1151">
        <f>'Trip Gen'!X160</f>
        <v>2627.8599999999997</v>
      </c>
      <c r="L69" s="1151">
        <f>'Trip Gen'!Y160</f>
        <v>2951.1</v>
      </c>
      <c r="M69" s="1151">
        <f>'Trip Gen'!Z160</f>
        <v>3477.7799999999997</v>
      </c>
      <c r="N69" s="1151">
        <f>'Trip Gen'!AA160</f>
        <v>4004.62</v>
      </c>
      <c r="O69" s="1151">
        <f>'Trip Gen'!AB160</f>
        <v>4531.51</v>
      </c>
      <c r="P69" s="1151">
        <f>'Trip Gen'!AC160</f>
        <v>5058.1900000000005</v>
      </c>
      <c r="Q69" s="1151">
        <f>'Trip Gen'!AD160</f>
        <v>5585.4400000000005</v>
      </c>
      <c r="R69" s="1151">
        <f>'Trip Gen'!AE160</f>
        <v>6185.2999999999993</v>
      </c>
      <c r="S69" s="1151">
        <f>'Trip Gen'!AF160</f>
        <v>6785.4400000000014</v>
      </c>
      <c r="T69" s="1151">
        <f>'Trip Gen'!AG160</f>
        <v>7385.2700000000013</v>
      </c>
      <c r="U69" s="1151">
        <f>'Trip Gen'!AH160</f>
        <v>7985.13</v>
      </c>
      <c r="V69" s="1151">
        <f>'Trip Gen'!AI160</f>
        <v>8585.5399999999991</v>
      </c>
      <c r="W69" s="1151">
        <f>'Trip Gen'!AJ160</f>
        <v>8981.52</v>
      </c>
      <c r="X69" s="1151">
        <f>'Trip Gen'!AK160</f>
        <v>9209.3799999999992</v>
      </c>
      <c r="Y69" s="1151">
        <f>'Trip Gen'!AL160</f>
        <v>9437.239999999998</v>
      </c>
      <c r="Z69" s="1151">
        <f>'Trip Gen'!AM160</f>
        <v>9665.0999999999985</v>
      </c>
      <c r="AA69" s="1151">
        <f>'Trip Gen'!AN160</f>
        <v>9893.2199999999975</v>
      </c>
      <c r="AB69" s="1151">
        <f>'Trip Gen'!AO160</f>
        <v>10121.079999999998</v>
      </c>
      <c r="AC69" s="1151">
        <f>'Trip Gen'!AP160</f>
        <v>10349.199999999999</v>
      </c>
      <c r="AD69" s="1151">
        <f>'Trip Gen'!AQ160</f>
        <v>10577.06</v>
      </c>
      <c r="AE69" s="1151">
        <f>'Trip Gen'!AR160</f>
        <v>10804.92</v>
      </c>
      <c r="AF69" s="1151">
        <f>'Trip Gen'!AS160</f>
        <v>11033.039999999999</v>
      </c>
      <c r="AG69" s="1151">
        <f>'Trip Gen'!AT160</f>
        <v>11260.899999999998</v>
      </c>
      <c r="AH69" s="1151">
        <f>'Trip Gen'!AU160</f>
        <v>11488.759999999998</v>
      </c>
      <c r="AI69" s="1151">
        <f>'Trip Gen'!AV160</f>
        <v>11716.88</v>
      </c>
      <c r="AJ69" s="1182">
        <f t="shared" si="226"/>
        <v>0.1552813333333333</v>
      </c>
      <c r="AK69" s="326">
        <f t="shared" si="279"/>
        <v>1200</v>
      </c>
      <c r="AL69" s="260">
        <f t="shared" ref="AL69:AL70" si="328">$H69*K69</f>
        <v>1313.9299999999998</v>
      </c>
      <c r="AM69" s="260">
        <f t="shared" si="305"/>
        <v>1475.55</v>
      </c>
      <c r="AN69" s="260">
        <f t="shared" si="306"/>
        <v>1738.8899999999999</v>
      </c>
      <c r="AO69" s="260">
        <f t="shared" si="307"/>
        <v>2002.31</v>
      </c>
      <c r="AP69" s="260">
        <f t="shared" si="308"/>
        <v>2265.7550000000001</v>
      </c>
      <c r="AQ69" s="260">
        <f t="shared" si="309"/>
        <v>2529.0950000000003</v>
      </c>
      <c r="AR69" s="260">
        <f t="shared" si="310"/>
        <v>2792.7200000000003</v>
      </c>
      <c r="AS69" s="260">
        <f t="shared" si="311"/>
        <v>3092.6499999999996</v>
      </c>
      <c r="AT69" s="260">
        <f t="shared" si="312"/>
        <v>3392.7200000000007</v>
      </c>
      <c r="AU69" s="260">
        <f t="shared" si="313"/>
        <v>3692.6350000000007</v>
      </c>
      <c r="AV69" s="260">
        <f t="shared" si="314"/>
        <v>3992.5650000000001</v>
      </c>
      <c r="AW69" s="260">
        <f t="shared" si="315"/>
        <v>4292.7699999999995</v>
      </c>
      <c r="AX69" s="260">
        <f t="shared" si="316"/>
        <v>4490.76</v>
      </c>
      <c r="AY69" s="260">
        <f t="shared" si="317"/>
        <v>4604.6899999999996</v>
      </c>
      <c r="AZ69" s="260">
        <f t="shared" si="318"/>
        <v>4718.619999999999</v>
      </c>
      <c r="BA69" s="260">
        <f t="shared" si="319"/>
        <v>4832.5499999999993</v>
      </c>
      <c r="BB69" s="260">
        <f t="shared" si="320"/>
        <v>4946.6099999999988</v>
      </c>
      <c r="BC69" s="260">
        <f t="shared" si="321"/>
        <v>5060.5399999999991</v>
      </c>
      <c r="BD69" s="260">
        <f t="shared" si="322"/>
        <v>5174.5999999999995</v>
      </c>
      <c r="BE69" s="260">
        <f t="shared" si="323"/>
        <v>5288.53</v>
      </c>
      <c r="BF69" s="260">
        <f t="shared" si="324"/>
        <v>5402.46</v>
      </c>
      <c r="BG69" s="260">
        <f t="shared" si="325"/>
        <v>5516.5199999999995</v>
      </c>
      <c r="BH69" s="260">
        <f t="shared" si="326"/>
        <v>5630.4499999999989</v>
      </c>
      <c r="BI69" s="260">
        <f t="shared" si="327"/>
        <v>5744.3799999999992</v>
      </c>
      <c r="BJ69" s="354">
        <f t="shared" si="280"/>
        <v>5858.44</v>
      </c>
      <c r="BK69" s="417">
        <f>((0.33*'Traffic Data'!AK69)/Speed!X150)+((0.67*'Traffic Data'!AK69)/Speed!AX150)</f>
        <v>24.242438227745033</v>
      </c>
      <c r="BL69" s="415">
        <f>((0.33*AL69)/Speed!Y150)+((0.67*AL69)/Speed!AY150)</f>
        <v>26.544078332862874</v>
      </c>
      <c r="BM69" s="415">
        <f>((0.33*AM69)/Speed!Z150)+((0.67*AM69)/Speed!AZ150)</f>
        <v>29.809226792830934</v>
      </c>
      <c r="BN69" s="415">
        <f>((0.33*AN69)/Speed!AA150)+((0.67*AN69)/Speed!BA150)</f>
        <v>35.129918216065747</v>
      </c>
      <c r="BO69" s="415">
        <f>((0.33*AO69)/Speed!AB150)+((0.67*AO69)/Speed!BB150)</f>
        <v>40.454611146896049</v>
      </c>
      <c r="BP69" s="415">
        <f>((0.33*AP69)/Speed!AC150)+((0.67*AP69)/Speed!BC150)</f>
        <v>45.788034336714013</v>
      </c>
      <c r="BQ69" s="415">
        <f>((0.33*AQ69)/Speed!AD150)+((0.67*AQ69)/Speed!BD150)</f>
        <v>51.143795504164856</v>
      </c>
      <c r="BR69" s="415">
        <f>((0.33*AR69)/Speed!AE150)+((0.67*AR69)/Speed!BE150)</f>
        <v>56.570282504674097</v>
      </c>
      <c r="BS69" s="415">
        <f>((0.33*AS69)/Speed!AF150)+((0.67*AS69)/Speed!BF150)</f>
        <v>62.943699615695955</v>
      </c>
      <c r="BT69" s="415">
        <f>((0.33*AT69)/Speed!AG150)+((0.67*AT69)/Speed!BG150)</f>
        <v>69.830134542249198</v>
      </c>
      <c r="BU69" s="415">
        <f>((0.33*AU69)/Speed!AH150)+((0.67*AU69)/Speed!BH150)</f>
        <v>77.874923080128838</v>
      </c>
      <c r="BV69" s="415">
        <f>((0.33*AV69)/Speed!AI150)+((0.67*AV69)/Speed!BI150)</f>
        <v>88.392644189034826</v>
      </c>
      <c r="BW69" s="415">
        <f>((0.33*AW69)/Speed!AJ150)+((0.67*AW69)/Speed!BJ150)</f>
        <v>103.89337338141061</v>
      </c>
      <c r="BX69" s="415">
        <f>((0.33*AX69)/Speed!AK150)+((0.67*AX69)/Speed!BK150)</f>
        <v>118.9188893388222</v>
      </c>
      <c r="BY69" s="415">
        <f>((0.33*AY69)/Speed!AL150)+((0.67*AY69)/Speed!BL150)</f>
        <v>130.16744060297515</v>
      </c>
      <c r="BZ69" s="415">
        <f>((0.33*AZ69)/Speed!AM150)+((0.67*AZ69)/Speed!BM150)</f>
        <v>143.92633816555286</v>
      </c>
      <c r="CA69" s="415">
        <f>((0.33*BA69)/Speed!AN150)+((0.67*BA69)/Speed!BN150)</f>
        <v>160.81274879947057</v>
      </c>
      <c r="CB69" s="415">
        <f>((0.33*BB69)/Speed!AO150)+((0.67*BB69)/Speed!BO150)</f>
        <v>181.60136439982455</v>
      </c>
      <c r="CC69" s="415">
        <f>((0.33*BC69)/Speed!AP150)+((0.67*BC69)/Speed!BP150)</f>
        <v>207.14941105145064</v>
      </c>
      <c r="CD69" s="415">
        <f>((0.33*BD69)/Speed!AQ150)+((0.67*BD69)/Speed!BQ150)</f>
        <v>238.60442314272751</v>
      </c>
      <c r="CE69" s="415">
        <f>((0.33*BE69)/Speed!AR150)+((0.67*BE69)/Speed!BR150)</f>
        <v>246.10566702962939</v>
      </c>
      <c r="CF69" s="415">
        <f>((0.33*BF69)/Speed!AS150)+((0.67*BF69)/Speed!BS150)</f>
        <v>251.40799459188571</v>
      </c>
      <c r="CG69" s="415">
        <f>((0.33*BG69)/Speed!AT150)+((0.67*BG69)/Speed!BT150)</f>
        <v>256.71650485188991</v>
      </c>
      <c r="CH69" s="415">
        <f>((0.33*BH69)/Speed!AU150)+((0.67*BH69)/Speed!BU150)</f>
        <v>262.01912750926567</v>
      </c>
      <c r="CI69" s="415">
        <f>((0.33*BI69)/Speed!AV150)+((0.67*BI69)/Speed!BV150)</f>
        <v>267.3219436829101</v>
      </c>
      <c r="CJ69" s="453">
        <f>((0.33*BJ69)/Speed!AW150)+((0.67*BJ69)/Speed!BW150)</f>
        <v>272.63104305203188</v>
      </c>
      <c r="CK69" s="1391"/>
      <c r="CL69" s="1391"/>
      <c r="CM69" s="1398"/>
      <c r="CN69" s="1405"/>
      <c r="CO69" s="12"/>
      <c r="CP69" s="12"/>
      <c r="CQ69" s="12"/>
      <c r="CR69" s="12"/>
      <c r="CS69" s="12"/>
      <c r="CT69" s="12"/>
      <c r="CU69" s="12"/>
      <c r="CV69" s="12"/>
      <c r="CW69" s="12"/>
      <c r="CX69" s="12"/>
      <c r="CY69" s="12"/>
      <c r="CZ69" s="12"/>
    </row>
    <row r="70" spans="2:104" customFormat="1" ht="21.95" customHeight="1" x14ac:dyDescent="0.2">
      <c r="B70" s="492"/>
      <c r="C70" s="1353"/>
      <c r="D70" s="254" t="s">
        <v>323</v>
      </c>
      <c r="E70" s="254" t="s">
        <v>338</v>
      </c>
      <c r="F70" s="254" t="s">
        <v>373</v>
      </c>
      <c r="G70" s="1157">
        <v>45</v>
      </c>
      <c r="H70" s="1158">
        <v>2.68</v>
      </c>
      <c r="I70" s="262">
        <v>2</v>
      </c>
      <c r="J70" s="327">
        <f>'Trip Gen'!W161</f>
        <v>6000</v>
      </c>
      <c r="K70" s="1156">
        <f>'Trip Gen'!X161</f>
        <v>6168.0199999999995</v>
      </c>
      <c r="L70" s="1156">
        <f>'Trip Gen'!Y161</f>
        <v>6407.46</v>
      </c>
      <c r="M70" s="1156">
        <f>'Trip Gen'!Z161</f>
        <v>6743.52</v>
      </c>
      <c r="N70" s="1156">
        <f>'Trip Gen'!AA161</f>
        <v>7079.7199999999984</v>
      </c>
      <c r="O70" s="1156">
        <f>'Trip Gen'!AB161</f>
        <v>7415.8900000000021</v>
      </c>
      <c r="P70" s="1156">
        <f>'Trip Gen'!AC161</f>
        <v>7751.9500000000016</v>
      </c>
      <c r="Q70" s="1156">
        <f>'Trip Gen'!AD161</f>
        <v>8088.2800000000007</v>
      </c>
      <c r="R70" s="1156">
        <f>'Trip Gen'!AE161</f>
        <v>8427.7999999999993</v>
      </c>
      <c r="S70" s="1156">
        <f>'Trip Gen'!AF161</f>
        <v>8767.42</v>
      </c>
      <c r="T70" s="1156">
        <f>'Trip Gen'!AG161</f>
        <v>9106.909999999998</v>
      </c>
      <c r="U70" s="1156">
        <f>'Trip Gen'!AH161</f>
        <v>9446.43</v>
      </c>
      <c r="V70" s="1156">
        <f>'Trip Gen'!AI161</f>
        <v>9786.2200000000012</v>
      </c>
      <c r="W70" s="1156">
        <f>'Trip Gen'!AJ161</f>
        <v>10028.960000000001</v>
      </c>
      <c r="X70" s="1156">
        <f>'Trip Gen'!AK161</f>
        <v>10196.98</v>
      </c>
      <c r="Y70" s="1156">
        <f>'Trip Gen'!AL161</f>
        <v>10365</v>
      </c>
      <c r="Z70" s="1156">
        <f>'Trip Gen'!AM161</f>
        <v>10533.019999999999</v>
      </c>
      <c r="AA70" s="1156">
        <f>'Trip Gen'!AN161</f>
        <v>10701.119999999999</v>
      </c>
      <c r="AB70" s="1156">
        <f>'Trip Gen'!AO161</f>
        <v>10869.140000000001</v>
      </c>
      <c r="AC70" s="1156">
        <f>'Trip Gen'!AP161</f>
        <v>11037.240000000002</v>
      </c>
      <c r="AD70" s="1156">
        <f>'Trip Gen'!AQ161</f>
        <v>11205.26</v>
      </c>
      <c r="AE70" s="1156">
        <f>'Trip Gen'!AR161</f>
        <v>11373.28</v>
      </c>
      <c r="AF70" s="1156">
        <f>'Trip Gen'!AS161</f>
        <v>11541.38</v>
      </c>
      <c r="AG70" s="1156">
        <f>'Trip Gen'!AT161</f>
        <v>11709.399999999998</v>
      </c>
      <c r="AH70" s="1156">
        <f>'Trip Gen'!AU161</f>
        <v>11877.419999999998</v>
      </c>
      <c r="AI70" s="1156">
        <f>'Trip Gen'!AV161</f>
        <v>12045.519999999999</v>
      </c>
      <c r="AJ70" s="1183">
        <f t="shared" si="226"/>
        <v>4.0303466666666656E-2</v>
      </c>
      <c r="AK70" s="327">
        <f t="shared" si="279"/>
        <v>16080.000000000002</v>
      </c>
      <c r="AL70" s="262">
        <f t="shared" si="328"/>
        <v>16530.293600000001</v>
      </c>
      <c r="AM70" s="262">
        <f t="shared" si="305"/>
        <v>17171.9928</v>
      </c>
      <c r="AN70" s="262">
        <f t="shared" si="306"/>
        <v>18072.633600000001</v>
      </c>
      <c r="AO70" s="262">
        <f t="shared" si="307"/>
        <v>18973.649599999997</v>
      </c>
      <c r="AP70" s="262">
        <f t="shared" si="308"/>
        <v>19874.585200000009</v>
      </c>
      <c r="AQ70" s="262">
        <f t="shared" si="309"/>
        <v>20775.226000000006</v>
      </c>
      <c r="AR70" s="262">
        <f t="shared" si="310"/>
        <v>21676.590400000005</v>
      </c>
      <c r="AS70" s="262">
        <f t="shared" si="311"/>
        <v>22586.504000000001</v>
      </c>
      <c r="AT70" s="262">
        <f t="shared" si="312"/>
        <v>23496.685600000001</v>
      </c>
      <c r="AU70" s="262">
        <f t="shared" si="313"/>
        <v>24406.518799999998</v>
      </c>
      <c r="AV70" s="262">
        <f t="shared" si="314"/>
        <v>25316.432400000002</v>
      </c>
      <c r="AW70" s="262">
        <f t="shared" si="315"/>
        <v>26227.069600000006</v>
      </c>
      <c r="AX70" s="262">
        <f t="shared" si="316"/>
        <v>26877.612800000003</v>
      </c>
      <c r="AY70" s="262">
        <f t="shared" si="317"/>
        <v>27327.9064</v>
      </c>
      <c r="AZ70" s="262">
        <f t="shared" si="318"/>
        <v>27778.2</v>
      </c>
      <c r="BA70" s="262">
        <f t="shared" si="319"/>
        <v>28228.493599999998</v>
      </c>
      <c r="BB70" s="262">
        <f t="shared" si="320"/>
        <v>28679.0016</v>
      </c>
      <c r="BC70" s="262">
        <f t="shared" si="321"/>
        <v>29129.295200000004</v>
      </c>
      <c r="BD70" s="262">
        <f t="shared" si="322"/>
        <v>29579.803200000006</v>
      </c>
      <c r="BE70" s="262">
        <f t="shared" si="323"/>
        <v>30030.096800000003</v>
      </c>
      <c r="BF70" s="262">
        <f t="shared" si="324"/>
        <v>30480.390400000004</v>
      </c>
      <c r="BG70" s="262">
        <f t="shared" si="325"/>
        <v>30930.898399999998</v>
      </c>
      <c r="BH70" s="262">
        <f t="shared" si="326"/>
        <v>31381.191999999995</v>
      </c>
      <c r="BI70" s="262">
        <f t="shared" si="327"/>
        <v>31831.485599999996</v>
      </c>
      <c r="BJ70" s="355">
        <f t="shared" si="280"/>
        <v>32281.993599999998</v>
      </c>
      <c r="BK70" s="419">
        <f>((0.33*'Traffic Data'!AK70)/Speed!X151)+((0.67*'Traffic Data'!AK70)/Speed!AX151)</f>
        <v>344.00994144229037</v>
      </c>
      <c r="BL70" s="454">
        <f>((0.33*AL70)/Speed!Y151)+((0.67*AL70)/Speed!AY151)</f>
        <v>354.25885985355177</v>
      </c>
      <c r="BM70" s="454">
        <f>((0.33*AM70)/Speed!Z151)+((0.67*AM70)/Speed!AZ151)</f>
        <v>369.2391558691844</v>
      </c>
      <c r="BN70" s="454">
        <f>((0.33*AN70)/Speed!AA151)+((0.67*AN70)/Speed!BA151)</f>
        <v>391.32823105524932</v>
      </c>
      <c r="BO70" s="454">
        <f>((0.33*AO70)/Speed!AB151)+((0.67*AO70)/Speed!BB151)</f>
        <v>415.31438255131764</v>
      </c>
      <c r="BP70" s="454">
        <f>((0.33*AP70)/Speed!AC151)+((0.67*AP70)/Speed!BC151)</f>
        <v>442.2194679590059</v>
      </c>
      <c r="BQ70" s="454">
        <f>((0.33*AQ70)/Speed!AD151)+((0.67*AQ70)/Speed!BD151)</f>
        <v>473.54267098954176</v>
      </c>
      <c r="BR70" s="454">
        <f>((0.33*AR70)/Speed!AE151)+((0.67*AR70)/Speed!BE151)</f>
        <v>511.48883651680319</v>
      </c>
      <c r="BS70" s="454">
        <f>((0.33*AS70)/Speed!AF151)+((0.67*AS70)/Speed!BF151)</f>
        <v>559.60904866767874</v>
      </c>
      <c r="BT70" s="454">
        <f>((0.33*AT70)/Speed!AG151)+((0.67*AT70)/Speed!BG151)</f>
        <v>621.99941473577576</v>
      </c>
      <c r="BU70" s="454">
        <f>((0.33*AU70)/Speed!AH151)+((0.67*AU70)/Speed!BH151)</f>
        <v>704.68362467616817</v>
      </c>
      <c r="BV70" s="454">
        <f>((0.33*AV70)/Speed!AI151)+((0.67*AV70)/Speed!BI151)</f>
        <v>815.95634598057131</v>
      </c>
      <c r="BW70" s="454">
        <f>((0.33*AW70)/Speed!AJ151)+((0.67*AW70)/Speed!BJ151)</f>
        <v>967.07962524660104</v>
      </c>
      <c r="BX70" s="454">
        <f>((0.33*AX70)/Speed!AK151)+((0.67*AX70)/Speed!BK151)</f>
        <v>1107.45647097029</v>
      </c>
      <c r="BY70" s="454">
        <f>((0.33*AY70)/Speed!AL151)+((0.67*AY70)/Speed!BL151)</f>
        <v>1224.4391575300999</v>
      </c>
      <c r="BZ70" s="454">
        <f>((0.33*AZ70)/Speed!AM151)+((0.67*AZ70)/Speed!BM151)</f>
        <v>1312.6775031307229</v>
      </c>
      <c r="CA70" s="454">
        <f>((0.33*BA70)/Speed!AN151)+((0.67*BA70)/Speed!BN151)</f>
        <v>1333.9581972737878</v>
      </c>
      <c r="CB70" s="454">
        <f>((0.33*BB70)/Speed!AO151)+((0.67*BB70)/Speed!BO151)</f>
        <v>1355.2493614693506</v>
      </c>
      <c r="CC70" s="454">
        <f>((0.33*BC70)/Speed!AP151)+((0.67*BC70)/Speed!BP151)</f>
        <v>1376.5307862852196</v>
      </c>
      <c r="CD70" s="454">
        <f>((0.33*BD70)/Speed!AQ151)+((0.67*BD70)/Speed!BQ151)</f>
        <v>1397.822792495981</v>
      </c>
      <c r="CE70" s="454">
        <f>((0.33*BE70)/Speed!AR151)+((0.67*BE70)/Speed!BR151)</f>
        <v>1419.1051872397343</v>
      </c>
      <c r="CF70" s="454">
        <f>((0.33*BF70)/Speed!AS151)+((0.67*BF70)/Speed!BS151)</f>
        <v>1440.3881756896799</v>
      </c>
      <c r="CG70" s="454">
        <f>((0.33*BG70)/Speed!AT151)+((0.67*BG70)/Speed!BT151)</f>
        <v>1461.6819775983247</v>
      </c>
      <c r="CH70" s="454">
        <f>((0.33*BH70)/Speed!AU151)+((0.67*BH70)/Speed!BU151)</f>
        <v>1482.9664296580349</v>
      </c>
      <c r="CI70" s="454">
        <f>((0.33*BI70)/Speed!AV151)+((0.67*BI70)/Speed!BV151)</f>
        <v>1504.2517684775089</v>
      </c>
      <c r="CJ70" s="455">
        <f>((0.33*BJ70)/Speed!AW151)+((0.67*BJ70)/Speed!BW151)</f>
        <v>1525.548251527242</v>
      </c>
      <c r="CK70" s="1392"/>
      <c r="CL70" s="1392"/>
      <c r="CM70" s="1399"/>
      <c r="CN70" s="1406"/>
      <c r="CO70" s="12"/>
      <c r="CP70" s="12"/>
      <c r="CQ70" s="12"/>
      <c r="CR70" s="12"/>
      <c r="CS70" s="12"/>
      <c r="CT70" s="12"/>
      <c r="CU70" s="12"/>
      <c r="CV70" s="12"/>
      <c r="CW70" s="12"/>
      <c r="CX70" s="12"/>
      <c r="CY70" s="12"/>
      <c r="CZ70" s="12"/>
    </row>
    <row r="71" spans="2:104" customFormat="1" ht="21.95" customHeight="1" x14ac:dyDescent="0.2">
      <c r="B71" s="492"/>
      <c r="C71" s="116" t="s">
        <v>339</v>
      </c>
      <c r="D71" s="116" t="s">
        <v>335</v>
      </c>
      <c r="E71" s="116" t="s">
        <v>323</v>
      </c>
      <c r="F71" s="116" t="s">
        <v>374</v>
      </c>
      <c r="G71" s="364">
        <v>40</v>
      </c>
      <c r="H71" s="1155">
        <v>2.35</v>
      </c>
      <c r="I71" s="260">
        <v>2</v>
      </c>
      <c r="J71" s="326">
        <f>'Trip Gen'!W165</f>
        <v>20</v>
      </c>
      <c r="K71" s="1160">
        <f>'Trip Gen'!X165</f>
        <v>83.07</v>
      </c>
      <c r="L71" s="1160">
        <f>'Trip Gen'!Y165</f>
        <v>741.08999999999992</v>
      </c>
      <c r="M71" s="1160">
        <f>'Trip Gen'!Z165</f>
        <v>1752.8600000000001</v>
      </c>
      <c r="N71" s="1160">
        <f>'Trip Gen'!AA165</f>
        <v>2765.3500000000004</v>
      </c>
      <c r="O71" s="1160">
        <f>'Trip Gen'!AB165</f>
        <v>3777.4399999999996</v>
      </c>
      <c r="P71" s="1160">
        <f>'Trip Gen'!AC165</f>
        <v>4789.21</v>
      </c>
      <c r="Q71" s="1160">
        <f>'Trip Gen'!AD165</f>
        <v>5802.3700000000008</v>
      </c>
      <c r="R71" s="1160">
        <f>'Trip Gen'!AE165</f>
        <v>6219.64</v>
      </c>
      <c r="S71" s="1160">
        <f>'Trip Gen'!AF165</f>
        <v>6637.2300000000005</v>
      </c>
      <c r="T71" s="1160">
        <f>'Trip Gen'!AG165</f>
        <v>7054.72</v>
      </c>
      <c r="U71" s="1160">
        <f>'Trip Gen'!AH165</f>
        <v>7471.9900000000007</v>
      </c>
      <c r="V71" s="1160">
        <f>'Trip Gen'!AI165</f>
        <v>7890.25</v>
      </c>
      <c r="W71" s="1160">
        <f>'Trip Gen'!AJ165</f>
        <v>7953.3200000000006</v>
      </c>
      <c r="X71" s="1160">
        <f>'Trip Gen'!AK165</f>
        <v>8016.39</v>
      </c>
      <c r="Y71" s="1160">
        <f>'Trip Gen'!AL165</f>
        <v>8079.4600000000009</v>
      </c>
      <c r="Z71" s="1160">
        <f>'Trip Gen'!AM165</f>
        <v>8142.53</v>
      </c>
      <c r="AA71" s="1160">
        <f>'Trip Gen'!AN165</f>
        <v>8206.0500000000011</v>
      </c>
      <c r="AB71" s="1160">
        <f>'Trip Gen'!AO165</f>
        <v>8269.1200000000008</v>
      </c>
      <c r="AC71" s="1160">
        <f>'Trip Gen'!AP165</f>
        <v>8332.3900000000012</v>
      </c>
      <c r="AD71" s="1160">
        <f>'Trip Gen'!AQ165</f>
        <v>8395.4600000000009</v>
      </c>
      <c r="AE71" s="1160">
        <f>'Trip Gen'!AR165</f>
        <v>8458.5300000000007</v>
      </c>
      <c r="AF71" s="1160">
        <f>'Trip Gen'!AS165</f>
        <v>8522.0500000000011</v>
      </c>
      <c r="AG71" s="1160">
        <f>'Trip Gen'!AT165</f>
        <v>8585.1200000000008</v>
      </c>
      <c r="AH71" s="1160">
        <f>'Trip Gen'!AU165</f>
        <v>8648.19</v>
      </c>
      <c r="AI71" s="1160">
        <f>'Trip Gen'!AV165</f>
        <v>8711.4599999999991</v>
      </c>
      <c r="AJ71" s="1182">
        <f t="shared" si="226"/>
        <v>17.382919999999999</v>
      </c>
      <c r="AK71" s="357">
        <f>$H71*J71</f>
        <v>47</v>
      </c>
      <c r="AL71" s="280">
        <f t="shared" ref="AL71:AL75" si="329">$H71*K71</f>
        <v>195.21449999999999</v>
      </c>
      <c r="AM71" s="280">
        <f t="shared" ref="AM71:AM75" si="330">$H71*L71</f>
        <v>1741.5614999999998</v>
      </c>
      <c r="AN71" s="280">
        <f t="shared" ref="AN71:AN75" si="331">$H71*M71</f>
        <v>4119.2210000000005</v>
      </c>
      <c r="AO71" s="280">
        <f t="shared" ref="AO71:AO75" si="332">$H71*N71</f>
        <v>6498.5725000000011</v>
      </c>
      <c r="AP71" s="280">
        <f t="shared" ref="AP71:AP75" si="333">$H71*O71</f>
        <v>8876.9839999999986</v>
      </c>
      <c r="AQ71" s="280">
        <f t="shared" ref="AQ71:AQ75" si="334">$H71*P71</f>
        <v>11254.6435</v>
      </c>
      <c r="AR71" s="280">
        <f t="shared" ref="AR71:AR75" si="335">$H71*Q71</f>
        <v>13635.569500000003</v>
      </c>
      <c r="AS71" s="280">
        <f t="shared" ref="AS71:AS75" si="336">$H71*R71</f>
        <v>14616.154</v>
      </c>
      <c r="AT71" s="280">
        <f t="shared" ref="AT71:AT75" si="337">$H71*S71</f>
        <v>15597.490500000002</v>
      </c>
      <c r="AU71" s="280">
        <f t="shared" ref="AU71:AU75" si="338">$H71*T71</f>
        <v>16578.592000000001</v>
      </c>
      <c r="AV71" s="280">
        <f t="shared" ref="AV71:AV75" si="339">$H71*U71</f>
        <v>17559.176500000001</v>
      </c>
      <c r="AW71" s="280">
        <f t="shared" ref="AW71:AW75" si="340">$H71*V71</f>
        <v>18542.087500000001</v>
      </c>
      <c r="AX71" s="280">
        <f t="shared" ref="AX71:AX75" si="341">$H71*W71</f>
        <v>18690.302000000003</v>
      </c>
      <c r="AY71" s="280">
        <f t="shared" ref="AY71:AY75" si="342">$H71*X71</f>
        <v>18838.516500000002</v>
      </c>
      <c r="AZ71" s="280">
        <f t="shared" ref="AZ71:AZ75" si="343">$H71*Y71</f>
        <v>18986.731000000003</v>
      </c>
      <c r="BA71" s="280">
        <f t="shared" ref="BA71:BA75" si="344">$H71*Z71</f>
        <v>19134.945500000002</v>
      </c>
      <c r="BB71" s="280">
        <f t="shared" ref="BB71:BB75" si="345">$H71*AA71</f>
        <v>19284.217500000002</v>
      </c>
      <c r="BC71" s="280">
        <f t="shared" ref="BC71:BC75" si="346">$H71*AB71</f>
        <v>19432.432000000004</v>
      </c>
      <c r="BD71" s="280">
        <f t="shared" ref="BD71:BD75" si="347">$H71*AC71</f>
        <v>19581.116500000004</v>
      </c>
      <c r="BE71" s="280">
        <f t="shared" ref="BE71:BE75" si="348">$H71*AD71</f>
        <v>19729.331000000002</v>
      </c>
      <c r="BF71" s="280">
        <f t="shared" ref="BF71:BF75" si="349">$H71*AE71</f>
        <v>19877.545500000004</v>
      </c>
      <c r="BG71" s="280">
        <f t="shared" ref="BG71:BG75" si="350">$H71*AF71</f>
        <v>20026.817500000005</v>
      </c>
      <c r="BH71" s="280">
        <f t="shared" ref="BH71:BH75" si="351">$H71*AG71</f>
        <v>20175.032000000003</v>
      </c>
      <c r="BI71" s="280">
        <f t="shared" ref="BI71:BI75" si="352">$H71*AH71</f>
        <v>20323.246500000001</v>
      </c>
      <c r="BJ71" s="358">
        <f>$H71*AI71</f>
        <v>20471.931</v>
      </c>
      <c r="BK71" s="417">
        <f>((0.33*'Traffic Data'!AK71)/Speed!X152)+((0.67*'Traffic Data'!AK71)/Speed!AX152)</f>
        <v>1.087962962962963</v>
      </c>
      <c r="BL71" s="415">
        <f>((0.33*AL71)/Speed!Y152)+((0.67*AL71)/Speed!AY152)</f>
        <v>4.5188541666666664</v>
      </c>
      <c r="BM71" s="415">
        <f>((0.33*AM71)/Speed!Z152)+((0.67*AM71)/Speed!AZ152)</f>
        <v>40.313923611340584</v>
      </c>
      <c r="BN71" s="415">
        <f>((0.33*AN71)/Speed!AA152)+((0.67*AN71)/Speed!BA152)</f>
        <v>95.352340937226785</v>
      </c>
      <c r="BO71" s="415">
        <f>((0.33*AO71)/Speed!AB152)+((0.67*AO71)/Speed!BB152)</f>
        <v>150.43036711887385</v>
      </c>
      <c r="BP71" s="415">
        <f>((0.33*AP71)/Speed!AC152)+((0.67*AP71)/Speed!BC152)</f>
        <v>205.4995870350308</v>
      </c>
      <c r="BQ71" s="415">
        <f>((0.33*AQ71)/Speed!AD152)+((0.67*AQ71)/Speed!BD152)</f>
        <v>260.71254743269947</v>
      </c>
      <c r="BR71" s="415">
        <f>((0.33*AR71)/Speed!AE152)+((0.67*AR71)/Speed!BE152)</f>
        <v>317.19350557388492</v>
      </c>
      <c r="BS71" s="415">
        <f>((0.33*AS71)/Speed!AF152)+((0.67*AS71)/Speed!BF152)</f>
        <v>341.67562526936194</v>
      </c>
      <c r="BT71" s="415">
        <f>((0.33*AT71)/Speed!AG152)+((0.67*AT71)/Speed!BG152)</f>
        <v>367.87670454802878</v>
      </c>
      <c r="BU71" s="415">
        <f>((0.33*AU71)/Speed!AH152)+((0.67*AU71)/Speed!BH152)</f>
        <v>397.11246845173696</v>
      </c>
      <c r="BV71" s="415">
        <f>((0.33*AV71)/Speed!AI152)+((0.67*AV71)/Speed!BI152)</f>
        <v>431.57912678614673</v>
      </c>
      <c r="BW71" s="415">
        <f>((0.33*AW71)/Speed!AJ152)+((0.67*AW71)/Speed!BJ152)</f>
        <v>474.94087406408573</v>
      </c>
      <c r="BX71" s="415">
        <f>((0.33*AX71)/Speed!AK152)+((0.67*AX71)/Speed!BK152)</f>
        <v>482.55719097838926</v>
      </c>
      <c r="BY71" s="415">
        <f>((0.33*AY71)/Speed!AL152)+((0.67*AY71)/Speed!BL152)</f>
        <v>490.5186586069147</v>
      </c>
      <c r="BZ71" s="415">
        <f>((0.33*AZ71)/Speed!AM152)+((0.67*AZ71)/Speed!BM152)</f>
        <v>498.85095653756616</v>
      </c>
      <c r="CA71" s="415">
        <f>((0.33*BA71)/Speed!AN152)+((0.67*BA71)/Speed!BN152)</f>
        <v>507.58118218339155</v>
      </c>
      <c r="CB71" s="415">
        <f>((0.33*BB71)/Speed!AO152)+((0.67*BB71)/Speed!BO152)</f>
        <v>516.80511892739503</v>
      </c>
      <c r="CC71" s="415">
        <f>((0.33*BC71)/Speed!AP152)+((0.67*BC71)/Speed!BP152)</f>
        <v>526.42295324439226</v>
      </c>
      <c r="CD71" s="415">
        <f>((0.33*BD71)/Speed!AQ152)+((0.67*BD71)/Speed!BQ152)</f>
        <v>536.56398805407116</v>
      </c>
      <c r="CE71" s="415">
        <f>((0.33*BE71)/Speed!AR152)+((0.67*BE71)/Speed!BR152)</f>
        <v>547.1989083035146</v>
      </c>
      <c r="CF71" s="415">
        <f>((0.33*BF71)/Speed!AS152)+((0.67*BF71)/Speed!BS152)</f>
        <v>558.39584848113225</v>
      </c>
      <c r="CG71" s="415">
        <f>((0.33*BG71)/Speed!AT152)+((0.67*BG71)/Speed!BT152)</f>
        <v>570.28040336925324</v>
      </c>
      <c r="CH71" s="415">
        <f>((0.33*BH71)/Speed!AU152)+((0.67*BH71)/Speed!BU152)</f>
        <v>582.72600709399194</v>
      </c>
      <c r="CI71" s="415">
        <f>((0.33*BI71)/Speed!AV152)+((0.67*BI71)/Speed!BV152)</f>
        <v>595.85877715347817</v>
      </c>
      <c r="CJ71" s="453">
        <f>((0.33*BJ71)/Speed!AW152)+((0.67*BJ71)/Speed!BW152)</f>
        <v>609.77069455348305</v>
      </c>
      <c r="CK71" s="256">
        <f>Inputs!$F$35</f>
        <v>0.2</v>
      </c>
      <c r="CL71" s="256">
        <f>Inputs!$F$36</f>
        <v>0.8</v>
      </c>
      <c r="CM71" s="257">
        <f>1/(1+CK71)</f>
        <v>0.83333333333333337</v>
      </c>
      <c r="CN71" s="273">
        <v>0.88</v>
      </c>
      <c r="CO71" s="12"/>
      <c r="CP71" s="12"/>
      <c r="CQ71" s="12"/>
      <c r="CR71" s="12"/>
      <c r="CS71" s="12"/>
      <c r="CT71" s="12"/>
      <c r="CU71" s="12"/>
      <c r="CV71" s="12"/>
      <c r="CW71" s="12"/>
      <c r="CX71" s="12"/>
      <c r="CY71" s="12"/>
      <c r="CZ71" s="12"/>
    </row>
    <row r="72" spans="2:104" customFormat="1" ht="21.95" customHeight="1" x14ac:dyDescent="0.2">
      <c r="B72" s="492"/>
      <c r="C72" s="1340" t="s">
        <v>323</v>
      </c>
      <c r="D72" s="220" t="s">
        <v>282</v>
      </c>
      <c r="E72" s="220" t="s">
        <v>339</v>
      </c>
      <c r="F72" s="220" t="s">
        <v>375</v>
      </c>
      <c r="G72" s="1149">
        <v>40</v>
      </c>
      <c r="H72" s="1150">
        <v>1.35</v>
      </c>
      <c r="I72" s="261">
        <v>4</v>
      </c>
      <c r="J72" s="1191">
        <f>'Trip Gen'!W162</f>
        <v>100</v>
      </c>
      <c r="K72" s="1192">
        <f>'Trip Gen'!X162</f>
        <v>222.24999999999997</v>
      </c>
      <c r="L72" s="1192">
        <f>'Trip Gen'!Y162</f>
        <v>939.35</v>
      </c>
      <c r="M72" s="1192">
        <f>'Trip Gen'!Z162</f>
        <v>2111.6</v>
      </c>
      <c r="N72" s="1192">
        <f>'Trip Gen'!AA162</f>
        <v>3284.5000000000005</v>
      </c>
      <c r="O72" s="1192">
        <f>'Trip Gen'!AB162</f>
        <v>4457.4499999999989</v>
      </c>
      <c r="P72" s="1192">
        <f>'Trip Gen'!AC162</f>
        <v>5629.7</v>
      </c>
      <c r="Q72" s="1192">
        <f>'Trip Gen'!AD162</f>
        <v>6803.3</v>
      </c>
      <c r="R72" s="1192">
        <f>'Trip Gen'!AE162</f>
        <v>7708.3000000000011</v>
      </c>
      <c r="S72" s="1192">
        <f>'Trip Gen'!AF162</f>
        <v>8613.4500000000007</v>
      </c>
      <c r="T72" s="1192">
        <f>'Trip Gen'!AG162</f>
        <v>9518.4499999999989</v>
      </c>
      <c r="U72" s="1192">
        <f>'Trip Gen'!AH162</f>
        <v>10423.449999999999</v>
      </c>
      <c r="V72" s="1192">
        <f>'Trip Gen'!AI162</f>
        <v>11329.65</v>
      </c>
      <c r="W72" s="1192">
        <f>'Trip Gen'!AJ162</f>
        <v>11778.8</v>
      </c>
      <c r="X72" s="1192">
        <f>'Trip Gen'!AK162</f>
        <v>11901.050000000001</v>
      </c>
      <c r="Y72" s="1192">
        <f>'Trip Gen'!AL162</f>
        <v>12023.3</v>
      </c>
      <c r="Z72" s="1192">
        <f>'Trip Gen'!AM162</f>
        <v>12145.550000000001</v>
      </c>
      <c r="AA72" s="1192">
        <f>'Trip Gen'!AN162</f>
        <v>12268.150000000001</v>
      </c>
      <c r="AB72" s="1192">
        <f>'Trip Gen'!AO162</f>
        <v>12390.4</v>
      </c>
      <c r="AC72" s="1192">
        <f>'Trip Gen'!AP162</f>
        <v>12512.999999999996</v>
      </c>
      <c r="AD72" s="1192">
        <f>'Trip Gen'!AQ162</f>
        <v>12635.249999999998</v>
      </c>
      <c r="AE72" s="1192">
        <f>'Trip Gen'!AR162</f>
        <v>12757.499999999998</v>
      </c>
      <c r="AF72" s="1192">
        <f>'Trip Gen'!AS162</f>
        <v>12880.099999999999</v>
      </c>
      <c r="AG72" s="1192">
        <f>'Trip Gen'!AT162</f>
        <v>13002.349999999999</v>
      </c>
      <c r="AH72" s="1192">
        <f>'Trip Gen'!AU162</f>
        <v>13124.599999999999</v>
      </c>
      <c r="AI72" s="1192">
        <f>'Trip Gen'!AV162</f>
        <v>13247.199999999999</v>
      </c>
      <c r="AJ72" s="1197">
        <f t="shared" si="226"/>
        <v>5.2588799999999996</v>
      </c>
      <c r="AK72" s="1162">
        <f>$H72*J72</f>
        <v>135</v>
      </c>
      <c r="AL72" s="364">
        <f t="shared" si="329"/>
        <v>300.03749999999997</v>
      </c>
      <c r="AM72" s="364">
        <f t="shared" si="330"/>
        <v>1268.1225000000002</v>
      </c>
      <c r="AN72" s="364">
        <f t="shared" si="331"/>
        <v>2850.66</v>
      </c>
      <c r="AO72" s="364">
        <f t="shared" si="332"/>
        <v>4434.0750000000007</v>
      </c>
      <c r="AP72" s="364">
        <f t="shared" si="333"/>
        <v>6017.557499999999</v>
      </c>
      <c r="AQ72" s="364">
        <f t="shared" si="334"/>
        <v>7600.0950000000003</v>
      </c>
      <c r="AR72" s="364">
        <f t="shared" si="335"/>
        <v>9184.4550000000017</v>
      </c>
      <c r="AS72" s="364">
        <f t="shared" si="336"/>
        <v>10406.205000000002</v>
      </c>
      <c r="AT72" s="364">
        <f t="shared" si="337"/>
        <v>11628.157500000001</v>
      </c>
      <c r="AU72" s="364">
        <f t="shared" si="338"/>
        <v>12849.907499999999</v>
      </c>
      <c r="AV72" s="364">
        <f t="shared" si="339"/>
        <v>14071.657499999999</v>
      </c>
      <c r="AW72" s="364">
        <f t="shared" si="340"/>
        <v>15295.0275</v>
      </c>
      <c r="AX72" s="364">
        <f t="shared" si="341"/>
        <v>15901.38</v>
      </c>
      <c r="AY72" s="364">
        <f t="shared" si="342"/>
        <v>16066.417500000003</v>
      </c>
      <c r="AZ72" s="364">
        <f t="shared" si="343"/>
        <v>16231.455</v>
      </c>
      <c r="BA72" s="364">
        <f t="shared" si="344"/>
        <v>16396.492500000004</v>
      </c>
      <c r="BB72" s="364">
        <f t="shared" si="345"/>
        <v>16562.002500000002</v>
      </c>
      <c r="BC72" s="364">
        <f t="shared" si="346"/>
        <v>16727.04</v>
      </c>
      <c r="BD72" s="364">
        <f t="shared" si="347"/>
        <v>16892.549999999996</v>
      </c>
      <c r="BE72" s="364">
        <f t="shared" si="348"/>
        <v>17057.587499999998</v>
      </c>
      <c r="BF72" s="364">
        <f t="shared" si="349"/>
        <v>17222.625</v>
      </c>
      <c r="BG72" s="364">
        <f t="shared" si="350"/>
        <v>17388.134999999998</v>
      </c>
      <c r="BH72" s="364">
        <f t="shared" si="351"/>
        <v>17553.172500000001</v>
      </c>
      <c r="BI72" s="364">
        <f t="shared" si="352"/>
        <v>17718.21</v>
      </c>
      <c r="BJ72" s="365">
        <f t="shared" ref="BJ72:BJ74" si="353">$H72*AI72</f>
        <v>17883.72</v>
      </c>
      <c r="BK72" s="416">
        <f>((0.33*'Traffic Data'!AK72)/Speed!X153)+((0.67*'Traffic Data'!AK72)/Speed!AX153)</f>
        <v>3.2846715328467155</v>
      </c>
      <c r="BL72" s="451">
        <f>((0.33*AL72)/Speed!Y153)+((0.67*AL72)/Speed!AY153)</f>
        <v>7.3001824817518237</v>
      </c>
      <c r="BM72" s="451">
        <f>((0.33*AM72)/Speed!Z153)+((0.67*AM72)/Speed!AZ153)</f>
        <v>30.854562043795625</v>
      </c>
      <c r="BN72" s="451">
        <f>((0.33*AN72)/Speed!AA153)+((0.67*AN72)/Speed!BA153)</f>
        <v>69.359124087594353</v>
      </c>
      <c r="BO72" s="451">
        <f>((0.33*AO72)/Speed!AB153)+((0.67*AO72)/Speed!BB153)</f>
        <v>107.88503649675135</v>
      </c>
      <c r="BP72" s="451">
        <f>((0.33*AP72)/Speed!AC153)+((0.67*AP72)/Speed!BC153)</f>
        <v>146.41259125240782</v>
      </c>
      <c r="BQ72" s="451">
        <f>((0.33*AQ72)/Speed!AD153)+((0.67*AQ72)/Speed!BD153)</f>
        <v>184.91715343508571</v>
      </c>
      <c r="BR72" s="451">
        <f>((0.33*AR72)/Speed!AE153)+((0.67*AR72)/Speed!BE153)</f>
        <v>223.46605960160525</v>
      </c>
      <c r="BS72" s="451">
        <f>((0.33*AS72)/Speed!AF153)+((0.67*AS72)/Speed!BF153)</f>
        <v>253.19234053618828</v>
      </c>
      <c r="BT72" s="451">
        <f>((0.33*AT72)/Speed!AG153)+((0.67*AT72)/Speed!BG153)</f>
        <v>282.92355632309994</v>
      </c>
      <c r="BU72" s="451">
        <f>((0.33*AU72)/Speed!AH153)+((0.67*AU72)/Speed!BH153)</f>
        <v>312.64986606736858</v>
      </c>
      <c r="BV72" s="451">
        <f>((0.33*AV72)/Speed!AI153)+((0.67*AV72)/Speed!BI153)</f>
        <v>342.37622674028637</v>
      </c>
      <c r="BW72" s="451">
        <f>((0.33*AW72)/Speed!AJ153)+((0.67*AW72)/Speed!BJ153)</f>
        <v>372.14211818497421</v>
      </c>
      <c r="BX72" s="451">
        <f>((0.33*AX72)/Speed!AK153)+((0.67*AX72)/Speed!BK153)</f>
        <v>386.89539641288866</v>
      </c>
      <c r="BY72" s="451">
        <f>((0.33*AY72)/Speed!AL153)+((0.67*AY72)/Speed!BL153)</f>
        <v>390.91096821354404</v>
      </c>
      <c r="BZ72" s="451">
        <f>((0.33*AZ72)/Speed!AM153)+((0.67*AZ72)/Speed!BM153)</f>
        <v>394.92654659498311</v>
      </c>
      <c r="CA72" s="451">
        <f>((0.33*BA72)/Speed!AN153)+((0.67*BA72)/Speed!BN153)</f>
        <v>398.94213219296728</v>
      </c>
      <c r="CB72" s="451">
        <f>((0.33*BB72)/Speed!AO153)+((0.67*BB72)/Speed!BO153)</f>
        <v>402.96922229404697</v>
      </c>
      <c r="CC72" s="451">
        <f>((0.33*BC72)/Speed!AP153)+((0.67*BC72)/Speed!BP153)</f>
        <v>406.98482447205708</v>
      </c>
      <c r="CD72" s="451">
        <f>((0.33*BD72)/Speed!AQ153)+((0.67*BD72)/Speed!BQ153)</f>
        <v>411.01193276260096</v>
      </c>
      <c r="CE72" s="451">
        <f>((0.33*BE72)/Speed!AR153)+((0.67*BE72)/Speed!BR153)</f>
        <v>415.02755476432606</v>
      </c>
      <c r="CF72" s="451">
        <f>((0.33*BF72)/Speed!AS153)+((0.67*BF72)/Speed!BS153)</f>
        <v>419.04318804698721</v>
      </c>
      <c r="CG72" s="451">
        <f>((0.33*BG72)/Speed!AT153)+((0.67*BG72)/Speed!BT153)</f>
        <v>423.0703303861813</v>
      </c>
      <c r="CH72" s="451">
        <f>((0.33*BH72)/Speed!AU153)+((0.67*BH72)/Speed!BU153)</f>
        <v>427.0859894153383</v>
      </c>
      <c r="CI72" s="451">
        <f>((0.33*BI72)/Speed!AV153)+((0.67*BI72)/Speed!BV153)</f>
        <v>431.10166304183417</v>
      </c>
      <c r="CJ72" s="452">
        <f>((0.33*BJ72)/Speed!AW153)+((0.67*BJ72)/Speed!BW153)</f>
        <v>435.12884943388639</v>
      </c>
      <c r="CK72" s="1390">
        <f>Inputs!$G$35</f>
        <v>0.2</v>
      </c>
      <c r="CL72" s="1390">
        <f>Inputs!$G$36</f>
        <v>0.8</v>
      </c>
      <c r="CM72" s="1397">
        <f>1/(1+CK72)</f>
        <v>0.83333333333333337</v>
      </c>
      <c r="CN72" s="1404">
        <v>0.88</v>
      </c>
      <c r="CO72" s="12"/>
      <c r="CP72" s="12"/>
      <c r="CQ72" s="12"/>
      <c r="CR72" s="12"/>
      <c r="CS72" s="12"/>
      <c r="CT72" s="12"/>
      <c r="CU72" s="12"/>
      <c r="CV72" s="12"/>
      <c r="CW72" s="12"/>
      <c r="CX72" s="12"/>
      <c r="CY72" s="12"/>
      <c r="CZ72" s="12"/>
    </row>
    <row r="73" spans="2:104" customFormat="1" ht="21.95" customHeight="1" x14ac:dyDescent="0.2">
      <c r="B73" s="492"/>
      <c r="C73" s="1339"/>
      <c r="D73" s="116" t="s">
        <v>339</v>
      </c>
      <c r="E73" s="116" t="s">
        <v>288</v>
      </c>
      <c r="F73" s="116" t="s">
        <v>375</v>
      </c>
      <c r="G73" s="364">
        <v>40</v>
      </c>
      <c r="H73" s="1155">
        <v>0.28000000000000003</v>
      </c>
      <c r="I73" s="260">
        <v>4</v>
      </c>
      <c r="J73" s="326">
        <v>0</v>
      </c>
      <c r="K73" s="260">
        <f>ROUND((0.7333333333333*MAX(K75,K72)),0)</f>
        <v>325</v>
      </c>
      <c r="L73" s="260">
        <f>L72</f>
        <v>939.35</v>
      </c>
      <c r="M73" s="260">
        <f t="shared" ref="M73:AI73" si="354">M72</f>
        <v>2111.6</v>
      </c>
      <c r="N73" s="260">
        <f t="shared" si="354"/>
        <v>3284.5000000000005</v>
      </c>
      <c r="O73" s="260">
        <f t="shared" si="354"/>
        <v>4457.4499999999989</v>
      </c>
      <c r="P73" s="260">
        <f t="shared" si="354"/>
        <v>5629.7</v>
      </c>
      <c r="Q73" s="260">
        <f t="shared" si="354"/>
        <v>6803.3</v>
      </c>
      <c r="R73" s="260">
        <f t="shared" si="354"/>
        <v>7708.3000000000011</v>
      </c>
      <c r="S73" s="260">
        <f t="shared" si="354"/>
        <v>8613.4500000000007</v>
      </c>
      <c r="T73" s="260">
        <f t="shared" si="354"/>
        <v>9518.4499999999989</v>
      </c>
      <c r="U73" s="260">
        <f t="shared" si="354"/>
        <v>10423.449999999999</v>
      </c>
      <c r="V73" s="260">
        <f t="shared" si="354"/>
        <v>11329.65</v>
      </c>
      <c r="W73" s="260">
        <f t="shared" si="354"/>
        <v>11778.8</v>
      </c>
      <c r="X73" s="260">
        <f t="shared" si="354"/>
        <v>11901.050000000001</v>
      </c>
      <c r="Y73" s="260">
        <f t="shared" si="354"/>
        <v>12023.3</v>
      </c>
      <c r="Z73" s="260">
        <f t="shared" si="354"/>
        <v>12145.550000000001</v>
      </c>
      <c r="AA73" s="260">
        <f t="shared" si="354"/>
        <v>12268.150000000001</v>
      </c>
      <c r="AB73" s="260">
        <f t="shared" si="354"/>
        <v>12390.4</v>
      </c>
      <c r="AC73" s="260">
        <f t="shared" si="354"/>
        <v>12512.999999999996</v>
      </c>
      <c r="AD73" s="260">
        <f t="shared" si="354"/>
        <v>12635.249999999998</v>
      </c>
      <c r="AE73" s="260">
        <f t="shared" si="354"/>
        <v>12757.499999999998</v>
      </c>
      <c r="AF73" s="260">
        <f t="shared" si="354"/>
        <v>12880.099999999999</v>
      </c>
      <c r="AG73" s="260">
        <f t="shared" si="354"/>
        <v>13002.349999999999</v>
      </c>
      <c r="AH73" s="260">
        <f t="shared" si="354"/>
        <v>13124.599999999999</v>
      </c>
      <c r="AI73" s="260">
        <f t="shared" si="354"/>
        <v>13247.199999999999</v>
      </c>
      <c r="AJ73" s="1182" t="s">
        <v>326</v>
      </c>
      <c r="AK73" s="1162">
        <f>$H73*J73</f>
        <v>0</v>
      </c>
      <c r="AL73" s="364">
        <f t="shared" si="329"/>
        <v>91.000000000000014</v>
      </c>
      <c r="AM73" s="364">
        <f t="shared" si="330"/>
        <v>263.01800000000003</v>
      </c>
      <c r="AN73" s="364">
        <f t="shared" si="331"/>
        <v>591.24800000000005</v>
      </c>
      <c r="AO73" s="364">
        <f t="shared" si="332"/>
        <v>919.6600000000002</v>
      </c>
      <c r="AP73" s="364">
        <f t="shared" si="333"/>
        <v>1248.0859999999998</v>
      </c>
      <c r="AQ73" s="364">
        <f t="shared" si="334"/>
        <v>1576.316</v>
      </c>
      <c r="AR73" s="364">
        <f t="shared" si="335"/>
        <v>1904.9240000000002</v>
      </c>
      <c r="AS73" s="364">
        <f t="shared" si="336"/>
        <v>2158.3240000000005</v>
      </c>
      <c r="AT73" s="364">
        <f t="shared" si="337"/>
        <v>2411.7660000000005</v>
      </c>
      <c r="AU73" s="364">
        <f t="shared" si="338"/>
        <v>2665.1660000000002</v>
      </c>
      <c r="AV73" s="364">
        <f t="shared" si="339"/>
        <v>2918.5659999999998</v>
      </c>
      <c r="AW73" s="364">
        <f t="shared" si="340"/>
        <v>3172.3020000000001</v>
      </c>
      <c r="AX73" s="364">
        <f t="shared" si="341"/>
        <v>3298.0640000000003</v>
      </c>
      <c r="AY73" s="364">
        <f t="shared" si="342"/>
        <v>3332.2940000000008</v>
      </c>
      <c r="AZ73" s="364">
        <f t="shared" si="343"/>
        <v>3366.5240000000003</v>
      </c>
      <c r="BA73" s="364">
        <f t="shared" si="344"/>
        <v>3400.7540000000008</v>
      </c>
      <c r="BB73" s="364">
        <f t="shared" si="345"/>
        <v>3435.0820000000008</v>
      </c>
      <c r="BC73" s="364">
        <f t="shared" si="346"/>
        <v>3469.3120000000004</v>
      </c>
      <c r="BD73" s="364">
        <f t="shared" si="347"/>
        <v>3503.6399999999994</v>
      </c>
      <c r="BE73" s="364">
        <f t="shared" si="348"/>
        <v>3537.87</v>
      </c>
      <c r="BF73" s="364">
        <f t="shared" si="349"/>
        <v>3572.1</v>
      </c>
      <c r="BG73" s="364">
        <f t="shared" si="350"/>
        <v>3606.4279999999999</v>
      </c>
      <c r="BH73" s="364">
        <f t="shared" si="351"/>
        <v>3640.6579999999999</v>
      </c>
      <c r="BI73" s="364">
        <f t="shared" si="352"/>
        <v>3674.8879999999999</v>
      </c>
      <c r="BJ73" s="365">
        <f t="shared" si="353"/>
        <v>3709.2159999999999</v>
      </c>
      <c r="BK73" s="417">
        <f>((0.33*'Traffic Data'!AK73)/Speed!X154)+((0.67*'Traffic Data'!AK73)/Speed!AX154)</f>
        <v>0</v>
      </c>
      <c r="BL73" s="415">
        <f>((0.33*AL73)/Speed!Y154)+((0.67*AL73)/Speed!AY154)</f>
        <v>2.2141119221411198</v>
      </c>
      <c r="BM73" s="415">
        <f>((0.33*AM73)/Speed!Z154)+((0.67*AM73)/Speed!AZ154)</f>
        <v>6.3994647201946488</v>
      </c>
      <c r="BN73" s="415">
        <f>((0.33*AN73)/Speed!AA154)+((0.67*AN73)/Speed!BA154)</f>
        <v>14.385596107056607</v>
      </c>
      <c r="BO73" s="415">
        <f>((0.33*AO73)/Speed!AB154)+((0.67*AO73)/Speed!BB154)</f>
        <v>22.376155717844728</v>
      </c>
      <c r="BP73" s="415">
        <f>((0.33*AP73)/Speed!AC154)+((0.67*AP73)/Speed!BC154)</f>
        <v>30.367055963462363</v>
      </c>
      <c r="BQ73" s="415">
        <f>((0.33*AQ73)/Speed!AD154)+((0.67*AQ73)/Speed!BD154)</f>
        <v>38.35318737912889</v>
      </c>
      <c r="BR73" s="415">
        <f>((0.33*AR73)/Speed!AE154)+((0.67*AR73)/Speed!BE154)</f>
        <v>46.348516065518126</v>
      </c>
      <c r="BS73" s="415">
        <f>((0.33*AS73)/Speed!AF154)+((0.67*AS73)/Speed!BF154)</f>
        <v>52.513966926024239</v>
      </c>
      <c r="BT73" s="415">
        <f>((0.33*AT73)/Speed!AG154)+((0.67*AT73)/Speed!BG154)</f>
        <v>58.68044131145777</v>
      </c>
      <c r="BU73" s="415">
        <f>((0.33*AU73)/Speed!AH154)+((0.67*AU73)/Speed!BH154)</f>
        <v>64.845898147306087</v>
      </c>
      <c r="BV73" s="415">
        <f>((0.33*AV73)/Speed!AI154)+((0.67*AV73)/Speed!BI154)</f>
        <v>71.011365546133476</v>
      </c>
      <c r="BW73" s="415">
        <f>((0.33*AW73)/Speed!AJ154)+((0.67*AW73)/Speed!BJ154)</f>
        <v>77.185031919846494</v>
      </c>
      <c r="BX73" s="415">
        <f>((0.33*AX73)/Speed!AK154)+((0.67*AX73)/Speed!BK154)</f>
        <v>80.244971107858404</v>
      </c>
      <c r="BY73" s="415">
        <f>((0.33*AY73)/Speed!AL154)+((0.67*AY73)/Speed!BL154)</f>
        <v>81.077830444290612</v>
      </c>
      <c r="BZ73" s="415">
        <f>((0.33*AZ73)/Speed!AM154)+((0.67*AZ73)/Speed!BM154)</f>
        <v>81.910691145626132</v>
      </c>
      <c r="CA73" s="415">
        <f>((0.33*BA73)/Speed!AN154)+((0.67*BA73)/Speed!BN154)</f>
        <v>82.743553343726546</v>
      </c>
      <c r="CB73" s="415">
        <f>((0.33*BB73)/Speed!AO154)+((0.67*BB73)/Speed!BO154)</f>
        <v>83.578801660987523</v>
      </c>
      <c r="CC73" s="415">
        <f>((0.33*BC73)/Speed!AP154)+((0.67*BC73)/Speed!BP154)</f>
        <v>84.411667297908139</v>
      </c>
      <c r="CD73" s="415">
        <f>((0.33*BD73)/Speed!AQ154)+((0.67*BD73)/Speed!BQ154)</f>
        <v>85.246919387798727</v>
      </c>
      <c r="CE73" s="415">
        <f>((0.33*BE73)/Speed!AR154)+((0.67*BE73)/Speed!BR154)</f>
        <v>86.079789136304669</v>
      </c>
      <c r="CF73" s="415">
        <f>((0.33*BF73)/Speed!AS154)+((0.67*BF73)/Speed!BS154)</f>
        <v>86.91266122456031</v>
      </c>
      <c r="CG73" s="415">
        <f>((0.33*BG73)/Speed!AT154)+((0.67*BG73)/Speed!BT154)</f>
        <v>87.747920376393154</v>
      </c>
      <c r="CH73" s="415">
        <f>((0.33*BH73)/Speed!AU154)+((0.67*BH73)/Speed!BU154)</f>
        <v>88.580797804662751</v>
      </c>
      <c r="CI73" s="415">
        <f>((0.33*BI73)/Speed!AV154)+((0.67*BI73)/Speed!BV154)</f>
        <v>89.413678260528584</v>
      </c>
      <c r="CJ73" s="453">
        <f>((0.33*BJ73)/Speed!AW154)+((0.67*BJ73)/Speed!BW154)</f>
        <v>90.248946549250491</v>
      </c>
      <c r="CK73" s="1391"/>
      <c r="CL73" s="1391"/>
      <c r="CM73" s="1398"/>
      <c r="CN73" s="1405"/>
      <c r="CO73" s="12"/>
      <c r="CP73" s="12"/>
      <c r="CQ73" s="12"/>
      <c r="CR73" s="12"/>
      <c r="CS73" s="12"/>
      <c r="CT73" s="12"/>
      <c r="CU73" s="12"/>
      <c r="CV73" s="12"/>
      <c r="CW73" s="12"/>
      <c r="CX73" s="12"/>
      <c r="CY73" s="12"/>
      <c r="CZ73" s="12"/>
    </row>
    <row r="74" spans="2:104" customFormat="1" ht="21.95" customHeight="1" x14ac:dyDescent="0.2">
      <c r="B74" s="492"/>
      <c r="C74" s="1339"/>
      <c r="D74" s="116" t="s">
        <v>288</v>
      </c>
      <c r="E74" s="116" t="s">
        <v>340</v>
      </c>
      <c r="F74" s="116" t="s">
        <v>376</v>
      </c>
      <c r="G74" s="364">
        <v>40</v>
      </c>
      <c r="H74" s="1155">
        <v>0.73</v>
      </c>
      <c r="I74" s="260">
        <v>4</v>
      </c>
      <c r="J74" s="326">
        <v>0</v>
      </c>
      <c r="K74" s="260">
        <f>K73</f>
        <v>325</v>
      </c>
      <c r="L74" s="260">
        <f>L72</f>
        <v>939.35</v>
      </c>
      <c r="M74" s="260">
        <f t="shared" ref="M74:AI74" si="355">M72</f>
        <v>2111.6</v>
      </c>
      <c r="N74" s="260">
        <f t="shared" si="355"/>
        <v>3284.5000000000005</v>
      </c>
      <c r="O74" s="260">
        <f t="shared" si="355"/>
        <v>4457.4499999999989</v>
      </c>
      <c r="P74" s="260">
        <f t="shared" si="355"/>
        <v>5629.7</v>
      </c>
      <c r="Q74" s="260">
        <f t="shared" si="355"/>
        <v>6803.3</v>
      </c>
      <c r="R74" s="260">
        <f t="shared" si="355"/>
        <v>7708.3000000000011</v>
      </c>
      <c r="S74" s="260">
        <f t="shared" si="355"/>
        <v>8613.4500000000007</v>
      </c>
      <c r="T74" s="260">
        <f t="shared" si="355"/>
        <v>9518.4499999999989</v>
      </c>
      <c r="U74" s="260">
        <f t="shared" si="355"/>
        <v>10423.449999999999</v>
      </c>
      <c r="V74" s="260">
        <f t="shared" si="355"/>
        <v>11329.65</v>
      </c>
      <c r="W74" s="260">
        <f t="shared" si="355"/>
        <v>11778.8</v>
      </c>
      <c r="X74" s="260">
        <f t="shared" si="355"/>
        <v>11901.050000000001</v>
      </c>
      <c r="Y74" s="260">
        <f t="shared" si="355"/>
        <v>12023.3</v>
      </c>
      <c r="Z74" s="260">
        <f t="shared" si="355"/>
        <v>12145.550000000001</v>
      </c>
      <c r="AA74" s="260">
        <f t="shared" si="355"/>
        <v>12268.150000000001</v>
      </c>
      <c r="AB74" s="260">
        <f t="shared" si="355"/>
        <v>12390.4</v>
      </c>
      <c r="AC74" s="260">
        <f t="shared" si="355"/>
        <v>12512.999999999996</v>
      </c>
      <c r="AD74" s="260">
        <f t="shared" si="355"/>
        <v>12635.249999999998</v>
      </c>
      <c r="AE74" s="260">
        <f t="shared" si="355"/>
        <v>12757.499999999998</v>
      </c>
      <c r="AF74" s="260">
        <f t="shared" si="355"/>
        <v>12880.099999999999</v>
      </c>
      <c r="AG74" s="260">
        <f t="shared" si="355"/>
        <v>13002.349999999999</v>
      </c>
      <c r="AH74" s="260">
        <f t="shared" si="355"/>
        <v>13124.599999999999</v>
      </c>
      <c r="AI74" s="260">
        <f t="shared" si="355"/>
        <v>13247.199999999999</v>
      </c>
      <c r="AJ74" s="1182" t="s">
        <v>326</v>
      </c>
      <c r="AK74" s="1162">
        <f>$H74*J74</f>
        <v>0</v>
      </c>
      <c r="AL74" s="364">
        <f t="shared" si="329"/>
        <v>237.25</v>
      </c>
      <c r="AM74" s="364">
        <f t="shared" si="330"/>
        <v>685.72550000000001</v>
      </c>
      <c r="AN74" s="364">
        <f t="shared" si="331"/>
        <v>1541.4679999999998</v>
      </c>
      <c r="AO74" s="364">
        <f t="shared" si="332"/>
        <v>2397.6850000000004</v>
      </c>
      <c r="AP74" s="364">
        <f t="shared" si="333"/>
        <v>3253.9384999999993</v>
      </c>
      <c r="AQ74" s="364">
        <f t="shared" si="334"/>
        <v>4109.6809999999996</v>
      </c>
      <c r="AR74" s="364">
        <f t="shared" si="335"/>
        <v>4966.4089999999997</v>
      </c>
      <c r="AS74" s="364">
        <f t="shared" si="336"/>
        <v>5627.0590000000011</v>
      </c>
      <c r="AT74" s="364">
        <f t="shared" si="337"/>
        <v>6287.8185000000003</v>
      </c>
      <c r="AU74" s="364">
        <f t="shared" si="338"/>
        <v>6948.468499999999</v>
      </c>
      <c r="AV74" s="364">
        <f t="shared" si="339"/>
        <v>7609.1184999999987</v>
      </c>
      <c r="AW74" s="364">
        <f t="shared" si="340"/>
        <v>8270.6445000000003</v>
      </c>
      <c r="AX74" s="364">
        <f t="shared" si="341"/>
        <v>8598.5239999999994</v>
      </c>
      <c r="AY74" s="364">
        <f t="shared" si="342"/>
        <v>8687.7664999999997</v>
      </c>
      <c r="AZ74" s="364">
        <f t="shared" si="343"/>
        <v>8777.009</v>
      </c>
      <c r="BA74" s="364">
        <f t="shared" si="344"/>
        <v>8866.2515000000003</v>
      </c>
      <c r="BB74" s="364">
        <f t="shared" si="345"/>
        <v>8955.7495000000017</v>
      </c>
      <c r="BC74" s="364">
        <f t="shared" si="346"/>
        <v>9044.9920000000002</v>
      </c>
      <c r="BD74" s="364">
        <f t="shared" si="347"/>
        <v>9134.489999999998</v>
      </c>
      <c r="BE74" s="364">
        <f t="shared" si="348"/>
        <v>9223.7324999999983</v>
      </c>
      <c r="BF74" s="364">
        <f t="shared" si="349"/>
        <v>9312.9749999999985</v>
      </c>
      <c r="BG74" s="364">
        <f t="shared" si="350"/>
        <v>9402.4729999999981</v>
      </c>
      <c r="BH74" s="364">
        <f t="shared" si="351"/>
        <v>9491.7154999999984</v>
      </c>
      <c r="BI74" s="364">
        <f t="shared" si="352"/>
        <v>9580.9579999999987</v>
      </c>
      <c r="BJ74" s="365">
        <f t="shared" si="353"/>
        <v>9670.4559999999983</v>
      </c>
      <c r="BK74" s="417">
        <f>((0.33*'Traffic Data'!AK74)/Speed!X155)+((0.67*'Traffic Data'!AK74)/Speed!AX155)</f>
        <v>0</v>
      </c>
      <c r="BL74" s="415">
        <f>((0.33*AL74)/Speed!Y155)+((0.67*AL74)/Speed!AY155)</f>
        <v>5.7725060827250614</v>
      </c>
      <c r="BM74" s="415">
        <f>((0.33*AM74)/Speed!Z155)+((0.67*AM74)/Speed!AZ155)</f>
        <v>16.684318734793187</v>
      </c>
      <c r="BN74" s="415">
        <f>((0.33*AN74)/Speed!AA155)+((0.67*AN74)/Speed!BA155)</f>
        <v>37.505304136254715</v>
      </c>
      <c r="BO74" s="415">
        <f>((0.33*AO74)/Speed!AB155)+((0.67*AO74)/Speed!BB155)</f>
        <v>58.337834550095181</v>
      </c>
      <c r="BP74" s="415">
        <f>((0.33*AP74)/Speed!AC155)+((0.67*AP74)/Speed!BC155)</f>
        <v>79.171253047598313</v>
      </c>
      <c r="BQ74" s="415">
        <f>((0.33*AQ74)/Speed!AD155)+((0.67*AQ74)/Speed!BD155)</f>
        <v>99.992238524157443</v>
      </c>
      <c r="BR74" s="415">
        <f>((0.33*AR74)/Speed!AE155)+((0.67*AR74)/Speed!BE155)</f>
        <v>120.83720259938653</v>
      </c>
      <c r="BS74" s="415">
        <f>((0.33*AS74)/Speed!AF155)+((0.67*AS74)/Speed!BF155)</f>
        <v>136.91141377142031</v>
      </c>
      <c r="BT74" s="415">
        <f>((0.33*AT74)/Speed!AG155)+((0.67*AT74)/Speed!BG155)</f>
        <v>152.98829341915774</v>
      </c>
      <c r="BU74" s="415">
        <f>((0.33*AU74)/Speed!AH155)+((0.67*AU74)/Speed!BH155)</f>
        <v>169.06252016976228</v>
      </c>
      <c r="BV74" s="415">
        <f>((0.33*AV74)/Speed!AI155)+((0.67*AV74)/Speed!BI155)</f>
        <v>185.13677445956222</v>
      </c>
      <c r="BW74" s="415">
        <f>((0.33*AW74)/Speed!AJ155)+((0.67*AW74)/Speed!BJ155)</f>
        <v>201.23240464817127</v>
      </c>
      <c r="BX74" s="415">
        <f>((0.33*AX74)/Speed!AK155)+((0.67*AX74)/Speed!BK155)</f>
        <v>209.21010324548797</v>
      </c>
      <c r="BY74" s="415">
        <f>((0.33*AY74)/Speed!AL155)+((0.67*AY74)/Speed!BL155)</f>
        <v>211.38148651547192</v>
      </c>
      <c r="BZ74" s="415">
        <f>((0.33*AZ74)/Speed!AM155)+((0.67*AZ74)/Speed!BM155)</f>
        <v>213.55287334395385</v>
      </c>
      <c r="CA74" s="415">
        <f>((0.33*BA74)/Speed!AN155)+((0.67*BA74)/Speed!BN155)</f>
        <v>215.72426407471559</v>
      </c>
      <c r="CB74" s="415">
        <f>((0.33*BB74)/Speed!AO155)+((0.67*BB74)/Speed!BO155)</f>
        <v>217.90187575900316</v>
      </c>
      <c r="CC74" s="415">
        <f>((0.33*BC74)/Speed!AP155)+((0.67*BC74)/Speed!BP155)</f>
        <v>220.0732754552605</v>
      </c>
      <c r="CD74" s="415">
        <f>((0.33*BD74)/Speed!AQ155)+((0.67*BD74)/Speed!BQ155)</f>
        <v>222.25089697533238</v>
      </c>
      <c r="CE74" s="415">
        <f>((0.33*BE74)/Speed!AR155)+((0.67*BE74)/Speed!BR155)</f>
        <v>224.42230739107998</v>
      </c>
      <c r="CF74" s="415">
        <f>((0.33*BF74)/Speed!AS155)+((0.67*BF74)/Speed!BS155)</f>
        <v>226.59372390688935</v>
      </c>
      <c r="CG74" s="415">
        <f>((0.33*BG74)/Speed!AT155)+((0.67*BG74)/Speed!BT155)</f>
        <v>228.77136383845354</v>
      </c>
      <c r="CH74" s="415">
        <f>((0.33*BH74)/Speed!AU155)+((0.67*BH74)/Speed!BU155)</f>
        <v>230.94279427644213</v>
      </c>
      <c r="CI74" s="415">
        <f>((0.33*BI74)/Speed!AV155)+((0.67*BI74)/Speed!BV155)</f>
        <v>233.1142326078066</v>
      </c>
      <c r="CJ74" s="453">
        <f>((0.33*BJ74)/Speed!AW155)+((0.67*BJ74)/Speed!BW155)</f>
        <v>235.29189636054591</v>
      </c>
      <c r="CK74" s="1391"/>
      <c r="CL74" s="1391"/>
      <c r="CM74" s="1398"/>
      <c r="CN74" s="1405"/>
      <c r="CO74" s="12"/>
      <c r="CP74" s="12"/>
      <c r="CQ74" s="12"/>
      <c r="CR74" s="12"/>
      <c r="CS74" s="12"/>
      <c r="CT74" s="12"/>
      <c r="CU74" s="12"/>
      <c r="CV74" s="12"/>
      <c r="CW74" s="12"/>
      <c r="CX74" s="12"/>
      <c r="CY74" s="12"/>
      <c r="CZ74" s="12"/>
    </row>
    <row r="75" spans="2:104" customFormat="1" ht="21.95" customHeight="1" x14ac:dyDescent="0.2">
      <c r="B75" s="492"/>
      <c r="C75" s="1353"/>
      <c r="D75" s="254" t="s">
        <v>340</v>
      </c>
      <c r="E75" s="254" t="s">
        <v>280</v>
      </c>
      <c r="F75" s="254" t="s">
        <v>376</v>
      </c>
      <c r="G75" s="1157">
        <v>40</v>
      </c>
      <c r="H75" s="1158">
        <v>1.05</v>
      </c>
      <c r="I75" s="262">
        <v>4</v>
      </c>
      <c r="J75" s="1193">
        <f>'Trip Gen'!W166</f>
        <v>300</v>
      </c>
      <c r="K75" s="1161">
        <f>'Trip Gen'!X166</f>
        <v>443.37</v>
      </c>
      <c r="L75" s="1161">
        <f>'Trip Gen'!Y166</f>
        <v>621.98</v>
      </c>
      <c r="M75" s="1161">
        <f>'Trip Gen'!Z166</f>
        <v>1004.42</v>
      </c>
      <c r="N75" s="1161">
        <f>'Trip Gen'!AA166</f>
        <v>1386.91</v>
      </c>
      <c r="O75" s="1161">
        <f>'Trip Gen'!AB166</f>
        <v>1769.56</v>
      </c>
      <c r="P75" s="1161">
        <f>'Trip Gen'!AC166</f>
        <v>2152</v>
      </c>
      <c r="Q75" s="1161">
        <f>'Trip Gen'!AD166</f>
        <v>2534.2400000000002</v>
      </c>
      <c r="R75" s="1161">
        <f>'Trip Gen'!AE166</f>
        <v>3301.7599999999998</v>
      </c>
      <c r="S75" s="1161">
        <f>'Trip Gen'!AF166</f>
        <v>4068.84</v>
      </c>
      <c r="T75" s="1161">
        <f>'Trip Gen'!AG166</f>
        <v>4836.09</v>
      </c>
      <c r="U75" s="1161">
        <f>'Trip Gen'!AH166</f>
        <v>5603.61</v>
      </c>
      <c r="V75" s="1161">
        <f>'Trip Gen'!AI166</f>
        <v>6370.93</v>
      </c>
      <c r="W75" s="1161">
        <f>'Trip Gen'!AJ166</f>
        <v>6934.5999999999995</v>
      </c>
      <c r="X75" s="1161">
        <f>'Trip Gen'!AK166</f>
        <v>7077.97</v>
      </c>
      <c r="Y75" s="1161">
        <f>'Trip Gen'!AL166</f>
        <v>7221.34</v>
      </c>
      <c r="Z75" s="1161">
        <f>'Trip Gen'!AM166</f>
        <v>7364.7099999999991</v>
      </c>
      <c r="AA75" s="1161">
        <f>'Trip Gen'!AN166</f>
        <v>7507.6499999999987</v>
      </c>
      <c r="AB75" s="1161">
        <f>'Trip Gen'!AO166</f>
        <v>7651.0199999999995</v>
      </c>
      <c r="AC75" s="1161">
        <f>'Trip Gen'!AP166</f>
        <v>7793.9599999999991</v>
      </c>
      <c r="AD75" s="1161">
        <f>'Trip Gen'!AQ166</f>
        <v>7937.33</v>
      </c>
      <c r="AE75" s="1161">
        <f>'Trip Gen'!AR166</f>
        <v>8080.7</v>
      </c>
      <c r="AF75" s="1161">
        <f>'Trip Gen'!AS166</f>
        <v>8223.64</v>
      </c>
      <c r="AG75" s="1161">
        <f>'Trip Gen'!AT166</f>
        <v>8367.0099999999984</v>
      </c>
      <c r="AH75" s="1161">
        <f>'Trip Gen'!AU166</f>
        <v>8510.3799999999992</v>
      </c>
      <c r="AI75" s="1161">
        <f>'Trip Gen'!AV166</f>
        <v>8653.3199999999979</v>
      </c>
      <c r="AJ75" s="1183">
        <f t="shared" ref="AJ75:AJ85" si="356">((AI75-J75)/J75)/25</f>
        <v>1.1137759999999997</v>
      </c>
      <c r="AK75" s="327">
        <f>H75*J75</f>
        <v>315</v>
      </c>
      <c r="AL75" s="262">
        <f t="shared" si="329"/>
        <v>465.5385</v>
      </c>
      <c r="AM75" s="262">
        <f t="shared" si="330"/>
        <v>653.07900000000006</v>
      </c>
      <c r="AN75" s="262">
        <f t="shared" si="331"/>
        <v>1054.6410000000001</v>
      </c>
      <c r="AO75" s="262">
        <f t="shared" si="332"/>
        <v>1456.2555000000002</v>
      </c>
      <c r="AP75" s="262">
        <f t="shared" si="333"/>
        <v>1858.038</v>
      </c>
      <c r="AQ75" s="262">
        <f t="shared" si="334"/>
        <v>2259.6</v>
      </c>
      <c r="AR75" s="262">
        <f t="shared" si="335"/>
        <v>2660.9520000000002</v>
      </c>
      <c r="AS75" s="262">
        <f t="shared" si="336"/>
        <v>3466.848</v>
      </c>
      <c r="AT75" s="262">
        <f t="shared" si="337"/>
        <v>4272.2820000000002</v>
      </c>
      <c r="AU75" s="262">
        <f t="shared" si="338"/>
        <v>5077.8945000000003</v>
      </c>
      <c r="AV75" s="262">
        <f t="shared" si="339"/>
        <v>5883.7905000000001</v>
      </c>
      <c r="AW75" s="262">
        <f t="shared" si="340"/>
        <v>6689.4765000000007</v>
      </c>
      <c r="AX75" s="262">
        <f t="shared" si="341"/>
        <v>7281.33</v>
      </c>
      <c r="AY75" s="262">
        <f t="shared" si="342"/>
        <v>7431.8685000000005</v>
      </c>
      <c r="AZ75" s="262">
        <f t="shared" si="343"/>
        <v>7582.4070000000002</v>
      </c>
      <c r="BA75" s="262">
        <f t="shared" si="344"/>
        <v>7732.9454999999998</v>
      </c>
      <c r="BB75" s="262">
        <f t="shared" si="345"/>
        <v>7883.0324999999993</v>
      </c>
      <c r="BC75" s="262">
        <f t="shared" si="346"/>
        <v>8033.5709999999999</v>
      </c>
      <c r="BD75" s="262">
        <f t="shared" si="347"/>
        <v>8183.6579999999994</v>
      </c>
      <c r="BE75" s="262">
        <f t="shared" si="348"/>
        <v>8334.1965</v>
      </c>
      <c r="BF75" s="262">
        <f t="shared" si="349"/>
        <v>8484.7350000000006</v>
      </c>
      <c r="BG75" s="262">
        <f t="shared" si="350"/>
        <v>8634.8220000000001</v>
      </c>
      <c r="BH75" s="262">
        <f t="shared" si="351"/>
        <v>8785.3604999999989</v>
      </c>
      <c r="BI75" s="262">
        <f t="shared" si="352"/>
        <v>8935.8989999999994</v>
      </c>
      <c r="BJ75" s="355">
        <f>H75*AI75</f>
        <v>9085.985999999999</v>
      </c>
      <c r="BK75" s="419">
        <f>((0.33*'Traffic Data'!AK75)/Speed!X156)+((0.67*'Traffic Data'!AK75)/Speed!AX156)</f>
        <v>7.6642335766423351</v>
      </c>
      <c r="BL75" s="454">
        <f>((0.33*AL75)/Speed!Y156)+((0.67*AL75)/Speed!AY156)</f>
        <v>11.326970802919709</v>
      </c>
      <c r="BM75" s="454">
        <f>((0.33*AM75)/Speed!Z156)+((0.67*AM75)/Speed!AZ156)</f>
        <v>15.89</v>
      </c>
      <c r="BN75" s="454">
        <f>((0.33*AN75)/Speed!AA156)+((0.67*AN75)/Speed!BA156)</f>
        <v>25.660364963503653</v>
      </c>
      <c r="BO75" s="454">
        <f>((0.33*AO75)/Speed!AB156)+((0.67*AO75)/Speed!BB156)</f>
        <v>35.432007299270104</v>
      </c>
      <c r="BP75" s="454">
        <f>((0.33*AP75)/Speed!AC156)+((0.67*AP75)/Speed!BC156)</f>
        <v>45.207737226277722</v>
      </c>
      <c r="BQ75" s="454">
        <f>((0.33*AQ75)/Speed!AD156)+((0.67*AQ75)/Speed!BD156)</f>
        <v>54.978102189783996</v>
      </c>
      <c r="BR75" s="454">
        <f>((0.33*AR75)/Speed!AE156)+((0.67*AR75)/Speed!BE156)</f>
        <v>64.743357664251576</v>
      </c>
      <c r="BS75" s="454">
        <f>((0.33*AS75)/Speed!AF156)+((0.67*AS75)/Speed!BF156)</f>
        <v>84.351532847045704</v>
      </c>
      <c r="BT75" s="454">
        <f>((0.33*AT75)/Speed!AG156)+((0.67*AT75)/Speed!BG156)</f>
        <v>103.94846715657306</v>
      </c>
      <c r="BU75" s="454">
        <f>((0.33*AU75)/Speed!AH156)+((0.67*AU75)/Speed!BH156)</f>
        <v>123.54974454753847</v>
      </c>
      <c r="BV75" s="454">
        <f>((0.33*AV75)/Speed!AI156)+((0.67*AV75)/Speed!BI156)</f>
        <v>143.15791981919068</v>
      </c>
      <c r="BW75" s="454">
        <f>((0.33*AW75)/Speed!AJ156)+((0.67*AW75)/Speed!BJ156)</f>
        <v>162.76098585753763</v>
      </c>
      <c r="BX75" s="454">
        <f>((0.33*AX75)/Speed!AK156)+((0.67*AX75)/Speed!BK156)</f>
        <v>177.16131502750866</v>
      </c>
      <c r="BY75" s="454">
        <f>((0.33*AY75)/Speed!AL156)+((0.67*AY75)/Speed!BL156)</f>
        <v>180.82405254635742</v>
      </c>
      <c r="BZ75" s="454">
        <f>((0.33*AZ75)/Speed!AM156)+((0.67*AZ75)/Speed!BM156)</f>
        <v>184.48679013086957</v>
      </c>
      <c r="CA75" s="454">
        <f>((0.33*BA75)/Speed!AN156)+((0.67*BA75)/Speed!BN156)</f>
        <v>188.14952779403325</v>
      </c>
      <c r="CB75" s="454">
        <f>((0.33*BB75)/Speed!AO156)+((0.67*BB75)/Speed!BO156)</f>
        <v>191.80128014785396</v>
      </c>
      <c r="CC75" s="454">
        <f>((0.33*BC75)/Speed!AP156)+((0.67*BC75)/Speed!BP156)</f>
        <v>195.46401801616224</v>
      </c>
      <c r="CD75" s="454">
        <f>((0.33*BD75)/Speed!AQ156)+((0.67*BD75)/Speed!BQ156)</f>
        <v>199.11577061275204</v>
      </c>
      <c r="CE75" s="454">
        <f>((0.33*BE75)/Speed!AR156)+((0.67*BE75)/Speed!BR156)</f>
        <v>202.77850876916591</v>
      </c>
      <c r="CF75" s="454">
        <f>((0.33*BF75)/Speed!AS156)+((0.67*BF75)/Speed!BS156)</f>
        <v>206.44124710967418</v>
      </c>
      <c r="CG75" s="454">
        <f>((0.33*BG75)/Speed!AT156)+((0.67*BG75)/Speed!BT156)</f>
        <v>210.0930002606359</v>
      </c>
      <c r="CH75" s="454">
        <f>((0.33*BH75)/Speed!AU156)+((0.67*BH75)/Speed!BU156)</f>
        <v>213.75573906992017</v>
      </c>
      <c r="CI75" s="454">
        <f>((0.33*BI75)/Speed!AV156)+((0.67*BI75)/Speed!BV156)</f>
        <v>217.41847817501821</v>
      </c>
      <c r="CJ75" s="455">
        <f>((0.33*BJ75)/Speed!AW156)+((0.67*BJ75)/Speed!BW156)</f>
        <v>221.07023221608631</v>
      </c>
      <c r="CK75" s="1392"/>
      <c r="CL75" s="1392"/>
      <c r="CM75" s="1399"/>
      <c r="CN75" s="1406"/>
      <c r="CO75" s="12"/>
      <c r="CP75" s="12"/>
      <c r="CQ75" s="12"/>
      <c r="CR75" s="12"/>
      <c r="CS75" s="12"/>
      <c r="CT75" s="12"/>
      <c r="CU75" s="12"/>
      <c r="CV75" s="12"/>
      <c r="CW75" s="12"/>
      <c r="CX75" s="12"/>
      <c r="CY75" s="12"/>
      <c r="CZ75" s="12"/>
    </row>
    <row r="76" spans="2:104" customFormat="1" ht="21.95" customHeight="1" x14ac:dyDescent="0.2">
      <c r="B76" s="492"/>
      <c r="C76" s="1340" t="s">
        <v>334</v>
      </c>
      <c r="D76" s="116" t="s">
        <v>336</v>
      </c>
      <c r="E76" s="116" t="s">
        <v>337</v>
      </c>
      <c r="F76" s="116" t="s">
        <v>367</v>
      </c>
      <c r="G76" s="364">
        <v>50</v>
      </c>
      <c r="H76" s="1155">
        <v>0.5</v>
      </c>
      <c r="I76" s="364">
        <v>4</v>
      </c>
      <c r="J76" s="1162">
        <f>'Trip Gen'!W151</f>
        <v>14000</v>
      </c>
      <c r="K76" s="1151">
        <f>'Trip Gen'!X151</f>
        <v>14387.8</v>
      </c>
      <c r="L76" s="1151">
        <f>'Trip Gen'!Y151</f>
        <v>15013.65</v>
      </c>
      <c r="M76" s="1151">
        <f>'Trip Gen'!Z151</f>
        <v>15907.75</v>
      </c>
      <c r="N76" s="1151">
        <f>'Trip Gen'!AA151</f>
        <v>16802.250000000004</v>
      </c>
      <c r="O76" s="1151">
        <f>'Trip Gen'!AB151</f>
        <v>17696.700000000004</v>
      </c>
      <c r="P76" s="1151">
        <f>'Trip Gen'!AC151</f>
        <v>18590.800000000007</v>
      </c>
      <c r="Q76" s="1151">
        <f>'Trip Gen'!AD151</f>
        <v>19485.7</v>
      </c>
      <c r="R76" s="1151">
        <f>'Trip Gen'!AE151</f>
        <v>20282.249999999996</v>
      </c>
      <c r="S76" s="1151">
        <f>'Trip Gen'!AF151</f>
        <v>21079.05</v>
      </c>
      <c r="T76" s="1151">
        <f>'Trip Gen'!AG151</f>
        <v>21875.599999999999</v>
      </c>
      <c r="U76" s="1151">
        <f>'Trip Gen'!AH151</f>
        <v>22672.149999999998</v>
      </c>
      <c r="V76" s="1151">
        <f>'Trip Gen'!AI151</f>
        <v>23469.5</v>
      </c>
      <c r="W76" s="1151">
        <f>'Trip Gen'!AJ151</f>
        <v>23997.4</v>
      </c>
      <c r="X76" s="1151">
        <f>'Trip Gen'!AK151</f>
        <v>24385.200000000001</v>
      </c>
      <c r="Y76" s="1151">
        <f>'Trip Gen'!AL151</f>
        <v>24773</v>
      </c>
      <c r="Z76" s="1151">
        <f>'Trip Gen'!AM151</f>
        <v>25160.799999999999</v>
      </c>
      <c r="AA76" s="1151">
        <f>'Trip Gen'!AN151</f>
        <v>25548.85</v>
      </c>
      <c r="AB76" s="1151">
        <f>'Trip Gen'!AO151</f>
        <v>25936.650000000005</v>
      </c>
      <c r="AC76" s="1151">
        <f>'Trip Gen'!AP151</f>
        <v>26324.699999999997</v>
      </c>
      <c r="AD76" s="1151">
        <f>'Trip Gen'!AQ151</f>
        <v>26712.499999999996</v>
      </c>
      <c r="AE76" s="1151">
        <f>'Trip Gen'!AR151</f>
        <v>27100.3</v>
      </c>
      <c r="AF76" s="1151">
        <f>'Trip Gen'!AS151</f>
        <v>27488.35</v>
      </c>
      <c r="AG76" s="1151">
        <f>'Trip Gen'!AT151</f>
        <v>27876.149999999994</v>
      </c>
      <c r="AH76" s="1151">
        <f>'Trip Gen'!AU151</f>
        <v>28263.949999999997</v>
      </c>
      <c r="AI76" s="1151">
        <f>'Trip Gen'!AV151</f>
        <v>28651.999999999996</v>
      </c>
      <c r="AJ76" s="1182">
        <f t="shared" si="356"/>
        <v>4.1862857142857132E-2</v>
      </c>
      <c r="AK76" s="1162">
        <f>$H76*J76</f>
        <v>7000</v>
      </c>
      <c r="AL76" s="364">
        <f t="shared" ref="AL76:AL78" si="357">$H76*K76</f>
        <v>7193.9</v>
      </c>
      <c r="AM76" s="364">
        <f t="shared" ref="AM76:AM78" si="358">$H76*L76</f>
        <v>7506.8249999999998</v>
      </c>
      <c r="AN76" s="364">
        <f t="shared" ref="AN76:AN78" si="359">$H76*M76</f>
        <v>7953.875</v>
      </c>
      <c r="AO76" s="364">
        <f t="shared" ref="AO76:AO78" si="360">$H76*N76</f>
        <v>8401.1250000000018</v>
      </c>
      <c r="AP76" s="364">
        <f t="shared" ref="AP76:AP78" si="361">$H76*O76</f>
        <v>8848.3500000000022</v>
      </c>
      <c r="AQ76" s="364">
        <f t="shared" ref="AQ76:AQ78" si="362">$H76*P76</f>
        <v>9295.4000000000033</v>
      </c>
      <c r="AR76" s="364">
        <f t="shared" ref="AR76:AR78" si="363">$H76*Q76</f>
        <v>9742.85</v>
      </c>
      <c r="AS76" s="364">
        <f t="shared" ref="AS76:AS78" si="364">$H76*R76</f>
        <v>10141.124999999998</v>
      </c>
      <c r="AT76" s="364">
        <f t="shared" ref="AT76:AT78" si="365">$H76*S76</f>
        <v>10539.525</v>
      </c>
      <c r="AU76" s="364">
        <f t="shared" ref="AU76:AU78" si="366">$H76*T76</f>
        <v>10937.8</v>
      </c>
      <c r="AV76" s="364">
        <f t="shared" ref="AV76:AV78" si="367">$H76*U76</f>
        <v>11336.074999999999</v>
      </c>
      <c r="AW76" s="364">
        <f t="shared" ref="AW76:AW78" si="368">$H76*V76</f>
        <v>11734.75</v>
      </c>
      <c r="AX76" s="364">
        <f t="shared" ref="AX76:AX78" si="369">$H76*W76</f>
        <v>11998.7</v>
      </c>
      <c r="AY76" s="364">
        <f t="shared" ref="AY76:AY78" si="370">$H76*X76</f>
        <v>12192.6</v>
      </c>
      <c r="AZ76" s="364">
        <f t="shared" ref="AZ76:AZ78" si="371">$H76*Y76</f>
        <v>12386.5</v>
      </c>
      <c r="BA76" s="364">
        <f t="shared" ref="BA76:BA78" si="372">$H76*Z76</f>
        <v>12580.4</v>
      </c>
      <c r="BB76" s="364">
        <f t="shared" ref="BB76:BB78" si="373">$H76*AA76</f>
        <v>12774.424999999999</v>
      </c>
      <c r="BC76" s="364">
        <f t="shared" ref="BC76:BC78" si="374">$H76*AB76</f>
        <v>12968.325000000003</v>
      </c>
      <c r="BD76" s="364">
        <f t="shared" ref="BD76:BD78" si="375">$H76*AC76</f>
        <v>13162.349999999999</v>
      </c>
      <c r="BE76" s="364">
        <f t="shared" ref="BE76:BE78" si="376">$H76*AD76</f>
        <v>13356.249999999998</v>
      </c>
      <c r="BF76" s="364">
        <f t="shared" ref="BF76:BF78" si="377">$H76*AE76</f>
        <v>13550.15</v>
      </c>
      <c r="BG76" s="364">
        <f t="shared" ref="BG76:BG78" si="378">$H76*AF76</f>
        <v>13744.174999999999</v>
      </c>
      <c r="BH76" s="364">
        <f t="shared" ref="BH76:BH78" si="379">$H76*AG76</f>
        <v>13938.074999999997</v>
      </c>
      <c r="BI76" s="364">
        <f t="shared" ref="BI76:BI78" si="380">$H76*AH76</f>
        <v>14131.974999999999</v>
      </c>
      <c r="BJ76" s="365">
        <f t="shared" ref="BJ76:BJ78" si="381">$H76*AI76</f>
        <v>14325.999999999998</v>
      </c>
      <c r="BK76" s="417">
        <f>((0.33*'Traffic Data'!AK76)/Speed!X157)+((0.67*'Traffic Data'!AK76)/Speed!AX157)</f>
        <v>137.52526465138232</v>
      </c>
      <c r="BL76" s="415">
        <f>((0.33*AL76)/Speed!Y157)+((0.67*AL76)/Speed!AY157)</f>
        <v>141.3349426774738</v>
      </c>
      <c r="BM76" s="415">
        <f>((0.33*AM76)/Speed!Z157)+((0.67*AM76)/Speed!AZ157)</f>
        <v>147.48335176243444</v>
      </c>
      <c r="BN76" s="415">
        <f>((0.33*AN76)/Speed!AA157)+((0.67*AN76)/Speed!BA157)</f>
        <v>156.26761559890261</v>
      </c>
      <c r="BO76" s="415">
        <f>((0.33*AO76)/Speed!AB157)+((0.67*AO76)/Speed!BB157)</f>
        <v>165.05683021682353</v>
      </c>
      <c r="BP76" s="415">
        <f>((0.33*AP76)/Speed!AC157)+((0.67*AP76)/Speed!BC157)</f>
        <v>173.84722076166179</v>
      </c>
      <c r="BQ76" s="415">
        <f>((0.33*AQ76)/Speed!AD157)+((0.67*AQ76)/Speed!BD157)</f>
        <v>182.63682440071628</v>
      </c>
      <c r="BR76" s="415">
        <f>((0.33*AR76)/Speed!AE157)+((0.67*AR76)/Speed!BE157)</f>
        <v>191.43842607585717</v>
      </c>
      <c r="BS76" s="415">
        <f>((0.33*AS76)/Speed!AF157)+((0.67*AS76)/Speed!BF157)</f>
        <v>199.27794395579707</v>
      </c>
      <c r="BT76" s="415">
        <f>((0.33*AT76)/Speed!AG157)+((0.67*AT76)/Speed!BG157)</f>
        <v>207.12706587146309</v>
      </c>
      <c r="BU76" s="415">
        <f>((0.33*AU76)/Speed!AH157)+((0.67*AU76)/Speed!BH157)</f>
        <v>214.98381915087208</v>
      </c>
      <c r="BV76" s="415">
        <f>((0.33*AV76)/Speed!AI157)+((0.67*AV76)/Speed!BI157)</f>
        <v>222.85465648994312</v>
      </c>
      <c r="BW76" s="415">
        <f>((0.33*AW76)/Speed!AJ157)+((0.67*AW76)/Speed!BJ157)</f>
        <v>230.75285182475454</v>
      </c>
      <c r="BX76" s="415">
        <f>((0.33*AX76)/Speed!AK157)+((0.67*AX76)/Speed!BK157)</f>
        <v>235.99607817463465</v>
      </c>
      <c r="BY76" s="415">
        <f>((0.33*AY76)/Speed!AL157)+((0.67*AY76)/Speed!BL157)</f>
        <v>239.85665718935371</v>
      </c>
      <c r="BZ76" s="415">
        <f>((0.33*AZ76)/Speed!AM157)+((0.67*AZ76)/Speed!BM157)</f>
        <v>243.7260510943791</v>
      </c>
      <c r="CA76" s="415">
        <f>((0.33*BA76)/Speed!AN157)+((0.67*BA76)/Speed!BN157)</f>
        <v>247.60560459946257</v>
      </c>
      <c r="CB76" s="415">
        <f>((0.33*BB76)/Speed!AO157)+((0.67*BB76)/Speed!BO157)</f>
        <v>251.49935417690713</v>
      </c>
      <c r="CC76" s="415">
        <f>((0.33*BC76)/Speed!AP157)+((0.67*BC76)/Speed!BP157)</f>
        <v>255.40400744556575</v>
      </c>
      <c r="CD76" s="415">
        <f>((0.33*BD76)/Speed!AQ157)+((0.67*BD76)/Speed!BQ157)</f>
        <v>259.32654779226715</v>
      </c>
      <c r="CE76" s="415">
        <f>((0.33*BE76)/Speed!AR157)+((0.67*BE76)/Speed!BR157)</f>
        <v>263.26411582297862</v>
      </c>
      <c r="CF76" s="415">
        <f>((0.33*BF76)/Speed!AS157)+((0.67*BF76)/Speed!BS157)</f>
        <v>267.2217013955235</v>
      </c>
      <c r="CG76" s="415">
        <f>((0.33*BG76)/Speed!AT157)+((0.67*BG76)/Speed!BT157)</f>
        <v>271.20465027751357</v>
      </c>
      <c r="CH76" s="415">
        <f>((0.33*BH76)/Speed!AU157)+((0.67*BH76)/Speed!BU157)</f>
        <v>275.21094008812776</v>
      </c>
      <c r="CI76" s="415">
        <f>((0.33*BI76)/Speed!AV157)+((0.67*BI76)/Speed!BV157)</f>
        <v>279.24660843993581</v>
      </c>
      <c r="CJ76" s="453">
        <f>((0.33*BJ76)/Speed!AW157)+((0.67*BJ76)/Speed!BW157)</f>
        <v>283.31817878092693</v>
      </c>
      <c r="CK76" s="1393">
        <f>Inputs!$H$35</f>
        <v>0.28000000000000003</v>
      </c>
      <c r="CL76" s="1393">
        <f>Inputs!$H$36</f>
        <v>0.72</v>
      </c>
      <c r="CM76" s="1401">
        <f>1/(1+CK76)</f>
        <v>0.78125</v>
      </c>
      <c r="CN76" s="1407">
        <v>0.9</v>
      </c>
      <c r="CO76" s="12"/>
      <c r="CP76" s="12"/>
      <c r="CQ76" s="12"/>
      <c r="CR76" s="12"/>
      <c r="CS76" s="12"/>
      <c r="CT76" s="12"/>
      <c r="CU76" s="12"/>
      <c r="CV76" s="12"/>
      <c r="CW76" s="12"/>
      <c r="CX76" s="12"/>
      <c r="CY76" s="12"/>
      <c r="CZ76" s="12"/>
    </row>
    <row r="77" spans="2:104" customFormat="1" ht="21.95" customHeight="1" x14ac:dyDescent="0.2">
      <c r="B77" s="492"/>
      <c r="C77" s="1339"/>
      <c r="D77" s="116" t="s">
        <v>337</v>
      </c>
      <c r="E77" s="116" t="s">
        <v>342</v>
      </c>
      <c r="F77" s="116" t="s">
        <v>366</v>
      </c>
      <c r="G77" s="364">
        <v>50</v>
      </c>
      <c r="H77" s="1155">
        <v>0.5</v>
      </c>
      <c r="I77" s="364">
        <v>4</v>
      </c>
      <c r="J77" s="1162">
        <v>22000</v>
      </c>
      <c r="K77" s="364">
        <f>$J77*(1+(K$6-$J$6)*0.0015)</f>
        <v>22033</v>
      </c>
      <c r="L77" s="364">
        <f t="shared" ref="L77:R80" si="382">$J77*(1+(L$6-$J$6)*0.0015)</f>
        <v>22065.999999999996</v>
      </c>
      <c r="M77" s="364">
        <f t="shared" si="382"/>
        <v>22099</v>
      </c>
      <c r="N77" s="364">
        <f t="shared" si="382"/>
        <v>22132</v>
      </c>
      <c r="O77" s="364">
        <f t="shared" si="382"/>
        <v>22165</v>
      </c>
      <c r="P77" s="364">
        <f t="shared" si="382"/>
        <v>22197.999999999996</v>
      </c>
      <c r="Q77" s="364">
        <f t="shared" si="382"/>
        <v>22231</v>
      </c>
      <c r="R77" s="364">
        <f t="shared" si="382"/>
        <v>22264</v>
      </c>
      <c r="S77" s="364">
        <v>22264</v>
      </c>
      <c r="T77" s="364">
        <v>22264</v>
      </c>
      <c r="U77" s="364">
        <v>22264</v>
      </c>
      <c r="V77" s="364">
        <v>22264</v>
      </c>
      <c r="W77" s="364">
        <v>22264</v>
      </c>
      <c r="X77" s="364">
        <f t="shared" ref="X77:AI77" si="383">0.54*X81</f>
        <v>22410.188999999998</v>
      </c>
      <c r="Y77" s="364">
        <f t="shared" si="383"/>
        <v>22757.273999999998</v>
      </c>
      <c r="Z77" s="364">
        <f t="shared" si="383"/>
        <v>23104.358999999997</v>
      </c>
      <c r="AA77" s="364">
        <f t="shared" si="383"/>
        <v>23451.524999999998</v>
      </c>
      <c r="AB77" s="364">
        <f t="shared" si="383"/>
        <v>23798.609999999997</v>
      </c>
      <c r="AC77" s="364">
        <f t="shared" si="383"/>
        <v>24145.775999999998</v>
      </c>
      <c r="AD77" s="364">
        <f t="shared" si="383"/>
        <v>24492.860999999997</v>
      </c>
      <c r="AE77" s="364">
        <f t="shared" si="383"/>
        <v>24839.946</v>
      </c>
      <c r="AF77" s="364">
        <f t="shared" si="383"/>
        <v>25187.112000000001</v>
      </c>
      <c r="AG77" s="364">
        <f t="shared" si="383"/>
        <v>25534.196999999996</v>
      </c>
      <c r="AH77" s="364">
        <f t="shared" si="383"/>
        <v>25881.281999999999</v>
      </c>
      <c r="AI77" s="364">
        <f t="shared" si="383"/>
        <v>26228.448</v>
      </c>
      <c r="AJ77" s="1182">
        <f t="shared" si="356"/>
        <v>7.6880872727272728E-3</v>
      </c>
      <c r="AK77" s="1162">
        <f>$H77*J77</f>
        <v>11000</v>
      </c>
      <c r="AL77" s="364">
        <f t="shared" si="357"/>
        <v>11016.5</v>
      </c>
      <c r="AM77" s="364">
        <f t="shared" si="358"/>
        <v>11032.999999999998</v>
      </c>
      <c r="AN77" s="364">
        <f t="shared" si="359"/>
        <v>11049.5</v>
      </c>
      <c r="AO77" s="364">
        <f t="shared" si="360"/>
        <v>11066</v>
      </c>
      <c r="AP77" s="364">
        <f t="shared" si="361"/>
        <v>11082.5</v>
      </c>
      <c r="AQ77" s="364">
        <f t="shared" si="362"/>
        <v>11098.999999999998</v>
      </c>
      <c r="AR77" s="364">
        <f t="shared" si="363"/>
        <v>11115.5</v>
      </c>
      <c r="AS77" s="364">
        <f t="shared" si="364"/>
        <v>11132</v>
      </c>
      <c r="AT77" s="364">
        <f t="shared" si="365"/>
        <v>11132</v>
      </c>
      <c r="AU77" s="364">
        <f t="shared" si="366"/>
        <v>11132</v>
      </c>
      <c r="AV77" s="364">
        <f t="shared" si="367"/>
        <v>11132</v>
      </c>
      <c r="AW77" s="364">
        <f t="shared" si="368"/>
        <v>11132</v>
      </c>
      <c r="AX77" s="364">
        <f t="shared" si="369"/>
        <v>11132</v>
      </c>
      <c r="AY77" s="364">
        <f t="shared" si="370"/>
        <v>11205.094499999999</v>
      </c>
      <c r="AZ77" s="364">
        <f t="shared" si="371"/>
        <v>11378.636999999999</v>
      </c>
      <c r="BA77" s="364">
        <f t="shared" si="372"/>
        <v>11552.179499999998</v>
      </c>
      <c r="BB77" s="364">
        <f t="shared" si="373"/>
        <v>11725.762499999999</v>
      </c>
      <c r="BC77" s="364">
        <f t="shared" si="374"/>
        <v>11899.304999999998</v>
      </c>
      <c r="BD77" s="364">
        <f t="shared" si="375"/>
        <v>12072.887999999999</v>
      </c>
      <c r="BE77" s="364">
        <f t="shared" si="376"/>
        <v>12246.430499999999</v>
      </c>
      <c r="BF77" s="364">
        <f t="shared" si="377"/>
        <v>12419.973</v>
      </c>
      <c r="BG77" s="364">
        <f t="shared" si="378"/>
        <v>12593.556</v>
      </c>
      <c r="BH77" s="364">
        <f t="shared" si="379"/>
        <v>12767.098499999998</v>
      </c>
      <c r="BI77" s="364">
        <f t="shared" si="380"/>
        <v>12940.641</v>
      </c>
      <c r="BJ77" s="365">
        <f t="shared" si="381"/>
        <v>13114.224</v>
      </c>
      <c r="BK77" s="417">
        <f>((0.33*'Traffic Data'!AK77)/Speed!X158)+((0.67*'Traffic Data'!AK77)/Speed!AX158)</f>
        <v>227.31750368045189</v>
      </c>
      <c r="BL77" s="415">
        <f>((0.33*AL77)/Speed!Y158)+((0.67*AL77)/Speed!AY158)</f>
        <v>227.65915713802792</v>
      </c>
      <c r="BM77" s="415">
        <f>((0.33*AM77)/Speed!Z158)+((0.67*AM77)/Speed!AZ158)</f>
        <v>228.00082183842358</v>
      </c>
      <c r="BN77" s="415">
        <f>((0.33*AN77)/Speed!AA158)+((0.67*AN77)/Speed!BA158)</f>
        <v>228.3424979239652</v>
      </c>
      <c r="BO77" s="415">
        <f>((0.33*AO77)/Speed!AB158)+((0.67*AO77)/Speed!BB158)</f>
        <v>228.6841855488118</v>
      </c>
      <c r="BP77" s="415">
        <f>((0.33*AP77)/Speed!AC158)+((0.67*AP77)/Speed!BC158)</f>
        <v>229.02588486897523</v>
      </c>
      <c r="BQ77" s="415">
        <f>((0.33*AQ77)/Speed!AD158)+((0.67*AQ77)/Speed!BD158)</f>
        <v>229.36759604233941</v>
      </c>
      <c r="BR77" s="415">
        <f>((0.33*AR77)/Speed!AE158)+((0.67*AR77)/Speed!BE158)</f>
        <v>229.70931922868022</v>
      </c>
      <c r="BS77" s="415">
        <f>((0.33*AS77)/Speed!AF158)+((0.67*AS77)/Speed!BF158)</f>
        <v>230.05105458968475</v>
      </c>
      <c r="BT77" s="415">
        <f>((0.33*AT77)/Speed!AG158)+((0.67*AT77)/Speed!BG158)</f>
        <v>230.05105460095223</v>
      </c>
      <c r="BU77" s="415">
        <f>((0.33*AU77)/Speed!AH158)+((0.67*AU77)/Speed!BH158)</f>
        <v>230.05105460095223</v>
      </c>
      <c r="BV77" s="415">
        <f>((0.33*AV77)/Speed!AI158)+((0.67*AV77)/Speed!BI158)</f>
        <v>230.05105460095223</v>
      </c>
      <c r="BW77" s="415">
        <f>((0.33*AW77)/Speed!AJ158)+((0.67*AW77)/Speed!BJ158)</f>
        <v>230.05105460095223</v>
      </c>
      <c r="BX77" s="415">
        <f>((0.33*AX77)/Speed!AK158)+((0.67*AX77)/Speed!BK158)</f>
        <v>230.05105460095223</v>
      </c>
      <c r="BY77" s="415">
        <f>((0.33*AY77)/Speed!AL158)+((0.67*AY77)/Speed!BL158)</f>
        <v>231.56508253277866</v>
      </c>
      <c r="BZ77" s="415">
        <f>((0.33*AZ77)/Speed!AM158)+((0.67*AZ77)/Speed!BM158)</f>
        <v>235.16077707000315</v>
      </c>
      <c r="CA77" s="415">
        <f>((0.33*BA77)/Speed!AN158)+((0.67*BA77)/Speed!BN158)</f>
        <v>238.75813643315803</v>
      </c>
      <c r="CB77" s="415">
        <f>((0.33*BB77)/Speed!AO158)+((0.67*BB77)/Speed!BO158)</f>
        <v>242.35824364907253</v>
      </c>
      <c r="CC77" s="415">
        <f>((0.33*BC77)/Speed!AP158)+((0.67*BC77)/Speed!BP158)</f>
        <v>245.9596927218445</v>
      </c>
      <c r="CD77" s="415">
        <f>((0.33*BD77)/Speed!AQ158)+((0.67*BD77)/Speed!BQ158)</f>
        <v>249.56447306988241</v>
      </c>
      <c r="CE77" s="415">
        <f>((0.33*BE77)/Speed!AR158)+((0.67*BE77)/Speed!BR158)</f>
        <v>253.17124909252601</v>
      </c>
      <c r="CF77" s="415">
        <f>((0.33*BF77)/Speed!AS158)+((0.67*BF77)/Speed!BS158)</f>
        <v>256.78125020767186</v>
      </c>
      <c r="CG77" s="415">
        <f>((0.33*BG77)/Speed!AT158)+((0.67*BG77)/Speed!BT158)</f>
        <v>260.39575550910899</v>
      </c>
      <c r="CH77" s="415">
        <f>((0.33*BH77)/Speed!AU158)+((0.67*BH77)/Speed!BU158)</f>
        <v>264.01356520846252</v>
      </c>
      <c r="CI77" s="415">
        <f>((0.33*BI77)/Speed!AV158)+((0.67*BI77)/Speed!BV158)</f>
        <v>267.63606568280352</v>
      </c>
      <c r="CJ77" s="453">
        <f>((0.33*BJ77)/Speed!AW158)+((0.67*BJ77)/Speed!BW158)</f>
        <v>271.26471013685114</v>
      </c>
      <c r="CK77" s="1394"/>
      <c r="CL77" s="1394"/>
      <c r="CM77" s="1402"/>
      <c r="CN77" s="1408"/>
      <c r="CO77" s="12"/>
      <c r="CP77" s="12"/>
      <c r="CQ77" s="12"/>
      <c r="CR77" s="12"/>
      <c r="CS77" s="12"/>
      <c r="CT77" s="12"/>
      <c r="CU77" s="12"/>
      <c r="CV77" s="12"/>
      <c r="CW77" s="12"/>
      <c r="CX77" s="12"/>
      <c r="CY77" s="12"/>
      <c r="CZ77" s="12"/>
    </row>
    <row r="78" spans="2:104" customFormat="1" ht="21.95" customHeight="1" x14ac:dyDescent="0.2">
      <c r="B78" s="492"/>
      <c r="C78" s="1339"/>
      <c r="D78" s="116" t="s">
        <v>342</v>
      </c>
      <c r="E78" s="116" t="s">
        <v>341</v>
      </c>
      <c r="F78" s="116" t="s">
        <v>366</v>
      </c>
      <c r="G78" s="364">
        <v>45</v>
      </c>
      <c r="H78" s="1155">
        <v>0.65</v>
      </c>
      <c r="I78" s="364">
        <v>4</v>
      </c>
      <c r="J78" s="1162">
        <v>22000</v>
      </c>
      <c r="K78" s="364">
        <f>$J78*(1+(K$6-$J$6)*0.0015)</f>
        <v>22033</v>
      </c>
      <c r="L78" s="364">
        <f t="shared" si="382"/>
        <v>22065.999999999996</v>
      </c>
      <c r="M78" s="364">
        <f t="shared" si="382"/>
        <v>22099</v>
      </c>
      <c r="N78" s="364">
        <f t="shared" si="382"/>
        <v>22132</v>
      </c>
      <c r="O78" s="364">
        <f t="shared" si="382"/>
        <v>22165</v>
      </c>
      <c r="P78" s="364">
        <f t="shared" si="382"/>
        <v>22197.999999999996</v>
      </c>
      <c r="Q78" s="364">
        <f t="shared" si="382"/>
        <v>22231</v>
      </c>
      <c r="R78" s="364">
        <f t="shared" si="382"/>
        <v>22264</v>
      </c>
      <c r="S78" s="364">
        <v>22264</v>
      </c>
      <c r="T78" s="364">
        <v>22264</v>
      </c>
      <c r="U78" s="364">
        <v>22264</v>
      </c>
      <c r="V78" s="364">
        <v>22264</v>
      </c>
      <c r="W78" s="364">
        <v>22264</v>
      </c>
      <c r="X78" s="364">
        <f t="shared" ref="X78:AI78" si="384">0.54*X81</f>
        <v>22410.188999999998</v>
      </c>
      <c r="Y78" s="364">
        <f t="shared" si="384"/>
        <v>22757.273999999998</v>
      </c>
      <c r="Z78" s="364">
        <f t="shared" si="384"/>
        <v>23104.358999999997</v>
      </c>
      <c r="AA78" s="364">
        <f t="shared" si="384"/>
        <v>23451.524999999998</v>
      </c>
      <c r="AB78" s="364">
        <f t="shared" si="384"/>
        <v>23798.609999999997</v>
      </c>
      <c r="AC78" s="364">
        <f t="shared" si="384"/>
        <v>24145.775999999998</v>
      </c>
      <c r="AD78" s="364">
        <f t="shared" si="384"/>
        <v>24492.860999999997</v>
      </c>
      <c r="AE78" s="364">
        <f t="shared" si="384"/>
        <v>24839.946</v>
      </c>
      <c r="AF78" s="364">
        <f t="shared" si="384"/>
        <v>25187.112000000001</v>
      </c>
      <c r="AG78" s="364">
        <f t="shared" si="384"/>
        <v>25534.196999999996</v>
      </c>
      <c r="AH78" s="364">
        <f t="shared" si="384"/>
        <v>25881.281999999999</v>
      </c>
      <c r="AI78" s="364">
        <f t="shared" si="384"/>
        <v>26228.448</v>
      </c>
      <c r="AJ78" s="1182">
        <f t="shared" si="356"/>
        <v>7.6880872727272728E-3</v>
      </c>
      <c r="AK78" s="1162">
        <f>$H78*J78</f>
        <v>14300</v>
      </c>
      <c r="AL78" s="364">
        <f t="shared" si="357"/>
        <v>14321.45</v>
      </c>
      <c r="AM78" s="364">
        <f t="shared" si="358"/>
        <v>14342.899999999998</v>
      </c>
      <c r="AN78" s="364">
        <f t="shared" si="359"/>
        <v>14364.35</v>
      </c>
      <c r="AO78" s="364">
        <f t="shared" si="360"/>
        <v>14385.800000000001</v>
      </c>
      <c r="AP78" s="364">
        <f t="shared" si="361"/>
        <v>14407.25</v>
      </c>
      <c r="AQ78" s="364">
        <f t="shared" si="362"/>
        <v>14428.699999999999</v>
      </c>
      <c r="AR78" s="364">
        <f t="shared" si="363"/>
        <v>14450.15</v>
      </c>
      <c r="AS78" s="364">
        <f t="shared" si="364"/>
        <v>14471.6</v>
      </c>
      <c r="AT78" s="364">
        <f t="shared" si="365"/>
        <v>14471.6</v>
      </c>
      <c r="AU78" s="364">
        <f t="shared" si="366"/>
        <v>14471.6</v>
      </c>
      <c r="AV78" s="364">
        <f t="shared" si="367"/>
        <v>14471.6</v>
      </c>
      <c r="AW78" s="364">
        <f t="shared" si="368"/>
        <v>14471.6</v>
      </c>
      <c r="AX78" s="364">
        <f t="shared" si="369"/>
        <v>14471.6</v>
      </c>
      <c r="AY78" s="364">
        <f t="shared" si="370"/>
        <v>14566.62285</v>
      </c>
      <c r="AZ78" s="364">
        <f t="shared" si="371"/>
        <v>14792.228099999998</v>
      </c>
      <c r="BA78" s="364">
        <f t="shared" si="372"/>
        <v>15017.833349999999</v>
      </c>
      <c r="BB78" s="364">
        <f t="shared" si="373"/>
        <v>15243.491249999999</v>
      </c>
      <c r="BC78" s="364">
        <f t="shared" si="374"/>
        <v>15469.096499999998</v>
      </c>
      <c r="BD78" s="364">
        <f t="shared" si="375"/>
        <v>15694.7544</v>
      </c>
      <c r="BE78" s="364">
        <f t="shared" si="376"/>
        <v>15920.359649999999</v>
      </c>
      <c r="BF78" s="364">
        <f t="shared" si="377"/>
        <v>16145.964900000001</v>
      </c>
      <c r="BG78" s="364">
        <f t="shared" si="378"/>
        <v>16371.622800000001</v>
      </c>
      <c r="BH78" s="364">
        <f t="shared" si="379"/>
        <v>16597.228049999998</v>
      </c>
      <c r="BI78" s="364">
        <f t="shared" si="380"/>
        <v>16822.833299999998</v>
      </c>
      <c r="BJ78" s="365">
        <f t="shared" si="381"/>
        <v>17048.4912</v>
      </c>
      <c r="BK78" s="417">
        <f>((0.33*'Traffic Data'!AK78)/Speed!X159)+((0.67*'Traffic Data'!AK78)/Speed!AX159)</f>
        <v>329.5778428757539</v>
      </c>
      <c r="BL78" s="415">
        <f>((0.33*AL78)/Speed!Y159)+((0.67*AL78)/Speed!AY159)</f>
        <v>330.07349148643641</v>
      </c>
      <c r="BM78" s="415">
        <f>((0.33*AM78)/Speed!Z159)+((0.67*AM78)/Speed!AZ159)</f>
        <v>330.5691613781641</v>
      </c>
      <c r="BN78" s="415">
        <f>((0.33*AN78)/Speed!AA159)+((0.67*AN78)/Speed!BA159)</f>
        <v>331.06485282034026</v>
      </c>
      <c r="BO78" s="415">
        <f>((0.33*AO78)/Speed!AB159)+((0.67*AO78)/Speed!BB159)</f>
        <v>331.56056610476577</v>
      </c>
      <c r="BP78" s="415">
        <f>((0.33*AP78)/Speed!AC159)+((0.67*AP78)/Speed!BC159)</f>
        <v>332.05630152674877</v>
      </c>
      <c r="BQ78" s="415">
        <f>((0.33*AQ78)/Speed!AD159)+((0.67*AQ78)/Speed!BD159)</f>
        <v>332.55205938514098</v>
      </c>
      <c r="BR78" s="415">
        <f>((0.33*AR78)/Speed!AE159)+((0.67*AR78)/Speed!BE159)</f>
        <v>333.04783998237491</v>
      </c>
      <c r="BS78" s="415">
        <f>((0.33*AS78)/Speed!AF159)+((0.67*AS78)/Speed!BF159)</f>
        <v>333.54364362450127</v>
      </c>
      <c r="BT78" s="415">
        <f>((0.33*AT78)/Speed!AG159)+((0.67*AT78)/Speed!BG159)</f>
        <v>333.54364364582898</v>
      </c>
      <c r="BU78" s="415">
        <f>((0.33*AU78)/Speed!AH159)+((0.67*AU78)/Speed!BH159)</f>
        <v>333.54364364582898</v>
      </c>
      <c r="BV78" s="415">
        <f>((0.33*AV78)/Speed!AI159)+((0.67*AV78)/Speed!BI159)</f>
        <v>333.54364364582898</v>
      </c>
      <c r="BW78" s="415">
        <f>((0.33*AW78)/Speed!AJ159)+((0.67*AW78)/Speed!BJ159)</f>
        <v>333.54364364582898</v>
      </c>
      <c r="BX78" s="415">
        <f>((0.33*AX78)/Speed!AK159)+((0.67*AX78)/Speed!BK159)</f>
        <v>333.54364364582898</v>
      </c>
      <c r="BY78" s="415">
        <f>((0.33*AY78)/Speed!AL159)+((0.67*AY78)/Speed!BL159)</f>
        <v>335.74032389259207</v>
      </c>
      <c r="BZ78" s="415">
        <f>((0.33*AZ78)/Speed!AM159)+((0.67*AZ78)/Speed!BM159)</f>
        <v>340.95773017225292</v>
      </c>
      <c r="CA78" s="415">
        <f>((0.33*BA78)/Speed!AN159)+((0.67*BA78)/Speed!BN159)</f>
        <v>346.17828772863675</v>
      </c>
      <c r="CB78" s="415">
        <f>((0.33*BB78)/Speed!AO159)+((0.67*BB78)/Speed!BO159)</f>
        <v>351.40367581126026</v>
      </c>
      <c r="CC78" s="415">
        <f>((0.33*BC78)/Speed!AP159)+((0.67*BC78)/Speed!BP159)</f>
        <v>356.6319746014176</v>
      </c>
      <c r="CD78" s="415">
        <f>((0.33*BD78)/Speed!AQ159)+((0.67*BD78)/Speed!BQ159)</f>
        <v>361.86620825294682</v>
      </c>
      <c r="CE78" s="415">
        <f>((0.33*BE78)/Speed!AR159)+((0.67*BE78)/Speed!BR159)</f>
        <v>367.10459019523898</v>
      </c>
      <c r="CF78" s="415">
        <f>((0.33*BF78)/Speed!AS159)+((0.67*BF78)/Speed!BS159)</f>
        <v>372.34907677510682</v>
      </c>
      <c r="CG78" s="415">
        <f>((0.33*BG78)/Speed!AT159)+((0.67*BG78)/Speed!BT159)</f>
        <v>377.60171836870268</v>
      </c>
      <c r="CH78" s="415">
        <f>((0.33*BH78)/Speed!AU159)+((0.67*BH78)/Speed!BU159)</f>
        <v>382.86098547859615</v>
      </c>
      <c r="CI78" s="415">
        <f>((0.33*BI78)/Speed!AV159)+((0.67*BI78)/Speed!BV159)</f>
        <v>388.12913155280694</v>
      </c>
      <c r="CJ78" s="453">
        <f>((0.33*BJ78)/Speed!AW159)+((0.67*BJ78)/Speed!BW159)</f>
        <v>393.40853653450756</v>
      </c>
      <c r="CK78" s="1394"/>
      <c r="CL78" s="1394"/>
      <c r="CM78" s="1402"/>
      <c r="CN78" s="1408"/>
      <c r="CO78" s="12"/>
      <c r="CP78" s="12"/>
      <c r="CQ78" s="12"/>
      <c r="CR78" s="12"/>
      <c r="CS78" s="12"/>
      <c r="CT78" s="12"/>
      <c r="CU78" s="12"/>
      <c r="CV78" s="12"/>
      <c r="CW78" s="12"/>
      <c r="CX78" s="12"/>
      <c r="CY78" s="12"/>
      <c r="CZ78" s="12"/>
    </row>
    <row r="79" spans="2:104" customFormat="1" ht="21.95" customHeight="1" x14ac:dyDescent="0.2">
      <c r="B79" s="492"/>
      <c r="C79" s="1339"/>
      <c r="D79" s="116" t="s">
        <v>341</v>
      </c>
      <c r="E79" s="116" t="s">
        <v>344</v>
      </c>
      <c r="F79" s="116" t="s">
        <v>366</v>
      </c>
      <c r="G79" s="364">
        <v>45</v>
      </c>
      <c r="H79" s="1155">
        <v>0.61</v>
      </c>
      <c r="I79" s="364">
        <v>4</v>
      </c>
      <c r="J79" s="1162">
        <v>26000</v>
      </c>
      <c r="K79" s="364">
        <f>$J79*(1+(K$6-$J$6)*0.0015)</f>
        <v>26039</v>
      </c>
      <c r="L79" s="364">
        <f t="shared" si="382"/>
        <v>26077.999999999996</v>
      </c>
      <c r="M79" s="364">
        <f t="shared" si="382"/>
        <v>26117</v>
      </c>
      <c r="N79" s="364">
        <f t="shared" si="382"/>
        <v>26156</v>
      </c>
      <c r="O79" s="364">
        <f t="shared" si="382"/>
        <v>26195</v>
      </c>
      <c r="P79" s="364">
        <f t="shared" si="382"/>
        <v>26233.999999999996</v>
      </c>
      <c r="Q79" s="364">
        <f t="shared" si="382"/>
        <v>26273</v>
      </c>
      <c r="R79" s="364">
        <f t="shared" si="382"/>
        <v>26312</v>
      </c>
      <c r="S79" s="364">
        <v>26312</v>
      </c>
      <c r="T79" s="364">
        <v>26312</v>
      </c>
      <c r="U79" s="364">
        <v>26312</v>
      </c>
      <c r="V79" s="364">
        <v>26312</v>
      </c>
      <c r="W79" s="364">
        <v>26312</v>
      </c>
      <c r="X79" s="364">
        <v>26312</v>
      </c>
      <c r="Y79" s="364">
        <v>26312</v>
      </c>
      <c r="Z79" s="364">
        <v>26312</v>
      </c>
      <c r="AA79" s="364">
        <v>26312</v>
      </c>
      <c r="AB79" s="364">
        <f t="shared" ref="AB79:AI79" si="385">AB77*1.12</f>
        <v>26654.443199999998</v>
      </c>
      <c r="AC79" s="364">
        <f t="shared" si="385"/>
        <v>27043.269120000001</v>
      </c>
      <c r="AD79" s="364">
        <f t="shared" si="385"/>
        <v>27432.00432</v>
      </c>
      <c r="AE79" s="364">
        <f t="shared" si="385"/>
        <v>27820.739520000003</v>
      </c>
      <c r="AF79" s="364">
        <f t="shared" si="385"/>
        <v>28209.565440000002</v>
      </c>
      <c r="AG79" s="364">
        <f t="shared" si="385"/>
        <v>28598.300639999998</v>
      </c>
      <c r="AH79" s="364">
        <f t="shared" si="385"/>
        <v>28987.03584</v>
      </c>
      <c r="AI79" s="364">
        <f t="shared" si="385"/>
        <v>29375.861760000003</v>
      </c>
      <c r="AJ79" s="1182">
        <f t="shared" si="356"/>
        <v>5.1936334769230822E-3</v>
      </c>
      <c r="AK79" s="1162">
        <f t="shared" ref="AK79:AK83" si="386">$H79*J79</f>
        <v>15860</v>
      </c>
      <c r="AL79" s="364">
        <f t="shared" ref="AL79:AL84" si="387">$H79*K79</f>
        <v>15883.789999999999</v>
      </c>
      <c r="AM79" s="364">
        <f t="shared" ref="AM79:AM84" si="388">$H79*L79</f>
        <v>15907.579999999998</v>
      </c>
      <c r="AN79" s="364">
        <f t="shared" ref="AN79:AN84" si="389">$H79*M79</f>
        <v>15931.369999999999</v>
      </c>
      <c r="AO79" s="364">
        <f t="shared" ref="AO79:AO84" si="390">$H79*N79</f>
        <v>15955.16</v>
      </c>
      <c r="AP79" s="364">
        <f t="shared" ref="AP79:AP84" si="391">$H79*O79</f>
        <v>15978.949999999999</v>
      </c>
      <c r="AQ79" s="364">
        <f t="shared" ref="AQ79:AQ84" si="392">$H79*P79</f>
        <v>16002.739999999998</v>
      </c>
      <c r="AR79" s="364">
        <f t="shared" ref="AR79:AR84" si="393">$H79*Q79</f>
        <v>16026.529999999999</v>
      </c>
      <c r="AS79" s="364">
        <f t="shared" ref="AS79:AS84" si="394">$H79*R79</f>
        <v>16050.32</v>
      </c>
      <c r="AT79" s="364">
        <f t="shared" ref="AT79:AT84" si="395">$H79*S79</f>
        <v>16050.32</v>
      </c>
      <c r="AU79" s="364">
        <f t="shared" ref="AU79:AU84" si="396">$H79*T79</f>
        <v>16050.32</v>
      </c>
      <c r="AV79" s="364">
        <f t="shared" ref="AV79:AV84" si="397">$H79*U79</f>
        <v>16050.32</v>
      </c>
      <c r="AW79" s="364">
        <f t="shared" ref="AW79:AW84" si="398">$H79*V79</f>
        <v>16050.32</v>
      </c>
      <c r="AX79" s="364">
        <f t="shared" ref="AX79:AX84" si="399">$H79*W79</f>
        <v>16050.32</v>
      </c>
      <c r="AY79" s="364">
        <f t="shared" ref="AY79:AY84" si="400">$H79*X79</f>
        <v>16050.32</v>
      </c>
      <c r="AZ79" s="364">
        <f t="shared" ref="AZ79:AZ84" si="401">$H79*Y79</f>
        <v>16050.32</v>
      </c>
      <c r="BA79" s="364">
        <f t="shared" ref="BA79:BA84" si="402">$H79*Z79</f>
        <v>16050.32</v>
      </c>
      <c r="BB79" s="364">
        <f t="shared" ref="BB79:BB84" si="403">$H79*AA79</f>
        <v>16050.32</v>
      </c>
      <c r="BC79" s="364">
        <f t="shared" ref="BC79:BC84" si="404">$H79*AB79</f>
        <v>16259.210351999998</v>
      </c>
      <c r="BD79" s="364">
        <f t="shared" ref="BD79:BD84" si="405">$H79*AC79</f>
        <v>16496.394163199999</v>
      </c>
      <c r="BE79" s="364">
        <f t="shared" ref="BE79:BE84" si="406">$H79*AD79</f>
        <v>16733.522635199999</v>
      </c>
      <c r="BF79" s="364">
        <f t="shared" ref="BF79:BF84" si="407">$H79*AE79</f>
        <v>16970.651107200003</v>
      </c>
      <c r="BG79" s="364">
        <f t="shared" ref="BG79:BG84" si="408">$H79*AF79</f>
        <v>17207.8349184</v>
      </c>
      <c r="BH79" s="364">
        <f t="shared" ref="BH79:BH84" si="409">$H79*AG79</f>
        <v>17444.963390399997</v>
      </c>
      <c r="BI79" s="364">
        <f t="shared" ref="BI79:BI84" si="410">$H79*AH79</f>
        <v>17682.091862400001</v>
      </c>
      <c r="BJ79" s="365">
        <f t="shared" ref="BJ79:BJ83" si="411">$H79*AI79</f>
        <v>17919.275673600001</v>
      </c>
      <c r="BK79" s="417">
        <f>((0.33*'Traffic Data'!AK79)/Speed!X160)+((0.67*'Traffic Data'!AK79)/Speed!AX160)</f>
        <v>340.69973792930529</v>
      </c>
      <c r="BL79" s="415">
        <f>((0.33*AL79)/Speed!Y160)+((0.67*AL79)/Speed!AY160)</f>
        <v>341.21617761211269</v>
      </c>
      <c r="BM79" s="415">
        <f>((0.33*AM79)/Speed!Z160)+((0.67*AM79)/Speed!AZ160)</f>
        <v>341.73270678025352</v>
      </c>
      <c r="BN79" s="415">
        <f>((0.33*AN79)/Speed!AA160)+((0.67*AN79)/Speed!BA160)</f>
        <v>342.2493265665488</v>
      </c>
      <c r="BO79" s="415">
        <f>((0.33*AO79)/Speed!AB160)+((0.67*AO79)/Speed!BB160)</f>
        <v>342.76603819800232</v>
      </c>
      <c r="BP79" s="415">
        <f>((0.33*AP79)/Speed!AC160)+((0.67*AP79)/Speed!BC160)</f>
        <v>343.28284291636425</v>
      </c>
      <c r="BQ79" s="415">
        <f>((0.33*AQ79)/Speed!AD160)+((0.67*AQ79)/Speed!BD160)</f>
        <v>343.79974197828534</v>
      </c>
      <c r="BR79" s="415">
        <f>((0.33*AR79)/Speed!AE160)+((0.67*AR79)/Speed!BE160)</f>
        <v>344.31673665547356</v>
      </c>
      <c r="BS79" s="415">
        <f>((0.33*AS79)/Speed!AF160)+((0.67*AS79)/Speed!BF160)</f>
        <v>344.83382823485124</v>
      </c>
      <c r="BT79" s="415">
        <f>((0.33*AT79)/Speed!AG160)+((0.67*AT79)/Speed!BG160)</f>
        <v>344.83382832453276</v>
      </c>
      <c r="BU79" s="415">
        <f>((0.33*AU79)/Speed!AH160)+((0.67*AU79)/Speed!BH160)</f>
        <v>344.83382832453276</v>
      </c>
      <c r="BV79" s="415">
        <f>((0.33*AV79)/Speed!AI160)+((0.67*AV79)/Speed!BI160)</f>
        <v>344.83382832453276</v>
      </c>
      <c r="BW79" s="415">
        <f>((0.33*AW79)/Speed!AJ160)+((0.67*AW79)/Speed!BJ160)</f>
        <v>344.83382832453276</v>
      </c>
      <c r="BX79" s="415">
        <f>((0.33*AX79)/Speed!AK160)+((0.67*AX79)/Speed!BK160)</f>
        <v>344.83382832453276</v>
      </c>
      <c r="BY79" s="415">
        <f>((0.33*AY79)/Speed!AL160)+((0.67*AY79)/Speed!BL160)</f>
        <v>344.83382832453276</v>
      </c>
      <c r="BZ79" s="415">
        <f>((0.33*AZ79)/Speed!AM160)+((0.67*AZ79)/Speed!BM160)</f>
        <v>344.83382832453276</v>
      </c>
      <c r="CA79" s="415">
        <f>((0.33*BA79)/Speed!AN160)+((0.67*BA79)/Speed!BN160)</f>
        <v>344.83382832453276</v>
      </c>
      <c r="CB79" s="415">
        <f>((0.33*BB79)/Speed!AO160)+((0.67*BB79)/Speed!BO160)</f>
        <v>344.83382832453276</v>
      </c>
      <c r="CC79" s="415">
        <f>((0.33*BC79)/Speed!AP160)+((0.67*BC79)/Speed!BP160)</f>
        <v>349.37856578833703</v>
      </c>
      <c r="CD79" s="415">
        <f>((0.33*BD79)/Speed!AQ160)+((0.67*BD79)/Speed!BQ160)</f>
        <v>354.54925019644674</v>
      </c>
      <c r="CE79" s="415">
        <f>((0.33*BE79)/Speed!AR160)+((0.67*BE79)/Speed!BR160)</f>
        <v>359.73123193013419</v>
      </c>
      <c r="CF79" s="415">
        <f>((0.33*BF79)/Speed!AS160)+((0.67*BF79)/Speed!BS160)</f>
        <v>364.92742908398509</v>
      </c>
      <c r="CG79" s="415">
        <f>((0.33*BG79)/Speed!AT160)+((0.67*BG79)/Speed!BT160)</f>
        <v>370.14097881948896</v>
      </c>
      <c r="CH79" s="415">
        <f>((0.33*BH79)/Speed!AU160)+((0.67*BH79)/Speed!BU160)</f>
        <v>375.37159430562519</v>
      </c>
      <c r="CI79" s="415">
        <f>((0.33*BI79)/Speed!AV160)+((0.67*BI79)/Speed!BV160)</f>
        <v>380.62288558239163</v>
      </c>
      <c r="CJ79" s="453">
        <f>((0.33*BJ79)/Speed!AW160)+((0.67*BJ79)/Speed!BW160)</f>
        <v>385.89875724973837</v>
      </c>
      <c r="CK79" s="1394"/>
      <c r="CL79" s="1394"/>
      <c r="CM79" s="1402"/>
      <c r="CN79" s="1408"/>
      <c r="CO79" s="12"/>
      <c r="CP79" s="12"/>
      <c r="CQ79" s="12"/>
      <c r="CR79" s="12"/>
      <c r="CS79" s="12"/>
      <c r="CT79" s="12"/>
      <c r="CU79" s="12"/>
      <c r="CV79" s="12"/>
      <c r="CW79" s="12"/>
      <c r="CX79" s="12"/>
      <c r="CY79" s="12"/>
      <c r="CZ79" s="12"/>
    </row>
    <row r="80" spans="2:104" customFormat="1" ht="21.95" customHeight="1" x14ac:dyDescent="0.2">
      <c r="B80" s="492"/>
      <c r="C80" s="1339"/>
      <c r="D80" s="116" t="s">
        <v>344</v>
      </c>
      <c r="E80" s="116" t="s">
        <v>345</v>
      </c>
      <c r="F80" s="116" t="s">
        <v>366</v>
      </c>
      <c r="G80" s="364">
        <v>55</v>
      </c>
      <c r="H80" s="1155">
        <v>0.25</v>
      </c>
      <c r="I80" s="364">
        <v>4</v>
      </c>
      <c r="J80" s="1162">
        <v>26000</v>
      </c>
      <c r="K80" s="364">
        <f>$J80*(1+(K$6-$J$6)*0.0015)</f>
        <v>26039</v>
      </c>
      <c r="L80" s="364">
        <f t="shared" si="382"/>
        <v>26077.999999999996</v>
      </c>
      <c r="M80" s="364">
        <f t="shared" si="382"/>
        <v>26117</v>
      </c>
      <c r="N80" s="364">
        <f t="shared" si="382"/>
        <v>26156</v>
      </c>
      <c r="O80" s="364">
        <f t="shared" si="382"/>
        <v>26195</v>
      </c>
      <c r="P80" s="364">
        <f t="shared" si="382"/>
        <v>26233.999999999996</v>
      </c>
      <c r="Q80" s="364">
        <f t="shared" si="382"/>
        <v>26273</v>
      </c>
      <c r="R80" s="364">
        <f t="shared" si="382"/>
        <v>26312</v>
      </c>
      <c r="S80" s="364">
        <v>26312</v>
      </c>
      <c r="T80" s="364">
        <v>26312</v>
      </c>
      <c r="U80" s="364">
        <v>26312</v>
      </c>
      <c r="V80" s="364">
        <v>26312</v>
      </c>
      <c r="W80" s="364">
        <v>26312</v>
      </c>
      <c r="X80" s="364">
        <v>26312</v>
      </c>
      <c r="Y80" s="364">
        <v>26312</v>
      </c>
      <c r="Z80" s="364">
        <v>26312</v>
      </c>
      <c r="AA80" s="364">
        <v>26312</v>
      </c>
      <c r="AB80" s="364">
        <f t="shared" ref="AB80:AI80" si="412">AB78*1.12</f>
        <v>26654.443199999998</v>
      </c>
      <c r="AC80" s="364">
        <f t="shared" si="412"/>
        <v>27043.269120000001</v>
      </c>
      <c r="AD80" s="364">
        <f t="shared" si="412"/>
        <v>27432.00432</v>
      </c>
      <c r="AE80" s="364">
        <f t="shared" si="412"/>
        <v>27820.739520000003</v>
      </c>
      <c r="AF80" s="364">
        <f t="shared" si="412"/>
        <v>28209.565440000002</v>
      </c>
      <c r="AG80" s="364">
        <f t="shared" si="412"/>
        <v>28598.300639999998</v>
      </c>
      <c r="AH80" s="364">
        <f t="shared" si="412"/>
        <v>28987.03584</v>
      </c>
      <c r="AI80" s="364">
        <f t="shared" si="412"/>
        <v>29375.861760000003</v>
      </c>
      <c r="AJ80" s="1182">
        <f t="shared" si="356"/>
        <v>5.1936334769230822E-3</v>
      </c>
      <c r="AK80" s="1162">
        <f t="shared" si="386"/>
        <v>6500</v>
      </c>
      <c r="AL80" s="364">
        <f t="shared" si="387"/>
        <v>6509.75</v>
      </c>
      <c r="AM80" s="364">
        <f t="shared" si="388"/>
        <v>6519.4999999999991</v>
      </c>
      <c r="AN80" s="364">
        <f t="shared" si="389"/>
        <v>6529.25</v>
      </c>
      <c r="AO80" s="364">
        <f t="shared" si="390"/>
        <v>6539</v>
      </c>
      <c r="AP80" s="364">
        <f t="shared" si="391"/>
        <v>6548.75</v>
      </c>
      <c r="AQ80" s="364">
        <f t="shared" si="392"/>
        <v>6558.4999999999991</v>
      </c>
      <c r="AR80" s="364">
        <f t="shared" si="393"/>
        <v>6568.25</v>
      </c>
      <c r="AS80" s="364">
        <f t="shared" si="394"/>
        <v>6578</v>
      </c>
      <c r="AT80" s="364">
        <f t="shared" si="395"/>
        <v>6578</v>
      </c>
      <c r="AU80" s="364">
        <f t="shared" si="396"/>
        <v>6578</v>
      </c>
      <c r="AV80" s="364">
        <f t="shared" si="397"/>
        <v>6578</v>
      </c>
      <c r="AW80" s="364">
        <f t="shared" si="398"/>
        <v>6578</v>
      </c>
      <c r="AX80" s="364">
        <f t="shared" si="399"/>
        <v>6578</v>
      </c>
      <c r="AY80" s="364">
        <f t="shared" si="400"/>
        <v>6578</v>
      </c>
      <c r="AZ80" s="364">
        <f t="shared" si="401"/>
        <v>6578</v>
      </c>
      <c r="BA80" s="364">
        <f t="shared" si="402"/>
        <v>6578</v>
      </c>
      <c r="BB80" s="364">
        <f t="shared" si="403"/>
        <v>6578</v>
      </c>
      <c r="BC80" s="364">
        <f t="shared" si="404"/>
        <v>6663.6107999999995</v>
      </c>
      <c r="BD80" s="364">
        <f t="shared" si="405"/>
        <v>6760.8172800000002</v>
      </c>
      <c r="BE80" s="364">
        <f t="shared" si="406"/>
        <v>6858.00108</v>
      </c>
      <c r="BF80" s="364">
        <f t="shared" si="407"/>
        <v>6955.1848800000007</v>
      </c>
      <c r="BG80" s="364">
        <f t="shared" si="408"/>
        <v>7052.3913600000005</v>
      </c>
      <c r="BH80" s="364">
        <f t="shared" si="409"/>
        <v>7149.5751599999994</v>
      </c>
      <c r="BI80" s="364">
        <f t="shared" si="410"/>
        <v>7246.7589600000001</v>
      </c>
      <c r="BJ80" s="365">
        <f t="shared" si="411"/>
        <v>7343.9654400000009</v>
      </c>
      <c r="BK80" s="417">
        <f>((0.33*'Traffic Data'!AK80)/Speed!X161)+((0.67*'Traffic Data'!AK80)/Speed!AX161)</f>
        <v>114.88519207754152</v>
      </c>
      <c r="BL80" s="415">
        <f>((0.33*AL80)/Speed!Y161)+((0.67*AL80)/Speed!AY161)</f>
        <v>115.05818839058162</v>
      </c>
      <c r="BM80" s="415">
        <f>((0.33*AM80)/Speed!Z161)+((0.67*AM80)/Speed!AZ161)</f>
        <v>115.23119580238483</v>
      </c>
      <c r="BN80" s="415">
        <f>((0.33*AN80)/Speed!AA161)+((0.67*AN80)/Speed!BA161)</f>
        <v>115.40421445345362</v>
      </c>
      <c r="BO80" s="415">
        <f>((0.33*AO80)/Speed!AB161)+((0.67*AO80)/Speed!BB161)</f>
        <v>115.57724449597188</v>
      </c>
      <c r="BP80" s="415">
        <f>((0.33*AP80)/Speed!AC161)+((0.67*AP80)/Speed!BC161)</f>
        <v>115.75028608395249</v>
      </c>
      <c r="BQ80" s="415">
        <f>((0.33*AQ80)/Speed!AD161)+((0.67*AQ80)/Speed!BD161)</f>
        <v>115.92333937325631</v>
      </c>
      <c r="BR80" s="415">
        <f>((0.33*AR80)/Speed!AE161)+((0.67*AR80)/Speed!BE161)</f>
        <v>116.09640452161193</v>
      </c>
      <c r="BS80" s="415">
        <f>((0.33*AS80)/Speed!AF161)+((0.67*AS80)/Speed!BF161)</f>
        <v>116.26948168863476</v>
      </c>
      <c r="BT80" s="415">
        <f>((0.33*AT80)/Speed!AG161)+((0.67*AT80)/Speed!BG161)</f>
        <v>116.26948169975788</v>
      </c>
      <c r="BU80" s="415">
        <f>((0.33*AU80)/Speed!AH161)+((0.67*AU80)/Speed!BH161)</f>
        <v>116.26948169975788</v>
      </c>
      <c r="BV80" s="415">
        <f>((0.33*AV80)/Speed!AI161)+((0.67*AV80)/Speed!BI161)</f>
        <v>116.26948169975788</v>
      </c>
      <c r="BW80" s="415">
        <f>((0.33*AW80)/Speed!AJ161)+((0.67*AW80)/Speed!BJ161)</f>
        <v>116.26948169975788</v>
      </c>
      <c r="BX80" s="415">
        <f>((0.33*AX80)/Speed!AK161)+((0.67*AX80)/Speed!BK161)</f>
        <v>116.26948169975788</v>
      </c>
      <c r="BY80" s="415">
        <f>((0.33*AY80)/Speed!AL161)+((0.67*AY80)/Speed!BL161)</f>
        <v>116.26948169975788</v>
      </c>
      <c r="BZ80" s="415">
        <f>((0.33*AZ80)/Speed!AM161)+((0.67*AZ80)/Speed!BM161)</f>
        <v>116.26948169975788</v>
      </c>
      <c r="CA80" s="415">
        <f>((0.33*BA80)/Speed!AN161)+((0.67*BA80)/Speed!BN161)</f>
        <v>116.26948169975788</v>
      </c>
      <c r="CB80" s="415">
        <f>((0.33*BB80)/Speed!AO161)+((0.67*BB80)/Speed!BO161)</f>
        <v>116.26948169975788</v>
      </c>
      <c r="CC80" s="415">
        <f>((0.33*BC80)/Speed!AP161)+((0.67*BC80)/Speed!BP161)</f>
        <v>117.78974366931742</v>
      </c>
      <c r="CD80" s="415">
        <f>((0.33*BD80)/Speed!AQ161)+((0.67*BD80)/Speed!BQ161)</f>
        <v>119.51720695717174</v>
      </c>
      <c r="CE80" s="415">
        <f>((0.33*BE80)/Speed!AR161)+((0.67*BE80)/Speed!BR161)</f>
        <v>121.24581802141155</v>
      </c>
      <c r="CF80" s="415">
        <f>((0.33*BF80)/Speed!AS161)+((0.67*BF80)/Speed!BS161)</f>
        <v>122.97619220788449</v>
      </c>
      <c r="CG80" s="415">
        <f>((0.33*BG80)/Speed!AT161)+((0.67*BG80)/Speed!BT161)</f>
        <v>124.70897203305461</v>
      </c>
      <c r="CH80" s="415">
        <f>((0.33*BH80)/Speed!AU161)+((0.67*BH80)/Speed!BU161)</f>
        <v>126.4436150857433</v>
      </c>
      <c r="CI80" s="415">
        <f>((0.33*BI80)/Speed!AV161)+((0.67*BI80)/Speed!BV161)</f>
        <v>128.18082253299292</v>
      </c>
      <c r="CJ80" s="453">
        <f>((0.33*BJ80)/Speed!AW161)+((0.67*BJ80)/Speed!BW161)</f>
        <v>129.92133207577805</v>
      </c>
      <c r="CK80" s="1394"/>
      <c r="CL80" s="1394"/>
      <c r="CM80" s="1402"/>
      <c r="CN80" s="1408"/>
      <c r="CQ80" s="12"/>
      <c r="CR80" s="12"/>
      <c r="CS80" s="12"/>
      <c r="CT80" s="12"/>
      <c r="CU80" s="12"/>
      <c r="CV80" s="12"/>
      <c r="CW80" s="12"/>
      <c r="CX80" s="12"/>
      <c r="CY80" s="12"/>
      <c r="CZ80" s="12"/>
    </row>
    <row r="81" spans="2:104" customFormat="1" ht="21.95" customHeight="1" x14ac:dyDescent="0.2">
      <c r="B81" s="492"/>
      <c r="C81" s="1339"/>
      <c r="D81" s="116" t="s">
        <v>345</v>
      </c>
      <c r="E81" s="116" t="s">
        <v>323</v>
      </c>
      <c r="F81" s="116" t="s">
        <v>366</v>
      </c>
      <c r="G81" s="364">
        <v>65</v>
      </c>
      <c r="H81" s="1155">
        <v>2.8</v>
      </c>
      <c r="I81" s="364">
        <v>4</v>
      </c>
      <c r="J81" s="1162">
        <f>'Trip Gen'!W152</f>
        <v>28000</v>
      </c>
      <c r="K81" s="1151">
        <f>'Trip Gen'!X152</f>
        <v>28642.75</v>
      </c>
      <c r="L81" s="1151">
        <f>'Trip Gen'!Y152</f>
        <v>29582.9</v>
      </c>
      <c r="M81" s="1151">
        <f>'Trip Gen'!Z152</f>
        <v>30710.400000000001</v>
      </c>
      <c r="N81" s="1151">
        <f>'Trip Gen'!AA152</f>
        <v>31838.2</v>
      </c>
      <c r="O81" s="1151">
        <f>'Trip Gen'!AB152</f>
        <v>32966.100000000013</v>
      </c>
      <c r="P81" s="1151">
        <f>'Trip Gen'!AC152</f>
        <v>34093.600000000006</v>
      </c>
      <c r="Q81" s="1151">
        <f>'Trip Gen'!AD152</f>
        <v>35221.700000000004</v>
      </c>
      <c r="R81" s="1151">
        <f>'Trip Gen'!AE152</f>
        <v>36192.199999999997</v>
      </c>
      <c r="S81" s="1151">
        <f>'Trip Gen'!AF152</f>
        <v>37162.65</v>
      </c>
      <c r="T81" s="1151">
        <f>'Trip Gen'!AG152</f>
        <v>38133.15</v>
      </c>
      <c r="U81" s="1151">
        <f>'Trip Gen'!AH152</f>
        <v>39103.649999999994</v>
      </c>
      <c r="V81" s="1151">
        <f>'Trip Gen'!AI152</f>
        <v>40074.749999999993</v>
      </c>
      <c r="W81" s="1151">
        <f>'Trip Gen'!AJ152</f>
        <v>40857.599999999999</v>
      </c>
      <c r="X81" s="1151">
        <f>'Trip Gen'!AK152</f>
        <v>41500.349999999991</v>
      </c>
      <c r="Y81" s="1151">
        <f>'Trip Gen'!AL152</f>
        <v>42143.099999999991</v>
      </c>
      <c r="Z81" s="1151">
        <f>'Trip Gen'!AM152</f>
        <v>42785.849999999991</v>
      </c>
      <c r="AA81" s="1151">
        <f>'Trip Gen'!AN152</f>
        <v>43428.749999999993</v>
      </c>
      <c r="AB81" s="1151">
        <f>'Trip Gen'!AO152</f>
        <v>44071.499999999993</v>
      </c>
      <c r="AC81" s="1151">
        <f>'Trip Gen'!AP152</f>
        <v>44714.399999999994</v>
      </c>
      <c r="AD81" s="1151">
        <f>'Trip Gen'!AQ152</f>
        <v>45357.149999999994</v>
      </c>
      <c r="AE81" s="1151">
        <f>'Trip Gen'!AR152</f>
        <v>45999.899999999994</v>
      </c>
      <c r="AF81" s="1151">
        <f>'Trip Gen'!AS152</f>
        <v>46642.799999999996</v>
      </c>
      <c r="AG81" s="1151">
        <f>'Trip Gen'!AT152</f>
        <v>47285.549999999988</v>
      </c>
      <c r="AH81" s="1151">
        <f>'Trip Gen'!AU152</f>
        <v>47928.299999999996</v>
      </c>
      <c r="AI81" s="1151">
        <f>'Trip Gen'!AV152</f>
        <v>48571.199999999997</v>
      </c>
      <c r="AJ81" s="1182">
        <f t="shared" si="356"/>
        <v>2.9387428571428568E-2</v>
      </c>
      <c r="AK81" s="1162">
        <f t="shared" si="386"/>
        <v>78400</v>
      </c>
      <c r="AL81" s="364">
        <f t="shared" si="387"/>
        <v>80199.7</v>
      </c>
      <c r="AM81" s="364">
        <f t="shared" si="388"/>
        <v>82832.12</v>
      </c>
      <c r="AN81" s="364">
        <f t="shared" si="389"/>
        <v>85989.119999999995</v>
      </c>
      <c r="AO81" s="364">
        <f t="shared" si="390"/>
        <v>89146.959999999992</v>
      </c>
      <c r="AP81" s="364">
        <f t="shared" si="391"/>
        <v>92305.080000000031</v>
      </c>
      <c r="AQ81" s="364">
        <f t="shared" si="392"/>
        <v>95462.080000000016</v>
      </c>
      <c r="AR81" s="364">
        <f t="shared" si="393"/>
        <v>98620.760000000009</v>
      </c>
      <c r="AS81" s="364">
        <f t="shared" si="394"/>
        <v>101338.15999999999</v>
      </c>
      <c r="AT81" s="364">
        <f t="shared" si="395"/>
        <v>104055.42</v>
      </c>
      <c r="AU81" s="364">
        <f t="shared" si="396"/>
        <v>106772.81999999999</v>
      </c>
      <c r="AV81" s="364">
        <f t="shared" si="397"/>
        <v>109490.21999999997</v>
      </c>
      <c r="AW81" s="364">
        <f t="shared" si="398"/>
        <v>112209.29999999997</v>
      </c>
      <c r="AX81" s="364">
        <f t="shared" si="399"/>
        <v>114401.27999999998</v>
      </c>
      <c r="AY81" s="364">
        <f t="shared" si="400"/>
        <v>116200.97999999997</v>
      </c>
      <c r="AZ81" s="364">
        <f t="shared" si="401"/>
        <v>118000.67999999996</v>
      </c>
      <c r="BA81" s="364">
        <f t="shared" si="402"/>
        <v>119800.37999999996</v>
      </c>
      <c r="BB81" s="364">
        <f t="shared" si="403"/>
        <v>121600.49999999997</v>
      </c>
      <c r="BC81" s="364">
        <f t="shared" si="404"/>
        <v>123400.19999999997</v>
      </c>
      <c r="BD81" s="364">
        <f t="shared" si="405"/>
        <v>125200.31999999998</v>
      </c>
      <c r="BE81" s="364">
        <f t="shared" si="406"/>
        <v>127000.01999999997</v>
      </c>
      <c r="BF81" s="364">
        <f t="shared" si="407"/>
        <v>128799.71999999997</v>
      </c>
      <c r="BG81" s="364">
        <f t="shared" si="408"/>
        <v>130599.83999999998</v>
      </c>
      <c r="BH81" s="364">
        <f t="shared" si="409"/>
        <v>132399.53999999995</v>
      </c>
      <c r="BI81" s="364">
        <f t="shared" si="410"/>
        <v>134199.24</v>
      </c>
      <c r="BJ81" s="365">
        <f t="shared" si="411"/>
        <v>135999.35999999999</v>
      </c>
      <c r="BK81" s="417">
        <f>((0.33*'Traffic Data'!AK81)/Speed!X162)+((0.67*'Traffic Data'!AK81)/Speed!AX162)</f>
        <v>1134.9564903201647</v>
      </c>
      <c r="BL81" s="415">
        <f>((0.33*AL81)/Speed!Y162)+((0.67*AL81)/Speed!AY162)</f>
        <v>1161.1059748820933</v>
      </c>
      <c r="BM81" s="415">
        <f>((0.33*AM81)/Speed!Z162)+((0.67*AM81)/Speed!AZ162)</f>
        <v>1199.403772545772</v>
      </c>
      <c r="BN81" s="415">
        <f>((0.33*AN81)/Speed!AA162)+((0.67*AN81)/Speed!BA162)</f>
        <v>1245.4350442957102</v>
      </c>
      <c r="BO81" s="415">
        <f>((0.33*AO81)/Speed!AB162)+((0.67*AO81)/Speed!BB162)</f>
        <v>1291.6310039145421</v>
      </c>
      <c r="BP81" s="415">
        <f>((0.33*AP81)/Speed!AC162)+((0.67*AP81)/Speed!BC162)</f>
        <v>1338.041888365884</v>
      </c>
      <c r="BQ81" s="415">
        <f>((0.33*AQ81)/Speed!AD162)+((0.67*AQ81)/Speed!BD162)</f>
        <v>1384.724417954603</v>
      </c>
      <c r="BR81" s="415">
        <f>((0.33*AR81)/Speed!AE162)+((0.67*AR81)/Speed!BE162)</f>
        <v>1431.821829209704</v>
      </c>
      <c r="BS81" s="415">
        <f>((0.33*AS81)/Speed!AF162)+((0.67*AS81)/Speed!BF162)</f>
        <v>1472.7519075308414</v>
      </c>
      <c r="BT81" s="415">
        <f>((0.33*AT81)/Speed!AG162)+((0.67*AT81)/Speed!BG162)</f>
        <v>1514.1730101474132</v>
      </c>
      <c r="BU81" s="415">
        <f>((0.33*AU81)/Speed!AH162)+((0.67*AU81)/Speed!BH162)</f>
        <v>1556.2218817822077</v>
      </c>
      <c r="BV81" s="415">
        <f>((0.33*AV81)/Speed!AI162)+((0.67*AV81)/Speed!BI162)</f>
        <v>1599.0596234698478</v>
      </c>
      <c r="BW81" s="415">
        <f>((0.33*AW81)/Speed!AJ162)+((0.67*AW81)/Speed!BJ162)</f>
        <v>1642.9137188612522</v>
      </c>
      <c r="BX81" s="415">
        <f>((0.33*AX81)/Speed!AK162)+((0.67*AX81)/Speed!BK162)</f>
        <v>1679.152204164435</v>
      </c>
      <c r="BY81" s="415">
        <f>((0.33*AY81)/Speed!AL162)+((0.67*AY81)/Speed!BL162)</f>
        <v>1709.6107346445513</v>
      </c>
      <c r="BZ81" s="415">
        <f>((0.33*AZ81)/Speed!AM162)+((0.67*AZ81)/Speed!BM162)</f>
        <v>1740.8084845998801</v>
      </c>
      <c r="CA81" s="415">
        <f>((0.33*BA81)/Speed!AN162)+((0.67*BA81)/Speed!BN162)</f>
        <v>1772.8550886558439</v>
      </c>
      <c r="CB81" s="415">
        <f>((0.33*BB81)/Speed!AO162)+((0.67*BB81)/Speed!BO162)</f>
        <v>1805.8822208783208</v>
      </c>
      <c r="CC81" s="415">
        <f>((0.33*BC81)/Speed!AP162)+((0.67*BC81)/Speed!BP162)</f>
        <v>1840.0141516413366</v>
      </c>
      <c r="CD81" s="415">
        <f>((0.33*BD81)/Speed!AQ162)+((0.67*BD81)/Speed!BQ162)</f>
        <v>1875.4240953920089</v>
      </c>
      <c r="CE81" s="415">
        <f>((0.33*BE81)/Speed!AR162)+((0.67*BE81)/Speed!BR162)</f>
        <v>1912.2722167588981</v>
      </c>
      <c r="CF81" s="415">
        <f>((0.33*BF81)/Speed!AS162)+((0.67*BF81)/Speed!BS162)</f>
        <v>1950.7647999965243</v>
      </c>
      <c r="CG81" s="415">
        <f>((0.33*BG81)/Speed!AT162)+((0.67*BG81)/Speed!BT162)</f>
        <v>1991.133458899887</v>
      </c>
      <c r="CH81" s="415">
        <f>((0.33*BH81)/Speed!AU162)+((0.67*BH81)/Speed!BU162)</f>
        <v>2033.6076082429872</v>
      </c>
      <c r="CI81" s="415">
        <f>((0.33*BI81)/Speed!AV162)+((0.67*BI81)/Speed!BV162)</f>
        <v>2078.4735651406654</v>
      </c>
      <c r="CJ81" s="453">
        <f>((0.33*BJ81)/Speed!AW162)+((0.67*BJ81)/Speed!BW162)</f>
        <v>2126.0517218603254</v>
      </c>
      <c r="CK81" s="1394"/>
      <c r="CL81" s="1394"/>
      <c r="CM81" s="1402"/>
      <c r="CN81" s="1408"/>
      <c r="CQ81" s="12"/>
      <c r="CR81" s="12"/>
      <c r="CS81" s="12"/>
      <c r="CT81" s="12"/>
      <c r="CU81" s="12"/>
      <c r="CV81" s="12"/>
      <c r="CW81" s="12"/>
      <c r="CX81" s="12"/>
      <c r="CY81" s="12"/>
      <c r="CZ81" s="12"/>
    </row>
    <row r="82" spans="2:104" customFormat="1" ht="21.95" customHeight="1" x14ac:dyDescent="0.2">
      <c r="B82" s="492"/>
      <c r="C82" s="1339"/>
      <c r="D82" s="116" t="s">
        <v>323</v>
      </c>
      <c r="E82" s="116" t="s">
        <v>347</v>
      </c>
      <c r="F82" s="116" t="s">
        <v>365</v>
      </c>
      <c r="G82" s="364">
        <v>65</v>
      </c>
      <c r="H82" s="1155">
        <v>0.5</v>
      </c>
      <c r="I82" s="364">
        <v>4</v>
      </c>
      <c r="J82" s="1162">
        <f>'Trip Gen'!W153</f>
        <v>28000</v>
      </c>
      <c r="K82" s="1151">
        <f>'Trip Gen'!X153</f>
        <v>28618.7</v>
      </c>
      <c r="L82" s="1151">
        <f>'Trip Gen'!Y153</f>
        <v>29534.75</v>
      </c>
      <c r="M82" s="1151">
        <f>'Trip Gen'!Z153</f>
        <v>30697.3</v>
      </c>
      <c r="N82" s="1151">
        <f>'Trip Gen'!AA153</f>
        <v>31860.200000000004</v>
      </c>
      <c r="O82" s="1151">
        <f>'Trip Gen'!AB153</f>
        <v>33023.03</v>
      </c>
      <c r="P82" s="1151">
        <f>'Trip Gen'!AC153</f>
        <v>34185.579999999994</v>
      </c>
      <c r="Q82" s="1151">
        <f>'Trip Gen'!AD153</f>
        <v>35348.759999999995</v>
      </c>
      <c r="R82" s="1151">
        <f>'Trip Gen'!AE153</f>
        <v>36382.36</v>
      </c>
      <c r="S82" s="1151">
        <f>'Trip Gen'!AF153</f>
        <v>37416.06</v>
      </c>
      <c r="T82" s="1151">
        <f>'Trip Gen'!AG153</f>
        <v>38449.659999999996</v>
      </c>
      <c r="U82" s="1151">
        <f>'Trip Gen'!AH153</f>
        <v>39483.26</v>
      </c>
      <c r="V82" s="1151">
        <f>'Trip Gen'!AI153</f>
        <v>40517.339999999997</v>
      </c>
      <c r="W82" s="1151">
        <f>'Trip Gen'!AJ153</f>
        <v>41304.159999999996</v>
      </c>
      <c r="X82" s="1151">
        <f>'Trip Gen'!AK153</f>
        <v>41922.86</v>
      </c>
      <c r="Y82" s="1151">
        <f>'Trip Gen'!AL153</f>
        <v>42541.560000000005</v>
      </c>
      <c r="Z82" s="1151">
        <f>'Trip Gen'!AM153</f>
        <v>43160.260000000009</v>
      </c>
      <c r="AA82" s="1151">
        <f>'Trip Gen'!AN153</f>
        <v>43779.060000000005</v>
      </c>
      <c r="AB82" s="1151">
        <f>'Trip Gen'!AO153</f>
        <v>44397.759999999995</v>
      </c>
      <c r="AC82" s="1151">
        <f>'Trip Gen'!AP153</f>
        <v>45016.560000000005</v>
      </c>
      <c r="AD82" s="1151">
        <f>'Trip Gen'!AQ153</f>
        <v>45635.260000000009</v>
      </c>
      <c r="AE82" s="1151">
        <f>'Trip Gen'!AR153</f>
        <v>46253.960000000006</v>
      </c>
      <c r="AF82" s="1151">
        <f>'Trip Gen'!AS153</f>
        <v>46872.76</v>
      </c>
      <c r="AG82" s="1151">
        <f>'Trip Gen'!AT153</f>
        <v>47491.460000000014</v>
      </c>
      <c r="AH82" s="1151">
        <f>'Trip Gen'!AU153</f>
        <v>48110.160000000011</v>
      </c>
      <c r="AI82" s="1151">
        <f>'Trip Gen'!AV153</f>
        <v>48728.960000000006</v>
      </c>
      <c r="AJ82" s="1182">
        <f t="shared" si="356"/>
        <v>2.9612800000000009E-2</v>
      </c>
      <c r="AK82" s="1162">
        <f t="shared" si="386"/>
        <v>14000</v>
      </c>
      <c r="AL82" s="364">
        <f t="shared" si="387"/>
        <v>14309.35</v>
      </c>
      <c r="AM82" s="364">
        <f t="shared" si="388"/>
        <v>14767.375</v>
      </c>
      <c r="AN82" s="364">
        <f t="shared" si="389"/>
        <v>15348.65</v>
      </c>
      <c r="AO82" s="364">
        <f t="shared" si="390"/>
        <v>15930.100000000002</v>
      </c>
      <c r="AP82" s="364">
        <f t="shared" si="391"/>
        <v>16511.514999999999</v>
      </c>
      <c r="AQ82" s="364">
        <f t="shared" si="392"/>
        <v>17092.789999999997</v>
      </c>
      <c r="AR82" s="364">
        <f t="shared" si="393"/>
        <v>17674.379999999997</v>
      </c>
      <c r="AS82" s="364">
        <f t="shared" si="394"/>
        <v>18191.18</v>
      </c>
      <c r="AT82" s="364">
        <f t="shared" si="395"/>
        <v>18708.03</v>
      </c>
      <c r="AU82" s="364">
        <f t="shared" si="396"/>
        <v>19224.829999999998</v>
      </c>
      <c r="AV82" s="364">
        <f t="shared" si="397"/>
        <v>19741.63</v>
      </c>
      <c r="AW82" s="364">
        <f t="shared" si="398"/>
        <v>20258.669999999998</v>
      </c>
      <c r="AX82" s="364">
        <f t="shared" si="399"/>
        <v>20652.079999999998</v>
      </c>
      <c r="AY82" s="364">
        <f t="shared" si="400"/>
        <v>20961.43</v>
      </c>
      <c r="AZ82" s="364">
        <f t="shared" si="401"/>
        <v>21270.780000000002</v>
      </c>
      <c r="BA82" s="364">
        <f t="shared" si="402"/>
        <v>21580.130000000005</v>
      </c>
      <c r="BB82" s="364">
        <f t="shared" si="403"/>
        <v>21889.530000000002</v>
      </c>
      <c r="BC82" s="364">
        <f t="shared" si="404"/>
        <v>22198.879999999997</v>
      </c>
      <c r="BD82" s="364">
        <f t="shared" si="405"/>
        <v>22508.280000000002</v>
      </c>
      <c r="BE82" s="364">
        <f t="shared" si="406"/>
        <v>22817.630000000005</v>
      </c>
      <c r="BF82" s="364">
        <f t="shared" si="407"/>
        <v>23126.980000000003</v>
      </c>
      <c r="BG82" s="364">
        <f t="shared" si="408"/>
        <v>23436.38</v>
      </c>
      <c r="BH82" s="364">
        <f t="shared" si="409"/>
        <v>23745.730000000007</v>
      </c>
      <c r="BI82" s="364">
        <f t="shared" si="410"/>
        <v>24055.080000000005</v>
      </c>
      <c r="BJ82" s="365">
        <f t="shared" si="411"/>
        <v>24364.480000000003</v>
      </c>
      <c r="BK82" s="417">
        <f>((0.33*'Traffic Data'!AK82)/Speed!X163)+((0.67*'Traffic Data'!AK82)/Speed!AX163)</f>
        <v>202.67080184288653</v>
      </c>
      <c r="BL82" s="415">
        <f>((0.33*AL82)/Speed!Y163)+((0.67*AL82)/Speed!AY163)</f>
        <v>207.16555173290146</v>
      </c>
      <c r="BM82" s="415">
        <f>((0.33*AM82)/Speed!Z163)+((0.67*AM82)/Speed!AZ163)</f>
        <v>213.82869466595818</v>
      </c>
      <c r="BN82" s="415">
        <f>((0.33*AN82)/Speed!AA163)+((0.67*AN82)/Speed!BA163)</f>
        <v>222.30347252646754</v>
      </c>
      <c r="BO82" s="415">
        <f>((0.33*AO82)/Speed!AB163)+((0.67*AO82)/Speed!BB163)</f>
        <v>230.80964764896754</v>
      </c>
      <c r="BP82" s="415">
        <f>((0.33*AP82)/Speed!AC163)+((0.67*AP82)/Speed!BC163)</f>
        <v>239.35559718109712</v>
      </c>
      <c r="BQ82" s="415">
        <f>((0.33*AQ82)/Speed!AD163)+((0.67*AQ82)/Speed!BD163)</f>
        <v>247.95506096363607</v>
      </c>
      <c r="BR82" s="415">
        <f>((0.33*AR82)/Speed!AE163)+((0.67*AR82)/Speed!BE163)</f>
        <v>256.63507972682339</v>
      </c>
      <c r="BS82" s="415">
        <f>((0.33*AS82)/Speed!AF163)+((0.67*AS82)/Speed!BF163)</f>
        <v>264.43317323622671</v>
      </c>
      <c r="BT82" s="415">
        <f>((0.33*AT82)/Speed!AG163)+((0.67*AT82)/Speed!BG163)</f>
        <v>272.33680752023128</v>
      </c>
      <c r="BU82" s="415">
        <f>((0.33*AU82)/Speed!AH163)+((0.67*AU82)/Speed!BH163)</f>
        <v>280.37446400426154</v>
      </c>
      <c r="BV82" s="415">
        <f>((0.33*AV82)/Speed!AI163)+((0.67*AV82)/Speed!BI163)</f>
        <v>288.58432102176766</v>
      </c>
      <c r="BW82" s="415">
        <f>((0.33*AW82)/Speed!AJ163)+((0.67*AW82)/Speed!BJ163)</f>
        <v>297.01673714218327</v>
      </c>
      <c r="BX82" s="415">
        <f>((0.33*AX82)/Speed!AK163)+((0.67*AX82)/Speed!BK163)</f>
        <v>303.61429090379204</v>
      </c>
      <c r="BY82" s="415">
        <f>((0.33*AY82)/Speed!AL163)+((0.67*AY82)/Speed!BL163)</f>
        <v>308.93369709733469</v>
      </c>
      <c r="BZ82" s="415">
        <f>((0.33*AZ82)/Speed!AM163)+((0.67*AZ82)/Speed!BM163)</f>
        <v>314.3870692081901</v>
      </c>
      <c r="CA82" s="415">
        <f>((0.33*BA82)/Speed!AN163)+((0.67*BA82)/Speed!BN163)</f>
        <v>319.99328538096046</v>
      </c>
      <c r="CB82" s="415">
        <f>((0.33*BB82)/Speed!AO163)+((0.67*BB82)/Speed!BO163)</f>
        <v>325.77449897607886</v>
      </c>
      <c r="CC82" s="415">
        <f>((0.33*BC82)/Speed!AP163)+((0.67*BC82)/Speed!BP163)</f>
        <v>331.75262431957071</v>
      </c>
      <c r="CD82" s="415">
        <f>((0.33*BD82)/Speed!AQ163)+((0.67*BD82)/Speed!BQ163)</f>
        <v>337.95622845455887</v>
      </c>
      <c r="CE82" s="415">
        <f>((0.33*BE82)/Speed!AR163)+((0.67*BE82)/Speed!BR163)</f>
        <v>344.41307484622723</v>
      </c>
      <c r="CF82" s="415">
        <f>((0.33*BF82)/Speed!AS163)+((0.67*BF82)/Speed!BS163)</f>
        <v>351.15737005397102</v>
      </c>
      <c r="CG82" s="415">
        <f>((0.33*BG82)/Speed!AT163)+((0.67*BG82)/Speed!BT163)</f>
        <v>358.2273127323266</v>
      </c>
      <c r="CH82" s="415">
        <f>((0.33*BH82)/Speed!AU163)+((0.67*BH82)/Speed!BU163)</f>
        <v>365.66183227517456</v>
      </c>
      <c r="CI82" s="415">
        <f>((0.33*BI82)/Speed!AV163)+((0.67*BI82)/Speed!BV163)</f>
        <v>373.50784134723625</v>
      </c>
      <c r="CJ82" s="453">
        <f>((0.33*BJ82)/Speed!AW163)+((0.67*BJ82)/Speed!BW163)</f>
        <v>381.81754971658847</v>
      </c>
      <c r="CK82" s="1394"/>
      <c r="CL82" s="1394"/>
      <c r="CM82" s="1402"/>
      <c r="CN82" s="1408"/>
      <c r="CQ82" s="12"/>
      <c r="CR82" s="12"/>
      <c r="CS82" s="12"/>
      <c r="CT82" s="12"/>
      <c r="CU82" s="12"/>
      <c r="CV82" s="12"/>
      <c r="CW82" s="12"/>
      <c r="CX82" s="12"/>
      <c r="CY82" s="12"/>
      <c r="CZ82" s="12"/>
    </row>
    <row r="83" spans="2:104" customFormat="1" ht="21.95" customHeight="1" x14ac:dyDescent="0.2">
      <c r="B83" s="492"/>
      <c r="C83" s="1339"/>
      <c r="D83" s="116" t="s">
        <v>347</v>
      </c>
      <c r="E83" s="116" t="s">
        <v>348</v>
      </c>
      <c r="F83" s="116" t="s">
        <v>364</v>
      </c>
      <c r="G83" s="364">
        <v>55</v>
      </c>
      <c r="H83" s="1155">
        <v>0.35</v>
      </c>
      <c r="I83" s="364">
        <v>4</v>
      </c>
      <c r="J83" s="1162">
        <f>'Trip Gen'!W154</f>
        <v>28000</v>
      </c>
      <c r="K83" s="1151">
        <f>'Trip Gen'!X154</f>
        <v>28618.7</v>
      </c>
      <c r="L83" s="1151">
        <f>'Trip Gen'!Y154</f>
        <v>29534.75</v>
      </c>
      <c r="M83" s="1151">
        <f>'Trip Gen'!Z154</f>
        <v>30697.3</v>
      </c>
      <c r="N83" s="1151">
        <f>'Trip Gen'!AA154</f>
        <v>31860.200000000004</v>
      </c>
      <c r="O83" s="1151">
        <f>'Trip Gen'!AB154</f>
        <v>33023.03</v>
      </c>
      <c r="P83" s="1151">
        <f>'Trip Gen'!AC154</f>
        <v>34185.579999999994</v>
      </c>
      <c r="Q83" s="1151">
        <f>'Trip Gen'!AD154</f>
        <v>35348.759999999995</v>
      </c>
      <c r="R83" s="1151">
        <f>'Trip Gen'!AE154</f>
        <v>36382.36</v>
      </c>
      <c r="S83" s="1151">
        <f>'Trip Gen'!AF154</f>
        <v>37416.06</v>
      </c>
      <c r="T83" s="1151">
        <f>'Trip Gen'!AG154</f>
        <v>38449.659999999996</v>
      </c>
      <c r="U83" s="1151">
        <f>'Trip Gen'!AH154</f>
        <v>39483.26</v>
      </c>
      <c r="V83" s="1151">
        <f>'Trip Gen'!AI154</f>
        <v>40517.339999999997</v>
      </c>
      <c r="W83" s="1151">
        <f>'Trip Gen'!AJ154</f>
        <v>41304.159999999996</v>
      </c>
      <c r="X83" s="1151">
        <f>'Trip Gen'!AK154</f>
        <v>41922.86</v>
      </c>
      <c r="Y83" s="1151">
        <f>'Trip Gen'!AL154</f>
        <v>42541.560000000005</v>
      </c>
      <c r="Z83" s="1151">
        <f>'Trip Gen'!AM154</f>
        <v>43160.260000000009</v>
      </c>
      <c r="AA83" s="1151">
        <f>'Trip Gen'!AN154</f>
        <v>43779.060000000005</v>
      </c>
      <c r="AB83" s="1151">
        <f>'Trip Gen'!AO154</f>
        <v>44397.759999999995</v>
      </c>
      <c r="AC83" s="1151">
        <f>'Trip Gen'!AP154</f>
        <v>45016.560000000005</v>
      </c>
      <c r="AD83" s="1151">
        <f>'Trip Gen'!AQ154</f>
        <v>45635.260000000009</v>
      </c>
      <c r="AE83" s="1151">
        <f>'Trip Gen'!AR154</f>
        <v>46253.960000000006</v>
      </c>
      <c r="AF83" s="1151">
        <f>'Trip Gen'!AS154</f>
        <v>46872.76</v>
      </c>
      <c r="AG83" s="1151">
        <f>'Trip Gen'!AT154</f>
        <v>47491.460000000014</v>
      </c>
      <c r="AH83" s="1151">
        <f>'Trip Gen'!AU154</f>
        <v>48110.160000000011</v>
      </c>
      <c r="AI83" s="1151">
        <f>'Trip Gen'!AV154</f>
        <v>48728.960000000006</v>
      </c>
      <c r="AJ83" s="1182">
        <f t="shared" si="356"/>
        <v>2.9612800000000009E-2</v>
      </c>
      <c r="AK83" s="1162">
        <f t="shared" si="386"/>
        <v>9800</v>
      </c>
      <c r="AL83" s="364">
        <f t="shared" si="387"/>
        <v>10016.545</v>
      </c>
      <c r="AM83" s="364">
        <f t="shared" si="388"/>
        <v>10337.162499999999</v>
      </c>
      <c r="AN83" s="364">
        <f t="shared" si="389"/>
        <v>10744.054999999998</v>
      </c>
      <c r="AO83" s="364">
        <f t="shared" si="390"/>
        <v>11151.070000000002</v>
      </c>
      <c r="AP83" s="364">
        <f t="shared" si="391"/>
        <v>11558.0605</v>
      </c>
      <c r="AQ83" s="364">
        <f t="shared" si="392"/>
        <v>11964.952999999998</v>
      </c>
      <c r="AR83" s="364">
        <f t="shared" si="393"/>
        <v>12372.065999999997</v>
      </c>
      <c r="AS83" s="364">
        <f t="shared" si="394"/>
        <v>12733.825999999999</v>
      </c>
      <c r="AT83" s="364">
        <f t="shared" si="395"/>
        <v>13095.620999999999</v>
      </c>
      <c r="AU83" s="364">
        <f t="shared" si="396"/>
        <v>13457.380999999998</v>
      </c>
      <c r="AV83" s="364">
        <f t="shared" si="397"/>
        <v>13819.141</v>
      </c>
      <c r="AW83" s="364">
        <f t="shared" si="398"/>
        <v>14181.068999999998</v>
      </c>
      <c r="AX83" s="364">
        <f t="shared" si="399"/>
        <v>14456.455999999998</v>
      </c>
      <c r="AY83" s="364">
        <f t="shared" si="400"/>
        <v>14673.000999999998</v>
      </c>
      <c r="AZ83" s="364">
        <f t="shared" si="401"/>
        <v>14889.546</v>
      </c>
      <c r="BA83" s="364">
        <f t="shared" si="402"/>
        <v>15106.091000000002</v>
      </c>
      <c r="BB83" s="364">
        <f t="shared" si="403"/>
        <v>15322.671</v>
      </c>
      <c r="BC83" s="364">
        <f t="shared" si="404"/>
        <v>15539.215999999997</v>
      </c>
      <c r="BD83" s="364">
        <f t="shared" si="405"/>
        <v>15755.796</v>
      </c>
      <c r="BE83" s="364">
        <f t="shared" si="406"/>
        <v>15972.341000000002</v>
      </c>
      <c r="BF83" s="364">
        <f t="shared" si="407"/>
        <v>16188.886</v>
      </c>
      <c r="BG83" s="364">
        <f t="shared" si="408"/>
        <v>16405.466</v>
      </c>
      <c r="BH83" s="364">
        <f t="shared" si="409"/>
        <v>16622.011000000002</v>
      </c>
      <c r="BI83" s="364">
        <f t="shared" si="410"/>
        <v>16838.556000000004</v>
      </c>
      <c r="BJ83" s="365">
        <f t="shared" si="411"/>
        <v>17055.136000000002</v>
      </c>
      <c r="BK83" s="417">
        <f>((0.33*'Traffic Data'!AK83)/Speed!X164)+((0.67*'Traffic Data'!AK83)/Speed!AX164)</f>
        <v>165.90474437818594</v>
      </c>
      <c r="BL83" s="415">
        <f>((0.33*AL83)/Speed!Y164)+((0.67*AL83)/Speed!AY164)</f>
        <v>169.59164478733635</v>
      </c>
      <c r="BM83" s="415">
        <f>((0.33*AM83)/Speed!Z164)+((0.67*AM83)/Speed!AZ164)</f>
        <v>175.06094882275545</v>
      </c>
      <c r="BN83" s="415">
        <f>((0.33*AN83)/Speed!AA164)+((0.67*AN83)/Speed!BA164)</f>
        <v>182.02579505556247</v>
      </c>
      <c r="BO83" s="415">
        <f>((0.33*AO83)/Speed!AB164)+((0.67*AO83)/Speed!BB164)</f>
        <v>189.02956147737206</v>
      </c>
      <c r="BP83" s="415">
        <f>((0.33*AP83)/Speed!AC164)+((0.67*AP83)/Speed!BC164)</f>
        <v>196.08433423416182</v>
      </c>
      <c r="BQ83" s="415">
        <f>((0.33*AQ83)/Speed!AD164)+((0.67*AQ83)/Speed!BD164)</f>
        <v>203.20834913413125</v>
      </c>
      <c r="BR83" s="415">
        <f>((0.33*AR83)/Speed!AE164)+((0.67*AR83)/Speed!BE164)</f>
        <v>210.43310868476033</v>
      </c>
      <c r="BS83" s="415">
        <f>((0.33*AS83)/Speed!AF164)+((0.67*AS83)/Speed!BF164)</f>
        <v>216.96157995894225</v>
      </c>
      <c r="BT83" s="415">
        <f>((0.33*AT83)/Speed!AG164)+((0.67*AT83)/Speed!BG164)</f>
        <v>223.62444854539049</v>
      </c>
      <c r="BU83" s="415">
        <f>((0.33*AU83)/Speed!AH164)+((0.67*AU83)/Speed!BH164)</f>
        <v>230.45873557448812</v>
      </c>
      <c r="BV83" s="415">
        <f>((0.33*AV83)/Speed!AI164)+((0.67*AV83)/Speed!BI164)</f>
        <v>237.51284637319719</v>
      </c>
      <c r="BW83" s="415">
        <f>((0.33*AW83)/Speed!AJ164)+((0.67*AW83)/Speed!BJ164)</f>
        <v>244.84947538563119</v>
      </c>
      <c r="BX83" s="415">
        <f>((0.33*AX83)/Speed!AK164)+((0.67*AX83)/Speed!BK164)</f>
        <v>250.6634303571231</v>
      </c>
      <c r="BY83" s="415">
        <f>((0.33*AY83)/Speed!AL164)+((0.67*AY83)/Speed!BL164)</f>
        <v>255.40305141478785</v>
      </c>
      <c r="BZ83" s="415">
        <f>((0.33*AZ83)/Speed!AM164)+((0.67*AZ83)/Speed!BM164)</f>
        <v>260.3136875811096</v>
      </c>
      <c r="CA83" s="415">
        <f>((0.33*BA83)/Speed!AN164)+((0.67*BA83)/Speed!BN164)</f>
        <v>265.41943788078873</v>
      </c>
      <c r="CB83" s="415">
        <f>((0.33*BB83)/Speed!AO164)+((0.67*BB83)/Speed!BO164)</f>
        <v>270.74825085180174</v>
      </c>
      <c r="CC83" s="415">
        <f>((0.33*BC83)/Speed!AP164)+((0.67*BC83)/Speed!BP164)</f>
        <v>276.32876434884645</v>
      </c>
      <c r="CD83" s="415">
        <f>((0.33*BD83)/Speed!AQ164)+((0.67*BD83)/Speed!BQ164)</f>
        <v>282.1967828545238</v>
      </c>
      <c r="CE83" s="415">
        <f>((0.33*BE83)/Speed!AR164)+((0.67*BE83)/Speed!BR164)</f>
        <v>288.38841098215823</v>
      </c>
      <c r="CF83" s="415">
        <f>((0.33*BF83)/Speed!AS164)+((0.67*BF83)/Speed!BS164)</f>
        <v>294.94698386335756</v>
      </c>
      <c r="CG83" s="415">
        <f>((0.33*BG83)/Speed!AT164)+((0.67*BG83)/Speed!BT164)</f>
        <v>301.92093276610495</v>
      </c>
      <c r="CH83" s="415">
        <f>((0.33*BH83)/Speed!AU164)+((0.67*BH83)/Speed!BU164)</f>
        <v>309.3606162464265</v>
      </c>
      <c r="CI83" s="415">
        <f>((0.33*BI83)/Speed!AV164)+((0.67*BI83)/Speed!BV164)</f>
        <v>317.32558950164906</v>
      </c>
      <c r="CJ83" s="453">
        <f>((0.33*BJ83)/Speed!AW164)+((0.67*BJ83)/Speed!BW164)</f>
        <v>325.88216978264347</v>
      </c>
      <c r="CK83" s="1394"/>
      <c r="CL83" s="1394"/>
      <c r="CM83" s="1402"/>
      <c r="CN83" s="1408"/>
      <c r="CQ83" s="12"/>
      <c r="CR83" s="12"/>
      <c r="CS83" s="12"/>
      <c r="CT83" s="12"/>
      <c r="CU83" s="12"/>
      <c r="CV83" s="12"/>
      <c r="CW83" s="12"/>
      <c r="CX83" s="12"/>
      <c r="CY83" s="12"/>
      <c r="CZ83" s="12"/>
    </row>
    <row r="84" spans="2:104" customFormat="1" ht="21.95" customHeight="1" x14ac:dyDescent="0.2">
      <c r="B84" s="492"/>
      <c r="C84" s="1353"/>
      <c r="D84" s="254" t="s">
        <v>348</v>
      </c>
      <c r="E84" s="254" t="s">
        <v>349</v>
      </c>
      <c r="F84" s="254" t="s">
        <v>363</v>
      </c>
      <c r="G84" s="1157">
        <v>55</v>
      </c>
      <c r="H84" s="1158">
        <v>0.5</v>
      </c>
      <c r="I84" s="1157">
        <v>4</v>
      </c>
      <c r="J84" s="1163">
        <f>'Trip Gen'!W155</f>
        <v>32000</v>
      </c>
      <c r="K84" s="1156">
        <f>'Trip Gen'!X155</f>
        <v>32764.35</v>
      </c>
      <c r="L84" s="1156">
        <f>'Trip Gen'!Y155</f>
        <v>33826.1</v>
      </c>
      <c r="M84" s="1156">
        <f>'Trip Gen'!Z155</f>
        <v>35236.199999999997</v>
      </c>
      <c r="N84" s="1156">
        <f>'Trip Gen'!AA155</f>
        <v>36646.700000000004</v>
      </c>
      <c r="O84" s="1156">
        <f>'Trip Gen'!AB155</f>
        <v>38057.300000000003</v>
      </c>
      <c r="P84" s="1156">
        <f>'Trip Gen'!AC155</f>
        <v>39467.4</v>
      </c>
      <c r="Q84" s="1156">
        <f>'Trip Gen'!AD155</f>
        <v>40878.30000000001</v>
      </c>
      <c r="R84" s="1156">
        <f>'Trip Gen'!AE155</f>
        <v>42224.9</v>
      </c>
      <c r="S84" s="1156">
        <f>'Trip Gen'!AF155</f>
        <v>43571.549999999996</v>
      </c>
      <c r="T84" s="1156">
        <f>'Trip Gen'!AG155</f>
        <v>44918.149999999994</v>
      </c>
      <c r="U84" s="1156">
        <f>'Trip Gen'!AH155</f>
        <v>46264.75</v>
      </c>
      <c r="V84" s="1156">
        <f>'Trip Gen'!AI155</f>
        <v>47612.15</v>
      </c>
      <c r="W84" s="1156">
        <f>'Trip Gen'!AJ155</f>
        <v>48610</v>
      </c>
      <c r="X84" s="1156">
        <f>'Trip Gen'!AK155</f>
        <v>49374.35</v>
      </c>
      <c r="Y84" s="1156">
        <f>'Trip Gen'!AL155</f>
        <v>50138.7</v>
      </c>
      <c r="Z84" s="1156">
        <f>'Trip Gen'!AM155</f>
        <v>50903.049999999996</v>
      </c>
      <c r="AA84" s="1156">
        <f>'Trip Gen'!AN155</f>
        <v>51667.549999999996</v>
      </c>
      <c r="AB84" s="1156">
        <f>'Trip Gen'!AO155</f>
        <v>52431.899999999994</v>
      </c>
      <c r="AC84" s="1156">
        <f>'Trip Gen'!AP155</f>
        <v>53196.4</v>
      </c>
      <c r="AD84" s="1156">
        <f>'Trip Gen'!AQ155</f>
        <v>53960.75</v>
      </c>
      <c r="AE84" s="1156">
        <f>'Trip Gen'!AR155</f>
        <v>54725.1</v>
      </c>
      <c r="AF84" s="1156">
        <f>'Trip Gen'!AS155</f>
        <v>55489.599999999999</v>
      </c>
      <c r="AG84" s="1156">
        <f>'Trip Gen'!AT155</f>
        <v>56253.95</v>
      </c>
      <c r="AH84" s="1156">
        <f>'Trip Gen'!AU155</f>
        <v>57018.299999999996</v>
      </c>
      <c r="AI84" s="1156">
        <f>'Trip Gen'!AV155</f>
        <v>57782.799999999996</v>
      </c>
      <c r="AJ84" s="1183">
        <f t="shared" si="356"/>
        <v>3.2228499999999993E-2</v>
      </c>
      <c r="AK84" s="327">
        <f>H84*J84</f>
        <v>16000</v>
      </c>
      <c r="AL84" s="262">
        <f t="shared" si="387"/>
        <v>16382.174999999999</v>
      </c>
      <c r="AM84" s="262">
        <f t="shared" si="388"/>
        <v>16913.05</v>
      </c>
      <c r="AN84" s="262">
        <f t="shared" si="389"/>
        <v>17618.099999999999</v>
      </c>
      <c r="AO84" s="262">
        <f t="shared" si="390"/>
        <v>18323.350000000002</v>
      </c>
      <c r="AP84" s="262">
        <f t="shared" si="391"/>
        <v>19028.650000000001</v>
      </c>
      <c r="AQ84" s="262">
        <f t="shared" si="392"/>
        <v>19733.7</v>
      </c>
      <c r="AR84" s="262">
        <f t="shared" si="393"/>
        <v>20439.150000000005</v>
      </c>
      <c r="AS84" s="262">
        <f t="shared" si="394"/>
        <v>21112.45</v>
      </c>
      <c r="AT84" s="262">
        <f t="shared" si="395"/>
        <v>21785.774999999998</v>
      </c>
      <c r="AU84" s="262">
        <f t="shared" si="396"/>
        <v>22459.074999999997</v>
      </c>
      <c r="AV84" s="262">
        <f t="shared" si="397"/>
        <v>23132.375</v>
      </c>
      <c r="AW84" s="262">
        <f t="shared" si="398"/>
        <v>23806.075000000001</v>
      </c>
      <c r="AX84" s="262">
        <f t="shared" si="399"/>
        <v>24305</v>
      </c>
      <c r="AY84" s="262">
        <f t="shared" si="400"/>
        <v>24687.174999999999</v>
      </c>
      <c r="AZ84" s="262">
        <f t="shared" si="401"/>
        <v>25069.35</v>
      </c>
      <c r="BA84" s="262">
        <f t="shared" si="402"/>
        <v>25451.524999999998</v>
      </c>
      <c r="BB84" s="262">
        <f t="shared" si="403"/>
        <v>25833.774999999998</v>
      </c>
      <c r="BC84" s="262">
        <f t="shared" si="404"/>
        <v>26215.949999999997</v>
      </c>
      <c r="BD84" s="262">
        <f t="shared" si="405"/>
        <v>26598.2</v>
      </c>
      <c r="BE84" s="262">
        <f t="shared" si="406"/>
        <v>26980.375</v>
      </c>
      <c r="BF84" s="262">
        <f t="shared" si="407"/>
        <v>27362.55</v>
      </c>
      <c r="BG84" s="262">
        <f t="shared" si="408"/>
        <v>27744.799999999999</v>
      </c>
      <c r="BH84" s="262">
        <f t="shared" si="409"/>
        <v>28126.974999999999</v>
      </c>
      <c r="BI84" s="262">
        <f t="shared" si="410"/>
        <v>28509.149999999998</v>
      </c>
      <c r="BJ84" s="355">
        <f>H84*AI84</f>
        <v>28891.399999999998</v>
      </c>
      <c r="BK84" s="417">
        <f>((0.33*'Traffic Data'!AK84)/Speed!X165)+((0.67*'Traffic Data'!AK84)/Speed!AX165)</f>
        <v>271.24951559126072</v>
      </c>
      <c r="BL84" s="415">
        <f>((0.33*AL84)/Speed!Y165)+((0.67*AL84)/Speed!AY165)</f>
        <v>277.87084127484479</v>
      </c>
      <c r="BM84" s="415">
        <f>((0.33*AM84)/Speed!Z165)+((0.67*AM84)/Speed!AZ165)</f>
        <v>287.13784747219387</v>
      </c>
      <c r="BN84" s="415">
        <f>((0.33*AN84)/Speed!AA165)+((0.67*AN84)/Speed!BA165)</f>
        <v>299.61266631864294</v>
      </c>
      <c r="BO84" s="415">
        <f>((0.33*AO84)/Speed!AB165)+((0.67*AO84)/Speed!BB165)</f>
        <v>312.35901720052664</v>
      </c>
      <c r="BP84" s="415">
        <f>((0.33*AP84)/Speed!AC165)+((0.67*AP84)/Speed!BC165)</f>
        <v>325.48761749409186</v>
      </c>
      <c r="BQ84" s="415">
        <f>((0.33*AQ84)/Speed!AD165)+((0.67*AQ84)/Speed!BD165)</f>
        <v>339.14665818903677</v>
      </c>
      <c r="BR84" s="415">
        <f>((0.33*AR84)/Speed!AE165)+((0.67*AR84)/Speed!BE165)</f>
        <v>353.55599113224503</v>
      </c>
      <c r="BS84" s="415">
        <f>((0.33*AS84)/Speed!AF165)+((0.67*AS84)/Speed!BF165)</f>
        <v>368.25363022334801</v>
      </c>
      <c r="BT84" s="415">
        <f>((0.33*AT84)/Speed!AG165)+((0.67*AT84)/Speed!BG165)</f>
        <v>384.19239323013846</v>
      </c>
      <c r="BU84" s="415">
        <f>((0.33*AU84)/Speed!AH165)+((0.67*AU84)/Speed!BH165)</f>
        <v>401.7755198331264</v>
      </c>
      <c r="BV84" s="415">
        <f>((0.33*AV84)/Speed!AI165)+((0.67*AV84)/Speed!BI165)</f>
        <v>421.52121859340048</v>
      </c>
      <c r="BW84" s="415">
        <f>((0.33*AW84)/Speed!AJ165)+((0.67*AW84)/Speed!BJ165)</f>
        <v>444.10159448845388</v>
      </c>
      <c r="BX84" s="415">
        <f>((0.33*AX84)/Speed!AK165)+((0.67*AX84)/Speed!BK165)</f>
        <v>463.12584228356161</v>
      </c>
      <c r="BY84" s="415">
        <f>((0.33*AY84)/Speed!AL165)+((0.67*AY84)/Speed!BL165)</f>
        <v>479.30458479015806</v>
      </c>
      <c r="BZ84" s="415">
        <f>((0.33*AZ84)/Speed!AM165)+((0.67*AZ84)/Speed!BM165)</f>
        <v>497.10914401223062</v>
      </c>
      <c r="CA84" s="415">
        <f>((0.33*BA84)/Speed!AN165)+((0.67*BA84)/Speed!BN165)</f>
        <v>516.7805397211107</v>
      </c>
      <c r="CB84" s="415">
        <f>((0.33*BB84)/Speed!AO165)+((0.67*BB84)/Speed!BO165)</f>
        <v>538.59551440967368</v>
      </c>
      <c r="CC84" s="415">
        <f>((0.33*BC84)/Speed!AP165)+((0.67*BC84)/Speed!BP165)</f>
        <v>562.8525282926812</v>
      </c>
      <c r="CD84" s="415">
        <f>((0.33*BD84)/Speed!AQ165)+((0.67*BD84)/Speed!BQ165)</f>
        <v>589.90677513331593</v>
      </c>
      <c r="CE84" s="415">
        <f>((0.33*BE84)/Speed!AR165)+((0.67*BE84)/Speed!BR165)</f>
        <v>620.13595725275036</v>
      </c>
      <c r="CF84" s="415">
        <f>((0.33*BF84)/Speed!AS165)+((0.67*BF84)/Speed!BS165)</f>
        <v>653.98063470875525</v>
      </c>
      <c r="CG84" s="415">
        <f>((0.33*BG84)/Speed!AT165)+((0.67*BG84)/Speed!BT165)</f>
        <v>691.93647141402789</v>
      </c>
      <c r="CH84" s="415">
        <f>((0.33*BH84)/Speed!AU165)+((0.67*BH84)/Speed!BU165)</f>
        <v>734.5340926192813</v>
      </c>
      <c r="CI84" s="415">
        <f>((0.33*BI84)/Speed!AV165)+((0.67*BI84)/Speed!BV165)</f>
        <v>782.38948293674059</v>
      </c>
      <c r="CJ84" s="453">
        <f>((0.33*BJ84)/Speed!AW165)+((0.67*BJ84)/Speed!BW165)</f>
        <v>836.19268916470151</v>
      </c>
      <c r="CK84" s="1395"/>
      <c r="CL84" s="1395"/>
      <c r="CM84" s="1411"/>
      <c r="CN84" s="1409"/>
      <c r="CQ84" s="12"/>
      <c r="CR84" s="12"/>
      <c r="CS84" s="12"/>
      <c r="CT84" s="12"/>
      <c r="CU84" s="12"/>
      <c r="CV84" s="12"/>
      <c r="CW84" s="12"/>
      <c r="CX84" s="12"/>
      <c r="CY84" s="12"/>
      <c r="CZ84" s="12"/>
    </row>
    <row r="85" spans="2:104" customFormat="1" ht="21.95" customHeight="1" x14ac:dyDescent="0.2">
      <c r="B85" s="492"/>
      <c r="C85" s="116" t="s">
        <v>288</v>
      </c>
      <c r="D85" s="116" t="s">
        <v>323</v>
      </c>
      <c r="E85" s="116" t="s">
        <v>348</v>
      </c>
      <c r="F85" s="116" t="s">
        <v>377</v>
      </c>
      <c r="G85" s="364">
        <v>30</v>
      </c>
      <c r="H85" s="1155">
        <v>1</v>
      </c>
      <c r="I85" s="364">
        <v>2</v>
      </c>
      <c r="J85" s="1162">
        <f>'Trip Gen'!W164</f>
        <v>1800</v>
      </c>
      <c r="K85" s="1151">
        <f>'Trip Gen'!X164</f>
        <v>1910.68</v>
      </c>
      <c r="L85" s="1151">
        <f>'Trip Gen'!Y164</f>
        <v>2057.15</v>
      </c>
      <c r="M85" s="1151">
        <f>'Trip Gen'!Z164</f>
        <v>2251.7999999999997</v>
      </c>
      <c r="N85" s="1151">
        <f>'Trip Gen'!AA164</f>
        <v>2446.5099999999998</v>
      </c>
      <c r="O85" s="1151">
        <f>'Trip Gen'!AB164</f>
        <v>2641.6400000000003</v>
      </c>
      <c r="P85" s="1151">
        <f>'Trip Gen'!AC164</f>
        <v>2836.2899999999995</v>
      </c>
      <c r="Q85" s="1151">
        <f>'Trip Gen'!AD164</f>
        <v>3031.1499999999996</v>
      </c>
      <c r="R85" s="1151">
        <f>'Trip Gen'!AE164</f>
        <v>3208.83</v>
      </c>
      <c r="S85" s="1151">
        <f>'Trip Gen'!AF164</f>
        <v>3386.36</v>
      </c>
      <c r="T85" s="1151">
        <f>'Trip Gen'!AG164</f>
        <v>3564.0499999999997</v>
      </c>
      <c r="U85" s="1151">
        <f>'Trip Gen'!AH164</f>
        <v>3741.73</v>
      </c>
      <c r="V85" s="1151">
        <f>'Trip Gen'!AI164</f>
        <v>3920.04</v>
      </c>
      <c r="W85" s="1151">
        <f>'Trip Gen'!AJ164</f>
        <v>4049.4</v>
      </c>
      <c r="X85" s="1151">
        <f>'Trip Gen'!AK164</f>
        <v>4160.08</v>
      </c>
      <c r="Y85" s="1151">
        <f>'Trip Gen'!AL164</f>
        <v>4270.7599999999993</v>
      </c>
      <c r="Z85" s="1151">
        <f>'Trip Gen'!AM164</f>
        <v>4381.4399999999996</v>
      </c>
      <c r="AA85" s="1151">
        <f>'Trip Gen'!AN164</f>
        <v>4492.24</v>
      </c>
      <c r="AB85" s="1151">
        <f>'Trip Gen'!AO164</f>
        <v>4602.9199999999992</v>
      </c>
      <c r="AC85" s="1151">
        <f>'Trip Gen'!AP164</f>
        <v>4713.87</v>
      </c>
      <c r="AD85" s="1151">
        <f>'Trip Gen'!AQ164</f>
        <v>4824.5499999999993</v>
      </c>
      <c r="AE85" s="1151">
        <f>'Trip Gen'!AR164</f>
        <v>4935.2299999999996</v>
      </c>
      <c r="AF85" s="1151">
        <f>'Trip Gen'!AS164</f>
        <v>5046.0299999999988</v>
      </c>
      <c r="AG85" s="1151">
        <f>'Trip Gen'!AT164</f>
        <v>5156.71</v>
      </c>
      <c r="AH85" s="1151">
        <f>'Trip Gen'!AU164</f>
        <v>5267.3899999999994</v>
      </c>
      <c r="AI85" s="1151">
        <f>'Trip Gen'!AV164</f>
        <v>5378.3399999999992</v>
      </c>
      <c r="AJ85" s="1182">
        <f t="shared" si="356"/>
        <v>7.9518666666666654E-2</v>
      </c>
      <c r="AK85" s="357">
        <f t="shared" ref="AK85:AK90" si="413">$H85*J85</f>
        <v>1800</v>
      </c>
      <c r="AL85" s="280">
        <f t="shared" ref="AL85:AL86" si="414">$H85*K85</f>
        <v>1910.68</v>
      </c>
      <c r="AM85" s="280">
        <f t="shared" ref="AM85:AM86" si="415">$H85*L85</f>
        <v>2057.15</v>
      </c>
      <c r="AN85" s="280">
        <f t="shared" ref="AN85:AN86" si="416">$H85*M85</f>
        <v>2251.7999999999997</v>
      </c>
      <c r="AO85" s="280">
        <f t="shared" ref="AO85:AO86" si="417">$H85*N85</f>
        <v>2446.5099999999998</v>
      </c>
      <c r="AP85" s="280">
        <f t="shared" ref="AP85:AP86" si="418">$H85*O85</f>
        <v>2641.6400000000003</v>
      </c>
      <c r="AQ85" s="280">
        <f t="shared" ref="AQ85:AQ86" si="419">$H85*P85</f>
        <v>2836.2899999999995</v>
      </c>
      <c r="AR85" s="280">
        <f t="shared" ref="AR85:AR86" si="420">$H85*Q85</f>
        <v>3031.1499999999996</v>
      </c>
      <c r="AS85" s="280">
        <f t="shared" ref="AS85:AS86" si="421">$H85*R85</f>
        <v>3208.83</v>
      </c>
      <c r="AT85" s="280">
        <f t="shared" ref="AT85:AT86" si="422">$H85*S85</f>
        <v>3386.36</v>
      </c>
      <c r="AU85" s="280">
        <f t="shared" ref="AU85:AU86" si="423">$H85*T85</f>
        <v>3564.0499999999997</v>
      </c>
      <c r="AV85" s="280">
        <f t="shared" ref="AV85:AV86" si="424">$H85*U85</f>
        <v>3741.73</v>
      </c>
      <c r="AW85" s="280">
        <f t="shared" ref="AW85:AW86" si="425">$H85*V85</f>
        <v>3920.04</v>
      </c>
      <c r="AX85" s="280">
        <f t="shared" ref="AX85:AX86" si="426">$H85*W85</f>
        <v>4049.4</v>
      </c>
      <c r="AY85" s="280">
        <f t="shared" ref="AY85:AY86" si="427">$H85*X85</f>
        <v>4160.08</v>
      </c>
      <c r="AZ85" s="280">
        <f t="shared" ref="AZ85:AZ86" si="428">$H85*Y85</f>
        <v>4270.7599999999993</v>
      </c>
      <c r="BA85" s="280">
        <f t="shared" ref="BA85:BA86" si="429">$H85*Z85</f>
        <v>4381.4399999999996</v>
      </c>
      <c r="BB85" s="280">
        <f t="shared" ref="BB85:BB86" si="430">$H85*AA85</f>
        <v>4492.24</v>
      </c>
      <c r="BC85" s="280">
        <f t="shared" ref="BC85:BC86" si="431">$H85*AB85</f>
        <v>4602.9199999999992</v>
      </c>
      <c r="BD85" s="280">
        <f t="shared" ref="BD85:BD86" si="432">$H85*AC85</f>
        <v>4713.87</v>
      </c>
      <c r="BE85" s="280">
        <f t="shared" ref="BE85:BE86" si="433">$H85*AD85</f>
        <v>4824.5499999999993</v>
      </c>
      <c r="BF85" s="280">
        <f t="shared" ref="BF85:BF86" si="434">$H85*AE85</f>
        <v>4935.2299999999996</v>
      </c>
      <c r="BG85" s="280">
        <f t="shared" ref="BG85:BG86" si="435">$H85*AF85</f>
        <v>5046.0299999999988</v>
      </c>
      <c r="BH85" s="280">
        <f t="shared" ref="BH85:BH86" si="436">$H85*AG85</f>
        <v>5156.71</v>
      </c>
      <c r="BI85" s="280">
        <f t="shared" ref="BI85:BI86" si="437">$H85*AH85</f>
        <v>5267.3899999999994</v>
      </c>
      <c r="BJ85" s="358">
        <f>$H85*AI85</f>
        <v>5378.3399999999992</v>
      </c>
      <c r="BK85" s="420">
        <f>((0.33*'Traffic Data'!AK85)/Speed!X166)+((0.67*'Traffic Data'!AK85)/Speed!AX166)</f>
        <v>67.164179104477981</v>
      </c>
      <c r="BL85" s="449">
        <f>((0.33*AL85)/Speed!Y166)+((0.67*AL85)/Speed!AY166)</f>
        <v>71.294029850746966</v>
      </c>
      <c r="BM85" s="449">
        <f>((0.33*AM85)/Speed!Z166)+((0.67*AM85)/Speed!AZ166)</f>
        <v>76.75932835821051</v>
      </c>
      <c r="BN85" s="449">
        <f>((0.33*AN85)/Speed!AA166)+((0.67*AN85)/Speed!BA166)</f>
        <v>84.022388059705662</v>
      </c>
      <c r="BO85" s="449">
        <f>((0.33*AO85)/Speed!AB166)+((0.67*AO85)/Speed!BB166)</f>
        <v>91.287686567174575</v>
      </c>
      <c r="BP85" s="449">
        <f>((0.33*AP85)/Speed!AC166)+((0.67*AP85)/Speed!BC166)</f>
        <v>98.568656716442106</v>
      </c>
      <c r="BQ85" s="449">
        <f>((0.33*AQ85)/Speed!AD166)+((0.67*AQ85)/Speed!BD166)</f>
        <v>105.83171641796326</v>
      </c>
      <c r="BR85" s="449">
        <f>((0.33*AR85)/Speed!AE166)+((0.67*AR85)/Speed!BE166)</f>
        <v>113.1026119404082</v>
      </c>
      <c r="BS85" s="449">
        <f>((0.33*AS85)/Speed!AF166)+((0.67*AS85)/Speed!BF166)</f>
        <v>119.73246268677244</v>
      </c>
      <c r="BT85" s="449">
        <f>((0.33*AT85)/Speed!AG166)+((0.67*AT85)/Speed!BG166)</f>
        <v>126.35671641828164</v>
      </c>
      <c r="BU85" s="449">
        <f>((0.33*AU85)/Speed!AH166)+((0.67*AU85)/Speed!BH166)</f>
        <v>132.9869402991589</v>
      </c>
      <c r="BV85" s="449">
        <f>((0.33*AV85)/Speed!AI166)+((0.67*AV85)/Speed!BI166)</f>
        <v>139.61679104588862</v>
      </c>
      <c r="BW85" s="449">
        <f>((0.33*AW85)/Speed!AJ166)+((0.67*AW85)/Speed!BJ166)</f>
        <v>146.27014925558785</v>
      </c>
      <c r="BX85" s="449">
        <f>((0.33*AX85)/Speed!AK166)+((0.67*AX85)/Speed!BK166)</f>
        <v>151.09701492802651</v>
      </c>
      <c r="BY85" s="449">
        <f>((0.33*AY85)/Speed!AL166)+((0.67*AY85)/Speed!BL166)</f>
        <v>155.22686567521137</v>
      </c>
      <c r="BZ85" s="449">
        <f>((0.33*AZ85)/Speed!AM166)+((0.67*AZ85)/Speed!BM166)</f>
        <v>159.35671642267533</v>
      </c>
      <c r="CA85" s="449">
        <f>((0.33*BA85)/Speed!AN166)+((0.67*BA85)/Speed!BN166)</f>
        <v>163.4865671704928</v>
      </c>
      <c r="CB85" s="449">
        <f>((0.33*BB85)/Speed!AO166)+((0.67*BB85)/Speed!BO166)</f>
        <v>167.62089553069785</v>
      </c>
      <c r="CC85" s="449">
        <f>((0.33*BC85)/Speed!AP166)+((0.67*BC85)/Speed!BP166)</f>
        <v>171.75074627951759</v>
      </c>
      <c r="CD85" s="449">
        <f>((0.33*BD85)/Speed!AQ166)+((0.67*BD85)/Speed!BQ166)</f>
        <v>175.89067165590507</v>
      </c>
      <c r="CE85" s="449">
        <f>((0.33*BE85)/Speed!AR166)+((0.67*BE85)/Speed!BR166)</f>
        <v>180.02052240627859</v>
      </c>
      <c r="CF85" s="449">
        <f>((0.33*BF85)/Speed!AS166)+((0.67*BF85)/Speed!BS166)</f>
        <v>184.15037315771019</v>
      </c>
      <c r="CG85" s="449">
        <f>((0.33*BG85)/Speed!AT166)+((0.67*BG85)/Speed!BT166)</f>
        <v>188.28470152238737</v>
      </c>
      <c r="CH85" s="449">
        <f>((0.33*BH85)/Speed!AU166)+((0.67*BH85)/Speed!BU166)</f>
        <v>192.41455227670232</v>
      </c>
      <c r="CI85" s="449">
        <f>((0.33*BI85)/Speed!AV166)+((0.67*BI85)/Speed!BV166)</f>
        <v>196.54440303294285</v>
      </c>
      <c r="CJ85" s="450">
        <f>((0.33*BJ85)/Speed!AW166)+((0.67*BJ85)/Speed!BW166)</f>
        <v>200.68432841841332</v>
      </c>
      <c r="CK85" s="256">
        <f>Inputs!$I$35</f>
        <v>0.2</v>
      </c>
      <c r="CL85" s="256">
        <f>Inputs!$I$36</f>
        <v>0.8</v>
      </c>
      <c r="CM85" s="259">
        <f>1/(1+CK85)</f>
        <v>0.83333333333333337</v>
      </c>
      <c r="CN85" s="273">
        <v>0.88</v>
      </c>
      <c r="CQ85" s="12"/>
      <c r="CR85" s="12"/>
      <c r="CS85" s="12"/>
      <c r="CT85" s="12"/>
      <c r="CU85" s="12"/>
      <c r="CV85" s="12"/>
      <c r="CW85" s="12"/>
      <c r="CX85" s="12"/>
      <c r="CY85" s="12"/>
      <c r="CZ85" s="12"/>
    </row>
    <row r="86" spans="2:104" customFormat="1" ht="21.95" customHeight="1" x14ac:dyDescent="0.2">
      <c r="B86" s="492"/>
      <c r="C86" s="277" t="s">
        <v>340</v>
      </c>
      <c r="D86" s="277" t="s">
        <v>335</v>
      </c>
      <c r="E86" s="277" t="s">
        <v>323</v>
      </c>
      <c r="F86" s="277" t="s">
        <v>378</v>
      </c>
      <c r="G86" s="1173">
        <v>40</v>
      </c>
      <c r="H86" s="1174">
        <v>1.58</v>
      </c>
      <c r="I86" s="1173">
        <v>2</v>
      </c>
      <c r="J86" s="1175">
        <f>'Trip Gen'!W167</f>
        <v>0</v>
      </c>
      <c r="K86" s="1178">
        <f>'Trip Gen'!X164</f>
        <v>1910.68</v>
      </c>
      <c r="L86" s="1178">
        <f>'Trip Gen'!Y164</f>
        <v>2057.15</v>
      </c>
      <c r="M86" s="1178">
        <f>'Trip Gen'!Z164</f>
        <v>2251.7999999999997</v>
      </c>
      <c r="N86" s="1178">
        <f>'Trip Gen'!AA164</f>
        <v>2446.5099999999998</v>
      </c>
      <c r="O86" s="1178">
        <f>'Trip Gen'!AB164</f>
        <v>2641.6400000000003</v>
      </c>
      <c r="P86" s="1178">
        <f>'Trip Gen'!AC164</f>
        <v>2836.2899999999995</v>
      </c>
      <c r="Q86" s="1178">
        <f>'Trip Gen'!AD164</f>
        <v>3031.1499999999996</v>
      </c>
      <c r="R86" s="1178">
        <f>'Trip Gen'!AE164</f>
        <v>3208.83</v>
      </c>
      <c r="S86" s="1178">
        <f>'Trip Gen'!AF164</f>
        <v>3386.36</v>
      </c>
      <c r="T86" s="1178">
        <f>'Trip Gen'!AG164</f>
        <v>3564.0499999999997</v>
      </c>
      <c r="U86" s="1178">
        <f>'Trip Gen'!AH164</f>
        <v>3741.73</v>
      </c>
      <c r="V86" s="1178">
        <f>'Trip Gen'!AI164</f>
        <v>3920.04</v>
      </c>
      <c r="W86" s="1178">
        <f>'Trip Gen'!AJ164</f>
        <v>4049.4</v>
      </c>
      <c r="X86" s="1178">
        <f>'Trip Gen'!AK164</f>
        <v>4160.08</v>
      </c>
      <c r="Y86" s="1178">
        <f>'Trip Gen'!AL164</f>
        <v>4270.7599999999993</v>
      </c>
      <c r="Z86" s="1178">
        <f>'Trip Gen'!AM164</f>
        <v>4381.4399999999996</v>
      </c>
      <c r="AA86" s="1178">
        <f>'Trip Gen'!AN164</f>
        <v>4492.24</v>
      </c>
      <c r="AB86" s="1178">
        <f>'Trip Gen'!AO164</f>
        <v>4602.9199999999992</v>
      </c>
      <c r="AC86" s="1178">
        <f>'Trip Gen'!AP164</f>
        <v>4713.87</v>
      </c>
      <c r="AD86" s="1178">
        <f>'Trip Gen'!AQ164</f>
        <v>4824.5499999999993</v>
      </c>
      <c r="AE86" s="1178">
        <f>'Trip Gen'!AR164</f>
        <v>4935.2299999999996</v>
      </c>
      <c r="AF86" s="1178">
        <f>'Trip Gen'!AS164</f>
        <v>5046.0299999999988</v>
      </c>
      <c r="AG86" s="1178">
        <f>'Trip Gen'!AT164</f>
        <v>5156.71</v>
      </c>
      <c r="AH86" s="1178">
        <f>'Trip Gen'!AU164</f>
        <v>5267.3899999999994</v>
      </c>
      <c r="AI86" s="1178">
        <f>'Trip Gen'!AV164</f>
        <v>5378.3399999999992</v>
      </c>
      <c r="AJ86" s="1184" t="s">
        <v>326</v>
      </c>
      <c r="AK86" s="357">
        <f t="shared" si="413"/>
        <v>0</v>
      </c>
      <c r="AL86" s="280">
        <f t="shared" si="414"/>
        <v>3018.8744000000002</v>
      </c>
      <c r="AM86" s="280">
        <f t="shared" si="415"/>
        <v>3250.2970000000005</v>
      </c>
      <c r="AN86" s="280">
        <f t="shared" si="416"/>
        <v>3557.8439999999996</v>
      </c>
      <c r="AO86" s="280">
        <f t="shared" si="417"/>
        <v>3865.4857999999999</v>
      </c>
      <c r="AP86" s="280">
        <f t="shared" si="418"/>
        <v>4173.7912000000006</v>
      </c>
      <c r="AQ86" s="280">
        <f t="shared" si="419"/>
        <v>4481.3381999999992</v>
      </c>
      <c r="AR86" s="280">
        <f t="shared" si="420"/>
        <v>4789.2169999999996</v>
      </c>
      <c r="AS86" s="280">
        <f t="shared" si="421"/>
        <v>5069.9513999999999</v>
      </c>
      <c r="AT86" s="280">
        <f t="shared" si="422"/>
        <v>5350.4488000000001</v>
      </c>
      <c r="AU86" s="280">
        <f t="shared" si="423"/>
        <v>5631.1989999999996</v>
      </c>
      <c r="AV86" s="280">
        <f t="shared" si="424"/>
        <v>5911.9333999999999</v>
      </c>
      <c r="AW86" s="280">
        <f t="shared" si="425"/>
        <v>6193.6632</v>
      </c>
      <c r="AX86" s="280">
        <f t="shared" si="426"/>
        <v>6398.0520000000006</v>
      </c>
      <c r="AY86" s="280">
        <f t="shared" si="427"/>
        <v>6572.9264000000003</v>
      </c>
      <c r="AZ86" s="280">
        <f t="shared" si="428"/>
        <v>6747.8007999999991</v>
      </c>
      <c r="BA86" s="280">
        <f t="shared" si="429"/>
        <v>6922.6751999999997</v>
      </c>
      <c r="BB86" s="280">
        <f t="shared" si="430"/>
        <v>7097.7392</v>
      </c>
      <c r="BC86" s="280">
        <f t="shared" si="431"/>
        <v>7272.6135999999988</v>
      </c>
      <c r="BD86" s="280">
        <f t="shared" si="432"/>
        <v>7447.9146000000001</v>
      </c>
      <c r="BE86" s="280">
        <f t="shared" si="433"/>
        <v>7622.7889999999989</v>
      </c>
      <c r="BF86" s="280">
        <f t="shared" si="434"/>
        <v>7797.6633999999995</v>
      </c>
      <c r="BG86" s="280">
        <f t="shared" si="435"/>
        <v>7972.7273999999989</v>
      </c>
      <c r="BH86" s="280">
        <f t="shared" si="436"/>
        <v>8147.6018000000004</v>
      </c>
      <c r="BI86" s="280">
        <f t="shared" si="437"/>
        <v>8322.4761999999992</v>
      </c>
      <c r="BJ86" s="358">
        <f>$H86*AI86</f>
        <v>8497.7771999999986</v>
      </c>
      <c r="BK86" s="417">
        <f>((0.33*'Traffic Data'!AK86)/Speed!X167)+((0.67*'Traffic Data'!AK86)/Speed!AX167)</f>
        <v>0</v>
      </c>
      <c r="BL86" s="415">
        <f>((0.33*AL86)/Speed!Y167)+((0.67*AL86)/Speed!AY167)</f>
        <v>69.881357013836464</v>
      </c>
      <c r="BM86" s="415">
        <f>((0.33*AM86)/Speed!Z167)+((0.67*AM86)/Speed!AZ167)</f>
        <v>75.238368114109562</v>
      </c>
      <c r="BN86" s="415">
        <f>((0.33*AN86)/Speed!AA167)+((0.67*AN86)/Speed!BA167)</f>
        <v>82.35753144703979</v>
      </c>
      <c r="BO86" s="415">
        <f>((0.33*AO86)/Speed!AB167)+((0.67*AO86)/Speed!BB167)</f>
        <v>89.478916264260704</v>
      </c>
      <c r="BP86" s="415">
        <f>((0.33*AP86)/Speed!AC167)+((0.67*AP86)/Speed!BC167)</f>
        <v>96.615719158926296</v>
      </c>
      <c r="BQ86" s="415">
        <f>((0.33*AQ86)/Speed!AD167)+((0.67*AQ86)/Speed!BD167)</f>
        <v>103.73507867128829</v>
      </c>
      <c r="BR86" s="415">
        <f>((0.33*AR86)/Speed!AE167)+((0.67*AR86)/Speed!BE167)</f>
        <v>110.86233149391597</v>
      </c>
      <c r="BS86" s="415">
        <f>((0.33*AS86)/Speed!AF167)+((0.67*AS86)/Speed!BF167)</f>
        <v>117.36153338307631</v>
      </c>
      <c r="BT86" s="415">
        <f>((0.33*AT86)/Speed!AG167)+((0.67*AT86)/Speed!BG167)</f>
        <v>123.85577928590303</v>
      </c>
      <c r="BU86" s="415">
        <f>((0.33*AU86)/Speed!AH167)+((0.67*AU86)/Speed!BH167)</f>
        <v>130.35673930579532</v>
      </c>
      <c r="BV86" s="415">
        <f>((0.33*AV86)/Speed!AI167)+((0.67*AV86)/Speed!BI167)</f>
        <v>136.85869609291285</v>
      </c>
      <c r="BW86" s="415">
        <f>((0.33*AW86)/Speed!AJ167)+((0.67*AW86)/Speed!BJ167)</f>
        <v>143.38582755480559</v>
      </c>
      <c r="BX86" s="415">
        <f>((0.33*AX86)/Speed!AK167)+((0.67*AX86)/Speed!BK167)</f>
        <v>148.12305653854349</v>
      </c>
      <c r="BY86" s="415">
        <f>((0.33*AY86)/Speed!AL167)+((0.67*AY86)/Speed!BL167)</f>
        <v>152.1779815306927</v>
      </c>
      <c r="BZ86" s="415">
        <f>((0.33*AZ86)/Speed!AM167)+((0.67*AZ86)/Speed!BM167)</f>
        <v>156.23501049856253</v>
      </c>
      <c r="CA86" s="415">
        <f>((0.33*BA86)/Speed!AN167)+((0.67*BA86)/Speed!BN167)</f>
        <v>160.29470374808284</v>
      </c>
      <c r="CB86" s="415">
        <f>((0.33*BB86)/Speed!AO167)+((0.67*BB86)/Speed!BO167)</f>
        <v>164.36215779017428</v>
      </c>
      <c r="CC86" s="415">
        <f>((0.33*BC86)/Speed!AP167)+((0.67*BC86)/Speed!BP167)</f>
        <v>168.42940650533683</v>
      </c>
      <c r="CD86" s="415">
        <f>((0.33*BD86)/Speed!AQ167)+((0.67*BD86)/Speed!BQ167)</f>
        <v>172.51182229660796</v>
      </c>
      <c r="CE86" s="415">
        <f>((0.33*BE86)/Speed!AR167)+((0.67*BE86)/Speed!BR167)</f>
        <v>176.59078345089512</v>
      </c>
      <c r="CF86" s="415">
        <f>((0.33*BF86)/Speed!AS167)+((0.67*BF86)/Speed!BS167)</f>
        <v>180.67772027270803</v>
      </c>
      <c r="CG86" s="415">
        <f>((0.33*BG86)/Speed!AT167)+((0.67*BG86)/Speed!BT167)</f>
        <v>184.77888535006156</v>
      </c>
      <c r="CH86" s="415">
        <f>((0.33*BH86)/Speed!AU167)+((0.67*BH86)/Speed!BU167)</f>
        <v>188.88755665821085</v>
      </c>
      <c r="CI86" s="415">
        <f>((0.33*BI86)/Speed!AV167)+((0.67*BI86)/Speed!BV167)</f>
        <v>193.01074371667497</v>
      </c>
      <c r="CJ86" s="453">
        <f>((0.33*BJ86)/Speed!AW167)+((0.67*BJ86)/Speed!BW167)</f>
        <v>197.16162723989447</v>
      </c>
      <c r="CK86" s="258">
        <f>Inputs!$J$35</f>
        <v>0.2</v>
      </c>
      <c r="CL86" s="258">
        <f>Inputs!$J$36</f>
        <v>0.8</v>
      </c>
      <c r="CM86" s="259">
        <f t="shared" ref="CM86:CM87" si="438">1/(1+CK86)</f>
        <v>0.83333333333333337</v>
      </c>
      <c r="CN86" s="274">
        <v>0.88</v>
      </c>
      <c r="CQ86" s="12"/>
      <c r="CR86" s="12"/>
      <c r="CS86" s="12"/>
      <c r="CT86" s="12"/>
      <c r="CU86" s="12"/>
      <c r="CV86" s="12"/>
      <c r="CW86" s="12"/>
      <c r="CX86" s="12"/>
      <c r="CY86" s="12"/>
      <c r="CZ86" s="12"/>
    </row>
    <row r="87" spans="2:104" customFormat="1" ht="21.95" customHeight="1" x14ac:dyDescent="0.2">
      <c r="B87" s="492"/>
      <c r="C87" s="277" t="s">
        <v>357</v>
      </c>
      <c r="D87" s="277" t="s">
        <v>338</v>
      </c>
      <c r="E87" s="277" t="s">
        <v>323</v>
      </c>
      <c r="F87" s="277" t="s">
        <v>382</v>
      </c>
      <c r="G87" s="1173">
        <v>30</v>
      </c>
      <c r="H87" s="1174">
        <f>4896/foottomile</f>
        <v>0.92727272727272725</v>
      </c>
      <c r="I87" s="1173">
        <v>2</v>
      </c>
      <c r="J87" s="1175">
        <f>'Trip Gen'!W163</f>
        <v>3600</v>
      </c>
      <c r="K87" s="1178">
        <f>'Trip Gen'!X163</f>
        <v>3649.43</v>
      </c>
      <c r="L87" s="1178">
        <f>'Trip Gen'!Y163</f>
        <v>3734.87</v>
      </c>
      <c r="M87" s="1178">
        <f>'Trip Gen'!Z163</f>
        <v>3852.1700000000005</v>
      </c>
      <c r="N87" s="1178">
        <f>'Trip Gen'!AA163</f>
        <v>3969.52</v>
      </c>
      <c r="O87" s="1178">
        <f>'Trip Gen'!AB163</f>
        <v>4087.0399999999995</v>
      </c>
      <c r="P87" s="1178">
        <f>'Trip Gen'!AC163</f>
        <v>4204.34</v>
      </c>
      <c r="Q87" s="1178">
        <f>'Trip Gen'!AD163</f>
        <v>4322.05</v>
      </c>
      <c r="R87" s="1178">
        <f>'Trip Gen'!AE163</f>
        <v>4403.68</v>
      </c>
      <c r="S87" s="1178">
        <f>'Trip Gen'!AF163</f>
        <v>4485.32</v>
      </c>
      <c r="T87" s="1178">
        <f>'Trip Gen'!AG163</f>
        <v>4566.97</v>
      </c>
      <c r="U87" s="1178">
        <f>'Trip Gen'!AH163</f>
        <v>4648.6000000000004</v>
      </c>
      <c r="V87" s="1178">
        <f>'Trip Gen'!AI163</f>
        <v>4730.8099999999995</v>
      </c>
      <c r="W87" s="1178">
        <f>'Trip Gen'!AJ163</f>
        <v>4780.24</v>
      </c>
      <c r="X87" s="1178">
        <f>'Trip Gen'!AK163</f>
        <v>4829.6699999999992</v>
      </c>
      <c r="Y87" s="1178">
        <f>'Trip Gen'!AL163</f>
        <v>4879.1000000000004</v>
      </c>
      <c r="Z87" s="1178">
        <f>'Trip Gen'!AM163</f>
        <v>4928.5299999999988</v>
      </c>
      <c r="AA87" s="1178">
        <f>'Trip Gen'!AN163</f>
        <v>4978.3</v>
      </c>
      <c r="AB87" s="1178">
        <f>'Trip Gen'!AO163</f>
        <v>5027.7299999999996</v>
      </c>
      <c r="AC87" s="1178">
        <f>'Trip Gen'!AP163</f>
        <v>5077.3500000000004</v>
      </c>
      <c r="AD87" s="1178">
        <f>'Trip Gen'!AQ163</f>
        <v>5126.78</v>
      </c>
      <c r="AE87" s="1178">
        <f>'Trip Gen'!AR163</f>
        <v>5176.2100000000009</v>
      </c>
      <c r="AF87" s="1178">
        <f>'Trip Gen'!AS163</f>
        <v>5225.9800000000005</v>
      </c>
      <c r="AG87" s="1178">
        <f>'Trip Gen'!AT163</f>
        <v>5275.4100000000008</v>
      </c>
      <c r="AH87" s="1178">
        <f>'Trip Gen'!AU163</f>
        <v>5324.84</v>
      </c>
      <c r="AI87" s="1178">
        <f>'Trip Gen'!AV163</f>
        <v>5374.46</v>
      </c>
      <c r="AJ87" s="1184">
        <f t="shared" ref="AJ87:AJ93" si="439">((AI87-J87)/J87)/25</f>
        <v>1.9716222222222222E-2</v>
      </c>
      <c r="AK87" s="357">
        <f t="shared" si="413"/>
        <v>3338.181818181818</v>
      </c>
      <c r="AL87" s="280">
        <f t="shared" ref="AL87:AL93" si="440">$H87*K87</f>
        <v>3384.0169090909089</v>
      </c>
      <c r="AM87" s="280">
        <f t="shared" ref="AM87:AM93" si="441">$H87*L87</f>
        <v>3463.2430909090908</v>
      </c>
      <c r="AN87" s="280">
        <f t="shared" ref="AN87:AN93" si="442">$H87*M87</f>
        <v>3572.0121818181824</v>
      </c>
      <c r="AO87" s="280">
        <f t="shared" ref="AO87:AO93" si="443">$H87*N87</f>
        <v>3680.8276363636364</v>
      </c>
      <c r="AP87" s="280">
        <f t="shared" ref="AP87:AP93" si="444">$H87*O87</f>
        <v>3789.8007272727268</v>
      </c>
      <c r="AQ87" s="280">
        <f t="shared" ref="AQ87:AQ93" si="445">$H87*P87</f>
        <v>3898.5698181818184</v>
      </c>
      <c r="AR87" s="280">
        <f t="shared" ref="AR87:AR93" si="446">$H87*Q87</f>
        <v>4007.7190909090909</v>
      </c>
      <c r="AS87" s="280">
        <f t="shared" ref="AS87:AS93" si="447">$H87*R87</f>
        <v>4083.4123636363638</v>
      </c>
      <c r="AT87" s="280">
        <f t="shared" ref="AT87:AT93" si="448">$H87*S87</f>
        <v>4159.1149090909084</v>
      </c>
      <c r="AU87" s="280">
        <f t="shared" ref="AU87:AU93" si="449">$H87*T87</f>
        <v>4234.8267272727271</v>
      </c>
      <c r="AV87" s="280">
        <f t="shared" ref="AV87:AV93" si="450">$H87*U87</f>
        <v>4310.5200000000004</v>
      </c>
      <c r="AW87" s="280">
        <f t="shared" ref="AW87:AW93" si="451">$H87*V87</f>
        <v>4386.7510909090906</v>
      </c>
      <c r="AX87" s="280">
        <f t="shared" ref="AX87:AX93" si="452">$H87*W87</f>
        <v>4432.5861818181811</v>
      </c>
      <c r="AY87" s="280">
        <f t="shared" ref="AY87:AY93" si="453">$H87*X87</f>
        <v>4478.4212727272716</v>
      </c>
      <c r="AZ87" s="280">
        <f t="shared" ref="AZ87:AZ93" si="454">$H87*Y87</f>
        <v>4524.2563636363639</v>
      </c>
      <c r="BA87" s="280">
        <f t="shared" ref="BA87:BA93" si="455">$H87*Z87</f>
        <v>4570.0914545454534</v>
      </c>
      <c r="BB87" s="280">
        <f t="shared" ref="BB87:BB93" si="456">$H87*AA87</f>
        <v>4616.2418181818184</v>
      </c>
      <c r="BC87" s="280">
        <f t="shared" ref="BC87:BC93" si="457">$H87*AB87</f>
        <v>4662.0769090909089</v>
      </c>
      <c r="BD87" s="280">
        <f t="shared" ref="BD87:BD93" si="458">$H87*AC87</f>
        <v>4708.0881818181824</v>
      </c>
      <c r="BE87" s="280">
        <f t="shared" ref="BE87:BE93" si="459">$H87*AD87</f>
        <v>4753.923272727272</v>
      </c>
      <c r="BF87" s="280">
        <f t="shared" ref="BF87:BF93" si="460">$H87*AE87</f>
        <v>4799.7583636363643</v>
      </c>
      <c r="BG87" s="280">
        <f t="shared" ref="BG87:BG93" si="461">$H87*AF87</f>
        <v>4845.9087272727274</v>
      </c>
      <c r="BH87" s="280">
        <f t="shared" ref="BH87:BH93" si="462">$H87*AG87</f>
        <v>4891.7438181818188</v>
      </c>
      <c r="BI87" s="280">
        <f t="shared" ref="BI87:BI93" si="463">$H87*AH87</f>
        <v>4937.5789090909093</v>
      </c>
      <c r="BJ87" s="358">
        <f>$H87*AI87</f>
        <v>4983.5901818181819</v>
      </c>
      <c r="BK87" s="420">
        <f>((0.33*'Traffic Data'!AK87)/Speed!X168)+((0.67*'Traffic Data'!AK87)/Speed!AX168)</f>
        <v>104.64955645778389</v>
      </c>
      <c r="BL87" s="449">
        <f>((0.33*AL87)/Speed!Y168)+((0.67*AL87)/Speed!AY168)</f>
        <v>106.08709853493662</v>
      </c>
      <c r="BM87" s="449">
        <f>((0.33*AM87)/Speed!Z168)+((0.67*AM87)/Speed!AZ168)</f>
        <v>108.57214586454704</v>
      </c>
      <c r="BN87" s="449">
        <f>((0.33*AN87)/Speed!AA168)+((0.67*AN87)/Speed!BA168)</f>
        <v>111.98448170079229</v>
      </c>
      <c r="BO87" s="449">
        <f>((0.33*AO87)/Speed!AB168)+((0.67*AO87)/Speed!BB168)</f>
        <v>115.39921406114266</v>
      </c>
      <c r="BP87" s="449">
        <f>((0.33*AP87)/Speed!AC168)+((0.67*AP87)/Speed!BC168)</f>
        <v>118.82012993036895</v>
      </c>
      <c r="BQ87" s="449">
        <f>((0.33*AQ87)/Speed!AD168)+((0.67*AQ87)/Speed!BD168)</f>
        <v>122.2362455738577</v>
      </c>
      <c r="BR87" s="449">
        <f>((0.33*AR87)/Speed!AE168)+((0.67*AR87)/Speed!BE168)</f>
        <v>125.66637986724388</v>
      </c>
      <c r="BS87" s="449">
        <f>((0.33*AS87)/Speed!AF168)+((0.67*AS87)/Speed!BF168)</f>
        <v>128.04664900068963</v>
      </c>
      <c r="BT87" s="449">
        <f>((0.33*AT87)/Speed!AG168)+((0.67*AT87)/Speed!BG168)</f>
        <v>130.42872468443366</v>
      </c>
      <c r="BU87" s="449">
        <f>((0.33*AU87)/Speed!AH168)+((0.67*AU87)/Speed!BH168)</f>
        <v>132.81287980007198</v>
      </c>
      <c r="BV87" s="449">
        <f>((0.33*AV87)/Speed!AI168)+((0.67*AV87)/Speed!BI168)</f>
        <v>135.19855287834918</v>
      </c>
      <c r="BW87" s="449">
        <f>((0.33*AW87)/Speed!AJ168)+((0.67*AW87)/Speed!BJ168)</f>
        <v>137.60366887671296</v>
      </c>
      <c r="BX87" s="449">
        <f>((0.33*AX87)/Speed!AK168)+((0.67*AX87)/Speed!BK168)</f>
        <v>139.05116039348516</v>
      </c>
      <c r="BY87" s="449">
        <f>((0.33*AY87)/Speed!AL168)+((0.67*AY87)/Speed!BL168)</f>
        <v>140.49981247205523</v>
      </c>
      <c r="BZ87" s="449">
        <f>((0.33*AZ87)/Speed!AM168)+((0.67*AZ87)/Speed!BM168)</f>
        <v>141.9497377679692</v>
      </c>
      <c r="CA87" s="449">
        <f>((0.33*BA87)/Speed!AN168)+((0.67*BA87)/Speed!BN168)</f>
        <v>143.40105845966994</v>
      </c>
      <c r="CB87" s="449">
        <f>((0.33*BB87)/Speed!AO168)+((0.67*BB87)/Speed!BO168)</f>
        <v>144.86390594762008</v>
      </c>
      <c r="CC87" s="449">
        <f>((0.33*BC87)/Speed!AP168)+((0.67*BC87)/Speed!BP168)</f>
        <v>146.31843799366482</v>
      </c>
      <c r="CD87" s="449">
        <f>((0.33*BD87)/Speed!AQ168)+((0.67*BD87)/Speed!BQ168)</f>
        <v>147.78039974360837</v>
      </c>
      <c r="CE87" s="449">
        <f>((0.33*BE87)/Speed!AR168)+((0.67*BE87)/Speed!BR168)</f>
        <v>149.23876400027706</v>
      </c>
      <c r="CF87" s="449">
        <f>((0.33*BF87)/Speed!AS168)+((0.67*BF87)/Speed!BS168)</f>
        <v>150.69930705352868</v>
      </c>
      <c r="CG87" s="449">
        <f>((0.33*BG87)/Speed!AT168)+((0.67*BG87)/Speed!BT168)</f>
        <v>152.17229666235184</v>
      </c>
      <c r="CH87" s="449">
        <f>((0.33*BH87)/Speed!AU168)+((0.67*BH87)/Speed!BU168)</f>
        <v>153.63782096527862</v>
      </c>
      <c r="CI87" s="449">
        <f>((0.33*BI87)/Speed!AV168)+((0.67*BI87)/Speed!BV168)</f>
        <v>155.10616304709134</v>
      </c>
      <c r="CJ87" s="450">
        <f>((0.33*BJ87)/Speed!AW168)+((0.67*BJ87)/Speed!BW168)</f>
        <v>156.5832316722751</v>
      </c>
      <c r="CK87" s="258">
        <f>Inputs!$K$35</f>
        <v>0.2</v>
      </c>
      <c r="CL87" s="258">
        <f>Inputs!$K$36</f>
        <v>0.8</v>
      </c>
      <c r="CM87" s="257">
        <f t="shared" si="438"/>
        <v>0.83333333333333337</v>
      </c>
      <c r="CN87" s="274">
        <v>0.88</v>
      </c>
      <c r="CQ87" s="12"/>
      <c r="CR87" s="12"/>
      <c r="CS87" s="12"/>
      <c r="CT87" s="12"/>
      <c r="CU87" s="12"/>
      <c r="CV87" s="12"/>
      <c r="CW87" s="12"/>
      <c r="CX87" s="12"/>
      <c r="CY87" s="12"/>
      <c r="CZ87" s="12"/>
    </row>
    <row r="88" spans="2:104" customFormat="1" ht="21.95" customHeight="1" x14ac:dyDescent="0.2">
      <c r="B88" s="492"/>
      <c r="C88" s="116" t="s">
        <v>338</v>
      </c>
      <c r="D88" s="116" t="s">
        <v>282</v>
      </c>
      <c r="E88" s="116" t="s">
        <v>357</v>
      </c>
      <c r="F88" s="116" t="s">
        <v>379</v>
      </c>
      <c r="G88" s="364">
        <v>55</v>
      </c>
      <c r="H88" s="1155">
        <f>6330/foottomile</f>
        <v>1.1988636363636365</v>
      </c>
      <c r="I88" s="364">
        <v>4</v>
      </c>
      <c r="J88" s="1162">
        <f>'Trip Gen'!W156</f>
        <v>10000</v>
      </c>
      <c r="K88" s="1151">
        <f>'Trip Gen'!X156</f>
        <v>10288.270000000002</v>
      </c>
      <c r="L88" s="1151">
        <f>'Trip Gen'!Y156</f>
        <v>10600.29</v>
      </c>
      <c r="M88" s="1151">
        <f>'Trip Gen'!Z156</f>
        <v>11014.24</v>
      </c>
      <c r="N88" s="1151">
        <f>'Trip Gen'!AA156</f>
        <v>11428.259999999998</v>
      </c>
      <c r="O88" s="1151">
        <f>'Trip Gen'!AB156</f>
        <v>11842.449999999999</v>
      </c>
      <c r="P88" s="1151">
        <f>'Trip Gen'!AC156</f>
        <v>12256.400000000001</v>
      </c>
      <c r="Q88" s="1151">
        <f>'Trip Gen'!AD156</f>
        <v>12670.460000000001</v>
      </c>
      <c r="R88" s="1151">
        <f>'Trip Gen'!AE156</f>
        <v>13126.080000000002</v>
      </c>
      <c r="S88" s="1151">
        <f>'Trip Gen'!AF156</f>
        <v>13581.55</v>
      </c>
      <c r="T88" s="1151">
        <f>'Trip Gen'!AG156</f>
        <v>14037.17</v>
      </c>
      <c r="U88" s="1151">
        <f>'Trip Gen'!AH156</f>
        <v>14492.789999999999</v>
      </c>
      <c r="V88" s="1151">
        <f>'Trip Gen'!AI156</f>
        <v>14948.670000000002</v>
      </c>
      <c r="W88" s="1151">
        <f>'Trip Gen'!AJ156</f>
        <v>15302.32</v>
      </c>
      <c r="X88" s="1151">
        <f>'Trip Gen'!AK156</f>
        <v>15590.59</v>
      </c>
      <c r="Y88" s="1151">
        <f>'Trip Gen'!AL156</f>
        <v>15878.86</v>
      </c>
      <c r="Z88" s="1151">
        <f>'Trip Gen'!AM156</f>
        <v>16167.130000000001</v>
      </c>
      <c r="AA88" s="1151">
        <f>'Trip Gen'!AN156</f>
        <v>16455.37</v>
      </c>
      <c r="AB88" s="1151">
        <f>'Trip Gen'!AO156</f>
        <v>16743.639999999996</v>
      </c>
      <c r="AC88" s="1151">
        <f>'Trip Gen'!AP156</f>
        <v>17031.879999999994</v>
      </c>
      <c r="AD88" s="1151">
        <f>'Trip Gen'!AQ156</f>
        <v>17320.150000000001</v>
      </c>
      <c r="AE88" s="1151">
        <f>'Trip Gen'!AR156</f>
        <v>17608.420000000002</v>
      </c>
      <c r="AF88" s="1151">
        <f>'Trip Gen'!AS156</f>
        <v>17896.66</v>
      </c>
      <c r="AG88" s="1151">
        <f>'Trip Gen'!AT156</f>
        <v>18184.93</v>
      </c>
      <c r="AH88" s="1151">
        <f>'Trip Gen'!AU156</f>
        <v>18473.2</v>
      </c>
      <c r="AI88" s="1151">
        <f>'Trip Gen'!AV156</f>
        <v>18761.440000000002</v>
      </c>
      <c r="AJ88" s="1182">
        <f t="shared" si="439"/>
        <v>3.5045760000000009E-2</v>
      </c>
      <c r="AK88" s="1162">
        <f t="shared" si="413"/>
        <v>11988.636363636364</v>
      </c>
      <c r="AL88" s="364">
        <f t="shared" si="440"/>
        <v>12334.232784090913</v>
      </c>
      <c r="AM88" s="364">
        <f t="shared" si="441"/>
        <v>12708.302215909092</v>
      </c>
      <c r="AN88" s="364">
        <f t="shared" si="442"/>
        <v>13204.571818181819</v>
      </c>
      <c r="AO88" s="364">
        <f t="shared" si="443"/>
        <v>13700.925340909091</v>
      </c>
      <c r="AP88" s="364">
        <f t="shared" si="444"/>
        <v>14197.482670454545</v>
      </c>
      <c r="AQ88" s="364">
        <f t="shared" si="445"/>
        <v>14693.752272727275</v>
      </c>
      <c r="AR88" s="364">
        <f t="shared" si="446"/>
        <v>15190.153750000003</v>
      </c>
      <c r="AS88" s="364">
        <f t="shared" si="447"/>
        <v>15736.380000000003</v>
      </c>
      <c r="AT88" s="364">
        <f t="shared" si="448"/>
        <v>16282.426420454545</v>
      </c>
      <c r="AU88" s="364">
        <f t="shared" si="449"/>
        <v>16828.652670454547</v>
      </c>
      <c r="AV88" s="364">
        <f t="shared" si="450"/>
        <v>17374.878920454546</v>
      </c>
      <c r="AW88" s="364">
        <f t="shared" si="451"/>
        <v>17921.416875000003</v>
      </c>
      <c r="AX88" s="364">
        <f t="shared" si="452"/>
        <v>18345.395</v>
      </c>
      <c r="AY88" s="364">
        <f t="shared" si="453"/>
        <v>18690.991420454546</v>
      </c>
      <c r="AZ88" s="364">
        <f t="shared" si="454"/>
        <v>19036.587840909095</v>
      </c>
      <c r="BA88" s="364">
        <f t="shared" si="455"/>
        <v>19382.18426136364</v>
      </c>
      <c r="BB88" s="364">
        <f t="shared" si="456"/>
        <v>19727.744715909092</v>
      </c>
      <c r="BC88" s="364">
        <f t="shared" si="457"/>
        <v>20073.341136363633</v>
      </c>
      <c r="BD88" s="364">
        <f t="shared" si="458"/>
        <v>20418.901590909085</v>
      </c>
      <c r="BE88" s="364">
        <f t="shared" si="459"/>
        <v>20764.498011363641</v>
      </c>
      <c r="BF88" s="364">
        <f t="shared" si="460"/>
        <v>21110.094431818186</v>
      </c>
      <c r="BG88" s="364">
        <f t="shared" si="461"/>
        <v>21455.654886363638</v>
      </c>
      <c r="BH88" s="364">
        <f t="shared" si="462"/>
        <v>21801.251306818183</v>
      </c>
      <c r="BI88" s="364">
        <f t="shared" si="463"/>
        <v>22146.847727272729</v>
      </c>
      <c r="BJ88" s="365">
        <f t="shared" ref="BJ88:BJ92" si="464">$H88*AI88</f>
        <v>22492.408181818188</v>
      </c>
      <c r="BK88" s="417">
        <f>((0.33*'Traffic Data'!AK88)/Speed!X169)+((0.67*'Traffic Data'!AK88)/Speed!AX169)</f>
        <v>214.46577905864618</v>
      </c>
      <c r="BL88" s="415">
        <f>((0.33*AL88)/Speed!Y169)+((0.67*AL88)/Speed!AY169)</f>
        <v>220.64818821987501</v>
      </c>
      <c r="BM88" s="415">
        <f>((0.33*AM88)/Speed!Z169)+((0.67*AM88)/Speed!AZ169)</f>
        <v>227.33995559997894</v>
      </c>
      <c r="BN88" s="415">
        <f>((0.33*AN88)/Speed!AA169)+((0.67*AN88)/Speed!BA169)</f>
        <v>236.21777822389637</v>
      </c>
      <c r="BO88" s="415">
        <f>((0.33*AO88)/Speed!AB169)+((0.67*AO88)/Speed!BB169)</f>
        <v>245.09710767466362</v>
      </c>
      <c r="BP88" s="415">
        <f>((0.33*AP88)/Speed!AC169)+((0.67*AP88)/Speed!BC169)</f>
        <v>253.98009080795657</v>
      </c>
      <c r="BQ88" s="415">
        <f>((0.33*AQ88)/Speed!AD169)+((0.67*AQ88)/Speed!BD169)</f>
        <v>262.85793742110286</v>
      </c>
      <c r="BR88" s="415">
        <f>((0.33*AR88)/Speed!AE169)+((0.67*AR88)/Speed!BE169)</f>
        <v>271.73815770362825</v>
      </c>
      <c r="BS88" s="415">
        <f>((0.33*AS88)/Speed!AF169)+((0.67*AS88)/Speed!BF169)</f>
        <v>281.50972569035298</v>
      </c>
      <c r="BT88" s="415">
        <f>((0.33*AT88)/Speed!AG169)+((0.67*AT88)/Speed!BG169)</f>
        <v>291.27810928322657</v>
      </c>
      <c r="BU88" s="415">
        <f>((0.33*AU88)/Speed!AH169)+((0.67*AU88)/Speed!BH169)</f>
        <v>301.04975423549342</v>
      </c>
      <c r="BV88" s="415">
        <f>((0.33*AV88)/Speed!AI169)+((0.67*AV88)/Speed!BI169)</f>
        <v>310.82145883664066</v>
      </c>
      <c r="BW88" s="415">
        <f>((0.33*AW88)/Speed!AJ169)+((0.67*AW88)/Speed!BJ169)</f>
        <v>320.59881922816004</v>
      </c>
      <c r="BX88" s="415">
        <f>((0.33*AX88)/Speed!AK169)+((0.67*AX88)/Speed!BK169)</f>
        <v>328.18370078050259</v>
      </c>
      <c r="BY88" s="415">
        <f>((0.33*AY88)/Speed!AL169)+((0.67*AY88)/Speed!BL169)</f>
        <v>334.36640659908471</v>
      </c>
      <c r="BZ88" s="415">
        <f>((0.33*AZ88)/Speed!AM169)+((0.67*AZ88)/Speed!BM169)</f>
        <v>340.54917356646649</v>
      </c>
      <c r="CA88" s="415">
        <f>((0.33*BA88)/Speed!AN169)+((0.67*BA88)/Speed!BN169)</f>
        <v>346.73201263991746</v>
      </c>
      <c r="CB88" s="415">
        <f>((0.33*BB88)/Speed!AO169)+((0.67*BB88)/Speed!BO169)</f>
        <v>352.91429303139887</v>
      </c>
      <c r="CC88" s="415">
        <f>((0.33*BC88)/Speed!AP169)+((0.67*BC88)/Speed!BP169)</f>
        <v>359.09731625157406</v>
      </c>
      <c r="CD88" s="415">
        <f>((0.33*BD88)/Speed!AQ169)+((0.67*BD88)/Speed!BQ169)</f>
        <v>365.27981217910178</v>
      </c>
      <c r="CE88" s="415">
        <f>((0.33*BE88)/Speed!AR169)+((0.67*BE88)/Speed!BR169)</f>
        <v>371.4630870458862</v>
      </c>
      <c r="CF88" s="415">
        <f>((0.33*BF88)/Speed!AS169)+((0.67*BF88)/Speed!BS169)</f>
        <v>377.64651946542722</v>
      </c>
      <c r="CG88" s="415">
        <f>((0.33*BG88)/Speed!AT169)+((0.67*BG88)/Speed!BT169)</f>
        <v>383.82949112809354</v>
      </c>
      <c r="CH88" s="415">
        <f>((0.33*BH88)/Speed!AU169)+((0.67*BH88)/Speed!BU169)</f>
        <v>390.01331782986495</v>
      </c>
      <c r="CI88" s="415">
        <f>((0.33*BI88)/Speed!AV169)+((0.67*BI88)/Speed!BV169)</f>
        <v>396.19738876159977</v>
      </c>
      <c r="CJ88" s="453">
        <f>((0.33*BJ88)/Speed!AW169)+((0.67*BJ88)/Speed!BW169)</f>
        <v>402.38109743135249</v>
      </c>
      <c r="CK88" s="1394">
        <f>Inputs!$L$35</f>
        <v>0.2</v>
      </c>
      <c r="CL88" s="1393">
        <f>Inputs!$L$36</f>
        <v>0.8</v>
      </c>
      <c r="CM88" s="1401">
        <f>1/(1+CK88)</f>
        <v>0.83333333333333337</v>
      </c>
      <c r="CN88" s="1407">
        <v>0.9</v>
      </c>
      <c r="CQ88" s="12"/>
      <c r="CR88" s="12"/>
      <c r="CS88" s="12"/>
      <c r="CT88" s="12"/>
      <c r="CU88" s="12"/>
      <c r="CV88" s="12"/>
      <c r="CW88" s="12"/>
      <c r="CX88" s="12"/>
      <c r="CY88" s="12"/>
      <c r="CZ88" s="12"/>
    </row>
    <row r="89" spans="2:104" customFormat="1" ht="21.95" customHeight="1" x14ac:dyDescent="0.2">
      <c r="B89" s="492"/>
      <c r="C89" s="116"/>
      <c r="D89" s="116" t="s">
        <v>357</v>
      </c>
      <c r="E89" s="116" t="s">
        <v>346</v>
      </c>
      <c r="F89" s="116" t="s">
        <v>380</v>
      </c>
      <c r="G89" s="364">
        <v>55</v>
      </c>
      <c r="H89" s="1155">
        <f>1213/foottomile</f>
        <v>0.22973484848484849</v>
      </c>
      <c r="I89" s="364">
        <v>4</v>
      </c>
      <c r="J89" s="1162">
        <f>'Trip Gen'!W157</f>
        <v>7600</v>
      </c>
      <c r="K89" s="1151">
        <f>'Trip Gen'!X157</f>
        <v>7815.7</v>
      </c>
      <c r="L89" s="1151">
        <f>'Trip Gen'!Y157</f>
        <v>8055.07</v>
      </c>
      <c r="M89" s="1151">
        <f>'Trip Gen'!Z157</f>
        <v>8391.0499999999993</v>
      </c>
      <c r="N89" s="1151">
        <f>'Trip Gen'!AA157</f>
        <v>8727.09</v>
      </c>
      <c r="O89" s="1151">
        <f>'Trip Gen'!AB157</f>
        <v>9063.1999999999989</v>
      </c>
      <c r="P89" s="1151">
        <f>'Trip Gen'!AC157</f>
        <v>9399.18</v>
      </c>
      <c r="Q89" s="1151">
        <f>'Trip Gen'!AD157</f>
        <v>9735.18</v>
      </c>
      <c r="R89" s="1151">
        <f>'Trip Gen'!AE157</f>
        <v>10112.830000000002</v>
      </c>
      <c r="S89" s="1151">
        <f>'Trip Gen'!AF157</f>
        <v>10490.349999999999</v>
      </c>
      <c r="T89" s="1151">
        <f>'Trip Gen'!AG157</f>
        <v>10867.999999999998</v>
      </c>
      <c r="U89" s="1151">
        <f>'Trip Gen'!AH157</f>
        <v>11245.649999999998</v>
      </c>
      <c r="V89" s="1151">
        <f>'Trip Gen'!AI157</f>
        <v>11623.36</v>
      </c>
      <c r="W89" s="1151">
        <f>'Trip Gen'!AJ157</f>
        <v>11904.439999999999</v>
      </c>
      <c r="X89" s="1151">
        <f>'Trip Gen'!AK157</f>
        <v>12120.14</v>
      </c>
      <c r="Y89" s="1151">
        <f>'Trip Gen'!AL157</f>
        <v>12335.84</v>
      </c>
      <c r="Z89" s="1151">
        <f>'Trip Gen'!AM157</f>
        <v>12551.539999999999</v>
      </c>
      <c r="AA89" s="1151">
        <f>'Trip Gen'!AN157</f>
        <v>12767.129999999997</v>
      </c>
      <c r="AB89" s="1151">
        <f>'Trip Gen'!AO157</f>
        <v>12982.829999999998</v>
      </c>
      <c r="AC89" s="1151">
        <f>'Trip Gen'!AP157</f>
        <v>13198.42</v>
      </c>
      <c r="AD89" s="1151">
        <f>'Trip Gen'!AQ157</f>
        <v>13414.119999999999</v>
      </c>
      <c r="AE89" s="1151">
        <f>'Trip Gen'!AR157</f>
        <v>13629.82</v>
      </c>
      <c r="AF89" s="1151">
        <f>'Trip Gen'!AS157</f>
        <v>13845.409999999998</v>
      </c>
      <c r="AG89" s="1151">
        <f>'Trip Gen'!AT157</f>
        <v>14061.109999999999</v>
      </c>
      <c r="AH89" s="1151">
        <f>'Trip Gen'!AU157</f>
        <v>14276.809999999998</v>
      </c>
      <c r="AI89" s="1151">
        <f>'Trip Gen'!AV157</f>
        <v>14492.399999999998</v>
      </c>
      <c r="AJ89" s="1182">
        <f t="shared" si="439"/>
        <v>3.6275789473684199E-2</v>
      </c>
      <c r="AK89" s="1162">
        <f t="shared" si="413"/>
        <v>1745.9848484848485</v>
      </c>
      <c r="AL89" s="364">
        <f t="shared" si="440"/>
        <v>1795.5386553030303</v>
      </c>
      <c r="AM89" s="364">
        <f t="shared" si="441"/>
        <v>1850.5302859848484</v>
      </c>
      <c r="AN89" s="364">
        <f t="shared" si="442"/>
        <v>1927.7166003787877</v>
      </c>
      <c r="AO89" s="364">
        <f t="shared" si="443"/>
        <v>2004.9166988636364</v>
      </c>
      <c r="AP89" s="364">
        <f t="shared" si="444"/>
        <v>2082.1328787878783</v>
      </c>
      <c r="AQ89" s="364">
        <f t="shared" si="445"/>
        <v>2159.3191931818183</v>
      </c>
      <c r="AR89" s="364">
        <f t="shared" si="446"/>
        <v>2236.5101022727272</v>
      </c>
      <c r="AS89" s="364">
        <f t="shared" si="447"/>
        <v>2323.2694678030307</v>
      </c>
      <c r="AT89" s="364">
        <f t="shared" si="448"/>
        <v>2409.9989678030302</v>
      </c>
      <c r="AU89" s="364">
        <f t="shared" si="449"/>
        <v>2496.7583333333328</v>
      </c>
      <c r="AV89" s="364">
        <f t="shared" si="450"/>
        <v>2583.5176988636358</v>
      </c>
      <c r="AW89" s="364">
        <f t="shared" si="451"/>
        <v>2670.2908484848485</v>
      </c>
      <c r="AX89" s="364">
        <f t="shared" si="452"/>
        <v>2734.8647196969696</v>
      </c>
      <c r="AY89" s="364">
        <f t="shared" si="453"/>
        <v>2784.4185265151514</v>
      </c>
      <c r="AZ89" s="364">
        <f t="shared" si="454"/>
        <v>2833.9723333333336</v>
      </c>
      <c r="BA89" s="364">
        <f t="shared" si="455"/>
        <v>2883.5261401515149</v>
      </c>
      <c r="BB89" s="364">
        <f t="shared" si="456"/>
        <v>2933.054676136363</v>
      </c>
      <c r="BC89" s="364">
        <f t="shared" si="457"/>
        <v>2982.6084829545453</v>
      </c>
      <c r="BD89" s="364">
        <f t="shared" si="458"/>
        <v>3032.1370189393938</v>
      </c>
      <c r="BE89" s="364">
        <f t="shared" si="459"/>
        <v>3081.6908257575756</v>
      </c>
      <c r="BF89" s="364">
        <f t="shared" si="460"/>
        <v>3131.2446325757574</v>
      </c>
      <c r="BG89" s="364">
        <f t="shared" si="461"/>
        <v>3180.7731685606054</v>
      </c>
      <c r="BH89" s="364">
        <f t="shared" si="462"/>
        <v>3230.3269753787877</v>
      </c>
      <c r="BI89" s="364">
        <f t="shared" si="463"/>
        <v>3279.880782196969</v>
      </c>
      <c r="BJ89" s="365">
        <f t="shared" si="464"/>
        <v>3329.4093181818175</v>
      </c>
      <c r="BK89" s="417">
        <f>((0.33*'Traffic Data'!AK89)/Speed!X170)+((0.67*'Traffic Data'!AK89)/Speed!AX170)</f>
        <v>31.234076116374347</v>
      </c>
      <c r="BL89" s="415">
        <f>((0.33*AL89)/Speed!Y170)+((0.67*AL89)/Speed!AY170)</f>
        <v>32.120548551664228</v>
      </c>
      <c r="BM89" s="415">
        <f>((0.33*AM89)/Speed!Z170)+((0.67*AM89)/Speed!AZ170)</f>
        <v>33.104298714799931</v>
      </c>
      <c r="BN89" s="415">
        <f>((0.33*AN89)/Speed!AA170)+((0.67*AN89)/Speed!BA170)</f>
        <v>34.4850915824601</v>
      </c>
      <c r="BO89" s="415">
        <f>((0.33*AO89)/Speed!AB170)+((0.67*AO89)/Speed!BB170)</f>
        <v>35.866131095747598</v>
      </c>
      <c r="BP89" s="415">
        <f>((0.33*AP89)/Speed!AC170)+((0.67*AP89)/Speed!BC170)</f>
        <v>37.24745837789014</v>
      </c>
      <c r="BQ89" s="415">
        <f>((0.33*AQ89)/Speed!AD170)+((0.67*AQ89)/Speed!BD170)</f>
        <v>38.628251514288444</v>
      </c>
      <c r="BR89" s="415">
        <f>((0.33*AR89)/Speed!AE170)+((0.67*AR89)/Speed!BE170)</f>
        <v>40.009127014068632</v>
      </c>
      <c r="BS89" s="415">
        <f>((0.33*AS89)/Speed!AF170)+((0.67*AS89)/Speed!BF170)</f>
        <v>41.561173818789896</v>
      </c>
      <c r="BT89" s="415">
        <f>((0.33*AT89)/Speed!AG170)+((0.67*AT89)/Speed!BG170)</f>
        <v>43.112686767272081</v>
      </c>
      <c r="BU89" s="415">
        <f>((0.33*AU89)/Speed!AH170)+((0.67*AU89)/Speed!BH170)</f>
        <v>44.664734555035196</v>
      </c>
      <c r="BV89" s="415">
        <f>((0.33*AV89)/Speed!AI170)+((0.67*AV89)/Speed!BI170)</f>
        <v>46.216783128509725</v>
      </c>
      <c r="BW89" s="415">
        <f>((0.33*AW89)/Speed!AJ170)+((0.67*AW89)/Speed!BJ170)</f>
        <v>47.769079355491229</v>
      </c>
      <c r="BX89" s="415">
        <f>((0.33*AX89)/Speed!AK170)+((0.67*AX89)/Speed!BK170)</f>
        <v>48.924250695110807</v>
      </c>
      <c r="BY89" s="415">
        <f>((0.33*AY89)/Speed!AL170)+((0.67*AY89)/Speed!BL170)</f>
        <v>49.810726582266469</v>
      </c>
      <c r="BZ89" s="415">
        <f>((0.33*AZ89)/Speed!AM170)+((0.67*AZ89)/Speed!BM170)</f>
        <v>50.697203149697522</v>
      </c>
      <c r="CA89" s="415">
        <f>((0.33*BA89)/Speed!AN170)+((0.67*BA89)/Speed!BN170)</f>
        <v>51.583680514412421</v>
      </c>
      <c r="CB89" s="415">
        <f>((0.33*BB89)/Speed!AO170)+((0.67*BB89)/Speed!BO170)</f>
        <v>52.469706735539802</v>
      </c>
      <c r="CC89" s="415">
        <f>((0.33*BC89)/Speed!AP170)+((0.67*BC89)/Speed!BP170)</f>
        <v>53.356186117708226</v>
      </c>
      <c r="CD89" s="415">
        <f>((0.33*BD89)/Speed!AQ170)+((0.67*BD89)/Speed!BQ170)</f>
        <v>54.242214685981281</v>
      </c>
      <c r="CE89" s="415">
        <f>((0.33*BE89)/Speed!AR170)+((0.67*BE89)/Speed!BR170)</f>
        <v>55.128696794783082</v>
      </c>
      <c r="CF89" s="415">
        <f>((0.33*BF89)/Speed!AS170)+((0.67*BF89)/Speed!BS170)</f>
        <v>56.015180598045049</v>
      </c>
      <c r="CG89" s="415">
        <f>((0.33*BG89)/Speed!AT170)+((0.67*BG89)/Speed!BT170)</f>
        <v>56.901214277758683</v>
      </c>
      <c r="CH89" s="415">
        <f>((0.33*BH89)/Speed!AU170)+((0.67*BH89)/Speed!BU170)</f>
        <v>57.787702288511326</v>
      </c>
      <c r="CI89" s="415">
        <f>((0.33*BI89)/Speed!AV170)+((0.67*BI89)/Speed!BV170)</f>
        <v>58.67419288799919</v>
      </c>
      <c r="CJ89" s="453">
        <f>((0.33*BJ89)/Speed!AW170)+((0.67*BJ89)/Speed!BW170)</f>
        <v>59.560234372457685</v>
      </c>
      <c r="CK89" s="1394"/>
      <c r="CL89" s="1394"/>
      <c r="CM89" s="1402"/>
      <c r="CN89" s="1408"/>
      <c r="CQ89" s="12"/>
      <c r="CR89" s="12"/>
      <c r="CS89" s="12"/>
      <c r="CT89" s="12"/>
      <c r="CU89" s="12"/>
      <c r="CV89" s="12"/>
      <c r="CW89" s="12"/>
      <c r="CX89" s="12"/>
      <c r="CY89" s="12"/>
      <c r="CZ89" s="12"/>
    </row>
    <row r="90" spans="2:104" customFormat="1" ht="21.95" customHeight="1" x14ac:dyDescent="0.2">
      <c r="B90" s="492"/>
      <c r="C90" s="116"/>
      <c r="D90" s="116" t="s">
        <v>346</v>
      </c>
      <c r="E90" s="116" t="s">
        <v>343</v>
      </c>
      <c r="F90" s="116" t="s">
        <v>380</v>
      </c>
      <c r="G90" s="364">
        <v>45</v>
      </c>
      <c r="H90" s="1155">
        <f>300/foottomile</f>
        <v>5.6818181818181816E-2</v>
      </c>
      <c r="I90" s="364">
        <v>4</v>
      </c>
      <c r="J90" s="1162">
        <f>J89</f>
        <v>7600</v>
      </c>
      <c r="K90" s="1151">
        <f>K89</f>
        <v>7815.7</v>
      </c>
      <c r="L90" s="1151">
        <f t="shared" ref="L90:AH90" si="465">L89</f>
        <v>8055.07</v>
      </c>
      <c r="M90" s="1151">
        <f t="shared" si="465"/>
        <v>8391.0499999999993</v>
      </c>
      <c r="N90" s="1151">
        <f t="shared" si="465"/>
        <v>8727.09</v>
      </c>
      <c r="O90" s="1151">
        <f t="shared" si="465"/>
        <v>9063.1999999999989</v>
      </c>
      <c r="P90" s="1151">
        <f t="shared" si="465"/>
        <v>9399.18</v>
      </c>
      <c r="Q90" s="1151">
        <f t="shared" si="465"/>
        <v>9735.18</v>
      </c>
      <c r="R90" s="1151">
        <f t="shared" si="465"/>
        <v>10112.830000000002</v>
      </c>
      <c r="S90" s="1151">
        <f t="shared" si="465"/>
        <v>10490.349999999999</v>
      </c>
      <c r="T90" s="1151">
        <f t="shared" si="465"/>
        <v>10867.999999999998</v>
      </c>
      <c r="U90" s="1151">
        <f t="shared" si="465"/>
        <v>11245.649999999998</v>
      </c>
      <c r="V90" s="1151">
        <f t="shared" si="465"/>
        <v>11623.36</v>
      </c>
      <c r="W90" s="1151">
        <f t="shared" si="465"/>
        <v>11904.439999999999</v>
      </c>
      <c r="X90" s="1151">
        <f t="shared" si="465"/>
        <v>12120.14</v>
      </c>
      <c r="Y90" s="1151">
        <f t="shared" si="465"/>
        <v>12335.84</v>
      </c>
      <c r="Z90" s="1151">
        <f t="shared" si="465"/>
        <v>12551.539999999999</v>
      </c>
      <c r="AA90" s="1151">
        <f t="shared" si="465"/>
        <v>12767.129999999997</v>
      </c>
      <c r="AB90" s="1151">
        <f t="shared" si="465"/>
        <v>12982.829999999998</v>
      </c>
      <c r="AC90" s="1151">
        <f t="shared" si="465"/>
        <v>13198.42</v>
      </c>
      <c r="AD90" s="1151">
        <f t="shared" si="465"/>
        <v>13414.119999999999</v>
      </c>
      <c r="AE90" s="1151">
        <f t="shared" si="465"/>
        <v>13629.82</v>
      </c>
      <c r="AF90" s="1151">
        <f t="shared" si="465"/>
        <v>13845.409999999998</v>
      </c>
      <c r="AG90" s="1151">
        <f t="shared" si="465"/>
        <v>14061.109999999999</v>
      </c>
      <c r="AH90" s="1151">
        <f t="shared" si="465"/>
        <v>14276.809999999998</v>
      </c>
      <c r="AI90" s="1151">
        <f>AI89</f>
        <v>14492.399999999998</v>
      </c>
      <c r="AJ90" s="1182">
        <f t="shared" si="439"/>
        <v>3.6275789473684199E-2</v>
      </c>
      <c r="AK90" s="1162">
        <f t="shared" si="413"/>
        <v>431.81818181818181</v>
      </c>
      <c r="AL90" s="364">
        <f t="shared" si="440"/>
        <v>444.07386363636363</v>
      </c>
      <c r="AM90" s="364">
        <f t="shared" si="441"/>
        <v>457.6744318181818</v>
      </c>
      <c r="AN90" s="364">
        <f t="shared" si="442"/>
        <v>476.7642045454545</v>
      </c>
      <c r="AO90" s="364">
        <f t="shared" si="443"/>
        <v>495.85738636363635</v>
      </c>
      <c r="AP90" s="364">
        <f t="shared" si="444"/>
        <v>514.95454545454538</v>
      </c>
      <c r="AQ90" s="364">
        <f t="shared" si="445"/>
        <v>534.0443181818182</v>
      </c>
      <c r="AR90" s="364">
        <f t="shared" si="446"/>
        <v>553.13522727272732</v>
      </c>
      <c r="AS90" s="364">
        <f t="shared" si="447"/>
        <v>574.59261363636369</v>
      </c>
      <c r="AT90" s="364">
        <f t="shared" si="448"/>
        <v>596.04261363636351</v>
      </c>
      <c r="AU90" s="364">
        <f t="shared" si="449"/>
        <v>617.49999999999989</v>
      </c>
      <c r="AV90" s="364">
        <f t="shared" si="450"/>
        <v>638.95738636363626</v>
      </c>
      <c r="AW90" s="364">
        <f t="shared" si="451"/>
        <v>660.41818181818178</v>
      </c>
      <c r="AX90" s="364">
        <f t="shared" si="452"/>
        <v>676.38863636363624</v>
      </c>
      <c r="AY90" s="364">
        <f t="shared" si="453"/>
        <v>688.64431818181811</v>
      </c>
      <c r="AZ90" s="364">
        <f t="shared" si="454"/>
        <v>700.9</v>
      </c>
      <c r="BA90" s="364">
        <f t="shared" si="455"/>
        <v>713.15568181818173</v>
      </c>
      <c r="BB90" s="364">
        <f t="shared" si="456"/>
        <v>725.40511363636347</v>
      </c>
      <c r="BC90" s="364">
        <f t="shared" si="457"/>
        <v>737.66079545454534</v>
      </c>
      <c r="BD90" s="364">
        <f t="shared" si="458"/>
        <v>749.9102272727273</v>
      </c>
      <c r="BE90" s="364">
        <f t="shared" si="459"/>
        <v>762.16590909090905</v>
      </c>
      <c r="BF90" s="364">
        <f t="shared" si="460"/>
        <v>774.42159090909092</v>
      </c>
      <c r="BG90" s="364">
        <f t="shared" si="461"/>
        <v>786.67102272727254</v>
      </c>
      <c r="BH90" s="364">
        <f t="shared" si="462"/>
        <v>798.92670454545441</v>
      </c>
      <c r="BI90" s="364">
        <f t="shared" si="463"/>
        <v>811.18238636363617</v>
      </c>
      <c r="BJ90" s="365">
        <f t="shared" si="464"/>
        <v>823.43181818181802</v>
      </c>
      <c r="BK90" s="417">
        <f>((0.33*'Traffic Data'!AK90)/Speed!X171)+((0.67*'Traffic Data'!AK90)/Speed!AX171)</f>
        <v>9.4078036195684422</v>
      </c>
      <c r="BL90" s="415">
        <f>((0.33*AL90)/Speed!Y171)+((0.67*AL90)/Speed!AY171)</f>
        <v>9.6748119719759647</v>
      </c>
      <c r="BM90" s="415">
        <f>((0.33*AM90)/Speed!Z171)+((0.67*AM90)/Speed!AZ171)</f>
        <v>9.9711206973509867</v>
      </c>
      <c r="BN90" s="415">
        <f>((0.33*AN90)/Speed!AA171)+((0.67*AN90)/Speed!BA171)</f>
        <v>10.387019986577329</v>
      </c>
      <c r="BO90" s="415">
        <f>((0.33*AO90)/Speed!AB171)+((0.67*AO90)/Speed!BB171)</f>
        <v>10.802993597772398</v>
      </c>
      <c r="BP90" s="415">
        <f>((0.33*AP90)/Speed!AC171)+((0.67*AP90)/Speed!BC171)</f>
        <v>11.219053930733216</v>
      </c>
      <c r="BQ90" s="415">
        <f>((0.33*AQ90)/Speed!AD171)+((0.67*AQ90)/Speed!BD171)</f>
        <v>11.634953440173998</v>
      </c>
      <c r="BR90" s="415">
        <f>((0.33*AR90)/Speed!AE171)+((0.67*AR90)/Speed!BE171)</f>
        <v>12.050877845022891</v>
      </c>
      <c r="BS90" s="415">
        <f>((0.33*AS90)/Speed!AF171)+((0.67*AS90)/Speed!BF171)</f>
        <v>12.518359774879601</v>
      </c>
      <c r="BT90" s="415">
        <f>((0.33*AT90)/Speed!AG171)+((0.67*AT90)/Speed!BG171)</f>
        <v>12.985681118448058</v>
      </c>
      <c r="BU90" s="415">
        <f>((0.33*AU90)/Speed!AH171)+((0.67*AU90)/Speed!BH171)</f>
        <v>13.453163853847396</v>
      </c>
      <c r="BV90" s="415">
        <f>((0.33*AV90)/Speed!AI171)+((0.67*AV90)/Speed!BI171)</f>
        <v>13.920647233089133</v>
      </c>
      <c r="BW90" s="415">
        <f>((0.33*AW90)/Speed!AJ171)+((0.67*AW90)/Speed!BJ171)</f>
        <v>14.388205760195277</v>
      </c>
      <c r="BX90" s="415">
        <f>((0.33*AX90)/Speed!AK171)+((0.67*AX90)/Speed!BK171)</f>
        <v>14.736148975987113</v>
      </c>
      <c r="BY90" s="415">
        <f>((0.33*AY90)/Speed!AL171)+((0.67*AY90)/Speed!BL171)</f>
        <v>15.003160156987317</v>
      </c>
      <c r="BZ90" s="415">
        <f>((0.33*AZ90)/Speed!AM171)+((0.67*AZ90)/Speed!BM171)</f>
        <v>15.270171895431563</v>
      </c>
      <c r="CA90" s="415">
        <f>((0.33*BA90)/Speed!AN171)+((0.67*BA90)/Speed!BN171)</f>
        <v>15.537184287201123</v>
      </c>
      <c r="CB90" s="415">
        <f>((0.33*BB90)/Speed!AO171)+((0.67*BB90)/Speed!BO171)</f>
        <v>15.804061274295618</v>
      </c>
      <c r="CC90" s="415">
        <f>((0.33*BC90)/Speed!AP171)+((0.67*BC90)/Speed!BP171)</f>
        <v>16.071075319244823</v>
      </c>
      <c r="CD90" s="415">
        <f>((0.33*BD90)/Speed!AQ171)+((0.67*BD90)/Speed!BQ171)</f>
        <v>16.337954229681515</v>
      </c>
      <c r="CE90" s="415">
        <f>((0.33*BE90)/Speed!AR171)+((0.67*BE90)/Speed!BR171)</f>
        <v>16.604970508939857</v>
      </c>
      <c r="CF90" s="415">
        <f>((0.33*BF90)/Speed!AS171)+((0.67*BF90)/Speed!BS171)</f>
        <v>16.871988176704569</v>
      </c>
      <c r="CG90" s="415">
        <f>((0.33*BG90)/Speed!AT171)+((0.67*BG90)/Speed!BT171)</f>
        <v>17.138871275653894</v>
      </c>
      <c r="CH90" s="415">
        <f>((0.33*BH90)/Speed!AU171)+((0.67*BH90)/Speed!BU171)</f>
        <v>17.405892391199643</v>
      </c>
      <c r="CI90" s="415">
        <f>((0.33*BI90)/Speed!AV171)+((0.67*BI90)/Speed!BV171)</f>
        <v>17.672915628055435</v>
      </c>
      <c r="CJ90" s="453">
        <f>((0.33*BJ90)/Speed!AW171)+((0.67*BJ90)/Speed!BW171)</f>
        <v>17.939805122515388</v>
      </c>
      <c r="CK90" s="1394"/>
      <c r="CL90" s="1394"/>
      <c r="CM90" s="1402"/>
      <c r="CN90" s="1408"/>
      <c r="CQ90" s="12"/>
      <c r="CR90" s="12"/>
      <c r="CS90" s="12"/>
      <c r="CT90" s="12"/>
      <c r="CU90" s="12"/>
      <c r="CV90" s="12"/>
      <c r="CW90" s="12"/>
      <c r="CX90" s="12"/>
      <c r="CY90" s="12"/>
      <c r="CZ90" s="12"/>
    </row>
    <row r="91" spans="2:104" customFormat="1" ht="21.95" customHeight="1" x14ac:dyDescent="0.2">
      <c r="B91" s="492"/>
      <c r="C91" s="116"/>
      <c r="D91" s="116" t="s">
        <v>343</v>
      </c>
      <c r="E91" s="116" t="s">
        <v>350</v>
      </c>
      <c r="F91" s="116" t="s">
        <v>381</v>
      </c>
      <c r="G91" s="364">
        <v>45</v>
      </c>
      <c r="H91" s="1155">
        <f>975/foottomile</f>
        <v>0.18465909090909091</v>
      </c>
      <c r="I91" s="364">
        <v>4</v>
      </c>
      <c r="J91" s="1162">
        <f>'Trip Gen'!W158</f>
        <v>6000</v>
      </c>
      <c r="K91" s="1151">
        <f>'Trip Gen'!X158</f>
        <v>6170.14</v>
      </c>
      <c r="L91" s="1151">
        <f>'Trip Gen'!Y158</f>
        <v>6364.0099999999993</v>
      </c>
      <c r="M91" s="1151">
        <f>'Trip Gen'!Z158</f>
        <v>6611.7300000000005</v>
      </c>
      <c r="N91" s="1151">
        <f>'Trip Gen'!AA158</f>
        <v>6859.53</v>
      </c>
      <c r="O91" s="1151">
        <f>'Trip Gen'!AB158</f>
        <v>7107.2900000000027</v>
      </c>
      <c r="P91" s="1151">
        <f>'Trip Gen'!AC158</f>
        <v>7355.0100000000011</v>
      </c>
      <c r="Q91" s="1151">
        <f>'Trip Gen'!AD158</f>
        <v>7602.7800000000016</v>
      </c>
      <c r="R91" s="1151">
        <f>'Trip Gen'!AE158</f>
        <v>7882.82</v>
      </c>
      <c r="S91" s="1151">
        <f>'Trip Gen'!AF158</f>
        <v>8162.85</v>
      </c>
      <c r="T91" s="1151">
        <f>'Trip Gen'!AG158</f>
        <v>8442.85</v>
      </c>
      <c r="U91" s="1151">
        <f>'Trip Gen'!AH158</f>
        <v>8722.8900000000012</v>
      </c>
      <c r="V91" s="1151">
        <f>'Trip Gen'!AI158</f>
        <v>9002.98</v>
      </c>
      <c r="W91" s="1151">
        <f>'Trip Gen'!AJ158</f>
        <v>9229.16</v>
      </c>
      <c r="X91" s="1151">
        <f>'Trip Gen'!AK158</f>
        <v>9399.3000000000011</v>
      </c>
      <c r="Y91" s="1151">
        <f>'Trip Gen'!AL158</f>
        <v>9569.4400000000023</v>
      </c>
      <c r="Z91" s="1151">
        <f>'Trip Gen'!AM158</f>
        <v>9739.5800000000017</v>
      </c>
      <c r="AA91" s="1151">
        <f>'Trip Gen'!AN158</f>
        <v>9909.6700000000019</v>
      </c>
      <c r="AB91" s="1151">
        <f>'Trip Gen'!AO158</f>
        <v>10079.809999999998</v>
      </c>
      <c r="AC91" s="1151">
        <f>'Trip Gen'!AP158</f>
        <v>10249.899999999998</v>
      </c>
      <c r="AD91" s="1151">
        <f>'Trip Gen'!AQ158</f>
        <v>10420.039999999997</v>
      </c>
      <c r="AE91" s="1151">
        <f>'Trip Gen'!AR158</f>
        <v>10590.179999999998</v>
      </c>
      <c r="AF91" s="1151">
        <f>'Trip Gen'!AS158</f>
        <v>10760.269999999997</v>
      </c>
      <c r="AG91" s="1151">
        <f>'Trip Gen'!AT158</f>
        <v>10930.409999999998</v>
      </c>
      <c r="AH91" s="1151">
        <f>'Trip Gen'!AU158</f>
        <v>11100.549999999997</v>
      </c>
      <c r="AI91" s="1151">
        <f>'Trip Gen'!AV158</f>
        <v>11270.639999999998</v>
      </c>
      <c r="AJ91" s="1182">
        <f t="shared" si="439"/>
        <v>3.5137599999999984E-2</v>
      </c>
      <c r="AK91" s="1162">
        <f t="shared" ref="AK91:AK92" si="466">$H91*J91</f>
        <v>1107.9545454545455</v>
      </c>
      <c r="AL91" s="364">
        <f t="shared" si="440"/>
        <v>1139.3724431818182</v>
      </c>
      <c r="AM91" s="364">
        <f t="shared" si="441"/>
        <v>1175.1723011363636</v>
      </c>
      <c r="AN91" s="364">
        <f t="shared" si="442"/>
        <v>1220.9160511363636</v>
      </c>
      <c r="AO91" s="364">
        <f t="shared" si="443"/>
        <v>1266.6745738636364</v>
      </c>
      <c r="AP91" s="364">
        <f t="shared" si="444"/>
        <v>1312.4257102272732</v>
      </c>
      <c r="AQ91" s="364">
        <f t="shared" si="445"/>
        <v>1358.169460227273</v>
      </c>
      <c r="AR91" s="364">
        <f t="shared" si="446"/>
        <v>1403.9224431818184</v>
      </c>
      <c r="AS91" s="364">
        <f t="shared" si="447"/>
        <v>1455.6343749999999</v>
      </c>
      <c r="AT91" s="364">
        <f t="shared" si="448"/>
        <v>1507.3444602272727</v>
      </c>
      <c r="AU91" s="364">
        <f t="shared" si="449"/>
        <v>1559.0490056818182</v>
      </c>
      <c r="AV91" s="364">
        <f t="shared" si="450"/>
        <v>1610.7609375000002</v>
      </c>
      <c r="AW91" s="364">
        <f t="shared" si="451"/>
        <v>1662.4821022727272</v>
      </c>
      <c r="AX91" s="364">
        <f t="shared" si="452"/>
        <v>1704.2482954545455</v>
      </c>
      <c r="AY91" s="364">
        <f t="shared" si="453"/>
        <v>1735.6661931818185</v>
      </c>
      <c r="AZ91" s="364">
        <f t="shared" si="454"/>
        <v>1767.0840909090914</v>
      </c>
      <c r="BA91" s="364">
        <f t="shared" si="455"/>
        <v>1798.5019886363639</v>
      </c>
      <c r="BB91" s="364">
        <f t="shared" si="456"/>
        <v>1829.9106534090913</v>
      </c>
      <c r="BC91" s="364">
        <f t="shared" si="457"/>
        <v>1861.3285511363633</v>
      </c>
      <c r="BD91" s="364">
        <f t="shared" si="458"/>
        <v>1892.7372159090905</v>
      </c>
      <c r="BE91" s="364">
        <f t="shared" si="459"/>
        <v>1924.1551136363632</v>
      </c>
      <c r="BF91" s="364">
        <f t="shared" si="460"/>
        <v>1955.5730113636362</v>
      </c>
      <c r="BG91" s="364">
        <f t="shared" si="461"/>
        <v>1986.9816761363631</v>
      </c>
      <c r="BH91" s="364">
        <f t="shared" si="462"/>
        <v>2018.3995738636361</v>
      </c>
      <c r="BI91" s="364">
        <f t="shared" si="463"/>
        <v>2049.8174715909086</v>
      </c>
      <c r="BJ91" s="365">
        <f t="shared" si="464"/>
        <v>2081.2261363636358</v>
      </c>
      <c r="BK91" s="417">
        <f>((0.33*'Traffic Data'!AK91)/Speed!X172)+((0.67*'Traffic Data'!AK91)/Speed!AX172)</f>
        <v>24.138443278803063</v>
      </c>
      <c r="BL91" s="415">
        <f>((0.33*AL91)/Speed!Y172)+((0.67*AL91)/Speed!AY172)</f>
        <v>24.822929076247767</v>
      </c>
      <c r="BM91" s="415">
        <f>((0.33*AM91)/Speed!Z172)+((0.67*AM91)/Speed!AZ172)</f>
        <v>25.602882421113925</v>
      </c>
      <c r="BN91" s="415">
        <f>((0.33*AN91)/Speed!AA172)+((0.67*AN91)/Speed!BA172)</f>
        <v>26.599478304345006</v>
      </c>
      <c r="BO91" s="415">
        <f>((0.33*AO91)/Speed!AB172)+((0.67*AO91)/Speed!BB172)</f>
        <v>27.596396043788651</v>
      </c>
      <c r="BP91" s="415">
        <f>((0.33*AP91)/Speed!AC172)+((0.67*AP91)/Speed!BC172)</f>
        <v>28.593152874598079</v>
      </c>
      <c r="BQ91" s="415">
        <f>((0.33*AQ91)/Speed!AD172)+((0.67*AQ91)/Speed!BD172)</f>
        <v>29.589748802143767</v>
      </c>
      <c r="BR91" s="415">
        <f>((0.33*AR91)/Speed!AE172)+((0.67*AR91)/Speed!BE172)</f>
        <v>30.586545910204492</v>
      </c>
      <c r="BS91" s="415">
        <f>((0.33*AS91)/Speed!AF172)+((0.67*AS91)/Speed!BF172)</f>
        <v>31.713167668524129</v>
      </c>
      <c r="BT91" s="415">
        <f>((0.33*AT91)/Speed!AG172)+((0.67*AT91)/Speed!BG172)</f>
        <v>32.839749260048009</v>
      </c>
      <c r="BU91" s="415">
        <f>((0.33*AU91)/Speed!AH172)+((0.67*AU91)/Speed!BH172)</f>
        <v>33.96621024682468</v>
      </c>
      <c r="BV91" s="415">
        <f>((0.33*AV91)/Speed!AI172)+((0.67*AV91)/Speed!BI172)</f>
        <v>35.09283227508773</v>
      </c>
      <c r="BW91" s="415">
        <f>((0.33*AW91)/Speed!AJ172)+((0.67*AW91)/Speed!BJ172)</f>
        <v>36.219655616042374</v>
      </c>
      <c r="BX91" s="415">
        <f>((0.33*AX91)/Speed!AK172)+((0.67*AX91)/Speed!BK172)</f>
        <v>37.129595084091591</v>
      </c>
      <c r="BY91" s="415">
        <f>((0.33*AY91)/Speed!AL172)+((0.67*AY91)/Speed!BL172)</f>
        <v>37.814081449881925</v>
      </c>
      <c r="BZ91" s="415">
        <f>((0.33*AZ91)/Speed!AM172)+((0.67*AZ91)/Speed!BM172)</f>
        <v>38.498567930043293</v>
      </c>
      <c r="CA91" s="415">
        <f>((0.33*BA91)/Speed!AN172)+((0.67*BA91)/Speed!BN172)</f>
        <v>39.18305454460878</v>
      </c>
      <c r="CB91" s="415">
        <f>((0.33*BB91)/Speed!AO172)+((0.67*BB91)/Speed!BO172)</f>
        <v>39.867340162661222</v>
      </c>
      <c r="CC91" s="415">
        <f>((0.33*BC91)/Speed!AP172)+((0.67*BC91)/Speed!BP172)</f>
        <v>40.551827118711422</v>
      </c>
      <c r="CD91" s="415">
        <f>((0.33*BD91)/Speed!AQ172)+((0.67*BD91)/Speed!BQ172)</f>
        <v>41.23611313512535</v>
      </c>
      <c r="CE91" s="415">
        <f>((0.33*BE91)/Speed!AR172)+((0.67*BE91)/Speed!BR172)</f>
        <v>41.92060055495331</v>
      </c>
      <c r="CF91" s="415">
        <f>((0.33*BF91)/Speed!AS172)+((0.67*BF91)/Speed!BS172)</f>
        <v>42.605088263935485</v>
      </c>
      <c r="CG91" s="415">
        <f>((0.33*BG91)/Speed!AT172)+((0.67*BG91)/Speed!BT172)</f>
        <v>43.289375153020359</v>
      </c>
      <c r="CH91" s="415">
        <f>((0.33*BH91)/Speed!AU172)+((0.67*BH91)/Speed!BU172)</f>
        <v>43.973863582483787</v>
      </c>
      <c r="CI91" s="415">
        <f>((0.33*BI91)/Speed!AV172)+((0.67*BI91)/Speed!BV172)</f>
        <v>44.65835245654759</v>
      </c>
      <c r="CJ91" s="453">
        <f>((0.33*BJ91)/Speed!AW172)+((0.67*BJ91)/Speed!BW172)</f>
        <v>45.342640686663643</v>
      </c>
      <c r="CK91" s="1394"/>
      <c r="CL91" s="1394"/>
      <c r="CM91" s="1402"/>
      <c r="CN91" s="1408"/>
      <c r="CQ91" s="12"/>
      <c r="CR91" s="12"/>
      <c r="CS91" s="12"/>
      <c r="CT91" s="12"/>
      <c r="CU91" s="12"/>
      <c r="CV91" s="12"/>
      <c r="CW91" s="12"/>
      <c r="CX91" s="12"/>
      <c r="CY91" s="12"/>
      <c r="CZ91" s="12"/>
    </row>
    <row r="92" spans="2:104" customFormat="1" ht="21.95" customHeight="1" x14ac:dyDescent="0.2">
      <c r="B92" s="492"/>
      <c r="C92" s="116"/>
      <c r="D92" s="116" t="s">
        <v>350</v>
      </c>
      <c r="E92" s="116" t="s">
        <v>280</v>
      </c>
      <c r="F92" s="116" t="s">
        <v>381</v>
      </c>
      <c r="G92" s="364">
        <v>55</v>
      </c>
      <c r="H92" s="1155">
        <f>8095/foottomile</f>
        <v>1.5331439393939394</v>
      </c>
      <c r="I92" s="364">
        <v>4</v>
      </c>
      <c r="J92" s="1162">
        <f>J91</f>
        <v>6000</v>
      </c>
      <c r="K92" s="1151">
        <f>K91</f>
        <v>6170.14</v>
      </c>
      <c r="L92" s="1151">
        <f t="shared" ref="L92:AH92" si="467">L91</f>
        <v>6364.0099999999993</v>
      </c>
      <c r="M92" s="1151">
        <f t="shared" si="467"/>
        <v>6611.7300000000005</v>
      </c>
      <c r="N92" s="1151">
        <f t="shared" si="467"/>
        <v>6859.53</v>
      </c>
      <c r="O92" s="1151">
        <f t="shared" si="467"/>
        <v>7107.2900000000027</v>
      </c>
      <c r="P92" s="1151">
        <f t="shared" si="467"/>
        <v>7355.0100000000011</v>
      </c>
      <c r="Q92" s="1151">
        <f t="shared" si="467"/>
        <v>7602.7800000000016</v>
      </c>
      <c r="R92" s="1151">
        <f t="shared" si="467"/>
        <v>7882.82</v>
      </c>
      <c r="S92" s="1151">
        <f t="shared" si="467"/>
        <v>8162.85</v>
      </c>
      <c r="T92" s="1151">
        <f t="shared" si="467"/>
        <v>8442.85</v>
      </c>
      <c r="U92" s="1151">
        <f t="shared" si="467"/>
        <v>8722.8900000000012</v>
      </c>
      <c r="V92" s="1151">
        <f t="shared" si="467"/>
        <v>9002.98</v>
      </c>
      <c r="W92" s="1151">
        <f t="shared" si="467"/>
        <v>9229.16</v>
      </c>
      <c r="X92" s="1151">
        <f t="shared" si="467"/>
        <v>9399.3000000000011</v>
      </c>
      <c r="Y92" s="1151">
        <f t="shared" si="467"/>
        <v>9569.4400000000023</v>
      </c>
      <c r="Z92" s="1151">
        <f t="shared" si="467"/>
        <v>9739.5800000000017</v>
      </c>
      <c r="AA92" s="1151">
        <f t="shared" si="467"/>
        <v>9909.6700000000019</v>
      </c>
      <c r="AB92" s="1151">
        <f t="shared" si="467"/>
        <v>10079.809999999998</v>
      </c>
      <c r="AC92" s="1151">
        <f t="shared" si="467"/>
        <v>10249.899999999998</v>
      </c>
      <c r="AD92" s="1151">
        <f t="shared" si="467"/>
        <v>10420.039999999997</v>
      </c>
      <c r="AE92" s="1151">
        <f t="shared" si="467"/>
        <v>10590.179999999998</v>
      </c>
      <c r="AF92" s="1151">
        <f t="shared" si="467"/>
        <v>10760.269999999997</v>
      </c>
      <c r="AG92" s="1151">
        <f t="shared" si="467"/>
        <v>10930.409999999998</v>
      </c>
      <c r="AH92" s="1151">
        <f t="shared" si="467"/>
        <v>11100.549999999997</v>
      </c>
      <c r="AI92" s="1151">
        <f>AI91</f>
        <v>11270.639999999998</v>
      </c>
      <c r="AJ92" s="1182">
        <f t="shared" si="439"/>
        <v>3.5137599999999984E-2</v>
      </c>
      <c r="AK92" s="1162">
        <f t="shared" si="466"/>
        <v>9198.863636363636</v>
      </c>
      <c r="AL92" s="364">
        <f t="shared" si="440"/>
        <v>9459.7127462121225</v>
      </c>
      <c r="AM92" s="364">
        <f t="shared" si="441"/>
        <v>9756.9433617424238</v>
      </c>
      <c r="AN92" s="364">
        <f t="shared" si="442"/>
        <v>10136.733778409092</v>
      </c>
      <c r="AO92" s="364">
        <f t="shared" si="443"/>
        <v>10516.646846590909</v>
      </c>
      <c r="AP92" s="364">
        <f t="shared" si="444"/>
        <v>10896.498589015157</v>
      </c>
      <c r="AQ92" s="364">
        <f t="shared" si="445"/>
        <v>11276.28900568182</v>
      </c>
      <c r="AR92" s="364">
        <f t="shared" si="446"/>
        <v>11656.156079545457</v>
      </c>
      <c r="AS92" s="364">
        <f t="shared" si="447"/>
        <v>12085.497708333332</v>
      </c>
      <c r="AT92" s="364">
        <f t="shared" si="448"/>
        <v>12514.824005681819</v>
      </c>
      <c r="AU92" s="364">
        <f t="shared" si="449"/>
        <v>12944.104308712122</v>
      </c>
      <c r="AV92" s="364">
        <f t="shared" si="450"/>
        <v>13373.445937500002</v>
      </c>
      <c r="AW92" s="364">
        <f t="shared" si="451"/>
        <v>13802.864223484848</v>
      </c>
      <c r="AX92" s="364">
        <f t="shared" si="452"/>
        <v>14149.63071969697</v>
      </c>
      <c r="AY92" s="364">
        <f t="shared" si="453"/>
        <v>14410.479829545457</v>
      </c>
      <c r="AZ92" s="364">
        <f t="shared" si="454"/>
        <v>14671.328939393943</v>
      </c>
      <c r="BA92" s="364">
        <f t="shared" si="455"/>
        <v>14932.178049242428</v>
      </c>
      <c r="BB92" s="364">
        <f t="shared" si="456"/>
        <v>15192.950501893944</v>
      </c>
      <c r="BC92" s="364">
        <f t="shared" si="457"/>
        <v>15453.799611742421</v>
      </c>
      <c r="BD92" s="364">
        <f t="shared" si="458"/>
        <v>15714.572064393937</v>
      </c>
      <c r="BE92" s="364">
        <f t="shared" si="459"/>
        <v>15975.421174242421</v>
      </c>
      <c r="BF92" s="364">
        <f t="shared" si="460"/>
        <v>16236.270284090908</v>
      </c>
      <c r="BG92" s="364">
        <f t="shared" si="461"/>
        <v>16497.04273674242</v>
      </c>
      <c r="BH92" s="364">
        <f t="shared" si="462"/>
        <v>16757.891846590908</v>
      </c>
      <c r="BI92" s="364">
        <f t="shared" si="463"/>
        <v>17018.740956439389</v>
      </c>
      <c r="BJ92" s="365">
        <f t="shared" si="464"/>
        <v>17279.513409090905</v>
      </c>
      <c r="BK92" s="417">
        <f>((0.33*'Traffic Data'!AK92)/Speed!X173)+((0.67*'Traffic Data'!AK92)/Speed!AX173)</f>
        <v>164.55927798828586</v>
      </c>
      <c r="BL92" s="415">
        <f>((0.33*AL92)/Speed!Y173)+((0.67*AL92)/Speed!AY173)</f>
        <v>169.22563059998978</v>
      </c>
      <c r="BM92" s="415">
        <f>((0.33*AM92)/Speed!Z173)+((0.67*AM92)/Speed!AZ173)</f>
        <v>174.54281516679669</v>
      </c>
      <c r="BN92" s="415">
        <f>((0.33*AN92)/Speed!AA173)+((0.67*AN92)/Speed!BA173)</f>
        <v>181.33691927845092</v>
      </c>
      <c r="BO92" s="415">
        <f>((0.33*AO92)/Speed!AB173)+((0.67*AO92)/Speed!BB173)</f>
        <v>188.13321753962737</v>
      </c>
      <c r="BP92" s="415">
        <f>((0.33*AP92)/Speed!AC173)+((0.67*AP92)/Speed!BC173)</f>
        <v>194.92841877483693</v>
      </c>
      <c r="BQ92" s="415">
        <f>((0.33*AQ92)/Speed!AD173)+((0.67*AQ92)/Speed!BD173)</f>
        <v>201.72252299753711</v>
      </c>
      <c r="BR92" s="415">
        <f>((0.33*AR92)/Speed!AE173)+((0.67*AR92)/Speed!BE173)</f>
        <v>208.5179986147636</v>
      </c>
      <c r="BS92" s="415">
        <f>((0.33*AS92)/Speed!AF173)+((0.67*AS92)/Speed!BF173)</f>
        <v>216.19852902282696</v>
      </c>
      <c r="BT92" s="415">
        <f>((0.33*AT92)/Speed!AG173)+((0.67*AT92)/Speed!BG173)</f>
        <v>223.87878532565918</v>
      </c>
      <c r="BU92" s="415">
        <f>((0.33*AU92)/Speed!AH173)+((0.67*AU92)/Speed!BH173)</f>
        <v>231.55821905128661</v>
      </c>
      <c r="BV92" s="415">
        <f>((0.33*AV92)/Speed!AI173)+((0.67*AV92)/Speed!BI173)</f>
        <v>239.23875013578953</v>
      </c>
      <c r="BW92" s="415">
        <f>((0.33*AW92)/Speed!AJ173)+((0.67*AW92)/Speed!BJ173)</f>
        <v>246.92065294603401</v>
      </c>
      <c r="BX92" s="415">
        <f>((0.33*AX92)/Speed!AK173)+((0.67*AX92)/Speed!BK173)</f>
        <v>253.12399074367437</v>
      </c>
      <c r="BY92" s="415">
        <f>((0.33*AY92)/Speed!AL173)+((0.67*AY92)/Speed!BL173)</f>
        <v>257.79034477957077</v>
      </c>
      <c r="BZ92" s="415">
        <f>((0.33*AZ92)/Speed!AM173)+((0.67*AZ92)/Speed!BM173)</f>
        <v>262.45669910206459</v>
      </c>
      <c r="CA92" s="415">
        <f>((0.33*BA92)/Speed!AN173)+((0.67*BA92)/Speed!BN173)</f>
        <v>267.12305376135583</v>
      </c>
      <c r="CB92" s="415">
        <f>((0.33*BB92)/Speed!AO173)+((0.67*BB92)/Speed!BO173)</f>
        <v>271.78803748720338</v>
      </c>
      <c r="CC92" s="415">
        <f>((0.33*BC92)/Speed!AP173)+((0.67*BC92)/Speed!BP173)</f>
        <v>276.45439300220619</v>
      </c>
      <c r="CD92" s="415">
        <f>((0.33*BD92)/Speed!AQ173)+((0.67*BD92)/Speed!BQ173)</f>
        <v>281.1193777262904</v>
      </c>
      <c r="CE92" s="415">
        <f>((0.33*BE92)/Speed!AR173)+((0.67*BE92)/Speed!BR173)</f>
        <v>285.78573440345377</v>
      </c>
      <c r="CF92" s="415">
        <f>((0.33*BF92)/Speed!AS173)+((0.67*BF92)/Speed!BS173)</f>
        <v>290.45209180519612</v>
      </c>
      <c r="CG92" s="415">
        <f>((0.33*BG92)/Speed!AT173)+((0.67*BG92)/Speed!BT173)</f>
        <v>295.11707871606836</v>
      </c>
      <c r="CH92" s="415">
        <f>((0.33*BH92)/Speed!AU173)+((0.67*BH92)/Speed!BU173)</f>
        <v>299.78343792323324</v>
      </c>
      <c r="CI92" s="415">
        <f>((0.33*BI92)/Speed!AV173)+((0.67*BI92)/Speed!BV173)</f>
        <v>304.44979824450263</v>
      </c>
      <c r="CJ92" s="453">
        <f>((0.33*BJ92)/Speed!AW173)+((0.67*BJ92)/Speed!BW173)</f>
        <v>309.11478851580648</v>
      </c>
      <c r="CK92" s="1394"/>
      <c r="CL92" s="1394"/>
      <c r="CM92" s="1402"/>
      <c r="CN92" s="1408"/>
      <c r="CQ92" s="12"/>
      <c r="CR92" s="12"/>
      <c r="CS92" s="12"/>
      <c r="CT92" s="12"/>
      <c r="CU92" s="12"/>
      <c r="CV92" s="12"/>
      <c r="CW92" s="12"/>
      <c r="CX92" s="12"/>
      <c r="CY92" s="12"/>
      <c r="CZ92" s="12"/>
    </row>
    <row r="93" spans="2:104" customFormat="1" ht="21.95" customHeight="1" thickBot="1" x14ac:dyDescent="0.25">
      <c r="B93" s="795"/>
      <c r="C93" s="278"/>
      <c r="D93" s="278" t="s">
        <v>280</v>
      </c>
      <c r="E93" s="278" t="s">
        <v>333</v>
      </c>
      <c r="F93" s="278"/>
      <c r="G93" s="1166">
        <v>55</v>
      </c>
      <c r="H93" s="1177">
        <f>500/foottomile</f>
        <v>9.4696969696969696E-2</v>
      </c>
      <c r="I93" s="1166">
        <v>4</v>
      </c>
      <c r="J93" s="1165">
        <v>2400</v>
      </c>
      <c r="K93" s="1166">
        <f>K92*0.4</f>
        <v>2468.0560000000005</v>
      </c>
      <c r="L93" s="1166">
        <f t="shared" ref="L93" si="468">L92*0.4</f>
        <v>2545.6039999999998</v>
      </c>
      <c r="M93" s="1166">
        <f t="shared" ref="M93" si="469">M92*0.4</f>
        <v>2644.6920000000005</v>
      </c>
      <c r="N93" s="1166">
        <f t="shared" ref="N93" si="470">N92*0.4</f>
        <v>2743.8119999999999</v>
      </c>
      <c r="O93" s="1166">
        <f t="shared" ref="O93" si="471">O92*0.4</f>
        <v>2842.9160000000011</v>
      </c>
      <c r="P93" s="1166">
        <f t="shared" ref="P93" si="472">P92*0.4</f>
        <v>2942.0040000000008</v>
      </c>
      <c r="Q93" s="1166">
        <f t="shared" ref="Q93" si="473">Q92*0.4</f>
        <v>3041.112000000001</v>
      </c>
      <c r="R93" s="1166">
        <f t="shared" ref="R93" si="474">R92*0.4</f>
        <v>3153.1280000000002</v>
      </c>
      <c r="S93" s="1166">
        <f t="shared" ref="S93" si="475">S92*0.4</f>
        <v>3265.1400000000003</v>
      </c>
      <c r="T93" s="1166">
        <f t="shared" ref="T93" si="476">T92*0.4</f>
        <v>3377.1400000000003</v>
      </c>
      <c r="U93" s="1166">
        <f t="shared" ref="U93" si="477">U92*0.4</f>
        <v>3489.1560000000009</v>
      </c>
      <c r="V93" s="1166">
        <f t="shared" ref="V93" si="478">V92*0.4</f>
        <v>3601.192</v>
      </c>
      <c r="W93" s="1166">
        <f t="shared" ref="W93" si="479">W92*0.4</f>
        <v>3691.6640000000002</v>
      </c>
      <c r="X93" s="1166">
        <f t="shared" ref="X93" si="480">X92*0.4</f>
        <v>3759.7200000000007</v>
      </c>
      <c r="Y93" s="1166">
        <f t="shared" ref="Y93" si="481">Y92*0.4</f>
        <v>3827.7760000000012</v>
      </c>
      <c r="Z93" s="1166">
        <f t="shared" ref="Z93" si="482">Z92*0.4</f>
        <v>3895.8320000000008</v>
      </c>
      <c r="AA93" s="1166">
        <f t="shared" ref="AA93" si="483">AA92*0.4</f>
        <v>3963.8680000000008</v>
      </c>
      <c r="AB93" s="1166">
        <f t="shared" ref="AB93" si="484">AB92*0.4</f>
        <v>4031.9239999999991</v>
      </c>
      <c r="AC93" s="1166">
        <f t="shared" ref="AC93" si="485">AC92*0.4</f>
        <v>4099.9599999999991</v>
      </c>
      <c r="AD93" s="1166">
        <f t="shared" ref="AD93" si="486">AD92*0.4</f>
        <v>4168.0159999999987</v>
      </c>
      <c r="AE93" s="1166">
        <f t="shared" ref="AE93" si="487">AE92*0.4</f>
        <v>4236.0719999999992</v>
      </c>
      <c r="AF93" s="1166">
        <f t="shared" ref="AF93" si="488">AF92*0.4</f>
        <v>4304.1079999999993</v>
      </c>
      <c r="AG93" s="1166">
        <f t="shared" ref="AG93" si="489">AG92*0.4</f>
        <v>4372.1639999999998</v>
      </c>
      <c r="AH93" s="1166">
        <f t="shared" ref="AH93" si="490">AH92*0.4</f>
        <v>4440.2199999999993</v>
      </c>
      <c r="AI93" s="1166">
        <f t="shared" ref="AI93" si="491">AI92*0.4</f>
        <v>4508.2559999999994</v>
      </c>
      <c r="AJ93" s="1185">
        <f t="shared" si="439"/>
        <v>3.5137599999999991E-2</v>
      </c>
      <c r="AK93" s="327">
        <f>H93*J93</f>
        <v>227.27272727272728</v>
      </c>
      <c r="AL93" s="262">
        <f t="shared" si="440"/>
        <v>233.7174242424243</v>
      </c>
      <c r="AM93" s="262">
        <f t="shared" si="441"/>
        <v>241.06098484848482</v>
      </c>
      <c r="AN93" s="262">
        <f t="shared" si="442"/>
        <v>250.44431818181823</v>
      </c>
      <c r="AO93" s="262">
        <f t="shared" si="443"/>
        <v>259.8306818181818</v>
      </c>
      <c r="AP93" s="262">
        <f t="shared" si="444"/>
        <v>269.21553030303039</v>
      </c>
      <c r="AQ93" s="262">
        <f t="shared" si="445"/>
        <v>278.59886363636372</v>
      </c>
      <c r="AR93" s="262">
        <f t="shared" si="446"/>
        <v>287.98409090909098</v>
      </c>
      <c r="AS93" s="262">
        <f t="shared" si="447"/>
        <v>298.5916666666667</v>
      </c>
      <c r="AT93" s="262">
        <f t="shared" si="448"/>
        <v>309.19886363636368</v>
      </c>
      <c r="AU93" s="262">
        <f t="shared" si="449"/>
        <v>319.80492424242425</v>
      </c>
      <c r="AV93" s="262">
        <f t="shared" si="450"/>
        <v>330.41250000000008</v>
      </c>
      <c r="AW93" s="262">
        <f t="shared" si="451"/>
        <v>341.02196969696968</v>
      </c>
      <c r="AX93" s="262">
        <f t="shared" si="452"/>
        <v>349.58939393939397</v>
      </c>
      <c r="AY93" s="262">
        <f t="shared" si="453"/>
        <v>356.03409090909099</v>
      </c>
      <c r="AZ93" s="262">
        <f t="shared" si="454"/>
        <v>362.47878787878801</v>
      </c>
      <c r="BA93" s="262">
        <f t="shared" si="455"/>
        <v>368.92348484848492</v>
      </c>
      <c r="BB93" s="262">
        <f t="shared" si="456"/>
        <v>375.36628787878794</v>
      </c>
      <c r="BC93" s="262">
        <f t="shared" si="457"/>
        <v>381.81098484848474</v>
      </c>
      <c r="BD93" s="262">
        <f t="shared" si="458"/>
        <v>388.25378787878782</v>
      </c>
      <c r="BE93" s="262">
        <f t="shared" si="459"/>
        <v>394.69848484848472</v>
      </c>
      <c r="BF93" s="262">
        <f t="shared" si="460"/>
        <v>401.14318181818174</v>
      </c>
      <c r="BG93" s="262">
        <f t="shared" si="461"/>
        <v>407.58598484848477</v>
      </c>
      <c r="BH93" s="262">
        <f t="shared" si="462"/>
        <v>414.03068181818179</v>
      </c>
      <c r="BI93" s="262">
        <f t="shared" si="463"/>
        <v>420.4753787878787</v>
      </c>
      <c r="BJ93" s="355">
        <f>H93*AI93</f>
        <v>426.91818181818178</v>
      </c>
      <c r="BK93" s="418">
        <f>((0.33*'Traffic Data'!AK93)/Speed!X174)+((0.67*'Traffic Data'!AK93)/Speed!AX174)</f>
        <v>4.1098166073256728</v>
      </c>
      <c r="BL93" s="465">
        <f>((0.33*AL93)/Speed!Y174)+((0.67*AL93)/Speed!AY174)</f>
        <v>4.2263580935276419</v>
      </c>
      <c r="BM93" s="465">
        <f>((0.33*AM93)/Speed!Z174)+((0.67*AM93)/Speed!AZ174)</f>
        <v>4.3591543484551938</v>
      </c>
      <c r="BN93" s="465">
        <f>((0.33*AN93)/Speed!AA174)+((0.67*AN93)/Speed!BA174)</f>
        <v>4.5288372448012844</v>
      </c>
      <c r="BO93" s="465">
        <f>((0.33*AO93)/Speed!AB174)+((0.67*AO93)/Speed!BB174)</f>
        <v>4.6985760141229438</v>
      </c>
      <c r="BP93" s="465">
        <f>((0.33*AP93)/Speed!AC174)+((0.67*AP93)/Speed!BC174)</f>
        <v>4.8682888795979888</v>
      </c>
      <c r="BQ93" s="465">
        <f>((0.33*AQ93)/Speed!AD174)+((0.67*AQ93)/Speed!BD174)</f>
        <v>5.0379764018406874</v>
      </c>
      <c r="BR93" s="465">
        <f>((0.33*AR93)/Speed!AE174)+((0.67*AR93)/Speed!BE174)</f>
        <v>5.2077009723411614</v>
      </c>
      <c r="BS93" s="465">
        <f>((0.33*AS93)/Speed!AF174)+((0.67*AS93)/Speed!BF174)</f>
        <v>5.3995353686660401</v>
      </c>
      <c r="BT93" s="465">
        <f>((0.33*AT93)/Speed!AG174)+((0.67*AT93)/Speed!BG174)</f>
        <v>5.5913695901580205</v>
      </c>
      <c r="BU93" s="465">
        <f>((0.33*AU93)/Speed!AH174)+((0.67*AU93)/Speed!BH174)</f>
        <v>5.7831923932666776</v>
      </c>
      <c r="BV93" s="465">
        <f>((0.33*AV93)/Speed!AI174)+((0.67*AV93)/Speed!BI174)</f>
        <v>5.9750549683384424</v>
      </c>
      <c r="BW93" s="465">
        <f>((0.33*AW93)/Speed!AJ174)+((0.67*AW93)/Speed!BJ174)</f>
        <v>6.1669683892631788</v>
      </c>
      <c r="BX93" s="465">
        <f>((0.33*AX93)/Speed!AK174)+((0.67*AX93)/Speed!BK174)</f>
        <v>6.3219592787364434</v>
      </c>
      <c r="BY93" s="465">
        <f>((0.33*AY93)/Speed!AL174)+((0.67*AY93)/Speed!BL174)</f>
        <v>6.4385600931778431</v>
      </c>
      <c r="BZ93" s="465">
        <f>((0.33*AZ93)/Speed!AM174)+((0.67*AZ93)/Speed!BM174)</f>
        <v>6.5551728465395769</v>
      </c>
      <c r="CA93" s="465">
        <f>((0.33*BA93)/Speed!AN174)+((0.67*BA93)/Speed!BN174)</f>
        <v>6.6717996300245872</v>
      </c>
      <c r="CB93" s="465">
        <f>((0.33*BB93)/Speed!AO174)+((0.67*BB93)/Speed!BO174)</f>
        <v>6.7884085727822407</v>
      </c>
      <c r="CC93" s="465">
        <f>((0.33*BC93)/Speed!AP174)+((0.67*BC93)/Speed!BP174)</f>
        <v>6.9050710030408249</v>
      </c>
      <c r="CD93" s="465">
        <f>((0.33*BD93)/Speed!AQ174)+((0.67*BD93)/Speed!BQ174)</f>
        <v>7.0217215298009208</v>
      </c>
      <c r="CE93" s="465">
        <f>((0.33*BE93)/Speed!AR174)+((0.67*BE93)/Speed!BR174)</f>
        <v>7.1384323727100245</v>
      </c>
      <c r="CF93" s="465">
        <f>((0.33*BF93)/Speed!AS174)+((0.67*BF93)/Speed!BS174)</f>
        <v>7.2551733997344883</v>
      </c>
      <c r="CG93" s="465">
        <f>((0.33*BG93)/Speed!AT174)+((0.67*BG93)/Speed!BT174)</f>
        <v>7.3719150225261867</v>
      </c>
      <c r="CH93" s="465">
        <f>((0.33*BH93)/Speed!AU174)+((0.67*BH93)/Speed!BU174)</f>
        <v>7.4887312588652737</v>
      </c>
      <c r="CI93" s="465">
        <f>((0.33*BI93)/Speed!AV174)+((0.67*BI93)/Speed!BV174)</f>
        <v>7.6055939059746951</v>
      </c>
      <c r="CJ93" s="462">
        <f>((0.33*BJ93)/Speed!AW174)+((0.67*BJ93)/Speed!BW174)</f>
        <v>7.7224755158027385</v>
      </c>
      <c r="CK93" s="1400"/>
      <c r="CL93" s="1400"/>
      <c r="CM93" s="1403"/>
      <c r="CN93" s="1410"/>
      <c r="CQ93" s="12"/>
      <c r="CR93" s="12"/>
      <c r="CS93" s="12"/>
      <c r="CT93" s="12"/>
      <c r="CU93" s="12"/>
      <c r="CV93" s="12"/>
      <c r="CW93" s="12"/>
      <c r="CX93" s="12"/>
      <c r="CY93" s="12"/>
      <c r="CZ93" s="12"/>
    </row>
    <row r="94" spans="2:104" ht="21.95" customHeight="1" x14ac:dyDescent="0.2">
      <c r="B94" s="9" t="s">
        <v>249</v>
      </c>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c r="CA94" s="62"/>
      <c r="CB94" s="62"/>
      <c r="CC94" s="62"/>
      <c r="CD94" s="62"/>
      <c r="CE94" s="62"/>
      <c r="CF94" s="62"/>
      <c r="CG94" s="62"/>
      <c r="CH94" s="62"/>
      <c r="CI94" s="62"/>
      <c r="CJ94" s="62"/>
      <c r="CM94"/>
      <c r="CO94"/>
      <c r="CP94"/>
      <c r="CQ94"/>
    </row>
    <row r="95" spans="2:104" ht="21.95" customHeight="1" x14ac:dyDescent="0.2">
      <c r="B95" s="9"/>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M95"/>
      <c r="CO95"/>
      <c r="CP95"/>
      <c r="CQ95"/>
    </row>
    <row r="97" spans="60:87" ht="21.95" customHeight="1" x14ac:dyDescent="0.2">
      <c r="BH97" s="111">
        <f>13942000*365.25</f>
        <v>5092315500</v>
      </c>
      <c r="CI97" s="111">
        <f>(20642+413692)*365.25</f>
        <v>158640493.5</v>
      </c>
    </row>
    <row r="98" spans="60:87" ht="21.95" customHeight="1" x14ac:dyDescent="0.2">
      <c r="BH98" s="111">
        <f>13485600*365.25</f>
        <v>4925615400</v>
      </c>
      <c r="CI98" s="111">
        <f>(26916+459103)*365.25</f>
        <v>177518439.75</v>
      </c>
    </row>
    <row r="99" spans="60:87" ht="21.95" customHeight="1" x14ac:dyDescent="0.2">
      <c r="BH99" s="111">
        <f>13481000*365.25</f>
        <v>4923935250</v>
      </c>
    </row>
    <row r="100" spans="60:87" ht="21.95" customHeight="1" x14ac:dyDescent="0.2">
      <c r="CI100" s="111">
        <f>318618*365.25</f>
        <v>116375224.5</v>
      </c>
    </row>
  </sheetData>
  <mergeCells count="87">
    <mergeCell ref="CK88:CK93"/>
    <mergeCell ref="CL88:CL93"/>
    <mergeCell ref="CM88:CM93"/>
    <mergeCell ref="CN88:CN93"/>
    <mergeCell ref="CN72:CN75"/>
    <mergeCell ref="C76:C84"/>
    <mergeCell ref="CK76:CK84"/>
    <mergeCell ref="CL76:CL84"/>
    <mergeCell ref="CM76:CM84"/>
    <mergeCell ref="CN76:CN84"/>
    <mergeCell ref="C72:C75"/>
    <mergeCell ref="CK72:CK75"/>
    <mergeCell ref="CL72:CL75"/>
    <mergeCell ref="CM72:CM75"/>
    <mergeCell ref="CN65:CN67"/>
    <mergeCell ref="C68:C70"/>
    <mergeCell ref="CK68:CK70"/>
    <mergeCell ref="CL68:CL70"/>
    <mergeCell ref="CM68:CM70"/>
    <mergeCell ref="CN68:CN70"/>
    <mergeCell ref="C65:C67"/>
    <mergeCell ref="CK65:CK67"/>
    <mergeCell ref="CL65:CL67"/>
    <mergeCell ref="CM65:CM67"/>
    <mergeCell ref="CK59:CK64"/>
    <mergeCell ref="CL59:CL64"/>
    <mergeCell ref="CM59:CM64"/>
    <mergeCell ref="CN59:CN64"/>
    <mergeCell ref="CN43:CN46"/>
    <mergeCell ref="C47:C55"/>
    <mergeCell ref="CK47:CK55"/>
    <mergeCell ref="CL47:CL55"/>
    <mergeCell ref="CM47:CM55"/>
    <mergeCell ref="CN47:CN55"/>
    <mergeCell ref="C43:C46"/>
    <mergeCell ref="CK43:CK46"/>
    <mergeCell ref="CL43:CL46"/>
    <mergeCell ref="CM43:CM46"/>
    <mergeCell ref="CN36:CN38"/>
    <mergeCell ref="C39:C41"/>
    <mergeCell ref="CK39:CK41"/>
    <mergeCell ref="CL39:CL41"/>
    <mergeCell ref="CM39:CM41"/>
    <mergeCell ref="CN39:CN41"/>
    <mergeCell ref="C36:C38"/>
    <mergeCell ref="CK36:CK38"/>
    <mergeCell ref="CL36:CL38"/>
    <mergeCell ref="CM36:CM38"/>
    <mergeCell ref="CM30:CM35"/>
    <mergeCell ref="CN7:CN9"/>
    <mergeCell ref="CN10:CN12"/>
    <mergeCell ref="CN14:CN17"/>
    <mergeCell ref="CN18:CN26"/>
    <mergeCell ref="CN30:CN35"/>
    <mergeCell ref="CM18:CM26"/>
    <mergeCell ref="CK30:CK35"/>
    <mergeCell ref="CL7:CL9"/>
    <mergeCell ref="CL10:CL12"/>
    <mergeCell ref="CL14:CL17"/>
    <mergeCell ref="CL18:CL26"/>
    <mergeCell ref="CL30:CL35"/>
    <mergeCell ref="CM5:CM6"/>
    <mergeCell ref="CN5:CN6"/>
    <mergeCell ref="CM7:CM9"/>
    <mergeCell ref="CM10:CM12"/>
    <mergeCell ref="CM14:CM17"/>
    <mergeCell ref="C18:C26"/>
    <mergeCell ref="AJ5:AJ6"/>
    <mergeCell ref="CK5:CK6"/>
    <mergeCell ref="CL5:CL6"/>
    <mergeCell ref="F5:F6"/>
    <mergeCell ref="AK5:BJ5"/>
    <mergeCell ref="BK5:CJ5"/>
    <mergeCell ref="C7:C9"/>
    <mergeCell ref="C10:C12"/>
    <mergeCell ref="C14:C17"/>
    <mergeCell ref="G5:G6"/>
    <mergeCell ref="J5:AI5"/>
    <mergeCell ref="CK7:CK9"/>
    <mergeCell ref="CK10:CK12"/>
    <mergeCell ref="CK14:CK17"/>
    <mergeCell ref="CK18:CK26"/>
    <mergeCell ref="B5:B6"/>
    <mergeCell ref="H5:H6"/>
    <mergeCell ref="C5:C6"/>
    <mergeCell ref="D5:E5"/>
    <mergeCell ref="I5:I6"/>
  </mergeCells>
  <phoneticPr fontId="50" type="noConversion"/>
  <pageMargins left="0.7" right="0.7" top="0.75" bottom="0.75" header="0.3" footer="0.3"/>
  <pageSetup orientation="portrait" horizontalDpi="90" verticalDpi="90" r:id="rId1"/>
  <ignoredErrors>
    <ignoredError sqref="H8 BJ13"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1ECB1-CEA2-42AF-B5E9-9547D658E29D}">
  <sheetPr>
    <tabColor theme="9" tint="0.59999389629810485"/>
  </sheetPr>
  <dimension ref="A1:CK485"/>
  <sheetViews>
    <sheetView workbookViewId="0">
      <selection activeCell="I23" sqref="I23"/>
    </sheetView>
  </sheetViews>
  <sheetFormatPr defaultRowHeight="14.25" x14ac:dyDescent="0.2"/>
  <cols>
    <col min="1" max="1" width="21.5" bestFit="1" customWidth="1"/>
    <col min="2" max="2" width="7.75" bestFit="1" customWidth="1"/>
    <col min="3" max="3" width="13.25" bestFit="1" customWidth="1"/>
    <col min="4" max="4" width="14.625" bestFit="1" customWidth="1"/>
    <col min="5" max="5" width="11" bestFit="1" customWidth="1"/>
    <col min="6" max="6" width="13.375" bestFit="1" customWidth="1"/>
    <col min="8" max="8" width="11.5" bestFit="1" customWidth="1"/>
    <col min="10" max="10" width="10.625" bestFit="1" customWidth="1"/>
    <col min="11" max="11" width="10.875" bestFit="1" customWidth="1"/>
    <col min="12" max="12" width="8.875" bestFit="1" customWidth="1"/>
    <col min="13" max="13" width="10.5" bestFit="1" customWidth="1"/>
    <col min="14" max="14" width="11.5" bestFit="1" customWidth="1"/>
    <col min="15" max="15" width="9.25" bestFit="1" customWidth="1"/>
    <col min="16" max="16" width="10.875" bestFit="1" customWidth="1"/>
    <col min="18" max="18" width="18.75" bestFit="1" customWidth="1"/>
    <col min="19" max="19" width="16.5" bestFit="1" customWidth="1"/>
    <col min="20" max="20" width="20.125" bestFit="1" customWidth="1"/>
    <col min="51" max="51" width="12" bestFit="1" customWidth="1"/>
  </cols>
  <sheetData>
    <row r="1" spans="1:89" ht="15" customHeight="1" x14ac:dyDescent="0.25">
      <c r="A1" s="1437" t="s">
        <v>649</v>
      </c>
      <c r="B1" s="1438"/>
      <c r="C1" s="1146"/>
      <c r="D1" s="1146"/>
      <c r="E1" s="1439" t="s">
        <v>650</v>
      </c>
      <c r="F1" s="1439"/>
      <c r="G1" s="1439"/>
      <c r="H1" s="1146"/>
      <c r="I1" s="1146"/>
      <c r="J1" s="1146"/>
      <c r="K1" s="1146"/>
      <c r="L1" s="1146"/>
      <c r="M1" s="1146"/>
      <c r="N1" s="1146"/>
      <c r="O1" s="1146"/>
      <c r="P1" s="1146"/>
      <c r="Q1" s="1146"/>
      <c r="R1" s="1146"/>
      <c r="S1" s="1146"/>
      <c r="T1" s="1146"/>
      <c r="U1" s="1146"/>
      <c r="V1" s="1146"/>
      <c r="W1" s="1146"/>
      <c r="X1" s="1146"/>
      <c r="Y1" s="1146"/>
      <c r="Z1" s="1146"/>
      <c r="AA1" s="1146"/>
      <c r="AB1" s="1146"/>
      <c r="AC1" s="1146"/>
      <c r="AD1" s="1146"/>
      <c r="AE1" s="1146"/>
      <c r="AF1" s="1146"/>
      <c r="AG1" s="1146"/>
      <c r="AH1" s="1146"/>
      <c r="AI1" s="1146"/>
      <c r="AJ1" s="1146"/>
      <c r="AK1" s="1146"/>
      <c r="AL1" s="1146"/>
      <c r="AM1" s="1146"/>
      <c r="AN1" s="1146"/>
      <c r="AO1" s="1146"/>
      <c r="AP1" s="1146"/>
      <c r="AQ1" s="1146"/>
      <c r="AR1" s="1146"/>
      <c r="AS1" s="1146"/>
      <c r="AT1" s="1146"/>
      <c r="AU1" s="1146"/>
      <c r="AV1" s="1146"/>
      <c r="AW1" s="1146"/>
      <c r="AX1" s="1146"/>
      <c r="AY1" s="1146"/>
      <c r="AZ1" s="1146"/>
      <c r="BA1" s="1146"/>
      <c r="BB1" s="1146"/>
      <c r="BC1" s="1146"/>
      <c r="BD1" s="1146"/>
      <c r="BE1" s="1146"/>
      <c r="BF1" s="1146"/>
      <c r="BG1" s="1146"/>
      <c r="BH1" s="1146"/>
      <c r="BI1" s="1146"/>
      <c r="BJ1" s="1146"/>
      <c r="BK1" s="1146"/>
      <c r="BL1" s="1146"/>
      <c r="BM1" s="1146"/>
      <c r="BN1" s="1146"/>
      <c r="BO1" s="1146"/>
      <c r="BP1" s="1146"/>
      <c r="BQ1" s="1146"/>
      <c r="BR1" s="1146"/>
      <c r="BS1" s="1146"/>
      <c r="BT1" s="1146"/>
      <c r="BU1" s="1146"/>
      <c r="BV1" s="1146"/>
      <c r="BW1" s="1146"/>
      <c r="BX1" s="1146"/>
      <c r="BY1" s="1146"/>
      <c r="BZ1" s="1146"/>
      <c r="CA1" s="1146"/>
      <c r="CB1" s="1146"/>
      <c r="CC1" s="1146"/>
      <c r="CD1" s="1146"/>
      <c r="CE1" s="1146"/>
      <c r="CF1" s="1146"/>
      <c r="CG1" s="1146"/>
      <c r="CH1" s="1146"/>
      <c r="CI1" s="1146"/>
      <c r="CJ1" s="1146"/>
      <c r="CK1" s="1146"/>
    </row>
    <row r="2" spans="1:89" ht="15" x14ac:dyDescent="0.25">
      <c r="A2" s="1216" t="s">
        <v>651</v>
      </c>
      <c r="B2" s="1198">
        <v>0.1</v>
      </c>
      <c r="C2" s="1146"/>
      <c r="D2" s="1146"/>
      <c r="E2" s="1439"/>
      <c r="F2" s="1439"/>
      <c r="G2" s="1439"/>
      <c r="H2" s="1146"/>
      <c r="I2" s="1146"/>
      <c r="J2" s="1146"/>
      <c r="K2" s="1146"/>
      <c r="L2" s="1146"/>
      <c r="M2" s="1146"/>
      <c r="N2" s="1146"/>
      <c r="O2" s="1146"/>
      <c r="P2" s="1146"/>
      <c r="Q2" s="1146"/>
      <c r="R2" s="1146"/>
      <c r="S2" s="1146"/>
      <c r="T2" s="1146"/>
      <c r="U2" s="1146"/>
      <c r="V2" s="1146"/>
      <c r="W2" s="1146"/>
      <c r="X2" s="1146"/>
      <c r="Y2" s="1146"/>
      <c r="Z2" s="1146"/>
      <c r="AA2" s="1146"/>
      <c r="AB2" s="1146"/>
      <c r="AC2" s="1146"/>
      <c r="AD2" s="1146"/>
      <c r="AE2" s="1146"/>
      <c r="AF2" s="1146"/>
      <c r="AG2" s="1146"/>
      <c r="AH2" s="1146"/>
      <c r="AI2" s="1146"/>
      <c r="AJ2" s="1146"/>
      <c r="AK2" s="1146"/>
      <c r="AL2" s="1146"/>
      <c r="AM2" s="1146"/>
      <c r="AN2" s="1146"/>
      <c r="AO2" s="1146"/>
      <c r="AP2" s="1146"/>
      <c r="AQ2" s="1146"/>
      <c r="AR2" s="1146"/>
      <c r="AS2" s="1146"/>
      <c r="AT2" s="1146"/>
      <c r="AU2" s="1146"/>
      <c r="AV2" s="1146"/>
      <c r="AW2" s="1146"/>
      <c r="AX2" s="1146"/>
      <c r="AY2" s="1146"/>
      <c r="AZ2" s="1146"/>
      <c r="BA2" s="1146"/>
      <c r="BB2" s="1146"/>
      <c r="BC2" s="1146"/>
      <c r="BD2" s="1146"/>
      <c r="BE2" s="1146"/>
      <c r="BF2" s="1146"/>
      <c r="BG2" s="1146"/>
      <c r="BH2" s="1146"/>
      <c r="BI2" s="1146"/>
      <c r="BJ2" s="1146"/>
      <c r="BK2" s="1146"/>
      <c r="BL2" s="1146"/>
      <c r="BM2" s="1146"/>
      <c r="BN2" s="1146"/>
      <c r="BO2" s="1146"/>
      <c r="BP2" s="1146"/>
      <c r="BQ2" s="1146"/>
      <c r="BR2" s="1146"/>
      <c r="BS2" s="1146"/>
      <c r="BT2" s="1146"/>
      <c r="BU2" s="1146"/>
      <c r="BV2" s="1146"/>
      <c r="BW2" s="1146"/>
      <c r="BX2" s="1146"/>
      <c r="BY2" s="1146"/>
      <c r="BZ2" s="1146"/>
      <c r="CA2" s="1146"/>
      <c r="CB2" s="1146"/>
      <c r="CC2" s="1146"/>
      <c r="CD2" s="1146"/>
      <c r="CE2" s="1146"/>
      <c r="CF2" s="1146"/>
      <c r="CG2" s="1146"/>
      <c r="CH2" s="1146"/>
      <c r="CI2" s="1146"/>
      <c r="CJ2" s="1146"/>
      <c r="CK2" s="1146"/>
    </row>
    <row r="3" spans="1:89" ht="15" x14ac:dyDescent="0.25">
      <c r="A3" s="1216" t="s">
        <v>652</v>
      </c>
      <c r="B3" s="1198">
        <v>1E-3</v>
      </c>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f>AD7*2</f>
        <v>10704</v>
      </c>
      <c r="AE3" s="1146"/>
      <c r="AF3" s="1146"/>
      <c r="AG3" s="1146">
        <f>AG8*2</f>
        <v>5608</v>
      </c>
      <c r="AH3" s="1146"/>
      <c r="AI3" s="1146"/>
      <c r="AJ3" s="1146"/>
      <c r="AK3" s="1146"/>
      <c r="AL3" s="1146"/>
      <c r="AM3" s="1146"/>
      <c r="AN3" s="1146"/>
      <c r="AO3" s="1146"/>
      <c r="AP3" s="1146"/>
      <c r="AQ3" s="1146"/>
      <c r="AR3" s="1146"/>
      <c r="AS3" s="1146"/>
      <c r="AT3" s="1146"/>
      <c r="AU3" s="1146"/>
      <c r="AV3" s="1146"/>
      <c r="AW3" s="1146"/>
      <c r="AX3" s="1146"/>
      <c r="AY3" s="1146"/>
      <c r="AZ3" s="1146"/>
      <c r="BA3" s="1146"/>
      <c r="BB3" s="1146"/>
      <c r="BC3" s="1146"/>
      <c r="BD3" s="1146"/>
      <c r="BE3" s="1146"/>
      <c r="BF3" s="1146"/>
      <c r="BG3" s="1146"/>
      <c r="BH3" s="1146"/>
      <c r="BI3" s="1146"/>
      <c r="BJ3" s="1146"/>
      <c r="BK3" s="1146"/>
      <c r="BL3" s="1146"/>
      <c r="BM3" s="1146"/>
      <c r="BN3" s="1146"/>
      <c r="BO3" s="1146"/>
      <c r="BP3" s="1146"/>
      <c r="BQ3" s="1146"/>
      <c r="BR3" s="1146"/>
      <c r="BS3" s="1146"/>
      <c r="BT3" s="1146"/>
      <c r="BU3" s="1146"/>
      <c r="BV3" s="1146"/>
      <c r="BW3" s="1146"/>
      <c r="BX3" s="1146"/>
      <c r="BY3" s="1146"/>
      <c r="BZ3" s="1146"/>
      <c r="CA3" s="1146"/>
      <c r="CB3" s="1146"/>
      <c r="CC3" s="1146"/>
      <c r="CD3" s="1146"/>
      <c r="CE3" s="1146"/>
      <c r="CF3" s="1146"/>
      <c r="CG3" s="1146"/>
      <c r="CH3" s="1146"/>
      <c r="CI3" s="1146"/>
      <c r="CJ3" s="1146"/>
      <c r="CK3" s="1146"/>
    </row>
    <row r="4" spans="1:89" ht="15" x14ac:dyDescent="0.25">
      <c r="A4" s="1146"/>
      <c r="B4" s="1146"/>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c r="AD4" s="1146"/>
      <c r="AE4" s="1146"/>
      <c r="AF4" s="1146"/>
      <c r="AG4" s="1146"/>
      <c r="AH4" s="1146"/>
      <c r="AI4" s="1146"/>
      <c r="AJ4" s="1146"/>
      <c r="AK4" s="1146"/>
      <c r="AL4" s="1146"/>
      <c r="AM4" s="1146"/>
      <c r="AN4" s="1146"/>
      <c r="AO4" s="1146"/>
      <c r="AP4" s="1146"/>
      <c r="AQ4" s="1146"/>
      <c r="AR4" s="1146"/>
      <c r="AS4" s="1146"/>
      <c r="AT4" s="1146"/>
      <c r="AU4" s="1146"/>
      <c r="AV4" s="1146"/>
      <c r="AW4" s="1146"/>
      <c r="AX4" s="1146"/>
      <c r="AY4" s="1146"/>
      <c r="AZ4" s="1146"/>
      <c r="BA4" s="1146"/>
      <c r="BB4" s="1146"/>
      <c r="BC4" s="1146"/>
      <c r="BD4" s="1146"/>
      <c r="BE4" s="1146"/>
      <c r="BF4" s="1146"/>
      <c r="BG4" s="1146"/>
      <c r="BH4" s="1146"/>
      <c r="BI4" s="1146"/>
      <c r="BJ4" s="1146"/>
      <c r="BK4" s="1146"/>
      <c r="BL4" s="1146"/>
      <c r="BM4" s="1146"/>
      <c r="BN4" s="1146"/>
      <c r="BO4" s="1146"/>
      <c r="BP4" s="1146"/>
      <c r="BQ4" s="1146"/>
      <c r="BR4" s="1146"/>
      <c r="BS4" s="1146"/>
      <c r="BT4" s="1146"/>
      <c r="BU4" s="1146"/>
      <c r="BV4" s="1146"/>
      <c r="BW4" s="1146"/>
      <c r="BX4" s="1146"/>
      <c r="BY4" s="1146"/>
      <c r="BZ4" s="1146"/>
      <c r="CA4" s="1146"/>
      <c r="CB4" s="1146"/>
      <c r="CC4" s="1146"/>
      <c r="CD4" s="1146"/>
      <c r="CE4" s="1146"/>
      <c r="CF4" s="1146"/>
      <c r="CG4" s="1146"/>
      <c r="CH4" s="1146"/>
      <c r="CI4" s="1146"/>
      <c r="CJ4" s="1146"/>
      <c r="CK4" s="1146"/>
    </row>
    <row r="5" spans="1:89" ht="15" x14ac:dyDescent="0.25">
      <c r="A5" s="1146"/>
      <c r="B5" s="1201" t="s">
        <v>653</v>
      </c>
      <c r="C5" s="1201" t="s">
        <v>654</v>
      </c>
      <c r="D5" s="1201" t="s">
        <v>655</v>
      </c>
      <c r="E5" s="1201" t="s">
        <v>656</v>
      </c>
      <c r="F5" s="1201" t="s">
        <v>657</v>
      </c>
      <c r="G5" s="1201" t="s">
        <v>658</v>
      </c>
      <c r="H5" s="1201" t="s">
        <v>659</v>
      </c>
      <c r="I5" s="1201" t="s">
        <v>660</v>
      </c>
      <c r="J5" s="1201" t="s">
        <v>661</v>
      </c>
      <c r="K5" s="1201" t="s">
        <v>662</v>
      </c>
      <c r="L5" s="1201" t="s">
        <v>663</v>
      </c>
      <c r="M5" s="1201" t="s">
        <v>664</v>
      </c>
      <c r="N5" s="1201" t="s">
        <v>665</v>
      </c>
      <c r="O5" s="1201" t="s">
        <v>666</v>
      </c>
      <c r="P5" s="1201" t="s">
        <v>667</v>
      </c>
      <c r="Q5" s="1146"/>
      <c r="R5" s="1204" t="s">
        <v>668</v>
      </c>
      <c r="S5" s="1204" t="s">
        <v>669</v>
      </c>
      <c r="T5" s="1204" t="s">
        <v>670</v>
      </c>
      <c r="U5" s="1146"/>
      <c r="V5" s="1146"/>
      <c r="W5" s="1206">
        <v>2023</v>
      </c>
      <c r="X5" s="1206">
        <v>2024</v>
      </c>
      <c r="Y5" s="1206">
        <v>2025</v>
      </c>
      <c r="Z5" s="1206">
        <v>2026</v>
      </c>
      <c r="AA5" s="1206">
        <v>2027</v>
      </c>
      <c r="AB5" s="1206">
        <v>2028</v>
      </c>
      <c r="AC5" s="1206">
        <v>2029</v>
      </c>
      <c r="AD5" s="1206">
        <v>2030</v>
      </c>
      <c r="AE5" s="1206">
        <v>2031</v>
      </c>
      <c r="AF5" s="1206">
        <v>2032</v>
      </c>
      <c r="AG5" s="1206">
        <v>2033</v>
      </c>
      <c r="AH5" s="1206">
        <v>2034</v>
      </c>
      <c r="AI5" s="1206">
        <v>2035</v>
      </c>
      <c r="AJ5" s="1206">
        <v>2036</v>
      </c>
      <c r="AK5" s="1206">
        <v>2037</v>
      </c>
      <c r="AL5" s="1206">
        <v>2038</v>
      </c>
      <c r="AM5" s="1206">
        <v>2039</v>
      </c>
      <c r="AN5" s="1206">
        <v>2040</v>
      </c>
      <c r="AO5" s="1206">
        <v>2041</v>
      </c>
      <c r="AP5" s="1206">
        <v>2042</v>
      </c>
      <c r="AQ5" s="1206">
        <v>2043</v>
      </c>
      <c r="AR5" s="1206">
        <v>2044</v>
      </c>
      <c r="AS5" s="1206">
        <v>2045</v>
      </c>
      <c r="AT5" s="1206">
        <v>2046</v>
      </c>
      <c r="AU5" s="1206">
        <v>2047</v>
      </c>
      <c r="AV5" s="1206">
        <v>2048</v>
      </c>
      <c r="AW5" s="1147"/>
      <c r="AX5" s="1147"/>
      <c r="AY5" s="1147"/>
      <c r="AZ5" s="1147"/>
      <c r="BA5" s="1147"/>
      <c r="BB5" s="1147"/>
      <c r="BC5" s="1147"/>
      <c r="BD5" s="1147"/>
      <c r="BE5" s="1147"/>
      <c r="BF5" s="1147"/>
      <c r="BG5" s="1147"/>
      <c r="BH5" s="1147"/>
      <c r="BI5" s="1147"/>
      <c r="BJ5" s="1147"/>
      <c r="BK5" s="1147"/>
      <c r="BL5" s="1147"/>
      <c r="BM5" s="1147"/>
      <c r="BN5" s="1147"/>
      <c r="BO5" s="1147"/>
      <c r="BP5" s="1147"/>
      <c r="BQ5" s="1147"/>
      <c r="BR5" s="1147"/>
      <c r="BS5" s="1147"/>
      <c r="BT5" s="1147"/>
      <c r="BU5" s="1147"/>
      <c r="BV5" s="1147"/>
      <c r="BW5" s="1147"/>
      <c r="BX5" s="1147"/>
      <c r="BY5" s="1147"/>
      <c r="BZ5" s="1147"/>
      <c r="CA5" s="1147"/>
      <c r="CB5" s="1147"/>
      <c r="CC5" s="1147"/>
      <c r="CD5" s="1147"/>
      <c r="CE5" s="1147"/>
      <c r="CF5" s="1147"/>
      <c r="CG5" s="1147"/>
      <c r="CH5" s="1147"/>
      <c r="CI5" s="1147"/>
      <c r="CJ5" s="1217"/>
      <c r="CK5" s="1146"/>
    </row>
    <row r="6" spans="1:89" ht="15" x14ac:dyDescent="0.25">
      <c r="A6" s="1146"/>
      <c r="B6" s="1202">
        <v>1</v>
      </c>
      <c r="C6" s="1198">
        <v>700</v>
      </c>
      <c r="D6" s="1199">
        <f>C6*43560</f>
        <v>30492000</v>
      </c>
      <c r="E6" s="1199">
        <f>D6*$B$2</f>
        <v>3049200</v>
      </c>
      <c r="F6" s="1199">
        <f>E6*$B$3</f>
        <v>3049.2000000000003</v>
      </c>
      <c r="G6" s="1199">
        <f>ROUNDUP(2.34*F6,0)</f>
        <v>7136</v>
      </c>
      <c r="H6" s="1199">
        <f>ROUNDUP($K$29*F6,0)</f>
        <v>1031</v>
      </c>
      <c r="I6" s="1198">
        <f>ROUNDUP($L$29*H6,0)</f>
        <v>726</v>
      </c>
      <c r="J6" s="1199">
        <f>H6-I6</f>
        <v>305</v>
      </c>
      <c r="K6" s="1199">
        <f>ROUNDUP($O$29*F6,0)</f>
        <v>1014</v>
      </c>
      <c r="L6" s="1198">
        <f>ROUNDUP($P$29*K6,0)</f>
        <v>338</v>
      </c>
      <c r="M6" s="1199">
        <f>K6-L6</f>
        <v>676</v>
      </c>
      <c r="N6" s="1199">
        <f>G6-H6-K6</f>
        <v>5091</v>
      </c>
      <c r="O6" s="1199">
        <f>ROUNDUP((0.5*G6)-I6-L6,0)</f>
        <v>2504</v>
      </c>
      <c r="P6" s="1199">
        <f>N6-O6</f>
        <v>2587</v>
      </c>
      <c r="Q6" s="1146"/>
      <c r="R6" s="1204">
        <v>2024</v>
      </c>
      <c r="S6" s="1204">
        <v>2027</v>
      </c>
      <c r="T6" s="1204">
        <v>2030</v>
      </c>
      <c r="U6" s="1146"/>
      <c r="V6" s="1146"/>
      <c r="W6" s="1147">
        <v>0</v>
      </c>
      <c r="X6" s="1147">
        <v>0</v>
      </c>
      <c r="Y6" s="1208">
        <f>ROUND((((1)/($S$6-$R$6))*0.5*$G$6),0)</f>
        <v>1189</v>
      </c>
      <c r="Z6" s="1208">
        <f>ROUND((((1)/($S$6-$R$6))*0.5*$G$6),0)+Y6</f>
        <v>2378</v>
      </c>
      <c r="AA6" s="1208">
        <f>ROUND((((1)/($S$6-$R$6))*0.5*$G$6),0)+1+Z6</f>
        <v>3568</v>
      </c>
      <c r="AB6" s="1208">
        <f>ROUND((((1)/($T$6-$S$6))*0.5*$G$6),0)+AA6</f>
        <v>4757</v>
      </c>
      <c r="AC6" s="1208">
        <f>ROUND((((1)/($T$6-$S$6))*0.5*$G$6),0)+AB6</f>
        <v>5946</v>
      </c>
      <c r="AD6" s="1208">
        <f>ROUND((((1)/($T$6-$S$6))*0.5*$G$6),0)+1+AC6</f>
        <v>7136</v>
      </c>
      <c r="AE6" s="1209">
        <f>AD6</f>
        <v>7136</v>
      </c>
      <c r="AF6" s="1208">
        <v>7136</v>
      </c>
      <c r="AG6" s="1208">
        <v>7136</v>
      </c>
      <c r="AH6" s="1208">
        <v>7136</v>
      </c>
      <c r="AI6" s="1208">
        <v>7136</v>
      </c>
      <c r="AJ6" s="1208">
        <v>7136</v>
      </c>
      <c r="AK6" s="1208">
        <v>7136</v>
      </c>
      <c r="AL6" s="1208">
        <v>7136</v>
      </c>
      <c r="AM6" s="1208">
        <v>7136</v>
      </c>
      <c r="AN6" s="1208">
        <v>7136</v>
      </c>
      <c r="AO6" s="1208">
        <v>7136</v>
      </c>
      <c r="AP6" s="1208">
        <v>7136</v>
      </c>
      <c r="AQ6" s="1208">
        <v>7136</v>
      </c>
      <c r="AR6" s="1208">
        <v>7136</v>
      </c>
      <c r="AS6" s="1208">
        <v>7136</v>
      </c>
      <c r="AT6" s="1208">
        <v>7136</v>
      </c>
      <c r="AU6" s="1208">
        <v>7136</v>
      </c>
      <c r="AV6" s="1208">
        <v>7136</v>
      </c>
      <c r="AW6" s="1147"/>
      <c r="AX6" s="1147"/>
      <c r="AY6" s="1147"/>
      <c r="AZ6" s="1147"/>
      <c r="BA6" s="1147"/>
      <c r="BB6" s="1147"/>
      <c r="BC6" s="1147"/>
      <c r="BD6" s="1147"/>
      <c r="BE6" s="1147"/>
      <c r="BF6" s="1147"/>
      <c r="BG6" s="1147"/>
      <c r="BH6" s="1147"/>
      <c r="BI6" s="1147"/>
      <c r="BJ6" s="1147"/>
      <c r="BK6" s="1147"/>
      <c r="BL6" s="1147"/>
      <c r="BM6" s="1147"/>
      <c r="BN6" s="1147"/>
      <c r="BO6" s="1147"/>
      <c r="BP6" s="1147"/>
      <c r="BQ6" s="1147"/>
      <c r="BR6" s="1147"/>
      <c r="BS6" s="1147"/>
      <c r="BT6" s="1147"/>
      <c r="BU6" s="1147"/>
      <c r="BV6" s="1147"/>
      <c r="BW6" s="1147"/>
      <c r="BX6" s="1147"/>
      <c r="BY6" s="1147"/>
      <c r="BZ6" s="1147"/>
      <c r="CA6" s="1147"/>
      <c r="CB6" s="1147"/>
      <c r="CC6" s="1147"/>
      <c r="CD6" s="1147"/>
      <c r="CE6" s="1147"/>
      <c r="CF6" s="1147"/>
      <c r="CG6" s="1147"/>
      <c r="CH6" s="1147"/>
      <c r="CI6" s="1147"/>
      <c r="CJ6" s="1217"/>
      <c r="CK6" s="1146"/>
    </row>
    <row r="7" spans="1:89" ht="15" x14ac:dyDescent="0.25">
      <c r="A7" s="1146"/>
      <c r="B7" s="1202">
        <v>2</v>
      </c>
      <c r="C7" s="1200">
        <v>1050</v>
      </c>
      <c r="D7" s="1199">
        <f t="shared" ref="D7:D13" si="0">C7*43560</f>
        <v>45738000</v>
      </c>
      <c r="E7" s="1199">
        <f t="shared" ref="E7:E13" si="1">D7*$B$2</f>
        <v>4573800</v>
      </c>
      <c r="F7" s="1199">
        <f t="shared" ref="F7:F13" si="2">E7*$B$3</f>
        <v>4573.8</v>
      </c>
      <c r="G7" s="1199">
        <f>ROUNDUP(2.34*F7,0)+1</f>
        <v>10704</v>
      </c>
      <c r="H7" s="1199">
        <f t="shared" ref="H7:H13" si="3">ROUNDUP($K$29*F7,0)</f>
        <v>1546</v>
      </c>
      <c r="I7" s="1198">
        <f t="shared" ref="I7:I13" si="4">ROUNDUP($L$29*H7,0)</f>
        <v>1088</v>
      </c>
      <c r="J7" s="1199">
        <f t="shared" ref="J7:J13" si="5">H7-I7</f>
        <v>458</v>
      </c>
      <c r="K7" s="1199">
        <f t="shared" ref="K7:K13" si="6">ROUNDUP($O$29*F7,0)</f>
        <v>1521</v>
      </c>
      <c r="L7" s="1198">
        <f t="shared" ref="L7:L13" si="7">ROUNDUP($P$29*K7,0)</f>
        <v>506</v>
      </c>
      <c r="M7" s="1199">
        <f t="shared" ref="M7:M13" si="8">K7-L7</f>
        <v>1015</v>
      </c>
      <c r="N7" s="1199">
        <f t="shared" ref="N7:N13" si="9">G7-H7-K7</f>
        <v>7637</v>
      </c>
      <c r="O7" s="1199">
        <f>ROUNDUP(0.5*N7,0)</f>
        <v>3819</v>
      </c>
      <c r="P7" s="1199">
        <f t="shared" ref="P7:P13" si="10">N7-O7</f>
        <v>3818</v>
      </c>
      <c r="Q7" s="1146"/>
      <c r="R7" s="1204">
        <v>2025</v>
      </c>
      <c r="S7" s="1204">
        <v>2030</v>
      </c>
      <c r="T7" s="1204">
        <v>2035</v>
      </c>
      <c r="U7" s="1146"/>
      <c r="V7" s="1146"/>
      <c r="W7" s="1147">
        <v>0</v>
      </c>
      <c r="X7" s="1147">
        <v>0</v>
      </c>
      <c r="Y7" s="1147">
        <v>0</v>
      </c>
      <c r="Z7" s="1208">
        <f>ROUND((((1)/($S$7-$R$7))*0.5*$G$7),0)+Y7</f>
        <v>1070</v>
      </c>
      <c r="AA7" s="1208">
        <f>ROUND((((1)/($S$7-$R$7))*0.5*$G$7),0)+Z7</f>
        <v>2140</v>
      </c>
      <c r="AB7" s="1208">
        <f>ROUND((((1)/($S$7-$R$7))*0.5*$G$7),0)+AA7+1</f>
        <v>3211</v>
      </c>
      <c r="AC7" s="1208">
        <f t="shared" ref="AC7:AF7" si="11">ROUND((((1)/($S$7-$R$7))*0.5*$G$7),0)+AB7</f>
        <v>4281</v>
      </c>
      <c r="AD7" s="1208">
        <f>ROUND((((1)/($S$7-$R$7))*0.5*$G$7),0)+AC7+1</f>
        <v>5352</v>
      </c>
      <c r="AE7" s="1208">
        <f t="shared" si="11"/>
        <v>6422</v>
      </c>
      <c r="AF7" s="1208">
        <f t="shared" si="11"/>
        <v>7492</v>
      </c>
      <c r="AG7" s="1208">
        <f>ROUND((((1)/($S$7-$R$7))*0.5*$G$7),0)+AF7+1</f>
        <v>8563</v>
      </c>
      <c r="AH7" s="1208">
        <f>ROUND((((1)/($S$7-$R$7))*0.5*$G$7),0)+AG7</f>
        <v>9633</v>
      </c>
      <c r="AI7" s="1208">
        <f t="shared" ref="AI7" si="12">ROUND((((1)/($S$7-$R$7))*0.5*$G$7),0)+AH7+1</f>
        <v>10704</v>
      </c>
      <c r="AJ7" s="1208">
        <f>AI7</f>
        <v>10704</v>
      </c>
      <c r="AK7" s="1208">
        <f t="shared" ref="AK7:AV7" si="13">AJ7</f>
        <v>10704</v>
      </c>
      <c r="AL7" s="1208">
        <f t="shared" si="13"/>
        <v>10704</v>
      </c>
      <c r="AM7" s="1208">
        <f t="shared" si="13"/>
        <v>10704</v>
      </c>
      <c r="AN7" s="1208">
        <f t="shared" si="13"/>
        <v>10704</v>
      </c>
      <c r="AO7" s="1208">
        <f t="shared" si="13"/>
        <v>10704</v>
      </c>
      <c r="AP7" s="1208">
        <f t="shared" si="13"/>
        <v>10704</v>
      </c>
      <c r="AQ7" s="1208">
        <f t="shared" si="13"/>
        <v>10704</v>
      </c>
      <c r="AR7" s="1208">
        <f t="shared" si="13"/>
        <v>10704</v>
      </c>
      <c r="AS7" s="1208">
        <f t="shared" si="13"/>
        <v>10704</v>
      </c>
      <c r="AT7" s="1208">
        <f t="shared" si="13"/>
        <v>10704</v>
      </c>
      <c r="AU7" s="1208">
        <f t="shared" si="13"/>
        <v>10704</v>
      </c>
      <c r="AV7" s="1208">
        <f t="shared" si="13"/>
        <v>10704</v>
      </c>
      <c r="AW7" s="1147"/>
      <c r="AX7" s="1147"/>
      <c r="AY7" s="1147"/>
      <c r="AZ7" s="1147"/>
      <c r="BA7" s="1147"/>
      <c r="BB7" s="1147"/>
      <c r="BC7" s="1147"/>
      <c r="BD7" s="1147"/>
      <c r="BE7" s="1147"/>
      <c r="BF7" s="1147"/>
      <c r="BG7" s="1147"/>
      <c r="BH7" s="1147"/>
      <c r="BI7" s="1147"/>
      <c r="BJ7" s="1147"/>
      <c r="BK7" s="1147"/>
      <c r="BL7" s="1147"/>
      <c r="BM7" s="1147"/>
      <c r="BN7" s="1147"/>
      <c r="BO7" s="1147"/>
      <c r="BP7" s="1147"/>
      <c r="BQ7" s="1147"/>
      <c r="BR7" s="1147"/>
      <c r="BS7" s="1147"/>
      <c r="BT7" s="1147"/>
      <c r="BU7" s="1147"/>
      <c r="BV7" s="1147"/>
      <c r="BW7" s="1147"/>
      <c r="BX7" s="1147"/>
      <c r="BY7" s="1147"/>
      <c r="BZ7" s="1147"/>
      <c r="CA7" s="1147"/>
      <c r="CB7" s="1147"/>
      <c r="CC7" s="1147"/>
      <c r="CD7" s="1147"/>
      <c r="CE7" s="1147"/>
      <c r="CF7" s="1147"/>
      <c r="CG7" s="1147"/>
      <c r="CH7" s="1147"/>
      <c r="CI7" s="1147"/>
      <c r="CJ7" s="1217"/>
      <c r="CK7" s="1146"/>
    </row>
    <row r="8" spans="1:89" ht="15" x14ac:dyDescent="0.25">
      <c r="A8" s="1146"/>
      <c r="B8" s="1202">
        <v>3</v>
      </c>
      <c r="C8" s="1198">
        <v>550</v>
      </c>
      <c r="D8" s="1199">
        <f t="shared" si="0"/>
        <v>23958000</v>
      </c>
      <c r="E8" s="1199">
        <f t="shared" si="1"/>
        <v>2395800</v>
      </c>
      <c r="F8" s="1199">
        <f t="shared" si="2"/>
        <v>2395.8000000000002</v>
      </c>
      <c r="G8" s="1199">
        <f t="shared" ref="G8:G13" si="14">ROUNDUP(2.34*F8,0)+1</f>
        <v>5608</v>
      </c>
      <c r="H8" s="1199">
        <f t="shared" si="3"/>
        <v>810</v>
      </c>
      <c r="I8" s="1198">
        <f t="shared" si="4"/>
        <v>570</v>
      </c>
      <c r="J8" s="1199">
        <f t="shared" si="5"/>
        <v>240</v>
      </c>
      <c r="K8" s="1199">
        <f t="shared" si="6"/>
        <v>797</v>
      </c>
      <c r="L8" s="1198">
        <f t="shared" si="7"/>
        <v>266</v>
      </c>
      <c r="M8" s="1199">
        <f t="shared" si="8"/>
        <v>531</v>
      </c>
      <c r="N8" s="1199">
        <f t="shared" si="9"/>
        <v>4001</v>
      </c>
      <c r="O8" s="1199">
        <f t="shared" ref="O8:O13" si="15">ROUNDUP(0.5*N8,0)</f>
        <v>2001</v>
      </c>
      <c r="P8" s="1199">
        <f t="shared" si="10"/>
        <v>2000</v>
      </c>
      <c r="Q8" s="1146"/>
      <c r="R8" s="1204">
        <v>2030</v>
      </c>
      <c r="S8" s="1204">
        <v>2033</v>
      </c>
      <c r="T8" s="1204">
        <v>2036</v>
      </c>
      <c r="U8" s="1146"/>
      <c r="V8" s="1146"/>
      <c r="W8" s="1147">
        <v>0</v>
      </c>
      <c r="X8" s="1147">
        <v>0</v>
      </c>
      <c r="Y8" s="1147">
        <v>0</v>
      </c>
      <c r="Z8" s="1147">
        <v>0</v>
      </c>
      <c r="AA8" s="1147">
        <v>0</v>
      </c>
      <c r="AB8" s="1147">
        <v>0</v>
      </c>
      <c r="AC8" s="1147">
        <v>0</v>
      </c>
      <c r="AD8" s="1147">
        <v>0</v>
      </c>
      <c r="AE8" s="1147">
        <f>ROUND((((1)/($S$8-$R$8))*0.5*$G$8),0)</f>
        <v>935</v>
      </c>
      <c r="AF8" s="1147">
        <f>ROUND((((1)/($S$8-$R$8))*0.5*$G$8),0)+AE8</f>
        <v>1870</v>
      </c>
      <c r="AG8" s="1147">
        <f>ROUND((((1)/($S$8-$R$8))*0.5*$G$8),0)+AF8-1</f>
        <v>2804</v>
      </c>
      <c r="AH8" s="1147">
        <f t="shared" ref="AH8:AI8" si="16">ROUND((((1)/($S$8-$R$8))*0.5*$G$8),0)+AG8</f>
        <v>3739</v>
      </c>
      <c r="AI8" s="1147">
        <f t="shared" si="16"/>
        <v>4674</v>
      </c>
      <c r="AJ8" s="1147">
        <f>ROUND((((1)/($S$8-$R$8))*0.5*$G$8),0)+AI8-1</f>
        <v>5608</v>
      </c>
      <c r="AK8" s="1147">
        <f>AJ8</f>
        <v>5608</v>
      </c>
      <c r="AL8" s="1147">
        <f t="shared" ref="AL8:AV8" si="17">AK8</f>
        <v>5608</v>
      </c>
      <c r="AM8" s="1147">
        <f t="shared" si="17"/>
        <v>5608</v>
      </c>
      <c r="AN8" s="1147">
        <f t="shared" si="17"/>
        <v>5608</v>
      </c>
      <c r="AO8" s="1147">
        <f t="shared" si="17"/>
        <v>5608</v>
      </c>
      <c r="AP8" s="1147">
        <f t="shared" si="17"/>
        <v>5608</v>
      </c>
      <c r="AQ8" s="1147">
        <f t="shared" si="17"/>
        <v>5608</v>
      </c>
      <c r="AR8" s="1147">
        <f t="shared" si="17"/>
        <v>5608</v>
      </c>
      <c r="AS8" s="1147">
        <f t="shared" si="17"/>
        <v>5608</v>
      </c>
      <c r="AT8" s="1147">
        <f t="shared" si="17"/>
        <v>5608</v>
      </c>
      <c r="AU8" s="1147">
        <f t="shared" si="17"/>
        <v>5608</v>
      </c>
      <c r="AV8" s="1147">
        <f t="shared" si="17"/>
        <v>5608</v>
      </c>
      <c r="AW8" s="1147"/>
      <c r="AX8" s="1147"/>
      <c r="AY8" s="1147"/>
      <c r="AZ8" s="1147"/>
      <c r="BA8" s="1147"/>
      <c r="BB8" s="1147"/>
      <c r="BC8" s="1147"/>
      <c r="BD8" s="1147"/>
      <c r="BE8" s="1147"/>
      <c r="BF8" s="1147"/>
      <c r="BG8" s="1147"/>
      <c r="BH8" s="1147"/>
      <c r="BI8" s="1147"/>
      <c r="BJ8" s="1147"/>
      <c r="BK8" s="1147"/>
      <c r="BL8" s="1147"/>
      <c r="BM8" s="1147"/>
      <c r="BN8" s="1147"/>
      <c r="BO8" s="1147"/>
      <c r="BP8" s="1147"/>
      <c r="BQ8" s="1147"/>
      <c r="BR8" s="1147"/>
      <c r="BS8" s="1147"/>
      <c r="BT8" s="1147"/>
      <c r="BU8" s="1147"/>
      <c r="BV8" s="1147"/>
      <c r="BW8" s="1147"/>
      <c r="BX8" s="1147"/>
      <c r="BY8" s="1147"/>
      <c r="BZ8" s="1147"/>
      <c r="CA8" s="1147"/>
      <c r="CB8" s="1147"/>
      <c r="CC8" s="1147"/>
      <c r="CD8" s="1147"/>
      <c r="CE8" s="1147"/>
      <c r="CF8" s="1147"/>
      <c r="CG8" s="1147"/>
      <c r="CH8" s="1147"/>
      <c r="CI8" s="1147"/>
      <c r="CJ8" s="1217"/>
      <c r="CK8" s="1146"/>
    </row>
    <row r="9" spans="1:89" ht="15" x14ac:dyDescent="0.25">
      <c r="A9" s="1146"/>
      <c r="B9" s="1202" t="s">
        <v>671</v>
      </c>
      <c r="C9" s="1198">
        <v>150</v>
      </c>
      <c r="D9" s="1199">
        <f t="shared" si="0"/>
        <v>6534000</v>
      </c>
      <c r="E9" s="1199">
        <f t="shared" si="1"/>
        <v>653400</v>
      </c>
      <c r="F9" s="1199">
        <f t="shared" si="2"/>
        <v>653.4</v>
      </c>
      <c r="G9" s="1199">
        <f t="shared" si="14"/>
        <v>1530</v>
      </c>
      <c r="H9" s="1199">
        <f t="shared" si="3"/>
        <v>221</v>
      </c>
      <c r="I9" s="1198">
        <f t="shared" si="4"/>
        <v>156</v>
      </c>
      <c r="J9" s="1199">
        <f t="shared" si="5"/>
        <v>65</v>
      </c>
      <c r="K9" s="1199">
        <f t="shared" si="6"/>
        <v>218</v>
      </c>
      <c r="L9" s="1198">
        <f t="shared" si="7"/>
        <v>73</v>
      </c>
      <c r="M9" s="1199">
        <f t="shared" si="8"/>
        <v>145</v>
      </c>
      <c r="N9" s="1199">
        <f t="shared" si="9"/>
        <v>1091</v>
      </c>
      <c r="O9" s="1199">
        <f t="shared" si="15"/>
        <v>546</v>
      </c>
      <c r="P9" s="1199">
        <f t="shared" si="10"/>
        <v>545</v>
      </c>
      <c r="Q9" s="1146"/>
      <c r="R9" s="1204">
        <v>2023</v>
      </c>
      <c r="S9" s="1204">
        <v>2036</v>
      </c>
      <c r="T9" s="1204">
        <v>2048</v>
      </c>
      <c r="U9" s="1146"/>
      <c r="V9" s="1146"/>
      <c r="W9" s="1147">
        <v>0</v>
      </c>
      <c r="X9" s="1147">
        <f>ROUND(($D$22*$G$9),0)</f>
        <v>61</v>
      </c>
      <c r="Y9" s="1147">
        <f>ROUND(($D$22*$G$9),0)+X9+1</f>
        <v>123</v>
      </c>
      <c r="Z9" s="1147">
        <f>ROUND(($D$22*$G$9),0)+Y9</f>
        <v>184</v>
      </c>
      <c r="AA9" s="1147">
        <f>ROUND(($D$22*$G$9),0)+Z9</f>
        <v>245</v>
      </c>
      <c r="AB9" s="1147">
        <f t="shared" ref="AB9:AV9" si="18">ROUND(($D$22*$G$9),0)+AA9</f>
        <v>306</v>
      </c>
      <c r="AC9" s="1147">
        <f t="shared" si="18"/>
        <v>367</v>
      </c>
      <c r="AD9" s="1147">
        <f>ROUND(($D$22*$G$9),0)+AC9+1</f>
        <v>429</v>
      </c>
      <c r="AE9" s="1147">
        <f t="shared" si="18"/>
        <v>490</v>
      </c>
      <c r="AF9" s="1147">
        <f t="shared" si="18"/>
        <v>551</v>
      </c>
      <c r="AG9" s="1147">
        <f t="shared" si="18"/>
        <v>612</v>
      </c>
      <c r="AH9" s="1147">
        <f t="shared" si="18"/>
        <v>673</v>
      </c>
      <c r="AI9" s="1147">
        <f>ROUND(($D$22*$G$9),0)+AH9+1</f>
        <v>735</v>
      </c>
      <c r="AJ9" s="1147">
        <f t="shared" si="18"/>
        <v>796</v>
      </c>
      <c r="AK9" s="1147">
        <f t="shared" si="18"/>
        <v>857</v>
      </c>
      <c r="AL9" s="1147">
        <f t="shared" si="18"/>
        <v>918</v>
      </c>
      <c r="AM9" s="1147">
        <f t="shared" si="18"/>
        <v>979</v>
      </c>
      <c r="AN9" s="1147">
        <f>ROUND(($D$22*$G$9),0)+AM9+1</f>
        <v>1041</v>
      </c>
      <c r="AO9" s="1147">
        <f t="shared" si="18"/>
        <v>1102</v>
      </c>
      <c r="AP9" s="1147">
        <f t="shared" si="18"/>
        <v>1163</v>
      </c>
      <c r="AQ9" s="1147">
        <f t="shared" si="18"/>
        <v>1224</v>
      </c>
      <c r="AR9" s="1147">
        <f t="shared" si="18"/>
        <v>1285</v>
      </c>
      <c r="AS9" s="1147">
        <f>ROUND(($D$22*$G$9),0)+AR9+1</f>
        <v>1347</v>
      </c>
      <c r="AT9" s="1147">
        <f t="shared" si="18"/>
        <v>1408</v>
      </c>
      <c r="AU9" s="1147">
        <f t="shared" si="18"/>
        <v>1469</v>
      </c>
      <c r="AV9" s="1147">
        <f t="shared" si="18"/>
        <v>1530</v>
      </c>
      <c r="AW9" s="1147"/>
      <c r="AX9" s="1147"/>
      <c r="AY9" s="1147"/>
      <c r="AZ9" s="1147"/>
      <c r="BA9" s="1147"/>
      <c r="BB9" s="1147"/>
      <c r="BC9" s="1147"/>
      <c r="BD9" s="1147"/>
      <c r="BE9" s="1147"/>
      <c r="BF9" s="1147"/>
      <c r="BG9" s="1147"/>
      <c r="BH9" s="1147"/>
      <c r="BI9" s="1147"/>
      <c r="BJ9" s="1147"/>
      <c r="BK9" s="1147"/>
      <c r="BL9" s="1147"/>
      <c r="BM9" s="1147"/>
      <c r="BN9" s="1147"/>
      <c r="BO9" s="1147"/>
      <c r="BP9" s="1147"/>
      <c r="BQ9" s="1147"/>
      <c r="BR9" s="1147"/>
      <c r="BS9" s="1147"/>
      <c r="BT9" s="1147"/>
      <c r="BU9" s="1147"/>
      <c r="BV9" s="1147"/>
      <c r="BW9" s="1147"/>
      <c r="BX9" s="1147"/>
      <c r="BY9" s="1147"/>
      <c r="BZ9" s="1147"/>
      <c r="CA9" s="1147"/>
      <c r="CB9" s="1147"/>
      <c r="CC9" s="1147"/>
      <c r="CD9" s="1147"/>
      <c r="CE9" s="1147"/>
      <c r="CF9" s="1147"/>
      <c r="CG9" s="1147"/>
      <c r="CH9" s="1147"/>
      <c r="CI9" s="1147"/>
      <c r="CJ9" s="1217"/>
      <c r="CK9" s="1146"/>
    </row>
    <row r="10" spans="1:89" ht="15" x14ac:dyDescent="0.25">
      <c r="A10" s="1146"/>
      <c r="B10" s="1202" t="s">
        <v>672</v>
      </c>
      <c r="C10" s="1198">
        <v>270</v>
      </c>
      <c r="D10" s="1199">
        <f t="shared" si="0"/>
        <v>11761200</v>
      </c>
      <c r="E10" s="1199">
        <f t="shared" si="1"/>
        <v>1176120</v>
      </c>
      <c r="F10" s="1199">
        <f t="shared" si="2"/>
        <v>1176.1200000000001</v>
      </c>
      <c r="G10" s="1199">
        <f t="shared" si="14"/>
        <v>2754</v>
      </c>
      <c r="H10" s="1199">
        <f t="shared" si="3"/>
        <v>398</v>
      </c>
      <c r="I10" s="1198">
        <f t="shared" si="4"/>
        <v>280</v>
      </c>
      <c r="J10" s="1199">
        <f t="shared" si="5"/>
        <v>118</v>
      </c>
      <c r="K10" s="1199">
        <f t="shared" si="6"/>
        <v>392</v>
      </c>
      <c r="L10" s="1198">
        <f t="shared" si="7"/>
        <v>131</v>
      </c>
      <c r="M10" s="1199">
        <f t="shared" si="8"/>
        <v>261</v>
      </c>
      <c r="N10" s="1199">
        <f t="shared" si="9"/>
        <v>1964</v>
      </c>
      <c r="O10" s="1199">
        <f t="shared" si="15"/>
        <v>982</v>
      </c>
      <c r="P10" s="1199">
        <f t="shared" si="10"/>
        <v>982</v>
      </c>
      <c r="Q10" s="1146"/>
      <c r="R10" s="1204">
        <v>2023</v>
      </c>
      <c r="S10" s="1204">
        <v>2036</v>
      </c>
      <c r="T10" s="1204">
        <v>2048</v>
      </c>
      <c r="U10" s="1146"/>
      <c r="V10" s="1146"/>
      <c r="W10" s="1147">
        <v>0</v>
      </c>
      <c r="X10" s="1147">
        <f>ROUND(($D$22*$G$10),0)</f>
        <v>110</v>
      </c>
      <c r="Y10" s="1147">
        <f>ROUND(($D$22*$G$10),0)+X10</f>
        <v>220</v>
      </c>
      <c r="Z10" s="1147">
        <f>ROUND(($D$22*$G$10),0)+Y10</f>
        <v>330</v>
      </c>
      <c r="AA10" s="1147">
        <f>ROUND(($D$22*$G$10),0)+Z10</f>
        <v>440</v>
      </c>
      <c r="AB10" s="1147">
        <f>ROUND(($D$22*$G$10),0)+AA10+1</f>
        <v>551</v>
      </c>
      <c r="AC10" s="1147">
        <f t="shared" ref="AC10:AU10" si="19">ROUND(($D$22*$G$10),0)+AB10</f>
        <v>661</v>
      </c>
      <c r="AD10" s="1147">
        <f t="shared" si="19"/>
        <v>771</v>
      </c>
      <c r="AE10" s="1147">
        <f t="shared" si="19"/>
        <v>881</v>
      </c>
      <c r="AF10" s="1147">
        <f t="shared" si="19"/>
        <v>991</v>
      </c>
      <c r="AG10" s="1147">
        <f t="shared" si="19"/>
        <v>1101</v>
      </c>
      <c r="AH10" s="1147">
        <f t="shared" si="19"/>
        <v>1211</v>
      </c>
      <c r="AI10" s="1147">
        <f>ROUND(($D$22*$G$10),0)+AH10+1</f>
        <v>1322</v>
      </c>
      <c r="AJ10" s="1147">
        <f t="shared" si="19"/>
        <v>1432</v>
      </c>
      <c r="AK10" s="1147">
        <f t="shared" si="19"/>
        <v>1542</v>
      </c>
      <c r="AL10" s="1147">
        <f t="shared" si="19"/>
        <v>1652</v>
      </c>
      <c r="AM10" s="1147">
        <f t="shared" si="19"/>
        <v>1762</v>
      </c>
      <c r="AN10" s="1147">
        <f t="shared" si="19"/>
        <v>1872</v>
      </c>
      <c r="AO10" s="1147">
        <f t="shared" si="19"/>
        <v>1982</v>
      </c>
      <c r="AP10" s="1147">
        <f>ROUND(($D$22*$G$10),0)+AO10+1</f>
        <v>2093</v>
      </c>
      <c r="AQ10" s="1147">
        <f t="shared" si="19"/>
        <v>2203</v>
      </c>
      <c r="AR10" s="1147">
        <f t="shared" si="19"/>
        <v>2313</v>
      </c>
      <c r="AS10" s="1147">
        <f t="shared" si="19"/>
        <v>2423</v>
      </c>
      <c r="AT10" s="1147">
        <f t="shared" si="19"/>
        <v>2533</v>
      </c>
      <c r="AU10" s="1147">
        <f t="shared" si="19"/>
        <v>2643</v>
      </c>
      <c r="AV10" s="1147">
        <f>ROUND(($D$22*$G$10),0)+AU10+1</f>
        <v>2754</v>
      </c>
      <c r="AW10" s="1147"/>
      <c r="AX10" s="1147"/>
      <c r="AY10" s="1147"/>
      <c r="AZ10" s="1147"/>
      <c r="BA10" s="1147"/>
      <c r="BB10" s="1147"/>
      <c r="BC10" s="1147"/>
      <c r="BD10" s="1147"/>
      <c r="BE10" s="1147"/>
      <c r="BF10" s="1147"/>
      <c r="BG10" s="1147"/>
      <c r="BH10" s="1147"/>
      <c r="BI10" s="1147"/>
      <c r="BJ10" s="1147"/>
      <c r="BK10" s="1147"/>
      <c r="BL10" s="1147"/>
      <c r="BM10" s="1147"/>
      <c r="BN10" s="1147"/>
      <c r="BO10" s="1147"/>
      <c r="BP10" s="1147"/>
      <c r="BQ10" s="1147"/>
      <c r="BR10" s="1147"/>
      <c r="BS10" s="1147"/>
      <c r="BT10" s="1147"/>
      <c r="BU10" s="1147"/>
      <c r="BV10" s="1147"/>
      <c r="BW10" s="1147"/>
      <c r="BX10" s="1147"/>
      <c r="BY10" s="1147"/>
      <c r="BZ10" s="1147"/>
      <c r="CA10" s="1147"/>
      <c r="CB10" s="1147"/>
      <c r="CC10" s="1147"/>
      <c r="CD10" s="1147"/>
      <c r="CE10" s="1147"/>
      <c r="CF10" s="1147"/>
      <c r="CG10" s="1147"/>
      <c r="CH10" s="1147"/>
      <c r="CI10" s="1147"/>
      <c r="CJ10" s="1217"/>
      <c r="CK10" s="1146"/>
    </row>
    <row r="11" spans="1:89" ht="15" x14ac:dyDescent="0.25">
      <c r="A11" s="1146"/>
      <c r="B11" s="1202" t="s">
        <v>673</v>
      </c>
      <c r="C11" s="1198">
        <v>470</v>
      </c>
      <c r="D11" s="1199">
        <f t="shared" si="0"/>
        <v>20473200</v>
      </c>
      <c r="E11" s="1199">
        <f t="shared" si="1"/>
        <v>2047320</v>
      </c>
      <c r="F11" s="1199">
        <f t="shared" si="2"/>
        <v>2047.32</v>
      </c>
      <c r="G11" s="1199">
        <f t="shared" si="14"/>
        <v>4792</v>
      </c>
      <c r="H11" s="1199">
        <f t="shared" si="3"/>
        <v>692</v>
      </c>
      <c r="I11" s="1198">
        <f t="shared" si="4"/>
        <v>487</v>
      </c>
      <c r="J11" s="1199">
        <f t="shared" si="5"/>
        <v>205</v>
      </c>
      <c r="K11" s="1199">
        <f t="shared" si="6"/>
        <v>681</v>
      </c>
      <c r="L11" s="1198">
        <f t="shared" si="7"/>
        <v>227</v>
      </c>
      <c r="M11" s="1199">
        <f t="shared" si="8"/>
        <v>454</v>
      </c>
      <c r="N11" s="1199">
        <f t="shared" si="9"/>
        <v>3419</v>
      </c>
      <c r="O11" s="1199">
        <f t="shared" si="15"/>
        <v>1710</v>
      </c>
      <c r="P11" s="1199">
        <f t="shared" si="10"/>
        <v>1709</v>
      </c>
      <c r="Q11" s="1146"/>
      <c r="R11" s="1204">
        <v>2023</v>
      </c>
      <c r="S11" s="1204">
        <v>2036</v>
      </c>
      <c r="T11" s="1204">
        <v>2048</v>
      </c>
      <c r="U11" s="1146"/>
      <c r="V11" s="1146"/>
      <c r="W11" s="1147">
        <v>0</v>
      </c>
      <c r="X11" s="1147">
        <f>ROUND(($D$22*$G$11),0)</f>
        <v>192</v>
      </c>
      <c r="Y11" s="1147">
        <f>ROUND(($D$22*$G$11),0)+X11-1</f>
        <v>383</v>
      </c>
      <c r="Z11" s="1147">
        <f>ROUND(($D$22*$G$11),0)+Y11</f>
        <v>575</v>
      </c>
      <c r="AA11" s="1147">
        <f>ROUND(($D$22*$G$11),0)+Z11</f>
        <v>767</v>
      </c>
      <c r="AB11" s="1147">
        <f t="shared" ref="AB11:AU11" si="20">ROUND(($D$22*$G$11),0)+AA11</f>
        <v>959</v>
      </c>
      <c r="AC11" s="1147">
        <f t="shared" si="20"/>
        <v>1151</v>
      </c>
      <c r="AD11" s="1147">
        <f>ROUND(($D$22*$G$11),0)+AC11-1</f>
        <v>1342</v>
      </c>
      <c r="AE11" s="1147">
        <f t="shared" si="20"/>
        <v>1534</v>
      </c>
      <c r="AF11" s="1147">
        <f>ROUND(($D$22*$G$11),0)+AE11-1</f>
        <v>1725</v>
      </c>
      <c r="AG11" s="1147">
        <f t="shared" si="20"/>
        <v>1917</v>
      </c>
      <c r="AH11" s="1147">
        <f t="shared" si="20"/>
        <v>2109</v>
      </c>
      <c r="AI11" s="1147">
        <f>ROUND(($D$22*$G$11),0)+AH11-1</f>
        <v>2300</v>
      </c>
      <c r="AJ11" s="1147">
        <f t="shared" si="20"/>
        <v>2492</v>
      </c>
      <c r="AK11" s="1147">
        <f t="shared" si="20"/>
        <v>2684</v>
      </c>
      <c r="AL11" s="1147">
        <f t="shared" si="20"/>
        <v>2876</v>
      </c>
      <c r="AM11" s="1147">
        <f t="shared" si="20"/>
        <v>3068</v>
      </c>
      <c r="AN11" s="1147">
        <f>ROUND(($D$22*$G$11),0)+AM11-1</f>
        <v>3259</v>
      </c>
      <c r="AO11" s="1147">
        <f t="shared" si="20"/>
        <v>3451</v>
      </c>
      <c r="AP11" s="1147">
        <f>ROUND(($D$22*$G$11),0)+AO11-1</f>
        <v>3642</v>
      </c>
      <c r="AQ11" s="1147">
        <f t="shared" si="20"/>
        <v>3834</v>
      </c>
      <c r="AR11" s="1147">
        <f t="shared" si="20"/>
        <v>4026</v>
      </c>
      <c r="AS11" s="1147">
        <f>ROUND(($D$22*$G$11),0)+AR11-1</f>
        <v>4217</v>
      </c>
      <c r="AT11" s="1147">
        <f t="shared" si="20"/>
        <v>4409</v>
      </c>
      <c r="AU11" s="1147">
        <f t="shared" si="20"/>
        <v>4601</v>
      </c>
      <c r="AV11" s="1147">
        <f>ROUND(($D$22*$G$11),0)+AU11-1</f>
        <v>4792</v>
      </c>
      <c r="AW11" s="1147"/>
      <c r="AX11" s="1147"/>
      <c r="AY11" s="1147"/>
      <c r="AZ11" s="1147"/>
      <c r="BA11" s="1147"/>
      <c r="BB11" s="1147"/>
      <c r="BC11" s="1147"/>
      <c r="BD11" s="1147"/>
      <c r="BE11" s="1147"/>
      <c r="BF11" s="1147"/>
      <c r="BG11" s="1147"/>
      <c r="BH11" s="1147"/>
      <c r="BI11" s="1147"/>
      <c r="BJ11" s="1147"/>
      <c r="BK11" s="1147"/>
      <c r="BL11" s="1147"/>
      <c r="BM11" s="1147"/>
      <c r="BN11" s="1147"/>
      <c r="BO11" s="1147"/>
      <c r="BP11" s="1147"/>
      <c r="BQ11" s="1147"/>
      <c r="BR11" s="1147"/>
      <c r="BS11" s="1147"/>
      <c r="BT11" s="1147"/>
      <c r="BU11" s="1147"/>
      <c r="BV11" s="1147"/>
      <c r="BW11" s="1147"/>
      <c r="BX11" s="1147"/>
      <c r="BY11" s="1147"/>
      <c r="BZ11" s="1147"/>
      <c r="CA11" s="1147"/>
      <c r="CB11" s="1147"/>
      <c r="CC11" s="1147"/>
      <c r="CD11" s="1147"/>
      <c r="CE11" s="1147"/>
      <c r="CF11" s="1147"/>
      <c r="CG11" s="1147"/>
      <c r="CH11" s="1147"/>
      <c r="CI11" s="1147"/>
      <c r="CJ11" s="1217"/>
      <c r="CK11" s="1146"/>
    </row>
    <row r="12" spans="1:89" ht="15" x14ac:dyDescent="0.25">
      <c r="A12" s="1146"/>
      <c r="B12" s="1202">
        <v>5</v>
      </c>
      <c r="C12" s="1198">
        <v>530</v>
      </c>
      <c r="D12" s="1199">
        <f t="shared" si="0"/>
        <v>23086800</v>
      </c>
      <c r="E12" s="1199">
        <f t="shared" si="1"/>
        <v>2308680</v>
      </c>
      <c r="F12" s="1199">
        <f t="shared" si="2"/>
        <v>2308.6799999999998</v>
      </c>
      <c r="G12" s="1199">
        <f t="shared" si="14"/>
        <v>5404</v>
      </c>
      <c r="H12" s="1199">
        <f t="shared" si="3"/>
        <v>781</v>
      </c>
      <c r="I12" s="1198">
        <f t="shared" si="4"/>
        <v>550</v>
      </c>
      <c r="J12" s="1199">
        <f t="shared" si="5"/>
        <v>231</v>
      </c>
      <c r="K12" s="1199">
        <f t="shared" si="6"/>
        <v>768</v>
      </c>
      <c r="L12" s="1198">
        <f t="shared" si="7"/>
        <v>256</v>
      </c>
      <c r="M12" s="1199">
        <f t="shared" si="8"/>
        <v>512</v>
      </c>
      <c r="N12" s="1199">
        <f t="shared" si="9"/>
        <v>3855</v>
      </c>
      <c r="O12" s="1199">
        <f t="shared" si="15"/>
        <v>1928</v>
      </c>
      <c r="P12" s="1199">
        <f t="shared" si="10"/>
        <v>1927</v>
      </c>
      <c r="Q12" s="1146"/>
      <c r="R12" s="1204">
        <v>2025</v>
      </c>
      <c r="S12" s="1204">
        <v>2030</v>
      </c>
      <c r="T12" s="1204">
        <v>2035</v>
      </c>
      <c r="U12" s="1146"/>
      <c r="V12" s="1146"/>
      <c r="W12" s="1147">
        <v>0</v>
      </c>
      <c r="X12" s="1147">
        <v>0</v>
      </c>
      <c r="Y12" s="1147">
        <v>0</v>
      </c>
      <c r="Z12" s="1147">
        <f>ROUND((((1)/($S$12-$R$12))*0.5*$G$12),0)+Y12</f>
        <v>540</v>
      </c>
      <c r="AA12" s="1208">
        <f>ROUND((((1)/($S$12-$R$12))*0.5*$G$12),0)+Z12+1</f>
        <v>1081</v>
      </c>
      <c r="AB12" s="1208">
        <f>ROUND((((1)/($S$12-$R$12))*0.5*$G$12),0)+AA12</f>
        <v>1621</v>
      </c>
      <c r="AC12" s="1208">
        <f t="shared" ref="AC12:AH12" si="21">ROUND((((1)/($S$12-$R$12))*0.5*$G$12),0)+AB12</f>
        <v>2161</v>
      </c>
      <c r="AD12" s="1208">
        <f>ROUND((((1)/($S$12-$R$12))*0.5*$G$12),0)+AC12+1</f>
        <v>2702</v>
      </c>
      <c r="AE12" s="1208">
        <f t="shared" si="21"/>
        <v>3242</v>
      </c>
      <c r="AF12" s="1208">
        <f>ROUND((((1)/($S$12-$R$12))*0.5*$G$12),0)+AE12+1</f>
        <v>3783</v>
      </c>
      <c r="AG12" s="1208">
        <f t="shared" si="21"/>
        <v>4323</v>
      </c>
      <c r="AH12" s="1208">
        <f t="shared" si="21"/>
        <v>4863</v>
      </c>
      <c r="AI12" s="1208">
        <f>ROUND((((1)/($S$12-$R$12))*0.5*$G$12),0)+AH12+1</f>
        <v>5404</v>
      </c>
      <c r="AJ12" s="1208">
        <f>AI12</f>
        <v>5404</v>
      </c>
      <c r="AK12" s="1208">
        <f t="shared" ref="AK12:AV12" si="22">AJ12</f>
        <v>5404</v>
      </c>
      <c r="AL12" s="1208">
        <f t="shared" si="22"/>
        <v>5404</v>
      </c>
      <c r="AM12" s="1208">
        <f t="shared" si="22"/>
        <v>5404</v>
      </c>
      <c r="AN12" s="1208">
        <f t="shared" si="22"/>
        <v>5404</v>
      </c>
      <c r="AO12" s="1208">
        <f t="shared" si="22"/>
        <v>5404</v>
      </c>
      <c r="AP12" s="1208">
        <f t="shared" si="22"/>
        <v>5404</v>
      </c>
      <c r="AQ12" s="1208">
        <f t="shared" si="22"/>
        <v>5404</v>
      </c>
      <c r="AR12" s="1208">
        <f t="shared" si="22"/>
        <v>5404</v>
      </c>
      <c r="AS12" s="1208">
        <f t="shared" si="22"/>
        <v>5404</v>
      </c>
      <c r="AT12" s="1208">
        <f t="shared" si="22"/>
        <v>5404</v>
      </c>
      <c r="AU12" s="1208">
        <f t="shared" si="22"/>
        <v>5404</v>
      </c>
      <c r="AV12" s="1208">
        <f t="shared" si="22"/>
        <v>5404</v>
      </c>
      <c r="AW12" s="1147"/>
      <c r="AX12" s="1147"/>
      <c r="AY12" s="1147"/>
      <c r="AZ12" s="1147"/>
      <c r="BA12" s="1147"/>
      <c r="BB12" s="1147"/>
      <c r="BC12" s="1147"/>
      <c r="BD12" s="1147"/>
      <c r="BE12" s="1147"/>
      <c r="BF12" s="1147"/>
      <c r="BG12" s="1147"/>
      <c r="BH12" s="1147"/>
      <c r="BI12" s="1147"/>
      <c r="BJ12" s="1147"/>
      <c r="BK12" s="1147"/>
      <c r="BL12" s="1147"/>
      <c r="BM12" s="1147"/>
      <c r="BN12" s="1147"/>
      <c r="BO12" s="1147"/>
      <c r="BP12" s="1147"/>
      <c r="BQ12" s="1147"/>
      <c r="BR12" s="1147"/>
      <c r="BS12" s="1147"/>
      <c r="BT12" s="1147"/>
      <c r="BU12" s="1147"/>
      <c r="BV12" s="1147"/>
      <c r="BW12" s="1147"/>
      <c r="BX12" s="1147"/>
      <c r="BY12" s="1147"/>
      <c r="BZ12" s="1147"/>
      <c r="CA12" s="1147"/>
      <c r="CB12" s="1147"/>
      <c r="CC12" s="1147"/>
      <c r="CD12" s="1147"/>
      <c r="CE12" s="1147"/>
      <c r="CF12" s="1147"/>
      <c r="CG12" s="1147"/>
      <c r="CH12" s="1147"/>
      <c r="CI12" s="1147"/>
      <c r="CJ12" s="1217"/>
      <c r="CK12" s="1146"/>
    </row>
    <row r="13" spans="1:89" ht="15" x14ac:dyDescent="0.25">
      <c r="A13" s="1146"/>
      <c r="B13" s="1202">
        <v>6</v>
      </c>
      <c r="C13" s="1198">
        <v>550</v>
      </c>
      <c r="D13" s="1199">
        <f t="shared" si="0"/>
        <v>23958000</v>
      </c>
      <c r="E13" s="1199">
        <f t="shared" si="1"/>
        <v>2395800</v>
      </c>
      <c r="F13" s="1199">
        <f t="shared" si="2"/>
        <v>2395.8000000000002</v>
      </c>
      <c r="G13" s="1199">
        <f t="shared" si="14"/>
        <v>5608</v>
      </c>
      <c r="H13" s="1199">
        <f t="shared" si="3"/>
        <v>810</v>
      </c>
      <c r="I13" s="1198">
        <f t="shared" si="4"/>
        <v>570</v>
      </c>
      <c r="J13" s="1199">
        <f t="shared" si="5"/>
        <v>240</v>
      </c>
      <c r="K13" s="1199">
        <f t="shared" si="6"/>
        <v>797</v>
      </c>
      <c r="L13" s="1198">
        <f t="shared" si="7"/>
        <v>266</v>
      </c>
      <c r="M13" s="1199">
        <f t="shared" si="8"/>
        <v>531</v>
      </c>
      <c r="N13" s="1199">
        <f t="shared" si="9"/>
        <v>4001</v>
      </c>
      <c r="O13" s="1199">
        <f t="shared" si="15"/>
        <v>2001</v>
      </c>
      <c r="P13" s="1199">
        <f t="shared" si="10"/>
        <v>2000</v>
      </c>
      <c r="Q13" s="1146"/>
      <c r="R13" s="1204">
        <v>2023</v>
      </c>
      <c r="S13" s="1204">
        <v>2036</v>
      </c>
      <c r="T13" s="1204">
        <v>2048</v>
      </c>
      <c r="U13" s="1146"/>
      <c r="V13" s="1146"/>
      <c r="W13" s="1147">
        <v>0</v>
      </c>
      <c r="X13" s="1147">
        <f>ROUND(($D$22*$G$13),0)</f>
        <v>224</v>
      </c>
      <c r="Y13" s="1147">
        <f>ROUND(($D$22*$G$13),0)+X13+1</f>
        <v>449</v>
      </c>
      <c r="Z13" s="1147">
        <f>ROUND(($D$22*$G$13),0)+Y13</f>
        <v>673</v>
      </c>
      <c r="AA13" s="1147">
        <f>ROUND(($D$22*$G$13),0)+Z13</f>
        <v>897</v>
      </c>
      <c r="AB13" s="1147">
        <f t="shared" ref="AB13:AU13" si="23">ROUND(($D$22*$G$13),0)+AA13</f>
        <v>1121</v>
      </c>
      <c r="AC13" s="1147">
        <f t="shared" si="23"/>
        <v>1345</v>
      </c>
      <c r="AD13" s="1147">
        <f>ROUND(($D$22*$G$13),0)+AC13+1</f>
        <v>1570</v>
      </c>
      <c r="AE13" s="1147">
        <f t="shared" si="23"/>
        <v>1794</v>
      </c>
      <c r="AF13" s="1147">
        <f>ROUND(($D$22*$G$13),0)+AE13+1</f>
        <v>2019</v>
      </c>
      <c r="AG13" s="1147">
        <f t="shared" si="23"/>
        <v>2243</v>
      </c>
      <c r="AH13" s="1147">
        <f t="shared" si="23"/>
        <v>2467</v>
      </c>
      <c r="AI13" s="1147">
        <f>ROUND(($D$22*$G$13),0)+AH13+1</f>
        <v>2692</v>
      </c>
      <c r="AJ13" s="1147">
        <f t="shared" si="23"/>
        <v>2916</v>
      </c>
      <c r="AK13" s="1147">
        <f t="shared" si="23"/>
        <v>3140</v>
      </c>
      <c r="AL13" s="1147">
        <f t="shared" si="23"/>
        <v>3364</v>
      </c>
      <c r="AM13" s="1147">
        <f t="shared" si="23"/>
        <v>3588</v>
      </c>
      <c r="AN13" s="1147">
        <f>ROUND(($D$22*$G$13),0)+AM13+1</f>
        <v>3813</v>
      </c>
      <c r="AO13" s="1147">
        <f t="shared" si="23"/>
        <v>4037</v>
      </c>
      <c r="AP13" s="1147">
        <f>ROUND(($D$22*$G$13),0)+AO13+1</f>
        <v>4262</v>
      </c>
      <c r="AQ13" s="1147">
        <f t="shared" si="23"/>
        <v>4486</v>
      </c>
      <c r="AR13" s="1147">
        <f t="shared" si="23"/>
        <v>4710</v>
      </c>
      <c r="AS13" s="1147">
        <f>ROUND(($D$22*$G$13),0)+AR13+1</f>
        <v>4935</v>
      </c>
      <c r="AT13" s="1147">
        <f t="shared" si="23"/>
        <v>5159</v>
      </c>
      <c r="AU13" s="1147">
        <f t="shared" si="23"/>
        <v>5383</v>
      </c>
      <c r="AV13" s="1147">
        <f>ROUND(($D$22*$G$13),0)+AU13+1</f>
        <v>5608</v>
      </c>
      <c r="AW13" s="1147"/>
      <c r="AX13" s="1147"/>
      <c r="AY13" s="1147"/>
      <c r="AZ13" s="1147"/>
      <c r="BA13" s="1147"/>
      <c r="BB13" s="1147"/>
      <c r="BC13" s="1147"/>
      <c r="BD13" s="1147"/>
      <c r="BE13" s="1147"/>
      <c r="BF13" s="1147"/>
      <c r="BG13" s="1147"/>
      <c r="BH13" s="1147"/>
      <c r="BI13" s="1147"/>
      <c r="BJ13" s="1147"/>
      <c r="BK13" s="1147"/>
      <c r="BL13" s="1147"/>
      <c r="BM13" s="1147"/>
      <c r="BN13" s="1147"/>
      <c r="BO13" s="1147"/>
      <c r="BP13" s="1147"/>
      <c r="BQ13" s="1147"/>
      <c r="BR13" s="1147"/>
      <c r="BS13" s="1147"/>
      <c r="BT13" s="1147"/>
      <c r="BU13" s="1147"/>
      <c r="BV13" s="1147"/>
      <c r="BW13" s="1147"/>
      <c r="BX13" s="1147"/>
      <c r="BY13" s="1147"/>
      <c r="BZ13" s="1147"/>
      <c r="CA13" s="1147"/>
      <c r="CB13" s="1147"/>
      <c r="CC13" s="1147"/>
      <c r="CD13" s="1147"/>
      <c r="CE13" s="1147"/>
      <c r="CF13" s="1147"/>
      <c r="CG13" s="1147"/>
      <c r="CH13" s="1147"/>
      <c r="CI13" s="1147"/>
      <c r="CJ13" s="1217"/>
      <c r="CK13" s="1146"/>
    </row>
    <row r="14" spans="1:89" ht="15" x14ac:dyDescent="0.25">
      <c r="A14" s="1146"/>
      <c r="B14" s="1146"/>
      <c r="C14" s="1146"/>
      <c r="D14" s="1146"/>
      <c r="E14" s="1146"/>
      <c r="F14" s="1146"/>
      <c r="G14" s="1146"/>
      <c r="H14" s="1146"/>
      <c r="I14" s="1146"/>
      <c r="J14" s="1146"/>
      <c r="K14" s="1146"/>
      <c r="L14" s="1146"/>
      <c r="M14" s="1146"/>
      <c r="N14" s="1146"/>
      <c r="O14" s="1146"/>
      <c r="P14" s="1146"/>
      <c r="Q14" s="1146"/>
      <c r="R14" s="1146"/>
      <c r="S14" s="1146"/>
      <c r="T14" s="1146"/>
      <c r="U14" s="1146"/>
      <c r="V14" s="1146"/>
      <c r="W14" s="1147"/>
      <c r="X14" s="1147"/>
      <c r="Y14" s="1147"/>
      <c r="Z14" s="1147"/>
      <c r="AA14" s="1147"/>
      <c r="AB14" s="1147"/>
      <c r="AC14" s="1147"/>
      <c r="AD14" s="1147"/>
      <c r="AE14" s="1147"/>
      <c r="AF14" s="1147"/>
      <c r="AG14" s="1147"/>
      <c r="AH14" s="1147"/>
      <c r="AI14" s="1147"/>
      <c r="AJ14" s="1147"/>
      <c r="AK14" s="1147"/>
      <c r="AL14" s="1147"/>
      <c r="AM14" s="1147"/>
      <c r="AN14" s="1147"/>
      <c r="AO14" s="1147"/>
      <c r="AP14" s="1147"/>
      <c r="AQ14" s="1147"/>
      <c r="AR14" s="1147"/>
      <c r="AS14" s="1147"/>
      <c r="AT14" s="1147"/>
      <c r="AU14" s="1147"/>
      <c r="AV14" s="1147"/>
      <c r="AW14" s="1147"/>
      <c r="AX14" s="1147"/>
      <c r="AY14" s="1147"/>
      <c r="AZ14" s="1147"/>
      <c r="BA14" s="1147"/>
      <c r="BB14" s="1147"/>
      <c r="BC14" s="1147"/>
      <c r="BD14" s="1147"/>
      <c r="BE14" s="1147"/>
      <c r="BF14" s="1147"/>
      <c r="BG14" s="1147"/>
      <c r="BH14" s="1147"/>
      <c r="BI14" s="1147"/>
      <c r="BJ14" s="1147"/>
      <c r="BK14" s="1147"/>
      <c r="BL14" s="1147"/>
      <c r="BM14" s="1147"/>
      <c r="BN14" s="1147"/>
      <c r="BO14" s="1147"/>
      <c r="BP14" s="1147"/>
      <c r="BQ14" s="1147"/>
      <c r="BR14" s="1147"/>
      <c r="BS14" s="1147"/>
      <c r="BT14" s="1147"/>
      <c r="BU14" s="1147"/>
      <c r="BV14" s="1147"/>
      <c r="BW14" s="1147"/>
      <c r="BX14" s="1147"/>
      <c r="BY14" s="1147"/>
      <c r="BZ14" s="1147"/>
      <c r="CA14" s="1147"/>
      <c r="CB14" s="1147"/>
      <c r="CC14" s="1147"/>
      <c r="CD14" s="1147"/>
      <c r="CE14" s="1147"/>
      <c r="CF14" s="1147"/>
      <c r="CG14" s="1147"/>
      <c r="CH14" s="1147"/>
      <c r="CI14" s="1147"/>
      <c r="CJ14" s="1217"/>
      <c r="CK14" s="1146"/>
    </row>
    <row r="15" spans="1:89" ht="15" x14ac:dyDescent="0.25">
      <c r="A15" s="1146"/>
      <c r="B15" s="1198" t="s">
        <v>25</v>
      </c>
      <c r="C15" s="1199">
        <f>SUM(C6:C13)</f>
        <v>4270</v>
      </c>
      <c r="D15" s="1199">
        <f>SUM(D6:D13)</f>
        <v>186001200</v>
      </c>
      <c r="E15" s="1199">
        <f>SUM(E6:E13)</f>
        <v>18600120</v>
      </c>
      <c r="F15" s="1199">
        <f t="shared" ref="F15:O15" si="24">SUM(F6:F13)</f>
        <v>18600.12</v>
      </c>
      <c r="G15" s="1199">
        <f t="shared" si="24"/>
        <v>43536</v>
      </c>
      <c r="H15" s="1199">
        <f t="shared" si="24"/>
        <v>6289</v>
      </c>
      <c r="I15" s="1199">
        <f t="shared" si="24"/>
        <v>4427</v>
      </c>
      <c r="J15" s="1199">
        <f t="shared" si="24"/>
        <v>1862</v>
      </c>
      <c r="K15" s="1199">
        <f t="shared" si="24"/>
        <v>6188</v>
      </c>
      <c r="L15" s="1199">
        <f t="shared" si="24"/>
        <v>2063</v>
      </c>
      <c r="M15" s="1199">
        <f t="shared" si="24"/>
        <v>4125</v>
      </c>
      <c r="N15" s="1199">
        <f t="shared" si="24"/>
        <v>31059</v>
      </c>
      <c r="O15" s="1199">
        <f t="shared" si="24"/>
        <v>15491</v>
      </c>
      <c r="P15" s="1199">
        <f>SUM(P6:P13)</f>
        <v>15568</v>
      </c>
      <c r="Q15" s="1146"/>
      <c r="R15" s="1146"/>
      <c r="S15" s="1146"/>
      <c r="T15" s="1146"/>
      <c r="U15" s="1146"/>
      <c r="V15" s="1146"/>
      <c r="W15" s="1147">
        <f>SUM(W6:W13)</f>
        <v>0</v>
      </c>
      <c r="X15" s="1147">
        <f t="shared" ref="X15:AV15" si="25">SUM(X6:X13)</f>
        <v>587</v>
      </c>
      <c r="Y15" s="1147">
        <f t="shared" si="25"/>
        <v>2364</v>
      </c>
      <c r="Z15" s="1147">
        <f t="shared" si="25"/>
        <v>5750</v>
      </c>
      <c r="AA15" s="1147">
        <f t="shared" si="25"/>
        <v>9138</v>
      </c>
      <c r="AB15" s="1147">
        <f t="shared" si="25"/>
        <v>12526</v>
      </c>
      <c r="AC15" s="1147">
        <f t="shared" si="25"/>
        <v>15912</v>
      </c>
      <c r="AD15" s="1147">
        <f t="shared" si="25"/>
        <v>19302</v>
      </c>
      <c r="AE15" s="1147">
        <f t="shared" si="25"/>
        <v>22434</v>
      </c>
      <c r="AF15" s="1147">
        <f t="shared" si="25"/>
        <v>25567</v>
      </c>
      <c r="AG15" s="1147">
        <f t="shared" si="25"/>
        <v>28699</v>
      </c>
      <c r="AH15" s="1147">
        <f t="shared" si="25"/>
        <v>31831</v>
      </c>
      <c r="AI15" s="1147">
        <f t="shared" si="25"/>
        <v>34967</v>
      </c>
      <c r="AJ15" s="1147">
        <f t="shared" si="25"/>
        <v>36488</v>
      </c>
      <c r="AK15" s="1147">
        <f t="shared" si="25"/>
        <v>37075</v>
      </c>
      <c r="AL15" s="1147">
        <f t="shared" si="25"/>
        <v>37662</v>
      </c>
      <c r="AM15" s="1147">
        <f t="shared" si="25"/>
        <v>38249</v>
      </c>
      <c r="AN15" s="1147">
        <f t="shared" si="25"/>
        <v>38837</v>
      </c>
      <c r="AO15" s="1147">
        <f t="shared" si="25"/>
        <v>39424</v>
      </c>
      <c r="AP15" s="1147">
        <f t="shared" si="25"/>
        <v>40012</v>
      </c>
      <c r="AQ15" s="1147">
        <f t="shared" si="25"/>
        <v>40599</v>
      </c>
      <c r="AR15" s="1147">
        <f t="shared" si="25"/>
        <v>41186</v>
      </c>
      <c r="AS15" s="1147">
        <f t="shared" si="25"/>
        <v>41774</v>
      </c>
      <c r="AT15" s="1147">
        <f t="shared" si="25"/>
        <v>42361</v>
      </c>
      <c r="AU15" s="1147">
        <f t="shared" si="25"/>
        <v>42948</v>
      </c>
      <c r="AV15" s="1147">
        <f t="shared" si="25"/>
        <v>43536</v>
      </c>
      <c r="AW15" s="1217"/>
      <c r="AX15" s="1217"/>
      <c r="AY15" s="1217"/>
      <c r="AZ15" s="1217"/>
      <c r="BA15" s="1217"/>
      <c r="BB15" s="1217"/>
      <c r="BC15" s="1217"/>
      <c r="BD15" s="1217"/>
      <c r="BE15" s="1217"/>
      <c r="BF15" s="1217"/>
      <c r="BG15" s="1217"/>
      <c r="BH15" s="1217"/>
      <c r="BI15" s="1217"/>
      <c r="BJ15" s="1217"/>
      <c r="BK15" s="1217"/>
      <c r="BL15" s="1217"/>
      <c r="BM15" s="1217"/>
      <c r="BN15" s="1217"/>
      <c r="BO15" s="1217"/>
      <c r="BP15" s="1217"/>
      <c r="BQ15" s="1217"/>
      <c r="BR15" s="1217"/>
      <c r="BS15" s="1217"/>
      <c r="BT15" s="1217"/>
      <c r="BU15" s="1217"/>
      <c r="BV15" s="1217"/>
      <c r="BW15" s="1217"/>
      <c r="BX15" s="1217"/>
      <c r="BY15" s="1217"/>
      <c r="BZ15" s="1217"/>
      <c r="CA15" s="1217"/>
      <c r="CB15" s="1217"/>
      <c r="CC15" s="1217"/>
      <c r="CD15" s="1217"/>
      <c r="CE15" s="1217"/>
      <c r="CF15" s="1217"/>
      <c r="CG15" s="1217"/>
      <c r="CH15" s="1217"/>
      <c r="CI15" s="1217"/>
      <c r="CJ15" s="1217"/>
      <c r="CK15" s="1146"/>
    </row>
    <row r="16" spans="1:89" ht="15.75" thickBot="1" x14ac:dyDescent="0.3">
      <c r="A16" s="1146"/>
      <c r="B16" s="1146"/>
      <c r="C16" s="1146"/>
      <c r="D16" s="1146"/>
      <c r="E16" s="1146"/>
      <c r="F16" s="1146"/>
      <c r="G16" s="1146"/>
      <c r="H16" s="1146"/>
      <c r="I16" s="1146"/>
      <c r="J16" s="1146"/>
      <c r="K16" s="1146"/>
      <c r="L16" s="1146"/>
      <c r="M16" s="1146"/>
      <c r="N16" s="1146"/>
      <c r="O16" s="1146"/>
      <c r="P16" s="1146"/>
      <c r="Q16" s="1146"/>
      <c r="R16" s="1146"/>
      <c r="S16" s="1146"/>
      <c r="T16" s="1146"/>
      <c r="U16" s="1146"/>
      <c r="V16" s="1146"/>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146"/>
      <c r="AX16" s="1146"/>
      <c r="AY16" s="1146"/>
      <c r="AZ16" s="1146"/>
      <c r="BA16" s="1146"/>
      <c r="BB16" s="1146"/>
      <c r="BC16" s="1146"/>
      <c r="BD16" s="1146"/>
      <c r="BE16" s="1146"/>
      <c r="BF16" s="1146"/>
      <c r="BG16" s="1146"/>
      <c r="BH16" s="1146"/>
      <c r="BI16" s="1146"/>
      <c r="BJ16" s="1146"/>
      <c r="BK16" s="1146"/>
      <c r="BL16" s="1146"/>
      <c r="BM16" s="1146"/>
      <c r="BN16" s="1146"/>
      <c r="BO16" s="1146"/>
      <c r="BP16" s="1146"/>
      <c r="BQ16" s="1146"/>
      <c r="BR16" s="1146"/>
      <c r="BS16" s="1146"/>
      <c r="BT16" s="1146"/>
      <c r="BU16" s="1146"/>
      <c r="BV16" s="1146"/>
      <c r="BW16" s="1146"/>
      <c r="BX16" s="1146"/>
      <c r="BY16" s="1146"/>
      <c r="BZ16" s="1146"/>
      <c r="CA16" s="1146"/>
      <c r="CB16" s="1146"/>
      <c r="CC16" s="1146"/>
      <c r="CD16" s="1146"/>
      <c r="CE16" s="1146"/>
      <c r="CF16" s="1146"/>
      <c r="CG16" s="1146"/>
      <c r="CH16" s="1146"/>
      <c r="CI16" s="1146"/>
      <c r="CJ16" s="1146"/>
      <c r="CK16" s="1146"/>
    </row>
    <row r="17" spans="1:89" ht="15" x14ac:dyDescent="0.25">
      <c r="A17" s="1146"/>
      <c r="B17" s="1146"/>
      <c r="C17" s="1146"/>
      <c r="D17" s="1199">
        <v>17800000</v>
      </c>
      <c r="E17" s="1203">
        <f>D17*$B$2</f>
        <v>1780000</v>
      </c>
      <c r="F17" s="1199">
        <f>E17*$B$3</f>
        <v>1780</v>
      </c>
      <c r="G17" s="1199">
        <f>ROUNDUP(2.91*F17,0)</f>
        <v>5180</v>
      </c>
      <c r="H17" s="1198">
        <f>ROUNDUP(0.42*F17,0)</f>
        <v>748</v>
      </c>
      <c r="I17" s="1198">
        <f>ROUNDUP(0.87*H17,0)</f>
        <v>651</v>
      </c>
      <c r="J17" s="1198">
        <f>H17-I17</f>
        <v>97</v>
      </c>
      <c r="K17" s="1198">
        <f>ROUNDUP(0.42*F17,0)</f>
        <v>748</v>
      </c>
      <c r="L17" s="1198">
        <f>ROUNDUP(0.21*K17,0)</f>
        <v>158</v>
      </c>
      <c r="M17" s="1198">
        <f>K17-L17</f>
        <v>590</v>
      </c>
      <c r="N17" s="1199">
        <f>G17-H17-K17</f>
        <v>3684</v>
      </c>
      <c r="O17" s="1199">
        <f>ROUNDUP(0.5*N17,0)</f>
        <v>1842</v>
      </c>
      <c r="P17" s="1199">
        <f>N17-O17</f>
        <v>1842</v>
      </c>
      <c r="Q17" s="1146"/>
      <c r="R17" s="1146"/>
      <c r="S17" s="1146"/>
      <c r="T17" s="1205" t="s">
        <v>674</v>
      </c>
      <c r="U17" s="1223" t="s">
        <v>368</v>
      </c>
      <c r="V17" s="1223"/>
      <c r="W17" s="1224">
        <v>16000</v>
      </c>
      <c r="X17" s="1224">
        <f>$W17*(1+$T$19*(X$5-$W$5))</f>
        <v>16560</v>
      </c>
      <c r="Y17" s="1224">
        <f t="shared" ref="Y17:AV19" si="26">$W17*(1+$T$19*(Y$5-$W$5))</f>
        <v>17120</v>
      </c>
      <c r="Z17" s="1224">
        <f t="shared" si="26"/>
        <v>17680</v>
      </c>
      <c r="AA17" s="1224">
        <f t="shared" si="26"/>
        <v>18240.000000000004</v>
      </c>
      <c r="AB17" s="1224">
        <f t="shared" si="26"/>
        <v>18800</v>
      </c>
      <c r="AC17" s="1224">
        <f t="shared" si="26"/>
        <v>19360</v>
      </c>
      <c r="AD17" s="1224">
        <f t="shared" si="26"/>
        <v>19920</v>
      </c>
      <c r="AE17" s="1224">
        <f t="shared" si="26"/>
        <v>20480</v>
      </c>
      <c r="AF17" s="1224">
        <f t="shared" si="26"/>
        <v>21040</v>
      </c>
      <c r="AG17" s="1224">
        <f t="shared" si="26"/>
        <v>21600</v>
      </c>
      <c r="AH17" s="1224">
        <f t="shared" si="26"/>
        <v>22160</v>
      </c>
      <c r="AI17" s="1224">
        <f t="shared" si="26"/>
        <v>22720</v>
      </c>
      <c r="AJ17" s="1224">
        <f t="shared" si="26"/>
        <v>23280</v>
      </c>
      <c r="AK17" s="1224">
        <f t="shared" si="26"/>
        <v>23840</v>
      </c>
      <c r="AL17" s="1224">
        <f t="shared" si="26"/>
        <v>24400</v>
      </c>
      <c r="AM17" s="1224">
        <f t="shared" si="26"/>
        <v>24960</v>
      </c>
      <c r="AN17" s="1224">
        <f t="shared" si="26"/>
        <v>25520.000000000004</v>
      </c>
      <c r="AO17" s="1224">
        <f t="shared" si="26"/>
        <v>26080.000000000004</v>
      </c>
      <c r="AP17" s="1224">
        <f t="shared" si="26"/>
        <v>26640</v>
      </c>
      <c r="AQ17" s="1224">
        <f t="shared" si="26"/>
        <v>27200.000000000004</v>
      </c>
      <c r="AR17" s="1224">
        <f t="shared" si="26"/>
        <v>27760</v>
      </c>
      <c r="AS17" s="1224">
        <f t="shared" si="26"/>
        <v>28320</v>
      </c>
      <c r="AT17" s="1224">
        <f t="shared" si="26"/>
        <v>28880.000000000004</v>
      </c>
      <c r="AU17" s="1224">
        <f t="shared" si="26"/>
        <v>29440</v>
      </c>
      <c r="AV17" s="1224">
        <f t="shared" si="26"/>
        <v>30000</v>
      </c>
      <c r="AW17" s="1147"/>
      <c r="AX17" s="1147"/>
      <c r="AY17" s="1147"/>
      <c r="AZ17" s="1147"/>
      <c r="BA17" s="1147"/>
      <c r="BB17" s="1147"/>
      <c r="BC17" s="1147"/>
      <c r="BD17" s="1147"/>
      <c r="BE17" s="1147"/>
      <c r="BF17" s="1147"/>
      <c r="BG17" s="1147"/>
      <c r="BH17" s="1147"/>
      <c r="BI17" s="1147"/>
      <c r="BJ17" s="1147"/>
      <c r="BK17" s="1147"/>
      <c r="BL17" s="1147"/>
      <c r="BM17" s="1147"/>
      <c r="BN17" s="1147"/>
      <c r="BO17" s="1147"/>
      <c r="BP17" s="1147"/>
      <c r="BQ17" s="1147"/>
      <c r="BR17" s="1147"/>
      <c r="BS17" s="1147"/>
      <c r="BT17" s="1147"/>
      <c r="BU17" s="1147"/>
      <c r="BV17" s="1147"/>
      <c r="BW17" s="1147"/>
      <c r="BX17" s="1147"/>
      <c r="BY17" s="1147"/>
      <c r="BZ17" s="1147"/>
      <c r="CA17" s="1147"/>
      <c r="CB17" s="1147"/>
      <c r="CC17" s="1147"/>
      <c r="CD17" s="1147"/>
      <c r="CE17" s="1147"/>
      <c r="CF17" s="1147"/>
      <c r="CG17" s="1147"/>
      <c r="CH17" s="1147"/>
      <c r="CI17" s="1147"/>
      <c r="CJ17" s="1147"/>
      <c r="CK17" s="1146"/>
    </row>
    <row r="18" spans="1:89" ht="15" x14ac:dyDescent="0.25">
      <c r="A18" s="1146"/>
      <c r="B18" s="1146"/>
      <c r="C18" s="1146"/>
      <c r="D18" s="1146"/>
      <c r="E18" s="1146"/>
      <c r="F18" s="1146"/>
      <c r="G18" s="1146"/>
      <c r="H18" s="1146"/>
      <c r="I18" s="1146"/>
      <c r="J18" s="1146"/>
      <c r="K18" s="1146"/>
      <c r="L18" s="1146"/>
      <c r="M18" s="1146"/>
      <c r="N18" s="1146"/>
      <c r="O18" s="1146"/>
      <c r="P18" s="1146"/>
      <c r="Q18" s="1146"/>
      <c r="R18" s="1146"/>
      <c r="S18" s="1146"/>
      <c r="T18" s="1147"/>
      <c r="U18" s="1147" t="s">
        <v>369</v>
      </c>
      <c r="V18" s="1147"/>
      <c r="W18" s="1208">
        <v>13500</v>
      </c>
      <c r="X18" s="1208">
        <f>$W18*(1+$T$19*(X$5-$W$5))</f>
        <v>13972.499999999998</v>
      </c>
      <c r="Y18" s="1208">
        <f t="shared" si="26"/>
        <v>14445</v>
      </c>
      <c r="Z18" s="1208">
        <f t="shared" si="26"/>
        <v>14917.5</v>
      </c>
      <c r="AA18" s="1208">
        <f t="shared" si="26"/>
        <v>15390.000000000002</v>
      </c>
      <c r="AB18" s="1208">
        <f t="shared" si="26"/>
        <v>15862.5</v>
      </c>
      <c r="AC18" s="1208">
        <f t="shared" si="26"/>
        <v>16335</v>
      </c>
      <c r="AD18" s="1208">
        <f t="shared" si="26"/>
        <v>16807.5</v>
      </c>
      <c r="AE18" s="1208">
        <f t="shared" si="26"/>
        <v>17280</v>
      </c>
      <c r="AF18" s="1208">
        <f t="shared" si="26"/>
        <v>17752.5</v>
      </c>
      <c r="AG18" s="1208">
        <f t="shared" si="26"/>
        <v>18225</v>
      </c>
      <c r="AH18" s="1208">
        <f t="shared" si="26"/>
        <v>18697.5</v>
      </c>
      <c r="AI18" s="1208">
        <f t="shared" si="26"/>
        <v>19170</v>
      </c>
      <c r="AJ18" s="1208">
        <f t="shared" si="26"/>
        <v>19642.5</v>
      </c>
      <c r="AK18" s="1208">
        <f t="shared" si="26"/>
        <v>20115</v>
      </c>
      <c r="AL18" s="1208">
        <f t="shared" si="26"/>
        <v>20587.5</v>
      </c>
      <c r="AM18" s="1208">
        <f t="shared" si="26"/>
        <v>21060</v>
      </c>
      <c r="AN18" s="1208">
        <f t="shared" si="26"/>
        <v>21532.500000000004</v>
      </c>
      <c r="AO18" s="1208">
        <f t="shared" si="26"/>
        <v>22005</v>
      </c>
      <c r="AP18" s="1208">
        <f t="shared" si="26"/>
        <v>22477.5</v>
      </c>
      <c r="AQ18" s="1208">
        <f t="shared" si="26"/>
        <v>22950.000000000004</v>
      </c>
      <c r="AR18" s="1208">
        <f t="shared" si="26"/>
        <v>23422.5</v>
      </c>
      <c r="AS18" s="1208">
        <f t="shared" si="26"/>
        <v>23895</v>
      </c>
      <c r="AT18" s="1208">
        <f t="shared" si="26"/>
        <v>24367.500000000004</v>
      </c>
      <c r="AU18" s="1208">
        <f t="shared" si="26"/>
        <v>24840</v>
      </c>
      <c r="AV18" s="1208">
        <f t="shared" si="26"/>
        <v>25312.5</v>
      </c>
      <c r="AW18" s="1147"/>
      <c r="AX18" s="1147"/>
      <c r="AY18" s="1147"/>
      <c r="AZ18" s="1147"/>
      <c r="BA18" s="1147"/>
      <c r="BB18" s="1147"/>
      <c r="BC18" s="1147"/>
      <c r="BD18" s="1147"/>
      <c r="BE18" s="1147"/>
      <c r="BF18" s="1147"/>
      <c r="BG18" s="1147"/>
      <c r="BH18" s="1147"/>
      <c r="BI18" s="1147"/>
      <c r="BJ18" s="1147"/>
      <c r="BK18" s="1147"/>
      <c r="BL18" s="1147"/>
      <c r="BM18" s="1147"/>
      <c r="BN18" s="1147"/>
      <c r="BO18" s="1147"/>
      <c r="BP18" s="1147"/>
      <c r="BQ18" s="1147"/>
      <c r="BR18" s="1147"/>
      <c r="BS18" s="1147"/>
      <c r="BT18" s="1147"/>
      <c r="BU18" s="1147"/>
      <c r="BV18" s="1147"/>
      <c r="BW18" s="1147"/>
      <c r="BX18" s="1147"/>
      <c r="BY18" s="1147"/>
      <c r="BZ18" s="1147"/>
      <c r="CA18" s="1147"/>
      <c r="CB18" s="1147"/>
      <c r="CC18" s="1147"/>
      <c r="CD18" s="1147"/>
      <c r="CE18" s="1147"/>
      <c r="CF18" s="1147"/>
      <c r="CG18" s="1147"/>
      <c r="CH18" s="1147"/>
      <c r="CI18" s="1147"/>
      <c r="CJ18" s="1147"/>
      <c r="CK18" s="1146"/>
    </row>
    <row r="19" spans="1:89" ht="15" x14ac:dyDescent="0.25">
      <c r="A19" s="1146"/>
      <c r="B19" s="1146"/>
      <c r="C19" s="1146"/>
      <c r="D19" s="1146"/>
      <c r="E19" s="1146"/>
      <c r="F19" s="1146"/>
      <c r="G19" s="1146"/>
      <c r="H19" s="1146"/>
      <c r="I19" s="1146"/>
      <c r="J19" s="1146"/>
      <c r="K19" s="1146"/>
      <c r="L19" s="1146"/>
      <c r="M19" s="1146"/>
      <c r="N19" s="1146"/>
      <c r="O19" s="1146"/>
      <c r="P19" s="1146"/>
      <c r="Q19" s="1146"/>
      <c r="R19" s="1146"/>
      <c r="S19" s="1198" t="s">
        <v>331</v>
      </c>
      <c r="T19" s="1229">
        <v>3.5000000000000003E-2</v>
      </c>
      <c r="U19" s="1147" t="s">
        <v>370</v>
      </c>
      <c r="V19" s="1147"/>
      <c r="W19" s="1208">
        <v>12000</v>
      </c>
      <c r="X19" s="1208">
        <f>$W19*(1+$T$19*(X$5-$W$5))</f>
        <v>12419.999999999998</v>
      </c>
      <c r="Y19" s="1208">
        <f t="shared" si="26"/>
        <v>12840</v>
      </c>
      <c r="Z19" s="1208">
        <f t="shared" si="26"/>
        <v>13260</v>
      </c>
      <c r="AA19" s="1208">
        <f t="shared" si="26"/>
        <v>13680.000000000002</v>
      </c>
      <c r="AB19" s="1208">
        <f t="shared" si="26"/>
        <v>14100</v>
      </c>
      <c r="AC19" s="1208">
        <f t="shared" si="26"/>
        <v>14520</v>
      </c>
      <c r="AD19" s="1208">
        <f t="shared" si="26"/>
        <v>14940.000000000002</v>
      </c>
      <c r="AE19" s="1208">
        <f t="shared" si="26"/>
        <v>15360</v>
      </c>
      <c r="AF19" s="1208">
        <f t="shared" si="26"/>
        <v>15780</v>
      </c>
      <c r="AG19" s="1208">
        <f t="shared" si="26"/>
        <v>16200.000000000002</v>
      </c>
      <c r="AH19" s="1208">
        <f t="shared" si="26"/>
        <v>16620</v>
      </c>
      <c r="AI19" s="1208">
        <f t="shared" si="26"/>
        <v>17040</v>
      </c>
      <c r="AJ19" s="1208">
        <f t="shared" si="26"/>
        <v>17460</v>
      </c>
      <c r="AK19" s="1208">
        <f t="shared" si="26"/>
        <v>17880</v>
      </c>
      <c r="AL19" s="1208">
        <f t="shared" si="26"/>
        <v>18300</v>
      </c>
      <c r="AM19" s="1208">
        <f t="shared" si="26"/>
        <v>18720</v>
      </c>
      <c r="AN19" s="1208">
        <f t="shared" si="26"/>
        <v>19140.000000000004</v>
      </c>
      <c r="AO19" s="1208">
        <f t="shared" si="26"/>
        <v>19560</v>
      </c>
      <c r="AP19" s="1208">
        <f t="shared" si="26"/>
        <v>19980</v>
      </c>
      <c r="AQ19" s="1208">
        <f t="shared" si="26"/>
        <v>20400.000000000004</v>
      </c>
      <c r="AR19" s="1208">
        <f t="shared" si="26"/>
        <v>20820</v>
      </c>
      <c r="AS19" s="1208">
        <f t="shared" si="26"/>
        <v>21240</v>
      </c>
      <c r="AT19" s="1208">
        <f t="shared" si="26"/>
        <v>21660.000000000004</v>
      </c>
      <c r="AU19" s="1208">
        <f t="shared" si="26"/>
        <v>22080</v>
      </c>
      <c r="AV19" s="1208">
        <f t="shared" si="26"/>
        <v>22500</v>
      </c>
      <c r="AW19" s="1147"/>
      <c r="AX19" s="1147"/>
      <c r="AY19" s="1147"/>
      <c r="AZ19" s="1147"/>
      <c r="BA19" s="1147"/>
      <c r="BB19" s="1147"/>
      <c r="BC19" s="1147"/>
      <c r="BD19" s="1147"/>
      <c r="BE19" s="1147"/>
      <c r="BF19" s="1147"/>
      <c r="BG19" s="1147"/>
      <c r="BH19" s="1147"/>
      <c r="BI19" s="1147"/>
      <c r="BJ19" s="1147"/>
      <c r="BK19" s="1147"/>
      <c r="BL19" s="1147"/>
      <c r="BM19" s="1147"/>
      <c r="BN19" s="1147"/>
      <c r="BO19" s="1147"/>
      <c r="BP19" s="1147"/>
      <c r="BQ19" s="1147"/>
      <c r="BR19" s="1147"/>
      <c r="BS19" s="1147"/>
      <c r="BT19" s="1147"/>
      <c r="BU19" s="1147"/>
      <c r="BV19" s="1147"/>
      <c r="BW19" s="1147"/>
      <c r="BX19" s="1147"/>
      <c r="BY19" s="1147"/>
      <c r="BZ19" s="1147"/>
      <c r="CA19" s="1147"/>
      <c r="CB19" s="1147"/>
      <c r="CC19" s="1147"/>
      <c r="CD19" s="1147"/>
      <c r="CE19" s="1147"/>
      <c r="CF19" s="1147"/>
      <c r="CG19" s="1147"/>
      <c r="CH19" s="1147"/>
      <c r="CI19" s="1147"/>
      <c r="CJ19" s="1147"/>
      <c r="CK19" s="1146"/>
    </row>
    <row r="20" spans="1:89" ht="15" x14ac:dyDescent="0.25">
      <c r="A20" s="1146"/>
      <c r="B20" s="1146"/>
      <c r="C20" s="1146"/>
      <c r="D20" s="1146"/>
      <c r="E20" s="1146"/>
      <c r="F20" s="1146"/>
      <c r="G20" s="1146"/>
      <c r="H20" s="1146"/>
      <c r="I20" s="1146"/>
      <c r="J20" s="1146"/>
      <c r="K20" s="1146"/>
      <c r="L20" s="1146"/>
      <c r="M20" s="1146"/>
      <c r="N20" s="1146"/>
      <c r="O20" s="1146"/>
      <c r="P20" s="1146"/>
      <c r="Q20" s="1146"/>
      <c r="R20" s="1146"/>
      <c r="S20" s="1198" t="s">
        <v>675</v>
      </c>
      <c r="T20" s="1230">
        <v>0.02</v>
      </c>
      <c r="U20" s="1147" t="s">
        <v>367</v>
      </c>
      <c r="V20" s="1147"/>
      <c r="W20" s="1208">
        <v>14000</v>
      </c>
      <c r="X20" s="1208">
        <f>$W20*(1+$T$20*(X$5-$W$5))</f>
        <v>14280</v>
      </c>
      <c r="Y20" s="1208">
        <f t="shared" ref="Y20:AV30" si="27">$W20*(1+$T$20*(Y$5-$W$5))</f>
        <v>14560</v>
      </c>
      <c r="Z20" s="1208">
        <f t="shared" si="27"/>
        <v>14840</v>
      </c>
      <c r="AA20" s="1208">
        <f t="shared" si="27"/>
        <v>15120.000000000002</v>
      </c>
      <c r="AB20" s="1208">
        <f t="shared" si="27"/>
        <v>15400.000000000002</v>
      </c>
      <c r="AC20" s="1208">
        <f t="shared" si="27"/>
        <v>15680.000000000002</v>
      </c>
      <c r="AD20" s="1208">
        <f t="shared" si="27"/>
        <v>15960.000000000002</v>
      </c>
      <c r="AE20" s="1208">
        <f t="shared" si="27"/>
        <v>16239.999999999998</v>
      </c>
      <c r="AF20" s="1208">
        <f t="shared" si="27"/>
        <v>16520</v>
      </c>
      <c r="AG20" s="1208">
        <f t="shared" si="27"/>
        <v>16800</v>
      </c>
      <c r="AH20" s="1208">
        <f t="shared" si="27"/>
        <v>17080</v>
      </c>
      <c r="AI20" s="1208">
        <f t="shared" si="27"/>
        <v>17360</v>
      </c>
      <c r="AJ20" s="1208">
        <f t="shared" si="27"/>
        <v>17640</v>
      </c>
      <c r="AK20" s="1208">
        <f t="shared" si="27"/>
        <v>17920</v>
      </c>
      <c r="AL20" s="1208">
        <f t="shared" si="27"/>
        <v>18200</v>
      </c>
      <c r="AM20" s="1208">
        <f t="shared" si="27"/>
        <v>18480</v>
      </c>
      <c r="AN20" s="1208">
        <f t="shared" si="27"/>
        <v>18760</v>
      </c>
      <c r="AO20" s="1208">
        <f t="shared" si="27"/>
        <v>19040</v>
      </c>
      <c r="AP20" s="1208">
        <f t="shared" si="27"/>
        <v>19320</v>
      </c>
      <c r="AQ20" s="1208">
        <f t="shared" si="27"/>
        <v>19600</v>
      </c>
      <c r="AR20" s="1208">
        <f t="shared" si="27"/>
        <v>19880</v>
      </c>
      <c r="AS20" s="1208">
        <f t="shared" si="27"/>
        <v>20160</v>
      </c>
      <c r="AT20" s="1208">
        <f t="shared" si="27"/>
        <v>20440</v>
      </c>
      <c r="AU20" s="1208">
        <f t="shared" si="27"/>
        <v>20720</v>
      </c>
      <c r="AV20" s="1208">
        <f t="shared" si="27"/>
        <v>21000</v>
      </c>
      <c r="AW20" s="1147"/>
      <c r="AX20" s="1147"/>
      <c r="AY20" s="1147"/>
      <c r="AZ20" s="1147"/>
      <c r="BA20" s="1147"/>
      <c r="BB20" s="1147"/>
      <c r="BC20" s="1147"/>
      <c r="BD20" s="1147"/>
      <c r="BE20" s="1147"/>
      <c r="BF20" s="1147"/>
      <c r="BG20" s="1147"/>
      <c r="BH20" s="1147"/>
      <c r="BI20" s="1147"/>
      <c r="BJ20" s="1147"/>
      <c r="BK20" s="1147"/>
      <c r="BL20" s="1147"/>
      <c r="BM20" s="1147"/>
      <c r="BN20" s="1147"/>
      <c r="BO20" s="1147"/>
      <c r="BP20" s="1147"/>
      <c r="BQ20" s="1147"/>
      <c r="BR20" s="1147"/>
      <c r="BS20" s="1147"/>
      <c r="BT20" s="1147"/>
      <c r="BU20" s="1147"/>
      <c r="BV20" s="1147"/>
      <c r="BW20" s="1147"/>
      <c r="BX20" s="1147"/>
      <c r="BY20" s="1147"/>
      <c r="BZ20" s="1147"/>
      <c r="CA20" s="1147"/>
      <c r="CB20" s="1147"/>
      <c r="CC20" s="1147"/>
      <c r="CD20" s="1147"/>
      <c r="CE20" s="1147"/>
      <c r="CF20" s="1147"/>
      <c r="CG20" s="1147"/>
      <c r="CH20" s="1147"/>
      <c r="CI20" s="1147"/>
      <c r="CJ20" s="1147"/>
      <c r="CK20" s="1146"/>
    </row>
    <row r="21" spans="1:89" ht="15" x14ac:dyDescent="0.25">
      <c r="A21" s="1146"/>
      <c r="B21" s="1146"/>
      <c r="C21" s="1146">
        <f>1440/23</f>
        <v>62.608695652173914</v>
      </c>
      <c r="D21" s="1146"/>
      <c r="E21" s="1146"/>
      <c r="F21" s="1146"/>
      <c r="G21" s="1146"/>
      <c r="H21" s="1146"/>
      <c r="I21" s="1146"/>
      <c r="J21" s="1146"/>
      <c r="K21" s="1146"/>
      <c r="L21" s="1146"/>
      <c r="M21" s="1146"/>
      <c r="N21" s="1146"/>
      <c r="O21" s="1146"/>
      <c r="P21" s="1146"/>
      <c r="Q21" s="1146"/>
      <c r="R21" s="1146"/>
      <c r="S21" s="1198" t="s">
        <v>676</v>
      </c>
      <c r="T21" s="1230">
        <v>0</v>
      </c>
      <c r="U21" s="1147" t="s">
        <v>366</v>
      </c>
      <c r="V21" s="1147"/>
      <c r="W21" s="1208">
        <v>28000</v>
      </c>
      <c r="X21" s="1208">
        <f t="shared" ref="X21:AM30" si="28">$W21*(1+$T$20*(X$5-$W$5))</f>
        <v>28560</v>
      </c>
      <c r="Y21" s="1208">
        <f t="shared" si="28"/>
        <v>29120</v>
      </c>
      <c r="Z21" s="1208">
        <f t="shared" si="28"/>
        <v>29680</v>
      </c>
      <c r="AA21" s="1208">
        <f t="shared" si="28"/>
        <v>30240.000000000004</v>
      </c>
      <c r="AB21" s="1208">
        <f t="shared" si="28"/>
        <v>30800.000000000004</v>
      </c>
      <c r="AC21" s="1208">
        <f t="shared" si="28"/>
        <v>31360.000000000004</v>
      </c>
      <c r="AD21" s="1208">
        <f t="shared" si="28"/>
        <v>31920.000000000004</v>
      </c>
      <c r="AE21" s="1208">
        <f t="shared" si="28"/>
        <v>32479.999999999996</v>
      </c>
      <c r="AF21" s="1208">
        <f t="shared" si="28"/>
        <v>33040</v>
      </c>
      <c r="AG21" s="1208">
        <f t="shared" si="28"/>
        <v>33600</v>
      </c>
      <c r="AH21" s="1208">
        <f t="shared" si="28"/>
        <v>34160</v>
      </c>
      <c r="AI21" s="1208">
        <f t="shared" si="28"/>
        <v>34720</v>
      </c>
      <c r="AJ21" s="1208">
        <f t="shared" si="28"/>
        <v>35280</v>
      </c>
      <c r="AK21" s="1208">
        <f t="shared" si="28"/>
        <v>35840</v>
      </c>
      <c r="AL21" s="1208">
        <f t="shared" si="28"/>
        <v>36400</v>
      </c>
      <c r="AM21" s="1208">
        <f t="shared" si="28"/>
        <v>36960</v>
      </c>
      <c r="AN21" s="1208">
        <f t="shared" si="27"/>
        <v>37520</v>
      </c>
      <c r="AO21" s="1208">
        <f t="shared" si="27"/>
        <v>38080</v>
      </c>
      <c r="AP21" s="1208">
        <f t="shared" si="27"/>
        <v>38640</v>
      </c>
      <c r="AQ21" s="1208">
        <f t="shared" si="27"/>
        <v>39200</v>
      </c>
      <c r="AR21" s="1208">
        <f t="shared" si="27"/>
        <v>39760</v>
      </c>
      <c r="AS21" s="1208">
        <f t="shared" si="27"/>
        <v>40320</v>
      </c>
      <c r="AT21" s="1208">
        <f t="shared" si="27"/>
        <v>40880</v>
      </c>
      <c r="AU21" s="1208">
        <f t="shared" si="27"/>
        <v>41440</v>
      </c>
      <c r="AV21" s="1208">
        <f t="shared" si="27"/>
        <v>42000</v>
      </c>
      <c r="AW21" s="1147"/>
      <c r="AX21" s="1147"/>
      <c r="AY21" s="1147"/>
      <c r="AZ21" s="1147"/>
      <c r="BA21" s="1147"/>
      <c r="BB21" s="1147"/>
      <c r="BC21" s="1147"/>
      <c r="BD21" s="1147"/>
      <c r="BE21" s="1147"/>
      <c r="BF21" s="1147"/>
      <c r="BG21" s="1147"/>
      <c r="BH21" s="1147"/>
      <c r="BI21" s="1147"/>
      <c r="BJ21" s="1147"/>
      <c r="BK21" s="1147"/>
      <c r="BL21" s="1147"/>
      <c r="BM21" s="1147"/>
      <c r="BN21" s="1147"/>
      <c r="BO21" s="1147"/>
      <c r="BP21" s="1147"/>
      <c r="BQ21" s="1147"/>
      <c r="BR21" s="1147"/>
      <c r="BS21" s="1147"/>
      <c r="BT21" s="1147"/>
      <c r="BU21" s="1147"/>
      <c r="BV21" s="1147"/>
      <c r="BW21" s="1147"/>
      <c r="BX21" s="1147"/>
      <c r="BY21" s="1147"/>
      <c r="BZ21" s="1147"/>
      <c r="CA21" s="1147"/>
      <c r="CB21" s="1147"/>
      <c r="CC21" s="1147"/>
      <c r="CD21" s="1147"/>
      <c r="CE21" s="1147"/>
      <c r="CF21" s="1147"/>
      <c r="CG21" s="1147"/>
      <c r="CH21" s="1147"/>
      <c r="CI21" s="1147"/>
      <c r="CJ21" s="1147"/>
      <c r="CK21" s="1146"/>
    </row>
    <row r="22" spans="1:89" ht="15" x14ac:dyDescent="0.25">
      <c r="A22" s="1146"/>
      <c r="B22" s="1146"/>
      <c r="C22" s="1146"/>
      <c r="D22" s="1218">
        <f>1/25</f>
        <v>0.04</v>
      </c>
      <c r="E22" s="1146"/>
      <c r="F22" s="1146" t="s">
        <v>677</v>
      </c>
      <c r="G22" s="1146" t="s">
        <v>678</v>
      </c>
      <c r="H22" s="1146" t="s">
        <v>679</v>
      </c>
      <c r="I22" s="1146" t="s">
        <v>680</v>
      </c>
      <c r="J22" s="1146"/>
      <c r="K22" s="1146" t="s">
        <v>681</v>
      </c>
      <c r="L22" s="1146" t="s">
        <v>660</v>
      </c>
      <c r="M22" s="1146"/>
      <c r="N22" s="1146"/>
      <c r="O22" s="1146" t="s">
        <v>682</v>
      </c>
      <c r="P22" s="1146" t="s">
        <v>663</v>
      </c>
      <c r="Q22" s="1146"/>
      <c r="R22" s="1146"/>
      <c r="S22" s="1146"/>
      <c r="T22" s="1147"/>
      <c r="U22" s="1147" t="s">
        <v>365</v>
      </c>
      <c r="V22" s="1147"/>
      <c r="W22" s="1208">
        <v>28000</v>
      </c>
      <c r="X22" s="1208">
        <f t="shared" si="28"/>
        <v>28560</v>
      </c>
      <c r="Y22" s="1208">
        <f t="shared" si="27"/>
        <v>29120</v>
      </c>
      <c r="Z22" s="1208">
        <f t="shared" si="27"/>
        <v>29680</v>
      </c>
      <c r="AA22" s="1208">
        <f t="shared" si="27"/>
        <v>30240.000000000004</v>
      </c>
      <c r="AB22" s="1208">
        <f t="shared" si="27"/>
        <v>30800.000000000004</v>
      </c>
      <c r="AC22" s="1208">
        <f t="shared" si="27"/>
        <v>31360.000000000004</v>
      </c>
      <c r="AD22" s="1208">
        <f t="shared" si="27"/>
        <v>31920.000000000004</v>
      </c>
      <c r="AE22" s="1208">
        <f t="shared" si="27"/>
        <v>32479.999999999996</v>
      </c>
      <c r="AF22" s="1208">
        <f t="shared" si="27"/>
        <v>33040</v>
      </c>
      <c r="AG22" s="1208">
        <f t="shared" si="27"/>
        <v>33600</v>
      </c>
      <c r="AH22" s="1208">
        <f t="shared" si="27"/>
        <v>34160</v>
      </c>
      <c r="AI22" s="1208">
        <f t="shared" si="27"/>
        <v>34720</v>
      </c>
      <c r="AJ22" s="1208">
        <f t="shared" si="27"/>
        <v>35280</v>
      </c>
      <c r="AK22" s="1208">
        <f t="shared" si="27"/>
        <v>35840</v>
      </c>
      <c r="AL22" s="1208">
        <f t="shared" si="27"/>
        <v>36400</v>
      </c>
      <c r="AM22" s="1208">
        <f t="shared" si="27"/>
        <v>36960</v>
      </c>
      <c r="AN22" s="1208">
        <f t="shared" si="27"/>
        <v>37520</v>
      </c>
      <c r="AO22" s="1208">
        <f t="shared" si="27"/>
        <v>38080</v>
      </c>
      <c r="AP22" s="1208">
        <f t="shared" si="27"/>
        <v>38640</v>
      </c>
      <c r="AQ22" s="1208">
        <f t="shared" si="27"/>
        <v>39200</v>
      </c>
      <c r="AR22" s="1208">
        <f t="shared" si="27"/>
        <v>39760</v>
      </c>
      <c r="AS22" s="1208">
        <f t="shared" si="27"/>
        <v>40320</v>
      </c>
      <c r="AT22" s="1208">
        <f t="shared" si="27"/>
        <v>40880</v>
      </c>
      <c r="AU22" s="1208">
        <f t="shared" si="27"/>
        <v>41440</v>
      </c>
      <c r="AV22" s="1208">
        <f t="shared" si="27"/>
        <v>42000</v>
      </c>
      <c r="AW22" s="1147"/>
      <c r="AX22" s="1147"/>
      <c r="AY22" s="1147"/>
      <c r="AZ22" s="1147"/>
      <c r="BA22" s="1147"/>
      <c r="BB22" s="1147"/>
      <c r="BC22" s="1147"/>
      <c r="BD22" s="1147"/>
      <c r="BE22" s="1147"/>
      <c r="BF22" s="1147"/>
      <c r="BG22" s="1147"/>
      <c r="BH22" s="1147"/>
      <c r="BI22" s="1147"/>
      <c r="BJ22" s="1147"/>
      <c r="BK22" s="1147"/>
      <c r="BL22" s="1147"/>
      <c r="BM22" s="1147"/>
      <c r="BN22" s="1147"/>
      <c r="BO22" s="1147"/>
      <c r="BP22" s="1147"/>
      <c r="BQ22" s="1147"/>
      <c r="BR22" s="1147"/>
      <c r="BS22" s="1147"/>
      <c r="BT22" s="1147"/>
      <c r="BU22" s="1147"/>
      <c r="BV22" s="1147"/>
      <c r="BW22" s="1147"/>
      <c r="BX22" s="1147"/>
      <c r="BY22" s="1147"/>
      <c r="BZ22" s="1147"/>
      <c r="CA22" s="1147"/>
      <c r="CB22" s="1147"/>
      <c r="CC22" s="1147"/>
      <c r="CD22" s="1147"/>
      <c r="CE22" s="1147"/>
      <c r="CF22" s="1147"/>
      <c r="CG22" s="1147"/>
      <c r="CH22" s="1147"/>
      <c r="CI22" s="1147"/>
      <c r="CJ22" s="1147"/>
      <c r="CK22" s="1146"/>
    </row>
    <row r="23" spans="1:89" ht="15" x14ac:dyDescent="0.25">
      <c r="A23" s="1146"/>
      <c r="B23" s="1146"/>
      <c r="C23" s="1146"/>
      <c r="D23" s="1146"/>
      <c r="E23" s="1146"/>
      <c r="F23" s="1146">
        <v>110</v>
      </c>
      <c r="G23" s="1146" t="s">
        <v>683</v>
      </c>
      <c r="H23" s="1146">
        <v>10</v>
      </c>
      <c r="I23" s="1146">
        <v>4.87</v>
      </c>
      <c r="J23" s="1220">
        <f>H23*I23/100</f>
        <v>0.48700000000000004</v>
      </c>
      <c r="K23" s="1146">
        <v>0.91</v>
      </c>
      <c r="L23" s="1146">
        <v>87</v>
      </c>
      <c r="M23" s="1146"/>
      <c r="N23" s="1146"/>
      <c r="O23" s="1146">
        <v>0.8</v>
      </c>
      <c r="P23" s="1146">
        <v>18</v>
      </c>
      <c r="Q23" s="1146"/>
      <c r="R23" s="1146"/>
      <c r="S23" s="1146"/>
      <c r="T23" s="1147"/>
      <c r="U23" s="1147" t="s">
        <v>364</v>
      </c>
      <c r="V23" s="1147"/>
      <c r="W23" s="1208">
        <v>28000</v>
      </c>
      <c r="X23" s="1208">
        <f t="shared" si="28"/>
        <v>28560</v>
      </c>
      <c r="Y23" s="1208">
        <f t="shared" si="27"/>
        <v>29120</v>
      </c>
      <c r="Z23" s="1208">
        <f t="shared" si="27"/>
        <v>29680</v>
      </c>
      <c r="AA23" s="1208">
        <f t="shared" si="27"/>
        <v>30240.000000000004</v>
      </c>
      <c r="AB23" s="1208">
        <f t="shared" si="27"/>
        <v>30800.000000000004</v>
      </c>
      <c r="AC23" s="1208">
        <f t="shared" si="27"/>
        <v>31360.000000000004</v>
      </c>
      <c r="AD23" s="1208">
        <f t="shared" si="27"/>
        <v>31920.000000000004</v>
      </c>
      <c r="AE23" s="1208">
        <f t="shared" si="27"/>
        <v>32479.999999999996</v>
      </c>
      <c r="AF23" s="1208">
        <f t="shared" si="27"/>
        <v>33040</v>
      </c>
      <c r="AG23" s="1208">
        <f t="shared" si="27"/>
        <v>33600</v>
      </c>
      <c r="AH23" s="1208">
        <f t="shared" si="27"/>
        <v>34160</v>
      </c>
      <c r="AI23" s="1208">
        <f t="shared" si="27"/>
        <v>34720</v>
      </c>
      <c r="AJ23" s="1208">
        <f t="shared" si="27"/>
        <v>35280</v>
      </c>
      <c r="AK23" s="1208">
        <f t="shared" si="27"/>
        <v>35840</v>
      </c>
      <c r="AL23" s="1208">
        <f t="shared" si="27"/>
        <v>36400</v>
      </c>
      <c r="AM23" s="1208">
        <f t="shared" si="27"/>
        <v>36960</v>
      </c>
      <c r="AN23" s="1208">
        <f t="shared" si="27"/>
        <v>37520</v>
      </c>
      <c r="AO23" s="1208">
        <f t="shared" si="27"/>
        <v>38080</v>
      </c>
      <c r="AP23" s="1208">
        <f t="shared" si="27"/>
        <v>38640</v>
      </c>
      <c r="AQ23" s="1208">
        <f t="shared" si="27"/>
        <v>39200</v>
      </c>
      <c r="AR23" s="1208">
        <f t="shared" si="27"/>
        <v>39760</v>
      </c>
      <c r="AS23" s="1208">
        <f t="shared" si="27"/>
        <v>40320</v>
      </c>
      <c r="AT23" s="1208">
        <f t="shared" si="27"/>
        <v>40880</v>
      </c>
      <c r="AU23" s="1208">
        <f t="shared" si="27"/>
        <v>41440</v>
      </c>
      <c r="AV23" s="1208">
        <f t="shared" si="27"/>
        <v>42000</v>
      </c>
      <c r="AW23" s="1147"/>
      <c r="AX23" s="1147"/>
      <c r="AY23" s="1147"/>
      <c r="AZ23" s="1147"/>
      <c r="BA23" s="1147"/>
      <c r="BB23" s="1147"/>
      <c r="BC23" s="1147"/>
      <c r="BD23" s="1147"/>
      <c r="BE23" s="1147"/>
      <c r="BF23" s="1147"/>
      <c r="BG23" s="1147"/>
      <c r="BH23" s="1147"/>
      <c r="BI23" s="1147"/>
      <c r="BJ23" s="1147"/>
      <c r="BK23" s="1147"/>
      <c r="BL23" s="1147"/>
      <c r="BM23" s="1147"/>
      <c r="BN23" s="1147"/>
      <c r="BO23" s="1147"/>
      <c r="BP23" s="1147"/>
      <c r="BQ23" s="1147"/>
      <c r="BR23" s="1147"/>
      <c r="BS23" s="1147"/>
      <c r="BT23" s="1147"/>
      <c r="BU23" s="1147"/>
      <c r="BV23" s="1147"/>
      <c r="BW23" s="1147"/>
      <c r="BX23" s="1147"/>
      <c r="BY23" s="1147"/>
      <c r="BZ23" s="1147"/>
      <c r="CA23" s="1147"/>
      <c r="CB23" s="1147"/>
      <c r="CC23" s="1147"/>
      <c r="CD23" s="1147"/>
      <c r="CE23" s="1147"/>
      <c r="CF23" s="1147"/>
      <c r="CG23" s="1147"/>
      <c r="CH23" s="1147"/>
      <c r="CI23" s="1147"/>
      <c r="CJ23" s="1147"/>
      <c r="CK23" s="1146"/>
    </row>
    <row r="24" spans="1:89" ht="15" x14ac:dyDescent="0.25">
      <c r="A24" s="1146"/>
      <c r="B24" s="1146"/>
      <c r="C24" s="1146"/>
      <c r="D24" s="1146"/>
      <c r="E24" s="1146"/>
      <c r="F24" s="1146">
        <v>130</v>
      </c>
      <c r="G24" s="1146" t="s">
        <v>684</v>
      </c>
      <c r="H24" s="1146">
        <v>15</v>
      </c>
      <c r="I24" s="1146">
        <v>3.37</v>
      </c>
      <c r="J24" s="1220">
        <f t="shared" ref="J24:J28" si="29">H24*I24/100</f>
        <v>0.50550000000000006</v>
      </c>
      <c r="K24" s="1146">
        <v>0.41</v>
      </c>
      <c r="L24" s="1146">
        <v>87</v>
      </c>
      <c r="M24" s="1146"/>
      <c r="N24" s="1146"/>
      <c r="O24" s="1146">
        <v>0.4</v>
      </c>
      <c r="P24" s="1146">
        <v>21</v>
      </c>
      <c r="Q24" s="1146"/>
      <c r="R24" s="1146"/>
      <c r="S24" s="1146"/>
      <c r="T24" s="1147"/>
      <c r="U24" s="1147" t="s">
        <v>363</v>
      </c>
      <c r="V24" s="1147"/>
      <c r="W24" s="1208">
        <v>32000</v>
      </c>
      <c r="X24" s="1208">
        <f t="shared" si="28"/>
        <v>32640</v>
      </c>
      <c r="Y24" s="1208">
        <f t="shared" si="27"/>
        <v>33280</v>
      </c>
      <c r="Z24" s="1208">
        <f t="shared" si="27"/>
        <v>33920</v>
      </c>
      <c r="AA24" s="1208">
        <f t="shared" si="27"/>
        <v>34560</v>
      </c>
      <c r="AB24" s="1208">
        <f t="shared" si="27"/>
        <v>35200</v>
      </c>
      <c r="AC24" s="1208">
        <f t="shared" si="27"/>
        <v>35840</v>
      </c>
      <c r="AD24" s="1208">
        <f t="shared" si="27"/>
        <v>36480.000000000007</v>
      </c>
      <c r="AE24" s="1208">
        <f t="shared" si="27"/>
        <v>37120</v>
      </c>
      <c r="AF24" s="1208">
        <f t="shared" si="27"/>
        <v>37760</v>
      </c>
      <c r="AG24" s="1208">
        <f t="shared" si="27"/>
        <v>38400</v>
      </c>
      <c r="AH24" s="1208">
        <f t="shared" si="27"/>
        <v>39040</v>
      </c>
      <c r="AI24" s="1208">
        <f t="shared" si="27"/>
        <v>39680</v>
      </c>
      <c r="AJ24" s="1208">
        <f t="shared" si="27"/>
        <v>40320</v>
      </c>
      <c r="AK24" s="1208">
        <f t="shared" si="27"/>
        <v>40960</v>
      </c>
      <c r="AL24" s="1208">
        <f t="shared" si="27"/>
        <v>41600</v>
      </c>
      <c r="AM24" s="1208">
        <f t="shared" si="27"/>
        <v>42240</v>
      </c>
      <c r="AN24" s="1208">
        <f t="shared" si="27"/>
        <v>42880</v>
      </c>
      <c r="AO24" s="1208">
        <f t="shared" si="27"/>
        <v>43519.999999999993</v>
      </c>
      <c r="AP24" s="1208">
        <f t="shared" si="27"/>
        <v>44160</v>
      </c>
      <c r="AQ24" s="1208">
        <f t="shared" si="27"/>
        <v>44800</v>
      </c>
      <c r="AR24" s="1208">
        <f t="shared" si="27"/>
        <v>45440</v>
      </c>
      <c r="AS24" s="1208">
        <f t="shared" si="27"/>
        <v>46080</v>
      </c>
      <c r="AT24" s="1208">
        <f t="shared" si="27"/>
        <v>46720</v>
      </c>
      <c r="AU24" s="1208">
        <f t="shared" si="27"/>
        <v>47360</v>
      </c>
      <c r="AV24" s="1208">
        <f t="shared" si="27"/>
        <v>48000</v>
      </c>
      <c r="AW24" s="1147"/>
      <c r="AX24" s="1147"/>
      <c r="AY24" s="1147"/>
      <c r="AZ24" s="1147"/>
      <c r="BA24" s="1147"/>
      <c r="BB24" s="1147"/>
      <c r="BC24" s="1147"/>
      <c r="BD24" s="1147"/>
      <c r="BE24" s="1147"/>
      <c r="BF24" s="1147"/>
      <c r="BG24" s="1147"/>
      <c r="BH24" s="1147"/>
      <c r="BI24" s="1147"/>
      <c r="BJ24" s="1147"/>
      <c r="BK24" s="1147"/>
      <c r="BL24" s="1147"/>
      <c r="BM24" s="1147"/>
      <c r="BN24" s="1147"/>
      <c r="BO24" s="1147"/>
      <c r="BP24" s="1147"/>
      <c r="BQ24" s="1147"/>
      <c r="BR24" s="1147"/>
      <c r="BS24" s="1147"/>
      <c r="BT24" s="1147"/>
      <c r="BU24" s="1147"/>
      <c r="BV24" s="1147"/>
      <c r="BW24" s="1147"/>
      <c r="BX24" s="1147"/>
      <c r="BY24" s="1147"/>
      <c r="BZ24" s="1147"/>
      <c r="CA24" s="1147"/>
      <c r="CB24" s="1147"/>
      <c r="CC24" s="1147"/>
      <c r="CD24" s="1147"/>
      <c r="CE24" s="1147"/>
      <c r="CF24" s="1147"/>
      <c r="CG24" s="1147"/>
      <c r="CH24" s="1147"/>
      <c r="CI24" s="1147"/>
      <c r="CJ24" s="1147"/>
      <c r="CK24" s="1146"/>
    </row>
    <row r="25" spans="1:89" ht="15" x14ac:dyDescent="0.25">
      <c r="A25" s="1146"/>
      <c r="B25" s="1146"/>
      <c r="C25" s="1146"/>
      <c r="D25" s="1146"/>
      <c r="E25" s="1146"/>
      <c r="F25" s="1146">
        <v>140</v>
      </c>
      <c r="G25" s="1146" t="s">
        <v>685</v>
      </c>
      <c r="H25" s="1146">
        <v>10</v>
      </c>
      <c r="I25" s="1146">
        <v>4.75</v>
      </c>
      <c r="J25" s="1220">
        <f t="shared" si="29"/>
        <v>0.47499999999999998</v>
      </c>
      <c r="K25" s="1146">
        <v>0.8</v>
      </c>
      <c r="L25" s="1146">
        <v>73</v>
      </c>
      <c r="M25" s="1146"/>
      <c r="N25" s="1146"/>
      <c r="O25" s="1146">
        <v>0.8</v>
      </c>
      <c r="P25" s="1146">
        <v>42</v>
      </c>
      <c r="Q25" s="1146"/>
      <c r="R25" s="1146"/>
      <c r="S25" s="1146"/>
      <c r="T25" s="1147"/>
      <c r="U25" s="1147" t="s">
        <v>379</v>
      </c>
      <c r="V25" s="1147"/>
      <c r="W25" s="1208">
        <v>10000</v>
      </c>
      <c r="X25" s="1208">
        <f t="shared" si="28"/>
        <v>10200</v>
      </c>
      <c r="Y25" s="1208">
        <f t="shared" si="27"/>
        <v>10400</v>
      </c>
      <c r="Z25" s="1208">
        <f t="shared" si="27"/>
        <v>10600</v>
      </c>
      <c r="AA25" s="1208">
        <f t="shared" si="27"/>
        <v>10800</v>
      </c>
      <c r="AB25" s="1208">
        <f t="shared" si="27"/>
        <v>11000</v>
      </c>
      <c r="AC25" s="1208">
        <f t="shared" si="27"/>
        <v>11200.000000000002</v>
      </c>
      <c r="AD25" s="1208">
        <f t="shared" si="27"/>
        <v>11400.000000000002</v>
      </c>
      <c r="AE25" s="1208">
        <f t="shared" si="27"/>
        <v>11600</v>
      </c>
      <c r="AF25" s="1208">
        <f t="shared" si="27"/>
        <v>11800</v>
      </c>
      <c r="AG25" s="1208">
        <f t="shared" si="27"/>
        <v>12000</v>
      </c>
      <c r="AH25" s="1208">
        <f t="shared" si="27"/>
        <v>12200</v>
      </c>
      <c r="AI25" s="1208">
        <f t="shared" si="27"/>
        <v>12400</v>
      </c>
      <c r="AJ25" s="1208">
        <f t="shared" si="27"/>
        <v>12600</v>
      </c>
      <c r="AK25" s="1208">
        <f t="shared" si="27"/>
        <v>12800</v>
      </c>
      <c r="AL25" s="1208">
        <f t="shared" si="27"/>
        <v>13000</v>
      </c>
      <c r="AM25" s="1208">
        <f t="shared" si="27"/>
        <v>13200</v>
      </c>
      <c r="AN25" s="1208">
        <f t="shared" si="27"/>
        <v>13400</v>
      </c>
      <c r="AO25" s="1208">
        <f t="shared" si="27"/>
        <v>13599.999999999998</v>
      </c>
      <c r="AP25" s="1208">
        <f t="shared" si="27"/>
        <v>13799.999999999998</v>
      </c>
      <c r="AQ25" s="1208">
        <f t="shared" si="27"/>
        <v>14000</v>
      </c>
      <c r="AR25" s="1208">
        <f t="shared" si="27"/>
        <v>14200</v>
      </c>
      <c r="AS25" s="1208">
        <f t="shared" si="27"/>
        <v>14400</v>
      </c>
      <c r="AT25" s="1208">
        <f t="shared" si="27"/>
        <v>14600</v>
      </c>
      <c r="AU25" s="1208">
        <f t="shared" si="27"/>
        <v>14800</v>
      </c>
      <c r="AV25" s="1208">
        <f t="shared" si="27"/>
        <v>15000</v>
      </c>
      <c r="AW25" s="1147"/>
      <c r="AX25" s="1147"/>
      <c r="AY25" s="1147"/>
      <c r="AZ25" s="1147"/>
      <c r="BA25" s="1147"/>
      <c r="BB25" s="1147"/>
      <c r="BC25" s="1147"/>
      <c r="BD25" s="1147"/>
      <c r="BE25" s="1147"/>
      <c r="BF25" s="1147"/>
      <c r="BG25" s="1147"/>
      <c r="BH25" s="1147"/>
      <c r="BI25" s="1147"/>
      <c r="BJ25" s="1147"/>
      <c r="BK25" s="1147"/>
      <c r="BL25" s="1147"/>
      <c r="BM25" s="1147"/>
      <c r="BN25" s="1147"/>
      <c r="BO25" s="1147"/>
      <c r="BP25" s="1147"/>
      <c r="BQ25" s="1147"/>
      <c r="BR25" s="1147"/>
      <c r="BS25" s="1147"/>
      <c r="BT25" s="1147"/>
      <c r="BU25" s="1147"/>
      <c r="BV25" s="1147"/>
      <c r="BW25" s="1147"/>
      <c r="BX25" s="1147"/>
      <c r="BY25" s="1147"/>
      <c r="BZ25" s="1147"/>
      <c r="CA25" s="1147"/>
      <c r="CB25" s="1147"/>
      <c r="CC25" s="1147"/>
      <c r="CD25" s="1147"/>
      <c r="CE25" s="1147"/>
      <c r="CF25" s="1147"/>
      <c r="CG25" s="1147"/>
      <c r="CH25" s="1147"/>
      <c r="CI25" s="1147"/>
      <c r="CJ25" s="1147"/>
      <c r="CK25" s="1146"/>
    </row>
    <row r="26" spans="1:89" ht="15" x14ac:dyDescent="0.25">
      <c r="A26" s="1146"/>
      <c r="B26" s="1146"/>
      <c r="C26" s="1146"/>
      <c r="D26" s="1146"/>
      <c r="E26" s="1146"/>
      <c r="F26" s="1146">
        <v>150</v>
      </c>
      <c r="G26" s="1146" t="s">
        <v>686</v>
      </c>
      <c r="H26" s="1146">
        <v>20</v>
      </c>
      <c r="I26" s="1146">
        <v>1.71</v>
      </c>
      <c r="J26" s="1220">
        <f t="shared" si="29"/>
        <v>0.34200000000000003</v>
      </c>
      <c r="K26" s="1146">
        <v>0.21</v>
      </c>
      <c r="L26" s="1146">
        <v>66</v>
      </c>
      <c r="M26" s="1146"/>
      <c r="N26" s="1146"/>
      <c r="O26" s="1146">
        <v>0.23</v>
      </c>
      <c r="P26" s="1146">
        <v>24</v>
      </c>
      <c r="Q26" s="1146"/>
      <c r="R26" s="1146"/>
      <c r="S26" s="1146"/>
      <c r="T26" s="1147"/>
      <c r="U26" s="1147" t="s">
        <v>380</v>
      </c>
      <c r="V26" s="1147"/>
      <c r="W26" s="1208">
        <v>7600</v>
      </c>
      <c r="X26" s="1208">
        <f t="shared" si="28"/>
        <v>7752</v>
      </c>
      <c r="Y26" s="1208">
        <f t="shared" si="27"/>
        <v>7904</v>
      </c>
      <c r="Z26" s="1208">
        <f t="shared" si="27"/>
        <v>8056</v>
      </c>
      <c r="AA26" s="1208">
        <f t="shared" si="27"/>
        <v>8208</v>
      </c>
      <c r="AB26" s="1208">
        <f t="shared" si="27"/>
        <v>8360</v>
      </c>
      <c r="AC26" s="1208">
        <f t="shared" si="27"/>
        <v>8512</v>
      </c>
      <c r="AD26" s="1208">
        <f t="shared" si="27"/>
        <v>8664.0000000000018</v>
      </c>
      <c r="AE26" s="1208">
        <f t="shared" si="27"/>
        <v>8816</v>
      </c>
      <c r="AF26" s="1208">
        <f t="shared" si="27"/>
        <v>8968</v>
      </c>
      <c r="AG26" s="1208">
        <f t="shared" si="27"/>
        <v>9120</v>
      </c>
      <c r="AH26" s="1208">
        <f t="shared" si="27"/>
        <v>9272</v>
      </c>
      <c r="AI26" s="1208">
        <f t="shared" si="27"/>
        <v>9424</v>
      </c>
      <c r="AJ26" s="1208">
        <f t="shared" si="27"/>
        <v>9576</v>
      </c>
      <c r="AK26" s="1208">
        <f t="shared" si="27"/>
        <v>9728</v>
      </c>
      <c r="AL26" s="1208">
        <f t="shared" si="27"/>
        <v>9880</v>
      </c>
      <c r="AM26" s="1208">
        <f t="shared" si="27"/>
        <v>10032</v>
      </c>
      <c r="AN26" s="1208">
        <f t="shared" si="27"/>
        <v>10184</v>
      </c>
      <c r="AO26" s="1208">
        <f t="shared" si="27"/>
        <v>10335.999999999998</v>
      </c>
      <c r="AP26" s="1208">
        <f t="shared" si="27"/>
        <v>10488</v>
      </c>
      <c r="AQ26" s="1208">
        <f t="shared" si="27"/>
        <v>10640</v>
      </c>
      <c r="AR26" s="1208">
        <f t="shared" si="27"/>
        <v>10792</v>
      </c>
      <c r="AS26" s="1208">
        <f t="shared" si="27"/>
        <v>10944</v>
      </c>
      <c r="AT26" s="1208">
        <f t="shared" si="27"/>
        <v>11096</v>
      </c>
      <c r="AU26" s="1208">
        <f t="shared" si="27"/>
        <v>11248</v>
      </c>
      <c r="AV26" s="1208">
        <f t="shared" si="27"/>
        <v>11400</v>
      </c>
      <c r="AW26" s="1147"/>
      <c r="AX26" s="1147"/>
      <c r="AY26" s="1147"/>
      <c r="AZ26" s="1147"/>
      <c r="BA26" s="1147"/>
      <c r="BB26" s="1147"/>
      <c r="BC26" s="1147"/>
      <c r="BD26" s="1147"/>
      <c r="BE26" s="1147"/>
      <c r="BF26" s="1147"/>
      <c r="BG26" s="1147"/>
      <c r="BH26" s="1147"/>
      <c r="BI26" s="1147"/>
      <c r="BJ26" s="1147"/>
      <c r="BK26" s="1147"/>
      <c r="BL26" s="1147"/>
      <c r="BM26" s="1147"/>
      <c r="BN26" s="1147"/>
      <c r="BO26" s="1147"/>
      <c r="BP26" s="1147"/>
      <c r="BQ26" s="1147"/>
      <c r="BR26" s="1147"/>
      <c r="BS26" s="1147"/>
      <c r="BT26" s="1147"/>
      <c r="BU26" s="1147"/>
      <c r="BV26" s="1147"/>
      <c r="BW26" s="1147"/>
      <c r="BX26" s="1147"/>
      <c r="BY26" s="1147"/>
      <c r="BZ26" s="1147"/>
      <c r="CA26" s="1147"/>
      <c r="CB26" s="1147"/>
      <c r="CC26" s="1147"/>
      <c r="CD26" s="1147"/>
      <c r="CE26" s="1147"/>
      <c r="CF26" s="1147"/>
      <c r="CG26" s="1147"/>
      <c r="CH26" s="1147"/>
      <c r="CI26" s="1147"/>
      <c r="CJ26" s="1147"/>
      <c r="CK26" s="1146"/>
    </row>
    <row r="27" spans="1:89" ht="15" x14ac:dyDescent="0.25">
      <c r="A27" s="1146"/>
      <c r="B27" s="1146"/>
      <c r="C27" s="1146"/>
      <c r="D27" s="1146"/>
      <c r="E27" s="1146"/>
      <c r="F27" s="1146">
        <v>154</v>
      </c>
      <c r="G27" s="1146" t="s">
        <v>687</v>
      </c>
      <c r="H27" s="1146">
        <v>20</v>
      </c>
      <c r="I27" s="1146">
        <v>1.4</v>
      </c>
      <c r="J27" s="1220">
        <f t="shared" si="29"/>
        <v>0.28000000000000003</v>
      </c>
      <c r="K27" s="1146">
        <v>0.13</v>
      </c>
      <c r="L27" s="1146">
        <v>78</v>
      </c>
      <c r="M27" s="1146"/>
      <c r="N27" s="1146"/>
      <c r="O27" s="1146">
        <v>0.17</v>
      </c>
      <c r="P27" s="1146">
        <v>34</v>
      </c>
      <c r="Q27" s="1146"/>
      <c r="R27" s="1146"/>
      <c r="S27" s="1146"/>
      <c r="T27" s="1147"/>
      <c r="U27" s="1147" t="s">
        <v>381</v>
      </c>
      <c r="V27" s="1147"/>
      <c r="W27" s="1208">
        <v>6000</v>
      </c>
      <c r="X27" s="1208">
        <f t="shared" si="28"/>
        <v>6120</v>
      </c>
      <c r="Y27" s="1208">
        <f t="shared" si="27"/>
        <v>6240</v>
      </c>
      <c r="Z27" s="1208">
        <f t="shared" si="27"/>
        <v>6360</v>
      </c>
      <c r="AA27" s="1208">
        <f t="shared" si="27"/>
        <v>6480</v>
      </c>
      <c r="AB27" s="1208">
        <f t="shared" si="27"/>
        <v>6600.0000000000009</v>
      </c>
      <c r="AC27" s="1208">
        <f t="shared" si="27"/>
        <v>6720.0000000000009</v>
      </c>
      <c r="AD27" s="1208">
        <f t="shared" si="27"/>
        <v>6840.0000000000009</v>
      </c>
      <c r="AE27" s="1208">
        <f t="shared" si="27"/>
        <v>6959.9999999999991</v>
      </c>
      <c r="AF27" s="1208">
        <f t="shared" si="27"/>
        <v>7080</v>
      </c>
      <c r="AG27" s="1208">
        <f t="shared" si="27"/>
        <v>7200</v>
      </c>
      <c r="AH27" s="1208">
        <f t="shared" si="27"/>
        <v>7320</v>
      </c>
      <c r="AI27" s="1208">
        <f t="shared" si="27"/>
        <v>7440</v>
      </c>
      <c r="AJ27" s="1208">
        <f t="shared" si="27"/>
        <v>7560</v>
      </c>
      <c r="AK27" s="1208">
        <f t="shared" si="27"/>
        <v>7680</v>
      </c>
      <c r="AL27" s="1208">
        <f t="shared" si="27"/>
        <v>7800</v>
      </c>
      <c r="AM27" s="1208">
        <f t="shared" si="27"/>
        <v>7920</v>
      </c>
      <c r="AN27" s="1208">
        <f t="shared" si="27"/>
        <v>8040.0000000000009</v>
      </c>
      <c r="AO27" s="1208">
        <f t="shared" si="27"/>
        <v>8159.9999999999991</v>
      </c>
      <c r="AP27" s="1208">
        <f t="shared" si="27"/>
        <v>8280</v>
      </c>
      <c r="AQ27" s="1208">
        <f t="shared" si="27"/>
        <v>8400</v>
      </c>
      <c r="AR27" s="1208">
        <f t="shared" si="27"/>
        <v>8520</v>
      </c>
      <c r="AS27" s="1208">
        <f t="shared" si="27"/>
        <v>8640</v>
      </c>
      <c r="AT27" s="1208">
        <f t="shared" si="27"/>
        <v>8760</v>
      </c>
      <c r="AU27" s="1208">
        <f t="shared" si="27"/>
        <v>8880</v>
      </c>
      <c r="AV27" s="1208">
        <f t="shared" si="27"/>
        <v>9000</v>
      </c>
      <c r="AW27" s="1147"/>
      <c r="AX27" s="1147"/>
      <c r="AY27" s="1147"/>
      <c r="AZ27" s="1147"/>
      <c r="BA27" s="1147"/>
      <c r="BB27" s="1147"/>
      <c r="BC27" s="1147"/>
      <c r="BD27" s="1147"/>
      <c r="BE27" s="1147"/>
      <c r="BF27" s="1147"/>
      <c r="BG27" s="1147"/>
      <c r="BH27" s="1147"/>
      <c r="BI27" s="1147"/>
      <c r="BJ27" s="1147"/>
      <c r="BK27" s="1147"/>
      <c r="BL27" s="1147"/>
      <c r="BM27" s="1147"/>
      <c r="BN27" s="1147"/>
      <c r="BO27" s="1147"/>
      <c r="BP27" s="1147"/>
      <c r="BQ27" s="1147"/>
      <c r="BR27" s="1147"/>
      <c r="BS27" s="1147"/>
      <c r="BT27" s="1147"/>
      <c r="BU27" s="1147"/>
      <c r="BV27" s="1147"/>
      <c r="BW27" s="1147"/>
      <c r="BX27" s="1147"/>
      <c r="BY27" s="1147"/>
      <c r="BZ27" s="1147"/>
      <c r="CA27" s="1147"/>
      <c r="CB27" s="1147"/>
      <c r="CC27" s="1147"/>
      <c r="CD27" s="1147"/>
      <c r="CE27" s="1147"/>
      <c r="CF27" s="1147"/>
      <c r="CG27" s="1147"/>
      <c r="CH27" s="1147"/>
      <c r="CI27" s="1147"/>
      <c r="CJ27" s="1147"/>
      <c r="CK27" s="1146"/>
    </row>
    <row r="28" spans="1:89" ht="15" x14ac:dyDescent="0.25">
      <c r="A28" s="1146"/>
      <c r="B28" s="1146"/>
      <c r="C28" s="1146"/>
      <c r="D28" s="1219"/>
      <c r="E28" s="1146"/>
      <c r="F28" s="1146">
        <v>160</v>
      </c>
      <c r="G28" s="1146" t="s">
        <v>688</v>
      </c>
      <c r="H28" s="1146">
        <v>25</v>
      </c>
      <c r="I28" s="1146">
        <v>0.99</v>
      </c>
      <c r="J28" s="1220">
        <f t="shared" si="29"/>
        <v>0.2475</v>
      </c>
      <c r="K28" s="1146">
        <v>0.15</v>
      </c>
      <c r="L28" s="1146">
        <v>50</v>
      </c>
      <c r="M28" s="1146"/>
      <c r="N28" s="1146"/>
      <c r="O28" s="1146">
        <v>0.13</v>
      </c>
      <c r="P28" s="1146">
        <v>50</v>
      </c>
      <c r="Q28" s="1146"/>
      <c r="R28" s="1146"/>
      <c r="S28" s="1146"/>
      <c r="T28" s="1147"/>
      <c r="U28" s="1147" t="s">
        <v>371</v>
      </c>
      <c r="V28" s="1147"/>
      <c r="W28" s="1208">
        <v>4000</v>
      </c>
      <c r="X28" s="1208">
        <f t="shared" si="28"/>
        <v>4080</v>
      </c>
      <c r="Y28" s="1208">
        <f t="shared" si="27"/>
        <v>4160</v>
      </c>
      <c r="Z28" s="1208">
        <f t="shared" si="27"/>
        <v>4240</v>
      </c>
      <c r="AA28" s="1208">
        <f t="shared" si="27"/>
        <v>4320</v>
      </c>
      <c r="AB28" s="1208">
        <f t="shared" si="27"/>
        <v>4400</v>
      </c>
      <c r="AC28" s="1208">
        <f t="shared" si="27"/>
        <v>4480</v>
      </c>
      <c r="AD28" s="1208">
        <f t="shared" si="27"/>
        <v>4560.0000000000009</v>
      </c>
      <c r="AE28" s="1208">
        <f t="shared" si="27"/>
        <v>4640</v>
      </c>
      <c r="AF28" s="1208">
        <f t="shared" si="27"/>
        <v>4720</v>
      </c>
      <c r="AG28" s="1208">
        <f t="shared" si="27"/>
        <v>4800</v>
      </c>
      <c r="AH28" s="1208">
        <f t="shared" si="27"/>
        <v>4880</v>
      </c>
      <c r="AI28" s="1208">
        <f t="shared" si="27"/>
        <v>4960</v>
      </c>
      <c r="AJ28" s="1208">
        <f t="shared" si="27"/>
        <v>5040</v>
      </c>
      <c r="AK28" s="1208">
        <f t="shared" si="27"/>
        <v>5120</v>
      </c>
      <c r="AL28" s="1208">
        <f t="shared" si="27"/>
        <v>5200</v>
      </c>
      <c r="AM28" s="1208">
        <f t="shared" si="27"/>
        <v>5280</v>
      </c>
      <c r="AN28" s="1208">
        <f t="shared" si="27"/>
        <v>5360</v>
      </c>
      <c r="AO28" s="1208">
        <f t="shared" si="27"/>
        <v>5439.9999999999991</v>
      </c>
      <c r="AP28" s="1208">
        <f t="shared" si="27"/>
        <v>5520</v>
      </c>
      <c r="AQ28" s="1208">
        <f t="shared" si="27"/>
        <v>5600</v>
      </c>
      <c r="AR28" s="1208">
        <f t="shared" si="27"/>
        <v>5680</v>
      </c>
      <c r="AS28" s="1208">
        <f t="shared" si="27"/>
        <v>5760</v>
      </c>
      <c r="AT28" s="1208">
        <f t="shared" si="27"/>
        <v>5840</v>
      </c>
      <c r="AU28" s="1208">
        <f t="shared" si="27"/>
        <v>5920</v>
      </c>
      <c r="AV28" s="1208">
        <f t="shared" si="27"/>
        <v>6000</v>
      </c>
      <c r="AW28" s="1147"/>
      <c r="AX28" s="1147"/>
      <c r="AY28" s="1147"/>
      <c r="AZ28" s="1147"/>
      <c r="BA28" s="1147"/>
      <c r="BB28" s="1147"/>
      <c r="BC28" s="1147"/>
      <c r="BD28" s="1147"/>
      <c r="BE28" s="1147"/>
      <c r="BF28" s="1147"/>
      <c r="BG28" s="1147"/>
      <c r="BH28" s="1147"/>
      <c r="BI28" s="1147"/>
      <c r="BJ28" s="1147"/>
      <c r="BK28" s="1147"/>
      <c r="BL28" s="1147"/>
      <c r="BM28" s="1147"/>
      <c r="BN28" s="1147"/>
      <c r="BO28" s="1147"/>
      <c r="BP28" s="1147"/>
      <c r="BQ28" s="1147"/>
      <c r="BR28" s="1147"/>
      <c r="BS28" s="1147"/>
      <c r="BT28" s="1147"/>
      <c r="BU28" s="1147"/>
      <c r="BV28" s="1147"/>
      <c r="BW28" s="1147"/>
      <c r="BX28" s="1147"/>
      <c r="BY28" s="1147"/>
      <c r="BZ28" s="1147"/>
      <c r="CA28" s="1147"/>
      <c r="CB28" s="1147"/>
      <c r="CC28" s="1147"/>
      <c r="CD28" s="1147"/>
      <c r="CE28" s="1147"/>
      <c r="CF28" s="1147"/>
      <c r="CG28" s="1147"/>
      <c r="CH28" s="1147"/>
      <c r="CI28" s="1147"/>
      <c r="CJ28" s="1147"/>
      <c r="CK28" s="1146"/>
    </row>
    <row r="29" spans="1:89" ht="15" x14ac:dyDescent="0.25">
      <c r="A29" s="1146"/>
      <c r="B29" s="1146"/>
      <c r="C29" s="1146"/>
      <c r="D29" s="1146"/>
      <c r="E29" s="1146"/>
      <c r="F29" s="1146"/>
      <c r="G29" s="1146"/>
      <c r="H29" s="1146">
        <f>SUM(H23:H28)</f>
        <v>100</v>
      </c>
      <c r="I29" s="1146"/>
      <c r="J29" s="1220">
        <f>SUM(J23:J28)</f>
        <v>2.3370000000000002</v>
      </c>
      <c r="K29" s="1146">
        <f>(H23*K23+H24*K24+H25*K25+H26*K26+H27*K27+H28*K28)/100</f>
        <v>0.33799999999999997</v>
      </c>
      <c r="L29" s="1146">
        <f>(H23*L23+H24*L24+H25*L25+H26*L26+H27*L27+H28*L28)/10000</f>
        <v>0.70350000000000001</v>
      </c>
      <c r="M29" s="1146">
        <f>100-L29</f>
        <v>99.296499999999995</v>
      </c>
      <c r="N29" s="1146"/>
      <c r="O29" s="1146">
        <f>(H23*O23+H24*O24+H25*O25+H26*O26+H27*O27+H28*O28)/100</f>
        <v>0.33250000000000002</v>
      </c>
      <c r="P29" s="1146">
        <f>(H23*P23+H24*P24+H25*P25+H26*P26+H27*P27+H28*P28)/10000</f>
        <v>0.33250000000000002</v>
      </c>
      <c r="Q29" s="1146">
        <f>100-P29</f>
        <v>99.667500000000004</v>
      </c>
      <c r="R29" s="1146"/>
      <c r="S29" s="1146"/>
      <c r="T29" s="1147"/>
      <c r="U29" s="1147" t="s">
        <v>372</v>
      </c>
      <c r="V29" s="1147"/>
      <c r="W29" s="1208">
        <v>2400</v>
      </c>
      <c r="X29" s="1208">
        <f t="shared" si="28"/>
        <v>2448</v>
      </c>
      <c r="Y29" s="1208">
        <f t="shared" si="27"/>
        <v>2496</v>
      </c>
      <c r="Z29" s="1208">
        <f t="shared" si="27"/>
        <v>2544</v>
      </c>
      <c r="AA29" s="1208">
        <f t="shared" si="27"/>
        <v>2592</v>
      </c>
      <c r="AB29" s="1208">
        <f t="shared" si="27"/>
        <v>2640</v>
      </c>
      <c r="AC29" s="1208">
        <f t="shared" si="27"/>
        <v>2688.0000000000005</v>
      </c>
      <c r="AD29" s="1208">
        <f t="shared" si="27"/>
        <v>2736.0000000000005</v>
      </c>
      <c r="AE29" s="1208">
        <f t="shared" si="27"/>
        <v>2784</v>
      </c>
      <c r="AF29" s="1208">
        <f t="shared" si="27"/>
        <v>2832</v>
      </c>
      <c r="AG29" s="1208">
        <f t="shared" si="27"/>
        <v>2880</v>
      </c>
      <c r="AH29" s="1208">
        <f t="shared" si="27"/>
        <v>2928</v>
      </c>
      <c r="AI29" s="1208">
        <f t="shared" si="27"/>
        <v>2976</v>
      </c>
      <c r="AJ29" s="1208">
        <f t="shared" si="27"/>
        <v>3024</v>
      </c>
      <c r="AK29" s="1208">
        <f t="shared" si="27"/>
        <v>3072</v>
      </c>
      <c r="AL29" s="1208">
        <f t="shared" si="27"/>
        <v>3120</v>
      </c>
      <c r="AM29" s="1208">
        <f t="shared" si="27"/>
        <v>3168</v>
      </c>
      <c r="AN29" s="1208">
        <f t="shared" si="27"/>
        <v>3216</v>
      </c>
      <c r="AO29" s="1208">
        <f t="shared" si="27"/>
        <v>3263.9999999999995</v>
      </c>
      <c r="AP29" s="1208">
        <f t="shared" si="27"/>
        <v>3311.9999999999995</v>
      </c>
      <c r="AQ29" s="1208">
        <f t="shared" si="27"/>
        <v>3360</v>
      </c>
      <c r="AR29" s="1208">
        <f t="shared" si="27"/>
        <v>3408</v>
      </c>
      <c r="AS29" s="1208">
        <f t="shared" si="27"/>
        <v>3456</v>
      </c>
      <c r="AT29" s="1208">
        <f t="shared" si="27"/>
        <v>3504</v>
      </c>
      <c r="AU29" s="1208">
        <f t="shared" si="27"/>
        <v>3552</v>
      </c>
      <c r="AV29" s="1208">
        <f t="shared" si="27"/>
        <v>3600</v>
      </c>
      <c r="AW29" s="1147"/>
      <c r="AX29" s="1147"/>
      <c r="AY29" s="1147"/>
      <c r="AZ29" s="1147"/>
      <c r="BA29" s="1147"/>
      <c r="BB29" s="1147"/>
      <c r="BC29" s="1147"/>
      <c r="BD29" s="1147"/>
      <c r="BE29" s="1147"/>
      <c r="BF29" s="1147"/>
      <c r="BG29" s="1147"/>
      <c r="BH29" s="1147"/>
      <c r="BI29" s="1147"/>
      <c r="BJ29" s="1147"/>
      <c r="BK29" s="1147"/>
      <c r="BL29" s="1147"/>
      <c r="BM29" s="1147"/>
      <c r="BN29" s="1147"/>
      <c r="BO29" s="1147"/>
      <c r="BP29" s="1147"/>
      <c r="BQ29" s="1147"/>
      <c r="BR29" s="1147"/>
      <c r="BS29" s="1147"/>
      <c r="BT29" s="1147"/>
      <c r="BU29" s="1147"/>
      <c r="BV29" s="1147"/>
      <c r="BW29" s="1147"/>
      <c r="BX29" s="1147"/>
      <c r="BY29" s="1147"/>
      <c r="BZ29" s="1147"/>
      <c r="CA29" s="1147"/>
      <c r="CB29" s="1147"/>
      <c r="CC29" s="1147"/>
      <c r="CD29" s="1147"/>
      <c r="CE29" s="1147"/>
      <c r="CF29" s="1147"/>
      <c r="CG29" s="1147"/>
      <c r="CH29" s="1147"/>
      <c r="CI29" s="1147"/>
      <c r="CJ29" s="1147"/>
      <c r="CK29" s="1146"/>
    </row>
    <row r="30" spans="1:89" ht="15" x14ac:dyDescent="0.25">
      <c r="A30" s="1146"/>
      <c r="B30" s="1146"/>
      <c r="C30" s="1146"/>
      <c r="D30" s="1146"/>
      <c r="E30" s="1146"/>
      <c r="F30" s="1146"/>
      <c r="G30" s="1146"/>
      <c r="H30" s="1146"/>
      <c r="I30" s="1146"/>
      <c r="J30" s="1146"/>
      <c r="K30" s="1146"/>
      <c r="L30" s="1146"/>
      <c r="M30" s="1146"/>
      <c r="N30" s="1146"/>
      <c r="O30" s="1146"/>
      <c r="P30" s="1146"/>
      <c r="Q30" s="1146"/>
      <c r="R30" s="1146"/>
      <c r="S30" s="1146"/>
      <c r="T30" s="1147"/>
      <c r="U30" s="1147" t="s">
        <v>373</v>
      </c>
      <c r="V30" s="1147"/>
      <c r="W30" s="1208">
        <v>6000</v>
      </c>
      <c r="X30" s="1208">
        <f t="shared" si="28"/>
        <v>6120</v>
      </c>
      <c r="Y30" s="1208">
        <f t="shared" si="27"/>
        <v>6240</v>
      </c>
      <c r="Z30" s="1208">
        <f t="shared" si="27"/>
        <v>6360</v>
      </c>
      <c r="AA30" s="1208">
        <f t="shared" si="27"/>
        <v>6480</v>
      </c>
      <c r="AB30" s="1208">
        <f t="shared" si="27"/>
        <v>6600.0000000000009</v>
      </c>
      <c r="AC30" s="1208">
        <f t="shared" si="27"/>
        <v>6720.0000000000009</v>
      </c>
      <c r="AD30" s="1208">
        <f t="shared" si="27"/>
        <v>6840.0000000000009</v>
      </c>
      <c r="AE30" s="1208">
        <f t="shared" si="27"/>
        <v>6959.9999999999991</v>
      </c>
      <c r="AF30" s="1208">
        <f t="shared" si="27"/>
        <v>7080</v>
      </c>
      <c r="AG30" s="1208">
        <f t="shared" si="27"/>
        <v>7200</v>
      </c>
      <c r="AH30" s="1208">
        <f t="shared" si="27"/>
        <v>7320</v>
      </c>
      <c r="AI30" s="1208">
        <f t="shared" si="27"/>
        <v>7440</v>
      </c>
      <c r="AJ30" s="1208">
        <f t="shared" si="27"/>
        <v>7560</v>
      </c>
      <c r="AK30" s="1208">
        <f t="shared" si="27"/>
        <v>7680</v>
      </c>
      <c r="AL30" s="1208">
        <f t="shared" si="27"/>
        <v>7800</v>
      </c>
      <c r="AM30" s="1208">
        <f t="shared" si="27"/>
        <v>7920</v>
      </c>
      <c r="AN30" s="1208">
        <f t="shared" si="27"/>
        <v>8040.0000000000009</v>
      </c>
      <c r="AO30" s="1208">
        <f t="shared" si="27"/>
        <v>8159.9999999999991</v>
      </c>
      <c r="AP30" s="1208">
        <f t="shared" si="27"/>
        <v>8280</v>
      </c>
      <c r="AQ30" s="1208">
        <f t="shared" si="27"/>
        <v>8400</v>
      </c>
      <c r="AR30" s="1208">
        <f t="shared" si="27"/>
        <v>8520</v>
      </c>
      <c r="AS30" s="1208">
        <f t="shared" si="27"/>
        <v>8640</v>
      </c>
      <c r="AT30" s="1208">
        <f t="shared" si="27"/>
        <v>8760</v>
      </c>
      <c r="AU30" s="1208">
        <f t="shared" si="27"/>
        <v>8880</v>
      </c>
      <c r="AV30" s="1208">
        <f t="shared" si="27"/>
        <v>9000</v>
      </c>
      <c r="AW30" s="1147"/>
      <c r="AX30" s="1147"/>
      <c r="AY30" s="1147"/>
      <c r="AZ30" s="1147"/>
      <c r="BA30" s="1147"/>
      <c r="BB30" s="1147"/>
      <c r="BC30" s="1147"/>
      <c r="BD30" s="1147"/>
      <c r="BE30" s="1147"/>
      <c r="BF30" s="1147"/>
      <c r="BG30" s="1147"/>
      <c r="BH30" s="1147"/>
      <c r="BI30" s="1147"/>
      <c r="BJ30" s="1147"/>
      <c r="BK30" s="1147"/>
      <c r="BL30" s="1147"/>
      <c r="BM30" s="1147"/>
      <c r="BN30" s="1147"/>
      <c r="BO30" s="1147"/>
      <c r="BP30" s="1147"/>
      <c r="BQ30" s="1147"/>
      <c r="BR30" s="1147"/>
      <c r="BS30" s="1147"/>
      <c r="BT30" s="1147"/>
      <c r="BU30" s="1147"/>
      <c r="BV30" s="1147"/>
      <c r="BW30" s="1147"/>
      <c r="BX30" s="1147"/>
      <c r="BY30" s="1147"/>
      <c r="BZ30" s="1147"/>
      <c r="CA30" s="1147"/>
      <c r="CB30" s="1147"/>
      <c r="CC30" s="1147"/>
      <c r="CD30" s="1147"/>
      <c r="CE30" s="1147"/>
      <c r="CF30" s="1147"/>
      <c r="CG30" s="1147"/>
      <c r="CH30" s="1147"/>
      <c r="CI30" s="1147"/>
      <c r="CJ30" s="1147"/>
      <c r="CK30" s="1146"/>
    </row>
    <row r="31" spans="1:89" ht="15" x14ac:dyDescent="0.25">
      <c r="A31" s="1146"/>
      <c r="B31" s="1146"/>
      <c r="C31" s="1146"/>
      <c r="D31" s="1146"/>
      <c r="E31" s="1146"/>
      <c r="F31" s="1146"/>
      <c r="G31" s="1146"/>
      <c r="H31" s="1146"/>
      <c r="I31" s="1146"/>
      <c r="J31" s="1146"/>
      <c r="K31" s="1146"/>
      <c r="L31" s="1146"/>
      <c r="M31" s="1146"/>
      <c r="N31" s="1146"/>
      <c r="O31" s="1146"/>
      <c r="P31" s="1146"/>
      <c r="Q31" s="1146"/>
      <c r="R31" s="1146"/>
      <c r="S31" s="1146"/>
      <c r="T31" s="1147"/>
      <c r="U31" s="1147" t="s">
        <v>375</v>
      </c>
      <c r="V31" s="1147"/>
      <c r="W31" s="1147">
        <v>100</v>
      </c>
      <c r="X31" s="1208">
        <f>$W31*(1+$T$21*(X$5-$W$5))</f>
        <v>100</v>
      </c>
      <c r="Y31" s="1208">
        <f t="shared" ref="Y31:AV36" si="30">$W31*(1+$T$21*(Y$5-$W$5))</f>
        <v>100</v>
      </c>
      <c r="Z31" s="1208">
        <f t="shared" si="30"/>
        <v>100</v>
      </c>
      <c r="AA31" s="1208">
        <f t="shared" si="30"/>
        <v>100</v>
      </c>
      <c r="AB31" s="1208">
        <f t="shared" si="30"/>
        <v>100</v>
      </c>
      <c r="AC31" s="1208">
        <f t="shared" si="30"/>
        <v>100</v>
      </c>
      <c r="AD31" s="1208">
        <f t="shared" si="30"/>
        <v>100</v>
      </c>
      <c r="AE31" s="1208">
        <f t="shared" si="30"/>
        <v>100</v>
      </c>
      <c r="AF31" s="1208">
        <f t="shared" si="30"/>
        <v>100</v>
      </c>
      <c r="AG31" s="1208">
        <f t="shared" si="30"/>
        <v>100</v>
      </c>
      <c r="AH31" s="1208">
        <f t="shared" si="30"/>
        <v>100</v>
      </c>
      <c r="AI31" s="1208">
        <f t="shared" si="30"/>
        <v>100</v>
      </c>
      <c r="AJ31" s="1208">
        <f t="shared" si="30"/>
        <v>100</v>
      </c>
      <c r="AK31" s="1208">
        <f t="shared" si="30"/>
        <v>100</v>
      </c>
      <c r="AL31" s="1208">
        <f t="shared" si="30"/>
        <v>100</v>
      </c>
      <c r="AM31" s="1208">
        <f t="shared" si="30"/>
        <v>100</v>
      </c>
      <c r="AN31" s="1208">
        <f t="shared" si="30"/>
        <v>100</v>
      </c>
      <c r="AO31" s="1208">
        <f t="shared" si="30"/>
        <v>100</v>
      </c>
      <c r="AP31" s="1208">
        <f t="shared" si="30"/>
        <v>100</v>
      </c>
      <c r="AQ31" s="1208">
        <f t="shared" si="30"/>
        <v>100</v>
      </c>
      <c r="AR31" s="1208">
        <f t="shared" si="30"/>
        <v>100</v>
      </c>
      <c r="AS31" s="1208">
        <f t="shared" si="30"/>
        <v>100</v>
      </c>
      <c r="AT31" s="1208">
        <f t="shared" si="30"/>
        <v>100</v>
      </c>
      <c r="AU31" s="1208">
        <f t="shared" si="30"/>
        <v>100</v>
      </c>
      <c r="AV31" s="1208">
        <f t="shared" si="30"/>
        <v>100</v>
      </c>
      <c r="AW31" s="1147"/>
      <c r="AX31" s="1147"/>
      <c r="AY31" s="1147"/>
      <c r="AZ31" s="1147"/>
      <c r="BA31" s="1147"/>
      <c r="BB31" s="1147"/>
      <c r="BC31" s="1147"/>
      <c r="BD31" s="1147"/>
      <c r="BE31" s="1147"/>
      <c r="BF31" s="1147"/>
      <c r="BG31" s="1147"/>
      <c r="BH31" s="1147"/>
      <c r="BI31" s="1147"/>
      <c r="BJ31" s="1147"/>
      <c r="BK31" s="1147"/>
      <c r="BL31" s="1147"/>
      <c r="BM31" s="1147"/>
      <c r="BN31" s="1147"/>
      <c r="BO31" s="1147"/>
      <c r="BP31" s="1147"/>
      <c r="BQ31" s="1147"/>
      <c r="BR31" s="1147"/>
      <c r="BS31" s="1147"/>
      <c r="BT31" s="1147"/>
      <c r="BU31" s="1147"/>
      <c r="BV31" s="1147"/>
      <c r="BW31" s="1147"/>
      <c r="BX31" s="1147"/>
      <c r="BY31" s="1147"/>
      <c r="BZ31" s="1147"/>
      <c r="CA31" s="1147"/>
      <c r="CB31" s="1147"/>
      <c r="CC31" s="1147"/>
      <c r="CD31" s="1147"/>
      <c r="CE31" s="1147"/>
      <c r="CF31" s="1147"/>
      <c r="CG31" s="1147"/>
      <c r="CH31" s="1147"/>
      <c r="CI31" s="1147"/>
      <c r="CJ31" s="1147"/>
      <c r="CK31" s="1146"/>
    </row>
    <row r="32" spans="1:89" ht="15" x14ac:dyDescent="0.25">
      <c r="A32" s="1146"/>
      <c r="B32" s="1146"/>
      <c r="C32" s="1146"/>
      <c r="D32" s="1146"/>
      <c r="E32" s="1146"/>
      <c r="F32" s="1146"/>
      <c r="G32" s="1146"/>
      <c r="H32" s="1146"/>
      <c r="I32" s="1146"/>
      <c r="J32" s="1146"/>
      <c r="K32" s="1146"/>
      <c r="L32" s="1146"/>
      <c r="M32" s="1146"/>
      <c r="N32" s="1146"/>
      <c r="O32" s="1146"/>
      <c r="P32" s="1146"/>
      <c r="Q32" s="1146"/>
      <c r="R32" s="1146"/>
      <c r="S32" s="1146"/>
      <c r="T32" s="1147"/>
      <c r="U32" s="1147" t="s">
        <v>382</v>
      </c>
      <c r="V32" s="1147"/>
      <c r="W32" s="1208">
        <v>3600</v>
      </c>
      <c r="X32" s="1208">
        <f t="shared" ref="X32:AM36" si="31">$W32*(1+$T$21*(X$5-$W$5))</f>
        <v>3600</v>
      </c>
      <c r="Y32" s="1208">
        <f t="shared" si="31"/>
        <v>3600</v>
      </c>
      <c r="Z32" s="1208">
        <f t="shared" si="31"/>
        <v>3600</v>
      </c>
      <c r="AA32" s="1208">
        <f t="shared" si="31"/>
        <v>3600</v>
      </c>
      <c r="AB32" s="1208">
        <f t="shared" si="31"/>
        <v>3600</v>
      </c>
      <c r="AC32" s="1208">
        <f t="shared" si="31"/>
        <v>3600</v>
      </c>
      <c r="AD32" s="1208">
        <f t="shared" si="31"/>
        <v>3600</v>
      </c>
      <c r="AE32" s="1208">
        <f t="shared" si="31"/>
        <v>3600</v>
      </c>
      <c r="AF32" s="1208">
        <f t="shared" si="31"/>
        <v>3600</v>
      </c>
      <c r="AG32" s="1208">
        <f t="shared" si="31"/>
        <v>3600</v>
      </c>
      <c r="AH32" s="1208">
        <f t="shared" si="31"/>
        <v>3600</v>
      </c>
      <c r="AI32" s="1208">
        <f t="shared" si="31"/>
        <v>3600</v>
      </c>
      <c r="AJ32" s="1208">
        <f t="shared" si="31"/>
        <v>3600</v>
      </c>
      <c r="AK32" s="1208">
        <f t="shared" si="31"/>
        <v>3600</v>
      </c>
      <c r="AL32" s="1208">
        <f t="shared" si="31"/>
        <v>3600</v>
      </c>
      <c r="AM32" s="1208">
        <f t="shared" si="31"/>
        <v>3600</v>
      </c>
      <c r="AN32" s="1208">
        <f t="shared" si="30"/>
        <v>3600</v>
      </c>
      <c r="AO32" s="1208">
        <f t="shared" si="30"/>
        <v>3600</v>
      </c>
      <c r="AP32" s="1208">
        <f t="shared" si="30"/>
        <v>3600</v>
      </c>
      <c r="AQ32" s="1208">
        <f t="shared" si="30"/>
        <v>3600</v>
      </c>
      <c r="AR32" s="1208">
        <f t="shared" si="30"/>
        <v>3600</v>
      </c>
      <c r="AS32" s="1208">
        <f t="shared" si="30"/>
        <v>3600</v>
      </c>
      <c r="AT32" s="1208">
        <f t="shared" si="30"/>
        <v>3600</v>
      </c>
      <c r="AU32" s="1208">
        <f t="shared" si="30"/>
        <v>3600</v>
      </c>
      <c r="AV32" s="1208">
        <f t="shared" si="30"/>
        <v>3600</v>
      </c>
      <c r="AW32" s="1147"/>
      <c r="AX32" s="1147"/>
      <c r="AY32" s="1147"/>
      <c r="AZ32" s="1147"/>
      <c r="BA32" s="1147"/>
      <c r="BB32" s="1147"/>
      <c r="BC32" s="1147"/>
      <c r="BD32" s="1147"/>
      <c r="BE32" s="1147"/>
      <c r="BF32" s="1147"/>
      <c r="BG32" s="1147"/>
      <c r="BH32" s="1147"/>
      <c r="BI32" s="1147"/>
      <c r="BJ32" s="1147"/>
      <c r="BK32" s="1147"/>
      <c r="BL32" s="1147"/>
      <c r="BM32" s="1147"/>
      <c r="BN32" s="1147"/>
      <c r="BO32" s="1147"/>
      <c r="BP32" s="1147"/>
      <c r="BQ32" s="1147"/>
      <c r="BR32" s="1147"/>
      <c r="BS32" s="1147"/>
      <c r="BT32" s="1147"/>
      <c r="BU32" s="1147"/>
      <c r="BV32" s="1147"/>
      <c r="BW32" s="1147"/>
      <c r="BX32" s="1147"/>
      <c r="BY32" s="1147"/>
      <c r="BZ32" s="1147"/>
      <c r="CA32" s="1147"/>
      <c r="CB32" s="1147"/>
      <c r="CC32" s="1147"/>
      <c r="CD32" s="1147"/>
      <c r="CE32" s="1147"/>
      <c r="CF32" s="1147"/>
      <c r="CG32" s="1147"/>
      <c r="CH32" s="1147"/>
      <c r="CI32" s="1147"/>
      <c r="CJ32" s="1147"/>
      <c r="CK32" s="1146"/>
    </row>
    <row r="33" spans="1:89" ht="15" x14ac:dyDescent="0.25">
      <c r="A33" s="1146"/>
      <c r="B33" s="1146"/>
      <c r="C33" s="1146"/>
      <c r="D33" s="1146"/>
      <c r="E33" s="1146"/>
      <c r="F33" s="1146"/>
      <c r="G33" s="1146"/>
      <c r="H33" s="1146"/>
      <c r="I33" s="1146"/>
      <c r="J33" s="1146"/>
      <c r="K33" s="1146"/>
      <c r="L33" s="1146"/>
      <c r="M33" s="1146"/>
      <c r="N33" s="1146"/>
      <c r="O33" s="1146"/>
      <c r="P33" s="1146"/>
      <c r="Q33" s="1146"/>
      <c r="R33" s="1146"/>
      <c r="S33" s="1146"/>
      <c r="T33" s="1147"/>
      <c r="U33" s="1147" t="s">
        <v>377</v>
      </c>
      <c r="V33" s="1147"/>
      <c r="W33" s="1208">
        <v>1800</v>
      </c>
      <c r="X33" s="1208">
        <f t="shared" si="31"/>
        <v>1800</v>
      </c>
      <c r="Y33" s="1208">
        <f t="shared" si="30"/>
        <v>1800</v>
      </c>
      <c r="Z33" s="1208">
        <f t="shared" si="30"/>
        <v>1800</v>
      </c>
      <c r="AA33" s="1208">
        <f t="shared" si="30"/>
        <v>1800</v>
      </c>
      <c r="AB33" s="1208">
        <f t="shared" si="30"/>
        <v>1800</v>
      </c>
      <c r="AC33" s="1208">
        <f t="shared" si="30"/>
        <v>1800</v>
      </c>
      <c r="AD33" s="1208">
        <f t="shared" si="30"/>
        <v>1800</v>
      </c>
      <c r="AE33" s="1208">
        <f t="shared" si="30"/>
        <v>1800</v>
      </c>
      <c r="AF33" s="1208">
        <f t="shared" si="30"/>
        <v>1800</v>
      </c>
      <c r="AG33" s="1208">
        <f t="shared" si="30"/>
        <v>1800</v>
      </c>
      <c r="AH33" s="1208">
        <f t="shared" si="30"/>
        <v>1800</v>
      </c>
      <c r="AI33" s="1208">
        <f t="shared" si="30"/>
        <v>1800</v>
      </c>
      <c r="AJ33" s="1208">
        <f t="shared" si="30"/>
        <v>1800</v>
      </c>
      <c r="AK33" s="1208">
        <f t="shared" si="30"/>
        <v>1800</v>
      </c>
      <c r="AL33" s="1208">
        <f t="shared" si="30"/>
        <v>1800</v>
      </c>
      <c r="AM33" s="1208">
        <f t="shared" si="30"/>
        <v>1800</v>
      </c>
      <c r="AN33" s="1208">
        <f t="shared" si="30"/>
        <v>1800</v>
      </c>
      <c r="AO33" s="1208">
        <f t="shared" si="30"/>
        <v>1800</v>
      </c>
      <c r="AP33" s="1208">
        <f t="shared" si="30"/>
        <v>1800</v>
      </c>
      <c r="AQ33" s="1208">
        <f t="shared" si="30"/>
        <v>1800</v>
      </c>
      <c r="AR33" s="1208">
        <f t="shared" si="30"/>
        <v>1800</v>
      </c>
      <c r="AS33" s="1208">
        <f t="shared" si="30"/>
        <v>1800</v>
      </c>
      <c r="AT33" s="1208">
        <f t="shared" si="30"/>
        <v>1800</v>
      </c>
      <c r="AU33" s="1208">
        <f t="shared" si="30"/>
        <v>1800</v>
      </c>
      <c r="AV33" s="1208">
        <f t="shared" si="30"/>
        <v>1800</v>
      </c>
      <c r="AW33" s="1147"/>
      <c r="AX33" s="1147"/>
      <c r="AY33" s="1147"/>
      <c r="AZ33" s="1147"/>
      <c r="BA33" s="1147"/>
      <c r="BB33" s="1147"/>
      <c r="BC33" s="1147"/>
      <c r="BD33" s="1147"/>
      <c r="BE33" s="1147"/>
      <c r="BF33" s="1147"/>
      <c r="BG33" s="1147"/>
      <c r="BH33" s="1147"/>
      <c r="BI33" s="1147"/>
      <c r="BJ33" s="1147"/>
      <c r="BK33" s="1147"/>
      <c r="BL33" s="1147"/>
      <c r="BM33" s="1147"/>
      <c r="BN33" s="1147"/>
      <c r="BO33" s="1147"/>
      <c r="BP33" s="1147"/>
      <c r="BQ33" s="1147"/>
      <c r="BR33" s="1147"/>
      <c r="BS33" s="1147"/>
      <c r="BT33" s="1147"/>
      <c r="BU33" s="1147"/>
      <c r="BV33" s="1147"/>
      <c r="BW33" s="1147"/>
      <c r="BX33" s="1147"/>
      <c r="BY33" s="1147"/>
      <c r="BZ33" s="1147"/>
      <c r="CA33" s="1147"/>
      <c r="CB33" s="1147"/>
      <c r="CC33" s="1147"/>
      <c r="CD33" s="1147"/>
      <c r="CE33" s="1147"/>
      <c r="CF33" s="1147"/>
      <c r="CG33" s="1147"/>
      <c r="CH33" s="1147"/>
      <c r="CI33" s="1147"/>
      <c r="CJ33" s="1147"/>
      <c r="CK33" s="1146"/>
    </row>
    <row r="34" spans="1:89" ht="15" x14ac:dyDescent="0.25">
      <c r="A34" s="1146"/>
      <c r="B34" s="1146"/>
      <c r="C34" s="1146"/>
      <c r="D34" s="1146"/>
      <c r="E34" s="1146"/>
      <c r="F34" s="1146"/>
      <c r="G34" s="1146"/>
      <c r="H34" s="1146"/>
      <c r="I34" s="1146"/>
      <c r="J34" s="1146"/>
      <c r="K34" s="1146"/>
      <c r="L34" s="1146"/>
      <c r="M34" s="1146"/>
      <c r="N34" s="1146"/>
      <c r="O34" s="1146"/>
      <c r="P34" s="1146"/>
      <c r="Q34" s="1146"/>
      <c r="R34" s="1146"/>
      <c r="S34" s="1146"/>
      <c r="T34" s="1147"/>
      <c r="U34" s="1147" t="s">
        <v>374</v>
      </c>
      <c r="V34" s="1147"/>
      <c r="W34" s="1147">
        <v>20</v>
      </c>
      <c r="X34" s="1208">
        <f t="shared" si="31"/>
        <v>20</v>
      </c>
      <c r="Y34" s="1208">
        <f t="shared" si="30"/>
        <v>20</v>
      </c>
      <c r="Z34" s="1208">
        <f t="shared" si="30"/>
        <v>20</v>
      </c>
      <c r="AA34" s="1208">
        <f t="shared" si="30"/>
        <v>20</v>
      </c>
      <c r="AB34" s="1208">
        <f t="shared" si="30"/>
        <v>20</v>
      </c>
      <c r="AC34" s="1208">
        <f t="shared" si="30"/>
        <v>20</v>
      </c>
      <c r="AD34" s="1208">
        <f t="shared" si="30"/>
        <v>20</v>
      </c>
      <c r="AE34" s="1208">
        <f t="shared" si="30"/>
        <v>20</v>
      </c>
      <c r="AF34" s="1208">
        <f t="shared" si="30"/>
        <v>20</v>
      </c>
      <c r="AG34" s="1208">
        <f t="shared" si="30"/>
        <v>20</v>
      </c>
      <c r="AH34" s="1208">
        <f t="shared" si="30"/>
        <v>20</v>
      </c>
      <c r="AI34" s="1208">
        <f t="shared" si="30"/>
        <v>20</v>
      </c>
      <c r="AJ34" s="1208">
        <f t="shared" si="30"/>
        <v>20</v>
      </c>
      <c r="AK34" s="1208">
        <f t="shared" si="30"/>
        <v>20</v>
      </c>
      <c r="AL34" s="1208">
        <f t="shared" si="30"/>
        <v>20</v>
      </c>
      <c r="AM34" s="1208">
        <f t="shared" si="30"/>
        <v>20</v>
      </c>
      <c r="AN34" s="1208">
        <f t="shared" si="30"/>
        <v>20</v>
      </c>
      <c r="AO34" s="1208">
        <f t="shared" si="30"/>
        <v>20</v>
      </c>
      <c r="AP34" s="1208">
        <f t="shared" si="30"/>
        <v>20</v>
      </c>
      <c r="AQ34" s="1208">
        <f t="shared" si="30"/>
        <v>20</v>
      </c>
      <c r="AR34" s="1208">
        <f t="shared" si="30"/>
        <v>20</v>
      </c>
      <c r="AS34" s="1208">
        <f t="shared" si="30"/>
        <v>20</v>
      </c>
      <c r="AT34" s="1208">
        <f t="shared" si="30"/>
        <v>20</v>
      </c>
      <c r="AU34" s="1208">
        <f t="shared" si="30"/>
        <v>20</v>
      </c>
      <c r="AV34" s="1208">
        <f t="shared" si="30"/>
        <v>20</v>
      </c>
      <c r="AW34" s="1147"/>
      <c r="AX34" s="1147"/>
      <c r="AY34" s="1147"/>
      <c r="AZ34" s="1147"/>
      <c r="BA34" s="1147"/>
      <c r="BB34" s="1147"/>
      <c r="BC34" s="1147"/>
      <c r="BD34" s="1147"/>
      <c r="BE34" s="1147"/>
      <c r="BF34" s="1147"/>
      <c r="BG34" s="1147"/>
      <c r="BH34" s="1147"/>
      <c r="BI34" s="1147"/>
      <c r="BJ34" s="1147"/>
      <c r="BK34" s="1147"/>
      <c r="BL34" s="1147"/>
      <c r="BM34" s="1147"/>
      <c r="BN34" s="1147"/>
      <c r="BO34" s="1147"/>
      <c r="BP34" s="1147"/>
      <c r="BQ34" s="1147"/>
      <c r="BR34" s="1147"/>
      <c r="BS34" s="1147"/>
      <c r="BT34" s="1147"/>
      <c r="BU34" s="1147"/>
      <c r="BV34" s="1147"/>
      <c r="BW34" s="1147"/>
      <c r="BX34" s="1147"/>
      <c r="BY34" s="1147"/>
      <c r="BZ34" s="1147"/>
      <c r="CA34" s="1147"/>
      <c r="CB34" s="1147"/>
      <c r="CC34" s="1147"/>
      <c r="CD34" s="1147"/>
      <c r="CE34" s="1147"/>
      <c r="CF34" s="1147"/>
      <c r="CG34" s="1147"/>
      <c r="CH34" s="1147"/>
      <c r="CI34" s="1147"/>
      <c r="CJ34" s="1147"/>
      <c r="CK34" s="1146"/>
    </row>
    <row r="35" spans="1:89" ht="15" x14ac:dyDescent="0.25">
      <c r="A35" s="1146"/>
      <c r="B35" s="1146"/>
      <c r="C35" s="1146"/>
      <c r="D35" s="1146"/>
      <c r="E35" s="1146"/>
      <c r="F35" s="1146"/>
      <c r="G35" s="1146"/>
      <c r="H35" s="1146"/>
      <c r="I35" s="1146"/>
      <c r="J35" s="1146"/>
      <c r="K35" s="1146"/>
      <c r="L35" s="1146"/>
      <c r="M35" s="1146"/>
      <c r="N35" s="1146"/>
      <c r="O35" s="1146"/>
      <c r="P35" s="1146"/>
      <c r="Q35" s="1146"/>
      <c r="R35" s="1146"/>
      <c r="S35" s="1146"/>
      <c r="T35" s="1147"/>
      <c r="U35" s="1147" t="s">
        <v>376</v>
      </c>
      <c r="V35" s="1147"/>
      <c r="W35" s="1147">
        <v>300</v>
      </c>
      <c r="X35" s="1208">
        <f t="shared" si="31"/>
        <v>300</v>
      </c>
      <c r="Y35" s="1208">
        <f t="shared" si="30"/>
        <v>300</v>
      </c>
      <c r="Z35" s="1208">
        <f t="shared" si="30"/>
        <v>300</v>
      </c>
      <c r="AA35" s="1208">
        <f t="shared" si="30"/>
        <v>300</v>
      </c>
      <c r="AB35" s="1208">
        <f t="shared" si="30"/>
        <v>300</v>
      </c>
      <c r="AC35" s="1208">
        <f t="shared" si="30"/>
        <v>300</v>
      </c>
      <c r="AD35" s="1208">
        <f t="shared" si="30"/>
        <v>300</v>
      </c>
      <c r="AE35" s="1208">
        <f t="shared" si="30"/>
        <v>300</v>
      </c>
      <c r="AF35" s="1208">
        <f t="shared" si="30"/>
        <v>300</v>
      </c>
      <c r="AG35" s="1208">
        <f t="shared" si="30"/>
        <v>300</v>
      </c>
      <c r="AH35" s="1208">
        <f t="shared" si="30"/>
        <v>300</v>
      </c>
      <c r="AI35" s="1208">
        <f t="shared" si="30"/>
        <v>300</v>
      </c>
      <c r="AJ35" s="1208">
        <f t="shared" si="30"/>
        <v>300</v>
      </c>
      <c r="AK35" s="1208">
        <f t="shared" si="30"/>
        <v>300</v>
      </c>
      <c r="AL35" s="1208">
        <f t="shared" si="30"/>
        <v>300</v>
      </c>
      <c r="AM35" s="1208">
        <f t="shared" si="30"/>
        <v>300</v>
      </c>
      <c r="AN35" s="1208">
        <f t="shared" si="30"/>
        <v>300</v>
      </c>
      <c r="AO35" s="1208">
        <f t="shared" si="30"/>
        <v>300</v>
      </c>
      <c r="AP35" s="1208">
        <f t="shared" si="30"/>
        <v>300</v>
      </c>
      <c r="AQ35" s="1208">
        <f t="shared" si="30"/>
        <v>300</v>
      </c>
      <c r="AR35" s="1208">
        <f t="shared" si="30"/>
        <v>300</v>
      </c>
      <c r="AS35" s="1208">
        <f t="shared" si="30"/>
        <v>300</v>
      </c>
      <c r="AT35" s="1208">
        <f t="shared" si="30"/>
        <v>300</v>
      </c>
      <c r="AU35" s="1208">
        <f t="shared" si="30"/>
        <v>300</v>
      </c>
      <c r="AV35" s="1208">
        <f t="shared" si="30"/>
        <v>300</v>
      </c>
      <c r="AW35" s="1147"/>
      <c r="AX35" s="1147"/>
      <c r="AY35" s="1147"/>
      <c r="AZ35" s="1147"/>
      <c r="BA35" s="1147"/>
      <c r="BB35" s="1147"/>
      <c r="BC35" s="1147"/>
      <c r="BD35" s="1147"/>
      <c r="BE35" s="1147"/>
      <c r="BF35" s="1147"/>
      <c r="BG35" s="1147"/>
      <c r="BH35" s="1147"/>
      <c r="BI35" s="1147"/>
      <c r="BJ35" s="1147"/>
      <c r="BK35" s="1147"/>
      <c r="BL35" s="1147"/>
      <c r="BM35" s="1147"/>
      <c r="BN35" s="1147"/>
      <c r="BO35" s="1147"/>
      <c r="BP35" s="1147"/>
      <c r="BQ35" s="1147"/>
      <c r="BR35" s="1147"/>
      <c r="BS35" s="1147"/>
      <c r="BT35" s="1147"/>
      <c r="BU35" s="1147"/>
      <c r="BV35" s="1147"/>
      <c r="BW35" s="1147"/>
      <c r="BX35" s="1147"/>
      <c r="BY35" s="1147"/>
      <c r="BZ35" s="1147"/>
      <c r="CA35" s="1147"/>
      <c r="CB35" s="1147"/>
      <c r="CC35" s="1147"/>
      <c r="CD35" s="1147"/>
      <c r="CE35" s="1147"/>
      <c r="CF35" s="1147"/>
      <c r="CG35" s="1147"/>
      <c r="CH35" s="1147"/>
      <c r="CI35" s="1147"/>
      <c r="CJ35" s="1147"/>
      <c r="CK35" s="1146"/>
    </row>
    <row r="36" spans="1:89" ht="15.75" thickBot="1" x14ac:dyDescent="0.3">
      <c r="A36" s="1146"/>
      <c r="B36" s="1146"/>
      <c r="C36" s="1146"/>
      <c r="D36" s="1146"/>
      <c r="E36" s="1146"/>
      <c r="F36" s="1146"/>
      <c r="G36" s="1146"/>
      <c r="H36" s="1146"/>
      <c r="I36" s="1146"/>
      <c r="J36" s="1146"/>
      <c r="K36" s="1146"/>
      <c r="L36" s="1146"/>
      <c r="M36" s="1146"/>
      <c r="N36" s="1146"/>
      <c r="O36" s="1146"/>
      <c r="P36" s="1146"/>
      <c r="Q36" s="1146"/>
      <c r="R36" s="1146"/>
      <c r="S36" s="1146"/>
      <c r="T36" s="1222"/>
      <c r="U36" s="1222" t="s">
        <v>378</v>
      </c>
      <c r="V36" s="1222"/>
      <c r="W36" s="1222">
        <v>0</v>
      </c>
      <c r="X36" s="1225">
        <f t="shared" si="31"/>
        <v>0</v>
      </c>
      <c r="Y36" s="1225">
        <f t="shared" si="30"/>
        <v>0</v>
      </c>
      <c r="Z36" s="1225">
        <f t="shared" si="30"/>
        <v>0</v>
      </c>
      <c r="AA36" s="1225">
        <f t="shared" si="30"/>
        <v>0</v>
      </c>
      <c r="AB36" s="1225">
        <f t="shared" si="30"/>
        <v>0</v>
      </c>
      <c r="AC36" s="1225">
        <f t="shared" si="30"/>
        <v>0</v>
      </c>
      <c r="AD36" s="1225">
        <f t="shared" si="30"/>
        <v>0</v>
      </c>
      <c r="AE36" s="1225">
        <f t="shared" si="30"/>
        <v>0</v>
      </c>
      <c r="AF36" s="1225">
        <f t="shared" si="30"/>
        <v>0</v>
      </c>
      <c r="AG36" s="1225">
        <f t="shared" si="30"/>
        <v>0</v>
      </c>
      <c r="AH36" s="1225">
        <f t="shared" si="30"/>
        <v>0</v>
      </c>
      <c r="AI36" s="1225">
        <f t="shared" si="30"/>
        <v>0</v>
      </c>
      <c r="AJ36" s="1225">
        <f t="shared" si="30"/>
        <v>0</v>
      </c>
      <c r="AK36" s="1225">
        <f t="shared" si="30"/>
        <v>0</v>
      </c>
      <c r="AL36" s="1225">
        <f t="shared" si="30"/>
        <v>0</v>
      </c>
      <c r="AM36" s="1225">
        <f t="shared" si="30"/>
        <v>0</v>
      </c>
      <c r="AN36" s="1225">
        <f t="shared" si="30"/>
        <v>0</v>
      </c>
      <c r="AO36" s="1225">
        <f t="shared" si="30"/>
        <v>0</v>
      </c>
      <c r="AP36" s="1225">
        <f t="shared" si="30"/>
        <v>0</v>
      </c>
      <c r="AQ36" s="1225">
        <f t="shared" si="30"/>
        <v>0</v>
      </c>
      <c r="AR36" s="1225">
        <f t="shared" si="30"/>
        <v>0</v>
      </c>
      <c r="AS36" s="1225">
        <f t="shared" si="30"/>
        <v>0</v>
      </c>
      <c r="AT36" s="1225">
        <f t="shared" si="30"/>
        <v>0</v>
      </c>
      <c r="AU36" s="1225">
        <f t="shared" si="30"/>
        <v>0</v>
      </c>
      <c r="AV36" s="1225">
        <f t="shared" si="30"/>
        <v>0</v>
      </c>
      <c r="AW36" s="1147"/>
      <c r="AX36" s="1147"/>
      <c r="AY36" s="1147"/>
      <c r="AZ36" s="1147"/>
      <c r="BA36" s="1147"/>
      <c r="BB36" s="1147"/>
      <c r="BC36" s="1147"/>
      <c r="BD36" s="1147"/>
      <c r="BE36" s="1147"/>
      <c r="BF36" s="1147"/>
      <c r="BG36" s="1147"/>
      <c r="BH36" s="1147"/>
      <c r="BI36" s="1147"/>
      <c r="BJ36" s="1147"/>
      <c r="BK36" s="1147"/>
      <c r="BL36" s="1147"/>
      <c r="BM36" s="1147"/>
      <c r="BN36" s="1147"/>
      <c r="BO36" s="1147"/>
      <c r="BP36" s="1147"/>
      <c r="BQ36" s="1147"/>
      <c r="BR36" s="1147"/>
      <c r="BS36" s="1147"/>
      <c r="BT36" s="1147"/>
      <c r="BU36" s="1147"/>
      <c r="BV36" s="1147"/>
      <c r="BW36" s="1147"/>
      <c r="BX36" s="1147"/>
      <c r="BY36" s="1147"/>
      <c r="BZ36" s="1147"/>
      <c r="CA36" s="1147"/>
      <c r="CB36" s="1147"/>
      <c r="CC36" s="1147"/>
      <c r="CD36" s="1147"/>
      <c r="CE36" s="1147"/>
      <c r="CF36" s="1147"/>
      <c r="CG36" s="1147"/>
      <c r="CH36" s="1147"/>
      <c r="CI36" s="1147"/>
      <c r="CJ36" s="1147"/>
      <c r="CK36" s="1146"/>
    </row>
    <row r="37" spans="1:89" ht="15" x14ac:dyDescent="0.25">
      <c r="A37" s="1146"/>
      <c r="B37" s="1146"/>
      <c r="C37" s="1146"/>
      <c r="D37" s="1146"/>
      <c r="E37" s="1146"/>
      <c r="F37" s="1146"/>
      <c r="G37" s="1146"/>
      <c r="H37" s="1146"/>
      <c r="I37" s="1146"/>
      <c r="J37" s="1146"/>
      <c r="K37" s="1146"/>
      <c r="L37" s="1146"/>
      <c r="M37" s="1146"/>
      <c r="N37" s="1146"/>
      <c r="O37" s="1146"/>
      <c r="P37" s="1146"/>
      <c r="Q37" s="1146"/>
      <c r="R37" s="1146"/>
      <c r="S37" s="1146"/>
      <c r="T37" s="1147"/>
      <c r="U37" s="1147"/>
      <c r="V37" s="1147"/>
      <c r="W37" s="1147"/>
      <c r="X37" s="1147"/>
      <c r="Y37" s="1147"/>
      <c r="Z37" s="1147"/>
      <c r="AA37" s="1147"/>
      <c r="AB37" s="1147"/>
      <c r="AC37" s="1147"/>
      <c r="AD37" s="1147"/>
      <c r="AE37" s="1147"/>
      <c r="AF37" s="1147"/>
      <c r="AG37" s="1147"/>
      <c r="AH37" s="1147"/>
      <c r="AI37" s="1147"/>
      <c r="AJ37" s="1147"/>
      <c r="AK37" s="1147"/>
      <c r="AL37" s="1147"/>
      <c r="AM37" s="1147"/>
      <c r="AN37" s="1147"/>
      <c r="AO37" s="1147"/>
      <c r="AP37" s="1147"/>
      <c r="AQ37" s="1147"/>
      <c r="AR37" s="1147"/>
      <c r="AS37" s="1147"/>
      <c r="AT37" s="1147"/>
      <c r="AU37" s="1147"/>
      <c r="AV37" s="1147"/>
      <c r="AW37" s="1147"/>
      <c r="AX37" s="1147"/>
      <c r="AY37" s="1147"/>
      <c r="AZ37" s="1147"/>
      <c r="BA37" s="1147"/>
      <c r="BB37" s="1147"/>
      <c r="BC37" s="1147"/>
      <c r="BD37" s="1147"/>
      <c r="BE37" s="1147"/>
      <c r="BF37" s="1147"/>
      <c r="BG37" s="1147"/>
      <c r="BH37" s="1147"/>
      <c r="BI37" s="1147"/>
      <c r="BJ37" s="1147"/>
      <c r="BK37" s="1147"/>
      <c r="BL37" s="1147"/>
      <c r="BM37" s="1147"/>
      <c r="BN37" s="1147"/>
      <c r="BO37" s="1147"/>
      <c r="BP37" s="1147"/>
      <c r="BQ37" s="1147"/>
      <c r="BR37" s="1147"/>
      <c r="BS37" s="1147"/>
      <c r="BT37" s="1147"/>
      <c r="BU37" s="1147"/>
      <c r="BV37" s="1147"/>
      <c r="BW37" s="1147"/>
      <c r="BX37" s="1147"/>
      <c r="BY37" s="1147"/>
      <c r="BZ37" s="1147"/>
      <c r="CA37" s="1147"/>
      <c r="CB37" s="1147"/>
      <c r="CC37" s="1147"/>
      <c r="CD37" s="1147"/>
      <c r="CE37" s="1147"/>
      <c r="CF37" s="1147"/>
      <c r="CG37" s="1147"/>
      <c r="CH37" s="1147"/>
      <c r="CI37" s="1147"/>
      <c r="CJ37" s="1147"/>
      <c r="CK37" s="1146"/>
    </row>
    <row r="38" spans="1:89" ht="15.75" thickBot="1" x14ac:dyDescent="0.3">
      <c r="A38" s="1146"/>
      <c r="B38" s="1146"/>
      <c r="C38" s="1146"/>
      <c r="D38" s="1146"/>
      <c r="E38" s="1146"/>
      <c r="F38" s="1146"/>
      <c r="G38" s="1146"/>
      <c r="H38" s="1146"/>
      <c r="I38" s="1146"/>
      <c r="J38" s="1146"/>
      <c r="K38" s="1146"/>
      <c r="L38" s="1146"/>
      <c r="M38" s="1146"/>
      <c r="N38" s="1146"/>
      <c r="O38" s="1146"/>
      <c r="P38" s="1146"/>
      <c r="Q38" s="1146"/>
      <c r="R38" s="1146"/>
      <c r="S38" s="1146"/>
      <c r="T38" s="1147"/>
      <c r="U38" s="1147"/>
      <c r="V38" s="1226">
        <v>1</v>
      </c>
      <c r="W38" s="1226">
        <v>2</v>
      </c>
      <c r="X38" s="1226">
        <v>3</v>
      </c>
      <c r="Y38" s="1226" t="s">
        <v>671</v>
      </c>
      <c r="Z38" s="1226" t="s">
        <v>672</v>
      </c>
      <c r="AA38" s="1226" t="s">
        <v>673</v>
      </c>
      <c r="AB38" s="1226">
        <v>5</v>
      </c>
      <c r="AC38" s="1226">
        <v>6</v>
      </c>
      <c r="AD38" s="1147"/>
      <c r="AE38" s="1147"/>
      <c r="AF38" s="1147"/>
      <c r="AG38" s="1147"/>
      <c r="AH38" s="1147"/>
      <c r="AI38" s="1147"/>
      <c r="AJ38" s="1147"/>
      <c r="AK38" s="1147"/>
      <c r="AL38" s="1147"/>
      <c r="AM38" s="1147"/>
      <c r="AN38" s="1147"/>
      <c r="AO38" s="1147"/>
      <c r="AP38" s="1147"/>
      <c r="AQ38" s="1147"/>
      <c r="AR38" s="1147"/>
      <c r="AS38" s="1147"/>
      <c r="AT38" s="1147"/>
      <c r="AU38" s="1147"/>
      <c r="AV38" s="1147"/>
      <c r="AW38" s="1147"/>
      <c r="AX38" s="1147"/>
      <c r="AY38" s="1147"/>
      <c r="AZ38" s="1147"/>
      <c r="BA38" s="1147"/>
      <c r="BB38" s="1147"/>
      <c r="BC38" s="1147"/>
      <c r="BD38" s="1147"/>
      <c r="BE38" s="1147"/>
      <c r="BF38" s="1147"/>
      <c r="BG38" s="1147"/>
      <c r="BH38" s="1147"/>
      <c r="BI38" s="1147"/>
      <c r="BJ38" s="1147"/>
      <c r="BK38" s="1147"/>
      <c r="BL38" s="1147"/>
      <c r="BM38" s="1147"/>
      <c r="BN38" s="1147"/>
      <c r="BO38" s="1147"/>
      <c r="BP38" s="1147"/>
      <c r="BQ38" s="1147"/>
      <c r="BR38" s="1147"/>
      <c r="BS38" s="1147"/>
      <c r="BT38" s="1147"/>
      <c r="BU38" s="1147"/>
      <c r="BV38" s="1147"/>
      <c r="BW38" s="1147"/>
      <c r="BX38" s="1147"/>
      <c r="BY38" s="1147"/>
      <c r="BZ38" s="1147"/>
      <c r="CA38" s="1147"/>
      <c r="CB38" s="1147"/>
      <c r="CC38" s="1147"/>
      <c r="CD38" s="1147"/>
      <c r="CE38" s="1147"/>
      <c r="CF38" s="1147"/>
      <c r="CG38" s="1147"/>
      <c r="CH38" s="1147"/>
      <c r="CI38" s="1147"/>
      <c r="CJ38" s="1147"/>
      <c r="CK38" s="1146"/>
    </row>
    <row r="39" spans="1:89" ht="15" x14ac:dyDescent="0.25">
      <c r="A39" s="1146"/>
      <c r="B39" s="1146"/>
      <c r="C39" s="1146"/>
      <c r="D39" s="1146"/>
      <c r="E39" s="1146"/>
      <c r="F39" s="1146"/>
      <c r="G39" s="1146"/>
      <c r="H39" s="1146"/>
      <c r="I39" s="1146"/>
      <c r="J39" s="1146"/>
      <c r="K39" s="1146"/>
      <c r="L39" s="1146"/>
      <c r="M39" s="1146"/>
      <c r="N39" s="1146"/>
      <c r="O39" s="1146"/>
      <c r="P39" s="1146"/>
      <c r="Q39" s="1146"/>
      <c r="R39" s="1146"/>
      <c r="S39" s="1146"/>
      <c r="T39" s="1205" t="s">
        <v>689</v>
      </c>
      <c r="U39" s="1223" t="s">
        <v>368</v>
      </c>
      <c r="V39" s="1227">
        <v>0.25</v>
      </c>
      <c r="W39" s="1227">
        <v>0.3</v>
      </c>
      <c r="X39" s="1227">
        <v>0.3</v>
      </c>
      <c r="Y39" s="1227">
        <v>0.3</v>
      </c>
      <c r="Z39" s="1227">
        <v>0.3</v>
      </c>
      <c r="AA39" s="1227">
        <v>0.3</v>
      </c>
      <c r="AB39" s="1227">
        <v>0.3</v>
      </c>
      <c r="AC39" s="1227">
        <v>0.3</v>
      </c>
      <c r="AD39" s="1223"/>
      <c r="AE39" s="1223"/>
      <c r="AF39" s="1223"/>
      <c r="AG39" s="1223"/>
      <c r="AH39" s="1223"/>
      <c r="AI39" s="1223"/>
      <c r="AJ39" s="1223"/>
      <c r="AK39" s="1223"/>
      <c r="AL39" s="1223"/>
      <c r="AM39" s="1223"/>
      <c r="AN39" s="1223"/>
      <c r="AO39" s="1223"/>
      <c r="AP39" s="1223"/>
      <c r="AQ39" s="1223"/>
      <c r="AR39" s="1223"/>
      <c r="AS39" s="1223"/>
      <c r="AT39" s="1223"/>
      <c r="AU39" s="1223"/>
      <c r="AV39" s="1223"/>
      <c r="AW39" s="1147"/>
      <c r="AX39" s="1147"/>
      <c r="AY39" s="1147"/>
      <c r="AZ39" s="1147"/>
      <c r="BA39" s="1147"/>
      <c r="BB39" s="1147"/>
      <c r="BC39" s="1147"/>
      <c r="BD39" s="1147"/>
      <c r="BE39" s="1147"/>
      <c r="BF39" s="1147"/>
      <c r="BG39" s="1147"/>
      <c r="BH39" s="1147"/>
      <c r="BI39" s="1147"/>
      <c r="BJ39" s="1147"/>
      <c r="BK39" s="1147"/>
      <c r="BL39" s="1147"/>
      <c r="BM39" s="1147"/>
      <c r="BN39" s="1147"/>
      <c r="BO39" s="1147"/>
      <c r="BP39" s="1147"/>
      <c r="BQ39" s="1147"/>
      <c r="BR39" s="1147"/>
      <c r="BS39" s="1147"/>
      <c r="BT39" s="1147"/>
      <c r="BU39" s="1147"/>
      <c r="BV39" s="1147"/>
      <c r="BW39" s="1147"/>
      <c r="BX39" s="1147"/>
      <c r="BY39" s="1147"/>
      <c r="BZ39" s="1147"/>
      <c r="CA39" s="1147"/>
      <c r="CB39" s="1147"/>
      <c r="CC39" s="1147"/>
      <c r="CD39" s="1147"/>
      <c r="CE39" s="1147"/>
      <c r="CF39" s="1147"/>
      <c r="CG39" s="1147"/>
      <c r="CH39" s="1147"/>
      <c r="CI39" s="1147"/>
      <c r="CJ39" s="1147"/>
      <c r="CK39" s="1146"/>
    </row>
    <row r="40" spans="1:89" ht="15" x14ac:dyDescent="0.25">
      <c r="A40" s="1146"/>
      <c r="B40" s="1146"/>
      <c r="C40" s="1146"/>
      <c r="D40" s="1146"/>
      <c r="E40" s="1146"/>
      <c r="F40" s="1146"/>
      <c r="G40" s="1146"/>
      <c r="H40" s="1146"/>
      <c r="I40" s="1146"/>
      <c r="J40" s="1146"/>
      <c r="K40" s="1146"/>
      <c r="L40" s="1146"/>
      <c r="M40" s="1146"/>
      <c r="N40" s="1146"/>
      <c r="O40" s="1146"/>
      <c r="P40" s="1146"/>
      <c r="Q40" s="1146"/>
      <c r="R40" s="1146"/>
      <c r="S40" s="1146"/>
      <c r="T40" s="1147" t="s">
        <v>690</v>
      </c>
      <c r="U40" s="1147" t="s">
        <v>369</v>
      </c>
      <c r="V40" s="1221">
        <v>0.1</v>
      </c>
      <c r="W40" s="1221">
        <v>0.45</v>
      </c>
      <c r="X40" s="1221">
        <v>0.45</v>
      </c>
      <c r="Y40" s="1221">
        <v>0.45</v>
      </c>
      <c r="Z40" s="1221">
        <v>0.45</v>
      </c>
      <c r="AA40" s="1221">
        <v>0.45</v>
      </c>
      <c r="AB40" s="1221">
        <v>0.5</v>
      </c>
      <c r="AC40" s="1221">
        <v>0.5</v>
      </c>
      <c r="AD40" s="1147"/>
      <c r="AE40" s="1147"/>
      <c r="AF40" s="1147"/>
      <c r="AG40" s="1147"/>
      <c r="AH40" s="1147"/>
      <c r="AI40" s="1147"/>
      <c r="AJ40" s="1147"/>
      <c r="AK40" s="1147"/>
      <c r="AL40" s="1147"/>
      <c r="AM40" s="1147"/>
      <c r="AN40" s="1147"/>
      <c r="AO40" s="1147"/>
      <c r="AP40" s="1147"/>
      <c r="AQ40" s="1147"/>
      <c r="AR40" s="1147"/>
      <c r="AS40" s="1147"/>
      <c r="AT40" s="1147"/>
      <c r="AU40" s="1147"/>
      <c r="AV40" s="1147"/>
      <c r="AW40" s="1147"/>
      <c r="AX40" s="1147"/>
      <c r="AY40" s="1147"/>
      <c r="AZ40" s="1147"/>
      <c r="BA40" s="1147"/>
      <c r="BB40" s="1147"/>
      <c r="BC40" s="1147"/>
      <c r="BD40" s="1147"/>
      <c r="BE40" s="1147"/>
      <c r="BF40" s="1147"/>
      <c r="BG40" s="1147"/>
      <c r="BH40" s="1147"/>
      <c r="BI40" s="1147"/>
      <c r="BJ40" s="1147"/>
      <c r="BK40" s="1147"/>
      <c r="BL40" s="1147"/>
      <c r="BM40" s="1147"/>
      <c r="BN40" s="1147"/>
      <c r="BO40" s="1147"/>
      <c r="BP40" s="1147"/>
      <c r="BQ40" s="1147"/>
      <c r="BR40" s="1147"/>
      <c r="BS40" s="1147"/>
      <c r="BT40" s="1147"/>
      <c r="BU40" s="1147"/>
      <c r="BV40" s="1147"/>
      <c r="BW40" s="1147"/>
      <c r="BX40" s="1147"/>
      <c r="BY40" s="1147"/>
      <c r="BZ40" s="1147"/>
      <c r="CA40" s="1147"/>
      <c r="CB40" s="1147"/>
      <c r="CC40" s="1147"/>
      <c r="CD40" s="1147"/>
      <c r="CE40" s="1147"/>
      <c r="CF40" s="1147"/>
      <c r="CG40" s="1147"/>
      <c r="CH40" s="1147"/>
      <c r="CI40" s="1147"/>
      <c r="CJ40" s="1147"/>
      <c r="CK40" s="1146"/>
    </row>
    <row r="41" spans="1:89" ht="15" x14ac:dyDescent="0.25">
      <c r="A41" s="1146"/>
      <c r="B41" s="1146"/>
      <c r="C41" s="1146"/>
      <c r="D41" s="1146"/>
      <c r="E41" s="1146"/>
      <c r="F41" s="1146"/>
      <c r="G41" s="1146"/>
      <c r="H41" s="1146"/>
      <c r="I41" s="1146"/>
      <c r="J41" s="1146"/>
      <c r="K41" s="1146"/>
      <c r="L41" s="1146"/>
      <c r="M41" s="1146"/>
      <c r="N41" s="1146"/>
      <c r="O41" s="1146"/>
      <c r="P41" s="1146"/>
      <c r="Q41" s="1146"/>
      <c r="R41" s="1146"/>
      <c r="S41" s="1146"/>
      <c r="T41" s="1147" t="s">
        <v>691</v>
      </c>
      <c r="U41" s="1147" t="s">
        <v>370</v>
      </c>
      <c r="V41" s="1221">
        <v>0.1</v>
      </c>
      <c r="W41" s="1221">
        <v>0.1</v>
      </c>
      <c r="X41" s="1221">
        <v>0.1</v>
      </c>
      <c r="Y41" s="1221">
        <v>0.1</v>
      </c>
      <c r="Z41" s="1221">
        <v>0.1</v>
      </c>
      <c r="AA41" s="1221">
        <v>0.1</v>
      </c>
      <c r="AB41" s="1221">
        <v>0.2</v>
      </c>
      <c r="AC41" s="1221">
        <v>0.2</v>
      </c>
      <c r="AD41" s="1147"/>
      <c r="AE41" s="1147"/>
      <c r="AF41" s="1147"/>
      <c r="AG41" s="1147"/>
      <c r="AH41" s="1147"/>
      <c r="AI41" s="1147"/>
      <c r="AJ41" s="1147"/>
      <c r="AK41" s="1147"/>
      <c r="AL41" s="1147"/>
      <c r="AM41" s="1147"/>
      <c r="AN41" s="1147"/>
      <c r="AO41" s="1147"/>
      <c r="AP41" s="1147"/>
      <c r="AQ41" s="1147"/>
      <c r="AR41" s="1147"/>
      <c r="AS41" s="1147"/>
      <c r="AT41" s="1147"/>
      <c r="AU41" s="1147"/>
      <c r="AV41" s="1147"/>
      <c r="AW41" s="1147"/>
      <c r="AX41" s="1147"/>
      <c r="AY41" s="1147"/>
      <c r="AZ41" s="1147"/>
      <c r="BA41" s="1147"/>
      <c r="BB41" s="1147"/>
      <c r="BC41" s="1147"/>
      <c r="BD41" s="1147"/>
      <c r="BE41" s="1147"/>
      <c r="BF41" s="1147"/>
      <c r="BG41" s="1147"/>
      <c r="BH41" s="1147"/>
      <c r="BI41" s="1147"/>
      <c r="BJ41" s="1147"/>
      <c r="BK41" s="1147"/>
      <c r="BL41" s="1147"/>
      <c r="BM41" s="1147"/>
      <c r="BN41" s="1147"/>
      <c r="BO41" s="1147"/>
      <c r="BP41" s="1147"/>
      <c r="BQ41" s="1147"/>
      <c r="BR41" s="1147"/>
      <c r="BS41" s="1147"/>
      <c r="BT41" s="1147"/>
      <c r="BU41" s="1147"/>
      <c r="BV41" s="1147"/>
      <c r="BW41" s="1147"/>
      <c r="BX41" s="1147"/>
      <c r="BY41" s="1147"/>
      <c r="BZ41" s="1147"/>
      <c r="CA41" s="1147"/>
      <c r="CB41" s="1147"/>
      <c r="CC41" s="1147"/>
      <c r="CD41" s="1147"/>
      <c r="CE41" s="1147"/>
      <c r="CF41" s="1147"/>
      <c r="CG41" s="1147"/>
      <c r="CH41" s="1147"/>
      <c r="CI41" s="1147"/>
      <c r="CJ41" s="1147"/>
      <c r="CK41" s="1146"/>
    </row>
    <row r="42" spans="1:89" ht="15" x14ac:dyDescent="0.25">
      <c r="A42" s="1146"/>
      <c r="B42" s="1146"/>
      <c r="C42" s="1146"/>
      <c r="D42" s="1146"/>
      <c r="E42" s="1146"/>
      <c r="F42" s="1146"/>
      <c r="G42" s="1146"/>
      <c r="H42" s="1146"/>
      <c r="I42" s="1146"/>
      <c r="J42" s="1146"/>
      <c r="K42" s="1146"/>
      <c r="L42" s="1146"/>
      <c r="M42" s="1146"/>
      <c r="N42" s="1146"/>
      <c r="O42" s="1146"/>
      <c r="P42" s="1146"/>
      <c r="Q42" s="1146"/>
      <c r="R42" s="1146"/>
      <c r="S42" s="1146"/>
      <c r="T42" s="1147"/>
      <c r="U42" s="1147" t="s">
        <v>367</v>
      </c>
      <c r="V42" s="1221">
        <v>0.2</v>
      </c>
      <c r="W42" s="1221">
        <v>0.15</v>
      </c>
      <c r="X42" s="1221">
        <v>0.15</v>
      </c>
      <c r="Y42" s="1221">
        <v>0.15</v>
      </c>
      <c r="Z42" s="1221">
        <v>0.15</v>
      </c>
      <c r="AA42" s="1221">
        <v>0.15</v>
      </c>
      <c r="AB42" s="1221">
        <v>0.2</v>
      </c>
      <c r="AC42" s="1221">
        <v>0.2</v>
      </c>
      <c r="AD42" s="1147"/>
      <c r="AE42" s="1147"/>
      <c r="AF42" s="1147"/>
      <c r="AG42" s="1147"/>
      <c r="AH42" s="1147"/>
      <c r="AI42" s="1147"/>
      <c r="AJ42" s="1147"/>
      <c r="AK42" s="1147"/>
      <c r="AL42" s="1147"/>
      <c r="AM42" s="1147"/>
      <c r="AN42" s="1147"/>
      <c r="AO42" s="1147"/>
      <c r="AP42" s="1147"/>
      <c r="AQ42" s="1147"/>
      <c r="AR42" s="1147"/>
      <c r="AS42" s="1147"/>
      <c r="AT42" s="1147"/>
      <c r="AU42" s="1147"/>
      <c r="AV42" s="1147"/>
      <c r="AW42" s="1147"/>
      <c r="AX42" s="1147"/>
      <c r="AY42" s="1147"/>
      <c r="AZ42" s="1147"/>
      <c r="BA42" s="1147"/>
      <c r="BB42" s="1147"/>
      <c r="BC42" s="1147"/>
      <c r="BD42" s="1147"/>
      <c r="BE42" s="1147"/>
      <c r="BF42" s="1147"/>
      <c r="BG42" s="1147"/>
      <c r="BH42" s="1147"/>
      <c r="BI42" s="1147"/>
      <c r="BJ42" s="1147"/>
      <c r="BK42" s="1147"/>
      <c r="BL42" s="1147"/>
      <c r="BM42" s="1147"/>
      <c r="BN42" s="1147"/>
      <c r="BO42" s="1147"/>
      <c r="BP42" s="1147"/>
      <c r="BQ42" s="1147"/>
      <c r="BR42" s="1147"/>
      <c r="BS42" s="1147"/>
      <c r="BT42" s="1147"/>
      <c r="BU42" s="1147"/>
      <c r="BV42" s="1147"/>
      <c r="BW42" s="1147"/>
      <c r="BX42" s="1147"/>
      <c r="BY42" s="1147"/>
      <c r="BZ42" s="1147"/>
      <c r="CA42" s="1147"/>
      <c r="CB42" s="1147"/>
      <c r="CC42" s="1147"/>
      <c r="CD42" s="1147"/>
      <c r="CE42" s="1147"/>
      <c r="CF42" s="1147"/>
      <c r="CG42" s="1147"/>
      <c r="CH42" s="1147"/>
      <c r="CI42" s="1147"/>
      <c r="CJ42" s="1147"/>
      <c r="CK42" s="1146"/>
    </row>
    <row r="43" spans="1:89" ht="15" x14ac:dyDescent="0.25">
      <c r="A43" s="1146"/>
      <c r="B43" s="1146"/>
      <c r="C43" s="1146"/>
      <c r="D43" s="1146"/>
      <c r="E43" s="1146"/>
      <c r="F43" s="1146"/>
      <c r="G43" s="1146"/>
      <c r="H43" s="1146"/>
      <c r="I43" s="1146"/>
      <c r="J43" s="1146"/>
      <c r="K43" s="1146"/>
      <c r="L43" s="1146"/>
      <c r="M43" s="1146"/>
      <c r="N43" s="1146"/>
      <c r="O43" s="1146"/>
      <c r="P43" s="1146"/>
      <c r="Q43" s="1146"/>
      <c r="R43" s="1146"/>
      <c r="S43" s="1146"/>
      <c r="T43" s="1147"/>
      <c r="U43" s="1147" t="s">
        <v>366</v>
      </c>
      <c r="V43" s="1221">
        <v>0.65</v>
      </c>
      <c r="W43" s="1221">
        <v>0.1</v>
      </c>
      <c r="X43" s="1221">
        <v>0.1</v>
      </c>
      <c r="Y43" s="1221">
        <v>0.1</v>
      </c>
      <c r="Z43" s="1221">
        <v>0.1</v>
      </c>
      <c r="AA43" s="1221">
        <v>0.1</v>
      </c>
      <c r="AB43" s="1221">
        <v>0.05</v>
      </c>
      <c r="AC43" s="1221">
        <v>0.05</v>
      </c>
      <c r="AD43" s="1147"/>
      <c r="AE43" s="1147"/>
      <c r="AF43" s="1147"/>
      <c r="AG43" s="1147"/>
      <c r="AH43" s="1147"/>
      <c r="AI43" s="1147"/>
      <c r="AJ43" s="1147"/>
      <c r="AK43" s="1147"/>
      <c r="AL43" s="1147"/>
      <c r="AM43" s="1147"/>
      <c r="AN43" s="1147"/>
      <c r="AO43" s="1147"/>
      <c r="AP43" s="1147"/>
      <c r="AQ43" s="1147"/>
      <c r="AR43" s="1147"/>
      <c r="AS43" s="1147"/>
      <c r="AT43" s="1147"/>
      <c r="AU43" s="1147"/>
      <c r="AV43" s="1147"/>
      <c r="AW43" s="1147"/>
      <c r="AX43" s="1147"/>
      <c r="AY43" s="1147"/>
      <c r="AZ43" s="1147"/>
      <c r="BA43" s="1147"/>
      <c r="BB43" s="1147"/>
      <c r="BC43" s="1147"/>
      <c r="BD43" s="1147"/>
      <c r="BE43" s="1147"/>
      <c r="BF43" s="1147"/>
      <c r="BG43" s="1147"/>
      <c r="BH43" s="1147"/>
      <c r="BI43" s="1147"/>
      <c r="BJ43" s="1147"/>
      <c r="BK43" s="1147"/>
      <c r="BL43" s="1147"/>
      <c r="BM43" s="1147"/>
      <c r="BN43" s="1147"/>
      <c r="BO43" s="1147"/>
      <c r="BP43" s="1147"/>
      <c r="BQ43" s="1147"/>
      <c r="BR43" s="1147"/>
      <c r="BS43" s="1147"/>
      <c r="BT43" s="1147"/>
      <c r="BU43" s="1147"/>
      <c r="BV43" s="1147"/>
      <c r="BW43" s="1147"/>
      <c r="BX43" s="1147"/>
      <c r="BY43" s="1147"/>
      <c r="BZ43" s="1147"/>
      <c r="CA43" s="1147"/>
      <c r="CB43" s="1147"/>
      <c r="CC43" s="1147"/>
      <c r="CD43" s="1147"/>
      <c r="CE43" s="1147"/>
      <c r="CF43" s="1147"/>
      <c r="CG43" s="1147"/>
      <c r="CH43" s="1147"/>
      <c r="CI43" s="1147"/>
      <c r="CJ43" s="1147"/>
      <c r="CK43" s="1146"/>
    </row>
    <row r="44" spans="1:89" ht="15" x14ac:dyDescent="0.25">
      <c r="A44" s="1146"/>
      <c r="B44" s="1146"/>
      <c r="C44" s="1146"/>
      <c r="D44" s="1146"/>
      <c r="E44" s="1146"/>
      <c r="F44" s="1146"/>
      <c r="G44" s="1146"/>
      <c r="H44" s="1146"/>
      <c r="I44" s="1146"/>
      <c r="J44" s="1146"/>
      <c r="K44" s="1146"/>
      <c r="L44" s="1146"/>
      <c r="M44" s="1146"/>
      <c r="N44" s="1146"/>
      <c r="O44" s="1146"/>
      <c r="P44" s="1146"/>
      <c r="Q44" s="1146"/>
      <c r="R44" s="1146"/>
      <c r="S44" s="1146"/>
      <c r="T44" s="1147"/>
      <c r="U44" s="1147" t="s">
        <v>365</v>
      </c>
      <c r="V44" s="1221">
        <v>0.25</v>
      </c>
      <c r="W44" s="1221">
        <v>0.1</v>
      </c>
      <c r="X44" s="1221">
        <v>0.1</v>
      </c>
      <c r="Y44" s="1221">
        <v>0.1</v>
      </c>
      <c r="Z44" s="1221">
        <v>0.1</v>
      </c>
      <c r="AA44" s="1221">
        <v>0.1</v>
      </c>
      <c r="AB44" s="1221">
        <v>0.05</v>
      </c>
      <c r="AC44" s="1221">
        <v>0.05</v>
      </c>
      <c r="AD44" s="1147"/>
      <c r="AE44" s="1147"/>
      <c r="AF44" s="1147"/>
      <c r="AG44" s="1147"/>
      <c r="AH44" s="1147"/>
      <c r="AI44" s="1147"/>
      <c r="AJ44" s="1147"/>
      <c r="AK44" s="1147"/>
      <c r="AL44" s="1147"/>
      <c r="AM44" s="1147"/>
      <c r="AN44" s="1147"/>
      <c r="AO44" s="1147"/>
      <c r="AP44" s="1147"/>
      <c r="AQ44" s="1147"/>
      <c r="AR44" s="1147"/>
      <c r="AS44" s="1147"/>
      <c r="AT44" s="1147"/>
      <c r="AU44" s="1147"/>
      <c r="AV44" s="1147"/>
      <c r="AW44" s="1147"/>
      <c r="AX44" s="1147"/>
      <c r="AY44" s="1147"/>
      <c r="AZ44" s="1147"/>
      <c r="BA44" s="1147"/>
      <c r="BB44" s="1147"/>
      <c r="BC44" s="1147"/>
      <c r="BD44" s="1147"/>
      <c r="BE44" s="1147"/>
      <c r="BF44" s="1147"/>
      <c r="BG44" s="1147"/>
      <c r="BH44" s="1147"/>
      <c r="BI44" s="1147"/>
      <c r="BJ44" s="1147"/>
      <c r="BK44" s="1147"/>
      <c r="BL44" s="1147"/>
      <c r="BM44" s="1147"/>
      <c r="BN44" s="1147"/>
      <c r="BO44" s="1147"/>
      <c r="BP44" s="1147"/>
      <c r="BQ44" s="1147"/>
      <c r="BR44" s="1147"/>
      <c r="BS44" s="1147"/>
      <c r="BT44" s="1147"/>
      <c r="BU44" s="1147"/>
      <c r="BV44" s="1147"/>
      <c r="BW44" s="1147"/>
      <c r="BX44" s="1147"/>
      <c r="BY44" s="1147"/>
      <c r="BZ44" s="1147"/>
      <c r="CA44" s="1147"/>
      <c r="CB44" s="1147"/>
      <c r="CC44" s="1147"/>
      <c r="CD44" s="1147"/>
      <c r="CE44" s="1147"/>
      <c r="CF44" s="1147"/>
      <c r="CG44" s="1147"/>
      <c r="CH44" s="1147"/>
      <c r="CI44" s="1147"/>
      <c r="CJ44" s="1147"/>
      <c r="CK44" s="1146"/>
    </row>
    <row r="45" spans="1:89" ht="15" x14ac:dyDescent="0.25">
      <c r="A45" s="1146"/>
      <c r="B45" s="1146"/>
      <c r="C45" s="1146"/>
      <c r="D45" s="1146"/>
      <c r="E45" s="1146"/>
      <c r="F45" s="1146"/>
      <c r="G45" s="1146"/>
      <c r="H45" s="1146"/>
      <c r="I45" s="1146"/>
      <c r="J45" s="1146"/>
      <c r="K45" s="1146"/>
      <c r="L45" s="1146"/>
      <c r="M45" s="1146"/>
      <c r="N45" s="1146"/>
      <c r="O45" s="1146"/>
      <c r="P45" s="1146"/>
      <c r="Q45" s="1146"/>
      <c r="R45" s="1146"/>
      <c r="S45" s="1146"/>
      <c r="T45" s="1147"/>
      <c r="U45" s="1147" t="s">
        <v>364</v>
      </c>
      <c r="V45" s="1221">
        <v>0.25</v>
      </c>
      <c r="W45" s="1221">
        <v>0.1</v>
      </c>
      <c r="X45" s="1221">
        <v>0.1</v>
      </c>
      <c r="Y45" s="1221">
        <v>0.1</v>
      </c>
      <c r="Z45" s="1221">
        <v>0.1</v>
      </c>
      <c r="AA45" s="1221">
        <v>0.1</v>
      </c>
      <c r="AB45" s="1221">
        <v>0.05</v>
      </c>
      <c r="AC45" s="1221">
        <v>0.05</v>
      </c>
      <c r="AD45" s="1147"/>
      <c r="AE45" s="1147"/>
      <c r="AF45" s="1147"/>
      <c r="AG45" s="1147"/>
      <c r="AH45" s="1147"/>
      <c r="AI45" s="1147"/>
      <c r="AJ45" s="1147"/>
      <c r="AK45" s="1147"/>
      <c r="AL45" s="1147"/>
      <c r="AM45" s="1147"/>
      <c r="AN45" s="1147"/>
      <c r="AO45" s="1147"/>
      <c r="AP45" s="1147"/>
      <c r="AQ45" s="1147"/>
      <c r="AR45" s="1147"/>
      <c r="AS45" s="1147"/>
      <c r="AT45" s="1147"/>
      <c r="AU45" s="1147"/>
      <c r="AV45" s="1147"/>
      <c r="AW45" s="1147"/>
      <c r="AX45" s="1147"/>
      <c r="AY45" s="1147"/>
      <c r="AZ45" s="1147"/>
      <c r="BA45" s="1147"/>
      <c r="BB45" s="1147"/>
      <c r="BC45" s="1147"/>
      <c r="BD45" s="1147"/>
      <c r="BE45" s="1147"/>
      <c r="BF45" s="1147"/>
      <c r="BG45" s="1147"/>
      <c r="BH45" s="1147"/>
      <c r="BI45" s="1147"/>
      <c r="BJ45" s="1147"/>
      <c r="BK45" s="1147"/>
      <c r="BL45" s="1147"/>
      <c r="BM45" s="1147"/>
      <c r="BN45" s="1147"/>
      <c r="BO45" s="1147"/>
      <c r="BP45" s="1147"/>
      <c r="BQ45" s="1147"/>
      <c r="BR45" s="1147"/>
      <c r="BS45" s="1147"/>
      <c r="BT45" s="1147"/>
      <c r="BU45" s="1147"/>
      <c r="BV45" s="1147"/>
      <c r="BW45" s="1147"/>
      <c r="BX45" s="1147"/>
      <c r="BY45" s="1147"/>
      <c r="BZ45" s="1147"/>
      <c r="CA45" s="1147"/>
      <c r="CB45" s="1147"/>
      <c r="CC45" s="1147"/>
      <c r="CD45" s="1147"/>
      <c r="CE45" s="1147"/>
      <c r="CF45" s="1147"/>
      <c r="CG45" s="1147"/>
      <c r="CH45" s="1147"/>
      <c r="CI45" s="1147"/>
      <c r="CJ45" s="1147"/>
      <c r="CK45" s="1146"/>
    </row>
    <row r="46" spans="1:89" ht="15" x14ac:dyDescent="0.25">
      <c r="A46" s="1146"/>
      <c r="B46" s="1146"/>
      <c r="C46" s="1146"/>
      <c r="D46" s="1146"/>
      <c r="E46" s="1146"/>
      <c r="F46" s="1146"/>
      <c r="G46" s="1146"/>
      <c r="H46" s="1146"/>
      <c r="I46" s="1146"/>
      <c r="J46" s="1146"/>
      <c r="K46" s="1146"/>
      <c r="L46" s="1146"/>
      <c r="M46" s="1146"/>
      <c r="N46" s="1146"/>
      <c r="O46" s="1146"/>
      <c r="P46" s="1146"/>
      <c r="Q46" s="1146"/>
      <c r="R46" s="1146"/>
      <c r="S46" s="1146"/>
      <c r="T46" s="1147"/>
      <c r="U46" s="1147" t="s">
        <v>363</v>
      </c>
      <c r="V46" s="1221">
        <v>0.25</v>
      </c>
      <c r="W46" s="1221">
        <v>0.25</v>
      </c>
      <c r="X46" s="1221">
        <v>0.25</v>
      </c>
      <c r="Y46" s="1221">
        <v>0.25</v>
      </c>
      <c r="Z46" s="1221">
        <v>0.25</v>
      </c>
      <c r="AA46" s="1221">
        <v>0.25</v>
      </c>
      <c r="AB46" s="1221">
        <v>0.15</v>
      </c>
      <c r="AC46" s="1221">
        <v>0.15</v>
      </c>
      <c r="AD46" s="1147"/>
      <c r="AE46" s="1147"/>
      <c r="AF46" s="1147"/>
      <c r="AG46" s="1147"/>
      <c r="AH46" s="1147"/>
      <c r="AI46" s="1147"/>
      <c r="AJ46" s="1147"/>
      <c r="AK46" s="1147"/>
      <c r="AL46" s="1147"/>
      <c r="AM46" s="1147"/>
      <c r="AN46" s="1147"/>
      <c r="AO46" s="1147"/>
      <c r="AP46" s="1147"/>
      <c r="AQ46" s="1147"/>
      <c r="AR46" s="1147"/>
      <c r="AS46" s="1147"/>
      <c r="AT46" s="1147"/>
      <c r="AU46" s="1147"/>
      <c r="AV46" s="1147"/>
      <c r="AW46" s="1147"/>
      <c r="AX46" s="1147"/>
      <c r="AY46" s="1147"/>
      <c r="AZ46" s="1147"/>
      <c r="BA46" s="1147"/>
      <c r="BB46" s="1147"/>
      <c r="BC46" s="1147"/>
      <c r="BD46" s="1147"/>
      <c r="BE46" s="1147"/>
      <c r="BF46" s="1147"/>
      <c r="BG46" s="1147"/>
      <c r="BH46" s="1147"/>
      <c r="BI46" s="1147"/>
      <c r="BJ46" s="1147"/>
      <c r="BK46" s="1147"/>
      <c r="BL46" s="1147"/>
      <c r="BM46" s="1147"/>
      <c r="BN46" s="1147"/>
      <c r="BO46" s="1147"/>
      <c r="BP46" s="1147"/>
      <c r="BQ46" s="1147"/>
      <c r="BR46" s="1147"/>
      <c r="BS46" s="1147"/>
      <c r="BT46" s="1147"/>
      <c r="BU46" s="1147"/>
      <c r="BV46" s="1147"/>
      <c r="BW46" s="1147"/>
      <c r="BX46" s="1147"/>
      <c r="BY46" s="1147"/>
      <c r="BZ46" s="1147"/>
      <c r="CA46" s="1147"/>
      <c r="CB46" s="1147"/>
      <c r="CC46" s="1147"/>
      <c r="CD46" s="1147"/>
      <c r="CE46" s="1147"/>
      <c r="CF46" s="1147"/>
      <c r="CG46" s="1147"/>
      <c r="CH46" s="1147"/>
      <c r="CI46" s="1147"/>
      <c r="CJ46" s="1147"/>
      <c r="CK46" s="1146"/>
    </row>
    <row r="47" spans="1:89" ht="15" x14ac:dyDescent="0.25">
      <c r="A47" s="1146"/>
      <c r="B47" s="1146"/>
      <c r="C47" s="1146"/>
      <c r="D47" s="1146"/>
      <c r="E47" s="1146"/>
      <c r="F47" s="1146"/>
      <c r="G47" s="1146"/>
      <c r="H47" s="1146"/>
      <c r="I47" s="1146"/>
      <c r="J47" s="1146"/>
      <c r="K47" s="1146"/>
      <c r="L47" s="1146"/>
      <c r="M47" s="1146"/>
      <c r="N47" s="1146"/>
      <c r="O47" s="1146"/>
      <c r="P47" s="1146"/>
      <c r="Q47" s="1146"/>
      <c r="R47" s="1146"/>
      <c r="S47" s="1146"/>
      <c r="T47" s="1147"/>
      <c r="U47" s="1147" t="s">
        <v>379</v>
      </c>
      <c r="V47" s="1221">
        <v>0.02</v>
      </c>
      <c r="W47" s="1221">
        <v>0.35</v>
      </c>
      <c r="X47" s="1221">
        <v>0.35</v>
      </c>
      <c r="Y47" s="1221">
        <v>0.35</v>
      </c>
      <c r="Z47" s="1221">
        <v>0.35</v>
      </c>
      <c r="AA47" s="1221">
        <v>0.35</v>
      </c>
      <c r="AB47" s="1221">
        <v>0.2</v>
      </c>
      <c r="AC47" s="1221">
        <v>0.2</v>
      </c>
      <c r="AD47" s="1147"/>
      <c r="AE47" s="1147"/>
      <c r="AF47" s="1147"/>
      <c r="AG47" s="1147"/>
      <c r="AH47" s="1147"/>
      <c r="AI47" s="1147"/>
      <c r="AJ47" s="1147"/>
      <c r="AK47" s="1147"/>
      <c r="AL47" s="1147"/>
      <c r="AM47" s="1147"/>
      <c r="AN47" s="1147"/>
      <c r="AO47" s="1147"/>
      <c r="AP47" s="1147"/>
      <c r="AQ47" s="1147"/>
      <c r="AR47" s="1147"/>
      <c r="AS47" s="1147"/>
      <c r="AT47" s="1147"/>
      <c r="AU47" s="1147"/>
      <c r="AV47" s="1147"/>
      <c r="AW47" s="1147"/>
      <c r="AX47" s="1147"/>
      <c r="AY47" s="1147"/>
      <c r="AZ47" s="1147"/>
      <c r="BA47" s="1147"/>
      <c r="BB47" s="1147"/>
      <c r="BC47" s="1147"/>
      <c r="BD47" s="1147"/>
      <c r="BE47" s="1147"/>
      <c r="BF47" s="1147"/>
      <c r="BG47" s="1147"/>
      <c r="BH47" s="1147"/>
      <c r="BI47" s="1147"/>
      <c r="BJ47" s="1147"/>
      <c r="BK47" s="1147"/>
      <c r="BL47" s="1147"/>
      <c r="BM47" s="1147"/>
      <c r="BN47" s="1147"/>
      <c r="BO47" s="1147"/>
      <c r="BP47" s="1147"/>
      <c r="BQ47" s="1147"/>
      <c r="BR47" s="1147"/>
      <c r="BS47" s="1147"/>
      <c r="BT47" s="1147"/>
      <c r="BU47" s="1147"/>
      <c r="BV47" s="1147"/>
      <c r="BW47" s="1147"/>
      <c r="BX47" s="1147"/>
      <c r="BY47" s="1147"/>
      <c r="BZ47" s="1147"/>
      <c r="CA47" s="1147"/>
      <c r="CB47" s="1147"/>
      <c r="CC47" s="1147"/>
      <c r="CD47" s="1147"/>
      <c r="CE47" s="1147"/>
      <c r="CF47" s="1147"/>
      <c r="CG47" s="1147"/>
      <c r="CH47" s="1147"/>
      <c r="CI47" s="1147"/>
      <c r="CJ47" s="1147"/>
      <c r="CK47" s="1146"/>
    </row>
    <row r="48" spans="1:89" ht="15" x14ac:dyDescent="0.25">
      <c r="A48" s="1146"/>
      <c r="B48" s="1146"/>
      <c r="C48" s="1146"/>
      <c r="D48" s="1146"/>
      <c r="E48" s="1146"/>
      <c r="F48" s="1146"/>
      <c r="G48" s="1146"/>
      <c r="H48" s="1146"/>
      <c r="I48" s="1146"/>
      <c r="J48" s="1146"/>
      <c r="K48" s="1146"/>
      <c r="L48" s="1146"/>
      <c r="M48" s="1146"/>
      <c r="N48" s="1146"/>
      <c r="O48" s="1146"/>
      <c r="P48" s="1146"/>
      <c r="Q48" s="1146"/>
      <c r="R48" s="1146"/>
      <c r="S48" s="1146"/>
      <c r="T48" s="1147"/>
      <c r="U48" s="1147" t="s">
        <v>380</v>
      </c>
      <c r="V48" s="1221">
        <v>0.02</v>
      </c>
      <c r="W48" s="1221">
        <v>0.15</v>
      </c>
      <c r="X48" s="1221">
        <v>0.25</v>
      </c>
      <c r="Y48" s="1221">
        <v>0.15</v>
      </c>
      <c r="Z48" s="1221">
        <v>0.15</v>
      </c>
      <c r="AA48" s="1221">
        <v>0.25</v>
      </c>
      <c r="AB48" s="1221">
        <v>0.2</v>
      </c>
      <c r="AC48" s="1221">
        <v>0.2</v>
      </c>
      <c r="AD48" s="1147"/>
      <c r="AE48" s="1147"/>
      <c r="AF48" s="1147"/>
      <c r="AG48" s="1147"/>
      <c r="AH48" s="1147"/>
      <c r="AI48" s="1147"/>
      <c r="AJ48" s="1147"/>
      <c r="AK48" s="1147"/>
      <c r="AL48" s="1147"/>
      <c r="AM48" s="1147"/>
      <c r="AN48" s="1147"/>
      <c r="AO48" s="1147"/>
      <c r="AP48" s="1147"/>
      <c r="AQ48" s="1147"/>
      <c r="AR48" s="1147"/>
      <c r="AS48" s="1147"/>
      <c r="AT48" s="1147"/>
      <c r="AU48" s="1147"/>
      <c r="AV48" s="1147"/>
      <c r="AW48" s="1147"/>
      <c r="AX48" s="1147"/>
      <c r="AY48" s="1147"/>
      <c r="AZ48" s="1147"/>
      <c r="BA48" s="1147"/>
      <c r="BB48" s="1147"/>
      <c r="BC48" s="1147"/>
      <c r="BD48" s="1147"/>
      <c r="BE48" s="1147"/>
      <c r="BF48" s="1147"/>
      <c r="BG48" s="1147"/>
      <c r="BH48" s="1147"/>
      <c r="BI48" s="1147"/>
      <c r="BJ48" s="1147"/>
      <c r="BK48" s="1147"/>
      <c r="BL48" s="1147"/>
      <c r="BM48" s="1147"/>
      <c r="BN48" s="1147"/>
      <c r="BO48" s="1147"/>
      <c r="BP48" s="1147"/>
      <c r="BQ48" s="1147"/>
      <c r="BR48" s="1147"/>
      <c r="BS48" s="1147"/>
      <c r="BT48" s="1147"/>
      <c r="BU48" s="1147"/>
      <c r="BV48" s="1147"/>
      <c r="BW48" s="1147"/>
      <c r="BX48" s="1147"/>
      <c r="BY48" s="1147"/>
      <c r="BZ48" s="1147"/>
      <c r="CA48" s="1147"/>
      <c r="CB48" s="1147"/>
      <c r="CC48" s="1147"/>
      <c r="CD48" s="1147"/>
      <c r="CE48" s="1147"/>
      <c r="CF48" s="1147"/>
      <c r="CG48" s="1147"/>
      <c r="CH48" s="1147"/>
      <c r="CI48" s="1147"/>
      <c r="CJ48" s="1147"/>
      <c r="CK48" s="1146"/>
    </row>
    <row r="49" spans="1:89" ht="15" x14ac:dyDescent="0.25">
      <c r="A49" s="1146"/>
      <c r="B49" s="1146"/>
      <c r="C49" s="1146"/>
      <c r="D49" s="1146"/>
      <c r="E49" s="1146"/>
      <c r="F49" s="1146"/>
      <c r="G49" s="1146"/>
      <c r="H49" s="1146"/>
      <c r="I49" s="1146"/>
      <c r="J49" s="1146"/>
      <c r="K49" s="1146"/>
      <c r="L49" s="1146"/>
      <c r="M49" s="1146"/>
      <c r="N49" s="1146"/>
      <c r="O49" s="1146"/>
      <c r="P49" s="1146"/>
      <c r="Q49" s="1146"/>
      <c r="R49" s="1146"/>
      <c r="S49" s="1146"/>
      <c r="T49" s="1147"/>
      <c r="U49" s="1147" t="s">
        <v>381</v>
      </c>
      <c r="V49" s="1221">
        <v>0.02</v>
      </c>
      <c r="W49" s="1221">
        <v>0.05</v>
      </c>
      <c r="X49" s="1221">
        <v>0.15</v>
      </c>
      <c r="Y49" s="1221">
        <v>0.05</v>
      </c>
      <c r="Z49" s="1221">
        <v>0.05</v>
      </c>
      <c r="AA49" s="1221">
        <v>0.15</v>
      </c>
      <c r="AB49" s="1221">
        <v>0.22</v>
      </c>
      <c r="AC49" s="1221">
        <v>0.22</v>
      </c>
      <c r="AD49" s="1147"/>
      <c r="AE49" s="1147"/>
      <c r="AF49" s="1147"/>
      <c r="AG49" s="1147"/>
      <c r="AH49" s="1147"/>
      <c r="AI49" s="1147"/>
      <c r="AJ49" s="1147"/>
      <c r="AK49" s="1147"/>
      <c r="AL49" s="1147"/>
      <c r="AM49" s="1147"/>
      <c r="AN49" s="1147"/>
      <c r="AO49" s="1147"/>
      <c r="AP49" s="1147"/>
      <c r="AQ49" s="1147"/>
      <c r="AR49" s="1147"/>
      <c r="AS49" s="1147"/>
      <c r="AT49" s="1147"/>
      <c r="AU49" s="1147"/>
      <c r="AV49" s="1147"/>
      <c r="AW49" s="1147"/>
      <c r="AX49" s="1147"/>
      <c r="AY49" s="1147"/>
      <c r="AZ49" s="1147"/>
      <c r="BA49" s="1147"/>
      <c r="BB49" s="1147"/>
      <c r="BC49" s="1147"/>
      <c r="BD49" s="1147"/>
      <c r="BE49" s="1147"/>
      <c r="BF49" s="1147"/>
      <c r="BG49" s="1147"/>
      <c r="BH49" s="1147"/>
      <c r="BI49" s="1147"/>
      <c r="BJ49" s="1147"/>
      <c r="BK49" s="1147"/>
      <c r="BL49" s="1147"/>
      <c r="BM49" s="1147"/>
      <c r="BN49" s="1147"/>
      <c r="BO49" s="1147"/>
      <c r="BP49" s="1147"/>
      <c r="BQ49" s="1147"/>
      <c r="BR49" s="1147"/>
      <c r="BS49" s="1147"/>
      <c r="BT49" s="1147"/>
      <c r="BU49" s="1147"/>
      <c r="BV49" s="1147"/>
      <c r="BW49" s="1147"/>
      <c r="BX49" s="1147"/>
      <c r="BY49" s="1147"/>
      <c r="BZ49" s="1147"/>
      <c r="CA49" s="1147"/>
      <c r="CB49" s="1147"/>
      <c r="CC49" s="1147"/>
      <c r="CD49" s="1147"/>
      <c r="CE49" s="1147"/>
      <c r="CF49" s="1147"/>
      <c r="CG49" s="1147"/>
      <c r="CH49" s="1147"/>
      <c r="CI49" s="1147"/>
      <c r="CJ49" s="1147"/>
      <c r="CK49" s="1146"/>
    </row>
    <row r="50" spans="1:89" ht="15" x14ac:dyDescent="0.25">
      <c r="A50" s="1146"/>
      <c r="B50" s="1146"/>
      <c r="C50" s="1146"/>
      <c r="D50" s="1146"/>
      <c r="E50" s="1146"/>
      <c r="F50" s="1146"/>
      <c r="G50" s="1146"/>
      <c r="H50" s="1146"/>
      <c r="I50" s="1146"/>
      <c r="J50" s="1146"/>
      <c r="K50" s="1146"/>
      <c r="L50" s="1146"/>
      <c r="M50" s="1146"/>
      <c r="N50" s="1146"/>
      <c r="O50" s="1146"/>
      <c r="P50" s="1146"/>
      <c r="Q50" s="1146"/>
      <c r="R50" s="1146"/>
      <c r="S50" s="1146"/>
      <c r="T50" s="1147"/>
      <c r="U50" s="1147" t="s">
        <v>371</v>
      </c>
      <c r="V50" s="1221">
        <v>0.02</v>
      </c>
      <c r="W50" s="1221">
        <v>0.55000000000000004</v>
      </c>
      <c r="X50" s="1221">
        <v>0.55000000000000004</v>
      </c>
      <c r="Y50" s="1221">
        <v>0.55000000000000004</v>
      </c>
      <c r="Z50" s="1221">
        <v>0.55000000000000004</v>
      </c>
      <c r="AA50" s="1221">
        <v>0.55000000000000004</v>
      </c>
      <c r="AB50" s="1221">
        <v>0.7</v>
      </c>
      <c r="AC50" s="1221">
        <v>0.7</v>
      </c>
      <c r="AD50" s="1147"/>
      <c r="AE50" s="1147"/>
      <c r="AF50" s="1147"/>
      <c r="AG50" s="1147"/>
      <c r="AH50" s="1147"/>
      <c r="AI50" s="1147"/>
      <c r="AJ50" s="1147"/>
      <c r="AK50" s="1147"/>
      <c r="AL50" s="1147"/>
      <c r="AM50" s="1147"/>
      <c r="AN50" s="1147"/>
      <c r="AO50" s="1147"/>
      <c r="AP50" s="1147"/>
      <c r="AQ50" s="1147"/>
      <c r="AR50" s="1147"/>
      <c r="AS50" s="1147"/>
      <c r="AT50" s="1147"/>
      <c r="AU50" s="1147"/>
      <c r="AV50" s="1147"/>
      <c r="AW50" s="1147"/>
      <c r="AX50" s="1147"/>
      <c r="AY50" s="1147"/>
      <c r="AZ50" s="1147"/>
      <c r="BA50" s="1147"/>
      <c r="BB50" s="1147"/>
      <c r="BC50" s="1147"/>
      <c r="BD50" s="1147"/>
      <c r="BE50" s="1147"/>
      <c r="BF50" s="1147"/>
      <c r="BG50" s="1147"/>
      <c r="BH50" s="1147"/>
      <c r="BI50" s="1147"/>
      <c r="BJ50" s="1147"/>
      <c r="BK50" s="1147"/>
      <c r="BL50" s="1147"/>
      <c r="BM50" s="1147"/>
      <c r="BN50" s="1147"/>
      <c r="BO50" s="1147"/>
      <c r="BP50" s="1147"/>
      <c r="BQ50" s="1147"/>
      <c r="BR50" s="1147"/>
      <c r="BS50" s="1147"/>
      <c r="BT50" s="1147"/>
      <c r="BU50" s="1147"/>
      <c r="BV50" s="1147"/>
      <c r="BW50" s="1147"/>
      <c r="BX50" s="1147"/>
      <c r="BY50" s="1147"/>
      <c r="BZ50" s="1147"/>
      <c r="CA50" s="1147"/>
      <c r="CB50" s="1147"/>
      <c r="CC50" s="1147"/>
      <c r="CD50" s="1147"/>
      <c r="CE50" s="1147"/>
      <c r="CF50" s="1147"/>
      <c r="CG50" s="1147"/>
      <c r="CH50" s="1147"/>
      <c r="CI50" s="1147"/>
      <c r="CJ50" s="1147"/>
      <c r="CK50" s="1146"/>
    </row>
    <row r="51" spans="1:89" ht="15" x14ac:dyDescent="0.25">
      <c r="A51" s="1146"/>
      <c r="B51" s="1146"/>
      <c r="C51" s="1146"/>
      <c r="D51" s="1146"/>
      <c r="E51" s="1146"/>
      <c r="F51" s="1146"/>
      <c r="G51" s="1146"/>
      <c r="H51" s="1146"/>
      <c r="I51" s="1146"/>
      <c r="J51" s="1146"/>
      <c r="K51" s="1146"/>
      <c r="L51" s="1146"/>
      <c r="M51" s="1146"/>
      <c r="N51" s="1146"/>
      <c r="O51" s="1146"/>
      <c r="P51" s="1146"/>
      <c r="Q51" s="1146"/>
      <c r="R51" s="1146"/>
      <c r="S51" s="1146"/>
      <c r="T51" s="1147"/>
      <c r="U51" s="1147" t="s">
        <v>372</v>
      </c>
      <c r="V51" s="1221">
        <v>0</v>
      </c>
      <c r="W51" s="1221">
        <v>0.6</v>
      </c>
      <c r="X51" s="1221">
        <v>0.62</v>
      </c>
      <c r="Y51" s="1221">
        <v>0.6</v>
      </c>
      <c r="Z51" s="1221">
        <v>0.6</v>
      </c>
      <c r="AA51" s="1221">
        <v>0.62</v>
      </c>
      <c r="AB51" s="1221">
        <v>0.22</v>
      </c>
      <c r="AC51" s="1221">
        <v>0.22</v>
      </c>
      <c r="AD51" s="1147"/>
      <c r="AE51" s="1147"/>
      <c r="AF51" s="1147"/>
      <c r="AG51" s="1147"/>
      <c r="AH51" s="1147"/>
      <c r="AI51" s="1147"/>
      <c r="AJ51" s="1147"/>
      <c r="AK51" s="1147"/>
      <c r="AL51" s="1147"/>
      <c r="AM51" s="1147"/>
      <c r="AN51" s="1147"/>
      <c r="AO51" s="1147"/>
      <c r="AP51" s="1147"/>
      <c r="AQ51" s="1147"/>
      <c r="AR51" s="1147"/>
      <c r="AS51" s="1147"/>
      <c r="AT51" s="1147"/>
      <c r="AU51" s="1147"/>
      <c r="AV51" s="1147"/>
      <c r="AW51" s="1147"/>
      <c r="AX51" s="1147"/>
      <c r="AY51" s="1147"/>
      <c r="AZ51" s="1147"/>
      <c r="BA51" s="1147"/>
      <c r="BB51" s="1147"/>
      <c r="BC51" s="1147"/>
      <c r="BD51" s="1147"/>
      <c r="BE51" s="1147"/>
      <c r="BF51" s="1147"/>
      <c r="BG51" s="1147"/>
      <c r="BH51" s="1147"/>
      <c r="BI51" s="1147"/>
      <c r="BJ51" s="1147"/>
      <c r="BK51" s="1147"/>
      <c r="BL51" s="1147"/>
      <c r="BM51" s="1147"/>
      <c r="BN51" s="1147"/>
      <c r="BO51" s="1147"/>
      <c r="BP51" s="1147"/>
      <c r="BQ51" s="1147"/>
      <c r="BR51" s="1147"/>
      <c r="BS51" s="1147"/>
      <c r="BT51" s="1147"/>
      <c r="BU51" s="1147"/>
      <c r="BV51" s="1147"/>
      <c r="BW51" s="1147"/>
      <c r="BX51" s="1147"/>
      <c r="BY51" s="1147"/>
      <c r="BZ51" s="1147"/>
      <c r="CA51" s="1147"/>
      <c r="CB51" s="1147"/>
      <c r="CC51" s="1147"/>
      <c r="CD51" s="1147"/>
      <c r="CE51" s="1147"/>
      <c r="CF51" s="1147"/>
      <c r="CG51" s="1147"/>
      <c r="CH51" s="1147"/>
      <c r="CI51" s="1147"/>
      <c r="CJ51" s="1147"/>
      <c r="CK51" s="1146"/>
    </row>
    <row r="52" spans="1:89" ht="15" x14ac:dyDescent="0.25">
      <c r="A52" s="1146"/>
      <c r="B52" s="1146"/>
      <c r="C52" s="1146"/>
      <c r="D52" s="1146"/>
      <c r="E52" s="1146"/>
      <c r="F52" s="1146"/>
      <c r="G52" s="1146"/>
      <c r="H52" s="1146"/>
      <c r="I52" s="1146"/>
      <c r="J52" s="1146"/>
      <c r="K52" s="1146"/>
      <c r="L52" s="1146"/>
      <c r="M52" s="1146"/>
      <c r="N52" s="1146"/>
      <c r="O52" s="1146"/>
      <c r="P52" s="1146"/>
      <c r="Q52" s="1146"/>
      <c r="R52" s="1146"/>
      <c r="S52" s="1146"/>
      <c r="T52" s="1147"/>
      <c r="U52" s="1147" t="s">
        <v>373</v>
      </c>
      <c r="V52" s="1221">
        <v>0</v>
      </c>
      <c r="W52" s="1221">
        <v>7.0000000000000007E-2</v>
      </c>
      <c r="X52" s="1221">
        <v>0.18</v>
      </c>
      <c r="Y52" s="1221">
        <v>7.0000000000000007E-2</v>
      </c>
      <c r="Z52" s="1221">
        <v>7.0000000000000007E-2</v>
      </c>
      <c r="AA52" s="1221">
        <v>0.18</v>
      </c>
      <c r="AB52" s="1221">
        <v>0.25</v>
      </c>
      <c r="AC52" s="1221">
        <v>0.25</v>
      </c>
      <c r="AD52" s="1147"/>
      <c r="AE52" s="1147"/>
      <c r="AF52" s="1147"/>
      <c r="AG52" s="1147"/>
      <c r="AH52" s="1147"/>
      <c r="AI52" s="1147"/>
      <c r="AJ52" s="1147"/>
      <c r="AK52" s="1147"/>
      <c r="AL52" s="1147"/>
      <c r="AM52" s="1147"/>
      <c r="AN52" s="1147"/>
      <c r="AO52" s="1147"/>
      <c r="AP52" s="1147"/>
      <c r="AQ52" s="1147"/>
      <c r="AR52" s="1147"/>
      <c r="AS52" s="1147"/>
      <c r="AT52" s="1147"/>
      <c r="AU52" s="1147"/>
      <c r="AV52" s="1147"/>
      <c r="AW52" s="1147"/>
      <c r="AX52" s="1147"/>
      <c r="AY52" s="1147"/>
      <c r="AZ52" s="1147"/>
      <c r="BA52" s="1147"/>
      <c r="BB52" s="1147"/>
      <c r="BC52" s="1147"/>
      <c r="BD52" s="1147"/>
      <c r="BE52" s="1147"/>
      <c r="BF52" s="1147"/>
      <c r="BG52" s="1147"/>
      <c r="BH52" s="1147"/>
      <c r="BI52" s="1147"/>
      <c r="BJ52" s="1147"/>
      <c r="BK52" s="1147"/>
      <c r="BL52" s="1147"/>
      <c r="BM52" s="1147"/>
      <c r="BN52" s="1147"/>
      <c r="BO52" s="1147"/>
      <c r="BP52" s="1147"/>
      <c r="BQ52" s="1147"/>
      <c r="BR52" s="1147"/>
      <c r="BS52" s="1147"/>
      <c r="BT52" s="1147"/>
      <c r="BU52" s="1147"/>
      <c r="BV52" s="1147"/>
      <c r="BW52" s="1147"/>
      <c r="BX52" s="1147"/>
      <c r="BY52" s="1147"/>
      <c r="BZ52" s="1147"/>
      <c r="CA52" s="1147"/>
      <c r="CB52" s="1147"/>
      <c r="CC52" s="1147"/>
      <c r="CD52" s="1147"/>
      <c r="CE52" s="1147"/>
      <c r="CF52" s="1147"/>
      <c r="CG52" s="1147"/>
      <c r="CH52" s="1147"/>
      <c r="CI52" s="1147"/>
      <c r="CJ52" s="1147"/>
      <c r="CK52" s="1146"/>
    </row>
    <row r="53" spans="1:89" ht="15" x14ac:dyDescent="0.25">
      <c r="A53" s="1146"/>
      <c r="B53" s="1146"/>
      <c r="C53" s="1146"/>
      <c r="D53" s="1146"/>
      <c r="E53" s="1146"/>
      <c r="F53" s="1146"/>
      <c r="G53" s="1146"/>
      <c r="H53" s="1146"/>
      <c r="I53" s="1146"/>
      <c r="J53" s="1146"/>
      <c r="K53" s="1146"/>
      <c r="L53" s="1146"/>
      <c r="M53" s="1146"/>
      <c r="N53" s="1146"/>
      <c r="O53" s="1146"/>
      <c r="P53" s="1146"/>
      <c r="Q53" s="1146"/>
      <c r="R53" s="1146"/>
      <c r="S53" s="1146"/>
      <c r="T53" s="1147"/>
      <c r="U53" s="1147" t="s">
        <v>375</v>
      </c>
      <c r="V53" s="1221">
        <v>0.9</v>
      </c>
      <c r="W53" s="1221">
        <v>0</v>
      </c>
      <c r="X53" s="1221">
        <v>0</v>
      </c>
      <c r="Y53" s="1221">
        <v>0</v>
      </c>
      <c r="Z53" s="1221">
        <v>0</v>
      </c>
      <c r="AA53" s="1221">
        <v>0</v>
      </c>
      <c r="AB53" s="1221">
        <v>0</v>
      </c>
      <c r="AC53" s="1221">
        <v>0</v>
      </c>
      <c r="AD53" s="1147"/>
      <c r="AE53" s="1147"/>
      <c r="AF53" s="1147"/>
      <c r="AG53" s="1147"/>
      <c r="AH53" s="1147"/>
      <c r="AI53" s="1147"/>
      <c r="AJ53" s="1147"/>
      <c r="AK53" s="1147"/>
      <c r="AL53" s="1147"/>
      <c r="AM53" s="1147"/>
      <c r="AN53" s="1147"/>
      <c r="AO53" s="1147"/>
      <c r="AP53" s="1147"/>
      <c r="AQ53" s="1147"/>
      <c r="AR53" s="1147"/>
      <c r="AS53" s="1147"/>
      <c r="AT53" s="1147"/>
      <c r="AU53" s="1147"/>
      <c r="AV53" s="1147"/>
      <c r="AW53" s="1147"/>
      <c r="AX53" s="1147"/>
      <c r="AY53" s="1147"/>
      <c r="AZ53" s="1147"/>
      <c r="BA53" s="1147"/>
      <c r="BB53" s="1147"/>
      <c r="BC53" s="1147"/>
      <c r="BD53" s="1147"/>
      <c r="BE53" s="1147"/>
      <c r="BF53" s="1147"/>
      <c r="BG53" s="1147"/>
      <c r="BH53" s="1147"/>
      <c r="BI53" s="1147"/>
      <c r="BJ53" s="1147"/>
      <c r="BK53" s="1147"/>
      <c r="BL53" s="1147"/>
      <c r="BM53" s="1147"/>
      <c r="BN53" s="1147"/>
      <c r="BO53" s="1147"/>
      <c r="BP53" s="1147"/>
      <c r="BQ53" s="1147"/>
      <c r="BR53" s="1147"/>
      <c r="BS53" s="1147"/>
      <c r="BT53" s="1147"/>
      <c r="BU53" s="1147"/>
      <c r="BV53" s="1147"/>
      <c r="BW53" s="1147"/>
      <c r="BX53" s="1147"/>
      <c r="BY53" s="1147"/>
      <c r="BZ53" s="1147"/>
      <c r="CA53" s="1147"/>
      <c r="CB53" s="1147"/>
      <c r="CC53" s="1147"/>
      <c r="CD53" s="1147"/>
      <c r="CE53" s="1147"/>
      <c r="CF53" s="1147"/>
      <c r="CG53" s="1147"/>
      <c r="CH53" s="1147"/>
      <c r="CI53" s="1147"/>
      <c r="CJ53" s="1147"/>
      <c r="CK53" s="1146"/>
    </row>
    <row r="54" spans="1:89" ht="15" x14ac:dyDescent="0.25">
      <c r="A54" s="1146"/>
      <c r="B54" s="1146"/>
      <c r="C54" s="1146"/>
      <c r="D54" s="1146"/>
      <c r="E54" s="1146"/>
      <c r="F54" s="1146"/>
      <c r="G54" s="1146"/>
      <c r="H54" s="1146"/>
      <c r="I54" s="1146"/>
      <c r="J54" s="1146"/>
      <c r="K54" s="1146"/>
      <c r="L54" s="1146"/>
      <c r="M54" s="1146"/>
      <c r="N54" s="1146"/>
      <c r="O54" s="1146"/>
      <c r="P54" s="1146"/>
      <c r="Q54" s="1146"/>
      <c r="R54" s="1146"/>
      <c r="S54" s="1146"/>
      <c r="T54" s="1147"/>
      <c r="U54" s="1147" t="s">
        <v>382</v>
      </c>
      <c r="V54" s="1221">
        <v>0.03</v>
      </c>
      <c r="W54" s="1221">
        <v>0.2</v>
      </c>
      <c r="X54" s="1221">
        <v>0.1</v>
      </c>
      <c r="Y54" s="1221">
        <v>0.2</v>
      </c>
      <c r="Z54" s="1221">
        <v>0.2</v>
      </c>
      <c r="AA54" s="1221">
        <v>0.1</v>
      </c>
      <c r="AB54" s="1221">
        <v>0.01</v>
      </c>
      <c r="AC54" s="1221">
        <v>0.01</v>
      </c>
      <c r="AD54" s="1147"/>
      <c r="AE54" s="1147"/>
      <c r="AF54" s="1147"/>
      <c r="AG54" s="1147"/>
      <c r="AH54" s="1147"/>
      <c r="AI54" s="1147"/>
      <c r="AJ54" s="1147"/>
      <c r="AK54" s="1147"/>
      <c r="AL54" s="1147"/>
      <c r="AM54" s="1147"/>
      <c r="AN54" s="1147"/>
      <c r="AO54" s="1147"/>
      <c r="AP54" s="1147"/>
      <c r="AQ54" s="1147"/>
      <c r="AR54" s="1147"/>
      <c r="AS54" s="1147"/>
      <c r="AT54" s="1147"/>
      <c r="AU54" s="1147"/>
      <c r="AV54" s="1147"/>
      <c r="AW54" s="1147"/>
      <c r="AX54" s="1147"/>
      <c r="AY54" s="1147"/>
      <c r="AZ54" s="1147"/>
      <c r="BA54" s="1147"/>
      <c r="BB54" s="1147"/>
      <c r="BC54" s="1147"/>
      <c r="BD54" s="1147"/>
      <c r="BE54" s="1147"/>
      <c r="BF54" s="1147"/>
      <c r="BG54" s="1147"/>
      <c r="BH54" s="1147"/>
      <c r="BI54" s="1147"/>
      <c r="BJ54" s="1147"/>
      <c r="BK54" s="1147"/>
      <c r="BL54" s="1147"/>
      <c r="BM54" s="1147"/>
      <c r="BN54" s="1147"/>
      <c r="BO54" s="1147"/>
      <c r="BP54" s="1147"/>
      <c r="BQ54" s="1147"/>
      <c r="BR54" s="1147"/>
      <c r="BS54" s="1147"/>
      <c r="BT54" s="1147"/>
      <c r="BU54" s="1147"/>
      <c r="BV54" s="1147"/>
      <c r="BW54" s="1147"/>
      <c r="BX54" s="1147"/>
      <c r="BY54" s="1147"/>
      <c r="BZ54" s="1147"/>
      <c r="CA54" s="1147"/>
      <c r="CB54" s="1147"/>
      <c r="CC54" s="1147"/>
      <c r="CD54" s="1147"/>
      <c r="CE54" s="1147"/>
      <c r="CF54" s="1147"/>
      <c r="CG54" s="1147"/>
      <c r="CH54" s="1147"/>
      <c r="CI54" s="1147"/>
      <c r="CJ54" s="1147"/>
      <c r="CK54" s="1146"/>
    </row>
    <row r="55" spans="1:89" ht="15" x14ac:dyDescent="0.25">
      <c r="A55" s="1146"/>
      <c r="B55" s="1146"/>
      <c r="C55" s="1146"/>
      <c r="D55" s="1146"/>
      <c r="E55" s="1146"/>
      <c r="F55" s="1146"/>
      <c r="G55" s="1146"/>
      <c r="H55" s="1146"/>
      <c r="I55" s="1146"/>
      <c r="J55" s="1146"/>
      <c r="K55" s="1146"/>
      <c r="L55" s="1146"/>
      <c r="M55" s="1146"/>
      <c r="N55" s="1146"/>
      <c r="O55" s="1146"/>
      <c r="P55" s="1146"/>
      <c r="Q55" s="1146"/>
      <c r="R55" s="1146"/>
      <c r="S55" s="1146"/>
      <c r="T55" s="1147"/>
      <c r="U55" s="1147" t="s">
        <v>377</v>
      </c>
      <c r="V55" s="1221">
        <v>0.03</v>
      </c>
      <c r="W55" s="1221">
        <v>0.2</v>
      </c>
      <c r="X55" s="1221">
        <v>0.15</v>
      </c>
      <c r="Y55" s="1221">
        <v>0.2</v>
      </c>
      <c r="Z55" s="1221">
        <v>0.2</v>
      </c>
      <c r="AA55" s="1221">
        <v>0.15</v>
      </c>
      <c r="AB55" s="1221">
        <v>0.02</v>
      </c>
      <c r="AC55" s="1221">
        <v>0.02</v>
      </c>
      <c r="AD55" s="1147"/>
      <c r="AE55" s="1147"/>
      <c r="AF55" s="1147"/>
      <c r="AG55" s="1147"/>
      <c r="AH55" s="1147"/>
      <c r="AI55" s="1147"/>
      <c r="AJ55" s="1147"/>
      <c r="AK55" s="1147"/>
      <c r="AL55" s="1147"/>
      <c r="AM55" s="1147"/>
      <c r="AN55" s="1147"/>
      <c r="AO55" s="1147"/>
      <c r="AP55" s="1147"/>
      <c r="AQ55" s="1147"/>
      <c r="AR55" s="1147"/>
      <c r="AS55" s="1147"/>
      <c r="AT55" s="1147"/>
      <c r="AU55" s="1147"/>
      <c r="AV55" s="1147"/>
      <c r="AW55" s="1147"/>
      <c r="AX55" s="1147"/>
      <c r="AY55" s="1147"/>
      <c r="AZ55" s="1147"/>
      <c r="BA55" s="1147"/>
      <c r="BB55" s="1147"/>
      <c r="BC55" s="1147"/>
      <c r="BD55" s="1147"/>
      <c r="BE55" s="1147"/>
      <c r="BF55" s="1147"/>
      <c r="BG55" s="1147"/>
      <c r="BH55" s="1147"/>
      <c r="BI55" s="1147"/>
      <c r="BJ55" s="1147"/>
      <c r="BK55" s="1147"/>
      <c r="BL55" s="1147"/>
      <c r="BM55" s="1147"/>
      <c r="BN55" s="1147"/>
      <c r="BO55" s="1147"/>
      <c r="BP55" s="1147"/>
      <c r="BQ55" s="1147"/>
      <c r="BR55" s="1147"/>
      <c r="BS55" s="1147"/>
      <c r="BT55" s="1147"/>
      <c r="BU55" s="1147"/>
      <c r="BV55" s="1147"/>
      <c r="BW55" s="1147"/>
      <c r="BX55" s="1147"/>
      <c r="BY55" s="1147"/>
      <c r="BZ55" s="1147"/>
      <c r="CA55" s="1147"/>
      <c r="CB55" s="1147"/>
      <c r="CC55" s="1147"/>
      <c r="CD55" s="1147"/>
      <c r="CE55" s="1147"/>
      <c r="CF55" s="1147"/>
      <c r="CG55" s="1147"/>
      <c r="CH55" s="1147"/>
      <c r="CI55" s="1147"/>
      <c r="CJ55" s="1147"/>
      <c r="CK55" s="1146"/>
    </row>
    <row r="56" spans="1:89" ht="15" x14ac:dyDescent="0.25">
      <c r="A56" s="1146"/>
      <c r="B56" s="1146"/>
      <c r="C56" s="1146"/>
      <c r="D56" s="1146"/>
      <c r="E56" s="1146"/>
      <c r="F56" s="1146"/>
      <c r="G56" s="1146"/>
      <c r="H56" s="1146"/>
      <c r="I56" s="1146"/>
      <c r="J56" s="1146"/>
      <c r="K56" s="1146"/>
      <c r="L56" s="1146"/>
      <c r="M56" s="1146"/>
      <c r="N56" s="1146"/>
      <c r="O56" s="1146"/>
      <c r="P56" s="1146"/>
      <c r="Q56" s="1146"/>
      <c r="R56" s="1146"/>
      <c r="S56" s="1146"/>
      <c r="T56" s="1147"/>
      <c r="U56" s="1147" t="s">
        <v>374</v>
      </c>
      <c r="V56" s="1221">
        <v>0.04</v>
      </c>
      <c r="W56" s="1221">
        <v>0.02</v>
      </c>
      <c r="X56" s="1221">
        <v>0</v>
      </c>
      <c r="Y56" s="1221">
        <v>0.02</v>
      </c>
      <c r="Z56" s="1221">
        <v>0.02</v>
      </c>
      <c r="AA56" s="1221">
        <v>0</v>
      </c>
      <c r="AB56" s="1221">
        <v>0.04</v>
      </c>
      <c r="AC56" s="1221">
        <v>0.04</v>
      </c>
      <c r="AD56" s="1147"/>
      <c r="AE56" s="1147"/>
      <c r="AF56" s="1147"/>
      <c r="AG56" s="1147"/>
      <c r="AH56" s="1147"/>
      <c r="AI56" s="1147"/>
      <c r="AJ56" s="1147"/>
      <c r="AK56" s="1147"/>
      <c r="AL56" s="1147"/>
      <c r="AM56" s="1147"/>
      <c r="AN56" s="1147"/>
      <c r="AO56" s="1147"/>
      <c r="AP56" s="1147"/>
      <c r="AQ56" s="1147"/>
      <c r="AR56" s="1147"/>
      <c r="AS56" s="1147"/>
      <c r="AT56" s="1147"/>
      <c r="AU56" s="1147"/>
      <c r="AV56" s="1147"/>
      <c r="AW56" s="1147"/>
      <c r="AX56" s="1147"/>
      <c r="AY56" s="1147"/>
      <c r="AZ56" s="1147"/>
      <c r="BA56" s="1147"/>
      <c r="BB56" s="1147"/>
      <c r="BC56" s="1147"/>
      <c r="BD56" s="1147"/>
      <c r="BE56" s="1147"/>
      <c r="BF56" s="1147"/>
      <c r="BG56" s="1147"/>
      <c r="BH56" s="1147"/>
      <c r="BI56" s="1147"/>
      <c r="BJ56" s="1147"/>
      <c r="BK56" s="1147"/>
      <c r="BL56" s="1147"/>
      <c r="BM56" s="1147"/>
      <c r="BN56" s="1147"/>
      <c r="BO56" s="1147"/>
      <c r="BP56" s="1147"/>
      <c r="BQ56" s="1147"/>
      <c r="BR56" s="1147"/>
      <c r="BS56" s="1147"/>
      <c r="BT56" s="1147"/>
      <c r="BU56" s="1147"/>
      <c r="BV56" s="1147"/>
      <c r="BW56" s="1147"/>
      <c r="BX56" s="1147"/>
      <c r="BY56" s="1147"/>
      <c r="BZ56" s="1147"/>
      <c r="CA56" s="1147"/>
      <c r="CB56" s="1147"/>
      <c r="CC56" s="1147"/>
      <c r="CD56" s="1147"/>
      <c r="CE56" s="1147"/>
      <c r="CF56" s="1147"/>
      <c r="CG56" s="1147"/>
      <c r="CH56" s="1147"/>
      <c r="CI56" s="1147"/>
      <c r="CJ56" s="1147"/>
      <c r="CK56" s="1146"/>
    </row>
    <row r="57" spans="1:89" ht="15" x14ac:dyDescent="0.25">
      <c r="A57" s="1146"/>
      <c r="B57" s="1146"/>
      <c r="C57" s="1146"/>
      <c r="D57" s="1146"/>
      <c r="E57" s="1146"/>
      <c r="F57" s="1146"/>
      <c r="G57" s="1146"/>
      <c r="H57" s="1146"/>
      <c r="I57" s="1146"/>
      <c r="J57" s="1146"/>
      <c r="K57" s="1146"/>
      <c r="L57" s="1146"/>
      <c r="M57" s="1146"/>
      <c r="N57" s="1146"/>
      <c r="O57" s="1146"/>
      <c r="P57" s="1146"/>
      <c r="Q57" s="1146"/>
      <c r="R57" s="1146"/>
      <c r="S57" s="1146"/>
      <c r="T57" s="1147"/>
      <c r="U57" s="1147" t="s">
        <v>376</v>
      </c>
      <c r="V57" s="1221">
        <v>0</v>
      </c>
      <c r="W57" s="1221">
        <v>0.65</v>
      </c>
      <c r="X57" s="1221">
        <v>0.78</v>
      </c>
      <c r="Y57" s="1221">
        <v>0.65</v>
      </c>
      <c r="Z57" s="1221">
        <v>0.65</v>
      </c>
      <c r="AA57" s="1221">
        <v>0.78</v>
      </c>
      <c r="AB57" s="1221">
        <v>0.04</v>
      </c>
      <c r="AC57" s="1221">
        <v>0.04</v>
      </c>
      <c r="AD57" s="1147"/>
      <c r="AE57" s="1147"/>
      <c r="AF57" s="1147"/>
      <c r="AG57" s="1147"/>
      <c r="AH57" s="1147"/>
      <c r="AI57" s="1147"/>
      <c r="AJ57" s="1147"/>
      <c r="AK57" s="1147"/>
      <c r="AL57" s="1147"/>
      <c r="AM57" s="1147"/>
      <c r="AN57" s="1147"/>
      <c r="AO57" s="1147"/>
      <c r="AP57" s="1147"/>
      <c r="AQ57" s="1147"/>
      <c r="AR57" s="1147"/>
      <c r="AS57" s="1147"/>
      <c r="AT57" s="1147"/>
      <c r="AU57" s="1147"/>
      <c r="AV57" s="1147"/>
      <c r="AW57" s="1147"/>
      <c r="AX57" s="1147"/>
      <c r="AY57" s="1147"/>
      <c r="AZ57" s="1147"/>
      <c r="BA57" s="1147"/>
      <c r="BB57" s="1147"/>
      <c r="BC57" s="1147"/>
      <c r="BD57" s="1147"/>
      <c r="BE57" s="1147"/>
      <c r="BF57" s="1147"/>
      <c r="BG57" s="1147"/>
      <c r="BH57" s="1147"/>
      <c r="BI57" s="1147"/>
      <c r="BJ57" s="1147"/>
      <c r="BK57" s="1147"/>
      <c r="BL57" s="1147"/>
      <c r="BM57" s="1147"/>
      <c r="BN57" s="1147"/>
      <c r="BO57" s="1147"/>
      <c r="BP57" s="1147"/>
      <c r="BQ57" s="1147"/>
      <c r="BR57" s="1147"/>
      <c r="BS57" s="1147"/>
      <c r="BT57" s="1147"/>
      <c r="BU57" s="1147"/>
      <c r="BV57" s="1147"/>
      <c r="BW57" s="1147"/>
      <c r="BX57" s="1147"/>
      <c r="BY57" s="1147"/>
      <c r="BZ57" s="1147"/>
      <c r="CA57" s="1147"/>
      <c r="CB57" s="1147"/>
      <c r="CC57" s="1147"/>
      <c r="CD57" s="1147"/>
      <c r="CE57" s="1147"/>
      <c r="CF57" s="1147"/>
      <c r="CG57" s="1147"/>
      <c r="CH57" s="1147"/>
      <c r="CI57" s="1147"/>
      <c r="CJ57" s="1147"/>
      <c r="CK57" s="1146"/>
    </row>
    <row r="58" spans="1:89" ht="15.75" thickBot="1" x14ac:dyDescent="0.3">
      <c r="A58" s="1146"/>
      <c r="B58" s="1146"/>
      <c r="C58" s="1146"/>
      <c r="D58" s="1146"/>
      <c r="E58" s="1146"/>
      <c r="F58" s="1146"/>
      <c r="G58" s="1146"/>
      <c r="H58" s="1146"/>
      <c r="I58" s="1146"/>
      <c r="J58" s="1146"/>
      <c r="K58" s="1146"/>
      <c r="L58" s="1146"/>
      <c r="M58" s="1146"/>
      <c r="N58" s="1146"/>
      <c r="O58" s="1146"/>
      <c r="P58" s="1146"/>
      <c r="Q58" s="1146"/>
      <c r="R58" s="1146"/>
      <c r="S58" s="1146"/>
      <c r="T58" s="1222"/>
      <c r="U58" s="1222" t="s">
        <v>378</v>
      </c>
      <c r="V58" s="1228">
        <v>0</v>
      </c>
      <c r="W58" s="1228">
        <v>0</v>
      </c>
      <c r="X58" s="1228">
        <v>0</v>
      </c>
      <c r="Y58" s="1228">
        <v>0</v>
      </c>
      <c r="Z58" s="1228">
        <v>0</v>
      </c>
      <c r="AA58" s="1228">
        <v>0</v>
      </c>
      <c r="AB58" s="1228">
        <v>0</v>
      </c>
      <c r="AC58" s="1228">
        <v>0</v>
      </c>
      <c r="AD58" s="1222"/>
      <c r="AE58" s="1222"/>
      <c r="AF58" s="1222"/>
      <c r="AG58" s="1222"/>
      <c r="AH58" s="1222"/>
      <c r="AI58" s="1222"/>
      <c r="AJ58" s="1222"/>
      <c r="AK58" s="1222"/>
      <c r="AL58" s="1222"/>
      <c r="AM58" s="1222"/>
      <c r="AN58" s="1222"/>
      <c r="AO58" s="1222"/>
      <c r="AP58" s="1222"/>
      <c r="AQ58" s="1222"/>
      <c r="AR58" s="1222"/>
      <c r="AS58" s="1222"/>
      <c r="AT58" s="1222"/>
      <c r="AU58" s="1222"/>
      <c r="AV58" s="1222"/>
      <c r="AW58" s="1147"/>
      <c r="AX58" s="1147"/>
      <c r="AY58" s="1147"/>
      <c r="AZ58" s="1147"/>
      <c r="BA58" s="1147"/>
      <c r="BB58" s="1147"/>
      <c r="BC58" s="1147"/>
      <c r="BD58" s="1147"/>
      <c r="BE58" s="1147"/>
      <c r="BF58" s="1147"/>
      <c r="BG58" s="1147"/>
      <c r="BH58" s="1147"/>
      <c r="BI58" s="1147"/>
      <c r="BJ58" s="1147"/>
      <c r="BK58" s="1147"/>
      <c r="BL58" s="1147"/>
      <c r="BM58" s="1147"/>
      <c r="BN58" s="1147"/>
      <c r="BO58" s="1147"/>
      <c r="BP58" s="1147"/>
      <c r="BQ58" s="1147"/>
      <c r="BR58" s="1147"/>
      <c r="BS58" s="1147"/>
      <c r="BT58" s="1147"/>
      <c r="BU58" s="1147"/>
      <c r="BV58" s="1147"/>
      <c r="BW58" s="1147"/>
      <c r="BX58" s="1147"/>
      <c r="BY58" s="1147"/>
      <c r="BZ58" s="1147"/>
      <c r="CA58" s="1147"/>
      <c r="CB58" s="1147"/>
      <c r="CC58" s="1147"/>
      <c r="CD58" s="1147"/>
      <c r="CE58" s="1147"/>
      <c r="CF58" s="1147"/>
      <c r="CG58" s="1147"/>
      <c r="CH58" s="1147"/>
      <c r="CI58" s="1147"/>
      <c r="CJ58" s="1147"/>
      <c r="CK58" s="1146"/>
    </row>
    <row r="59" spans="1:89" ht="15.75" thickBot="1" x14ac:dyDescent="0.3">
      <c r="A59" s="1146"/>
      <c r="B59" s="1146"/>
      <c r="C59" s="1146"/>
      <c r="D59" s="1146"/>
      <c r="E59" s="1146"/>
      <c r="F59" s="1146"/>
      <c r="G59" s="1146"/>
      <c r="H59" s="1146"/>
      <c r="I59" s="1146"/>
      <c r="J59" s="1146"/>
      <c r="K59" s="1146"/>
      <c r="L59" s="1146"/>
      <c r="M59" s="1146"/>
      <c r="N59" s="1146"/>
      <c r="O59" s="1146"/>
      <c r="P59" s="1146"/>
      <c r="Q59" s="1146"/>
      <c r="R59" s="1146"/>
      <c r="S59" s="1146"/>
      <c r="T59" s="1147"/>
      <c r="U59" s="1147"/>
      <c r="V59" s="1147"/>
      <c r="W59" s="1147"/>
      <c r="X59" s="1147"/>
      <c r="Y59" s="1147"/>
      <c r="Z59" s="1147"/>
      <c r="AA59" s="1147"/>
      <c r="AB59" s="1147"/>
      <c r="AC59" s="1147"/>
      <c r="AD59" s="1147"/>
      <c r="AE59" s="1147"/>
      <c r="AF59" s="1147"/>
      <c r="AG59" s="1147"/>
      <c r="AH59" s="1147"/>
      <c r="AI59" s="1147"/>
      <c r="AJ59" s="1147"/>
      <c r="AK59" s="1147"/>
      <c r="AL59" s="1147"/>
      <c r="AM59" s="1147"/>
      <c r="AN59" s="1147"/>
      <c r="AO59" s="1147"/>
      <c r="AP59" s="1147"/>
      <c r="AQ59" s="1147"/>
      <c r="AR59" s="1147"/>
      <c r="AS59" s="1147"/>
      <c r="AT59" s="1147"/>
      <c r="AU59" s="1147"/>
      <c r="AV59" s="1147"/>
      <c r="AW59" s="1147"/>
      <c r="AX59" s="1147"/>
      <c r="AY59" s="1147"/>
      <c r="AZ59" s="1147"/>
      <c r="BA59" s="1147"/>
      <c r="BB59" s="1147"/>
      <c r="BC59" s="1147"/>
      <c r="BD59" s="1147"/>
      <c r="BE59" s="1147"/>
      <c r="BF59" s="1147"/>
      <c r="BG59" s="1147"/>
      <c r="BH59" s="1147"/>
      <c r="BI59" s="1147"/>
      <c r="BJ59" s="1147"/>
      <c r="BK59" s="1147"/>
      <c r="BL59" s="1147"/>
      <c r="BM59" s="1147"/>
      <c r="BN59" s="1147"/>
      <c r="BO59" s="1147"/>
      <c r="BP59" s="1147"/>
      <c r="BQ59" s="1147"/>
      <c r="BR59" s="1147"/>
      <c r="BS59" s="1147"/>
      <c r="BT59" s="1147"/>
      <c r="BU59" s="1147"/>
      <c r="BV59" s="1147"/>
      <c r="BW59" s="1147"/>
      <c r="BX59" s="1147"/>
      <c r="BY59" s="1147"/>
      <c r="BZ59" s="1147"/>
      <c r="CA59" s="1147"/>
      <c r="CB59" s="1147"/>
      <c r="CC59" s="1147"/>
      <c r="CD59" s="1147"/>
      <c r="CE59" s="1147"/>
      <c r="CF59" s="1147"/>
      <c r="CG59" s="1147"/>
      <c r="CH59" s="1147"/>
      <c r="CI59" s="1147"/>
      <c r="CJ59" s="1147"/>
      <c r="CK59" s="1146"/>
    </row>
    <row r="60" spans="1:89" ht="15" x14ac:dyDescent="0.25">
      <c r="A60" s="1146"/>
      <c r="B60" s="1146"/>
      <c r="C60" s="1146"/>
      <c r="D60" s="1146"/>
      <c r="E60" s="1146"/>
      <c r="F60" s="1146"/>
      <c r="G60" s="1146"/>
      <c r="H60" s="1146"/>
      <c r="I60" s="1146"/>
      <c r="J60" s="1146"/>
      <c r="K60" s="1146"/>
      <c r="L60" s="1146"/>
      <c r="M60" s="1146"/>
      <c r="N60" s="1146"/>
      <c r="O60" s="1146"/>
      <c r="P60" s="1146"/>
      <c r="Q60" s="1146"/>
      <c r="R60" s="1146"/>
      <c r="S60" s="1146"/>
      <c r="T60" s="1205" t="s">
        <v>689</v>
      </c>
      <c r="U60" s="1223" t="s">
        <v>368</v>
      </c>
      <c r="V60" s="1223"/>
      <c r="W60" s="1224">
        <f>W17+W$6*$V39+W$7*$W39+W$8*$X39+W$9*$Y39+W$10*$Z39+W$11*$AA39+W$12*$AB39+W$13*$AC39</f>
        <v>16000</v>
      </c>
      <c r="X60" s="1224">
        <f>X17+X$6*$V39+X$7*$W39+X$8*$X39+X$9*$Y39+X$10*$Z39+X$11*$AA39+X$12*$AB39+X$13*$AC39</f>
        <v>16736.099999999999</v>
      </c>
      <c r="Y60" s="1224">
        <f t="shared" ref="Y60:AH60" si="32">Y17+Y$6*$V39+Y$7*$W39+Y$8*$X39+Y$9*$Y39+Y$10*$Z39+Y$11*$AA39+Y$12*$AB39+Y$13*$AC39</f>
        <v>17769.750000000004</v>
      </c>
      <c r="Z60" s="1224">
        <f t="shared" si="32"/>
        <v>19286.100000000002</v>
      </c>
      <c r="AA60" s="1224">
        <f t="shared" si="32"/>
        <v>20803</v>
      </c>
      <c r="AB60" s="1224">
        <f t="shared" si="32"/>
        <v>22319.949999999997</v>
      </c>
      <c r="AC60" s="1224">
        <f t="shared" si="32"/>
        <v>23836.299999999996</v>
      </c>
      <c r="AD60" s="1224">
        <f t="shared" si="32"/>
        <v>25353.799999999996</v>
      </c>
      <c r="AE60" s="1224">
        <f t="shared" si="32"/>
        <v>26853.399999999998</v>
      </c>
      <c r="AF60" s="1224">
        <f t="shared" si="32"/>
        <v>28353.3</v>
      </c>
      <c r="AG60" s="1224">
        <f t="shared" si="32"/>
        <v>29852.9</v>
      </c>
      <c r="AH60" s="1224">
        <f t="shared" si="32"/>
        <v>31352.500000000004</v>
      </c>
      <c r="AI60" s="1224">
        <f t="shared" ref="AI60:AV60" si="33">AI17+AI$6*$V39+AI$7*$W39+AI$8*$X39+AI$9*$Y39+AI$10*$Z39+AI$11*$AA39+AI$12*$AB39+AI$13*$AC39</f>
        <v>32853.300000000003</v>
      </c>
      <c r="AJ60" s="1224">
        <f t="shared" si="33"/>
        <v>33869.599999999999</v>
      </c>
      <c r="AK60" s="1224">
        <f t="shared" si="33"/>
        <v>34605.699999999997</v>
      </c>
      <c r="AL60" s="1224">
        <f t="shared" si="33"/>
        <v>35341.799999999996</v>
      </c>
      <c r="AM60" s="1224">
        <f t="shared" si="33"/>
        <v>36077.9</v>
      </c>
      <c r="AN60" s="1224">
        <f t="shared" si="33"/>
        <v>36814.300000000003</v>
      </c>
      <c r="AO60" s="1224">
        <f t="shared" si="33"/>
        <v>37550.400000000001</v>
      </c>
      <c r="AP60" s="1224">
        <f t="shared" si="33"/>
        <v>38286.799999999996</v>
      </c>
      <c r="AQ60" s="1224">
        <f t="shared" si="33"/>
        <v>39022.9</v>
      </c>
      <c r="AR60" s="1224">
        <f t="shared" si="33"/>
        <v>39759</v>
      </c>
      <c r="AS60" s="1224">
        <f t="shared" si="33"/>
        <v>40495.399999999994</v>
      </c>
      <c r="AT60" s="1224">
        <f t="shared" si="33"/>
        <v>41231.5</v>
      </c>
      <c r="AU60" s="1224">
        <f t="shared" si="33"/>
        <v>41967.6</v>
      </c>
      <c r="AV60" s="1224">
        <f t="shared" si="33"/>
        <v>42703.999999999993</v>
      </c>
      <c r="AW60" s="1147"/>
      <c r="AX60" s="1147"/>
      <c r="AY60" s="1147"/>
      <c r="AZ60" s="1147"/>
      <c r="BA60" s="1147"/>
      <c r="BB60" s="1147"/>
      <c r="BC60" s="1147"/>
      <c r="BD60" s="1147"/>
      <c r="BE60" s="1147"/>
      <c r="BF60" s="1147"/>
      <c r="BG60" s="1147"/>
      <c r="BH60" s="1147"/>
      <c r="BI60" s="1147"/>
      <c r="BJ60" s="1147"/>
      <c r="BK60" s="1147"/>
      <c r="BL60" s="1147"/>
      <c r="BM60" s="1147"/>
      <c r="BN60" s="1147"/>
      <c r="BO60" s="1147"/>
      <c r="BP60" s="1147"/>
      <c r="BQ60" s="1147"/>
      <c r="BR60" s="1147"/>
      <c r="BS60" s="1147"/>
      <c r="BT60" s="1147"/>
      <c r="BU60" s="1147"/>
      <c r="BV60" s="1147"/>
      <c r="BW60" s="1147"/>
      <c r="BX60" s="1147"/>
      <c r="BY60" s="1147"/>
      <c r="BZ60" s="1147"/>
      <c r="CA60" s="1147"/>
      <c r="CB60" s="1147"/>
      <c r="CC60" s="1147"/>
      <c r="CD60" s="1147"/>
      <c r="CE60" s="1147"/>
      <c r="CF60" s="1147"/>
      <c r="CG60" s="1147"/>
      <c r="CH60" s="1147"/>
      <c r="CI60" s="1147"/>
      <c r="CJ60" s="1147"/>
      <c r="CK60" s="1146"/>
    </row>
    <row r="61" spans="1:89" ht="15" x14ac:dyDescent="0.25">
      <c r="A61" s="1146"/>
      <c r="B61" s="1146"/>
      <c r="C61" s="1146"/>
      <c r="D61" s="1146"/>
      <c r="E61" s="1146"/>
      <c r="F61" s="1146"/>
      <c r="G61" s="1146"/>
      <c r="H61" s="1146"/>
      <c r="I61" s="1146"/>
      <c r="J61" s="1146"/>
      <c r="K61" s="1146"/>
      <c r="L61" s="1146"/>
      <c r="M61" s="1146"/>
      <c r="N61" s="1146"/>
      <c r="O61" s="1146"/>
      <c r="P61" s="1146"/>
      <c r="Q61" s="1146"/>
      <c r="R61" s="1146"/>
      <c r="S61" s="1146"/>
      <c r="T61" s="1147" t="s">
        <v>692</v>
      </c>
      <c r="U61" s="1147" t="s">
        <v>369</v>
      </c>
      <c r="V61" s="1147"/>
      <c r="W61" s="1208">
        <f>W18+W$6*$V40+W$7*$W40+W$8*$X40+W$9*$Y40+W$10*$Z40+W$11*$AA40+W$12*$AB40+W$13*$AC40</f>
        <v>13500</v>
      </c>
      <c r="X61" s="1208">
        <f>X18+X$6*$V40+X$7*$W40+X$8*$X40+X$9*$Y40+X$10*$Z40+X$11*$AA40+X$12*$AB40+X$13*$AC40</f>
        <v>14247.849999999999</v>
      </c>
      <c r="Y61" s="1208">
        <f t="shared" ref="Y61:AH61" si="34">Y18+Y$6*$V40+Y$7*$W40+Y$8*$X40+Y$9*$Y40+Y$10*$Z40+Y$11*$AA40+Y$12*$AB40+Y$13*$AC40</f>
        <v>15115.1</v>
      </c>
      <c r="Z61" s="1208">
        <f t="shared" si="34"/>
        <v>16733.349999999999</v>
      </c>
      <c r="AA61" s="1208">
        <f t="shared" si="34"/>
        <v>18352.200000000004</v>
      </c>
      <c r="AB61" s="1208">
        <f t="shared" si="34"/>
        <v>19971.350000000002</v>
      </c>
      <c r="AC61" s="1208">
        <f t="shared" si="34"/>
        <v>21589.600000000002</v>
      </c>
      <c r="AD61" s="1208">
        <f t="shared" si="34"/>
        <v>23209.4</v>
      </c>
      <c r="AE61" s="1208">
        <f t="shared" si="34"/>
        <v>25129.5</v>
      </c>
      <c r="AF61" s="1208">
        <f t="shared" si="34"/>
        <v>27050.15</v>
      </c>
      <c r="AG61" s="1208">
        <f t="shared" si="34"/>
        <v>28970.25</v>
      </c>
      <c r="AH61" s="1208">
        <f t="shared" si="34"/>
        <v>30890.349999999995</v>
      </c>
      <c r="AI61" s="1208">
        <f t="shared" ref="AI61:AV61" si="35">AI18+AI$6*$V40+AI$7*$W40+AI$8*$X40+AI$9*$Y40+AI$10*$Z40+AI$11*$AA40+AI$12*$AB40+AI$13*$AC40</f>
        <v>32812.35</v>
      </c>
      <c r="AJ61" s="1208">
        <f t="shared" si="35"/>
        <v>33980.5</v>
      </c>
      <c r="AK61" s="1208">
        <f t="shared" si="35"/>
        <v>34728.35</v>
      </c>
      <c r="AL61" s="1208">
        <f t="shared" si="35"/>
        <v>35476.199999999997</v>
      </c>
      <c r="AM61" s="1208">
        <f t="shared" si="35"/>
        <v>36224.049999999996</v>
      </c>
      <c r="AN61" s="1208">
        <f t="shared" si="35"/>
        <v>36972.400000000001</v>
      </c>
      <c r="AO61" s="1208">
        <f t="shared" si="35"/>
        <v>37720.25</v>
      </c>
      <c r="AP61" s="1208">
        <f t="shared" si="35"/>
        <v>38468.599999999991</v>
      </c>
      <c r="AQ61" s="1208">
        <f t="shared" si="35"/>
        <v>39216.449999999997</v>
      </c>
      <c r="AR61" s="1208">
        <f t="shared" si="35"/>
        <v>39964.299999999996</v>
      </c>
      <c r="AS61" s="1208">
        <f t="shared" si="35"/>
        <v>40712.65</v>
      </c>
      <c r="AT61" s="1208">
        <f t="shared" si="35"/>
        <v>41460.5</v>
      </c>
      <c r="AU61" s="1208">
        <f t="shared" si="35"/>
        <v>42208.35</v>
      </c>
      <c r="AV61" s="1208">
        <f t="shared" si="35"/>
        <v>42956.700000000004</v>
      </c>
      <c r="AW61" s="1147"/>
      <c r="AX61" s="1147"/>
      <c r="AY61" s="1147"/>
      <c r="AZ61" s="1147"/>
      <c r="BA61" s="1147"/>
      <c r="BB61" s="1147"/>
      <c r="BC61" s="1147"/>
      <c r="BD61" s="1147"/>
      <c r="BE61" s="1147"/>
      <c r="BF61" s="1147"/>
      <c r="BG61" s="1147"/>
      <c r="BH61" s="1147"/>
      <c r="BI61" s="1147"/>
      <c r="BJ61" s="1147"/>
      <c r="BK61" s="1147"/>
      <c r="BL61" s="1147"/>
      <c r="BM61" s="1147"/>
      <c r="BN61" s="1147"/>
      <c r="BO61" s="1147"/>
      <c r="BP61" s="1147"/>
      <c r="BQ61" s="1147"/>
      <c r="BR61" s="1147"/>
      <c r="BS61" s="1147"/>
      <c r="BT61" s="1147"/>
      <c r="BU61" s="1147"/>
      <c r="BV61" s="1147"/>
      <c r="BW61" s="1147"/>
      <c r="BX61" s="1147"/>
      <c r="BY61" s="1147"/>
      <c r="BZ61" s="1147"/>
      <c r="CA61" s="1147"/>
      <c r="CB61" s="1147"/>
      <c r="CC61" s="1147"/>
      <c r="CD61" s="1147"/>
      <c r="CE61" s="1147"/>
      <c r="CF61" s="1147"/>
      <c r="CG61" s="1147"/>
      <c r="CH61" s="1147"/>
      <c r="CI61" s="1147"/>
      <c r="CJ61" s="1147"/>
      <c r="CK61" s="1146"/>
    </row>
    <row r="62" spans="1:89" ht="15" x14ac:dyDescent="0.25">
      <c r="A62" s="1146"/>
      <c r="B62" s="1146"/>
      <c r="C62" s="1146"/>
      <c r="D62" s="1146"/>
      <c r="E62" s="1146"/>
      <c r="F62" s="1146"/>
      <c r="G62" s="1146"/>
      <c r="H62" s="1146"/>
      <c r="I62" s="1146"/>
      <c r="J62" s="1146"/>
      <c r="K62" s="1146"/>
      <c r="L62" s="1146"/>
      <c r="M62" s="1146"/>
      <c r="N62" s="1146"/>
      <c r="O62" s="1146"/>
      <c r="P62" s="1146"/>
      <c r="Q62" s="1146"/>
      <c r="R62" s="1146"/>
      <c r="S62" s="1146"/>
      <c r="T62" s="1147"/>
      <c r="U62" s="1147" t="s">
        <v>370</v>
      </c>
      <c r="V62" s="1147"/>
      <c r="W62" s="1208">
        <f t="shared" ref="W62:X79" si="36">W19+W$6*$V41+W$7*$W41+W$8*$X41+W$9*$Y41+W$10*$Z41+W$11*$AA41+W$12*$AB41+W$13*$AC41</f>
        <v>12000</v>
      </c>
      <c r="X62" s="1208">
        <f t="shared" si="36"/>
        <v>12501.099999999999</v>
      </c>
      <c r="Y62" s="1208">
        <f t="shared" ref="Y62:AH62" si="37">Y19+Y$6*$V41+Y$7*$W41+Y$8*$X41+Y$9*$Y41+Y$10*$Z41+Y$11*$AA41+Y$12*$AB41+Y$13*$AC41</f>
        <v>13121.299999999997</v>
      </c>
      <c r="Z62" s="1208">
        <f t="shared" si="37"/>
        <v>13956.3</v>
      </c>
      <c r="AA62" s="1208">
        <f t="shared" si="37"/>
        <v>14791.600000000002</v>
      </c>
      <c r="AB62" s="1208">
        <f t="shared" si="37"/>
        <v>15626.800000000003</v>
      </c>
      <c r="AC62" s="1208">
        <f t="shared" si="37"/>
        <v>16461.800000000003</v>
      </c>
      <c r="AD62" s="1208">
        <f t="shared" si="37"/>
        <v>17297.400000000005</v>
      </c>
      <c r="AE62" s="1208">
        <f t="shared" si="37"/>
        <v>18107</v>
      </c>
      <c r="AF62" s="1208">
        <f t="shared" si="37"/>
        <v>18916.899999999994</v>
      </c>
      <c r="AG62" s="1208">
        <f t="shared" si="37"/>
        <v>19726.5</v>
      </c>
      <c r="AH62" s="1208">
        <f t="shared" si="37"/>
        <v>20536.099999999999</v>
      </c>
      <c r="AI62" s="1208">
        <f t="shared" ref="AI62:AV62" si="38">AI19+AI$6*$V41+AI$7*$W41+AI$8*$X41+AI$9*$Y41+AI$10*$Z41+AI$11*$AA41+AI$12*$AB41+AI$13*$AC41</f>
        <v>21346.300000000003</v>
      </c>
      <c r="AJ62" s="1208">
        <f t="shared" si="38"/>
        <v>21940.799999999999</v>
      </c>
      <c r="AK62" s="1208">
        <f t="shared" si="38"/>
        <v>22441.9</v>
      </c>
      <c r="AL62" s="1208">
        <f t="shared" si="38"/>
        <v>22942.999999999996</v>
      </c>
      <c r="AM62" s="1208">
        <f t="shared" si="38"/>
        <v>23444.1</v>
      </c>
      <c r="AN62" s="1208">
        <f t="shared" si="38"/>
        <v>23945.4</v>
      </c>
      <c r="AO62" s="1208">
        <f t="shared" si="38"/>
        <v>24446.5</v>
      </c>
      <c r="AP62" s="1208">
        <f t="shared" si="38"/>
        <v>24947.8</v>
      </c>
      <c r="AQ62" s="1208">
        <f t="shared" si="38"/>
        <v>25448.900000000005</v>
      </c>
      <c r="AR62" s="1208">
        <f t="shared" si="38"/>
        <v>25949.999999999996</v>
      </c>
      <c r="AS62" s="1208">
        <f t="shared" si="38"/>
        <v>26451.3</v>
      </c>
      <c r="AT62" s="1208">
        <f t="shared" si="38"/>
        <v>26952.400000000001</v>
      </c>
      <c r="AU62" s="1208">
        <f t="shared" si="38"/>
        <v>27453.499999999996</v>
      </c>
      <c r="AV62" s="1208">
        <f t="shared" si="38"/>
        <v>27954.799999999999</v>
      </c>
      <c r="AW62" s="1147"/>
      <c r="AX62" s="1147"/>
      <c r="AY62" s="1147"/>
      <c r="AZ62" s="1147"/>
      <c r="BA62" s="1147"/>
      <c r="BB62" s="1147"/>
      <c r="BC62" s="1147"/>
      <c r="BD62" s="1147"/>
      <c r="BE62" s="1147"/>
      <c r="BF62" s="1147"/>
      <c r="BG62" s="1147"/>
      <c r="BH62" s="1147"/>
      <c r="BI62" s="1147"/>
      <c r="BJ62" s="1147"/>
      <c r="BK62" s="1147"/>
      <c r="BL62" s="1147"/>
      <c r="BM62" s="1147"/>
      <c r="BN62" s="1147"/>
      <c r="BO62" s="1147"/>
      <c r="BP62" s="1147"/>
      <c r="BQ62" s="1147"/>
      <c r="BR62" s="1147"/>
      <c r="BS62" s="1147"/>
      <c r="BT62" s="1147"/>
      <c r="BU62" s="1147"/>
      <c r="BV62" s="1147"/>
      <c r="BW62" s="1147"/>
      <c r="BX62" s="1147"/>
      <c r="BY62" s="1147"/>
      <c r="BZ62" s="1147"/>
      <c r="CA62" s="1147"/>
      <c r="CB62" s="1147"/>
      <c r="CC62" s="1147"/>
      <c r="CD62" s="1147"/>
      <c r="CE62" s="1147"/>
      <c r="CF62" s="1147"/>
      <c r="CG62" s="1147"/>
      <c r="CH62" s="1147"/>
      <c r="CI62" s="1147"/>
      <c r="CJ62" s="1147"/>
      <c r="CK62" s="1146"/>
    </row>
    <row r="63" spans="1:89" ht="15" x14ac:dyDescent="0.25">
      <c r="A63" s="1146"/>
      <c r="B63" s="1146"/>
      <c r="C63" s="1146"/>
      <c r="D63" s="1146"/>
      <c r="E63" s="1146"/>
      <c r="F63" s="1146"/>
      <c r="G63" s="1146"/>
      <c r="H63" s="1146"/>
      <c r="I63" s="1146"/>
      <c r="J63" s="1146"/>
      <c r="K63" s="1146"/>
      <c r="L63" s="1146"/>
      <c r="M63" s="1146"/>
      <c r="N63" s="1146"/>
      <c r="O63" s="1146"/>
      <c r="P63" s="1146"/>
      <c r="Q63" s="1146"/>
      <c r="R63" s="1146"/>
      <c r="S63" s="1146"/>
      <c r="T63" s="1147"/>
      <c r="U63" s="1147" t="s">
        <v>367</v>
      </c>
      <c r="V63" s="1147"/>
      <c r="W63" s="1208">
        <f t="shared" si="36"/>
        <v>14000</v>
      </c>
      <c r="X63" s="1208">
        <f t="shared" si="36"/>
        <v>14379.249999999998</v>
      </c>
      <c r="Y63" s="1208">
        <f t="shared" ref="Y63:AH63" si="39">Y20+Y$6*$V42+Y$7*$W42+Y$8*$X42+Y$9*$Y42+Y$10*$Z42+Y$11*$AA42+Y$12*$AB42+Y$13*$AC42</f>
        <v>14996.5</v>
      </c>
      <c r="Z63" s="1208">
        <f t="shared" si="39"/>
        <v>15882.050000000001</v>
      </c>
      <c r="AA63" s="1208">
        <f t="shared" si="39"/>
        <v>16768.000000000004</v>
      </c>
      <c r="AB63" s="1208">
        <f t="shared" si="39"/>
        <v>17653.850000000006</v>
      </c>
      <c r="AC63" s="1208">
        <f t="shared" si="39"/>
        <v>18539.400000000005</v>
      </c>
      <c r="AD63" s="1208">
        <f t="shared" si="39"/>
        <v>19425.7</v>
      </c>
      <c r="AE63" s="1208">
        <f t="shared" si="39"/>
        <v>20213.699999999997</v>
      </c>
      <c r="AF63" s="1208">
        <f t="shared" si="39"/>
        <v>21001.95</v>
      </c>
      <c r="AG63" s="1208">
        <f t="shared" si="39"/>
        <v>21789.949999999997</v>
      </c>
      <c r="AH63" s="1208">
        <f t="shared" si="39"/>
        <v>22577.95</v>
      </c>
      <c r="AI63" s="1208">
        <f t="shared" ref="AI63:AV63" si="40">AI20+AI$6*$V42+AI$7*$W42+AI$8*$X42+AI$9*$Y42+AI$10*$Z42+AI$11*$AA42+AI$12*$AB42+AI$13*$AC42</f>
        <v>23366.649999999998</v>
      </c>
      <c r="AJ63" s="1208">
        <f t="shared" si="40"/>
        <v>23886</v>
      </c>
      <c r="AK63" s="1208">
        <f t="shared" si="40"/>
        <v>24265.249999999996</v>
      </c>
      <c r="AL63" s="1208">
        <f t="shared" si="40"/>
        <v>24644.5</v>
      </c>
      <c r="AM63" s="1208">
        <f t="shared" si="40"/>
        <v>25023.749999999996</v>
      </c>
      <c r="AN63" s="1208">
        <f t="shared" si="40"/>
        <v>25403.199999999997</v>
      </c>
      <c r="AO63" s="1208">
        <f t="shared" si="40"/>
        <v>25782.45</v>
      </c>
      <c r="AP63" s="1208">
        <f t="shared" si="40"/>
        <v>26161.9</v>
      </c>
      <c r="AQ63" s="1208">
        <f t="shared" si="40"/>
        <v>26541.149999999998</v>
      </c>
      <c r="AR63" s="1208">
        <f t="shared" si="40"/>
        <v>26920.400000000001</v>
      </c>
      <c r="AS63" s="1208">
        <f t="shared" si="40"/>
        <v>27299.85</v>
      </c>
      <c r="AT63" s="1208">
        <f t="shared" si="40"/>
        <v>27679.1</v>
      </c>
      <c r="AU63" s="1208">
        <f t="shared" si="40"/>
        <v>28058.35</v>
      </c>
      <c r="AV63" s="1208">
        <f t="shared" si="40"/>
        <v>28437.799999999996</v>
      </c>
      <c r="AW63" s="1147"/>
      <c r="AX63" s="1147"/>
      <c r="AY63" s="1147"/>
      <c r="AZ63" s="1147"/>
      <c r="BA63" s="1147"/>
      <c r="BB63" s="1147"/>
      <c r="BC63" s="1147"/>
      <c r="BD63" s="1147"/>
      <c r="BE63" s="1147"/>
      <c r="BF63" s="1147"/>
      <c r="BG63" s="1147"/>
      <c r="BH63" s="1147"/>
      <c r="BI63" s="1147"/>
      <c r="BJ63" s="1147"/>
      <c r="BK63" s="1147"/>
      <c r="BL63" s="1147"/>
      <c r="BM63" s="1147"/>
      <c r="BN63" s="1147"/>
      <c r="BO63" s="1147"/>
      <c r="BP63" s="1147"/>
      <c r="BQ63" s="1147"/>
      <c r="BR63" s="1147"/>
      <c r="BS63" s="1147"/>
      <c r="BT63" s="1147"/>
      <c r="BU63" s="1147"/>
      <c r="BV63" s="1147"/>
      <c r="BW63" s="1147"/>
      <c r="BX63" s="1147"/>
      <c r="BY63" s="1147"/>
      <c r="BZ63" s="1147"/>
      <c r="CA63" s="1147"/>
      <c r="CB63" s="1147"/>
      <c r="CC63" s="1147"/>
      <c r="CD63" s="1147"/>
      <c r="CE63" s="1147"/>
      <c r="CF63" s="1147"/>
      <c r="CG63" s="1147"/>
      <c r="CH63" s="1147"/>
      <c r="CI63" s="1147"/>
      <c r="CJ63" s="1147"/>
      <c r="CK63" s="1146"/>
    </row>
    <row r="64" spans="1:89" ht="15" x14ac:dyDescent="0.25">
      <c r="A64" s="1146"/>
      <c r="B64" s="1146"/>
      <c r="C64" s="1146"/>
      <c r="D64" s="1146"/>
      <c r="E64" s="1146"/>
      <c r="F64" s="1146"/>
      <c r="G64" s="1146"/>
      <c r="H64" s="1146"/>
      <c r="I64" s="1146"/>
      <c r="J64" s="1146"/>
      <c r="K64" s="1146"/>
      <c r="L64" s="1146"/>
      <c r="M64" s="1146"/>
      <c r="N64" s="1146"/>
      <c r="O64" s="1146"/>
      <c r="P64" s="1146"/>
      <c r="Q64" s="1146"/>
      <c r="R64" s="1146"/>
      <c r="S64" s="1146"/>
      <c r="T64" s="1147"/>
      <c r="U64" s="1147" t="s">
        <v>366</v>
      </c>
      <c r="V64" s="1147"/>
      <c r="W64" s="1208">
        <f t="shared" si="36"/>
        <v>28000</v>
      </c>
      <c r="X64" s="1208">
        <f t="shared" si="36"/>
        <v>28607.5</v>
      </c>
      <c r="Y64" s="1208">
        <f t="shared" ref="Y64:AH64" si="41">Y21+Y$6*$V43+Y$7*$W43+Y$8*$X43+Y$9*$Y43+Y$10*$Z43+Y$11*$AA43+Y$12*$AB43+Y$13*$AC43</f>
        <v>29987.899999999998</v>
      </c>
      <c r="Z64" s="1208">
        <f t="shared" si="41"/>
        <v>31502.250000000004</v>
      </c>
      <c r="AA64" s="1208">
        <f t="shared" si="41"/>
        <v>33017.300000000003</v>
      </c>
      <c r="AB64" s="1208">
        <f t="shared" si="41"/>
        <v>34531.850000000006</v>
      </c>
      <c r="AC64" s="1208">
        <f t="shared" si="41"/>
        <v>36046.199999999997</v>
      </c>
      <c r="AD64" s="1208">
        <f t="shared" si="41"/>
        <v>37561.399999999994</v>
      </c>
      <c r="AE64" s="1208">
        <f t="shared" si="41"/>
        <v>38396.399999999987</v>
      </c>
      <c r="AF64" s="1208">
        <f t="shared" si="41"/>
        <v>39231.399999999994</v>
      </c>
      <c r="AG64" s="1208">
        <f t="shared" si="41"/>
        <v>40066.400000000001</v>
      </c>
      <c r="AH64" s="1208">
        <f t="shared" si="41"/>
        <v>40901.400000000009</v>
      </c>
      <c r="AI64" s="1208">
        <f t="shared" ref="AI64:AV64" si="42">AI21+AI$6*$V43+AI$7*$W43+AI$8*$X43+AI$9*$Y43+AI$10*$Z43+AI$11*$AA43+AI$12*$AB43+AI$13*$AC43</f>
        <v>41736.699999999997</v>
      </c>
      <c r="AJ64" s="1208">
        <f t="shared" si="42"/>
        <v>42437.599999999999</v>
      </c>
      <c r="AK64" s="1208">
        <f t="shared" si="42"/>
        <v>43045.1</v>
      </c>
      <c r="AL64" s="1208">
        <f t="shared" si="42"/>
        <v>43652.6</v>
      </c>
      <c r="AM64" s="1208">
        <f t="shared" si="42"/>
        <v>44260.100000000006</v>
      </c>
      <c r="AN64" s="1208">
        <f t="shared" si="42"/>
        <v>44867.65</v>
      </c>
      <c r="AO64" s="1208">
        <f t="shared" si="42"/>
        <v>45475.149999999994</v>
      </c>
      <c r="AP64" s="1208">
        <f t="shared" si="42"/>
        <v>46082.700000000004</v>
      </c>
      <c r="AQ64" s="1208">
        <f t="shared" si="42"/>
        <v>46690.200000000012</v>
      </c>
      <c r="AR64" s="1208">
        <f t="shared" si="42"/>
        <v>47297.700000000004</v>
      </c>
      <c r="AS64" s="1208">
        <f t="shared" si="42"/>
        <v>47905.25</v>
      </c>
      <c r="AT64" s="1208">
        <f t="shared" si="42"/>
        <v>48512.750000000007</v>
      </c>
      <c r="AU64" s="1208">
        <f t="shared" si="42"/>
        <v>49120.250000000007</v>
      </c>
      <c r="AV64" s="1208">
        <f t="shared" si="42"/>
        <v>49727.8</v>
      </c>
      <c r="AW64" s="1147"/>
      <c r="AX64" s="1147"/>
      <c r="AY64" s="1147"/>
      <c r="AZ64" s="1147"/>
      <c r="BA64" s="1147"/>
      <c r="BB64" s="1147"/>
      <c r="BC64" s="1147"/>
      <c r="BD64" s="1147"/>
      <c r="BE64" s="1147"/>
      <c r="BF64" s="1147"/>
      <c r="BG64" s="1147"/>
      <c r="BH64" s="1147"/>
      <c r="BI64" s="1147"/>
      <c r="BJ64" s="1147"/>
      <c r="BK64" s="1147"/>
      <c r="BL64" s="1147"/>
      <c r="BM64" s="1147"/>
      <c r="BN64" s="1147"/>
      <c r="BO64" s="1147"/>
      <c r="BP64" s="1147"/>
      <c r="BQ64" s="1147"/>
      <c r="BR64" s="1147"/>
      <c r="BS64" s="1147"/>
      <c r="BT64" s="1147"/>
      <c r="BU64" s="1147"/>
      <c r="BV64" s="1147"/>
      <c r="BW64" s="1147"/>
      <c r="BX64" s="1147"/>
      <c r="BY64" s="1147"/>
      <c r="BZ64" s="1147"/>
      <c r="CA64" s="1147"/>
      <c r="CB64" s="1147"/>
      <c r="CC64" s="1147"/>
      <c r="CD64" s="1147"/>
      <c r="CE64" s="1147"/>
      <c r="CF64" s="1147"/>
      <c r="CG64" s="1147"/>
      <c r="CH64" s="1147"/>
      <c r="CI64" s="1147"/>
      <c r="CJ64" s="1147"/>
      <c r="CK64" s="1146"/>
    </row>
    <row r="65" spans="1:89" ht="15" x14ac:dyDescent="0.25">
      <c r="A65" s="1146"/>
      <c r="B65" s="1146"/>
      <c r="C65" s="1146"/>
      <c r="D65" s="1146"/>
      <c r="E65" s="1146"/>
      <c r="F65" s="1146"/>
      <c r="G65" s="1146"/>
      <c r="H65" s="1146"/>
      <c r="I65" s="1146"/>
      <c r="J65" s="1146"/>
      <c r="K65" s="1146"/>
      <c r="L65" s="1146"/>
      <c r="M65" s="1146"/>
      <c r="N65" s="1146"/>
      <c r="O65" s="1146"/>
      <c r="P65" s="1146"/>
      <c r="Q65" s="1146"/>
      <c r="R65" s="1146"/>
      <c r="S65" s="1146"/>
      <c r="T65" s="1147"/>
      <c r="U65" s="1147" t="s">
        <v>365</v>
      </c>
      <c r="V65" s="1147"/>
      <c r="W65" s="1208">
        <f t="shared" si="36"/>
        <v>28000</v>
      </c>
      <c r="X65" s="1208">
        <f t="shared" si="36"/>
        <v>28607.5</v>
      </c>
      <c r="Y65" s="1208">
        <f t="shared" ref="Y65:AH65" si="43">Y22+Y$6*$V44+Y$7*$W44+Y$8*$X44+Y$9*$Y44+Y$10*$Z44+Y$11*$AA44+Y$12*$AB44+Y$13*$AC44</f>
        <v>29512.3</v>
      </c>
      <c r="Z65" s="1208">
        <f t="shared" si="43"/>
        <v>30551.050000000003</v>
      </c>
      <c r="AA65" s="1208">
        <f t="shared" si="43"/>
        <v>31590.100000000002</v>
      </c>
      <c r="AB65" s="1208">
        <f t="shared" si="43"/>
        <v>32629.05</v>
      </c>
      <c r="AC65" s="1208">
        <f t="shared" si="43"/>
        <v>33667.799999999996</v>
      </c>
      <c r="AD65" s="1208">
        <f t="shared" si="43"/>
        <v>34706.999999999993</v>
      </c>
      <c r="AE65" s="1208">
        <f t="shared" si="43"/>
        <v>35541.999999999993</v>
      </c>
      <c r="AF65" s="1208">
        <f t="shared" si="43"/>
        <v>36376.999999999993</v>
      </c>
      <c r="AG65" s="1208">
        <f t="shared" si="43"/>
        <v>37212</v>
      </c>
      <c r="AH65" s="1208">
        <f t="shared" si="43"/>
        <v>38047.000000000007</v>
      </c>
      <c r="AI65" s="1208">
        <f t="shared" ref="AI65:AV65" si="44">AI22+AI$6*$V44+AI$7*$W44+AI$8*$X44+AI$9*$Y44+AI$10*$Z44+AI$11*$AA44+AI$12*$AB44+AI$13*$AC44</f>
        <v>38882.299999999996</v>
      </c>
      <c r="AJ65" s="1208">
        <f t="shared" si="44"/>
        <v>39583.199999999997</v>
      </c>
      <c r="AK65" s="1208">
        <f t="shared" si="44"/>
        <v>40190.699999999997</v>
      </c>
      <c r="AL65" s="1208">
        <f t="shared" si="44"/>
        <v>40798.199999999997</v>
      </c>
      <c r="AM65" s="1208">
        <f t="shared" si="44"/>
        <v>41405.700000000004</v>
      </c>
      <c r="AN65" s="1208">
        <f t="shared" si="44"/>
        <v>42013.25</v>
      </c>
      <c r="AO65" s="1208">
        <f t="shared" si="44"/>
        <v>42620.749999999993</v>
      </c>
      <c r="AP65" s="1208">
        <f t="shared" si="44"/>
        <v>43228.3</v>
      </c>
      <c r="AQ65" s="1208">
        <f t="shared" si="44"/>
        <v>43835.80000000001</v>
      </c>
      <c r="AR65" s="1208">
        <f t="shared" si="44"/>
        <v>44443.3</v>
      </c>
      <c r="AS65" s="1208">
        <f t="shared" si="44"/>
        <v>45050.85</v>
      </c>
      <c r="AT65" s="1208">
        <f t="shared" si="44"/>
        <v>45658.350000000006</v>
      </c>
      <c r="AU65" s="1208">
        <f t="shared" si="44"/>
        <v>46265.850000000006</v>
      </c>
      <c r="AV65" s="1208">
        <f t="shared" si="44"/>
        <v>46873.4</v>
      </c>
      <c r="AW65" s="1147"/>
      <c r="AX65" s="1147"/>
      <c r="AY65" s="1147"/>
      <c r="AZ65" s="1147"/>
      <c r="BA65" s="1147"/>
      <c r="BB65" s="1147"/>
      <c r="BC65" s="1147"/>
      <c r="BD65" s="1147"/>
      <c r="BE65" s="1147"/>
      <c r="BF65" s="1147"/>
      <c r="BG65" s="1147"/>
      <c r="BH65" s="1147"/>
      <c r="BI65" s="1147"/>
      <c r="BJ65" s="1147"/>
      <c r="BK65" s="1147"/>
      <c r="BL65" s="1147"/>
      <c r="BM65" s="1147"/>
      <c r="BN65" s="1147"/>
      <c r="BO65" s="1147"/>
      <c r="BP65" s="1147"/>
      <c r="BQ65" s="1147"/>
      <c r="BR65" s="1147"/>
      <c r="BS65" s="1147"/>
      <c r="BT65" s="1147"/>
      <c r="BU65" s="1147"/>
      <c r="BV65" s="1147"/>
      <c r="BW65" s="1147"/>
      <c r="BX65" s="1147"/>
      <c r="BY65" s="1147"/>
      <c r="BZ65" s="1147"/>
      <c r="CA65" s="1147"/>
      <c r="CB65" s="1147"/>
      <c r="CC65" s="1147"/>
      <c r="CD65" s="1147"/>
      <c r="CE65" s="1147"/>
      <c r="CF65" s="1147"/>
      <c r="CG65" s="1147"/>
      <c r="CH65" s="1147"/>
      <c r="CI65" s="1147"/>
      <c r="CJ65" s="1147"/>
      <c r="CK65" s="1146"/>
    </row>
    <row r="66" spans="1:89" ht="15" x14ac:dyDescent="0.25">
      <c r="A66" s="1146"/>
      <c r="B66" s="1146"/>
      <c r="C66" s="1146"/>
      <c r="D66" s="1146"/>
      <c r="E66" s="1146"/>
      <c r="F66" s="1146"/>
      <c r="G66" s="1146"/>
      <c r="H66" s="1146"/>
      <c r="I66" s="1146"/>
      <c r="J66" s="1146"/>
      <c r="K66" s="1146"/>
      <c r="L66" s="1146"/>
      <c r="M66" s="1146"/>
      <c r="N66" s="1146"/>
      <c r="O66" s="1146"/>
      <c r="P66" s="1146"/>
      <c r="Q66" s="1146"/>
      <c r="R66" s="1146"/>
      <c r="S66" s="1146"/>
      <c r="T66" s="1147"/>
      <c r="U66" s="1147" t="s">
        <v>364</v>
      </c>
      <c r="V66" s="1147"/>
      <c r="W66" s="1208">
        <f t="shared" si="36"/>
        <v>28000</v>
      </c>
      <c r="X66" s="1208">
        <f t="shared" si="36"/>
        <v>28607.5</v>
      </c>
      <c r="Y66" s="1208">
        <f t="shared" ref="Y66:AH66" si="45">Y23+Y$6*$V45+Y$7*$W45+Y$8*$X45+Y$9*$Y45+Y$10*$Z45+Y$11*$AA45+Y$12*$AB45+Y$13*$AC45</f>
        <v>29512.3</v>
      </c>
      <c r="Z66" s="1208">
        <f t="shared" si="45"/>
        <v>30551.050000000003</v>
      </c>
      <c r="AA66" s="1208">
        <f t="shared" si="45"/>
        <v>31590.100000000002</v>
      </c>
      <c r="AB66" s="1208">
        <f t="shared" si="45"/>
        <v>32629.05</v>
      </c>
      <c r="AC66" s="1208">
        <f t="shared" si="45"/>
        <v>33667.799999999996</v>
      </c>
      <c r="AD66" s="1208">
        <f t="shared" si="45"/>
        <v>34706.999999999993</v>
      </c>
      <c r="AE66" s="1208">
        <f t="shared" si="45"/>
        <v>35541.999999999993</v>
      </c>
      <c r="AF66" s="1208">
        <f t="shared" si="45"/>
        <v>36376.999999999993</v>
      </c>
      <c r="AG66" s="1208">
        <f t="shared" si="45"/>
        <v>37212</v>
      </c>
      <c r="AH66" s="1208">
        <f t="shared" si="45"/>
        <v>38047.000000000007</v>
      </c>
      <c r="AI66" s="1208">
        <f t="shared" ref="AI66:AV66" si="46">AI23+AI$6*$V45+AI$7*$W45+AI$8*$X45+AI$9*$Y45+AI$10*$Z45+AI$11*$AA45+AI$12*$AB45+AI$13*$AC45</f>
        <v>38882.299999999996</v>
      </c>
      <c r="AJ66" s="1208">
        <f t="shared" si="46"/>
        <v>39583.199999999997</v>
      </c>
      <c r="AK66" s="1208">
        <f t="shared" si="46"/>
        <v>40190.699999999997</v>
      </c>
      <c r="AL66" s="1208">
        <f t="shared" si="46"/>
        <v>40798.199999999997</v>
      </c>
      <c r="AM66" s="1208">
        <f t="shared" si="46"/>
        <v>41405.700000000004</v>
      </c>
      <c r="AN66" s="1208">
        <f t="shared" si="46"/>
        <v>42013.25</v>
      </c>
      <c r="AO66" s="1208">
        <f t="shared" si="46"/>
        <v>42620.749999999993</v>
      </c>
      <c r="AP66" s="1208">
        <f t="shared" si="46"/>
        <v>43228.3</v>
      </c>
      <c r="AQ66" s="1208">
        <f t="shared" si="46"/>
        <v>43835.80000000001</v>
      </c>
      <c r="AR66" s="1208">
        <f t="shared" si="46"/>
        <v>44443.3</v>
      </c>
      <c r="AS66" s="1208">
        <f t="shared" si="46"/>
        <v>45050.85</v>
      </c>
      <c r="AT66" s="1208">
        <f t="shared" si="46"/>
        <v>45658.350000000006</v>
      </c>
      <c r="AU66" s="1208">
        <f t="shared" si="46"/>
        <v>46265.850000000006</v>
      </c>
      <c r="AV66" s="1208">
        <f t="shared" si="46"/>
        <v>46873.4</v>
      </c>
      <c r="AW66" s="1147"/>
      <c r="AX66" s="1147"/>
      <c r="AY66" s="1147"/>
      <c r="AZ66" s="1147"/>
      <c r="BA66" s="1147"/>
      <c r="BB66" s="1147"/>
      <c r="BC66" s="1147"/>
      <c r="BD66" s="1147"/>
      <c r="BE66" s="1147"/>
      <c r="BF66" s="1147"/>
      <c r="BG66" s="1147"/>
      <c r="BH66" s="1147"/>
      <c r="BI66" s="1147"/>
      <c r="BJ66" s="1147"/>
      <c r="BK66" s="1147"/>
      <c r="BL66" s="1147"/>
      <c r="BM66" s="1147"/>
      <c r="BN66" s="1147"/>
      <c r="BO66" s="1147"/>
      <c r="BP66" s="1147"/>
      <c r="BQ66" s="1147"/>
      <c r="BR66" s="1147"/>
      <c r="BS66" s="1147"/>
      <c r="BT66" s="1147"/>
      <c r="BU66" s="1147"/>
      <c r="BV66" s="1147"/>
      <c r="BW66" s="1147"/>
      <c r="BX66" s="1147"/>
      <c r="BY66" s="1147"/>
      <c r="BZ66" s="1147"/>
      <c r="CA66" s="1147"/>
      <c r="CB66" s="1147"/>
      <c r="CC66" s="1147"/>
      <c r="CD66" s="1147"/>
      <c r="CE66" s="1147"/>
      <c r="CF66" s="1147"/>
      <c r="CG66" s="1147"/>
      <c r="CH66" s="1147"/>
      <c r="CI66" s="1147"/>
      <c r="CJ66" s="1147"/>
      <c r="CK66" s="1146"/>
    </row>
    <row r="67" spans="1:89" ht="15" x14ac:dyDescent="0.25">
      <c r="A67" s="1146"/>
      <c r="B67" s="1146"/>
      <c r="C67" s="1146"/>
      <c r="D67" s="1146"/>
      <c r="E67" s="1146"/>
      <c r="F67" s="1146"/>
      <c r="G67" s="1146"/>
      <c r="H67" s="1146"/>
      <c r="I67" s="1146"/>
      <c r="J67" s="1146"/>
      <c r="K67" s="1146"/>
      <c r="L67" s="1146"/>
      <c r="M67" s="1146"/>
      <c r="N67" s="1146"/>
      <c r="O67" s="1146"/>
      <c r="P67" s="1146"/>
      <c r="Q67" s="1146"/>
      <c r="R67" s="1146"/>
      <c r="S67" s="1146"/>
      <c r="T67" s="1147"/>
      <c r="U67" s="1147" t="s">
        <v>363</v>
      </c>
      <c r="V67" s="1147"/>
      <c r="W67" s="1208">
        <f t="shared" si="36"/>
        <v>32000</v>
      </c>
      <c r="X67" s="1208">
        <f t="shared" si="36"/>
        <v>32764.35</v>
      </c>
      <c r="Y67" s="1208">
        <f t="shared" ref="Y67:AH67" si="47">Y24+Y$6*$V46+Y$7*$W46+Y$8*$X46+Y$9*$Y46+Y$10*$Z46+Y$11*$AA46+Y$12*$AB46+Y$13*$AC46</f>
        <v>33826.1</v>
      </c>
      <c r="Z67" s="1208">
        <f t="shared" si="47"/>
        <v>35236.199999999997</v>
      </c>
      <c r="AA67" s="1208">
        <f t="shared" si="47"/>
        <v>36646.700000000004</v>
      </c>
      <c r="AB67" s="1208">
        <f t="shared" si="47"/>
        <v>38057.300000000003</v>
      </c>
      <c r="AC67" s="1208">
        <f t="shared" si="47"/>
        <v>39467.4</v>
      </c>
      <c r="AD67" s="1208">
        <f t="shared" si="47"/>
        <v>40878.30000000001</v>
      </c>
      <c r="AE67" s="1208">
        <f t="shared" si="47"/>
        <v>42224.9</v>
      </c>
      <c r="AF67" s="1208">
        <f t="shared" si="47"/>
        <v>43571.549999999996</v>
      </c>
      <c r="AG67" s="1208">
        <f t="shared" si="47"/>
        <v>44918.149999999994</v>
      </c>
      <c r="AH67" s="1208">
        <f t="shared" si="47"/>
        <v>46264.75</v>
      </c>
      <c r="AI67" s="1208">
        <f t="shared" ref="AI67:AV67" si="48">AI24+AI$6*$V46+AI$7*$W46+AI$8*$X46+AI$9*$Y46+AI$10*$Z46+AI$11*$AA46+AI$12*$AB46+AI$13*$AC46</f>
        <v>47612.15</v>
      </c>
      <c r="AJ67" s="1208">
        <f t="shared" si="48"/>
        <v>48610</v>
      </c>
      <c r="AK67" s="1208">
        <f t="shared" si="48"/>
        <v>49374.35</v>
      </c>
      <c r="AL67" s="1208">
        <f t="shared" si="48"/>
        <v>50138.7</v>
      </c>
      <c r="AM67" s="1208">
        <f t="shared" si="48"/>
        <v>50903.049999999996</v>
      </c>
      <c r="AN67" s="1208">
        <f t="shared" si="48"/>
        <v>51667.549999999996</v>
      </c>
      <c r="AO67" s="1208">
        <f t="shared" si="48"/>
        <v>52431.899999999994</v>
      </c>
      <c r="AP67" s="1208">
        <f t="shared" si="48"/>
        <v>53196.4</v>
      </c>
      <c r="AQ67" s="1208">
        <f t="shared" si="48"/>
        <v>53960.75</v>
      </c>
      <c r="AR67" s="1208">
        <f t="shared" si="48"/>
        <v>54725.1</v>
      </c>
      <c r="AS67" s="1208">
        <f t="shared" si="48"/>
        <v>55489.599999999999</v>
      </c>
      <c r="AT67" s="1208">
        <f t="shared" si="48"/>
        <v>56253.95</v>
      </c>
      <c r="AU67" s="1208">
        <f t="shared" si="48"/>
        <v>57018.299999999996</v>
      </c>
      <c r="AV67" s="1208">
        <f t="shared" si="48"/>
        <v>57782.799999999996</v>
      </c>
      <c r="AW67" s="1147"/>
      <c r="AX67" s="1147"/>
      <c r="AY67" s="1147"/>
      <c r="AZ67" s="1147"/>
      <c r="BA67" s="1147"/>
      <c r="BB67" s="1147"/>
      <c r="BC67" s="1147"/>
      <c r="BD67" s="1147"/>
      <c r="BE67" s="1147"/>
      <c r="BF67" s="1147"/>
      <c r="BG67" s="1147"/>
      <c r="BH67" s="1147"/>
      <c r="BI67" s="1147"/>
      <c r="BJ67" s="1147"/>
      <c r="BK67" s="1147"/>
      <c r="BL67" s="1147"/>
      <c r="BM67" s="1147"/>
      <c r="BN67" s="1147"/>
      <c r="BO67" s="1147"/>
      <c r="BP67" s="1147"/>
      <c r="BQ67" s="1147"/>
      <c r="BR67" s="1147"/>
      <c r="BS67" s="1147"/>
      <c r="BT67" s="1147"/>
      <c r="BU67" s="1147"/>
      <c r="BV67" s="1147"/>
      <c r="BW67" s="1147"/>
      <c r="BX67" s="1147"/>
      <c r="BY67" s="1147"/>
      <c r="BZ67" s="1147"/>
      <c r="CA67" s="1147"/>
      <c r="CB67" s="1147"/>
      <c r="CC67" s="1147"/>
      <c r="CD67" s="1147"/>
      <c r="CE67" s="1147"/>
      <c r="CF67" s="1147"/>
      <c r="CG67" s="1147"/>
      <c r="CH67" s="1147"/>
      <c r="CI67" s="1147"/>
      <c r="CJ67" s="1147"/>
      <c r="CK67" s="1146"/>
    </row>
    <row r="68" spans="1:89" ht="15" x14ac:dyDescent="0.25">
      <c r="A68" s="1146"/>
      <c r="B68" s="1146"/>
      <c r="C68" s="1146"/>
      <c r="D68" s="1146"/>
      <c r="E68" s="1146"/>
      <c r="F68" s="1146"/>
      <c r="G68" s="1146"/>
      <c r="H68" s="1146"/>
      <c r="I68" s="1146"/>
      <c r="J68" s="1146"/>
      <c r="K68" s="1146"/>
      <c r="L68" s="1146"/>
      <c r="M68" s="1146"/>
      <c r="N68" s="1146"/>
      <c r="O68" s="1146"/>
      <c r="P68" s="1146"/>
      <c r="Q68" s="1146"/>
      <c r="R68" s="1146"/>
      <c r="S68" s="1146"/>
      <c r="T68" s="1147"/>
      <c r="U68" s="1147" t="s">
        <v>379</v>
      </c>
      <c r="V68" s="1147"/>
      <c r="W68" s="1208">
        <f t="shared" si="36"/>
        <v>10000</v>
      </c>
      <c r="X68" s="1208">
        <f t="shared" si="36"/>
        <v>10371.85</v>
      </c>
      <c r="Y68" s="1208">
        <f t="shared" ref="Y68:AH68" si="49">Y25+Y$6*$V47+Y$7*$W47+Y$8*$X47+Y$9*$Y47+Y$10*$Z47+Y$11*$AA47+Y$12*$AB47+Y$13*$AC47</f>
        <v>10767.679999999998</v>
      </c>
      <c r="Z68" s="1208">
        <f t="shared" si="49"/>
        <v>11645.81</v>
      </c>
      <c r="AA68" s="1208">
        <f t="shared" si="49"/>
        <v>12524.160000000002</v>
      </c>
      <c r="AB68" s="1208">
        <f t="shared" si="49"/>
        <v>13402.990000000002</v>
      </c>
      <c r="AC68" s="1208">
        <f t="shared" si="49"/>
        <v>14281.120000000004</v>
      </c>
      <c r="AD68" s="1208">
        <f t="shared" si="49"/>
        <v>15160.020000000002</v>
      </c>
      <c r="AE68" s="1208">
        <f t="shared" si="49"/>
        <v>16341.619999999997</v>
      </c>
      <c r="AF68" s="1208">
        <f t="shared" si="49"/>
        <v>17523.269999999997</v>
      </c>
      <c r="AG68" s="1208">
        <f t="shared" si="49"/>
        <v>18704.869999999995</v>
      </c>
      <c r="AH68" s="1208">
        <f t="shared" si="49"/>
        <v>19886.469999999998</v>
      </c>
      <c r="AI68" s="1208">
        <f t="shared" ref="AI68:AV68" si="50">AI25+AI$6*$V47+AI$7*$W47+AI$8*$X47+AI$9*$Y47+AI$10*$Z47+AI$11*$AA47+AI$12*$AB47+AI$13*$AC47</f>
        <v>21069.170000000002</v>
      </c>
      <c r="AJ68" s="1208">
        <f t="shared" si="50"/>
        <v>21767.919999999998</v>
      </c>
      <c r="AK68" s="1208">
        <f t="shared" si="50"/>
        <v>22139.77</v>
      </c>
      <c r="AL68" s="1208">
        <f t="shared" si="50"/>
        <v>22511.619999999995</v>
      </c>
      <c r="AM68" s="1208">
        <f t="shared" si="50"/>
        <v>22883.469999999998</v>
      </c>
      <c r="AN68" s="1208">
        <f t="shared" si="50"/>
        <v>23255.519999999997</v>
      </c>
      <c r="AO68" s="1208">
        <f t="shared" si="50"/>
        <v>23627.369999999995</v>
      </c>
      <c r="AP68" s="1208">
        <f t="shared" si="50"/>
        <v>23999.419999999995</v>
      </c>
      <c r="AQ68" s="1208">
        <f t="shared" si="50"/>
        <v>24371.27</v>
      </c>
      <c r="AR68" s="1208">
        <f t="shared" si="50"/>
        <v>24743.119999999995</v>
      </c>
      <c r="AS68" s="1208">
        <f t="shared" si="50"/>
        <v>25115.17</v>
      </c>
      <c r="AT68" s="1208">
        <f t="shared" si="50"/>
        <v>25487.019999999997</v>
      </c>
      <c r="AU68" s="1208">
        <f t="shared" si="50"/>
        <v>25858.869999999995</v>
      </c>
      <c r="AV68" s="1208">
        <f t="shared" si="50"/>
        <v>26230.92</v>
      </c>
      <c r="AW68" s="1147"/>
      <c r="AX68" s="1147"/>
      <c r="AY68" s="1147"/>
      <c r="AZ68" s="1147"/>
      <c r="BA68" s="1147"/>
      <c r="BB68" s="1147"/>
      <c r="BC68" s="1147"/>
      <c r="BD68" s="1147"/>
      <c r="BE68" s="1147"/>
      <c r="BF68" s="1147"/>
      <c r="BG68" s="1147"/>
      <c r="BH68" s="1147"/>
      <c r="BI68" s="1147"/>
      <c r="BJ68" s="1147"/>
      <c r="BK68" s="1147"/>
      <c r="BL68" s="1147"/>
      <c r="BM68" s="1147"/>
      <c r="BN68" s="1147"/>
      <c r="BO68" s="1147"/>
      <c r="BP68" s="1147"/>
      <c r="BQ68" s="1147"/>
      <c r="BR68" s="1147"/>
      <c r="BS68" s="1147"/>
      <c r="BT68" s="1147"/>
      <c r="BU68" s="1147"/>
      <c r="BV68" s="1147"/>
      <c r="BW68" s="1147"/>
      <c r="BX68" s="1147"/>
      <c r="BY68" s="1147"/>
      <c r="BZ68" s="1147"/>
      <c r="CA68" s="1147"/>
      <c r="CB68" s="1147"/>
      <c r="CC68" s="1147"/>
      <c r="CD68" s="1147"/>
      <c r="CE68" s="1147"/>
      <c r="CF68" s="1147"/>
      <c r="CG68" s="1147"/>
      <c r="CH68" s="1147"/>
      <c r="CI68" s="1147"/>
      <c r="CJ68" s="1147"/>
      <c r="CK68" s="1146"/>
    </row>
    <row r="69" spans="1:89" ht="15" x14ac:dyDescent="0.25">
      <c r="A69" s="1146"/>
      <c r="B69" s="1146"/>
      <c r="C69" s="1146"/>
      <c r="D69" s="1146"/>
      <c r="E69" s="1146"/>
      <c r="F69" s="1146"/>
      <c r="G69" s="1146"/>
      <c r="H69" s="1146"/>
      <c r="I69" s="1146"/>
      <c r="J69" s="1146"/>
      <c r="K69" s="1146"/>
      <c r="L69" s="1146"/>
      <c r="M69" s="1146"/>
      <c r="N69" s="1146"/>
      <c r="O69" s="1146"/>
      <c r="P69" s="1146"/>
      <c r="Q69" s="1146"/>
      <c r="R69" s="1146"/>
      <c r="S69" s="1146"/>
      <c r="T69" s="1147"/>
      <c r="U69" s="1147" t="s">
        <v>380</v>
      </c>
      <c r="V69" s="1147"/>
      <c r="W69" s="1208">
        <f t="shared" si="36"/>
        <v>7600</v>
      </c>
      <c r="X69" s="1208">
        <f t="shared" si="36"/>
        <v>7870.45</v>
      </c>
      <c r="Y69" s="1208">
        <f t="shared" ref="Y69:AH69" si="51">Y26+Y$6*$V48+Y$7*$W48+Y$8*$X48+Y$9*$Y48+Y$10*$Z48+Y$11*$AA48+Y$12*$AB48+Y$13*$AC48</f>
        <v>8164.78</v>
      </c>
      <c r="Z69" s="1208">
        <f t="shared" si="51"/>
        <v>8727.510000000002</v>
      </c>
      <c r="AA69" s="1208">
        <f t="shared" si="51"/>
        <v>9290.4600000000009</v>
      </c>
      <c r="AB69" s="1208">
        <f t="shared" si="51"/>
        <v>9853.49</v>
      </c>
      <c r="AC69" s="1208">
        <f t="shared" si="51"/>
        <v>10416.219999999999</v>
      </c>
      <c r="AD69" s="1208">
        <f t="shared" si="51"/>
        <v>10979.42</v>
      </c>
      <c r="AE69" s="1208">
        <f t="shared" si="51"/>
        <v>11752.119999999997</v>
      </c>
      <c r="AF69" s="1208">
        <f t="shared" si="51"/>
        <v>12524.969999999998</v>
      </c>
      <c r="AG69" s="1208">
        <f t="shared" si="51"/>
        <v>13297.57</v>
      </c>
      <c r="AH69" s="1208">
        <f t="shared" si="51"/>
        <v>14070.27</v>
      </c>
      <c r="AI69" s="1208">
        <f t="shared" ref="AI69:AV69" si="52">AI26+AI$6*$V48+AI$7*$W48+AI$8*$X48+AI$9*$Y48+AI$10*$Z48+AI$11*$AA48+AI$12*$AB48+AI$13*$AC48</f>
        <v>14843.569999999998</v>
      </c>
      <c r="AJ69" s="1208">
        <f t="shared" si="52"/>
        <v>15347.519999999999</v>
      </c>
      <c r="AK69" s="1208">
        <f t="shared" si="52"/>
        <v>15617.969999999998</v>
      </c>
      <c r="AL69" s="1208">
        <f t="shared" si="52"/>
        <v>15888.419999999998</v>
      </c>
      <c r="AM69" s="1208">
        <f t="shared" si="52"/>
        <v>16158.869999999999</v>
      </c>
      <c r="AN69" s="1208">
        <f t="shared" si="52"/>
        <v>16429.419999999998</v>
      </c>
      <c r="AO69" s="1208">
        <f t="shared" si="52"/>
        <v>16699.869999999995</v>
      </c>
      <c r="AP69" s="1208">
        <f t="shared" si="52"/>
        <v>16970.420000000002</v>
      </c>
      <c r="AQ69" s="1208">
        <f t="shared" si="52"/>
        <v>17240.87</v>
      </c>
      <c r="AR69" s="1208">
        <f t="shared" si="52"/>
        <v>17511.32</v>
      </c>
      <c r="AS69" s="1208">
        <f t="shared" si="52"/>
        <v>17781.87</v>
      </c>
      <c r="AT69" s="1208">
        <f t="shared" si="52"/>
        <v>18052.32</v>
      </c>
      <c r="AU69" s="1208">
        <f t="shared" si="52"/>
        <v>18322.77</v>
      </c>
      <c r="AV69" s="1208">
        <f t="shared" si="52"/>
        <v>18593.319999999996</v>
      </c>
      <c r="AW69" s="1147"/>
      <c r="AX69" s="1147"/>
      <c r="AY69" s="1147"/>
      <c r="AZ69" s="1147"/>
      <c r="BA69" s="1147"/>
      <c r="BB69" s="1147"/>
      <c r="BC69" s="1147"/>
      <c r="BD69" s="1147"/>
      <c r="BE69" s="1147"/>
      <c r="BF69" s="1147"/>
      <c r="BG69" s="1147"/>
      <c r="BH69" s="1147"/>
      <c r="BI69" s="1147"/>
      <c r="BJ69" s="1147"/>
      <c r="BK69" s="1147"/>
      <c r="BL69" s="1147"/>
      <c r="BM69" s="1147"/>
      <c r="BN69" s="1147"/>
      <c r="BO69" s="1147"/>
      <c r="BP69" s="1147"/>
      <c r="BQ69" s="1147"/>
      <c r="BR69" s="1147"/>
      <c r="BS69" s="1147"/>
      <c r="BT69" s="1147"/>
      <c r="BU69" s="1147"/>
      <c r="BV69" s="1147"/>
      <c r="BW69" s="1147"/>
      <c r="BX69" s="1147"/>
      <c r="BY69" s="1147"/>
      <c r="BZ69" s="1147"/>
      <c r="CA69" s="1147"/>
      <c r="CB69" s="1147"/>
      <c r="CC69" s="1147"/>
      <c r="CD69" s="1147"/>
      <c r="CE69" s="1147"/>
      <c r="CF69" s="1147"/>
      <c r="CG69" s="1147"/>
      <c r="CH69" s="1147"/>
      <c r="CI69" s="1147"/>
      <c r="CJ69" s="1147"/>
      <c r="CK69" s="1146"/>
    </row>
    <row r="70" spans="1:89" ht="15" x14ac:dyDescent="0.25">
      <c r="A70" s="1146"/>
      <c r="B70" s="1146"/>
      <c r="C70" s="1146"/>
      <c r="D70" s="1146"/>
      <c r="E70" s="1146"/>
      <c r="F70" s="1146"/>
      <c r="G70" s="1146"/>
      <c r="H70" s="1146"/>
      <c r="I70" s="1146"/>
      <c r="J70" s="1146"/>
      <c r="K70" s="1146"/>
      <c r="L70" s="1146"/>
      <c r="M70" s="1146"/>
      <c r="N70" s="1146"/>
      <c r="O70" s="1146"/>
      <c r="P70" s="1146"/>
      <c r="Q70" s="1146"/>
      <c r="R70" s="1146"/>
      <c r="S70" s="1146"/>
      <c r="T70" s="1147"/>
      <c r="U70" s="1147" t="s">
        <v>381</v>
      </c>
      <c r="V70" s="1147"/>
      <c r="W70" s="1208">
        <f t="shared" si="36"/>
        <v>6000</v>
      </c>
      <c r="X70" s="1208">
        <f t="shared" si="36"/>
        <v>6206.63</v>
      </c>
      <c r="Y70" s="1208">
        <f t="shared" ref="Y70:AH70" si="53">Y27+Y$6*$V49+Y$7*$W49+Y$8*$X49+Y$9*$Y49+Y$10*$Z49+Y$11*$AA49+Y$12*$AB49+Y$13*$AC49</f>
        <v>6437.1599999999989</v>
      </c>
      <c r="Z70" s="1208">
        <f t="shared" si="53"/>
        <v>6839.8700000000008</v>
      </c>
      <c r="AA70" s="1208">
        <f t="shared" si="53"/>
        <v>7242.82</v>
      </c>
      <c r="AB70" s="1208">
        <f t="shared" si="53"/>
        <v>7645.6300000000019</v>
      </c>
      <c r="AC70" s="1208">
        <f t="shared" si="53"/>
        <v>8048.3400000000011</v>
      </c>
      <c r="AD70" s="1208">
        <f t="shared" si="53"/>
        <v>8451.4600000000009</v>
      </c>
      <c r="AE70" s="1208">
        <f t="shared" si="53"/>
        <v>8970.6400000000012</v>
      </c>
      <c r="AF70" s="1208">
        <f t="shared" si="53"/>
        <v>9490.1100000000024</v>
      </c>
      <c r="AG70" s="1208">
        <f t="shared" si="53"/>
        <v>10009.189999999997</v>
      </c>
      <c r="AH70" s="1208">
        <f t="shared" si="53"/>
        <v>10528.369999999999</v>
      </c>
      <c r="AI70" s="1208">
        <f t="shared" ref="AI70:AV70" si="54">AI27+AI$6*$V49+AI$7*$W49+AI$8*$X49+AI$9*$Y49+AI$10*$Z49+AI$11*$AA49+AI$12*$AB49+AI$13*$AC49</f>
        <v>11047.99</v>
      </c>
      <c r="AJ70" s="1208">
        <f t="shared" si="54"/>
        <v>11394.720000000001</v>
      </c>
      <c r="AK70" s="1208">
        <f t="shared" si="54"/>
        <v>11601.350000000002</v>
      </c>
      <c r="AL70" s="1208">
        <f t="shared" si="54"/>
        <v>11807.980000000001</v>
      </c>
      <c r="AM70" s="1208">
        <f t="shared" si="54"/>
        <v>12014.610000000004</v>
      </c>
      <c r="AN70" s="1208">
        <f t="shared" si="54"/>
        <v>12221.360000000004</v>
      </c>
      <c r="AO70" s="1208">
        <f t="shared" si="54"/>
        <v>12427.990000000002</v>
      </c>
      <c r="AP70" s="1208">
        <f t="shared" si="54"/>
        <v>12634.739999999998</v>
      </c>
      <c r="AQ70" s="1208">
        <f t="shared" si="54"/>
        <v>12841.37</v>
      </c>
      <c r="AR70" s="1208">
        <f t="shared" si="54"/>
        <v>13048</v>
      </c>
      <c r="AS70" s="1208">
        <f t="shared" si="54"/>
        <v>13254.75</v>
      </c>
      <c r="AT70" s="1208">
        <f t="shared" si="54"/>
        <v>13461.380000000001</v>
      </c>
      <c r="AU70" s="1208">
        <f t="shared" si="54"/>
        <v>13668.01</v>
      </c>
      <c r="AV70" s="1208">
        <f t="shared" si="54"/>
        <v>13874.76</v>
      </c>
      <c r="AW70" s="1147"/>
      <c r="AX70" s="1147"/>
      <c r="AY70" s="1147"/>
      <c r="AZ70" s="1147"/>
      <c r="BA70" s="1147"/>
      <c r="BB70" s="1147"/>
      <c r="BC70" s="1147"/>
      <c r="BD70" s="1147"/>
      <c r="BE70" s="1147"/>
      <c r="BF70" s="1147"/>
      <c r="BG70" s="1147"/>
      <c r="BH70" s="1147"/>
      <c r="BI70" s="1147"/>
      <c r="BJ70" s="1147"/>
      <c r="BK70" s="1147"/>
      <c r="BL70" s="1147"/>
      <c r="BM70" s="1147"/>
      <c r="BN70" s="1147"/>
      <c r="BO70" s="1147"/>
      <c r="BP70" s="1147"/>
      <c r="BQ70" s="1147"/>
      <c r="BR70" s="1147"/>
      <c r="BS70" s="1147"/>
      <c r="BT70" s="1147"/>
      <c r="BU70" s="1147"/>
      <c r="BV70" s="1147"/>
      <c r="BW70" s="1147"/>
      <c r="BX70" s="1147"/>
      <c r="BY70" s="1147"/>
      <c r="BZ70" s="1147"/>
      <c r="CA70" s="1147"/>
      <c r="CB70" s="1147"/>
      <c r="CC70" s="1147"/>
      <c r="CD70" s="1147"/>
      <c r="CE70" s="1147"/>
      <c r="CF70" s="1147"/>
      <c r="CG70" s="1147"/>
      <c r="CH70" s="1147"/>
      <c r="CI70" s="1147"/>
      <c r="CJ70" s="1147"/>
      <c r="CK70" s="1146"/>
    </row>
    <row r="71" spans="1:89" ht="15" x14ac:dyDescent="0.25">
      <c r="A71" s="1146"/>
      <c r="B71" s="1146"/>
      <c r="C71" s="1146"/>
      <c r="D71" s="1146"/>
      <c r="E71" s="1146"/>
      <c r="F71" s="1146"/>
      <c r="G71" s="1146"/>
      <c r="H71" s="1146"/>
      <c r="I71" s="1146"/>
      <c r="J71" s="1146"/>
      <c r="K71" s="1146"/>
      <c r="L71" s="1146"/>
      <c r="M71" s="1146"/>
      <c r="N71" s="1146"/>
      <c r="O71" s="1146"/>
      <c r="P71" s="1146"/>
      <c r="Q71" s="1146"/>
      <c r="R71" s="1146"/>
      <c r="S71" s="1146"/>
      <c r="T71" s="1147"/>
      <c r="U71" s="1147" t="s">
        <v>371</v>
      </c>
      <c r="V71" s="1147"/>
      <c r="W71" s="1208">
        <f t="shared" si="36"/>
        <v>4000</v>
      </c>
      <c r="X71" s="1208">
        <f t="shared" si="36"/>
        <v>4436.4500000000007</v>
      </c>
      <c r="Y71" s="1208">
        <f t="shared" ref="Y71:AH71" si="55">Y28+Y$6*$V50+Y$7*$W50+Y$8*$X50+Y$9*$Y50+Y$10*$Z50+Y$11*$AA50+Y$12*$AB50+Y$13*$AC50</f>
        <v>4897.3799999999992</v>
      </c>
      <c r="Z71" s="1208">
        <f t="shared" si="55"/>
        <v>6324.1100000000006</v>
      </c>
      <c r="AA71" s="1208">
        <f t="shared" si="55"/>
        <v>7751.5599999999995</v>
      </c>
      <c r="AB71" s="1208">
        <f t="shared" si="55"/>
        <v>9179.3900000000012</v>
      </c>
      <c r="AC71" s="1208">
        <f t="shared" si="55"/>
        <v>10606.12</v>
      </c>
      <c r="AD71" s="1208">
        <f t="shared" si="55"/>
        <v>12034.820000000002</v>
      </c>
      <c r="AE71" s="1208">
        <f t="shared" si="55"/>
        <v>13952.019999999999</v>
      </c>
      <c r="AF71" s="1208">
        <f t="shared" si="55"/>
        <v>15870.069999999998</v>
      </c>
      <c r="AG71" s="1208">
        <f t="shared" si="55"/>
        <v>17787.27</v>
      </c>
      <c r="AH71" s="1208">
        <f t="shared" si="55"/>
        <v>19704.47</v>
      </c>
      <c r="AI71" s="1208">
        <f t="shared" ref="AI71:AV71" si="56">AI28+AI$6*$V50+AI$7*$W50+AI$8*$X50+AI$9*$Y50+AI$10*$Z50+AI$11*$AA50+AI$12*$AB50+AI$13*$AC50</f>
        <v>21624.170000000006</v>
      </c>
      <c r="AJ71" s="1208">
        <f t="shared" si="56"/>
        <v>22574.32</v>
      </c>
      <c r="AK71" s="1208">
        <f t="shared" si="56"/>
        <v>23010.77</v>
      </c>
      <c r="AL71" s="1208">
        <f t="shared" si="56"/>
        <v>23447.22</v>
      </c>
      <c r="AM71" s="1208">
        <f t="shared" si="56"/>
        <v>23883.670000000002</v>
      </c>
      <c r="AN71" s="1208">
        <f t="shared" si="56"/>
        <v>24320.82</v>
      </c>
      <c r="AO71" s="1208">
        <f t="shared" si="56"/>
        <v>24757.269999999997</v>
      </c>
      <c r="AP71" s="1208">
        <f t="shared" si="56"/>
        <v>25194.42</v>
      </c>
      <c r="AQ71" s="1208">
        <f t="shared" si="56"/>
        <v>25630.870000000003</v>
      </c>
      <c r="AR71" s="1208">
        <f t="shared" si="56"/>
        <v>26067.32</v>
      </c>
      <c r="AS71" s="1208">
        <f t="shared" si="56"/>
        <v>26504.470000000005</v>
      </c>
      <c r="AT71" s="1208">
        <f t="shared" si="56"/>
        <v>26940.920000000002</v>
      </c>
      <c r="AU71" s="1208">
        <f t="shared" si="56"/>
        <v>27377.37</v>
      </c>
      <c r="AV71" s="1208">
        <f t="shared" si="56"/>
        <v>27814.52</v>
      </c>
      <c r="AW71" s="1147"/>
      <c r="AX71" s="1147"/>
      <c r="AY71" s="1147"/>
      <c r="AZ71" s="1147"/>
      <c r="BA71" s="1147"/>
      <c r="BB71" s="1147"/>
      <c r="BC71" s="1147"/>
      <c r="BD71" s="1147"/>
      <c r="BE71" s="1147"/>
      <c r="BF71" s="1147"/>
      <c r="BG71" s="1147"/>
      <c r="BH71" s="1147"/>
      <c r="BI71" s="1147"/>
      <c r="BJ71" s="1147"/>
      <c r="BK71" s="1147"/>
      <c r="BL71" s="1147"/>
      <c r="BM71" s="1147"/>
      <c r="BN71" s="1147"/>
      <c r="BO71" s="1147"/>
      <c r="BP71" s="1147"/>
      <c r="BQ71" s="1147"/>
      <c r="BR71" s="1147"/>
      <c r="BS71" s="1147"/>
      <c r="BT71" s="1147"/>
      <c r="BU71" s="1147"/>
      <c r="BV71" s="1147"/>
      <c r="BW71" s="1147"/>
      <c r="BX71" s="1147"/>
      <c r="BY71" s="1147"/>
      <c r="BZ71" s="1147"/>
      <c r="CA71" s="1147"/>
      <c r="CB71" s="1147"/>
      <c r="CC71" s="1147"/>
      <c r="CD71" s="1147"/>
      <c r="CE71" s="1147"/>
      <c r="CF71" s="1147"/>
      <c r="CG71" s="1147"/>
      <c r="CH71" s="1147"/>
      <c r="CI71" s="1147"/>
      <c r="CJ71" s="1147"/>
      <c r="CK71" s="1146"/>
    </row>
    <row r="72" spans="1:89" ht="15" x14ac:dyDescent="0.25">
      <c r="A72" s="1146"/>
      <c r="B72" s="1146"/>
      <c r="C72" s="1146"/>
      <c r="D72" s="1146"/>
      <c r="E72" s="1146"/>
      <c r="F72" s="1146"/>
      <c r="G72" s="1146"/>
      <c r="H72" s="1146"/>
      <c r="I72" s="1146"/>
      <c r="J72" s="1146"/>
      <c r="K72" s="1146"/>
      <c r="L72" s="1146"/>
      <c r="M72" s="1146"/>
      <c r="N72" s="1146"/>
      <c r="O72" s="1146"/>
      <c r="P72" s="1146"/>
      <c r="Q72" s="1146"/>
      <c r="R72" s="1146"/>
      <c r="S72" s="1146"/>
      <c r="T72" s="1147"/>
      <c r="U72" s="1147" t="s">
        <v>372</v>
      </c>
      <c r="V72" s="1147"/>
      <c r="W72" s="1208">
        <f t="shared" si="36"/>
        <v>2400</v>
      </c>
      <c r="X72" s="1208">
        <f t="shared" si="36"/>
        <v>2718.92</v>
      </c>
      <c r="Y72" s="1208">
        <f t="shared" ref="Y72:AH72" si="57">Y29+Y$6*$V51+Y$7*$W51+Y$8*$X51+Y$9*$Y51+Y$10*$Z51+Y$11*$AA51+Y$12*$AB51+Y$13*$AC51</f>
        <v>3038.0400000000004</v>
      </c>
      <c r="Z72" s="1208">
        <f t="shared" si="57"/>
        <v>4117.76</v>
      </c>
      <c r="AA72" s="1208">
        <f t="shared" si="57"/>
        <v>5197.7</v>
      </c>
      <c r="AB72" s="1208">
        <f t="shared" si="57"/>
        <v>6278.6200000000008</v>
      </c>
      <c r="AC72" s="1208">
        <f t="shared" si="57"/>
        <v>7358.34</v>
      </c>
      <c r="AD72" s="1208">
        <f t="shared" si="57"/>
        <v>8439.08</v>
      </c>
      <c r="AE72" s="1208">
        <f t="shared" si="57"/>
        <v>10098.5</v>
      </c>
      <c r="AF72" s="1208">
        <f t="shared" si="57"/>
        <v>11757.740000000002</v>
      </c>
      <c r="AG72" s="1208">
        <f t="shared" si="57"/>
        <v>13417.140000000001</v>
      </c>
      <c r="AH72" s="1208">
        <f t="shared" si="57"/>
        <v>15076.56</v>
      </c>
      <c r="AI72" s="1208">
        <f t="shared" ref="AI72:AV72" si="58">AI29+AI$6*$V51+AI$7*$W51+AI$8*$X51+AI$9*$Y51+AI$10*$Z51+AI$11*$AA51+AI$12*$AB51+AI$13*$AC51</f>
        <v>16737.600000000002</v>
      </c>
      <c r="AJ72" s="1208">
        <f t="shared" si="58"/>
        <v>17635.600000000002</v>
      </c>
      <c r="AK72" s="1208">
        <f t="shared" si="58"/>
        <v>17954.52</v>
      </c>
      <c r="AL72" s="1208">
        <f t="shared" si="58"/>
        <v>18273.440000000002</v>
      </c>
      <c r="AM72" s="1208">
        <f t="shared" si="58"/>
        <v>18592.360000000004</v>
      </c>
      <c r="AN72" s="1208">
        <f t="shared" si="58"/>
        <v>18911.480000000003</v>
      </c>
      <c r="AO72" s="1208">
        <f t="shared" si="58"/>
        <v>19230.400000000001</v>
      </c>
      <c r="AP72" s="1208">
        <f t="shared" si="58"/>
        <v>19549.52</v>
      </c>
      <c r="AQ72" s="1208">
        <f t="shared" si="58"/>
        <v>19868.439999999999</v>
      </c>
      <c r="AR72" s="1208">
        <f t="shared" si="58"/>
        <v>20187.36</v>
      </c>
      <c r="AS72" s="1208">
        <f t="shared" si="58"/>
        <v>20506.480000000003</v>
      </c>
      <c r="AT72" s="1208">
        <f t="shared" si="58"/>
        <v>20825.400000000001</v>
      </c>
      <c r="AU72" s="1208">
        <f t="shared" si="58"/>
        <v>21144.32</v>
      </c>
      <c r="AV72" s="1208">
        <f t="shared" si="58"/>
        <v>21463.439999999999</v>
      </c>
      <c r="AW72" s="1147"/>
      <c r="AX72" s="1147"/>
      <c r="AY72" s="1147"/>
      <c r="AZ72" s="1147"/>
      <c r="BA72" s="1147"/>
      <c r="BB72" s="1147"/>
      <c r="BC72" s="1147"/>
      <c r="BD72" s="1147"/>
      <c r="BE72" s="1147"/>
      <c r="BF72" s="1147"/>
      <c r="BG72" s="1147"/>
      <c r="BH72" s="1147"/>
      <c r="BI72" s="1147"/>
      <c r="BJ72" s="1147"/>
      <c r="BK72" s="1147"/>
      <c r="BL72" s="1147"/>
      <c r="BM72" s="1147"/>
      <c r="BN72" s="1147"/>
      <c r="BO72" s="1147"/>
      <c r="BP72" s="1147"/>
      <c r="BQ72" s="1147"/>
      <c r="BR72" s="1147"/>
      <c r="BS72" s="1147"/>
      <c r="BT72" s="1147"/>
      <c r="BU72" s="1147"/>
      <c r="BV72" s="1147"/>
      <c r="BW72" s="1147"/>
      <c r="BX72" s="1147"/>
      <c r="BY72" s="1147"/>
      <c r="BZ72" s="1147"/>
      <c r="CA72" s="1147"/>
      <c r="CB72" s="1147"/>
      <c r="CC72" s="1147"/>
      <c r="CD72" s="1147"/>
      <c r="CE72" s="1147"/>
      <c r="CF72" s="1147"/>
      <c r="CG72" s="1147"/>
      <c r="CH72" s="1147"/>
      <c r="CI72" s="1147"/>
      <c r="CJ72" s="1147"/>
      <c r="CK72" s="1146"/>
    </row>
    <row r="73" spans="1:89" ht="15" x14ac:dyDescent="0.25">
      <c r="A73" s="1146"/>
      <c r="B73" s="1146"/>
      <c r="C73" s="1146"/>
      <c r="D73" s="1146"/>
      <c r="E73" s="1146"/>
      <c r="F73" s="1146"/>
      <c r="G73" s="1146"/>
      <c r="H73" s="1146"/>
      <c r="I73" s="1146"/>
      <c r="J73" s="1146"/>
      <c r="K73" s="1146"/>
      <c r="L73" s="1146"/>
      <c r="M73" s="1146"/>
      <c r="N73" s="1146"/>
      <c r="O73" s="1146"/>
      <c r="P73" s="1146"/>
      <c r="Q73" s="1146"/>
      <c r="R73" s="1146"/>
      <c r="S73" s="1146"/>
      <c r="T73" s="1147"/>
      <c r="U73" s="1147" t="s">
        <v>373</v>
      </c>
      <c r="V73" s="1147"/>
      <c r="W73" s="1208">
        <f t="shared" si="36"/>
        <v>6000</v>
      </c>
      <c r="X73" s="1208">
        <f t="shared" si="36"/>
        <v>6222.5300000000007</v>
      </c>
      <c r="Y73" s="1208">
        <f t="shared" ref="Y73:AH73" si="59">Y30+Y$6*$V52+Y$7*$W52+Y$8*$X52+Y$9*$Y52+Y$10*$Z52+Y$11*$AA52+Y$12*$AB52+Y$13*$AC52</f>
        <v>6445.1999999999989</v>
      </c>
      <c r="Z73" s="1208">
        <f t="shared" si="59"/>
        <v>6877.63</v>
      </c>
      <c r="AA73" s="1208">
        <f t="shared" si="59"/>
        <v>7310.31</v>
      </c>
      <c r="AB73" s="1208">
        <f t="shared" si="59"/>
        <v>7742.880000000001</v>
      </c>
      <c r="AC73" s="1208">
        <f t="shared" si="59"/>
        <v>8175.3100000000013</v>
      </c>
      <c r="AD73" s="1208">
        <f t="shared" si="59"/>
        <v>8608.2000000000007</v>
      </c>
      <c r="AE73" s="1208">
        <f t="shared" si="59"/>
        <v>9208.93</v>
      </c>
      <c r="AF73" s="1208">
        <f t="shared" si="59"/>
        <v>9809.98</v>
      </c>
      <c r="AG73" s="1208">
        <f t="shared" si="59"/>
        <v>10410.599999999999</v>
      </c>
      <c r="AH73" s="1208">
        <f t="shared" si="59"/>
        <v>11011.330000000002</v>
      </c>
      <c r="AI73" s="1208">
        <f t="shared" ref="AI73:AV73" si="60">AI30+AI$6*$V52+AI$7*$W52+AI$8*$X52+AI$9*$Y52+AI$10*$Z52+AI$11*$AA52+AI$12*$AB52+AI$13*$AC52</f>
        <v>11612.590000000002</v>
      </c>
      <c r="AJ73" s="1208">
        <f t="shared" si="60"/>
        <v>12003.24</v>
      </c>
      <c r="AK73" s="1208">
        <f t="shared" si="60"/>
        <v>12225.770000000002</v>
      </c>
      <c r="AL73" s="1208">
        <f t="shared" si="60"/>
        <v>12448.300000000001</v>
      </c>
      <c r="AM73" s="1208">
        <f t="shared" si="60"/>
        <v>12670.830000000002</v>
      </c>
      <c r="AN73" s="1208">
        <f t="shared" si="60"/>
        <v>12893.500000000004</v>
      </c>
      <c r="AO73" s="1208">
        <f t="shared" si="60"/>
        <v>13116.029999999999</v>
      </c>
      <c r="AP73" s="1208">
        <f t="shared" si="60"/>
        <v>13338.7</v>
      </c>
      <c r="AQ73" s="1208">
        <f t="shared" si="60"/>
        <v>13561.230000000001</v>
      </c>
      <c r="AR73" s="1208">
        <f t="shared" si="60"/>
        <v>13783.760000000002</v>
      </c>
      <c r="AS73" s="1208">
        <f t="shared" si="60"/>
        <v>14006.430000000002</v>
      </c>
      <c r="AT73" s="1208">
        <f t="shared" si="60"/>
        <v>14228.960000000001</v>
      </c>
      <c r="AU73" s="1208">
        <f t="shared" si="60"/>
        <v>14451.490000000002</v>
      </c>
      <c r="AV73" s="1208">
        <f t="shared" si="60"/>
        <v>14674.160000000002</v>
      </c>
      <c r="AW73" s="1147"/>
      <c r="AX73" s="1147"/>
      <c r="AY73" s="1147"/>
      <c r="AZ73" s="1147"/>
      <c r="BA73" s="1147"/>
      <c r="BB73" s="1147"/>
      <c r="BC73" s="1147"/>
      <c r="BD73" s="1147"/>
      <c r="BE73" s="1147"/>
      <c r="BF73" s="1147"/>
      <c r="BG73" s="1147"/>
      <c r="BH73" s="1147"/>
      <c r="BI73" s="1147"/>
      <c r="BJ73" s="1147"/>
      <c r="BK73" s="1147"/>
      <c r="BL73" s="1147"/>
      <c r="BM73" s="1147"/>
      <c r="BN73" s="1147"/>
      <c r="BO73" s="1147"/>
      <c r="BP73" s="1147"/>
      <c r="BQ73" s="1147"/>
      <c r="BR73" s="1147"/>
      <c r="BS73" s="1147"/>
      <c r="BT73" s="1147"/>
      <c r="BU73" s="1147"/>
      <c r="BV73" s="1147"/>
      <c r="BW73" s="1147"/>
      <c r="BX73" s="1147"/>
      <c r="BY73" s="1147"/>
      <c r="BZ73" s="1147"/>
      <c r="CA73" s="1147"/>
      <c r="CB73" s="1147"/>
      <c r="CC73" s="1147"/>
      <c r="CD73" s="1147"/>
      <c r="CE73" s="1147"/>
      <c r="CF73" s="1147"/>
      <c r="CG73" s="1147"/>
      <c r="CH73" s="1147"/>
      <c r="CI73" s="1147"/>
      <c r="CJ73" s="1147"/>
      <c r="CK73" s="1146"/>
    </row>
    <row r="74" spans="1:89" ht="15" x14ac:dyDescent="0.25">
      <c r="A74" s="1146"/>
      <c r="B74" s="1146"/>
      <c r="C74" s="1146"/>
      <c r="D74" s="1146"/>
      <c r="E74" s="1146"/>
      <c r="F74" s="1146"/>
      <c r="G74" s="1146"/>
      <c r="H74" s="1146"/>
      <c r="I74" s="1146"/>
      <c r="J74" s="1146"/>
      <c r="K74" s="1146"/>
      <c r="L74" s="1146"/>
      <c r="M74" s="1146"/>
      <c r="N74" s="1146"/>
      <c r="O74" s="1146"/>
      <c r="P74" s="1146"/>
      <c r="Q74" s="1146"/>
      <c r="R74" s="1146"/>
      <c r="S74" s="1146"/>
      <c r="T74" s="1147"/>
      <c r="U74" s="1147" t="s">
        <v>375</v>
      </c>
      <c r="V74" s="1147"/>
      <c r="W74" s="1208">
        <f t="shared" si="36"/>
        <v>100</v>
      </c>
      <c r="X74" s="1208">
        <f t="shared" si="36"/>
        <v>100</v>
      </c>
      <c r="Y74" s="1208">
        <f t="shared" ref="Y74:AH74" si="61">Y31+Y$6*$V53+Y$7*$W53+Y$8*$X53+Y$9*$Y53+Y$10*$Z53+Y$11*$AA53+Y$12*$AB53+Y$13*$AC53</f>
        <v>1170.1000000000001</v>
      </c>
      <c r="Z74" s="1208">
        <f t="shared" si="61"/>
        <v>2240.2000000000003</v>
      </c>
      <c r="AA74" s="1208">
        <f t="shared" si="61"/>
        <v>3311.2000000000003</v>
      </c>
      <c r="AB74" s="1208">
        <f t="shared" si="61"/>
        <v>4381.3</v>
      </c>
      <c r="AC74" s="1208">
        <f t="shared" si="61"/>
        <v>5451.4000000000005</v>
      </c>
      <c r="AD74" s="1208">
        <f t="shared" si="61"/>
        <v>6522.4000000000005</v>
      </c>
      <c r="AE74" s="1208">
        <f t="shared" si="61"/>
        <v>6522.4000000000005</v>
      </c>
      <c r="AF74" s="1208">
        <f t="shared" si="61"/>
        <v>6522.4000000000005</v>
      </c>
      <c r="AG74" s="1208">
        <f t="shared" si="61"/>
        <v>6522.4000000000005</v>
      </c>
      <c r="AH74" s="1208">
        <f t="shared" si="61"/>
        <v>6522.4000000000005</v>
      </c>
      <c r="AI74" s="1208">
        <f t="shared" ref="AI74:AV74" si="62">AI31+AI$6*$V53+AI$7*$W53+AI$8*$X53+AI$9*$Y53+AI$10*$Z53+AI$11*$AA53+AI$12*$AB53+AI$13*$AC53</f>
        <v>6522.4000000000005</v>
      </c>
      <c r="AJ74" s="1208">
        <f t="shared" si="62"/>
        <v>6522.4000000000005</v>
      </c>
      <c r="AK74" s="1208">
        <f t="shared" si="62"/>
        <v>6522.4000000000005</v>
      </c>
      <c r="AL74" s="1208">
        <f t="shared" si="62"/>
        <v>6522.4000000000005</v>
      </c>
      <c r="AM74" s="1208">
        <f t="shared" si="62"/>
        <v>6522.4000000000005</v>
      </c>
      <c r="AN74" s="1208">
        <f t="shared" si="62"/>
        <v>6522.4000000000005</v>
      </c>
      <c r="AO74" s="1208">
        <f t="shared" si="62"/>
        <v>6522.4000000000005</v>
      </c>
      <c r="AP74" s="1208">
        <f t="shared" si="62"/>
        <v>6522.4000000000005</v>
      </c>
      <c r="AQ74" s="1208">
        <f t="shared" si="62"/>
        <v>6522.4000000000005</v>
      </c>
      <c r="AR74" s="1208">
        <f t="shared" si="62"/>
        <v>6522.4000000000005</v>
      </c>
      <c r="AS74" s="1208">
        <f t="shared" si="62"/>
        <v>6522.4000000000005</v>
      </c>
      <c r="AT74" s="1208">
        <f t="shared" si="62"/>
        <v>6522.4000000000005</v>
      </c>
      <c r="AU74" s="1208">
        <f t="shared" si="62"/>
        <v>6522.4000000000005</v>
      </c>
      <c r="AV74" s="1208">
        <f t="shared" si="62"/>
        <v>6522.4000000000005</v>
      </c>
      <c r="AW74" s="1147"/>
      <c r="AX74" s="1147"/>
      <c r="AY74" s="1147"/>
      <c r="AZ74" s="1147"/>
      <c r="BA74" s="1147"/>
      <c r="BB74" s="1147"/>
      <c r="BC74" s="1147"/>
      <c r="BD74" s="1147"/>
      <c r="BE74" s="1147"/>
      <c r="BF74" s="1147"/>
      <c r="BG74" s="1147"/>
      <c r="BH74" s="1147"/>
      <c r="BI74" s="1147"/>
      <c r="BJ74" s="1147"/>
      <c r="BK74" s="1147"/>
      <c r="BL74" s="1147"/>
      <c r="BM74" s="1147"/>
      <c r="BN74" s="1147"/>
      <c r="BO74" s="1147"/>
      <c r="BP74" s="1147"/>
      <c r="BQ74" s="1147"/>
      <c r="BR74" s="1147"/>
      <c r="BS74" s="1147"/>
      <c r="BT74" s="1147"/>
      <c r="BU74" s="1147"/>
      <c r="BV74" s="1147"/>
      <c r="BW74" s="1147"/>
      <c r="BX74" s="1147"/>
      <c r="BY74" s="1147"/>
      <c r="BZ74" s="1147"/>
      <c r="CA74" s="1147"/>
      <c r="CB74" s="1147"/>
      <c r="CC74" s="1147"/>
      <c r="CD74" s="1147"/>
      <c r="CE74" s="1147"/>
      <c r="CF74" s="1147"/>
      <c r="CG74" s="1147"/>
      <c r="CH74" s="1147"/>
      <c r="CI74" s="1147"/>
      <c r="CJ74" s="1147"/>
      <c r="CK74" s="1146"/>
    </row>
    <row r="75" spans="1:89" ht="15" x14ac:dyDescent="0.25">
      <c r="A75" s="1146"/>
      <c r="B75" s="1146"/>
      <c r="C75" s="1146"/>
      <c r="D75" s="1146"/>
      <c r="E75" s="1146"/>
      <c r="F75" s="1146"/>
      <c r="G75" s="1146"/>
      <c r="H75" s="1146"/>
      <c r="I75" s="1146"/>
      <c r="J75" s="1146"/>
      <c r="K75" s="1146"/>
      <c r="L75" s="1146"/>
      <c r="M75" s="1146"/>
      <c r="N75" s="1146"/>
      <c r="O75" s="1146"/>
      <c r="P75" s="1146"/>
      <c r="Q75" s="1146"/>
      <c r="R75" s="1146"/>
      <c r="S75" s="1146"/>
      <c r="T75" s="1147"/>
      <c r="U75" s="1147" t="s">
        <v>382</v>
      </c>
      <c r="V75" s="1147"/>
      <c r="W75" s="1208">
        <f t="shared" si="36"/>
        <v>3600</v>
      </c>
      <c r="X75" s="1208">
        <f t="shared" si="36"/>
        <v>3655.6399999999994</v>
      </c>
      <c r="Y75" s="1208">
        <f t="shared" ref="Y75:AH75" si="63">Y32+Y$6*$V54+Y$7*$W54+Y$8*$X54+Y$9*$Y54+Y$10*$Z54+Y$11*$AA54+Y$12*$AB54+Y$13*$AC54</f>
        <v>3747.06</v>
      </c>
      <c r="Z75" s="1208">
        <f t="shared" si="63"/>
        <v>4057.7700000000004</v>
      </c>
      <c r="AA75" s="1208">
        <f t="shared" si="63"/>
        <v>4368.5200000000004</v>
      </c>
      <c r="AB75" s="1208">
        <f t="shared" si="63"/>
        <v>4679.6299999999992</v>
      </c>
      <c r="AC75" s="1208">
        <f t="shared" si="63"/>
        <v>4990.3399999999992</v>
      </c>
      <c r="AD75" s="1208">
        <f t="shared" si="63"/>
        <v>5301.4</v>
      </c>
      <c r="AE75" s="1208">
        <f t="shared" si="63"/>
        <v>5669.9399999999987</v>
      </c>
      <c r="AF75" s="1208">
        <f t="shared" si="63"/>
        <v>6038.3999999999987</v>
      </c>
      <c r="AG75" s="1208">
        <f t="shared" si="63"/>
        <v>6407.0399999999991</v>
      </c>
      <c r="AH75" s="1208">
        <f t="shared" si="63"/>
        <v>6775.58</v>
      </c>
      <c r="AI75" s="1208">
        <f t="shared" ref="AI75:AV75" si="64">AI32+AI$6*$V54+AI$7*$W54+AI$8*$X54+AI$9*$Y54+AI$10*$Z54+AI$11*$AA54+AI$12*$AB54+AI$13*$AC54</f>
        <v>7144.6399999999994</v>
      </c>
      <c r="AJ75" s="1208">
        <f t="shared" si="64"/>
        <v>7293.6799999999994</v>
      </c>
      <c r="AK75" s="1208">
        <f t="shared" si="64"/>
        <v>7349.3199999999988</v>
      </c>
      <c r="AL75" s="1208">
        <f t="shared" si="64"/>
        <v>7404.9600000000009</v>
      </c>
      <c r="AM75" s="1208">
        <f t="shared" si="64"/>
        <v>7460.6</v>
      </c>
      <c r="AN75" s="1208">
        <f t="shared" si="64"/>
        <v>7516.3499999999995</v>
      </c>
      <c r="AO75" s="1208">
        <f t="shared" si="64"/>
        <v>7571.99</v>
      </c>
      <c r="AP75" s="1208">
        <f t="shared" si="64"/>
        <v>7627.7400000000007</v>
      </c>
      <c r="AQ75" s="1208">
        <f t="shared" si="64"/>
        <v>7683.38</v>
      </c>
      <c r="AR75" s="1208">
        <f t="shared" si="64"/>
        <v>7739.0200000000013</v>
      </c>
      <c r="AS75" s="1208">
        <f t="shared" si="64"/>
        <v>7794.77</v>
      </c>
      <c r="AT75" s="1208">
        <f t="shared" si="64"/>
        <v>7850.4100000000008</v>
      </c>
      <c r="AU75" s="1208">
        <f t="shared" si="64"/>
        <v>7906.0500000000011</v>
      </c>
      <c r="AV75" s="1208">
        <f t="shared" si="64"/>
        <v>7961.8</v>
      </c>
      <c r="AW75" s="1147"/>
      <c r="AX75" s="1147"/>
      <c r="AY75" s="1147"/>
      <c r="AZ75" s="1147"/>
      <c r="BA75" s="1147"/>
      <c r="BB75" s="1147"/>
      <c r="BC75" s="1147"/>
      <c r="BD75" s="1147"/>
      <c r="BE75" s="1147"/>
      <c r="BF75" s="1147"/>
      <c r="BG75" s="1147"/>
      <c r="BH75" s="1147"/>
      <c r="BI75" s="1147"/>
      <c r="BJ75" s="1147"/>
      <c r="BK75" s="1147"/>
      <c r="BL75" s="1147"/>
      <c r="BM75" s="1147"/>
      <c r="BN75" s="1147"/>
      <c r="BO75" s="1147"/>
      <c r="BP75" s="1147"/>
      <c r="BQ75" s="1147"/>
      <c r="BR75" s="1147"/>
      <c r="BS75" s="1147"/>
      <c r="BT75" s="1147"/>
      <c r="BU75" s="1147"/>
      <c r="BV75" s="1147"/>
      <c r="BW75" s="1147"/>
      <c r="BX75" s="1147"/>
      <c r="BY75" s="1147"/>
      <c r="BZ75" s="1147"/>
      <c r="CA75" s="1147"/>
      <c r="CB75" s="1147"/>
      <c r="CC75" s="1147"/>
      <c r="CD75" s="1147"/>
      <c r="CE75" s="1147"/>
      <c r="CF75" s="1147"/>
      <c r="CG75" s="1147"/>
      <c r="CH75" s="1147"/>
      <c r="CI75" s="1147"/>
      <c r="CJ75" s="1147"/>
      <c r="CK75" s="1146"/>
    </row>
    <row r="76" spans="1:89" ht="15" x14ac:dyDescent="0.25">
      <c r="A76" s="1146"/>
      <c r="B76" s="1146"/>
      <c r="C76" s="1146"/>
      <c r="D76" s="1146"/>
      <c r="E76" s="1146"/>
      <c r="F76" s="1146"/>
      <c r="G76" s="1146"/>
      <c r="H76" s="1146"/>
      <c r="I76" s="1146"/>
      <c r="J76" s="1146"/>
      <c r="K76" s="1146"/>
      <c r="L76" s="1146"/>
      <c r="M76" s="1146"/>
      <c r="N76" s="1146"/>
      <c r="O76" s="1146"/>
      <c r="P76" s="1146"/>
      <c r="Q76" s="1146"/>
      <c r="R76" s="1146"/>
      <c r="S76" s="1146"/>
      <c r="T76" s="1147"/>
      <c r="U76" s="1147" t="s">
        <v>377</v>
      </c>
      <c r="V76" s="1147"/>
      <c r="W76" s="1208">
        <f t="shared" si="36"/>
        <v>1800</v>
      </c>
      <c r="X76" s="1208">
        <f t="shared" si="36"/>
        <v>1867.48</v>
      </c>
      <c r="Y76" s="1208">
        <f t="shared" ref="Y76:AH76" si="65">Y33+Y$6*$V55+Y$7*$W55+Y$8*$X55+Y$9*$Y55+Y$10*$Z55+Y$11*$AA55+Y$12*$AB55+Y$13*$AC55</f>
        <v>1970.7</v>
      </c>
      <c r="Z76" s="1208">
        <f t="shared" si="65"/>
        <v>2298.6500000000005</v>
      </c>
      <c r="AA76" s="1208">
        <f t="shared" si="65"/>
        <v>2626.65</v>
      </c>
      <c r="AB76" s="1208">
        <f t="shared" si="65"/>
        <v>2954.9999999999995</v>
      </c>
      <c r="AC76" s="1208">
        <f t="shared" si="65"/>
        <v>3282.95</v>
      </c>
      <c r="AD76" s="1208">
        <f t="shared" si="65"/>
        <v>3611.2200000000003</v>
      </c>
      <c r="AE76" s="1208">
        <f t="shared" si="65"/>
        <v>4043.75</v>
      </c>
      <c r="AF76" s="1208">
        <f t="shared" si="65"/>
        <v>4476.17</v>
      </c>
      <c r="AG76" s="1208">
        <f t="shared" si="65"/>
        <v>4908.75</v>
      </c>
      <c r="AH76" s="1208">
        <f t="shared" si="65"/>
        <v>5341.2800000000016</v>
      </c>
      <c r="AI76" s="1208">
        <f t="shared" ref="AI76:AV76" si="66">AI33+AI$6*$V55+AI$7*$W55+AI$8*$X55+AI$9*$Y55+AI$10*$Z55+AI$11*$AA55+AI$12*$AB55+AI$13*$AC55</f>
        <v>5774.3</v>
      </c>
      <c r="AJ76" s="1208">
        <f t="shared" si="66"/>
        <v>5981.8799999999992</v>
      </c>
      <c r="AK76" s="1208">
        <f t="shared" si="66"/>
        <v>6049.36</v>
      </c>
      <c r="AL76" s="1208">
        <f t="shared" si="66"/>
        <v>6116.8399999999992</v>
      </c>
      <c r="AM76" s="1208">
        <f t="shared" si="66"/>
        <v>6184.32</v>
      </c>
      <c r="AN76" s="1208">
        <f t="shared" si="66"/>
        <v>6251.87</v>
      </c>
      <c r="AO76" s="1208">
        <f t="shared" si="66"/>
        <v>6319.3499999999985</v>
      </c>
      <c r="AP76" s="1208">
        <f t="shared" si="66"/>
        <v>6386.9000000000005</v>
      </c>
      <c r="AQ76" s="1208">
        <f t="shared" si="66"/>
        <v>6454.380000000001</v>
      </c>
      <c r="AR76" s="1208">
        <f t="shared" si="66"/>
        <v>6521.86</v>
      </c>
      <c r="AS76" s="1208">
        <f t="shared" si="66"/>
        <v>6589.41</v>
      </c>
      <c r="AT76" s="1208">
        <f t="shared" si="66"/>
        <v>6656.8900000000012</v>
      </c>
      <c r="AU76" s="1208">
        <f t="shared" si="66"/>
        <v>6724.37</v>
      </c>
      <c r="AV76" s="1208">
        <f t="shared" si="66"/>
        <v>6791.92</v>
      </c>
      <c r="AW76" s="1147"/>
      <c r="AX76" s="1147"/>
      <c r="AY76" s="1147"/>
      <c r="AZ76" s="1147"/>
      <c r="BA76" s="1147"/>
      <c r="BB76" s="1147"/>
      <c r="BC76" s="1147"/>
      <c r="BD76" s="1147"/>
      <c r="BE76" s="1147"/>
      <c r="BF76" s="1147"/>
      <c r="BG76" s="1147"/>
      <c r="BH76" s="1147"/>
      <c r="BI76" s="1147"/>
      <c r="BJ76" s="1147"/>
      <c r="BK76" s="1147"/>
      <c r="BL76" s="1147"/>
      <c r="BM76" s="1147"/>
      <c r="BN76" s="1147"/>
      <c r="BO76" s="1147"/>
      <c r="BP76" s="1147"/>
      <c r="BQ76" s="1147"/>
      <c r="BR76" s="1147"/>
      <c r="BS76" s="1147"/>
      <c r="BT76" s="1147"/>
      <c r="BU76" s="1147"/>
      <c r="BV76" s="1147"/>
      <c r="BW76" s="1147"/>
      <c r="BX76" s="1147"/>
      <c r="BY76" s="1147"/>
      <c r="BZ76" s="1147"/>
      <c r="CA76" s="1147"/>
      <c r="CB76" s="1147"/>
      <c r="CC76" s="1147"/>
      <c r="CD76" s="1147"/>
      <c r="CE76" s="1147"/>
      <c r="CF76" s="1147"/>
      <c r="CG76" s="1147"/>
      <c r="CH76" s="1147"/>
      <c r="CI76" s="1147"/>
      <c r="CJ76" s="1147"/>
      <c r="CK76" s="1146"/>
    </row>
    <row r="77" spans="1:89" ht="15" x14ac:dyDescent="0.25">
      <c r="A77" s="1146"/>
      <c r="B77" s="1146"/>
      <c r="C77" s="1146"/>
      <c r="D77" s="1146"/>
      <c r="E77" s="1146"/>
      <c r="F77" s="1146"/>
      <c r="G77" s="1146"/>
      <c r="H77" s="1146"/>
      <c r="I77" s="1146"/>
      <c r="J77" s="1146"/>
      <c r="K77" s="1146"/>
      <c r="L77" s="1146"/>
      <c r="M77" s="1146"/>
      <c r="N77" s="1146"/>
      <c r="O77" s="1146"/>
      <c r="P77" s="1146"/>
      <c r="Q77" s="1146"/>
      <c r="R77" s="1146"/>
      <c r="S77" s="1146"/>
      <c r="T77" s="1147"/>
      <c r="U77" s="1147" t="s">
        <v>374</v>
      </c>
      <c r="V77" s="1147"/>
      <c r="W77" s="1208">
        <f t="shared" si="36"/>
        <v>20</v>
      </c>
      <c r="X77" s="1208">
        <f t="shared" si="36"/>
        <v>32.379999999999995</v>
      </c>
      <c r="Y77" s="1208">
        <f t="shared" ref="Y77:AH77" si="67">Y34+Y$6*$V56+Y$7*$W56+Y$8*$X56+Y$9*$Y56+Y$10*$Z56+Y$11*$AA56+Y$12*$AB56+Y$13*$AC56</f>
        <v>92.38</v>
      </c>
      <c r="Z77" s="1208">
        <f t="shared" si="67"/>
        <v>195.32</v>
      </c>
      <c r="AA77" s="1208">
        <f t="shared" si="67"/>
        <v>298.34000000000003</v>
      </c>
      <c r="AB77" s="1208">
        <f t="shared" si="67"/>
        <v>401.32000000000005</v>
      </c>
      <c r="AC77" s="1208">
        <f t="shared" si="67"/>
        <v>504.26000000000005</v>
      </c>
      <c r="AD77" s="1208">
        <f t="shared" si="67"/>
        <v>607.36</v>
      </c>
      <c r="AE77" s="1208">
        <f t="shared" si="67"/>
        <v>662.74</v>
      </c>
      <c r="AF77" s="1208">
        <f t="shared" si="67"/>
        <v>718.19999999999993</v>
      </c>
      <c r="AG77" s="1208">
        <f t="shared" si="67"/>
        <v>773.6</v>
      </c>
      <c r="AH77" s="1208">
        <f t="shared" si="67"/>
        <v>828.98</v>
      </c>
      <c r="AI77" s="1208">
        <f t="shared" ref="AI77:AV77" si="68">AI34+AI$6*$V56+AI$7*$W56+AI$8*$X56+AI$9*$Y56+AI$10*$Z56+AI$11*$AA56+AI$12*$AB56+AI$13*$AC56</f>
        <v>884.5</v>
      </c>
      <c r="AJ77" s="1208">
        <f t="shared" si="68"/>
        <v>896.87999999999988</v>
      </c>
      <c r="AK77" s="1208">
        <f t="shared" si="68"/>
        <v>909.26</v>
      </c>
      <c r="AL77" s="1208">
        <f t="shared" si="68"/>
        <v>921.63999999999987</v>
      </c>
      <c r="AM77" s="1208">
        <f t="shared" si="68"/>
        <v>934.02</v>
      </c>
      <c r="AN77" s="1208">
        <f t="shared" si="68"/>
        <v>946.45999999999992</v>
      </c>
      <c r="AO77" s="1208">
        <f t="shared" si="68"/>
        <v>958.83999999999992</v>
      </c>
      <c r="AP77" s="1208">
        <f t="shared" si="68"/>
        <v>971.28</v>
      </c>
      <c r="AQ77" s="1208">
        <f t="shared" si="68"/>
        <v>983.65999999999985</v>
      </c>
      <c r="AR77" s="1208">
        <f t="shared" si="68"/>
        <v>996.04</v>
      </c>
      <c r="AS77" s="1208">
        <f t="shared" si="68"/>
        <v>1008.48</v>
      </c>
      <c r="AT77" s="1208">
        <f t="shared" si="68"/>
        <v>1020.8599999999999</v>
      </c>
      <c r="AU77" s="1208">
        <f t="shared" si="68"/>
        <v>1033.24</v>
      </c>
      <c r="AV77" s="1208">
        <f t="shared" si="68"/>
        <v>1045.68</v>
      </c>
      <c r="AW77" s="1147"/>
      <c r="AX77" s="1147"/>
      <c r="AY77" s="1147"/>
      <c r="AZ77" s="1147"/>
      <c r="BA77" s="1147"/>
      <c r="BB77" s="1147"/>
      <c r="BC77" s="1147"/>
      <c r="BD77" s="1147"/>
      <c r="BE77" s="1147"/>
      <c r="BF77" s="1147"/>
      <c r="BG77" s="1147"/>
      <c r="BH77" s="1147"/>
      <c r="BI77" s="1147"/>
      <c r="BJ77" s="1147"/>
      <c r="BK77" s="1147"/>
      <c r="BL77" s="1147"/>
      <c r="BM77" s="1147"/>
      <c r="BN77" s="1147"/>
      <c r="BO77" s="1147"/>
      <c r="BP77" s="1147"/>
      <c r="BQ77" s="1147"/>
      <c r="BR77" s="1147"/>
      <c r="BS77" s="1147"/>
      <c r="BT77" s="1147"/>
      <c r="BU77" s="1147"/>
      <c r="BV77" s="1147"/>
      <c r="BW77" s="1147"/>
      <c r="BX77" s="1147"/>
      <c r="BY77" s="1147"/>
      <c r="BZ77" s="1147"/>
      <c r="CA77" s="1147"/>
      <c r="CB77" s="1147"/>
      <c r="CC77" s="1147"/>
      <c r="CD77" s="1147"/>
      <c r="CE77" s="1147"/>
      <c r="CF77" s="1147"/>
      <c r="CG77" s="1147"/>
      <c r="CH77" s="1147"/>
      <c r="CI77" s="1147"/>
      <c r="CJ77" s="1147"/>
      <c r="CK77" s="1146"/>
    </row>
    <row r="78" spans="1:89" ht="15" x14ac:dyDescent="0.25">
      <c r="A78" s="1146"/>
      <c r="B78" s="1146"/>
      <c r="C78" s="1146"/>
      <c r="D78" s="1146"/>
      <c r="E78" s="1146"/>
      <c r="F78" s="1146"/>
      <c r="G78" s="1146"/>
      <c r="H78" s="1146"/>
      <c r="I78" s="1146"/>
      <c r="J78" s="1146"/>
      <c r="K78" s="1146"/>
      <c r="L78" s="1146"/>
      <c r="M78" s="1146"/>
      <c r="N78" s="1146"/>
      <c r="O78" s="1146"/>
      <c r="P78" s="1146"/>
      <c r="Q78" s="1146"/>
      <c r="R78" s="1146"/>
      <c r="S78" s="1146"/>
      <c r="T78" s="1147"/>
      <c r="U78" s="1147" t="s">
        <v>376</v>
      </c>
      <c r="V78" s="1147"/>
      <c r="W78" s="1208">
        <f t="shared" si="36"/>
        <v>300</v>
      </c>
      <c r="X78" s="1208">
        <f t="shared" si="36"/>
        <v>569.87</v>
      </c>
      <c r="Y78" s="1208">
        <f t="shared" ref="Y78:AH78" si="69">Y35+Y$6*$V57+Y$7*$W57+Y$8*$X57+Y$9*$Y57+Y$10*$Z57+Y$11*$AA57+Y$12*$AB57+Y$13*$AC57</f>
        <v>839.65000000000009</v>
      </c>
      <c r="Z78" s="1208">
        <f t="shared" si="69"/>
        <v>1826.62</v>
      </c>
      <c r="AA78" s="1208">
        <f t="shared" si="69"/>
        <v>2813.63</v>
      </c>
      <c r="AB78" s="1208">
        <f t="shared" si="69"/>
        <v>3801.9000000000005</v>
      </c>
      <c r="AC78" s="1208">
        <f t="shared" si="69"/>
        <v>4788.87</v>
      </c>
      <c r="AD78" s="1208">
        <f t="shared" si="69"/>
        <v>5776.4400000000005</v>
      </c>
      <c r="AE78" s="1208">
        <f t="shared" si="69"/>
        <v>7492.7100000000009</v>
      </c>
      <c r="AF78" s="1208">
        <f t="shared" si="69"/>
        <v>9208.2800000000007</v>
      </c>
      <c r="AG78" s="1208">
        <f t="shared" si="69"/>
        <v>10924.419999999998</v>
      </c>
      <c r="AH78" s="1208">
        <f t="shared" si="69"/>
        <v>12640.69</v>
      </c>
      <c r="AI78" s="1208">
        <f t="shared" ref="AI78:AV78" si="70">AI35+AI$6*$V57+AI$7*$W57+AI$8*$X57+AI$9*$Y57+AI$10*$Z57+AI$11*$AA57+AI$12*$AB57+AI$13*$AC57</f>
        <v>14358.21</v>
      </c>
      <c r="AJ78" s="1208">
        <f t="shared" si="70"/>
        <v>15356.599999999999</v>
      </c>
      <c r="AK78" s="1208">
        <f t="shared" si="70"/>
        <v>15626.47</v>
      </c>
      <c r="AL78" s="1208">
        <f t="shared" si="70"/>
        <v>15896.34</v>
      </c>
      <c r="AM78" s="1208">
        <f t="shared" si="70"/>
        <v>16166.21</v>
      </c>
      <c r="AN78" s="1208">
        <f t="shared" si="70"/>
        <v>16435.989999999998</v>
      </c>
      <c r="AO78" s="1208">
        <f t="shared" si="70"/>
        <v>16705.86</v>
      </c>
      <c r="AP78" s="1208">
        <f t="shared" si="70"/>
        <v>16975.64</v>
      </c>
      <c r="AQ78" s="1208">
        <f t="shared" si="70"/>
        <v>17245.509999999998</v>
      </c>
      <c r="AR78" s="1208">
        <f t="shared" si="70"/>
        <v>17515.38</v>
      </c>
      <c r="AS78" s="1208">
        <f t="shared" si="70"/>
        <v>17785.16</v>
      </c>
      <c r="AT78" s="1208">
        <f t="shared" si="70"/>
        <v>18055.030000000002</v>
      </c>
      <c r="AU78" s="1208">
        <f t="shared" si="70"/>
        <v>18324.900000000001</v>
      </c>
      <c r="AV78" s="1208">
        <f t="shared" si="70"/>
        <v>18594.68</v>
      </c>
      <c r="AW78" s="1147"/>
      <c r="AX78" s="1147"/>
      <c r="AY78" s="1147"/>
      <c r="AZ78" s="1147"/>
      <c r="BA78" s="1147"/>
      <c r="BB78" s="1147"/>
      <c r="BC78" s="1147"/>
      <c r="BD78" s="1147"/>
      <c r="BE78" s="1147"/>
      <c r="BF78" s="1147"/>
      <c r="BG78" s="1147"/>
      <c r="BH78" s="1147"/>
      <c r="BI78" s="1147"/>
      <c r="BJ78" s="1147"/>
      <c r="BK78" s="1147"/>
      <c r="BL78" s="1147"/>
      <c r="BM78" s="1147"/>
      <c r="BN78" s="1147"/>
      <c r="BO78" s="1147"/>
      <c r="BP78" s="1147"/>
      <c r="BQ78" s="1147"/>
      <c r="BR78" s="1147"/>
      <c r="BS78" s="1147"/>
      <c r="BT78" s="1147"/>
      <c r="BU78" s="1147"/>
      <c r="BV78" s="1147"/>
      <c r="BW78" s="1147"/>
      <c r="BX78" s="1147"/>
      <c r="BY78" s="1147"/>
      <c r="BZ78" s="1147"/>
      <c r="CA78" s="1147"/>
      <c r="CB78" s="1147"/>
      <c r="CC78" s="1147"/>
      <c r="CD78" s="1147"/>
      <c r="CE78" s="1147"/>
      <c r="CF78" s="1147"/>
      <c r="CG78" s="1147"/>
      <c r="CH78" s="1147"/>
      <c r="CI78" s="1147"/>
      <c r="CJ78" s="1147"/>
      <c r="CK78" s="1146"/>
    </row>
    <row r="79" spans="1:89" ht="15.75" thickBot="1" x14ac:dyDescent="0.3">
      <c r="A79" s="1146"/>
      <c r="B79" s="1146"/>
      <c r="C79" s="1146"/>
      <c r="D79" s="1146"/>
      <c r="E79" s="1146"/>
      <c r="F79" s="1146"/>
      <c r="G79" s="1146"/>
      <c r="H79" s="1146"/>
      <c r="I79" s="1146"/>
      <c r="J79" s="1146"/>
      <c r="K79" s="1146"/>
      <c r="L79" s="1146"/>
      <c r="M79" s="1146"/>
      <c r="N79" s="1146"/>
      <c r="O79" s="1146"/>
      <c r="P79" s="1146"/>
      <c r="Q79" s="1146"/>
      <c r="R79" s="1146"/>
      <c r="S79" s="1146"/>
      <c r="T79" s="1222"/>
      <c r="U79" s="1222" t="s">
        <v>378</v>
      </c>
      <c r="V79" s="1222"/>
      <c r="W79" s="1225">
        <f t="shared" si="36"/>
        <v>0</v>
      </c>
      <c r="X79" s="1225">
        <f t="shared" si="36"/>
        <v>0</v>
      </c>
      <c r="Y79" s="1225">
        <f t="shared" ref="Y79:AH79" si="71">Y36+Y$6*$V58+Y$7*$W58+Y$8*$X58+Y$9*$Y58+Y$10*$Z58+Y$11*$AA58+Y$12*$AB58+Y$13*$AC58</f>
        <v>0</v>
      </c>
      <c r="Z79" s="1225">
        <f t="shared" si="71"/>
        <v>0</v>
      </c>
      <c r="AA79" s="1225">
        <f t="shared" si="71"/>
        <v>0</v>
      </c>
      <c r="AB79" s="1225">
        <f t="shared" si="71"/>
        <v>0</v>
      </c>
      <c r="AC79" s="1225">
        <f t="shared" si="71"/>
        <v>0</v>
      </c>
      <c r="AD79" s="1225">
        <f t="shared" si="71"/>
        <v>0</v>
      </c>
      <c r="AE79" s="1225">
        <f t="shared" si="71"/>
        <v>0</v>
      </c>
      <c r="AF79" s="1225">
        <f t="shared" si="71"/>
        <v>0</v>
      </c>
      <c r="AG79" s="1225">
        <f t="shared" si="71"/>
        <v>0</v>
      </c>
      <c r="AH79" s="1225">
        <f t="shared" si="71"/>
        <v>0</v>
      </c>
      <c r="AI79" s="1225">
        <f t="shared" ref="AI79:AV79" si="72">AI36+AI$6*$V58+AI$7*$W58+AI$8*$X58+AI$9*$Y58+AI$10*$Z58+AI$11*$AA58+AI$12*$AB58+AI$13*$AC58</f>
        <v>0</v>
      </c>
      <c r="AJ79" s="1225">
        <f t="shared" si="72"/>
        <v>0</v>
      </c>
      <c r="AK79" s="1225">
        <f t="shared" si="72"/>
        <v>0</v>
      </c>
      <c r="AL79" s="1225">
        <f t="shared" si="72"/>
        <v>0</v>
      </c>
      <c r="AM79" s="1225">
        <f t="shared" si="72"/>
        <v>0</v>
      </c>
      <c r="AN79" s="1225">
        <f t="shared" si="72"/>
        <v>0</v>
      </c>
      <c r="AO79" s="1225">
        <f t="shared" si="72"/>
        <v>0</v>
      </c>
      <c r="AP79" s="1225">
        <f t="shared" si="72"/>
        <v>0</v>
      </c>
      <c r="AQ79" s="1225">
        <f t="shared" si="72"/>
        <v>0</v>
      </c>
      <c r="AR79" s="1225">
        <f t="shared" si="72"/>
        <v>0</v>
      </c>
      <c r="AS79" s="1225">
        <f t="shared" si="72"/>
        <v>0</v>
      </c>
      <c r="AT79" s="1225">
        <f t="shared" si="72"/>
        <v>0</v>
      </c>
      <c r="AU79" s="1225">
        <f t="shared" si="72"/>
        <v>0</v>
      </c>
      <c r="AV79" s="1225">
        <f t="shared" si="72"/>
        <v>0</v>
      </c>
      <c r="AW79" s="1147"/>
      <c r="AX79" s="1147"/>
      <c r="AY79" s="1147"/>
      <c r="AZ79" s="1147"/>
      <c r="BA79" s="1147"/>
      <c r="BB79" s="1147"/>
      <c r="BC79" s="1147"/>
      <c r="BD79" s="1147"/>
      <c r="BE79" s="1147"/>
      <c r="BF79" s="1147"/>
      <c r="BG79" s="1147"/>
      <c r="BH79" s="1147"/>
      <c r="BI79" s="1147"/>
      <c r="BJ79" s="1147"/>
      <c r="BK79" s="1147"/>
      <c r="BL79" s="1147"/>
      <c r="BM79" s="1147"/>
      <c r="BN79" s="1147"/>
      <c r="BO79" s="1147"/>
      <c r="BP79" s="1147"/>
      <c r="BQ79" s="1147"/>
      <c r="BR79" s="1147"/>
      <c r="BS79" s="1147"/>
      <c r="BT79" s="1147"/>
      <c r="BU79" s="1147"/>
      <c r="BV79" s="1147"/>
      <c r="BW79" s="1147"/>
      <c r="BX79" s="1147"/>
      <c r="BY79" s="1147"/>
      <c r="BZ79" s="1147"/>
      <c r="CA79" s="1147"/>
      <c r="CB79" s="1147"/>
      <c r="CC79" s="1147"/>
      <c r="CD79" s="1147"/>
      <c r="CE79" s="1147"/>
      <c r="CF79" s="1147"/>
      <c r="CG79" s="1147"/>
      <c r="CH79" s="1147"/>
      <c r="CI79" s="1147"/>
      <c r="CJ79" s="1147"/>
      <c r="CK79" s="1146"/>
    </row>
    <row r="80" spans="1:89" ht="15" x14ac:dyDescent="0.25">
      <c r="A80" s="1146"/>
      <c r="B80" s="1146"/>
      <c r="C80" s="1146"/>
      <c r="D80" s="1146"/>
      <c r="E80" s="1146"/>
      <c r="F80" s="1146"/>
      <c r="G80" s="1146"/>
      <c r="H80" s="1146"/>
      <c r="I80" s="1146"/>
      <c r="J80" s="1146"/>
      <c r="K80" s="1146"/>
      <c r="L80" s="1146"/>
      <c r="M80" s="1146"/>
      <c r="N80" s="1146"/>
      <c r="O80" s="1146"/>
      <c r="P80" s="1146"/>
      <c r="Q80" s="1146"/>
      <c r="R80" s="1146"/>
      <c r="S80" s="1146"/>
      <c r="T80" s="1147"/>
      <c r="U80" s="1147"/>
      <c r="V80" s="1147"/>
      <c r="W80" s="1147"/>
      <c r="X80" s="1147"/>
      <c r="Y80" s="1147"/>
      <c r="Z80" s="1147"/>
      <c r="AA80" s="1147"/>
      <c r="AB80" s="1147"/>
      <c r="AC80" s="1147"/>
      <c r="AD80" s="1147"/>
      <c r="AE80" s="1147"/>
      <c r="AF80" s="1147"/>
      <c r="AG80" s="1147"/>
      <c r="AH80" s="1147"/>
      <c r="AI80" s="1147"/>
      <c r="AJ80" s="1147"/>
      <c r="AK80" s="1147"/>
      <c r="AL80" s="1147"/>
      <c r="AM80" s="1147"/>
      <c r="AN80" s="1147"/>
      <c r="AO80" s="1147"/>
      <c r="AP80" s="1147"/>
      <c r="AQ80" s="1147"/>
      <c r="AR80" s="1147"/>
      <c r="AS80" s="1147"/>
      <c r="AT80" s="1147"/>
      <c r="AU80" s="1147"/>
      <c r="AV80" s="1147"/>
      <c r="AW80" s="1147"/>
      <c r="AX80" s="1147"/>
      <c r="AY80" s="1147"/>
      <c r="AZ80" s="1147"/>
      <c r="BA80" s="1147"/>
      <c r="BB80" s="1147"/>
      <c r="BC80" s="1147"/>
      <c r="BD80" s="1147"/>
      <c r="BE80" s="1147"/>
      <c r="BF80" s="1147"/>
      <c r="BG80" s="1147"/>
      <c r="BH80" s="1147"/>
      <c r="BI80" s="1147"/>
      <c r="BJ80" s="1147"/>
      <c r="BK80" s="1147"/>
      <c r="BL80" s="1147"/>
      <c r="BM80" s="1147"/>
      <c r="BN80" s="1147"/>
      <c r="BO80" s="1147"/>
      <c r="BP80" s="1147"/>
      <c r="BQ80" s="1147"/>
      <c r="BR80" s="1147"/>
      <c r="BS80" s="1147"/>
      <c r="BT80" s="1147"/>
      <c r="BU80" s="1147"/>
      <c r="BV80" s="1147"/>
      <c r="BW80" s="1147"/>
      <c r="BX80" s="1147"/>
      <c r="BY80" s="1147"/>
      <c r="BZ80" s="1147"/>
      <c r="CA80" s="1147"/>
      <c r="CB80" s="1147"/>
      <c r="CC80" s="1147"/>
      <c r="CD80" s="1147"/>
      <c r="CE80" s="1147"/>
      <c r="CF80" s="1147"/>
      <c r="CG80" s="1147"/>
      <c r="CH80" s="1147"/>
      <c r="CI80" s="1147"/>
      <c r="CJ80" s="1147"/>
      <c r="CK80" s="1146"/>
    </row>
    <row r="81" spans="1:89" ht="15.75" thickBot="1" x14ac:dyDescent="0.3">
      <c r="A81" s="1146"/>
      <c r="B81" s="1146"/>
      <c r="C81" s="1146"/>
      <c r="D81" s="1146"/>
      <c r="E81" s="1146"/>
      <c r="F81" s="1146"/>
      <c r="G81" s="1146"/>
      <c r="H81" s="1146"/>
      <c r="I81" s="1146"/>
      <c r="J81" s="1146"/>
      <c r="K81" s="1146"/>
      <c r="L81" s="1146"/>
      <c r="M81" s="1146"/>
      <c r="N81" s="1146"/>
      <c r="O81" s="1146"/>
      <c r="P81" s="1146"/>
      <c r="Q81" s="1146"/>
      <c r="R81" s="1146"/>
      <c r="S81" s="1146"/>
      <c r="T81" s="1147"/>
      <c r="U81" s="1147"/>
      <c r="V81" s="1226">
        <v>1</v>
      </c>
      <c r="W81" s="1226">
        <v>2</v>
      </c>
      <c r="X81" s="1226">
        <v>3</v>
      </c>
      <c r="Y81" s="1226" t="s">
        <v>671</v>
      </c>
      <c r="Z81" s="1226" t="s">
        <v>672</v>
      </c>
      <c r="AA81" s="1226" t="s">
        <v>673</v>
      </c>
      <c r="AB81" s="1226">
        <v>5</v>
      </c>
      <c r="AC81" s="1226">
        <v>6</v>
      </c>
      <c r="AD81" s="1147"/>
      <c r="AE81" s="1147"/>
      <c r="AF81" s="1147"/>
      <c r="AG81" s="1147"/>
      <c r="AH81" s="1147"/>
      <c r="AI81" s="1147"/>
      <c r="AJ81" s="1147"/>
      <c r="AK81" s="1147"/>
      <c r="AL81" s="1147"/>
      <c r="AM81" s="1147"/>
      <c r="AN81" s="1147"/>
      <c r="AO81" s="1147"/>
      <c r="AP81" s="1147"/>
      <c r="AQ81" s="1147"/>
      <c r="AR81" s="1147"/>
      <c r="AS81" s="1147"/>
      <c r="AT81" s="1147"/>
      <c r="AU81" s="1147"/>
      <c r="AV81" s="1147"/>
      <c r="AW81" s="1147"/>
      <c r="AX81" s="1147"/>
      <c r="AY81" s="1147"/>
      <c r="AZ81" s="1147"/>
      <c r="BA81" s="1147"/>
      <c r="BB81" s="1147"/>
      <c r="BC81" s="1147"/>
      <c r="BD81" s="1147"/>
      <c r="BE81" s="1147"/>
      <c r="BF81" s="1147"/>
      <c r="BG81" s="1147"/>
      <c r="BH81" s="1147"/>
      <c r="BI81" s="1147"/>
      <c r="BJ81" s="1147"/>
      <c r="BK81" s="1147"/>
      <c r="BL81" s="1147"/>
      <c r="BM81" s="1147"/>
      <c r="BN81" s="1147"/>
      <c r="BO81" s="1147"/>
      <c r="BP81" s="1147"/>
      <c r="BQ81" s="1147"/>
      <c r="BR81" s="1147"/>
      <c r="BS81" s="1147"/>
      <c r="BT81" s="1147"/>
      <c r="BU81" s="1147"/>
      <c r="BV81" s="1147"/>
      <c r="BW81" s="1147"/>
      <c r="BX81" s="1147"/>
      <c r="BY81" s="1147"/>
      <c r="BZ81" s="1147"/>
      <c r="CA81" s="1147"/>
      <c r="CB81" s="1147"/>
      <c r="CC81" s="1147"/>
      <c r="CD81" s="1147"/>
      <c r="CE81" s="1147"/>
      <c r="CF81" s="1147"/>
      <c r="CG81" s="1147"/>
      <c r="CH81" s="1147"/>
      <c r="CI81" s="1147"/>
      <c r="CJ81" s="1147"/>
      <c r="CK81" s="1146"/>
    </row>
    <row r="82" spans="1:89" ht="15" x14ac:dyDescent="0.25">
      <c r="A82" s="1146"/>
      <c r="B82" s="1146"/>
      <c r="C82" s="1146"/>
      <c r="D82" s="1146"/>
      <c r="E82" s="1146"/>
      <c r="F82" s="1146"/>
      <c r="G82" s="1146"/>
      <c r="H82" s="1146"/>
      <c r="I82" s="1146"/>
      <c r="J82" s="1146"/>
      <c r="K82" s="1146"/>
      <c r="L82" s="1146"/>
      <c r="M82" s="1146"/>
      <c r="N82" s="1146"/>
      <c r="O82" s="1146"/>
      <c r="P82" s="1146"/>
      <c r="Q82" s="1146"/>
      <c r="R82" s="1146"/>
      <c r="S82" s="1146"/>
      <c r="T82" s="1205" t="s">
        <v>693</v>
      </c>
      <c r="U82" s="1223" t="s">
        <v>368</v>
      </c>
      <c r="V82" s="1227">
        <v>0.25</v>
      </c>
      <c r="W82" s="1227">
        <v>0.3</v>
      </c>
      <c r="X82" s="1227">
        <v>0.3</v>
      </c>
      <c r="Y82" s="1227">
        <v>0.25</v>
      </c>
      <c r="Z82" s="1227">
        <v>0.25</v>
      </c>
      <c r="AA82" s="1227">
        <v>0.3</v>
      </c>
      <c r="AB82" s="1227">
        <v>0.3</v>
      </c>
      <c r="AC82" s="1227">
        <v>0.3</v>
      </c>
      <c r="AD82" s="1223"/>
      <c r="AE82" s="1223"/>
      <c r="AF82" s="1223"/>
      <c r="AG82" s="1223"/>
      <c r="AH82" s="1223"/>
      <c r="AI82" s="1223"/>
      <c r="AJ82" s="1223"/>
      <c r="AK82" s="1223"/>
      <c r="AL82" s="1223"/>
      <c r="AM82" s="1223"/>
      <c r="AN82" s="1223"/>
      <c r="AO82" s="1223"/>
      <c r="AP82" s="1223"/>
      <c r="AQ82" s="1223"/>
      <c r="AR82" s="1223"/>
      <c r="AS82" s="1223"/>
      <c r="AT82" s="1223"/>
      <c r="AU82" s="1223"/>
      <c r="AV82" s="1223"/>
      <c r="AW82" s="1147"/>
      <c r="AX82" s="1147"/>
      <c r="AY82" s="1147"/>
      <c r="AZ82" s="1147"/>
      <c r="BA82" s="1147"/>
      <c r="BB82" s="1147"/>
      <c r="BC82" s="1147"/>
      <c r="BD82" s="1147"/>
      <c r="BE82" s="1147"/>
      <c r="BF82" s="1147"/>
      <c r="BG82" s="1147"/>
      <c r="BH82" s="1147"/>
      <c r="BI82" s="1147"/>
      <c r="BJ82" s="1147"/>
      <c r="BK82" s="1147"/>
      <c r="BL82" s="1147"/>
      <c r="BM82" s="1147"/>
      <c r="BN82" s="1147"/>
      <c r="BO82" s="1147"/>
      <c r="BP82" s="1147"/>
      <c r="BQ82" s="1147"/>
      <c r="BR82" s="1147"/>
      <c r="BS82" s="1147"/>
      <c r="BT82" s="1147"/>
      <c r="BU82" s="1147"/>
      <c r="BV82" s="1147"/>
      <c r="BW82" s="1147"/>
      <c r="BX82" s="1147"/>
      <c r="BY82" s="1147"/>
      <c r="BZ82" s="1147"/>
      <c r="CA82" s="1147"/>
      <c r="CB82" s="1147"/>
      <c r="CC82" s="1147"/>
      <c r="CD82" s="1147"/>
      <c r="CE82" s="1147"/>
      <c r="CF82" s="1147"/>
      <c r="CG82" s="1147"/>
      <c r="CH82" s="1147"/>
      <c r="CI82" s="1147"/>
      <c r="CJ82" s="1147"/>
      <c r="CK82" s="1146"/>
    </row>
    <row r="83" spans="1:89" ht="15" x14ac:dyDescent="0.25">
      <c r="A83" s="1146"/>
      <c r="B83" s="1146"/>
      <c r="C83" s="1146"/>
      <c r="D83" s="1146"/>
      <c r="E83" s="1146"/>
      <c r="F83" s="1146"/>
      <c r="G83" s="1146"/>
      <c r="H83" s="1146"/>
      <c r="I83" s="1146"/>
      <c r="J83" s="1146"/>
      <c r="K83" s="1146"/>
      <c r="L83" s="1146"/>
      <c r="M83" s="1146"/>
      <c r="N83" s="1146"/>
      <c r="O83" s="1146"/>
      <c r="P83" s="1146"/>
      <c r="Q83" s="1146"/>
      <c r="R83" s="1146"/>
      <c r="S83" s="1146"/>
      <c r="T83" s="1147" t="s">
        <v>690</v>
      </c>
      <c r="U83" s="1147" t="s">
        <v>369</v>
      </c>
      <c r="V83" s="1221">
        <v>0.3</v>
      </c>
      <c r="W83" s="1221">
        <v>0.4</v>
      </c>
      <c r="X83" s="1221">
        <v>0.4</v>
      </c>
      <c r="Y83" s="1221">
        <v>0.3</v>
      </c>
      <c r="Z83" s="1221">
        <v>0.3</v>
      </c>
      <c r="AA83" s="1221">
        <v>0.4</v>
      </c>
      <c r="AB83" s="1221">
        <v>0.5</v>
      </c>
      <c r="AC83" s="1221">
        <v>0.5</v>
      </c>
      <c r="AD83" s="1147"/>
      <c r="AE83" s="1147"/>
      <c r="AF83" s="1147"/>
      <c r="AG83" s="1147"/>
      <c r="AH83" s="1147"/>
      <c r="AI83" s="1147"/>
      <c r="AJ83" s="1147"/>
      <c r="AK83" s="1147"/>
      <c r="AL83" s="1147"/>
      <c r="AM83" s="1147"/>
      <c r="AN83" s="1147"/>
      <c r="AO83" s="1147"/>
      <c r="AP83" s="1147"/>
      <c r="AQ83" s="1147"/>
      <c r="AR83" s="1147"/>
      <c r="AS83" s="1147"/>
      <c r="AT83" s="1147"/>
      <c r="AU83" s="1147"/>
      <c r="AV83" s="1147"/>
      <c r="AW83" s="1147"/>
      <c r="AX83" s="1147"/>
      <c r="AY83" s="1147"/>
      <c r="AZ83" s="1147"/>
      <c r="BA83" s="1147"/>
      <c r="BB83" s="1147"/>
      <c r="BC83" s="1147"/>
      <c r="BD83" s="1147"/>
      <c r="BE83" s="1147"/>
      <c r="BF83" s="1147"/>
      <c r="BG83" s="1147"/>
      <c r="BH83" s="1147"/>
      <c r="BI83" s="1147"/>
      <c r="BJ83" s="1147"/>
      <c r="BK83" s="1147"/>
      <c r="BL83" s="1147"/>
      <c r="BM83" s="1147"/>
      <c r="BN83" s="1147"/>
      <c r="BO83" s="1147"/>
      <c r="BP83" s="1147"/>
      <c r="BQ83" s="1147"/>
      <c r="BR83" s="1147"/>
      <c r="BS83" s="1147"/>
      <c r="BT83" s="1147"/>
      <c r="BU83" s="1147"/>
      <c r="BV83" s="1147"/>
      <c r="BW83" s="1147"/>
      <c r="BX83" s="1147"/>
      <c r="BY83" s="1147"/>
      <c r="BZ83" s="1147"/>
      <c r="CA83" s="1147"/>
      <c r="CB83" s="1147"/>
      <c r="CC83" s="1147"/>
      <c r="CD83" s="1147"/>
      <c r="CE83" s="1147"/>
      <c r="CF83" s="1147"/>
      <c r="CG83" s="1147"/>
      <c r="CH83" s="1147"/>
      <c r="CI83" s="1147"/>
      <c r="CJ83" s="1147"/>
      <c r="CK83" s="1146"/>
    </row>
    <row r="84" spans="1:89" ht="15" x14ac:dyDescent="0.25">
      <c r="A84" s="1146"/>
      <c r="B84" s="1146"/>
      <c r="C84" s="1146"/>
      <c r="D84" s="1146"/>
      <c r="E84" s="1146"/>
      <c r="F84" s="1146"/>
      <c r="G84" s="1146"/>
      <c r="H84" s="1146"/>
      <c r="I84" s="1146"/>
      <c r="J84" s="1146"/>
      <c r="K84" s="1146"/>
      <c r="L84" s="1146"/>
      <c r="M84" s="1146"/>
      <c r="N84" s="1146"/>
      <c r="O84" s="1146"/>
      <c r="P84" s="1146"/>
      <c r="Q84" s="1146"/>
      <c r="R84" s="1146">
        <f>26000/28000</f>
        <v>0.9285714285714286</v>
      </c>
      <c r="S84" s="1146"/>
      <c r="T84" s="1147" t="s">
        <v>691</v>
      </c>
      <c r="U84" s="1147" t="s">
        <v>370</v>
      </c>
      <c r="V84" s="1221">
        <v>0.1</v>
      </c>
      <c r="W84" s="1221">
        <v>0.1</v>
      </c>
      <c r="X84" s="1221">
        <v>0.1</v>
      </c>
      <c r="Y84" s="1221">
        <v>0.1</v>
      </c>
      <c r="Z84" s="1221">
        <v>0.1</v>
      </c>
      <c r="AA84" s="1221">
        <v>0.1</v>
      </c>
      <c r="AB84" s="1221">
        <v>0.2</v>
      </c>
      <c r="AC84" s="1221">
        <v>0.2</v>
      </c>
      <c r="AD84" s="1147"/>
      <c r="AE84" s="1147"/>
      <c r="AF84" s="1147"/>
      <c r="AG84" s="1147"/>
      <c r="AH84" s="1147"/>
      <c r="AI84" s="1147"/>
      <c r="AJ84" s="1147"/>
      <c r="AK84" s="1147"/>
      <c r="AL84" s="1147"/>
      <c r="AM84" s="1147"/>
      <c r="AN84" s="1147"/>
      <c r="AO84" s="1147"/>
      <c r="AP84" s="1147"/>
      <c r="AQ84" s="1147"/>
      <c r="AR84" s="1147"/>
      <c r="AS84" s="1147"/>
      <c r="AT84" s="1147"/>
      <c r="AU84" s="1147"/>
      <c r="AV84" s="1147"/>
      <c r="AW84" s="1147"/>
      <c r="AX84" s="1147"/>
      <c r="AY84" s="1147"/>
      <c r="AZ84" s="1147"/>
      <c r="BA84" s="1147"/>
      <c r="BB84" s="1147"/>
      <c r="BC84" s="1147"/>
      <c r="BD84" s="1147"/>
      <c r="BE84" s="1147"/>
      <c r="BF84" s="1147"/>
      <c r="BG84" s="1147"/>
      <c r="BH84" s="1147"/>
      <c r="BI84" s="1147"/>
      <c r="BJ84" s="1147"/>
      <c r="BK84" s="1147"/>
      <c r="BL84" s="1147"/>
      <c r="BM84" s="1147"/>
      <c r="BN84" s="1147"/>
      <c r="BO84" s="1147"/>
      <c r="BP84" s="1147"/>
      <c r="BQ84" s="1147"/>
      <c r="BR84" s="1147"/>
      <c r="BS84" s="1147"/>
      <c r="BT84" s="1147"/>
      <c r="BU84" s="1147"/>
      <c r="BV84" s="1147"/>
      <c r="BW84" s="1147"/>
      <c r="BX84" s="1147"/>
      <c r="BY84" s="1147"/>
      <c r="BZ84" s="1147"/>
      <c r="CA84" s="1147"/>
      <c r="CB84" s="1147"/>
      <c r="CC84" s="1147"/>
      <c r="CD84" s="1147"/>
      <c r="CE84" s="1147"/>
      <c r="CF84" s="1147"/>
      <c r="CG84" s="1147"/>
      <c r="CH84" s="1147"/>
      <c r="CI84" s="1147"/>
      <c r="CJ84" s="1147"/>
      <c r="CK84" s="1146"/>
    </row>
    <row r="85" spans="1:89" ht="15" x14ac:dyDescent="0.25">
      <c r="A85" s="1146"/>
      <c r="B85" s="1146"/>
      <c r="C85" s="1146"/>
      <c r="D85" s="1146"/>
      <c r="E85" s="1146"/>
      <c r="F85" s="1146"/>
      <c r="G85" s="1146"/>
      <c r="H85" s="1146"/>
      <c r="I85" s="1146"/>
      <c r="J85" s="1146"/>
      <c r="K85" s="1146"/>
      <c r="L85" s="1146"/>
      <c r="M85" s="1146"/>
      <c r="N85" s="1146"/>
      <c r="O85" s="1146"/>
      <c r="P85" s="1146"/>
      <c r="Q85" s="1146"/>
      <c r="R85" s="1146"/>
      <c r="S85" s="1146"/>
      <c r="T85" s="1147"/>
      <c r="U85" s="1147" t="s">
        <v>367</v>
      </c>
      <c r="V85" s="1221">
        <v>0.2</v>
      </c>
      <c r="W85" s="1221">
        <v>0.15</v>
      </c>
      <c r="X85" s="1221">
        <v>0.15</v>
      </c>
      <c r="Y85" s="1221">
        <v>0.2</v>
      </c>
      <c r="Z85" s="1221">
        <v>0.2</v>
      </c>
      <c r="AA85" s="1221">
        <v>0.15</v>
      </c>
      <c r="AB85" s="1221">
        <v>0.2</v>
      </c>
      <c r="AC85" s="1221">
        <v>0.2</v>
      </c>
      <c r="AD85" s="1147"/>
      <c r="AE85" s="1147"/>
      <c r="AF85" s="1147"/>
      <c r="AG85" s="1147"/>
      <c r="AH85" s="1147"/>
      <c r="AI85" s="1147"/>
      <c r="AJ85" s="1147"/>
      <c r="AK85" s="1147"/>
      <c r="AL85" s="1147"/>
      <c r="AM85" s="1147"/>
      <c r="AN85" s="1147"/>
      <c r="AO85" s="1147"/>
      <c r="AP85" s="1147"/>
      <c r="AQ85" s="1147"/>
      <c r="AR85" s="1147"/>
      <c r="AS85" s="1147"/>
      <c r="AT85" s="1147"/>
      <c r="AU85" s="1147"/>
      <c r="AV85" s="1147"/>
      <c r="AW85" s="1147"/>
      <c r="AX85" s="1147"/>
      <c r="AY85" s="1147"/>
      <c r="AZ85" s="1147"/>
      <c r="BA85" s="1147"/>
      <c r="BB85" s="1147"/>
      <c r="BC85" s="1147"/>
      <c r="BD85" s="1147"/>
      <c r="BE85" s="1147"/>
      <c r="BF85" s="1147"/>
      <c r="BG85" s="1147"/>
      <c r="BH85" s="1147"/>
      <c r="BI85" s="1147"/>
      <c r="BJ85" s="1147"/>
      <c r="BK85" s="1147"/>
      <c r="BL85" s="1147"/>
      <c r="BM85" s="1147"/>
      <c r="BN85" s="1147"/>
      <c r="BO85" s="1147"/>
      <c r="BP85" s="1147"/>
      <c r="BQ85" s="1147"/>
      <c r="BR85" s="1147"/>
      <c r="BS85" s="1147"/>
      <c r="BT85" s="1147"/>
      <c r="BU85" s="1147"/>
      <c r="BV85" s="1147"/>
      <c r="BW85" s="1147"/>
      <c r="BX85" s="1147"/>
      <c r="BY85" s="1147"/>
      <c r="BZ85" s="1147"/>
      <c r="CA85" s="1147"/>
      <c r="CB85" s="1147"/>
      <c r="CC85" s="1147"/>
      <c r="CD85" s="1147"/>
      <c r="CE85" s="1147"/>
      <c r="CF85" s="1147"/>
      <c r="CG85" s="1147"/>
      <c r="CH85" s="1147"/>
      <c r="CI85" s="1147"/>
      <c r="CJ85" s="1147"/>
      <c r="CK85" s="1146"/>
    </row>
    <row r="86" spans="1:89" ht="15" x14ac:dyDescent="0.25">
      <c r="A86" s="1146"/>
      <c r="B86" s="1146"/>
      <c r="C86" s="1146"/>
      <c r="D86" s="1146"/>
      <c r="E86" s="1146"/>
      <c r="F86" s="1146"/>
      <c r="G86" s="1146"/>
      <c r="H86" s="1146"/>
      <c r="I86" s="1146"/>
      <c r="J86" s="1146"/>
      <c r="K86" s="1146"/>
      <c r="L86" s="1146"/>
      <c r="M86" s="1146"/>
      <c r="N86" s="1146"/>
      <c r="O86" s="1146"/>
      <c r="P86" s="1146"/>
      <c r="Q86" s="1146"/>
      <c r="R86" s="1146"/>
      <c r="S86" s="1146"/>
      <c r="T86" s="1147"/>
      <c r="U86" s="1147" t="s">
        <v>366</v>
      </c>
      <c r="V86" s="1221">
        <v>0.25</v>
      </c>
      <c r="W86" s="1221">
        <v>0.15</v>
      </c>
      <c r="X86" s="1221">
        <v>0.15</v>
      </c>
      <c r="Y86" s="1221">
        <v>0.25</v>
      </c>
      <c r="Z86" s="1221">
        <v>0.25</v>
      </c>
      <c r="AA86" s="1221">
        <v>0.15</v>
      </c>
      <c r="AB86" s="1221">
        <v>0.05</v>
      </c>
      <c r="AC86" s="1221">
        <v>0.05</v>
      </c>
      <c r="AD86" s="1147"/>
      <c r="AE86" s="1147"/>
      <c r="AF86" s="1147"/>
      <c r="AG86" s="1147"/>
      <c r="AH86" s="1147"/>
      <c r="AI86" s="1147"/>
      <c r="AJ86" s="1147"/>
      <c r="AK86" s="1147"/>
      <c r="AL86" s="1147"/>
      <c r="AM86" s="1147"/>
      <c r="AN86" s="1147"/>
      <c r="AO86" s="1147"/>
      <c r="AP86" s="1147"/>
      <c r="AQ86" s="1147"/>
      <c r="AR86" s="1147"/>
      <c r="AS86" s="1147"/>
      <c r="AT86" s="1147"/>
      <c r="AU86" s="1147"/>
      <c r="AV86" s="1147"/>
      <c r="AW86" s="1147"/>
      <c r="AX86" s="1147"/>
      <c r="AY86" s="1147"/>
      <c r="AZ86" s="1147"/>
      <c r="BA86" s="1147"/>
      <c r="BB86" s="1147"/>
      <c r="BC86" s="1147"/>
      <c r="BD86" s="1147"/>
      <c r="BE86" s="1147"/>
      <c r="BF86" s="1147"/>
      <c r="BG86" s="1147"/>
      <c r="BH86" s="1147"/>
      <c r="BI86" s="1147"/>
      <c r="BJ86" s="1147"/>
      <c r="BK86" s="1147"/>
      <c r="BL86" s="1147"/>
      <c r="BM86" s="1147"/>
      <c r="BN86" s="1147"/>
      <c r="BO86" s="1147"/>
      <c r="BP86" s="1147"/>
      <c r="BQ86" s="1147"/>
      <c r="BR86" s="1147"/>
      <c r="BS86" s="1147"/>
      <c r="BT86" s="1147"/>
      <c r="BU86" s="1147"/>
      <c r="BV86" s="1147"/>
      <c r="BW86" s="1147"/>
      <c r="BX86" s="1147"/>
      <c r="BY86" s="1147"/>
      <c r="BZ86" s="1147"/>
      <c r="CA86" s="1147"/>
      <c r="CB86" s="1147"/>
      <c r="CC86" s="1147"/>
      <c r="CD86" s="1147"/>
      <c r="CE86" s="1147"/>
      <c r="CF86" s="1147"/>
      <c r="CG86" s="1147"/>
      <c r="CH86" s="1147"/>
      <c r="CI86" s="1147"/>
      <c r="CJ86" s="1147"/>
      <c r="CK86" s="1146"/>
    </row>
    <row r="87" spans="1:89" ht="15" x14ac:dyDescent="0.25">
      <c r="A87" s="1146"/>
      <c r="B87" s="1146"/>
      <c r="C87" s="1146"/>
      <c r="D87" s="1146"/>
      <c r="E87" s="1146"/>
      <c r="F87" s="1146"/>
      <c r="G87" s="1146"/>
      <c r="H87" s="1146"/>
      <c r="I87" s="1146"/>
      <c r="J87" s="1146"/>
      <c r="K87" s="1146"/>
      <c r="L87" s="1146"/>
      <c r="M87" s="1146"/>
      <c r="N87" s="1146"/>
      <c r="O87" s="1146"/>
      <c r="P87" s="1146"/>
      <c r="Q87" s="1146"/>
      <c r="R87" s="1146"/>
      <c r="S87" s="1146"/>
      <c r="T87" s="1147"/>
      <c r="U87" s="1147" t="s">
        <v>365</v>
      </c>
      <c r="V87" s="1221">
        <v>0.25</v>
      </c>
      <c r="W87" s="1221">
        <v>0.18</v>
      </c>
      <c r="X87" s="1221">
        <v>0.18</v>
      </c>
      <c r="Y87" s="1221">
        <v>0.1</v>
      </c>
      <c r="Z87" s="1221">
        <v>0.1</v>
      </c>
      <c r="AA87" s="1221">
        <v>0.1</v>
      </c>
      <c r="AB87" s="1221">
        <v>0.1</v>
      </c>
      <c r="AC87" s="1221">
        <v>0.1</v>
      </c>
      <c r="AD87" s="1147"/>
      <c r="AE87" s="1147"/>
      <c r="AF87" s="1147"/>
      <c r="AG87" s="1147"/>
      <c r="AH87" s="1147"/>
      <c r="AI87" s="1147"/>
      <c r="AJ87" s="1147"/>
      <c r="AK87" s="1147"/>
      <c r="AL87" s="1147"/>
      <c r="AM87" s="1147"/>
      <c r="AN87" s="1147"/>
      <c r="AO87" s="1147"/>
      <c r="AP87" s="1147"/>
      <c r="AQ87" s="1147"/>
      <c r="AR87" s="1147"/>
      <c r="AS87" s="1147"/>
      <c r="AT87" s="1147"/>
      <c r="AU87" s="1147"/>
      <c r="AV87" s="1147"/>
      <c r="AW87" s="1147"/>
      <c r="AX87" s="1147"/>
      <c r="AY87" s="1147"/>
      <c r="AZ87" s="1147"/>
      <c r="BA87" s="1147"/>
      <c r="BB87" s="1147"/>
      <c r="BC87" s="1147"/>
      <c r="BD87" s="1147"/>
      <c r="BE87" s="1147"/>
      <c r="BF87" s="1147"/>
      <c r="BG87" s="1147"/>
      <c r="BH87" s="1147"/>
      <c r="BI87" s="1147"/>
      <c r="BJ87" s="1147"/>
      <c r="BK87" s="1147"/>
      <c r="BL87" s="1147"/>
      <c r="BM87" s="1147"/>
      <c r="BN87" s="1147"/>
      <c r="BO87" s="1147"/>
      <c r="BP87" s="1147"/>
      <c r="BQ87" s="1147"/>
      <c r="BR87" s="1147"/>
      <c r="BS87" s="1147"/>
      <c r="BT87" s="1147"/>
      <c r="BU87" s="1147"/>
      <c r="BV87" s="1147"/>
      <c r="BW87" s="1147"/>
      <c r="BX87" s="1147"/>
      <c r="BY87" s="1147"/>
      <c r="BZ87" s="1147"/>
      <c r="CA87" s="1147"/>
      <c r="CB87" s="1147"/>
      <c r="CC87" s="1147"/>
      <c r="CD87" s="1147"/>
      <c r="CE87" s="1147"/>
      <c r="CF87" s="1147"/>
      <c r="CG87" s="1147"/>
      <c r="CH87" s="1147"/>
      <c r="CI87" s="1147"/>
      <c r="CJ87" s="1147"/>
      <c r="CK87" s="1146"/>
    </row>
    <row r="88" spans="1:89" ht="15" x14ac:dyDescent="0.25">
      <c r="A88" s="1146"/>
      <c r="B88" s="1146"/>
      <c r="C88" s="1146"/>
      <c r="D88" s="1146"/>
      <c r="E88" s="1146"/>
      <c r="F88" s="1146"/>
      <c r="G88" s="1146"/>
      <c r="H88" s="1146"/>
      <c r="I88" s="1146"/>
      <c r="J88" s="1146"/>
      <c r="K88" s="1146"/>
      <c r="L88" s="1146"/>
      <c r="M88" s="1146"/>
      <c r="N88" s="1146"/>
      <c r="O88" s="1146"/>
      <c r="P88" s="1146"/>
      <c r="Q88" s="1146"/>
      <c r="R88" s="1146"/>
      <c r="S88" s="1146"/>
      <c r="T88" s="1147"/>
      <c r="U88" s="1147" t="s">
        <v>364</v>
      </c>
      <c r="V88" s="1221">
        <v>0.25</v>
      </c>
      <c r="W88" s="1221">
        <v>0.18</v>
      </c>
      <c r="X88" s="1221">
        <v>0.18</v>
      </c>
      <c r="Y88" s="1221">
        <v>0.1</v>
      </c>
      <c r="Z88" s="1221">
        <v>0.1</v>
      </c>
      <c r="AA88" s="1221">
        <v>0.1</v>
      </c>
      <c r="AB88" s="1221">
        <v>0.1</v>
      </c>
      <c r="AC88" s="1221">
        <v>0.1</v>
      </c>
      <c r="AD88" s="1147"/>
      <c r="AE88" s="1147"/>
      <c r="AF88" s="1147"/>
      <c r="AG88" s="1147"/>
      <c r="AH88" s="1147"/>
      <c r="AI88" s="1147"/>
      <c r="AJ88" s="1147"/>
      <c r="AK88" s="1147"/>
      <c r="AL88" s="1147"/>
      <c r="AM88" s="1147"/>
      <c r="AN88" s="1147"/>
      <c r="AO88" s="1147"/>
      <c r="AP88" s="1147"/>
      <c r="AQ88" s="1147"/>
      <c r="AR88" s="1147"/>
      <c r="AS88" s="1147"/>
      <c r="AT88" s="1147"/>
      <c r="AU88" s="1147"/>
      <c r="AV88" s="1147"/>
      <c r="AW88" s="1147"/>
      <c r="AX88" s="1147"/>
      <c r="AY88" s="1147"/>
      <c r="AZ88" s="1147"/>
      <c r="BA88" s="1147"/>
      <c r="BB88" s="1147"/>
      <c r="BC88" s="1147"/>
      <c r="BD88" s="1147"/>
      <c r="BE88" s="1147"/>
      <c r="BF88" s="1147"/>
      <c r="BG88" s="1147"/>
      <c r="BH88" s="1147"/>
      <c r="BI88" s="1147"/>
      <c r="BJ88" s="1147"/>
      <c r="BK88" s="1147"/>
      <c r="BL88" s="1147"/>
      <c r="BM88" s="1147"/>
      <c r="BN88" s="1147"/>
      <c r="BO88" s="1147"/>
      <c r="BP88" s="1147"/>
      <c r="BQ88" s="1147"/>
      <c r="BR88" s="1147"/>
      <c r="BS88" s="1147"/>
      <c r="BT88" s="1147"/>
      <c r="BU88" s="1147"/>
      <c r="BV88" s="1147"/>
      <c r="BW88" s="1147"/>
      <c r="BX88" s="1147"/>
      <c r="BY88" s="1147"/>
      <c r="BZ88" s="1147"/>
      <c r="CA88" s="1147"/>
      <c r="CB88" s="1147"/>
      <c r="CC88" s="1147"/>
      <c r="CD88" s="1147"/>
      <c r="CE88" s="1147"/>
      <c r="CF88" s="1147"/>
      <c r="CG88" s="1147"/>
      <c r="CH88" s="1147"/>
      <c r="CI88" s="1147"/>
      <c r="CJ88" s="1147"/>
      <c r="CK88" s="1146"/>
    </row>
    <row r="89" spans="1:89" ht="15" x14ac:dyDescent="0.25">
      <c r="A89" s="1146"/>
      <c r="B89" s="1146"/>
      <c r="C89" s="1146"/>
      <c r="D89" s="1146"/>
      <c r="E89" s="1146"/>
      <c r="F89" s="1146"/>
      <c r="G89" s="1146"/>
      <c r="H89" s="1146"/>
      <c r="I89" s="1146"/>
      <c r="J89" s="1146"/>
      <c r="K89" s="1146"/>
      <c r="L89" s="1146"/>
      <c r="M89" s="1146"/>
      <c r="N89" s="1146"/>
      <c r="O89" s="1146"/>
      <c r="P89" s="1146"/>
      <c r="Q89" s="1146"/>
      <c r="R89" s="1146"/>
      <c r="S89" s="1146"/>
      <c r="T89" s="1147"/>
      <c r="U89" s="1147" t="s">
        <v>363</v>
      </c>
      <c r="V89" s="1221">
        <v>0.25</v>
      </c>
      <c r="W89" s="1221">
        <v>0.25</v>
      </c>
      <c r="X89" s="1221">
        <v>0.25</v>
      </c>
      <c r="Y89" s="1221">
        <v>0.25</v>
      </c>
      <c r="Z89" s="1221">
        <v>0.25</v>
      </c>
      <c r="AA89" s="1221">
        <v>0.25</v>
      </c>
      <c r="AB89" s="1221">
        <v>0.15</v>
      </c>
      <c r="AC89" s="1221">
        <v>0.15</v>
      </c>
      <c r="AD89" s="1147"/>
      <c r="AE89" s="1147"/>
      <c r="AF89" s="1147"/>
      <c r="AG89" s="1147"/>
      <c r="AH89" s="1147"/>
      <c r="AI89" s="1147"/>
      <c r="AJ89" s="1147"/>
      <c r="AK89" s="1147"/>
      <c r="AL89" s="1147"/>
      <c r="AM89" s="1147"/>
      <c r="AN89" s="1147"/>
      <c r="AO89" s="1147"/>
      <c r="AP89" s="1147"/>
      <c r="AQ89" s="1147"/>
      <c r="AR89" s="1147"/>
      <c r="AS89" s="1147"/>
      <c r="AT89" s="1147"/>
      <c r="AU89" s="1147"/>
      <c r="AV89" s="1147"/>
      <c r="AW89" s="1147"/>
      <c r="AX89" s="1147"/>
      <c r="AY89" s="1147"/>
      <c r="AZ89" s="1147"/>
      <c r="BA89" s="1147"/>
      <c r="BB89" s="1147"/>
      <c r="BC89" s="1147"/>
      <c r="BD89" s="1147"/>
      <c r="BE89" s="1147"/>
      <c r="BF89" s="1147"/>
      <c r="BG89" s="1147"/>
      <c r="BH89" s="1147"/>
      <c r="BI89" s="1147"/>
      <c r="BJ89" s="1147"/>
      <c r="BK89" s="1147"/>
      <c r="BL89" s="1147"/>
      <c r="BM89" s="1147"/>
      <c r="BN89" s="1147"/>
      <c r="BO89" s="1147"/>
      <c r="BP89" s="1147"/>
      <c r="BQ89" s="1147"/>
      <c r="BR89" s="1147"/>
      <c r="BS89" s="1147"/>
      <c r="BT89" s="1147"/>
      <c r="BU89" s="1147"/>
      <c r="BV89" s="1147"/>
      <c r="BW89" s="1147"/>
      <c r="BX89" s="1147"/>
      <c r="BY89" s="1147"/>
      <c r="BZ89" s="1147"/>
      <c r="CA89" s="1147"/>
      <c r="CB89" s="1147"/>
      <c r="CC89" s="1147"/>
      <c r="CD89" s="1147"/>
      <c r="CE89" s="1147"/>
      <c r="CF89" s="1147"/>
      <c r="CG89" s="1147"/>
      <c r="CH89" s="1147"/>
      <c r="CI89" s="1147"/>
      <c r="CJ89" s="1147"/>
      <c r="CK89" s="1146"/>
    </row>
    <row r="90" spans="1:89" ht="15" x14ac:dyDescent="0.25">
      <c r="A90" s="1146"/>
      <c r="B90" s="1146"/>
      <c r="C90" s="1146"/>
      <c r="D90" s="1146"/>
      <c r="E90" s="1146"/>
      <c r="F90" s="1146"/>
      <c r="G90" s="1146"/>
      <c r="H90" s="1146"/>
      <c r="I90" s="1146"/>
      <c r="J90" s="1146"/>
      <c r="K90" s="1146"/>
      <c r="L90" s="1146"/>
      <c r="M90" s="1146"/>
      <c r="N90" s="1146"/>
      <c r="O90" s="1146"/>
      <c r="P90" s="1146"/>
      <c r="Q90" s="1146"/>
      <c r="R90" s="1146"/>
      <c r="S90" s="1146"/>
      <c r="T90" s="1147"/>
      <c r="U90" s="1147" t="s">
        <v>379</v>
      </c>
      <c r="V90" s="1221">
        <v>0.02</v>
      </c>
      <c r="W90" s="1221">
        <v>7.0000000000000007E-2</v>
      </c>
      <c r="X90" s="1221">
        <v>7.0000000000000007E-2</v>
      </c>
      <c r="Y90" s="1221">
        <v>0.17</v>
      </c>
      <c r="Z90" s="1221">
        <v>0.17</v>
      </c>
      <c r="AA90" s="1221">
        <v>0.25</v>
      </c>
      <c r="AB90" s="1221">
        <v>0.05</v>
      </c>
      <c r="AC90" s="1221">
        <v>0.05</v>
      </c>
      <c r="AD90" s="1147"/>
      <c r="AE90" s="1147"/>
      <c r="AF90" s="1147"/>
      <c r="AG90" s="1147"/>
      <c r="AH90" s="1147"/>
      <c r="AI90" s="1147"/>
      <c r="AJ90" s="1147"/>
      <c r="AK90" s="1147"/>
      <c r="AL90" s="1147"/>
      <c r="AM90" s="1147"/>
      <c r="AN90" s="1147"/>
      <c r="AO90" s="1147"/>
      <c r="AP90" s="1147"/>
      <c r="AQ90" s="1147"/>
      <c r="AR90" s="1147"/>
      <c r="AS90" s="1147"/>
      <c r="AT90" s="1147"/>
      <c r="AU90" s="1147"/>
      <c r="AV90" s="1147"/>
      <c r="AW90" s="1147"/>
      <c r="AX90" s="1147"/>
      <c r="AY90" s="1147"/>
      <c r="AZ90" s="1147"/>
      <c r="BA90" s="1147"/>
      <c r="BB90" s="1147"/>
      <c r="BC90" s="1147"/>
      <c r="BD90" s="1147"/>
      <c r="BE90" s="1147"/>
      <c r="BF90" s="1147"/>
      <c r="BG90" s="1147"/>
      <c r="BH90" s="1147"/>
      <c r="BI90" s="1147"/>
      <c r="BJ90" s="1147"/>
      <c r="BK90" s="1147"/>
      <c r="BL90" s="1147"/>
      <c r="BM90" s="1147"/>
      <c r="BN90" s="1147"/>
      <c r="BO90" s="1147"/>
      <c r="BP90" s="1147"/>
      <c r="BQ90" s="1147"/>
      <c r="BR90" s="1147"/>
      <c r="BS90" s="1147"/>
      <c r="BT90" s="1147"/>
      <c r="BU90" s="1147"/>
      <c r="BV90" s="1147"/>
      <c r="BW90" s="1147"/>
      <c r="BX90" s="1147"/>
      <c r="BY90" s="1147"/>
      <c r="BZ90" s="1147"/>
      <c r="CA90" s="1147"/>
      <c r="CB90" s="1147"/>
      <c r="CC90" s="1147"/>
      <c r="CD90" s="1147"/>
      <c r="CE90" s="1147"/>
      <c r="CF90" s="1147"/>
      <c r="CG90" s="1147"/>
      <c r="CH90" s="1147"/>
      <c r="CI90" s="1147"/>
      <c r="CJ90" s="1147"/>
      <c r="CK90" s="1146"/>
    </row>
    <row r="91" spans="1:89" ht="15" x14ac:dyDescent="0.25">
      <c r="A91" s="1146"/>
      <c r="B91" s="1146"/>
      <c r="C91" s="1146"/>
      <c r="D91" s="1146"/>
      <c r="E91" s="1146"/>
      <c r="F91" s="1146"/>
      <c r="G91" s="1146"/>
      <c r="H91" s="1146"/>
      <c r="I91" s="1146"/>
      <c r="J91" s="1146"/>
      <c r="K91" s="1146"/>
      <c r="L91" s="1146"/>
      <c r="M91" s="1146"/>
      <c r="N91" s="1146"/>
      <c r="O91" s="1146"/>
      <c r="P91" s="1146"/>
      <c r="Q91" s="1146"/>
      <c r="R91" s="1146"/>
      <c r="S91" s="1146"/>
      <c r="T91" s="1147"/>
      <c r="U91" s="1147" t="s">
        <v>380</v>
      </c>
      <c r="V91" s="1221">
        <v>0.02</v>
      </c>
      <c r="W91" s="1221">
        <v>7.0000000000000007E-2</v>
      </c>
      <c r="X91" s="1221">
        <v>7.0000000000000007E-2</v>
      </c>
      <c r="Y91" s="1221">
        <v>0.06</v>
      </c>
      <c r="Z91" s="1221">
        <v>0.06</v>
      </c>
      <c r="AA91" s="1221">
        <v>0.22</v>
      </c>
      <c r="AB91" s="1221">
        <v>0.04</v>
      </c>
      <c r="AC91" s="1221">
        <v>0.05</v>
      </c>
      <c r="AD91" s="1147"/>
      <c r="AE91" s="1147"/>
      <c r="AF91" s="1147"/>
      <c r="AG91" s="1147"/>
      <c r="AH91" s="1147"/>
      <c r="AI91" s="1147"/>
      <c r="AJ91" s="1147"/>
      <c r="AK91" s="1147"/>
      <c r="AL91" s="1147"/>
      <c r="AM91" s="1147"/>
      <c r="AN91" s="1147"/>
      <c r="AO91" s="1147"/>
      <c r="AP91" s="1147"/>
      <c r="AQ91" s="1147"/>
      <c r="AR91" s="1147"/>
      <c r="AS91" s="1147"/>
      <c r="AT91" s="1147"/>
      <c r="AU91" s="1147"/>
      <c r="AV91" s="1147"/>
      <c r="AW91" s="1147"/>
      <c r="AX91" s="1147"/>
      <c r="AY91" s="1147"/>
      <c r="AZ91" s="1147"/>
      <c r="BA91" s="1147"/>
      <c r="BB91" s="1147"/>
      <c r="BC91" s="1147"/>
      <c r="BD91" s="1147"/>
      <c r="BE91" s="1147"/>
      <c r="BF91" s="1147"/>
      <c r="BG91" s="1147"/>
      <c r="BH91" s="1147"/>
      <c r="BI91" s="1147"/>
      <c r="BJ91" s="1147"/>
      <c r="BK91" s="1147"/>
      <c r="BL91" s="1147"/>
      <c r="BM91" s="1147"/>
      <c r="BN91" s="1147"/>
      <c r="BO91" s="1147"/>
      <c r="BP91" s="1147"/>
      <c r="BQ91" s="1147"/>
      <c r="BR91" s="1147"/>
      <c r="BS91" s="1147"/>
      <c r="BT91" s="1147"/>
      <c r="BU91" s="1147"/>
      <c r="BV91" s="1147"/>
      <c r="BW91" s="1147"/>
      <c r="BX91" s="1147"/>
      <c r="BY91" s="1147"/>
      <c r="BZ91" s="1147"/>
      <c r="CA91" s="1147"/>
      <c r="CB91" s="1147"/>
      <c r="CC91" s="1147"/>
      <c r="CD91" s="1147"/>
      <c r="CE91" s="1147"/>
      <c r="CF91" s="1147"/>
      <c r="CG91" s="1147"/>
      <c r="CH91" s="1147"/>
      <c r="CI91" s="1147"/>
      <c r="CJ91" s="1147"/>
      <c r="CK91" s="1146"/>
    </row>
    <row r="92" spans="1:89" ht="15" x14ac:dyDescent="0.25">
      <c r="A92" s="1146"/>
      <c r="B92" s="1146"/>
      <c r="C92" s="1146"/>
      <c r="D92" s="1146"/>
      <c r="E92" s="1146"/>
      <c r="F92" s="1146"/>
      <c r="G92" s="1146"/>
      <c r="H92" s="1146"/>
      <c r="I92" s="1146"/>
      <c r="J92" s="1146"/>
      <c r="K92" s="1146"/>
      <c r="L92" s="1146"/>
      <c r="M92" s="1146"/>
      <c r="N92" s="1146"/>
      <c r="O92" s="1146"/>
      <c r="P92" s="1146"/>
      <c r="Q92" s="1146"/>
      <c r="R92" s="1146"/>
      <c r="S92" s="1146"/>
      <c r="T92" s="1147"/>
      <c r="U92" s="1147" t="s">
        <v>381</v>
      </c>
      <c r="V92" s="1221">
        <v>0.02</v>
      </c>
      <c r="W92" s="1221">
        <v>0.02</v>
      </c>
      <c r="X92" s="1221">
        <v>0.06</v>
      </c>
      <c r="Y92" s="1221">
        <v>0.02</v>
      </c>
      <c r="Z92" s="1221">
        <v>0.02</v>
      </c>
      <c r="AA92" s="1221">
        <v>0.15</v>
      </c>
      <c r="AB92" s="1221">
        <v>0.06</v>
      </c>
      <c r="AC92" s="1221">
        <v>0.08</v>
      </c>
      <c r="AD92" s="1147"/>
      <c r="AE92" s="1147"/>
      <c r="AF92" s="1147"/>
      <c r="AG92" s="1147"/>
      <c r="AH92" s="1147"/>
      <c r="AI92" s="1147"/>
      <c r="AJ92" s="1147"/>
      <c r="AK92" s="1147"/>
      <c r="AL92" s="1147"/>
      <c r="AM92" s="1147"/>
      <c r="AN92" s="1147"/>
      <c r="AO92" s="1147"/>
      <c r="AP92" s="1147"/>
      <c r="AQ92" s="1147"/>
      <c r="AR92" s="1147"/>
      <c r="AS92" s="1147"/>
      <c r="AT92" s="1147"/>
      <c r="AU92" s="1147"/>
      <c r="AV92" s="1147"/>
      <c r="AW92" s="1147"/>
      <c r="AX92" s="1147"/>
      <c r="AY92" s="1147"/>
      <c r="AZ92" s="1147"/>
      <c r="BA92" s="1147"/>
      <c r="BB92" s="1147"/>
      <c r="BC92" s="1147"/>
      <c r="BD92" s="1147"/>
      <c r="BE92" s="1147"/>
      <c r="BF92" s="1147"/>
      <c r="BG92" s="1147"/>
      <c r="BH92" s="1147"/>
      <c r="BI92" s="1147"/>
      <c r="BJ92" s="1147"/>
      <c r="BK92" s="1147"/>
      <c r="BL92" s="1147"/>
      <c r="BM92" s="1147"/>
      <c r="BN92" s="1147"/>
      <c r="BO92" s="1147"/>
      <c r="BP92" s="1147"/>
      <c r="BQ92" s="1147"/>
      <c r="BR92" s="1147"/>
      <c r="BS92" s="1147"/>
      <c r="BT92" s="1147"/>
      <c r="BU92" s="1147"/>
      <c r="BV92" s="1147"/>
      <c r="BW92" s="1147"/>
      <c r="BX92" s="1147"/>
      <c r="BY92" s="1147"/>
      <c r="BZ92" s="1147"/>
      <c r="CA92" s="1147"/>
      <c r="CB92" s="1147"/>
      <c r="CC92" s="1147"/>
      <c r="CD92" s="1147"/>
      <c r="CE92" s="1147"/>
      <c r="CF92" s="1147"/>
      <c r="CG92" s="1147"/>
      <c r="CH92" s="1147"/>
      <c r="CI92" s="1147"/>
      <c r="CJ92" s="1147"/>
      <c r="CK92" s="1146"/>
    </row>
    <row r="93" spans="1:89" ht="15" x14ac:dyDescent="0.25">
      <c r="A93" s="1146"/>
      <c r="B93" s="1146"/>
      <c r="C93" s="1146"/>
      <c r="D93" s="1146"/>
      <c r="E93" s="1146"/>
      <c r="F93" s="1146"/>
      <c r="G93" s="1146"/>
      <c r="H93" s="1146"/>
      <c r="I93" s="1146"/>
      <c r="J93" s="1146"/>
      <c r="K93" s="1146"/>
      <c r="L93" s="1146"/>
      <c r="M93" s="1146"/>
      <c r="N93" s="1146"/>
      <c r="O93" s="1146"/>
      <c r="P93" s="1146"/>
      <c r="Q93" s="1146"/>
      <c r="R93" s="1146"/>
      <c r="S93" s="1146"/>
      <c r="T93" s="1147"/>
      <c r="U93" s="1147" t="s">
        <v>371</v>
      </c>
      <c r="V93" s="1221">
        <v>0.42</v>
      </c>
      <c r="W93" s="1221">
        <v>0.5</v>
      </c>
      <c r="X93" s="1221">
        <v>0.5</v>
      </c>
      <c r="Y93" s="1221">
        <v>0.42</v>
      </c>
      <c r="Z93" s="1221">
        <v>0.42</v>
      </c>
      <c r="AA93" s="1221">
        <v>0.5</v>
      </c>
      <c r="AB93" s="1221">
        <v>0.7</v>
      </c>
      <c r="AC93" s="1221">
        <v>0.7</v>
      </c>
      <c r="AD93" s="1147"/>
      <c r="AE93" s="1147"/>
      <c r="AF93" s="1147"/>
      <c r="AG93" s="1147"/>
      <c r="AH93" s="1147"/>
      <c r="AI93" s="1147"/>
      <c r="AJ93" s="1147"/>
      <c r="AK93" s="1147"/>
      <c r="AL93" s="1147"/>
      <c r="AM93" s="1147"/>
      <c r="AN93" s="1147"/>
      <c r="AO93" s="1147"/>
      <c r="AP93" s="1147"/>
      <c r="AQ93" s="1147"/>
      <c r="AR93" s="1147"/>
      <c r="AS93" s="1147"/>
      <c r="AT93" s="1147"/>
      <c r="AU93" s="1147"/>
      <c r="AV93" s="1147"/>
      <c r="AW93" s="1147"/>
      <c r="AX93" s="1147"/>
      <c r="AY93" s="1147"/>
      <c r="AZ93" s="1147"/>
      <c r="BA93" s="1147"/>
      <c r="BB93" s="1147"/>
      <c r="BC93" s="1147"/>
      <c r="BD93" s="1147"/>
      <c r="BE93" s="1147"/>
      <c r="BF93" s="1147"/>
      <c r="BG93" s="1147"/>
      <c r="BH93" s="1147"/>
      <c r="BI93" s="1147"/>
      <c r="BJ93" s="1147"/>
      <c r="BK93" s="1147"/>
      <c r="BL93" s="1147"/>
      <c r="BM93" s="1147"/>
      <c r="BN93" s="1147"/>
      <c r="BO93" s="1147"/>
      <c r="BP93" s="1147"/>
      <c r="BQ93" s="1147"/>
      <c r="BR93" s="1147"/>
      <c r="BS93" s="1147"/>
      <c r="BT93" s="1147"/>
      <c r="BU93" s="1147"/>
      <c r="BV93" s="1147"/>
      <c r="BW93" s="1147"/>
      <c r="BX93" s="1147"/>
      <c r="BY93" s="1147"/>
      <c r="BZ93" s="1147"/>
      <c r="CA93" s="1147"/>
      <c r="CB93" s="1147"/>
      <c r="CC93" s="1147"/>
      <c r="CD93" s="1147"/>
      <c r="CE93" s="1147"/>
      <c r="CF93" s="1147"/>
      <c r="CG93" s="1147"/>
      <c r="CH93" s="1147"/>
      <c r="CI93" s="1147"/>
      <c r="CJ93" s="1147"/>
      <c r="CK93" s="1146"/>
    </row>
    <row r="94" spans="1:89" ht="15" x14ac:dyDescent="0.25">
      <c r="A94" s="1146"/>
      <c r="B94" s="1146"/>
      <c r="C94" s="1146"/>
      <c r="D94" s="1146"/>
      <c r="E94" s="1146"/>
      <c r="F94" s="1146"/>
      <c r="G94" s="1146"/>
      <c r="H94" s="1146"/>
      <c r="I94" s="1146"/>
      <c r="J94" s="1146"/>
      <c r="K94" s="1146"/>
      <c r="L94" s="1146"/>
      <c r="M94" s="1146"/>
      <c r="N94" s="1146"/>
      <c r="O94" s="1146"/>
      <c r="P94" s="1146"/>
      <c r="Q94" s="1146"/>
      <c r="R94" s="1146"/>
      <c r="S94" s="1146"/>
      <c r="T94" s="1147"/>
      <c r="U94" s="1147" t="s">
        <v>372</v>
      </c>
      <c r="V94" s="1221">
        <v>0.08</v>
      </c>
      <c r="W94" s="1221">
        <v>0.22</v>
      </c>
      <c r="X94" s="1221">
        <v>0.4</v>
      </c>
      <c r="Y94" s="1221">
        <v>0.08</v>
      </c>
      <c r="Z94" s="1221">
        <v>0.08</v>
      </c>
      <c r="AA94" s="1221">
        <v>0.4</v>
      </c>
      <c r="AB94" s="1221">
        <v>0.1</v>
      </c>
      <c r="AC94" s="1221">
        <v>0.5</v>
      </c>
      <c r="AD94" s="1147"/>
      <c r="AE94" s="1147"/>
      <c r="AF94" s="1147"/>
      <c r="AG94" s="1147"/>
      <c r="AH94" s="1147"/>
      <c r="AI94" s="1147"/>
      <c r="AJ94" s="1147"/>
      <c r="AK94" s="1147"/>
      <c r="AL94" s="1147"/>
      <c r="AM94" s="1147"/>
      <c r="AN94" s="1147"/>
      <c r="AO94" s="1147"/>
      <c r="AP94" s="1147"/>
      <c r="AQ94" s="1147"/>
      <c r="AR94" s="1147"/>
      <c r="AS94" s="1147"/>
      <c r="AT94" s="1147"/>
      <c r="AU94" s="1147"/>
      <c r="AV94" s="1147"/>
      <c r="AW94" s="1147"/>
      <c r="AX94" s="1147"/>
      <c r="AY94" s="1147"/>
      <c r="AZ94" s="1147"/>
      <c r="BA94" s="1147"/>
      <c r="BB94" s="1147"/>
      <c r="BC94" s="1147"/>
      <c r="BD94" s="1147"/>
      <c r="BE94" s="1147"/>
      <c r="BF94" s="1147"/>
      <c r="BG94" s="1147"/>
      <c r="BH94" s="1147"/>
      <c r="BI94" s="1147"/>
      <c r="BJ94" s="1147"/>
      <c r="BK94" s="1147"/>
      <c r="BL94" s="1147"/>
      <c r="BM94" s="1147"/>
      <c r="BN94" s="1147"/>
      <c r="BO94" s="1147"/>
      <c r="BP94" s="1147"/>
      <c r="BQ94" s="1147"/>
      <c r="BR94" s="1147"/>
      <c r="BS94" s="1147"/>
      <c r="BT94" s="1147"/>
      <c r="BU94" s="1147"/>
      <c r="BV94" s="1147"/>
      <c r="BW94" s="1147"/>
      <c r="BX94" s="1147"/>
      <c r="BY94" s="1147"/>
      <c r="BZ94" s="1147"/>
      <c r="CA94" s="1147"/>
      <c r="CB94" s="1147"/>
      <c r="CC94" s="1147"/>
      <c r="CD94" s="1147"/>
      <c r="CE94" s="1147"/>
      <c r="CF94" s="1147"/>
      <c r="CG94" s="1147"/>
      <c r="CH94" s="1147"/>
      <c r="CI94" s="1147"/>
      <c r="CJ94" s="1147"/>
      <c r="CK94" s="1146"/>
    </row>
    <row r="95" spans="1:89" ht="15" x14ac:dyDescent="0.25">
      <c r="A95" s="1146"/>
      <c r="B95" s="1146"/>
      <c r="C95" s="1146"/>
      <c r="D95" s="1146"/>
      <c r="E95" s="1146"/>
      <c r="F95" s="1146"/>
      <c r="G95" s="1146"/>
      <c r="H95" s="1146"/>
      <c r="I95" s="1146"/>
      <c r="J95" s="1146"/>
      <c r="K95" s="1146"/>
      <c r="L95" s="1146"/>
      <c r="M95" s="1146"/>
      <c r="N95" s="1146"/>
      <c r="O95" s="1146"/>
      <c r="P95" s="1146"/>
      <c r="Q95" s="1146"/>
      <c r="R95" s="1146"/>
      <c r="S95" s="1146"/>
      <c r="T95" s="1147"/>
      <c r="U95" s="1147" t="s">
        <v>373</v>
      </c>
      <c r="V95" s="1221">
        <v>0.06</v>
      </c>
      <c r="W95" s="1221">
        <v>0.05</v>
      </c>
      <c r="X95" s="1221">
        <v>0.08</v>
      </c>
      <c r="Y95" s="1221">
        <v>0.06</v>
      </c>
      <c r="Z95" s="1221">
        <v>0.06</v>
      </c>
      <c r="AA95" s="1221">
        <v>0.08</v>
      </c>
      <c r="AB95" s="1221">
        <v>0.08</v>
      </c>
      <c r="AC95" s="1221">
        <v>0.1</v>
      </c>
      <c r="AD95" s="1147"/>
      <c r="AE95" s="1147"/>
      <c r="AF95" s="1147"/>
      <c r="AG95" s="1147"/>
      <c r="AH95" s="1147"/>
      <c r="AI95" s="1147"/>
      <c r="AJ95" s="1147"/>
      <c r="AK95" s="1147"/>
      <c r="AL95" s="1147"/>
      <c r="AM95" s="1147"/>
      <c r="AN95" s="1147"/>
      <c r="AO95" s="1147"/>
      <c r="AP95" s="1147"/>
      <c r="AQ95" s="1147"/>
      <c r="AR95" s="1147"/>
      <c r="AS95" s="1147"/>
      <c r="AT95" s="1147"/>
      <c r="AU95" s="1147"/>
      <c r="AV95" s="1147"/>
      <c r="AW95" s="1147"/>
      <c r="AX95" s="1147"/>
      <c r="AY95" s="1147"/>
      <c r="AZ95" s="1147"/>
      <c r="BA95" s="1147"/>
      <c r="BB95" s="1147"/>
      <c r="BC95" s="1147"/>
      <c r="BD95" s="1147"/>
      <c r="BE95" s="1147"/>
      <c r="BF95" s="1147"/>
      <c r="BG95" s="1147"/>
      <c r="BH95" s="1147"/>
      <c r="BI95" s="1147"/>
      <c r="BJ95" s="1147"/>
      <c r="BK95" s="1147"/>
      <c r="BL95" s="1147"/>
      <c r="BM95" s="1147"/>
      <c r="BN95" s="1147"/>
      <c r="BO95" s="1147"/>
      <c r="BP95" s="1147"/>
      <c r="BQ95" s="1147"/>
      <c r="BR95" s="1147"/>
      <c r="BS95" s="1147"/>
      <c r="BT95" s="1147"/>
      <c r="BU95" s="1147"/>
      <c r="BV95" s="1147"/>
      <c r="BW95" s="1147"/>
      <c r="BX95" s="1147"/>
      <c r="BY95" s="1147"/>
      <c r="BZ95" s="1147"/>
      <c r="CA95" s="1147"/>
      <c r="CB95" s="1147"/>
      <c r="CC95" s="1147"/>
      <c r="CD95" s="1147"/>
      <c r="CE95" s="1147"/>
      <c r="CF95" s="1147"/>
      <c r="CG95" s="1147"/>
      <c r="CH95" s="1147"/>
      <c r="CI95" s="1147"/>
      <c r="CJ95" s="1147"/>
      <c r="CK95" s="1146"/>
    </row>
    <row r="96" spans="1:89" ht="15" x14ac:dyDescent="0.25">
      <c r="A96" s="1146"/>
      <c r="B96" s="1146"/>
      <c r="C96" s="1146"/>
      <c r="D96" s="1146"/>
      <c r="E96" s="1146"/>
      <c r="F96" s="1146"/>
      <c r="G96" s="1146"/>
      <c r="H96" s="1146"/>
      <c r="I96" s="1146"/>
      <c r="J96" s="1146"/>
      <c r="K96" s="1146"/>
      <c r="L96" s="1146"/>
      <c r="M96" s="1146"/>
      <c r="N96" s="1146"/>
      <c r="O96" s="1146"/>
      <c r="P96" s="1146"/>
      <c r="Q96" s="1146"/>
      <c r="R96" s="1146"/>
      <c r="S96" s="1146"/>
      <c r="T96" s="1147"/>
      <c r="U96" s="1147" t="s">
        <v>375</v>
      </c>
      <c r="V96" s="1221">
        <v>0.5</v>
      </c>
      <c r="W96" s="1221">
        <v>0.35</v>
      </c>
      <c r="X96" s="1221">
        <v>0.35</v>
      </c>
      <c r="Y96" s="1221">
        <v>0.35</v>
      </c>
      <c r="Z96" s="1221">
        <v>0.35</v>
      </c>
      <c r="AA96" s="1221">
        <v>0.15</v>
      </c>
      <c r="AB96" s="1221">
        <v>0.15</v>
      </c>
      <c r="AC96" s="1221">
        <v>0.15</v>
      </c>
      <c r="AD96" s="1147"/>
      <c r="AE96" s="1147"/>
      <c r="AF96" s="1147"/>
      <c r="AG96" s="1147"/>
      <c r="AH96" s="1147"/>
      <c r="AI96" s="1147"/>
      <c r="AJ96" s="1147"/>
      <c r="AK96" s="1147"/>
      <c r="AL96" s="1147"/>
      <c r="AM96" s="1147"/>
      <c r="AN96" s="1147"/>
      <c r="AO96" s="1147"/>
      <c r="AP96" s="1147"/>
      <c r="AQ96" s="1147"/>
      <c r="AR96" s="1147"/>
      <c r="AS96" s="1147"/>
      <c r="AT96" s="1147"/>
      <c r="AU96" s="1147"/>
      <c r="AV96" s="1147"/>
      <c r="AW96" s="1147"/>
      <c r="AX96" s="1147"/>
      <c r="AY96" s="1147"/>
      <c r="AZ96" s="1147"/>
      <c r="BA96" s="1147"/>
      <c r="BB96" s="1147"/>
      <c r="BC96" s="1147"/>
      <c r="BD96" s="1147"/>
      <c r="BE96" s="1147"/>
      <c r="BF96" s="1147"/>
      <c r="BG96" s="1147"/>
      <c r="BH96" s="1147"/>
      <c r="BI96" s="1147"/>
      <c r="BJ96" s="1147"/>
      <c r="BK96" s="1147"/>
      <c r="BL96" s="1147"/>
      <c r="BM96" s="1147"/>
      <c r="BN96" s="1147"/>
      <c r="BO96" s="1147"/>
      <c r="BP96" s="1147"/>
      <c r="BQ96" s="1147"/>
      <c r="BR96" s="1147"/>
      <c r="BS96" s="1147"/>
      <c r="BT96" s="1147"/>
      <c r="BU96" s="1147"/>
      <c r="BV96" s="1147"/>
      <c r="BW96" s="1147"/>
      <c r="BX96" s="1147"/>
      <c r="BY96" s="1147"/>
      <c r="BZ96" s="1147"/>
      <c r="CA96" s="1147"/>
      <c r="CB96" s="1147"/>
      <c r="CC96" s="1147"/>
      <c r="CD96" s="1147"/>
      <c r="CE96" s="1147"/>
      <c r="CF96" s="1147"/>
      <c r="CG96" s="1147"/>
      <c r="CH96" s="1147"/>
      <c r="CI96" s="1147"/>
      <c r="CJ96" s="1147"/>
      <c r="CK96" s="1146"/>
    </row>
    <row r="97" spans="1:89" ht="15" x14ac:dyDescent="0.25">
      <c r="A97" s="1146"/>
      <c r="B97" s="1146"/>
      <c r="C97" s="1146"/>
      <c r="D97" s="1146"/>
      <c r="E97" s="1146"/>
      <c r="F97" s="1146"/>
      <c r="G97" s="1146"/>
      <c r="H97" s="1146"/>
      <c r="I97" s="1146"/>
      <c r="J97" s="1146"/>
      <c r="K97" s="1146"/>
      <c r="L97" s="1146"/>
      <c r="M97" s="1146"/>
      <c r="N97" s="1146"/>
      <c r="O97" s="1146"/>
      <c r="P97" s="1146"/>
      <c r="Q97" s="1146"/>
      <c r="R97" s="1146"/>
      <c r="S97" s="1146"/>
      <c r="T97" s="1147"/>
      <c r="U97" s="1147" t="s">
        <v>382</v>
      </c>
      <c r="V97" s="1221">
        <v>0.03</v>
      </c>
      <c r="W97" s="1221">
        <v>0.02</v>
      </c>
      <c r="X97" s="1221">
        <v>0</v>
      </c>
      <c r="Y97" s="1221">
        <v>0.35</v>
      </c>
      <c r="Z97" s="1221">
        <v>0.2</v>
      </c>
      <c r="AA97" s="1221">
        <v>0.02</v>
      </c>
      <c r="AB97" s="1221">
        <v>0.02</v>
      </c>
      <c r="AC97" s="1221">
        <v>0.01</v>
      </c>
      <c r="AD97" s="1147"/>
      <c r="AE97" s="1147"/>
      <c r="AF97" s="1147"/>
      <c r="AG97" s="1147"/>
      <c r="AH97" s="1147"/>
      <c r="AI97" s="1147"/>
      <c r="AJ97" s="1147"/>
      <c r="AK97" s="1147"/>
      <c r="AL97" s="1147"/>
      <c r="AM97" s="1147"/>
      <c r="AN97" s="1147"/>
      <c r="AO97" s="1147"/>
      <c r="AP97" s="1147"/>
      <c r="AQ97" s="1147"/>
      <c r="AR97" s="1147"/>
      <c r="AS97" s="1147"/>
      <c r="AT97" s="1147"/>
      <c r="AU97" s="1147"/>
      <c r="AV97" s="1147"/>
      <c r="AW97" s="1147"/>
      <c r="AX97" s="1147"/>
      <c r="AY97" s="1147"/>
      <c r="AZ97" s="1147"/>
      <c r="BA97" s="1147"/>
      <c r="BB97" s="1147"/>
      <c r="BC97" s="1147"/>
      <c r="BD97" s="1147"/>
      <c r="BE97" s="1147"/>
      <c r="BF97" s="1147"/>
      <c r="BG97" s="1147"/>
      <c r="BH97" s="1147"/>
      <c r="BI97" s="1147"/>
      <c r="BJ97" s="1147"/>
      <c r="BK97" s="1147"/>
      <c r="BL97" s="1147"/>
      <c r="BM97" s="1147"/>
      <c r="BN97" s="1147"/>
      <c r="BO97" s="1147"/>
      <c r="BP97" s="1147"/>
      <c r="BQ97" s="1147"/>
      <c r="BR97" s="1147"/>
      <c r="BS97" s="1147"/>
      <c r="BT97" s="1147"/>
      <c r="BU97" s="1147"/>
      <c r="BV97" s="1147"/>
      <c r="BW97" s="1147"/>
      <c r="BX97" s="1147"/>
      <c r="BY97" s="1147"/>
      <c r="BZ97" s="1147"/>
      <c r="CA97" s="1147"/>
      <c r="CB97" s="1147"/>
      <c r="CC97" s="1147"/>
      <c r="CD97" s="1147"/>
      <c r="CE97" s="1147"/>
      <c r="CF97" s="1147"/>
      <c r="CG97" s="1147"/>
      <c r="CH97" s="1147"/>
      <c r="CI97" s="1147"/>
      <c r="CJ97" s="1147"/>
      <c r="CK97" s="1146"/>
    </row>
    <row r="98" spans="1:89" ht="15" x14ac:dyDescent="0.25">
      <c r="A98" s="1146"/>
      <c r="B98" s="1146"/>
      <c r="C98" s="1146"/>
      <c r="D98" s="1146"/>
      <c r="E98" s="1146"/>
      <c r="F98" s="1146"/>
      <c r="G98" s="1146"/>
      <c r="H98" s="1146"/>
      <c r="I98" s="1146"/>
      <c r="J98" s="1146"/>
      <c r="K98" s="1146"/>
      <c r="L98" s="1146"/>
      <c r="M98" s="1146"/>
      <c r="N98" s="1146"/>
      <c r="O98" s="1146"/>
      <c r="P98" s="1146"/>
      <c r="Q98" s="1146"/>
      <c r="R98" s="1146"/>
      <c r="S98" s="1146"/>
      <c r="T98" s="1147"/>
      <c r="U98" s="1147" t="s">
        <v>377</v>
      </c>
      <c r="V98" s="1221">
        <v>0.03</v>
      </c>
      <c r="W98" s="1221">
        <v>0.03</v>
      </c>
      <c r="X98" s="1221">
        <v>0.02</v>
      </c>
      <c r="Y98" s="1221">
        <v>0.3</v>
      </c>
      <c r="Z98" s="1221">
        <v>0.45</v>
      </c>
      <c r="AA98" s="1221">
        <v>0.2</v>
      </c>
      <c r="AB98" s="1221">
        <v>0.03</v>
      </c>
      <c r="AC98" s="1221">
        <v>0.02</v>
      </c>
      <c r="AD98" s="1147"/>
      <c r="AE98" s="1147"/>
      <c r="AF98" s="1147"/>
      <c r="AG98" s="1147"/>
      <c r="AH98" s="1147"/>
      <c r="AI98" s="1147"/>
      <c r="AJ98" s="1147"/>
      <c r="AK98" s="1147"/>
      <c r="AL98" s="1147"/>
      <c r="AM98" s="1147"/>
      <c r="AN98" s="1147"/>
      <c r="AO98" s="1147"/>
      <c r="AP98" s="1147"/>
      <c r="AQ98" s="1147"/>
      <c r="AR98" s="1147"/>
      <c r="AS98" s="1147"/>
      <c r="AT98" s="1147"/>
      <c r="AU98" s="1147"/>
      <c r="AV98" s="1147"/>
      <c r="AW98" s="1147"/>
      <c r="AX98" s="1147"/>
      <c r="AY98" s="1147"/>
      <c r="AZ98" s="1147"/>
      <c r="BA98" s="1147"/>
      <c r="BB98" s="1147"/>
      <c r="BC98" s="1147"/>
      <c r="BD98" s="1147"/>
      <c r="BE98" s="1147"/>
      <c r="BF98" s="1147"/>
      <c r="BG98" s="1147"/>
      <c r="BH98" s="1147"/>
      <c r="BI98" s="1147"/>
      <c r="BJ98" s="1147"/>
      <c r="BK98" s="1147"/>
      <c r="BL98" s="1147"/>
      <c r="BM98" s="1147"/>
      <c r="BN98" s="1147"/>
      <c r="BO98" s="1147"/>
      <c r="BP98" s="1147"/>
      <c r="BQ98" s="1147"/>
      <c r="BR98" s="1147"/>
      <c r="BS98" s="1147"/>
      <c r="BT98" s="1147"/>
      <c r="BU98" s="1147"/>
      <c r="BV98" s="1147"/>
      <c r="BW98" s="1147"/>
      <c r="BX98" s="1147"/>
      <c r="BY98" s="1147"/>
      <c r="BZ98" s="1147"/>
      <c r="CA98" s="1147"/>
      <c r="CB98" s="1147"/>
      <c r="CC98" s="1147"/>
      <c r="CD98" s="1147"/>
      <c r="CE98" s="1147"/>
      <c r="CF98" s="1147"/>
      <c r="CG98" s="1147"/>
      <c r="CH98" s="1147"/>
      <c r="CI98" s="1147"/>
      <c r="CJ98" s="1147"/>
      <c r="CK98" s="1146"/>
    </row>
    <row r="99" spans="1:89" ht="15" x14ac:dyDescent="0.25">
      <c r="A99" s="1146"/>
      <c r="B99" s="1146"/>
      <c r="C99" s="1146"/>
      <c r="D99" s="1146"/>
      <c r="E99" s="1146"/>
      <c r="F99" s="1146"/>
      <c r="G99" s="1146"/>
      <c r="H99" s="1146"/>
      <c r="I99" s="1146"/>
      <c r="J99" s="1146"/>
      <c r="K99" s="1146"/>
      <c r="L99" s="1146"/>
      <c r="M99" s="1146"/>
      <c r="N99" s="1146"/>
      <c r="O99" s="1146"/>
      <c r="P99" s="1146"/>
      <c r="Q99" s="1146"/>
      <c r="R99" s="1146"/>
      <c r="S99" s="1146"/>
      <c r="T99" s="1147"/>
      <c r="U99" s="1147" t="s">
        <v>374</v>
      </c>
      <c r="V99" s="1221">
        <v>0.5</v>
      </c>
      <c r="W99" s="1221">
        <v>0.28000000000000003</v>
      </c>
      <c r="X99" s="1221">
        <v>0.1</v>
      </c>
      <c r="Y99" s="1221">
        <v>0.5</v>
      </c>
      <c r="Z99" s="1221">
        <v>0.5</v>
      </c>
      <c r="AA99" s="1221">
        <v>0.1</v>
      </c>
      <c r="AB99" s="1221">
        <v>0.22</v>
      </c>
      <c r="AC99" s="1221">
        <v>0.12</v>
      </c>
      <c r="AD99" s="1147"/>
      <c r="AE99" s="1147"/>
      <c r="AF99" s="1147"/>
      <c r="AG99" s="1147"/>
      <c r="AH99" s="1147"/>
      <c r="AI99" s="1147"/>
      <c r="AJ99" s="1147"/>
      <c r="AK99" s="1147"/>
      <c r="AL99" s="1147"/>
      <c r="AM99" s="1147"/>
      <c r="AN99" s="1147"/>
      <c r="AO99" s="1147"/>
      <c r="AP99" s="1147"/>
      <c r="AQ99" s="1147"/>
      <c r="AR99" s="1147"/>
      <c r="AS99" s="1147"/>
      <c r="AT99" s="1147"/>
      <c r="AU99" s="1147"/>
      <c r="AV99" s="1147"/>
      <c r="AW99" s="1147"/>
      <c r="AX99" s="1147"/>
      <c r="AY99" s="1147"/>
      <c r="AZ99" s="1147"/>
      <c r="BA99" s="1147"/>
      <c r="BB99" s="1147"/>
      <c r="BC99" s="1147"/>
      <c r="BD99" s="1147"/>
      <c r="BE99" s="1147"/>
      <c r="BF99" s="1147"/>
      <c r="BG99" s="1147"/>
      <c r="BH99" s="1147"/>
      <c r="BI99" s="1147"/>
      <c r="BJ99" s="1147"/>
      <c r="BK99" s="1147"/>
      <c r="BL99" s="1147"/>
      <c r="BM99" s="1147"/>
      <c r="BN99" s="1147"/>
      <c r="BO99" s="1147"/>
      <c r="BP99" s="1147"/>
      <c r="BQ99" s="1147"/>
      <c r="BR99" s="1147"/>
      <c r="BS99" s="1147"/>
      <c r="BT99" s="1147"/>
      <c r="BU99" s="1147"/>
      <c r="BV99" s="1147"/>
      <c r="BW99" s="1147"/>
      <c r="BX99" s="1147"/>
      <c r="BY99" s="1147"/>
      <c r="BZ99" s="1147"/>
      <c r="CA99" s="1147"/>
      <c r="CB99" s="1147"/>
      <c r="CC99" s="1147"/>
      <c r="CD99" s="1147"/>
      <c r="CE99" s="1147"/>
      <c r="CF99" s="1147"/>
      <c r="CG99" s="1147"/>
      <c r="CH99" s="1147"/>
      <c r="CI99" s="1147"/>
      <c r="CJ99" s="1147"/>
      <c r="CK99" s="1146"/>
    </row>
    <row r="100" spans="1:89" ht="15" x14ac:dyDescent="0.25">
      <c r="A100" s="1146"/>
      <c r="B100" s="1146"/>
      <c r="C100" s="1146"/>
      <c r="D100" s="1146"/>
      <c r="E100" s="1146"/>
      <c r="F100" s="1146"/>
      <c r="G100" s="1146"/>
      <c r="H100" s="1146"/>
      <c r="I100" s="1146"/>
      <c r="J100" s="1146"/>
      <c r="K100" s="1146"/>
      <c r="L100" s="1146"/>
      <c r="M100" s="1146"/>
      <c r="N100" s="1146"/>
      <c r="O100" s="1146"/>
      <c r="P100" s="1146"/>
      <c r="Q100" s="1146"/>
      <c r="R100" s="1146"/>
      <c r="S100" s="1146"/>
      <c r="T100" s="1147"/>
      <c r="U100" s="1147" t="s">
        <v>376</v>
      </c>
      <c r="V100" s="1221">
        <v>0.03</v>
      </c>
      <c r="W100" s="1221">
        <v>0.25</v>
      </c>
      <c r="X100" s="1221">
        <v>0.8</v>
      </c>
      <c r="Y100" s="1221">
        <v>0.03</v>
      </c>
      <c r="Z100" s="1221">
        <v>0.03</v>
      </c>
      <c r="AA100" s="1221">
        <v>0.6</v>
      </c>
      <c r="AB100" s="1221">
        <v>0.02</v>
      </c>
      <c r="AC100" s="1221">
        <v>0.12</v>
      </c>
      <c r="AD100" s="1147"/>
      <c r="AE100" s="1147"/>
      <c r="AF100" s="1147"/>
      <c r="AG100" s="1147"/>
      <c r="AH100" s="1147"/>
      <c r="AI100" s="1147"/>
      <c r="AJ100" s="1147"/>
      <c r="AK100" s="1147"/>
      <c r="AL100" s="1147"/>
      <c r="AM100" s="1147"/>
      <c r="AN100" s="1147"/>
      <c r="AO100" s="1147"/>
      <c r="AP100" s="1147"/>
      <c r="AQ100" s="1147"/>
      <c r="AR100" s="1147"/>
      <c r="AS100" s="1147"/>
      <c r="AT100" s="1147"/>
      <c r="AU100" s="1147"/>
      <c r="AV100" s="1147"/>
      <c r="AW100" s="1147"/>
      <c r="AX100" s="1147"/>
      <c r="AY100" s="1147"/>
      <c r="AZ100" s="1147"/>
      <c r="BA100" s="1147"/>
      <c r="BB100" s="1147"/>
      <c r="BC100" s="1147"/>
      <c r="BD100" s="1147"/>
      <c r="BE100" s="1147"/>
      <c r="BF100" s="1147"/>
      <c r="BG100" s="1147"/>
      <c r="BH100" s="1147"/>
      <c r="BI100" s="1147"/>
      <c r="BJ100" s="1147"/>
      <c r="BK100" s="1147"/>
      <c r="BL100" s="1147"/>
      <c r="BM100" s="1147"/>
      <c r="BN100" s="1147"/>
      <c r="BO100" s="1147"/>
      <c r="BP100" s="1147"/>
      <c r="BQ100" s="1147"/>
      <c r="BR100" s="1147"/>
      <c r="BS100" s="1147"/>
      <c r="BT100" s="1147"/>
      <c r="BU100" s="1147"/>
      <c r="BV100" s="1147"/>
      <c r="BW100" s="1147"/>
      <c r="BX100" s="1147"/>
      <c r="BY100" s="1147"/>
      <c r="BZ100" s="1147"/>
      <c r="CA100" s="1147"/>
      <c r="CB100" s="1147"/>
      <c r="CC100" s="1147"/>
      <c r="CD100" s="1147"/>
      <c r="CE100" s="1147"/>
      <c r="CF100" s="1147"/>
      <c r="CG100" s="1147"/>
      <c r="CH100" s="1147"/>
      <c r="CI100" s="1147"/>
      <c r="CJ100" s="1147"/>
      <c r="CK100" s="1146"/>
    </row>
    <row r="101" spans="1:89" ht="15.75" thickBot="1" x14ac:dyDescent="0.3">
      <c r="A101" s="1146"/>
      <c r="B101" s="1146"/>
      <c r="C101" s="1146"/>
      <c r="D101" s="1146"/>
      <c r="E101" s="1146"/>
      <c r="F101" s="1146"/>
      <c r="G101" s="1146"/>
      <c r="H101" s="1146"/>
      <c r="I101" s="1146"/>
      <c r="J101" s="1146"/>
      <c r="K101" s="1146"/>
      <c r="L101" s="1146"/>
      <c r="M101" s="1146"/>
      <c r="N101" s="1146"/>
      <c r="O101" s="1146"/>
      <c r="P101" s="1146"/>
      <c r="Q101" s="1146"/>
      <c r="R101" s="1146"/>
      <c r="S101" s="1146"/>
      <c r="T101" s="1222"/>
      <c r="U101" s="1222" t="s">
        <v>378</v>
      </c>
      <c r="V101" s="1228">
        <v>0</v>
      </c>
      <c r="W101" s="1228">
        <v>0</v>
      </c>
      <c r="X101" s="1228">
        <v>0</v>
      </c>
      <c r="Y101" s="1228">
        <v>0</v>
      </c>
      <c r="Z101" s="1228">
        <v>0</v>
      </c>
      <c r="AA101" s="1228">
        <v>0</v>
      </c>
      <c r="AB101" s="1228">
        <v>0</v>
      </c>
      <c r="AC101" s="1228">
        <v>0</v>
      </c>
      <c r="AD101" s="1222"/>
      <c r="AE101" s="1222"/>
      <c r="AF101" s="1222"/>
      <c r="AG101" s="1222"/>
      <c r="AH101" s="1222"/>
      <c r="AI101" s="1222"/>
      <c r="AJ101" s="1222"/>
      <c r="AK101" s="1222"/>
      <c r="AL101" s="1222"/>
      <c r="AM101" s="1222"/>
      <c r="AN101" s="1222"/>
      <c r="AO101" s="1222"/>
      <c r="AP101" s="1222"/>
      <c r="AQ101" s="1222"/>
      <c r="AR101" s="1222"/>
      <c r="AS101" s="1222"/>
      <c r="AT101" s="1222"/>
      <c r="AU101" s="1222"/>
      <c r="AV101" s="1222"/>
      <c r="AW101" s="1147"/>
      <c r="AX101" s="1147"/>
      <c r="AY101" s="1147"/>
      <c r="AZ101" s="1147"/>
      <c r="BA101" s="1147"/>
      <c r="BB101" s="1147"/>
      <c r="BC101" s="1147"/>
      <c r="BD101" s="1147"/>
      <c r="BE101" s="1147"/>
      <c r="BF101" s="1147"/>
      <c r="BG101" s="1147"/>
      <c r="BH101" s="1147"/>
      <c r="BI101" s="1147"/>
      <c r="BJ101" s="1147"/>
      <c r="BK101" s="1147"/>
      <c r="BL101" s="1147"/>
      <c r="BM101" s="1147"/>
      <c r="BN101" s="1147"/>
      <c r="BO101" s="1147"/>
      <c r="BP101" s="1147"/>
      <c r="BQ101" s="1147"/>
      <c r="BR101" s="1147"/>
      <c r="BS101" s="1147"/>
      <c r="BT101" s="1147"/>
      <c r="BU101" s="1147"/>
      <c r="BV101" s="1147"/>
      <c r="BW101" s="1147"/>
      <c r="BX101" s="1147"/>
      <c r="BY101" s="1147"/>
      <c r="BZ101" s="1147"/>
      <c r="CA101" s="1147"/>
      <c r="CB101" s="1147"/>
      <c r="CC101" s="1147"/>
      <c r="CD101" s="1147"/>
      <c r="CE101" s="1147"/>
      <c r="CF101" s="1147"/>
      <c r="CG101" s="1147"/>
      <c r="CH101" s="1147"/>
      <c r="CI101" s="1147"/>
      <c r="CJ101" s="1147"/>
      <c r="CK101" s="1146"/>
    </row>
    <row r="102" spans="1:89" ht="15" x14ac:dyDescent="0.25">
      <c r="A102" s="1146"/>
      <c r="B102" s="1146"/>
      <c r="C102" s="1146"/>
      <c r="D102" s="1146"/>
      <c r="E102" s="1146"/>
      <c r="F102" s="1146"/>
      <c r="G102" s="1146"/>
      <c r="H102" s="1146"/>
      <c r="I102" s="1146"/>
      <c r="J102" s="1146"/>
      <c r="K102" s="1146"/>
      <c r="L102" s="1146"/>
      <c r="M102" s="1146"/>
      <c r="N102" s="1146"/>
      <c r="O102" s="1146"/>
      <c r="P102" s="1146"/>
      <c r="Q102" s="1146"/>
      <c r="R102" s="1146"/>
      <c r="S102" s="1146"/>
      <c r="T102" s="1147"/>
      <c r="U102" s="1147"/>
      <c r="V102" s="1147"/>
      <c r="W102" s="1147"/>
      <c r="X102" s="1147"/>
      <c r="Y102" s="1147"/>
      <c r="Z102" s="1147"/>
      <c r="AA102" s="1147"/>
      <c r="AB102" s="1147"/>
      <c r="AC102" s="1147"/>
      <c r="AD102" s="1147"/>
      <c r="AE102" s="1147"/>
      <c r="AF102" s="1147"/>
      <c r="AG102" s="1147"/>
      <c r="AH102" s="1147"/>
      <c r="AI102" s="1147"/>
      <c r="AJ102" s="1147"/>
      <c r="AK102" s="1147"/>
      <c r="AL102" s="1147"/>
      <c r="AM102" s="1147"/>
      <c r="AN102" s="1147"/>
      <c r="AO102" s="1147"/>
      <c r="AP102" s="1147"/>
      <c r="AQ102" s="1147"/>
      <c r="AR102" s="1147"/>
      <c r="AS102" s="1147"/>
      <c r="AT102" s="1147"/>
      <c r="AU102" s="1147"/>
      <c r="AV102" s="1147"/>
      <c r="AW102" s="1147"/>
      <c r="AX102" s="1147"/>
      <c r="AY102" s="1147"/>
      <c r="AZ102" s="1147"/>
      <c r="BA102" s="1147"/>
      <c r="BB102" s="1147"/>
      <c r="BC102" s="1147"/>
      <c r="BD102" s="1147"/>
      <c r="BE102" s="1147"/>
      <c r="BF102" s="1147"/>
      <c r="BG102" s="1147"/>
      <c r="BH102" s="1147"/>
      <c r="BI102" s="1147"/>
      <c r="BJ102" s="1147"/>
      <c r="BK102" s="1147"/>
      <c r="BL102" s="1147"/>
      <c r="BM102" s="1147"/>
      <c r="BN102" s="1147"/>
      <c r="BO102" s="1147"/>
      <c r="BP102" s="1147"/>
      <c r="BQ102" s="1147"/>
      <c r="BR102" s="1147"/>
      <c r="BS102" s="1147"/>
      <c r="BT102" s="1147"/>
      <c r="BU102" s="1147"/>
      <c r="BV102" s="1147"/>
      <c r="BW102" s="1147"/>
      <c r="BX102" s="1147"/>
      <c r="BY102" s="1147"/>
      <c r="BZ102" s="1147"/>
      <c r="CA102" s="1147"/>
      <c r="CB102" s="1147"/>
      <c r="CC102" s="1147"/>
      <c r="CD102" s="1147"/>
      <c r="CE102" s="1147"/>
      <c r="CF102" s="1147"/>
      <c r="CG102" s="1147"/>
      <c r="CH102" s="1147"/>
      <c r="CI102" s="1147"/>
      <c r="CJ102" s="1147"/>
      <c r="CK102" s="1146"/>
    </row>
    <row r="103" spans="1:89" ht="15.75" thickBot="1" x14ac:dyDescent="0.3">
      <c r="A103" s="1146"/>
      <c r="B103" s="1146"/>
      <c r="C103" s="1146"/>
      <c r="D103" s="1146"/>
      <c r="E103" s="1146"/>
      <c r="F103" s="1146"/>
      <c r="G103" s="1146"/>
      <c r="H103" s="1146"/>
      <c r="I103" s="1146"/>
      <c r="J103" s="1146"/>
      <c r="K103" s="1146"/>
      <c r="L103" s="1146"/>
      <c r="M103" s="1146"/>
      <c r="N103" s="1146"/>
      <c r="O103" s="1146"/>
      <c r="P103" s="1146"/>
      <c r="Q103" s="1146"/>
      <c r="R103" s="1146"/>
      <c r="S103" s="1146"/>
      <c r="T103" s="1147"/>
      <c r="U103" s="1147"/>
      <c r="V103" s="1147"/>
      <c r="W103" s="1147"/>
      <c r="X103" s="1147"/>
      <c r="Y103" s="1147"/>
      <c r="Z103" s="1147"/>
      <c r="AA103" s="1147"/>
      <c r="AB103" s="1147"/>
      <c r="AC103" s="1147"/>
      <c r="AD103" s="1147"/>
      <c r="AE103" s="1147"/>
      <c r="AF103" s="1147"/>
      <c r="AG103" s="1147"/>
      <c r="AH103" s="1147"/>
      <c r="AI103" s="1147"/>
      <c r="AJ103" s="1147"/>
      <c r="AK103" s="1147"/>
      <c r="AL103" s="1147"/>
      <c r="AM103" s="1147"/>
      <c r="AN103" s="1147"/>
      <c r="AO103" s="1147"/>
      <c r="AP103" s="1147"/>
      <c r="AQ103" s="1147"/>
      <c r="AR103" s="1147"/>
      <c r="AS103" s="1147"/>
      <c r="AT103" s="1147"/>
      <c r="AU103" s="1147"/>
      <c r="AV103" s="1147"/>
      <c r="AW103" s="1147"/>
      <c r="AX103" s="1147"/>
      <c r="AY103" s="1147"/>
      <c r="AZ103" s="1147"/>
      <c r="BA103" s="1147"/>
      <c r="BB103" s="1147"/>
      <c r="BC103" s="1147"/>
      <c r="BD103" s="1147"/>
      <c r="BE103" s="1147"/>
      <c r="BF103" s="1147"/>
      <c r="BG103" s="1147"/>
      <c r="BH103" s="1147"/>
      <c r="BI103" s="1147"/>
      <c r="BJ103" s="1147"/>
      <c r="BK103" s="1147"/>
      <c r="BL103" s="1147"/>
      <c r="BM103" s="1147"/>
      <c r="BN103" s="1147"/>
      <c r="BO103" s="1147"/>
      <c r="BP103" s="1147"/>
      <c r="BQ103" s="1147"/>
      <c r="BR103" s="1147"/>
      <c r="BS103" s="1147"/>
      <c r="BT103" s="1147"/>
      <c r="BU103" s="1147"/>
      <c r="BV103" s="1147"/>
      <c r="BW103" s="1147"/>
      <c r="BX103" s="1147"/>
      <c r="BY103" s="1147"/>
      <c r="BZ103" s="1147"/>
      <c r="CA103" s="1147"/>
      <c r="CB103" s="1147"/>
      <c r="CC103" s="1147"/>
      <c r="CD103" s="1147"/>
      <c r="CE103" s="1147"/>
      <c r="CF103" s="1147"/>
      <c r="CG103" s="1147"/>
      <c r="CH103" s="1147"/>
      <c r="CI103" s="1147"/>
      <c r="CJ103" s="1147"/>
      <c r="CK103" s="1146"/>
    </row>
    <row r="104" spans="1:89" ht="15" x14ac:dyDescent="0.25">
      <c r="A104" s="1146"/>
      <c r="B104" s="1146"/>
      <c r="C104" s="1146"/>
      <c r="D104" s="1146"/>
      <c r="E104" s="1146"/>
      <c r="F104" s="1146"/>
      <c r="G104" s="1146"/>
      <c r="H104" s="1146"/>
      <c r="I104" s="1146"/>
      <c r="J104" s="1146"/>
      <c r="K104" s="1146"/>
      <c r="L104" s="1146"/>
      <c r="M104" s="1146"/>
      <c r="N104" s="1146"/>
      <c r="O104" s="1146"/>
      <c r="P104" s="1146"/>
      <c r="Q104" s="1146"/>
      <c r="R104" s="1146"/>
      <c r="S104" s="1146"/>
      <c r="T104" s="1205" t="s">
        <v>693</v>
      </c>
      <c r="U104" s="1223" t="s">
        <v>368</v>
      </c>
      <c r="V104" s="1223"/>
      <c r="W104" s="1224">
        <f>W17+W$6*$V82+W$7*$W82+W$8*$X82+W$9*$Y82+W$10*$Z82+W$11*$AA82+W$12*$AB82+W$13*$AC82</f>
        <v>16000</v>
      </c>
      <c r="X104" s="1224">
        <f t="shared" ref="X104:AV104" si="73">X17+X$6*$V82+X$7*$W82+X$8*$X82+X$9*$Y82+X$10*$Z82+X$11*$AA82+X$12*$AB82+X$13*$AC82</f>
        <v>16727.55</v>
      </c>
      <c r="Y104" s="1224">
        <f t="shared" si="73"/>
        <v>17752.600000000002</v>
      </c>
      <c r="Z104" s="1224">
        <f t="shared" si="73"/>
        <v>19260.400000000001</v>
      </c>
      <c r="AA104" s="1224">
        <f t="shared" si="73"/>
        <v>20768.75</v>
      </c>
      <c r="AB104" s="1224">
        <f t="shared" si="73"/>
        <v>22277.1</v>
      </c>
      <c r="AC104" s="1224">
        <f t="shared" si="73"/>
        <v>23784.899999999998</v>
      </c>
      <c r="AD104" s="1224">
        <f t="shared" si="73"/>
        <v>25293.799999999996</v>
      </c>
      <c r="AE104" s="1224">
        <f t="shared" si="73"/>
        <v>26784.85</v>
      </c>
      <c r="AF104" s="1224">
        <f t="shared" si="73"/>
        <v>28276.2</v>
      </c>
      <c r="AG104" s="1224">
        <f t="shared" si="73"/>
        <v>29767.250000000004</v>
      </c>
      <c r="AH104" s="1224">
        <f t="shared" si="73"/>
        <v>31258.300000000003</v>
      </c>
      <c r="AI104" s="1224">
        <f t="shared" si="73"/>
        <v>32750.45</v>
      </c>
      <c r="AJ104" s="1224">
        <f t="shared" si="73"/>
        <v>33758.200000000004</v>
      </c>
      <c r="AK104" s="1224">
        <f t="shared" si="73"/>
        <v>34485.75</v>
      </c>
      <c r="AL104" s="1224">
        <f t="shared" si="73"/>
        <v>35213.299999999996</v>
      </c>
      <c r="AM104" s="1224">
        <f t="shared" si="73"/>
        <v>35940.85</v>
      </c>
      <c r="AN104" s="1224">
        <f t="shared" si="73"/>
        <v>36668.65</v>
      </c>
      <c r="AO104" s="1224">
        <f t="shared" si="73"/>
        <v>37396.200000000004</v>
      </c>
      <c r="AP104" s="1224">
        <f t="shared" si="73"/>
        <v>38123.999999999993</v>
      </c>
      <c r="AQ104" s="1224">
        <f t="shared" si="73"/>
        <v>38851.550000000003</v>
      </c>
      <c r="AR104" s="1224">
        <f t="shared" si="73"/>
        <v>39579.1</v>
      </c>
      <c r="AS104" s="1224">
        <f t="shared" si="73"/>
        <v>40306.899999999994</v>
      </c>
      <c r="AT104" s="1224">
        <f t="shared" si="73"/>
        <v>41034.449999999997</v>
      </c>
      <c r="AU104" s="1224">
        <f t="shared" si="73"/>
        <v>41762</v>
      </c>
      <c r="AV104" s="1224">
        <f t="shared" si="73"/>
        <v>42489.799999999996</v>
      </c>
      <c r="AW104" s="1147"/>
      <c r="AX104" s="1147"/>
      <c r="AY104" s="1147"/>
      <c r="AZ104" s="1147"/>
      <c r="BA104" s="1147"/>
      <c r="BB104" s="1147"/>
      <c r="BC104" s="1147"/>
      <c r="BD104" s="1147"/>
      <c r="BE104" s="1147"/>
      <c r="BF104" s="1147"/>
      <c r="BG104" s="1147"/>
      <c r="BH104" s="1147"/>
      <c r="BI104" s="1147"/>
      <c r="BJ104" s="1147"/>
      <c r="BK104" s="1147"/>
      <c r="BL104" s="1147"/>
      <c r="BM104" s="1147"/>
      <c r="BN104" s="1147"/>
      <c r="BO104" s="1147"/>
      <c r="BP104" s="1147"/>
      <c r="BQ104" s="1147"/>
      <c r="BR104" s="1147"/>
      <c r="BS104" s="1147"/>
      <c r="BT104" s="1147"/>
      <c r="BU104" s="1147"/>
      <c r="BV104" s="1147"/>
      <c r="BW104" s="1147"/>
      <c r="BX104" s="1147"/>
      <c r="BY104" s="1147"/>
      <c r="BZ104" s="1147"/>
      <c r="CA104" s="1147"/>
      <c r="CB104" s="1147"/>
      <c r="CC104" s="1147"/>
      <c r="CD104" s="1147"/>
      <c r="CE104" s="1147"/>
      <c r="CF104" s="1147"/>
      <c r="CG104" s="1147"/>
      <c r="CH104" s="1147"/>
      <c r="CI104" s="1147"/>
      <c r="CJ104" s="1147"/>
      <c r="CK104" s="1146"/>
    </row>
    <row r="105" spans="1:89" ht="15" x14ac:dyDescent="0.25">
      <c r="A105" s="1146"/>
      <c r="B105" s="1146"/>
      <c r="C105" s="1146"/>
      <c r="D105" s="1146"/>
      <c r="E105" s="1146"/>
      <c r="F105" s="1146"/>
      <c r="G105" s="1146"/>
      <c r="H105" s="1146"/>
      <c r="I105" s="1146"/>
      <c r="J105" s="1146"/>
      <c r="K105" s="1146"/>
      <c r="L105" s="1146"/>
      <c r="M105" s="1146"/>
      <c r="N105" s="1146"/>
      <c r="O105" s="1146"/>
      <c r="P105" s="1146"/>
      <c r="Q105" s="1146"/>
      <c r="R105" s="1146"/>
      <c r="S105" s="1146"/>
      <c r="T105" s="1147" t="s">
        <v>692</v>
      </c>
      <c r="U105" s="1147" t="s">
        <v>369</v>
      </c>
      <c r="V105" s="1147"/>
      <c r="W105" s="1208">
        <f>W18+W$6*$V83+W$7*$W83+W$8*$X83+W$9*$Y83+W$10*$Z83+W$11*$AA83+W$12*$AB83+W$13*$AC83</f>
        <v>13500</v>
      </c>
      <c r="X105" s="1208">
        <f t="shared" ref="X105:AV115" si="74">X18+X$6*$V83+X$7*$W83+X$8*$X83+X$9*$Y83+X$10*$Z83+X$11*$AA83+X$12*$AB83+X$13*$AC83</f>
        <v>14212.599999999997</v>
      </c>
      <c r="Y105" s="1208">
        <f t="shared" si="74"/>
        <v>15282.300000000001</v>
      </c>
      <c r="Z105" s="1208">
        <f t="shared" si="74"/>
        <v>17049.599999999999</v>
      </c>
      <c r="AA105" s="1208">
        <f t="shared" si="74"/>
        <v>18817.7</v>
      </c>
      <c r="AB105" s="1208">
        <f t="shared" si="74"/>
        <v>20585.699999999997</v>
      </c>
      <c r="AC105" s="1208">
        <f t="shared" si="74"/>
        <v>22353</v>
      </c>
      <c r="AD105" s="1208">
        <f t="shared" si="74"/>
        <v>24121.899999999998</v>
      </c>
      <c r="AE105" s="1208">
        <f t="shared" si="74"/>
        <v>25906.499999999996</v>
      </c>
      <c r="AF105" s="1208">
        <f t="shared" si="74"/>
        <v>27691.699999999997</v>
      </c>
      <c r="AG105" s="1208">
        <f t="shared" si="74"/>
        <v>29476.299999999996</v>
      </c>
      <c r="AH105" s="1208">
        <f t="shared" si="74"/>
        <v>31260.899999999998</v>
      </c>
      <c r="AI105" s="1208">
        <f t="shared" si="74"/>
        <v>33047.1</v>
      </c>
      <c r="AJ105" s="1208">
        <f t="shared" si="74"/>
        <v>34133.300000000003</v>
      </c>
      <c r="AK105" s="1208">
        <f t="shared" si="74"/>
        <v>34845.899999999994</v>
      </c>
      <c r="AL105" s="1208">
        <f t="shared" si="74"/>
        <v>35558.5</v>
      </c>
      <c r="AM105" s="1208">
        <f t="shared" si="74"/>
        <v>36271.100000000006</v>
      </c>
      <c r="AN105" s="1208">
        <f t="shared" si="74"/>
        <v>36984.1</v>
      </c>
      <c r="AO105" s="1208">
        <f t="shared" si="74"/>
        <v>37696.699999999997</v>
      </c>
      <c r="AP105" s="1208">
        <f t="shared" si="74"/>
        <v>38409.700000000004</v>
      </c>
      <c r="AQ105" s="1208">
        <f t="shared" si="74"/>
        <v>39122.300000000003</v>
      </c>
      <c r="AR105" s="1208">
        <f t="shared" si="74"/>
        <v>39834.9</v>
      </c>
      <c r="AS105" s="1208">
        <f t="shared" si="74"/>
        <v>40547.900000000009</v>
      </c>
      <c r="AT105" s="1208">
        <f t="shared" si="74"/>
        <v>41260.5</v>
      </c>
      <c r="AU105" s="1208">
        <f t="shared" si="74"/>
        <v>41973.1</v>
      </c>
      <c r="AV105" s="1208">
        <f t="shared" si="74"/>
        <v>42686.1</v>
      </c>
      <c r="AW105" s="1147"/>
      <c r="AX105" s="1147"/>
      <c r="AY105" s="1147"/>
      <c r="AZ105" s="1147"/>
      <c r="BA105" s="1147"/>
      <c r="BB105" s="1147"/>
      <c r="BC105" s="1147"/>
      <c r="BD105" s="1147"/>
      <c r="BE105" s="1147"/>
      <c r="BF105" s="1147"/>
      <c r="BG105" s="1147"/>
      <c r="BH105" s="1147"/>
      <c r="BI105" s="1147"/>
      <c r="BJ105" s="1147"/>
      <c r="BK105" s="1147"/>
      <c r="BL105" s="1147"/>
      <c r="BM105" s="1147"/>
      <c r="BN105" s="1147"/>
      <c r="BO105" s="1147"/>
      <c r="BP105" s="1147"/>
      <c r="BQ105" s="1147"/>
      <c r="BR105" s="1147"/>
      <c r="BS105" s="1147"/>
      <c r="BT105" s="1147"/>
      <c r="BU105" s="1147"/>
      <c r="BV105" s="1147"/>
      <c r="BW105" s="1147"/>
      <c r="BX105" s="1147"/>
      <c r="BY105" s="1147"/>
      <c r="BZ105" s="1147"/>
      <c r="CA105" s="1147"/>
      <c r="CB105" s="1147"/>
      <c r="CC105" s="1147"/>
      <c r="CD105" s="1147"/>
      <c r="CE105" s="1147"/>
      <c r="CF105" s="1147"/>
      <c r="CG105" s="1147"/>
      <c r="CH105" s="1147"/>
      <c r="CI105" s="1147"/>
      <c r="CJ105" s="1147"/>
      <c r="CK105" s="1146"/>
    </row>
    <row r="106" spans="1:89" ht="15" x14ac:dyDescent="0.25">
      <c r="A106" s="1146"/>
      <c r="B106" s="1146"/>
      <c r="C106" s="1146"/>
      <c r="D106" s="1146"/>
      <c r="E106" s="1146"/>
      <c r="F106" s="1146"/>
      <c r="G106" s="1146"/>
      <c r="H106" s="1146"/>
      <c r="I106" s="1146"/>
      <c r="J106" s="1146"/>
      <c r="K106" s="1146"/>
      <c r="L106" s="1146"/>
      <c r="M106" s="1146"/>
      <c r="N106" s="1146"/>
      <c r="O106" s="1146"/>
      <c r="P106" s="1146"/>
      <c r="Q106" s="1146"/>
      <c r="R106" s="1146"/>
      <c r="S106" s="1146"/>
      <c r="T106" s="1147"/>
      <c r="U106" s="1147" t="s">
        <v>370</v>
      </c>
      <c r="V106" s="1147"/>
      <c r="W106" s="1208">
        <f t="shared" ref="W106:AL123" si="75">W19+W$6*$V84+W$7*$W84+W$8*$X84+W$9*$Y84+W$10*$Z84+W$11*$AA84+W$12*$AB84+W$13*$AC84</f>
        <v>12000</v>
      </c>
      <c r="X106" s="1208">
        <f t="shared" si="75"/>
        <v>12501.099999999999</v>
      </c>
      <c r="Y106" s="1208">
        <f t="shared" si="75"/>
        <v>13121.299999999997</v>
      </c>
      <c r="Z106" s="1208">
        <f t="shared" si="75"/>
        <v>13956.3</v>
      </c>
      <c r="AA106" s="1208">
        <f t="shared" si="75"/>
        <v>14791.600000000002</v>
      </c>
      <c r="AB106" s="1208">
        <f t="shared" si="75"/>
        <v>15626.800000000003</v>
      </c>
      <c r="AC106" s="1208">
        <f t="shared" si="75"/>
        <v>16461.800000000003</v>
      </c>
      <c r="AD106" s="1208">
        <f t="shared" si="75"/>
        <v>17297.400000000005</v>
      </c>
      <c r="AE106" s="1208">
        <f t="shared" si="75"/>
        <v>18107</v>
      </c>
      <c r="AF106" s="1208">
        <f t="shared" si="75"/>
        <v>18916.899999999994</v>
      </c>
      <c r="AG106" s="1208">
        <f t="shared" si="75"/>
        <v>19726.5</v>
      </c>
      <c r="AH106" s="1208">
        <f t="shared" si="75"/>
        <v>20536.099999999999</v>
      </c>
      <c r="AI106" s="1208">
        <f t="shared" si="75"/>
        <v>21346.300000000003</v>
      </c>
      <c r="AJ106" s="1208">
        <f t="shared" si="75"/>
        <v>21940.799999999999</v>
      </c>
      <c r="AK106" s="1208">
        <f t="shared" si="75"/>
        <v>22441.9</v>
      </c>
      <c r="AL106" s="1208">
        <f t="shared" si="75"/>
        <v>22942.999999999996</v>
      </c>
      <c r="AM106" s="1208">
        <f t="shared" si="74"/>
        <v>23444.1</v>
      </c>
      <c r="AN106" s="1208">
        <f t="shared" si="74"/>
        <v>23945.4</v>
      </c>
      <c r="AO106" s="1208">
        <f t="shared" si="74"/>
        <v>24446.5</v>
      </c>
      <c r="AP106" s="1208">
        <f t="shared" si="74"/>
        <v>24947.8</v>
      </c>
      <c r="AQ106" s="1208">
        <f t="shared" si="74"/>
        <v>25448.900000000005</v>
      </c>
      <c r="AR106" s="1208">
        <f t="shared" si="74"/>
        <v>25949.999999999996</v>
      </c>
      <c r="AS106" s="1208">
        <f t="shared" si="74"/>
        <v>26451.3</v>
      </c>
      <c r="AT106" s="1208">
        <f t="shared" si="74"/>
        <v>26952.400000000001</v>
      </c>
      <c r="AU106" s="1208">
        <f t="shared" si="74"/>
        <v>27453.499999999996</v>
      </c>
      <c r="AV106" s="1208">
        <f t="shared" si="74"/>
        <v>27954.799999999999</v>
      </c>
      <c r="AW106" s="1147"/>
      <c r="AX106" s="1147"/>
      <c r="AY106" s="1147"/>
      <c r="AZ106" s="1147"/>
      <c r="BA106" s="1147"/>
      <c r="BB106" s="1147"/>
      <c r="BC106" s="1147"/>
      <c r="BD106" s="1147"/>
      <c r="BE106" s="1147"/>
      <c r="BF106" s="1147"/>
      <c r="BG106" s="1147"/>
      <c r="BH106" s="1147"/>
      <c r="BI106" s="1147"/>
      <c r="BJ106" s="1147"/>
      <c r="BK106" s="1147"/>
      <c r="BL106" s="1147"/>
      <c r="BM106" s="1147"/>
      <c r="BN106" s="1147"/>
      <c r="BO106" s="1147"/>
      <c r="BP106" s="1147"/>
      <c r="BQ106" s="1147"/>
      <c r="BR106" s="1147"/>
      <c r="BS106" s="1147"/>
      <c r="BT106" s="1147"/>
      <c r="BU106" s="1147"/>
      <c r="BV106" s="1147"/>
      <c r="BW106" s="1147"/>
      <c r="BX106" s="1147"/>
      <c r="BY106" s="1147"/>
      <c r="BZ106" s="1147"/>
      <c r="CA106" s="1147"/>
      <c r="CB106" s="1147"/>
      <c r="CC106" s="1147"/>
      <c r="CD106" s="1147"/>
      <c r="CE106" s="1147"/>
      <c r="CF106" s="1147"/>
      <c r="CG106" s="1147"/>
      <c r="CH106" s="1147"/>
      <c r="CI106" s="1147"/>
      <c r="CJ106" s="1147"/>
      <c r="CK106" s="1146"/>
    </row>
    <row r="107" spans="1:89" ht="15" x14ac:dyDescent="0.25">
      <c r="A107" s="1146"/>
      <c r="B107" s="1146"/>
      <c r="C107" s="1146"/>
      <c r="D107" s="1146"/>
      <c r="E107" s="1146"/>
      <c r="F107" s="1146"/>
      <c r="G107" s="1146"/>
      <c r="H107" s="1146"/>
      <c r="I107" s="1146"/>
      <c r="J107" s="1146"/>
      <c r="K107" s="1146"/>
      <c r="L107" s="1146"/>
      <c r="M107" s="1146"/>
      <c r="N107" s="1146"/>
      <c r="O107" s="1146"/>
      <c r="P107" s="1146"/>
      <c r="Q107" s="1146"/>
      <c r="R107" s="1146"/>
      <c r="S107" s="1146"/>
      <c r="T107" s="1147"/>
      <c r="U107" s="1147" t="s">
        <v>367</v>
      </c>
      <c r="V107" s="1147"/>
      <c r="W107" s="1208">
        <f t="shared" si="75"/>
        <v>14000</v>
      </c>
      <c r="X107" s="1208">
        <f t="shared" si="74"/>
        <v>14387.8</v>
      </c>
      <c r="Y107" s="1208">
        <f t="shared" si="74"/>
        <v>15013.65</v>
      </c>
      <c r="Z107" s="1208">
        <f t="shared" si="74"/>
        <v>15907.75</v>
      </c>
      <c r="AA107" s="1208">
        <f t="shared" si="74"/>
        <v>16802.250000000004</v>
      </c>
      <c r="AB107" s="1208">
        <f t="shared" si="74"/>
        <v>17696.700000000004</v>
      </c>
      <c r="AC107" s="1208">
        <f t="shared" si="74"/>
        <v>18590.800000000007</v>
      </c>
      <c r="AD107" s="1208">
        <f t="shared" si="74"/>
        <v>19485.7</v>
      </c>
      <c r="AE107" s="1208">
        <f t="shared" si="74"/>
        <v>20282.249999999996</v>
      </c>
      <c r="AF107" s="1208">
        <f t="shared" si="74"/>
        <v>21079.05</v>
      </c>
      <c r="AG107" s="1208">
        <f t="shared" si="74"/>
        <v>21875.599999999999</v>
      </c>
      <c r="AH107" s="1208">
        <f t="shared" si="74"/>
        <v>22672.149999999998</v>
      </c>
      <c r="AI107" s="1208">
        <f t="shared" si="74"/>
        <v>23469.5</v>
      </c>
      <c r="AJ107" s="1208">
        <f t="shared" si="74"/>
        <v>23997.4</v>
      </c>
      <c r="AK107" s="1208">
        <f t="shared" si="74"/>
        <v>24385.200000000001</v>
      </c>
      <c r="AL107" s="1208">
        <f t="shared" si="74"/>
        <v>24773</v>
      </c>
      <c r="AM107" s="1208">
        <f t="shared" si="74"/>
        <v>25160.799999999999</v>
      </c>
      <c r="AN107" s="1208">
        <f t="shared" si="74"/>
        <v>25548.85</v>
      </c>
      <c r="AO107" s="1208">
        <f t="shared" si="74"/>
        <v>25936.650000000005</v>
      </c>
      <c r="AP107" s="1208">
        <f t="shared" si="74"/>
        <v>26324.699999999997</v>
      </c>
      <c r="AQ107" s="1208">
        <f t="shared" si="74"/>
        <v>26712.499999999996</v>
      </c>
      <c r="AR107" s="1208">
        <f t="shared" si="74"/>
        <v>27100.3</v>
      </c>
      <c r="AS107" s="1208">
        <f t="shared" si="74"/>
        <v>27488.35</v>
      </c>
      <c r="AT107" s="1208">
        <f t="shared" si="74"/>
        <v>27876.149999999994</v>
      </c>
      <c r="AU107" s="1208">
        <f t="shared" si="74"/>
        <v>28263.949999999997</v>
      </c>
      <c r="AV107" s="1208">
        <f t="shared" si="74"/>
        <v>28651.999999999996</v>
      </c>
      <c r="AW107" s="1147"/>
      <c r="AX107" s="1147"/>
      <c r="AY107" s="1147"/>
      <c r="AZ107" s="1147"/>
      <c r="BA107" s="1147"/>
      <c r="BB107" s="1147"/>
      <c r="BC107" s="1147"/>
      <c r="BD107" s="1147"/>
      <c r="BE107" s="1147"/>
      <c r="BF107" s="1147"/>
      <c r="BG107" s="1147"/>
      <c r="BH107" s="1147"/>
      <c r="BI107" s="1147"/>
      <c r="BJ107" s="1147"/>
      <c r="BK107" s="1147"/>
      <c r="BL107" s="1147"/>
      <c r="BM107" s="1147"/>
      <c r="BN107" s="1147"/>
      <c r="BO107" s="1147"/>
      <c r="BP107" s="1147"/>
      <c r="BQ107" s="1147"/>
      <c r="BR107" s="1147"/>
      <c r="BS107" s="1147"/>
      <c r="BT107" s="1147"/>
      <c r="BU107" s="1147"/>
      <c r="BV107" s="1147"/>
      <c r="BW107" s="1147"/>
      <c r="BX107" s="1147"/>
      <c r="BY107" s="1147"/>
      <c r="BZ107" s="1147"/>
      <c r="CA107" s="1147"/>
      <c r="CB107" s="1147"/>
      <c r="CC107" s="1147"/>
      <c r="CD107" s="1147"/>
      <c r="CE107" s="1147"/>
      <c r="CF107" s="1147"/>
      <c r="CG107" s="1147"/>
      <c r="CH107" s="1147"/>
      <c r="CI107" s="1147"/>
      <c r="CJ107" s="1147"/>
      <c r="CK107" s="1146"/>
    </row>
    <row r="108" spans="1:89" ht="15" x14ac:dyDescent="0.25">
      <c r="A108" s="1146"/>
      <c r="B108" s="1146"/>
      <c r="C108" s="1146"/>
      <c r="D108" s="1146"/>
      <c r="E108" s="1146"/>
      <c r="F108" s="1146"/>
      <c r="G108" s="1146"/>
      <c r="H108" s="1146"/>
      <c r="I108" s="1146"/>
      <c r="J108" s="1146"/>
      <c r="K108" s="1146"/>
      <c r="L108" s="1146"/>
      <c r="M108" s="1146"/>
      <c r="N108" s="1146"/>
      <c r="O108" s="1146"/>
      <c r="P108" s="1146"/>
      <c r="Q108" s="1146"/>
      <c r="R108" s="1146"/>
      <c r="S108" s="1146"/>
      <c r="T108" s="1147"/>
      <c r="U108" s="1147" t="s">
        <v>366</v>
      </c>
      <c r="V108" s="1147"/>
      <c r="W108" s="1208">
        <f t="shared" si="75"/>
        <v>28000</v>
      </c>
      <c r="X108" s="1208">
        <f t="shared" si="74"/>
        <v>28642.75</v>
      </c>
      <c r="Y108" s="1208">
        <f t="shared" si="74"/>
        <v>29582.9</v>
      </c>
      <c r="Z108" s="1208">
        <f t="shared" si="74"/>
        <v>30710.400000000001</v>
      </c>
      <c r="AA108" s="1208">
        <f t="shared" si="74"/>
        <v>31838.2</v>
      </c>
      <c r="AB108" s="1208">
        <f t="shared" si="74"/>
        <v>32966.100000000013</v>
      </c>
      <c r="AC108" s="1208">
        <f t="shared" si="74"/>
        <v>34093.600000000006</v>
      </c>
      <c r="AD108" s="1208">
        <f t="shared" si="74"/>
        <v>35221.700000000004</v>
      </c>
      <c r="AE108" s="1208">
        <f t="shared" si="74"/>
        <v>36192.199999999997</v>
      </c>
      <c r="AF108" s="1208">
        <f t="shared" si="74"/>
        <v>37162.65</v>
      </c>
      <c r="AG108" s="1208">
        <f t="shared" si="74"/>
        <v>38133.15</v>
      </c>
      <c r="AH108" s="1208">
        <f t="shared" si="74"/>
        <v>39103.649999999994</v>
      </c>
      <c r="AI108" s="1208">
        <f t="shared" si="74"/>
        <v>40074.749999999993</v>
      </c>
      <c r="AJ108" s="1208">
        <f t="shared" si="74"/>
        <v>40857.599999999999</v>
      </c>
      <c r="AK108" s="1208">
        <f t="shared" si="74"/>
        <v>41500.349999999991</v>
      </c>
      <c r="AL108" s="1208">
        <f t="shared" si="74"/>
        <v>42143.099999999991</v>
      </c>
      <c r="AM108" s="1208">
        <f t="shared" si="74"/>
        <v>42785.849999999991</v>
      </c>
      <c r="AN108" s="1208">
        <f t="shared" si="74"/>
        <v>43428.749999999993</v>
      </c>
      <c r="AO108" s="1208">
        <f t="shared" si="74"/>
        <v>44071.499999999993</v>
      </c>
      <c r="AP108" s="1208">
        <f t="shared" si="74"/>
        <v>44714.399999999994</v>
      </c>
      <c r="AQ108" s="1208">
        <f t="shared" si="74"/>
        <v>45357.149999999994</v>
      </c>
      <c r="AR108" s="1208">
        <f t="shared" si="74"/>
        <v>45999.899999999994</v>
      </c>
      <c r="AS108" s="1208">
        <f t="shared" si="74"/>
        <v>46642.799999999996</v>
      </c>
      <c r="AT108" s="1208">
        <f t="shared" si="74"/>
        <v>47285.549999999988</v>
      </c>
      <c r="AU108" s="1208">
        <f t="shared" si="74"/>
        <v>47928.299999999996</v>
      </c>
      <c r="AV108" s="1208">
        <f t="shared" si="74"/>
        <v>48571.199999999997</v>
      </c>
      <c r="AW108" s="1147"/>
      <c r="AX108" s="1147"/>
      <c r="AY108" s="1147"/>
      <c r="AZ108" s="1147"/>
      <c r="BA108" s="1147"/>
      <c r="BB108" s="1147"/>
      <c r="BC108" s="1147"/>
      <c r="BD108" s="1147"/>
      <c r="BE108" s="1147"/>
      <c r="BF108" s="1147"/>
      <c r="BG108" s="1147"/>
      <c r="BH108" s="1147"/>
      <c r="BI108" s="1147"/>
      <c r="BJ108" s="1147"/>
      <c r="BK108" s="1147"/>
      <c r="BL108" s="1147"/>
      <c r="BM108" s="1147"/>
      <c r="BN108" s="1147"/>
      <c r="BO108" s="1147"/>
      <c r="BP108" s="1147"/>
      <c r="BQ108" s="1147"/>
      <c r="BR108" s="1147"/>
      <c r="BS108" s="1147"/>
      <c r="BT108" s="1147"/>
      <c r="BU108" s="1147"/>
      <c r="BV108" s="1147"/>
      <c r="BW108" s="1147"/>
      <c r="BX108" s="1147"/>
      <c r="BY108" s="1147"/>
      <c r="BZ108" s="1147"/>
      <c r="CA108" s="1147"/>
      <c r="CB108" s="1147"/>
      <c r="CC108" s="1147"/>
      <c r="CD108" s="1147"/>
      <c r="CE108" s="1147"/>
      <c r="CF108" s="1147"/>
      <c r="CG108" s="1147"/>
      <c r="CH108" s="1147"/>
      <c r="CI108" s="1147"/>
      <c r="CJ108" s="1147"/>
      <c r="CK108" s="1146"/>
    </row>
    <row r="109" spans="1:89" ht="15" x14ac:dyDescent="0.25">
      <c r="A109" s="1146"/>
      <c r="B109" s="1146"/>
      <c r="C109" s="1146"/>
      <c r="D109" s="1146"/>
      <c r="E109" s="1146"/>
      <c r="F109" s="1146"/>
      <c r="G109" s="1146"/>
      <c r="H109" s="1146"/>
      <c r="I109" s="1146"/>
      <c r="J109" s="1146"/>
      <c r="K109" s="1146"/>
      <c r="L109" s="1146"/>
      <c r="M109" s="1146"/>
      <c r="N109" s="1146"/>
      <c r="O109" s="1146"/>
      <c r="P109" s="1146"/>
      <c r="Q109" s="1146"/>
      <c r="R109" s="1146"/>
      <c r="S109" s="1146"/>
      <c r="T109" s="1147"/>
      <c r="U109" s="1147" t="s">
        <v>365</v>
      </c>
      <c r="V109" s="1147"/>
      <c r="W109" s="1208">
        <f t="shared" si="75"/>
        <v>28000</v>
      </c>
      <c r="X109" s="1208">
        <f t="shared" si="74"/>
        <v>28618.7</v>
      </c>
      <c r="Y109" s="1208">
        <f t="shared" si="74"/>
        <v>29534.75</v>
      </c>
      <c r="Z109" s="1208">
        <f t="shared" si="74"/>
        <v>30697.3</v>
      </c>
      <c r="AA109" s="1208">
        <f t="shared" si="74"/>
        <v>31860.200000000004</v>
      </c>
      <c r="AB109" s="1208">
        <f t="shared" si="74"/>
        <v>33023.03</v>
      </c>
      <c r="AC109" s="1208">
        <f t="shared" si="74"/>
        <v>34185.579999999994</v>
      </c>
      <c r="AD109" s="1208">
        <f t="shared" si="74"/>
        <v>35348.759999999995</v>
      </c>
      <c r="AE109" s="1208">
        <f t="shared" si="74"/>
        <v>36382.36</v>
      </c>
      <c r="AF109" s="1208">
        <f t="shared" si="74"/>
        <v>37416.06</v>
      </c>
      <c r="AG109" s="1208">
        <f t="shared" si="74"/>
        <v>38449.659999999996</v>
      </c>
      <c r="AH109" s="1208">
        <f t="shared" si="74"/>
        <v>39483.26</v>
      </c>
      <c r="AI109" s="1208">
        <f t="shared" si="74"/>
        <v>40517.339999999997</v>
      </c>
      <c r="AJ109" s="1208">
        <f t="shared" si="74"/>
        <v>41304.159999999996</v>
      </c>
      <c r="AK109" s="1208">
        <f t="shared" si="74"/>
        <v>41922.86</v>
      </c>
      <c r="AL109" s="1208">
        <f t="shared" si="74"/>
        <v>42541.560000000005</v>
      </c>
      <c r="AM109" s="1208">
        <f t="shared" si="74"/>
        <v>43160.260000000009</v>
      </c>
      <c r="AN109" s="1208">
        <f t="shared" si="74"/>
        <v>43779.060000000005</v>
      </c>
      <c r="AO109" s="1208">
        <f t="shared" si="74"/>
        <v>44397.759999999995</v>
      </c>
      <c r="AP109" s="1208">
        <f t="shared" si="74"/>
        <v>45016.560000000005</v>
      </c>
      <c r="AQ109" s="1208">
        <f t="shared" si="74"/>
        <v>45635.260000000009</v>
      </c>
      <c r="AR109" s="1208">
        <f t="shared" si="74"/>
        <v>46253.960000000006</v>
      </c>
      <c r="AS109" s="1208">
        <f t="shared" si="74"/>
        <v>46872.76</v>
      </c>
      <c r="AT109" s="1208">
        <f t="shared" si="74"/>
        <v>47491.460000000014</v>
      </c>
      <c r="AU109" s="1208">
        <f t="shared" si="74"/>
        <v>48110.160000000011</v>
      </c>
      <c r="AV109" s="1208">
        <f t="shared" si="74"/>
        <v>48728.960000000006</v>
      </c>
      <c r="AW109" s="1147"/>
      <c r="AX109" s="1147"/>
      <c r="AY109" s="1147"/>
      <c r="AZ109" s="1147"/>
      <c r="BA109" s="1147"/>
      <c r="BB109" s="1147"/>
      <c r="BC109" s="1147"/>
      <c r="BD109" s="1147"/>
      <c r="BE109" s="1147"/>
      <c r="BF109" s="1147"/>
      <c r="BG109" s="1147"/>
      <c r="BH109" s="1147"/>
      <c r="BI109" s="1147"/>
      <c r="BJ109" s="1147"/>
      <c r="BK109" s="1147"/>
      <c r="BL109" s="1147"/>
      <c r="BM109" s="1147"/>
      <c r="BN109" s="1147"/>
      <c r="BO109" s="1147"/>
      <c r="BP109" s="1147"/>
      <c r="BQ109" s="1147"/>
      <c r="BR109" s="1147"/>
      <c r="BS109" s="1147"/>
      <c r="BT109" s="1147"/>
      <c r="BU109" s="1147"/>
      <c r="BV109" s="1147"/>
      <c r="BW109" s="1147"/>
      <c r="BX109" s="1147"/>
      <c r="BY109" s="1147"/>
      <c r="BZ109" s="1147"/>
      <c r="CA109" s="1147"/>
      <c r="CB109" s="1147"/>
      <c r="CC109" s="1147"/>
      <c r="CD109" s="1147"/>
      <c r="CE109" s="1147"/>
      <c r="CF109" s="1147"/>
      <c r="CG109" s="1147"/>
      <c r="CH109" s="1147"/>
      <c r="CI109" s="1147"/>
      <c r="CJ109" s="1147"/>
      <c r="CK109" s="1146"/>
    </row>
    <row r="110" spans="1:89" ht="15" x14ac:dyDescent="0.25">
      <c r="A110" s="1146"/>
      <c r="B110" s="1146"/>
      <c r="C110" s="1146"/>
      <c r="D110" s="1146"/>
      <c r="E110" s="1146"/>
      <c r="F110" s="1146"/>
      <c r="G110" s="1146"/>
      <c r="H110" s="1146"/>
      <c r="I110" s="1146"/>
      <c r="J110" s="1146"/>
      <c r="K110" s="1146"/>
      <c r="L110" s="1146"/>
      <c r="M110" s="1146"/>
      <c r="N110" s="1146"/>
      <c r="O110" s="1146"/>
      <c r="P110" s="1146"/>
      <c r="Q110" s="1146"/>
      <c r="R110" s="1146"/>
      <c r="S110" s="1146"/>
      <c r="T110" s="1147"/>
      <c r="U110" s="1147" t="s">
        <v>364</v>
      </c>
      <c r="V110" s="1147"/>
      <c r="W110" s="1208">
        <f t="shared" si="75"/>
        <v>28000</v>
      </c>
      <c r="X110" s="1208">
        <f t="shared" si="74"/>
        <v>28618.7</v>
      </c>
      <c r="Y110" s="1208">
        <f t="shared" si="74"/>
        <v>29534.75</v>
      </c>
      <c r="Z110" s="1208">
        <f t="shared" si="74"/>
        <v>30697.3</v>
      </c>
      <c r="AA110" s="1208">
        <f t="shared" si="74"/>
        <v>31860.200000000004</v>
      </c>
      <c r="AB110" s="1208">
        <f t="shared" si="74"/>
        <v>33023.03</v>
      </c>
      <c r="AC110" s="1208">
        <f t="shared" si="74"/>
        <v>34185.579999999994</v>
      </c>
      <c r="AD110" s="1208">
        <f t="shared" si="74"/>
        <v>35348.759999999995</v>
      </c>
      <c r="AE110" s="1208">
        <f t="shared" si="74"/>
        <v>36382.36</v>
      </c>
      <c r="AF110" s="1208">
        <f t="shared" si="74"/>
        <v>37416.06</v>
      </c>
      <c r="AG110" s="1208">
        <f t="shared" si="74"/>
        <v>38449.659999999996</v>
      </c>
      <c r="AH110" s="1208">
        <f t="shared" si="74"/>
        <v>39483.26</v>
      </c>
      <c r="AI110" s="1208">
        <f t="shared" si="74"/>
        <v>40517.339999999997</v>
      </c>
      <c r="AJ110" s="1208">
        <f t="shared" si="74"/>
        <v>41304.159999999996</v>
      </c>
      <c r="AK110" s="1208">
        <f t="shared" si="74"/>
        <v>41922.86</v>
      </c>
      <c r="AL110" s="1208">
        <f t="shared" si="74"/>
        <v>42541.560000000005</v>
      </c>
      <c r="AM110" s="1208">
        <f t="shared" si="74"/>
        <v>43160.260000000009</v>
      </c>
      <c r="AN110" s="1208">
        <f t="shared" si="74"/>
        <v>43779.060000000005</v>
      </c>
      <c r="AO110" s="1208">
        <f t="shared" si="74"/>
        <v>44397.759999999995</v>
      </c>
      <c r="AP110" s="1208">
        <f t="shared" si="74"/>
        <v>45016.560000000005</v>
      </c>
      <c r="AQ110" s="1208">
        <f t="shared" si="74"/>
        <v>45635.260000000009</v>
      </c>
      <c r="AR110" s="1208">
        <f t="shared" si="74"/>
        <v>46253.960000000006</v>
      </c>
      <c r="AS110" s="1208">
        <f t="shared" si="74"/>
        <v>46872.76</v>
      </c>
      <c r="AT110" s="1208">
        <f t="shared" si="74"/>
        <v>47491.460000000014</v>
      </c>
      <c r="AU110" s="1208">
        <f t="shared" si="74"/>
        <v>48110.160000000011</v>
      </c>
      <c r="AV110" s="1208">
        <f t="shared" si="74"/>
        <v>48728.960000000006</v>
      </c>
      <c r="AW110" s="1147"/>
      <c r="AX110" s="1147"/>
      <c r="AY110" s="1147"/>
      <c r="AZ110" s="1147"/>
      <c r="BA110" s="1147"/>
      <c r="BB110" s="1147"/>
      <c r="BC110" s="1147"/>
      <c r="BD110" s="1147"/>
      <c r="BE110" s="1147"/>
      <c r="BF110" s="1147"/>
      <c r="BG110" s="1147"/>
      <c r="BH110" s="1147"/>
      <c r="BI110" s="1147"/>
      <c r="BJ110" s="1147"/>
      <c r="BK110" s="1147"/>
      <c r="BL110" s="1147"/>
      <c r="BM110" s="1147"/>
      <c r="BN110" s="1147"/>
      <c r="BO110" s="1147"/>
      <c r="BP110" s="1147"/>
      <c r="BQ110" s="1147"/>
      <c r="BR110" s="1147"/>
      <c r="BS110" s="1147"/>
      <c r="BT110" s="1147"/>
      <c r="BU110" s="1147"/>
      <c r="BV110" s="1147"/>
      <c r="BW110" s="1147"/>
      <c r="BX110" s="1147"/>
      <c r="BY110" s="1147"/>
      <c r="BZ110" s="1147"/>
      <c r="CA110" s="1147"/>
      <c r="CB110" s="1147"/>
      <c r="CC110" s="1147"/>
      <c r="CD110" s="1147"/>
      <c r="CE110" s="1147"/>
      <c r="CF110" s="1147"/>
      <c r="CG110" s="1147"/>
      <c r="CH110" s="1147"/>
      <c r="CI110" s="1147"/>
      <c r="CJ110" s="1147"/>
      <c r="CK110" s="1146"/>
    </row>
    <row r="111" spans="1:89" ht="15" x14ac:dyDescent="0.25">
      <c r="A111" s="1146"/>
      <c r="B111" s="1146"/>
      <c r="C111" s="1146"/>
      <c r="D111" s="1146"/>
      <c r="E111" s="1146"/>
      <c r="F111" s="1146"/>
      <c r="G111" s="1146"/>
      <c r="H111" s="1146"/>
      <c r="I111" s="1146"/>
      <c r="J111" s="1146"/>
      <c r="K111" s="1146"/>
      <c r="L111" s="1146"/>
      <c r="M111" s="1146"/>
      <c r="N111" s="1146"/>
      <c r="O111" s="1146"/>
      <c r="P111" s="1146"/>
      <c r="Q111" s="1146"/>
      <c r="R111" s="1146"/>
      <c r="S111" s="1146"/>
      <c r="T111" s="1147"/>
      <c r="U111" s="1147" t="s">
        <v>363</v>
      </c>
      <c r="V111" s="1147"/>
      <c r="W111" s="1208">
        <f t="shared" si="75"/>
        <v>32000</v>
      </c>
      <c r="X111" s="1208">
        <f t="shared" si="74"/>
        <v>32764.35</v>
      </c>
      <c r="Y111" s="1208">
        <f t="shared" si="74"/>
        <v>33826.1</v>
      </c>
      <c r="Z111" s="1208">
        <f t="shared" si="74"/>
        <v>35236.199999999997</v>
      </c>
      <c r="AA111" s="1208">
        <f t="shared" si="74"/>
        <v>36646.700000000004</v>
      </c>
      <c r="AB111" s="1208">
        <f t="shared" si="74"/>
        <v>38057.300000000003</v>
      </c>
      <c r="AC111" s="1208">
        <f t="shared" si="74"/>
        <v>39467.4</v>
      </c>
      <c r="AD111" s="1208">
        <f t="shared" si="74"/>
        <v>40878.30000000001</v>
      </c>
      <c r="AE111" s="1208">
        <f t="shared" si="74"/>
        <v>42224.9</v>
      </c>
      <c r="AF111" s="1208">
        <f t="shared" si="74"/>
        <v>43571.549999999996</v>
      </c>
      <c r="AG111" s="1208">
        <f t="shared" si="74"/>
        <v>44918.149999999994</v>
      </c>
      <c r="AH111" s="1208">
        <f t="shared" si="74"/>
        <v>46264.75</v>
      </c>
      <c r="AI111" s="1208">
        <f t="shared" si="74"/>
        <v>47612.15</v>
      </c>
      <c r="AJ111" s="1208">
        <f t="shared" si="74"/>
        <v>48610</v>
      </c>
      <c r="AK111" s="1208">
        <f t="shared" si="74"/>
        <v>49374.35</v>
      </c>
      <c r="AL111" s="1208">
        <f t="shared" si="74"/>
        <v>50138.7</v>
      </c>
      <c r="AM111" s="1208">
        <f t="shared" si="74"/>
        <v>50903.049999999996</v>
      </c>
      <c r="AN111" s="1208">
        <f t="shared" si="74"/>
        <v>51667.549999999996</v>
      </c>
      <c r="AO111" s="1208">
        <f t="shared" si="74"/>
        <v>52431.899999999994</v>
      </c>
      <c r="AP111" s="1208">
        <f t="shared" si="74"/>
        <v>53196.4</v>
      </c>
      <c r="AQ111" s="1208">
        <f t="shared" si="74"/>
        <v>53960.75</v>
      </c>
      <c r="AR111" s="1208">
        <f t="shared" si="74"/>
        <v>54725.1</v>
      </c>
      <c r="AS111" s="1208">
        <f t="shared" si="74"/>
        <v>55489.599999999999</v>
      </c>
      <c r="AT111" s="1208">
        <f t="shared" si="74"/>
        <v>56253.95</v>
      </c>
      <c r="AU111" s="1208">
        <f t="shared" si="74"/>
        <v>57018.299999999996</v>
      </c>
      <c r="AV111" s="1208">
        <f t="shared" si="74"/>
        <v>57782.799999999996</v>
      </c>
      <c r="AW111" s="1147"/>
      <c r="AX111" s="1147"/>
      <c r="AY111" s="1147"/>
      <c r="AZ111" s="1147"/>
      <c r="BA111" s="1147"/>
      <c r="BB111" s="1147"/>
      <c r="BC111" s="1147"/>
      <c r="BD111" s="1147"/>
      <c r="BE111" s="1147"/>
      <c r="BF111" s="1147"/>
      <c r="BG111" s="1147"/>
      <c r="BH111" s="1147"/>
      <c r="BI111" s="1147"/>
      <c r="BJ111" s="1147"/>
      <c r="BK111" s="1147"/>
      <c r="BL111" s="1147"/>
      <c r="BM111" s="1147"/>
      <c r="BN111" s="1147"/>
      <c r="BO111" s="1147"/>
      <c r="BP111" s="1147"/>
      <c r="BQ111" s="1147"/>
      <c r="BR111" s="1147"/>
      <c r="BS111" s="1147"/>
      <c r="BT111" s="1147"/>
      <c r="BU111" s="1147"/>
      <c r="BV111" s="1147"/>
      <c r="BW111" s="1147"/>
      <c r="BX111" s="1147"/>
      <c r="BY111" s="1147"/>
      <c r="BZ111" s="1147"/>
      <c r="CA111" s="1147"/>
      <c r="CB111" s="1147"/>
      <c r="CC111" s="1147"/>
      <c r="CD111" s="1147"/>
      <c r="CE111" s="1147"/>
      <c r="CF111" s="1147"/>
      <c r="CG111" s="1147"/>
      <c r="CH111" s="1147"/>
      <c r="CI111" s="1147"/>
      <c r="CJ111" s="1147"/>
      <c r="CK111" s="1146"/>
    </row>
    <row r="112" spans="1:89" ht="15" x14ac:dyDescent="0.25">
      <c r="A112" s="1146"/>
      <c r="B112" s="1146"/>
      <c r="C112" s="1146"/>
      <c r="D112" s="1146"/>
      <c r="E112" s="1146"/>
      <c r="F112" s="1146"/>
      <c r="G112" s="1146"/>
      <c r="H112" s="1146"/>
      <c r="I112" s="1146"/>
      <c r="J112" s="1146"/>
      <c r="K112" s="1146"/>
      <c r="L112" s="1146"/>
      <c r="M112" s="1146"/>
      <c r="N112" s="1146"/>
      <c r="O112" s="1146"/>
      <c r="P112" s="1146"/>
      <c r="Q112" s="1146"/>
      <c r="R112" s="1146"/>
      <c r="S112" s="1146"/>
      <c r="T112" s="1147"/>
      <c r="U112" s="1147" t="s">
        <v>379</v>
      </c>
      <c r="V112" s="1147"/>
      <c r="W112" s="1208">
        <f t="shared" si="75"/>
        <v>10000</v>
      </c>
      <c r="X112" s="1208">
        <f t="shared" si="74"/>
        <v>10288.270000000002</v>
      </c>
      <c r="Y112" s="1208">
        <f t="shared" si="74"/>
        <v>10600.29</v>
      </c>
      <c r="Z112" s="1208">
        <f t="shared" si="74"/>
        <v>11014.24</v>
      </c>
      <c r="AA112" s="1208">
        <f t="shared" si="74"/>
        <v>11428.259999999998</v>
      </c>
      <c r="AB112" s="1208">
        <f t="shared" si="74"/>
        <v>11842.449999999999</v>
      </c>
      <c r="AC112" s="1208">
        <f t="shared" si="74"/>
        <v>12256.400000000001</v>
      </c>
      <c r="AD112" s="1208">
        <f t="shared" si="74"/>
        <v>12670.460000000001</v>
      </c>
      <c r="AE112" s="1208">
        <f t="shared" si="74"/>
        <v>13126.080000000002</v>
      </c>
      <c r="AF112" s="1208">
        <f t="shared" si="74"/>
        <v>13581.55</v>
      </c>
      <c r="AG112" s="1208">
        <f t="shared" si="74"/>
        <v>14037.17</v>
      </c>
      <c r="AH112" s="1208">
        <f t="shared" si="74"/>
        <v>14492.789999999999</v>
      </c>
      <c r="AI112" s="1208">
        <f t="shared" si="74"/>
        <v>14948.670000000002</v>
      </c>
      <c r="AJ112" s="1208">
        <f t="shared" si="74"/>
        <v>15302.32</v>
      </c>
      <c r="AK112" s="1208">
        <f t="shared" si="74"/>
        <v>15590.59</v>
      </c>
      <c r="AL112" s="1208">
        <f t="shared" si="74"/>
        <v>15878.86</v>
      </c>
      <c r="AM112" s="1208">
        <f t="shared" si="74"/>
        <v>16167.130000000001</v>
      </c>
      <c r="AN112" s="1208">
        <f t="shared" si="74"/>
        <v>16455.37</v>
      </c>
      <c r="AO112" s="1208">
        <f t="shared" si="74"/>
        <v>16743.639999999996</v>
      </c>
      <c r="AP112" s="1208">
        <f t="shared" si="74"/>
        <v>17031.879999999994</v>
      </c>
      <c r="AQ112" s="1208">
        <f t="shared" si="74"/>
        <v>17320.150000000001</v>
      </c>
      <c r="AR112" s="1208">
        <f t="shared" si="74"/>
        <v>17608.420000000002</v>
      </c>
      <c r="AS112" s="1208">
        <f t="shared" si="74"/>
        <v>17896.66</v>
      </c>
      <c r="AT112" s="1208">
        <f t="shared" si="74"/>
        <v>18184.93</v>
      </c>
      <c r="AU112" s="1208">
        <f t="shared" si="74"/>
        <v>18473.2</v>
      </c>
      <c r="AV112" s="1208">
        <f t="shared" si="74"/>
        <v>18761.440000000002</v>
      </c>
      <c r="AW112" s="1147"/>
      <c r="AX112" s="1147"/>
      <c r="AY112" s="1147"/>
      <c r="AZ112" s="1147"/>
      <c r="BA112" s="1147"/>
      <c r="BB112" s="1147"/>
      <c r="BC112" s="1147"/>
      <c r="BD112" s="1147"/>
      <c r="BE112" s="1147"/>
      <c r="BF112" s="1147"/>
      <c r="BG112" s="1147"/>
      <c r="BH112" s="1147"/>
      <c r="BI112" s="1147"/>
      <c r="BJ112" s="1147"/>
      <c r="BK112" s="1147"/>
      <c r="BL112" s="1147"/>
      <c r="BM112" s="1147"/>
      <c r="BN112" s="1147"/>
      <c r="BO112" s="1147"/>
      <c r="BP112" s="1147"/>
      <c r="BQ112" s="1147"/>
      <c r="BR112" s="1147"/>
      <c r="BS112" s="1147"/>
      <c r="BT112" s="1147"/>
      <c r="BU112" s="1147"/>
      <c r="BV112" s="1147"/>
      <c r="BW112" s="1147"/>
      <c r="BX112" s="1147"/>
      <c r="BY112" s="1147"/>
      <c r="BZ112" s="1147"/>
      <c r="CA112" s="1147"/>
      <c r="CB112" s="1147"/>
      <c r="CC112" s="1147"/>
      <c r="CD112" s="1147"/>
      <c r="CE112" s="1147"/>
      <c r="CF112" s="1147"/>
      <c r="CG112" s="1147"/>
      <c r="CH112" s="1147"/>
      <c r="CI112" s="1147"/>
      <c r="CJ112" s="1147"/>
      <c r="CK112" s="1146"/>
    </row>
    <row r="113" spans="1:89" ht="15" x14ac:dyDescent="0.25">
      <c r="A113" s="1146"/>
      <c r="B113" s="1146"/>
      <c r="C113" s="1146"/>
      <c r="D113" s="1146"/>
      <c r="E113" s="1146"/>
      <c r="F113" s="1146"/>
      <c r="G113" s="1146"/>
      <c r="H113" s="1146"/>
      <c r="I113" s="1146"/>
      <c r="J113" s="1146"/>
      <c r="K113" s="1146"/>
      <c r="L113" s="1146"/>
      <c r="M113" s="1146"/>
      <c r="N113" s="1146"/>
      <c r="O113" s="1146"/>
      <c r="P113" s="1146"/>
      <c r="Q113" s="1146"/>
      <c r="R113" s="1146"/>
      <c r="S113" s="1146"/>
      <c r="T113" s="1147"/>
      <c r="U113" s="1147" t="s">
        <v>380</v>
      </c>
      <c r="V113" s="1147"/>
      <c r="W113" s="1208">
        <f t="shared" si="75"/>
        <v>7600</v>
      </c>
      <c r="X113" s="1208">
        <f t="shared" si="74"/>
        <v>7815.7</v>
      </c>
      <c r="Y113" s="1208">
        <f t="shared" si="74"/>
        <v>8055.07</v>
      </c>
      <c r="Z113" s="1208">
        <f t="shared" si="74"/>
        <v>8391.0499999999993</v>
      </c>
      <c r="AA113" s="1208">
        <f t="shared" si="74"/>
        <v>8727.09</v>
      </c>
      <c r="AB113" s="1208">
        <f t="shared" si="74"/>
        <v>9063.1999999999989</v>
      </c>
      <c r="AC113" s="1208">
        <f t="shared" si="74"/>
        <v>9399.18</v>
      </c>
      <c r="AD113" s="1208">
        <f t="shared" si="74"/>
        <v>9735.18</v>
      </c>
      <c r="AE113" s="1208">
        <f t="shared" si="74"/>
        <v>10112.830000000002</v>
      </c>
      <c r="AF113" s="1208">
        <f t="shared" si="74"/>
        <v>10490.349999999999</v>
      </c>
      <c r="AG113" s="1208">
        <f t="shared" si="74"/>
        <v>10867.999999999998</v>
      </c>
      <c r="AH113" s="1208">
        <f t="shared" si="74"/>
        <v>11245.649999999998</v>
      </c>
      <c r="AI113" s="1208">
        <f t="shared" si="74"/>
        <v>11623.36</v>
      </c>
      <c r="AJ113" s="1208">
        <f t="shared" si="74"/>
        <v>11904.439999999999</v>
      </c>
      <c r="AK113" s="1208">
        <f t="shared" si="74"/>
        <v>12120.14</v>
      </c>
      <c r="AL113" s="1208">
        <f t="shared" si="74"/>
        <v>12335.84</v>
      </c>
      <c r="AM113" s="1208">
        <f t="shared" si="74"/>
        <v>12551.539999999999</v>
      </c>
      <c r="AN113" s="1208">
        <f t="shared" si="74"/>
        <v>12767.129999999997</v>
      </c>
      <c r="AO113" s="1208">
        <f t="shared" si="74"/>
        <v>12982.829999999998</v>
      </c>
      <c r="AP113" s="1208">
        <f t="shared" si="74"/>
        <v>13198.42</v>
      </c>
      <c r="AQ113" s="1208">
        <f t="shared" si="74"/>
        <v>13414.119999999999</v>
      </c>
      <c r="AR113" s="1208">
        <f t="shared" si="74"/>
        <v>13629.82</v>
      </c>
      <c r="AS113" s="1208">
        <f t="shared" si="74"/>
        <v>13845.409999999998</v>
      </c>
      <c r="AT113" s="1208">
        <f t="shared" si="74"/>
        <v>14061.109999999999</v>
      </c>
      <c r="AU113" s="1208">
        <f t="shared" si="74"/>
        <v>14276.809999999998</v>
      </c>
      <c r="AV113" s="1208">
        <f t="shared" si="74"/>
        <v>14492.399999999998</v>
      </c>
      <c r="AW113" s="1147"/>
      <c r="AX113" s="1147"/>
      <c r="AY113" s="1147"/>
      <c r="AZ113" s="1147"/>
      <c r="BA113" s="1147"/>
      <c r="BB113" s="1147"/>
      <c r="BC113" s="1147"/>
      <c r="BD113" s="1147"/>
      <c r="BE113" s="1147"/>
      <c r="BF113" s="1147"/>
      <c r="BG113" s="1147"/>
      <c r="BH113" s="1147"/>
      <c r="BI113" s="1147"/>
      <c r="BJ113" s="1147"/>
      <c r="BK113" s="1147"/>
      <c r="BL113" s="1147"/>
      <c r="BM113" s="1147"/>
      <c r="BN113" s="1147"/>
      <c r="BO113" s="1147"/>
      <c r="BP113" s="1147"/>
      <c r="BQ113" s="1147"/>
      <c r="BR113" s="1147"/>
      <c r="BS113" s="1147"/>
      <c r="BT113" s="1147"/>
      <c r="BU113" s="1147"/>
      <c r="BV113" s="1147"/>
      <c r="BW113" s="1147"/>
      <c r="BX113" s="1147"/>
      <c r="BY113" s="1147"/>
      <c r="BZ113" s="1147"/>
      <c r="CA113" s="1147"/>
      <c r="CB113" s="1147"/>
      <c r="CC113" s="1147"/>
      <c r="CD113" s="1147"/>
      <c r="CE113" s="1147"/>
      <c r="CF113" s="1147"/>
      <c r="CG113" s="1147"/>
      <c r="CH113" s="1147"/>
      <c r="CI113" s="1147"/>
      <c r="CJ113" s="1147"/>
      <c r="CK113" s="1146"/>
    </row>
    <row r="114" spans="1:89" ht="15" x14ac:dyDescent="0.25">
      <c r="A114" s="1146"/>
      <c r="B114" s="1146"/>
      <c r="C114" s="1146"/>
      <c r="D114" s="1146"/>
      <c r="E114" s="1146"/>
      <c r="F114" s="1146"/>
      <c r="G114" s="1146"/>
      <c r="H114" s="1146"/>
      <c r="I114" s="1146"/>
      <c r="J114" s="1146"/>
      <c r="K114" s="1146"/>
      <c r="L114" s="1146"/>
      <c r="M114" s="1146"/>
      <c r="N114" s="1146"/>
      <c r="O114" s="1146"/>
      <c r="P114" s="1146"/>
      <c r="Q114" s="1146"/>
      <c r="R114" s="1146"/>
      <c r="S114" s="1146"/>
      <c r="T114" s="1147"/>
      <c r="U114" s="1147" t="s">
        <v>381</v>
      </c>
      <c r="V114" s="1147"/>
      <c r="W114" s="1208">
        <f t="shared" si="75"/>
        <v>6000</v>
      </c>
      <c r="X114" s="1208">
        <f t="shared" si="74"/>
        <v>6170.14</v>
      </c>
      <c r="Y114" s="1208">
        <f t="shared" si="74"/>
        <v>6364.0099999999993</v>
      </c>
      <c r="Z114" s="1208">
        <f t="shared" si="74"/>
        <v>6611.7300000000005</v>
      </c>
      <c r="AA114" s="1208">
        <f t="shared" si="74"/>
        <v>6859.53</v>
      </c>
      <c r="AB114" s="1208">
        <f t="shared" si="74"/>
        <v>7107.2900000000027</v>
      </c>
      <c r="AC114" s="1208">
        <f t="shared" si="74"/>
        <v>7355.0100000000011</v>
      </c>
      <c r="AD114" s="1208">
        <f t="shared" si="74"/>
        <v>7602.7800000000016</v>
      </c>
      <c r="AE114" s="1208">
        <f t="shared" si="74"/>
        <v>7882.82</v>
      </c>
      <c r="AF114" s="1208">
        <f t="shared" si="74"/>
        <v>8162.85</v>
      </c>
      <c r="AG114" s="1208">
        <f t="shared" si="74"/>
        <v>8442.85</v>
      </c>
      <c r="AH114" s="1208">
        <f t="shared" si="74"/>
        <v>8722.8900000000012</v>
      </c>
      <c r="AI114" s="1208">
        <f t="shared" si="74"/>
        <v>9002.98</v>
      </c>
      <c r="AJ114" s="1208">
        <f t="shared" si="74"/>
        <v>9229.16</v>
      </c>
      <c r="AK114" s="1208">
        <f t="shared" si="74"/>
        <v>9399.3000000000011</v>
      </c>
      <c r="AL114" s="1208">
        <f t="shared" si="74"/>
        <v>9569.4400000000023</v>
      </c>
      <c r="AM114" s="1208">
        <f t="shared" si="74"/>
        <v>9739.5800000000017</v>
      </c>
      <c r="AN114" s="1208">
        <f t="shared" si="74"/>
        <v>9909.6700000000019</v>
      </c>
      <c r="AO114" s="1208">
        <f t="shared" si="74"/>
        <v>10079.809999999998</v>
      </c>
      <c r="AP114" s="1208">
        <f t="shared" si="74"/>
        <v>10249.899999999998</v>
      </c>
      <c r="AQ114" s="1208">
        <f t="shared" si="74"/>
        <v>10420.039999999997</v>
      </c>
      <c r="AR114" s="1208">
        <f t="shared" si="74"/>
        <v>10590.179999999998</v>
      </c>
      <c r="AS114" s="1208">
        <f t="shared" si="74"/>
        <v>10760.269999999997</v>
      </c>
      <c r="AT114" s="1208">
        <f t="shared" si="74"/>
        <v>10930.409999999998</v>
      </c>
      <c r="AU114" s="1208">
        <f t="shared" si="74"/>
        <v>11100.549999999997</v>
      </c>
      <c r="AV114" s="1208">
        <f t="shared" si="74"/>
        <v>11270.639999999998</v>
      </c>
      <c r="AW114" s="1147"/>
      <c r="AX114" s="1147"/>
      <c r="AY114" s="1147"/>
      <c r="AZ114" s="1147"/>
      <c r="BA114" s="1147"/>
      <c r="BB114" s="1147"/>
      <c r="BC114" s="1147"/>
      <c r="BD114" s="1147"/>
      <c r="BE114" s="1147"/>
      <c r="BF114" s="1147"/>
      <c r="BG114" s="1147"/>
      <c r="BH114" s="1147"/>
      <c r="BI114" s="1147"/>
      <c r="BJ114" s="1147"/>
      <c r="BK114" s="1147"/>
      <c r="BL114" s="1147"/>
      <c r="BM114" s="1147"/>
      <c r="BN114" s="1147"/>
      <c r="BO114" s="1147"/>
      <c r="BP114" s="1147"/>
      <c r="BQ114" s="1147"/>
      <c r="BR114" s="1147"/>
      <c r="BS114" s="1147"/>
      <c r="BT114" s="1147"/>
      <c r="BU114" s="1147"/>
      <c r="BV114" s="1147"/>
      <c r="BW114" s="1147"/>
      <c r="BX114" s="1147"/>
      <c r="BY114" s="1147"/>
      <c r="BZ114" s="1147"/>
      <c r="CA114" s="1147"/>
      <c r="CB114" s="1147"/>
      <c r="CC114" s="1147"/>
      <c r="CD114" s="1147"/>
      <c r="CE114" s="1147"/>
      <c r="CF114" s="1147"/>
      <c r="CG114" s="1147"/>
      <c r="CH114" s="1147"/>
      <c r="CI114" s="1147"/>
      <c r="CJ114" s="1147"/>
      <c r="CK114" s="1146"/>
    </row>
    <row r="115" spans="1:89" ht="15" x14ac:dyDescent="0.25">
      <c r="A115" s="1146"/>
      <c r="B115" s="1146"/>
      <c r="C115" s="1146"/>
      <c r="D115" s="1146"/>
      <c r="E115" s="1146"/>
      <c r="F115" s="1146"/>
      <c r="G115" s="1146"/>
      <c r="H115" s="1146"/>
      <c r="I115" s="1146"/>
      <c r="J115" s="1146"/>
      <c r="K115" s="1146"/>
      <c r="L115" s="1146"/>
      <c r="M115" s="1146"/>
      <c r="N115" s="1146"/>
      <c r="O115" s="1146"/>
      <c r="P115" s="1146"/>
      <c r="Q115" s="1146"/>
      <c r="R115" s="1146"/>
      <c r="S115" s="1146"/>
      <c r="T115" s="1147"/>
      <c r="U115" s="1147" t="s">
        <v>371</v>
      </c>
      <c r="V115" s="1147"/>
      <c r="W115" s="1208">
        <f t="shared" si="75"/>
        <v>4000</v>
      </c>
      <c r="X115" s="1208">
        <f t="shared" si="74"/>
        <v>4404.62</v>
      </c>
      <c r="Y115" s="1208">
        <f t="shared" si="74"/>
        <v>5309.24</v>
      </c>
      <c r="Z115" s="1208">
        <f t="shared" si="74"/>
        <v>7126.2400000000007</v>
      </c>
      <c r="AA115" s="1208">
        <f t="shared" si="74"/>
        <v>8944.3599999999988</v>
      </c>
      <c r="AB115" s="1208">
        <f t="shared" si="74"/>
        <v>10762.279999999999</v>
      </c>
      <c r="AC115" s="1208">
        <f t="shared" si="74"/>
        <v>12579.279999999999</v>
      </c>
      <c r="AD115" s="1208">
        <f t="shared" si="74"/>
        <v>14398.52</v>
      </c>
      <c r="AE115" s="1208">
        <f t="shared" si="74"/>
        <v>16183.639999999998</v>
      </c>
      <c r="AF115" s="1208">
        <f t="shared" si="74"/>
        <v>17969.659999999996</v>
      </c>
      <c r="AG115" s="1208">
        <f t="shared" si="74"/>
        <v>19754.78</v>
      </c>
      <c r="AH115" s="1208">
        <f t="shared" si="74"/>
        <v>21539.9</v>
      </c>
      <c r="AI115" s="1208">
        <f t="shared" si="74"/>
        <v>23327.260000000002</v>
      </c>
      <c r="AJ115" s="1208">
        <f t="shared" si="74"/>
        <v>24198.879999999997</v>
      </c>
      <c r="AK115" s="1208">
        <f t="shared" si="74"/>
        <v>24603.499999999996</v>
      </c>
      <c r="AL115" s="1208">
        <f t="shared" si="74"/>
        <v>25008.12</v>
      </c>
      <c r="AM115" s="1208">
        <f t="shared" si="74"/>
        <v>25412.739999999998</v>
      </c>
      <c r="AN115" s="1208">
        <f t="shared" si="74"/>
        <v>25817.98</v>
      </c>
      <c r="AO115" s="1208">
        <f t="shared" si="74"/>
        <v>26222.6</v>
      </c>
      <c r="AP115" s="1208">
        <f t="shared" si="74"/>
        <v>26627.839999999997</v>
      </c>
      <c r="AQ115" s="1208">
        <f t="shared" si="74"/>
        <v>27032.459999999995</v>
      </c>
      <c r="AR115" s="1208">
        <f t="shared" ref="X115:AV123" si="76">AR28+AR$6*$V93+AR$7*$W93+AR$8*$X93+AR$9*$Y93+AR$10*$Z93+AR$11*$AA93+AR$12*$AB93+AR$13*$AC93</f>
        <v>27437.079999999998</v>
      </c>
      <c r="AS115" s="1208">
        <f t="shared" si="76"/>
        <v>27842.32</v>
      </c>
      <c r="AT115" s="1208">
        <f t="shared" si="76"/>
        <v>28246.94</v>
      </c>
      <c r="AU115" s="1208">
        <f t="shared" si="76"/>
        <v>28651.559999999998</v>
      </c>
      <c r="AV115" s="1208">
        <f t="shared" si="76"/>
        <v>29056.799999999996</v>
      </c>
      <c r="AW115" s="1147"/>
      <c r="AX115" s="1147"/>
      <c r="AY115" s="1147"/>
      <c r="AZ115" s="1147"/>
      <c r="BA115" s="1147"/>
      <c r="BB115" s="1147"/>
      <c r="BC115" s="1147"/>
      <c r="BD115" s="1147"/>
      <c r="BE115" s="1147"/>
      <c r="BF115" s="1147"/>
      <c r="BG115" s="1147"/>
      <c r="BH115" s="1147"/>
      <c r="BI115" s="1147"/>
      <c r="BJ115" s="1147"/>
      <c r="BK115" s="1147"/>
      <c r="BL115" s="1147"/>
      <c r="BM115" s="1147"/>
      <c r="BN115" s="1147"/>
      <c r="BO115" s="1147"/>
      <c r="BP115" s="1147"/>
      <c r="BQ115" s="1147"/>
      <c r="BR115" s="1147"/>
      <c r="BS115" s="1147"/>
      <c r="BT115" s="1147"/>
      <c r="BU115" s="1147"/>
      <c r="BV115" s="1147"/>
      <c r="BW115" s="1147"/>
      <c r="BX115" s="1147"/>
      <c r="BY115" s="1147"/>
      <c r="BZ115" s="1147"/>
      <c r="CA115" s="1147"/>
      <c r="CB115" s="1147"/>
      <c r="CC115" s="1147"/>
      <c r="CD115" s="1147"/>
      <c r="CE115" s="1147"/>
      <c r="CF115" s="1147"/>
      <c r="CG115" s="1147"/>
      <c r="CH115" s="1147"/>
      <c r="CI115" s="1147"/>
      <c r="CJ115" s="1147"/>
      <c r="CK115" s="1146"/>
    </row>
    <row r="116" spans="1:89" ht="15" x14ac:dyDescent="0.25">
      <c r="A116" s="1146"/>
      <c r="B116" s="1146"/>
      <c r="C116" s="1146"/>
      <c r="D116" s="1146"/>
      <c r="E116" s="1146"/>
      <c r="F116" s="1146"/>
      <c r="G116" s="1146"/>
      <c r="H116" s="1146"/>
      <c r="I116" s="1146"/>
      <c r="J116" s="1146"/>
      <c r="K116" s="1146"/>
      <c r="L116" s="1146"/>
      <c r="M116" s="1146"/>
      <c r="N116" s="1146"/>
      <c r="O116" s="1146"/>
      <c r="P116" s="1146"/>
      <c r="Q116" s="1146"/>
      <c r="R116" s="1146"/>
      <c r="S116" s="1146"/>
      <c r="T116" s="1147"/>
      <c r="U116" s="1147" t="s">
        <v>372</v>
      </c>
      <c r="V116" s="1147"/>
      <c r="W116" s="1208">
        <f t="shared" si="75"/>
        <v>2400</v>
      </c>
      <c r="X116" s="1208">
        <f t="shared" si="76"/>
        <v>2650.4800000000005</v>
      </c>
      <c r="Y116" s="1208">
        <f t="shared" si="76"/>
        <v>2996.2599999999998</v>
      </c>
      <c r="Z116" s="1208">
        <f t="shared" si="76"/>
        <v>3631.2599999999998</v>
      </c>
      <c r="AA116" s="1208">
        <f t="shared" si="76"/>
        <v>4266.4400000000005</v>
      </c>
      <c r="AB116" s="1208">
        <f t="shared" si="76"/>
        <v>4901.7400000000007</v>
      </c>
      <c r="AC116" s="1208">
        <f t="shared" si="76"/>
        <v>5536.74</v>
      </c>
      <c r="AD116" s="1208">
        <f t="shared" si="76"/>
        <v>6172.3200000000006</v>
      </c>
      <c r="AE116" s="1208">
        <f t="shared" si="76"/>
        <v>7086.2</v>
      </c>
      <c r="AF116" s="1208">
        <f t="shared" si="76"/>
        <v>8000.28</v>
      </c>
      <c r="AG116" s="1208">
        <f t="shared" si="76"/>
        <v>8913.98</v>
      </c>
      <c r="AH116" s="1208">
        <f t="shared" si="76"/>
        <v>9827.86</v>
      </c>
      <c r="AI116" s="1208">
        <f t="shared" si="76"/>
        <v>10742.320000000002</v>
      </c>
      <c r="AJ116" s="1208">
        <f t="shared" si="76"/>
        <v>11366.4</v>
      </c>
      <c r="AK116" s="1208">
        <f t="shared" si="76"/>
        <v>11616.880000000001</v>
      </c>
      <c r="AL116" s="1208">
        <f t="shared" si="76"/>
        <v>11867.36</v>
      </c>
      <c r="AM116" s="1208">
        <f t="shared" si="76"/>
        <v>12117.84</v>
      </c>
      <c r="AN116" s="1208">
        <f t="shared" si="76"/>
        <v>12368.500000000002</v>
      </c>
      <c r="AO116" s="1208">
        <f t="shared" si="76"/>
        <v>12618.98</v>
      </c>
      <c r="AP116" s="1208">
        <f t="shared" si="76"/>
        <v>12869.640000000001</v>
      </c>
      <c r="AQ116" s="1208">
        <f t="shared" si="76"/>
        <v>13120.12</v>
      </c>
      <c r="AR116" s="1208">
        <f t="shared" si="76"/>
        <v>13370.6</v>
      </c>
      <c r="AS116" s="1208">
        <f t="shared" si="76"/>
        <v>13621.26</v>
      </c>
      <c r="AT116" s="1208">
        <f t="shared" si="76"/>
        <v>13871.74</v>
      </c>
      <c r="AU116" s="1208">
        <f t="shared" si="76"/>
        <v>14122.220000000001</v>
      </c>
      <c r="AV116" s="1208">
        <f t="shared" si="76"/>
        <v>14372.88</v>
      </c>
      <c r="AW116" s="1147"/>
      <c r="AX116" s="1147"/>
      <c r="AY116" s="1147"/>
      <c r="AZ116" s="1147"/>
      <c r="BA116" s="1147"/>
      <c r="BB116" s="1147"/>
      <c r="BC116" s="1147"/>
      <c r="BD116" s="1147"/>
      <c r="BE116" s="1147"/>
      <c r="BF116" s="1147"/>
      <c r="BG116" s="1147"/>
      <c r="BH116" s="1147"/>
      <c r="BI116" s="1147"/>
      <c r="BJ116" s="1147"/>
      <c r="BK116" s="1147"/>
      <c r="BL116" s="1147"/>
      <c r="BM116" s="1147"/>
      <c r="BN116" s="1147"/>
      <c r="BO116" s="1147"/>
      <c r="BP116" s="1147"/>
      <c r="BQ116" s="1147"/>
      <c r="BR116" s="1147"/>
      <c r="BS116" s="1147"/>
      <c r="BT116" s="1147"/>
      <c r="BU116" s="1147"/>
      <c r="BV116" s="1147"/>
      <c r="BW116" s="1147"/>
      <c r="BX116" s="1147"/>
      <c r="BY116" s="1147"/>
      <c r="BZ116" s="1147"/>
      <c r="CA116" s="1147"/>
      <c r="CB116" s="1147"/>
      <c r="CC116" s="1147"/>
      <c r="CD116" s="1147"/>
      <c r="CE116" s="1147"/>
      <c r="CF116" s="1147"/>
      <c r="CG116" s="1147"/>
      <c r="CH116" s="1147"/>
      <c r="CI116" s="1147"/>
      <c r="CJ116" s="1147"/>
      <c r="CK116" s="1146"/>
    </row>
    <row r="117" spans="1:89" ht="15" x14ac:dyDescent="0.25">
      <c r="A117" s="1146"/>
      <c r="B117" s="1146"/>
      <c r="C117" s="1146"/>
      <c r="D117" s="1146"/>
      <c r="E117" s="1146"/>
      <c r="F117" s="1146"/>
      <c r="G117" s="1146"/>
      <c r="H117" s="1146"/>
      <c r="I117" s="1146"/>
      <c r="J117" s="1146"/>
      <c r="K117" s="1146"/>
      <c r="L117" s="1146"/>
      <c r="M117" s="1146"/>
      <c r="N117" s="1146"/>
      <c r="O117" s="1146"/>
      <c r="P117" s="1146"/>
      <c r="Q117" s="1146"/>
      <c r="R117" s="1146"/>
      <c r="S117" s="1146"/>
      <c r="T117" s="1147"/>
      <c r="U117" s="1147" t="s">
        <v>373</v>
      </c>
      <c r="V117" s="1147"/>
      <c r="W117" s="1208">
        <f t="shared" si="75"/>
        <v>6000</v>
      </c>
      <c r="X117" s="1208">
        <f t="shared" si="76"/>
        <v>6168.0199999999995</v>
      </c>
      <c r="Y117" s="1208">
        <f t="shared" si="76"/>
        <v>6407.46</v>
      </c>
      <c r="Z117" s="1208">
        <f t="shared" si="76"/>
        <v>6743.52</v>
      </c>
      <c r="AA117" s="1208">
        <f t="shared" si="76"/>
        <v>7079.7199999999984</v>
      </c>
      <c r="AB117" s="1208">
        <f t="shared" si="76"/>
        <v>7415.8900000000021</v>
      </c>
      <c r="AC117" s="1208">
        <f t="shared" si="76"/>
        <v>7751.9500000000016</v>
      </c>
      <c r="AD117" s="1208">
        <f t="shared" si="76"/>
        <v>8088.2800000000007</v>
      </c>
      <c r="AE117" s="1208">
        <f t="shared" si="76"/>
        <v>8427.7999999999993</v>
      </c>
      <c r="AF117" s="1208">
        <f t="shared" si="76"/>
        <v>8767.42</v>
      </c>
      <c r="AG117" s="1208">
        <f t="shared" si="76"/>
        <v>9106.909999999998</v>
      </c>
      <c r="AH117" s="1208">
        <f t="shared" si="76"/>
        <v>9446.43</v>
      </c>
      <c r="AI117" s="1208">
        <f t="shared" si="76"/>
        <v>9786.2200000000012</v>
      </c>
      <c r="AJ117" s="1208">
        <f t="shared" si="76"/>
        <v>10028.960000000001</v>
      </c>
      <c r="AK117" s="1208">
        <f t="shared" si="76"/>
        <v>10196.98</v>
      </c>
      <c r="AL117" s="1208">
        <f t="shared" si="76"/>
        <v>10365</v>
      </c>
      <c r="AM117" s="1208">
        <f t="shared" si="76"/>
        <v>10533.019999999999</v>
      </c>
      <c r="AN117" s="1208">
        <f t="shared" si="76"/>
        <v>10701.119999999999</v>
      </c>
      <c r="AO117" s="1208">
        <f t="shared" si="76"/>
        <v>10869.140000000001</v>
      </c>
      <c r="AP117" s="1208">
        <f t="shared" si="76"/>
        <v>11037.240000000002</v>
      </c>
      <c r="AQ117" s="1208">
        <f t="shared" si="76"/>
        <v>11205.26</v>
      </c>
      <c r="AR117" s="1208">
        <f t="shared" si="76"/>
        <v>11373.28</v>
      </c>
      <c r="AS117" s="1208">
        <f t="shared" si="76"/>
        <v>11541.38</v>
      </c>
      <c r="AT117" s="1208">
        <f t="shared" si="76"/>
        <v>11709.399999999998</v>
      </c>
      <c r="AU117" s="1208">
        <f t="shared" si="76"/>
        <v>11877.419999999998</v>
      </c>
      <c r="AV117" s="1208">
        <f t="shared" si="76"/>
        <v>12045.519999999999</v>
      </c>
      <c r="AW117" s="1147"/>
      <c r="AX117" s="1147"/>
      <c r="AY117" s="1147"/>
      <c r="AZ117" s="1147"/>
      <c r="BA117" s="1147"/>
      <c r="BB117" s="1147"/>
      <c r="BC117" s="1147"/>
      <c r="BD117" s="1147"/>
      <c r="BE117" s="1147"/>
      <c r="BF117" s="1147"/>
      <c r="BG117" s="1147"/>
      <c r="BH117" s="1147"/>
      <c r="BI117" s="1147"/>
      <c r="BJ117" s="1147"/>
      <c r="BK117" s="1147"/>
      <c r="BL117" s="1147"/>
      <c r="BM117" s="1147"/>
      <c r="BN117" s="1147"/>
      <c r="BO117" s="1147"/>
      <c r="BP117" s="1147"/>
      <c r="BQ117" s="1147"/>
      <c r="BR117" s="1147"/>
      <c r="BS117" s="1147"/>
      <c r="BT117" s="1147"/>
      <c r="BU117" s="1147"/>
      <c r="BV117" s="1147"/>
      <c r="BW117" s="1147"/>
      <c r="BX117" s="1147"/>
      <c r="BY117" s="1147"/>
      <c r="BZ117" s="1147"/>
      <c r="CA117" s="1147"/>
      <c r="CB117" s="1147"/>
      <c r="CC117" s="1147"/>
      <c r="CD117" s="1147"/>
      <c r="CE117" s="1147"/>
      <c r="CF117" s="1147"/>
      <c r="CG117" s="1147"/>
      <c r="CH117" s="1147"/>
      <c r="CI117" s="1147"/>
      <c r="CJ117" s="1147"/>
      <c r="CK117" s="1146"/>
    </row>
    <row r="118" spans="1:89" ht="15" x14ac:dyDescent="0.25">
      <c r="A118" s="1146"/>
      <c r="B118" s="1146"/>
      <c r="C118" s="1146"/>
      <c r="D118" s="1146"/>
      <c r="E118" s="1146"/>
      <c r="F118" s="1146"/>
      <c r="G118" s="1146"/>
      <c r="H118" s="1146"/>
      <c r="I118" s="1146"/>
      <c r="J118" s="1146"/>
      <c r="K118" s="1146"/>
      <c r="L118" s="1146"/>
      <c r="M118" s="1146"/>
      <c r="N118" s="1146"/>
      <c r="O118" s="1146"/>
      <c r="P118" s="1146"/>
      <c r="Q118" s="1146"/>
      <c r="R118" s="1146"/>
      <c r="S118" s="1146"/>
      <c r="T118" s="1147"/>
      <c r="U118" s="1147" t="s">
        <v>375</v>
      </c>
      <c r="V118" s="1147"/>
      <c r="W118" s="1208">
        <f t="shared" si="75"/>
        <v>100</v>
      </c>
      <c r="X118" s="1208">
        <f t="shared" si="76"/>
        <v>222.24999999999997</v>
      </c>
      <c r="Y118" s="1208">
        <f t="shared" si="76"/>
        <v>939.35</v>
      </c>
      <c r="Z118" s="1208">
        <f t="shared" si="76"/>
        <v>2111.6</v>
      </c>
      <c r="AA118" s="1208">
        <f t="shared" si="76"/>
        <v>3284.5000000000005</v>
      </c>
      <c r="AB118" s="1208">
        <f t="shared" si="76"/>
        <v>4457.4499999999989</v>
      </c>
      <c r="AC118" s="1208">
        <f t="shared" si="76"/>
        <v>5629.7</v>
      </c>
      <c r="AD118" s="1208">
        <f t="shared" si="76"/>
        <v>6803.3</v>
      </c>
      <c r="AE118" s="1208">
        <f t="shared" si="76"/>
        <v>7708.3000000000011</v>
      </c>
      <c r="AF118" s="1208">
        <f t="shared" si="76"/>
        <v>8613.4500000000007</v>
      </c>
      <c r="AG118" s="1208">
        <f t="shared" si="76"/>
        <v>9518.4499999999989</v>
      </c>
      <c r="AH118" s="1208">
        <f t="shared" si="76"/>
        <v>10423.449999999999</v>
      </c>
      <c r="AI118" s="1208">
        <f t="shared" si="76"/>
        <v>11329.65</v>
      </c>
      <c r="AJ118" s="1208">
        <f t="shared" si="76"/>
        <v>11778.8</v>
      </c>
      <c r="AK118" s="1208">
        <f t="shared" si="76"/>
        <v>11901.050000000001</v>
      </c>
      <c r="AL118" s="1208">
        <f t="shared" si="76"/>
        <v>12023.3</v>
      </c>
      <c r="AM118" s="1208">
        <f t="shared" si="76"/>
        <v>12145.550000000001</v>
      </c>
      <c r="AN118" s="1208">
        <f t="shared" si="76"/>
        <v>12268.150000000001</v>
      </c>
      <c r="AO118" s="1208">
        <f t="shared" si="76"/>
        <v>12390.4</v>
      </c>
      <c r="AP118" s="1208">
        <f t="shared" si="76"/>
        <v>12512.999999999996</v>
      </c>
      <c r="AQ118" s="1208">
        <f t="shared" si="76"/>
        <v>12635.249999999998</v>
      </c>
      <c r="AR118" s="1208">
        <f t="shared" si="76"/>
        <v>12757.499999999998</v>
      </c>
      <c r="AS118" s="1208">
        <f t="shared" si="76"/>
        <v>12880.099999999999</v>
      </c>
      <c r="AT118" s="1208">
        <f t="shared" si="76"/>
        <v>13002.349999999999</v>
      </c>
      <c r="AU118" s="1208">
        <f t="shared" si="76"/>
        <v>13124.599999999999</v>
      </c>
      <c r="AV118" s="1208">
        <f t="shared" si="76"/>
        <v>13247.199999999999</v>
      </c>
      <c r="AW118" s="1147"/>
      <c r="AX118" s="1147"/>
      <c r="AY118" s="1147"/>
      <c r="AZ118" s="1147"/>
      <c r="BA118" s="1147"/>
      <c r="BB118" s="1147"/>
      <c r="BC118" s="1147"/>
      <c r="BD118" s="1147"/>
      <c r="BE118" s="1147"/>
      <c r="BF118" s="1147"/>
      <c r="BG118" s="1147"/>
      <c r="BH118" s="1147"/>
      <c r="BI118" s="1147"/>
      <c r="BJ118" s="1147"/>
      <c r="BK118" s="1147"/>
      <c r="BL118" s="1147"/>
      <c r="BM118" s="1147"/>
      <c r="BN118" s="1147"/>
      <c r="BO118" s="1147"/>
      <c r="BP118" s="1147"/>
      <c r="BQ118" s="1147"/>
      <c r="BR118" s="1147"/>
      <c r="BS118" s="1147"/>
      <c r="BT118" s="1147"/>
      <c r="BU118" s="1147"/>
      <c r="BV118" s="1147"/>
      <c r="BW118" s="1147"/>
      <c r="BX118" s="1147"/>
      <c r="BY118" s="1147"/>
      <c r="BZ118" s="1147"/>
      <c r="CA118" s="1147"/>
      <c r="CB118" s="1147"/>
      <c r="CC118" s="1147"/>
      <c r="CD118" s="1147"/>
      <c r="CE118" s="1147"/>
      <c r="CF118" s="1147"/>
      <c r="CG118" s="1147"/>
      <c r="CH118" s="1147"/>
      <c r="CI118" s="1147"/>
      <c r="CJ118" s="1147"/>
      <c r="CK118" s="1146"/>
    </row>
    <row r="119" spans="1:89" ht="15" x14ac:dyDescent="0.25">
      <c r="A119" s="1146"/>
      <c r="B119" s="1146"/>
      <c r="C119" s="1146"/>
      <c r="D119" s="1146"/>
      <c r="E119" s="1146"/>
      <c r="F119" s="1146"/>
      <c r="G119" s="1146"/>
      <c r="H119" s="1146"/>
      <c r="I119" s="1146"/>
      <c r="J119" s="1146"/>
      <c r="K119" s="1146"/>
      <c r="L119" s="1146"/>
      <c r="M119" s="1146"/>
      <c r="N119" s="1146"/>
      <c r="O119" s="1146"/>
      <c r="P119" s="1146"/>
      <c r="Q119" s="1146"/>
      <c r="R119" s="1146"/>
      <c r="S119" s="1146"/>
      <c r="T119" s="1147"/>
      <c r="U119" s="1147" t="s">
        <v>382</v>
      </c>
      <c r="V119" s="1147"/>
      <c r="W119" s="1208">
        <f t="shared" si="75"/>
        <v>3600</v>
      </c>
      <c r="X119" s="1208">
        <f t="shared" si="76"/>
        <v>3649.43</v>
      </c>
      <c r="Y119" s="1208">
        <f t="shared" si="76"/>
        <v>3734.87</v>
      </c>
      <c r="Z119" s="1208">
        <f t="shared" si="76"/>
        <v>3852.1700000000005</v>
      </c>
      <c r="AA119" s="1208">
        <f t="shared" si="76"/>
        <v>3969.52</v>
      </c>
      <c r="AB119" s="1208">
        <f t="shared" si="76"/>
        <v>4087.0399999999995</v>
      </c>
      <c r="AC119" s="1208">
        <f t="shared" si="76"/>
        <v>4204.34</v>
      </c>
      <c r="AD119" s="1208">
        <f t="shared" si="76"/>
        <v>4322.05</v>
      </c>
      <c r="AE119" s="1208">
        <f t="shared" si="76"/>
        <v>4403.68</v>
      </c>
      <c r="AF119" s="1208">
        <f t="shared" si="76"/>
        <v>4485.32</v>
      </c>
      <c r="AG119" s="1208">
        <f t="shared" si="76"/>
        <v>4566.97</v>
      </c>
      <c r="AH119" s="1208">
        <f t="shared" si="76"/>
        <v>4648.6000000000004</v>
      </c>
      <c r="AI119" s="1208">
        <f t="shared" si="76"/>
        <v>4730.8099999999995</v>
      </c>
      <c r="AJ119" s="1208">
        <f t="shared" si="76"/>
        <v>4780.24</v>
      </c>
      <c r="AK119" s="1208">
        <f t="shared" si="76"/>
        <v>4829.6699999999992</v>
      </c>
      <c r="AL119" s="1208">
        <f t="shared" si="76"/>
        <v>4879.1000000000004</v>
      </c>
      <c r="AM119" s="1208">
        <f t="shared" si="76"/>
        <v>4928.5299999999988</v>
      </c>
      <c r="AN119" s="1208">
        <f t="shared" si="76"/>
        <v>4978.3</v>
      </c>
      <c r="AO119" s="1208">
        <f t="shared" si="76"/>
        <v>5027.7299999999996</v>
      </c>
      <c r="AP119" s="1208">
        <f t="shared" si="76"/>
        <v>5077.3500000000004</v>
      </c>
      <c r="AQ119" s="1208">
        <f t="shared" si="76"/>
        <v>5126.78</v>
      </c>
      <c r="AR119" s="1208">
        <f t="shared" si="76"/>
        <v>5176.2100000000009</v>
      </c>
      <c r="AS119" s="1208">
        <f t="shared" si="76"/>
        <v>5225.9800000000005</v>
      </c>
      <c r="AT119" s="1208">
        <f t="shared" si="76"/>
        <v>5275.4100000000008</v>
      </c>
      <c r="AU119" s="1208">
        <f t="shared" si="76"/>
        <v>5324.84</v>
      </c>
      <c r="AV119" s="1208">
        <f t="shared" si="76"/>
        <v>5374.46</v>
      </c>
      <c r="AW119" s="1147"/>
      <c r="AX119" s="1147"/>
      <c r="AY119" s="1147"/>
      <c r="AZ119" s="1147"/>
      <c r="BA119" s="1147"/>
      <c r="BB119" s="1147"/>
      <c r="BC119" s="1147"/>
      <c r="BD119" s="1147"/>
      <c r="BE119" s="1147"/>
      <c r="BF119" s="1147"/>
      <c r="BG119" s="1147"/>
      <c r="BH119" s="1147"/>
      <c r="BI119" s="1147"/>
      <c r="BJ119" s="1147"/>
      <c r="BK119" s="1147"/>
      <c r="BL119" s="1147"/>
      <c r="BM119" s="1147"/>
      <c r="BN119" s="1147"/>
      <c r="BO119" s="1147"/>
      <c r="BP119" s="1147"/>
      <c r="BQ119" s="1147"/>
      <c r="BR119" s="1147"/>
      <c r="BS119" s="1147"/>
      <c r="BT119" s="1147"/>
      <c r="BU119" s="1147"/>
      <c r="BV119" s="1147"/>
      <c r="BW119" s="1147"/>
      <c r="BX119" s="1147"/>
      <c r="BY119" s="1147"/>
      <c r="BZ119" s="1147"/>
      <c r="CA119" s="1147"/>
      <c r="CB119" s="1147"/>
      <c r="CC119" s="1147"/>
      <c r="CD119" s="1147"/>
      <c r="CE119" s="1147"/>
      <c r="CF119" s="1147"/>
      <c r="CG119" s="1147"/>
      <c r="CH119" s="1147"/>
      <c r="CI119" s="1147"/>
      <c r="CJ119" s="1147"/>
      <c r="CK119" s="1146"/>
    </row>
    <row r="120" spans="1:89" ht="15" x14ac:dyDescent="0.25">
      <c r="A120" s="1146"/>
      <c r="B120" s="1146"/>
      <c r="C120" s="1146"/>
      <c r="D120" s="1146"/>
      <c r="E120" s="1146"/>
      <c r="F120" s="1146"/>
      <c r="G120" s="1146"/>
      <c r="H120" s="1146"/>
      <c r="I120" s="1146"/>
      <c r="J120" s="1146"/>
      <c r="K120" s="1146"/>
      <c r="L120" s="1146"/>
      <c r="M120" s="1146"/>
      <c r="N120" s="1146"/>
      <c r="O120" s="1146"/>
      <c r="P120" s="1146"/>
      <c r="Q120" s="1146"/>
      <c r="R120" s="1146"/>
      <c r="S120" s="1146"/>
      <c r="T120" s="1147"/>
      <c r="U120" s="1147" t="s">
        <v>377</v>
      </c>
      <c r="V120" s="1147"/>
      <c r="W120" s="1208">
        <f t="shared" si="75"/>
        <v>1800</v>
      </c>
      <c r="X120" s="1208">
        <f t="shared" si="76"/>
        <v>1910.68</v>
      </c>
      <c r="Y120" s="1208">
        <f t="shared" si="76"/>
        <v>2057.15</v>
      </c>
      <c r="Z120" s="1208">
        <f t="shared" si="76"/>
        <v>2251.7999999999997</v>
      </c>
      <c r="AA120" s="1208">
        <f t="shared" si="76"/>
        <v>2446.5099999999998</v>
      </c>
      <c r="AB120" s="1208">
        <f t="shared" si="76"/>
        <v>2641.6400000000003</v>
      </c>
      <c r="AC120" s="1208">
        <f t="shared" si="76"/>
        <v>2836.2899999999995</v>
      </c>
      <c r="AD120" s="1208">
        <f t="shared" si="76"/>
        <v>3031.1499999999996</v>
      </c>
      <c r="AE120" s="1208">
        <f t="shared" si="76"/>
        <v>3208.83</v>
      </c>
      <c r="AF120" s="1208">
        <f t="shared" si="76"/>
        <v>3386.36</v>
      </c>
      <c r="AG120" s="1208">
        <f t="shared" si="76"/>
        <v>3564.0499999999997</v>
      </c>
      <c r="AH120" s="1208">
        <f t="shared" si="76"/>
        <v>3741.73</v>
      </c>
      <c r="AI120" s="1208">
        <f t="shared" si="76"/>
        <v>3920.04</v>
      </c>
      <c r="AJ120" s="1208">
        <f t="shared" si="76"/>
        <v>4049.4</v>
      </c>
      <c r="AK120" s="1208">
        <f t="shared" si="76"/>
        <v>4160.08</v>
      </c>
      <c r="AL120" s="1208">
        <f t="shared" si="76"/>
        <v>4270.7599999999993</v>
      </c>
      <c r="AM120" s="1208">
        <f t="shared" si="76"/>
        <v>4381.4399999999996</v>
      </c>
      <c r="AN120" s="1208">
        <f t="shared" si="76"/>
        <v>4492.24</v>
      </c>
      <c r="AO120" s="1208">
        <f t="shared" si="76"/>
        <v>4602.9199999999992</v>
      </c>
      <c r="AP120" s="1208">
        <f t="shared" si="76"/>
        <v>4713.87</v>
      </c>
      <c r="AQ120" s="1208">
        <f t="shared" si="76"/>
        <v>4824.5499999999993</v>
      </c>
      <c r="AR120" s="1208">
        <f t="shared" si="76"/>
        <v>4935.2299999999996</v>
      </c>
      <c r="AS120" s="1208">
        <f t="shared" si="76"/>
        <v>5046.0299999999988</v>
      </c>
      <c r="AT120" s="1208">
        <f t="shared" si="76"/>
        <v>5156.71</v>
      </c>
      <c r="AU120" s="1208">
        <f t="shared" si="76"/>
        <v>5267.3899999999994</v>
      </c>
      <c r="AV120" s="1208">
        <f t="shared" si="76"/>
        <v>5378.3399999999992</v>
      </c>
      <c r="AW120" s="1147"/>
      <c r="AX120" s="1147"/>
      <c r="AY120" s="1147"/>
      <c r="AZ120" s="1147"/>
      <c r="BA120" s="1147"/>
      <c r="BB120" s="1147"/>
      <c r="BC120" s="1147"/>
      <c r="BD120" s="1147"/>
      <c r="BE120" s="1147"/>
      <c r="BF120" s="1147"/>
      <c r="BG120" s="1147"/>
      <c r="BH120" s="1147"/>
      <c r="BI120" s="1147"/>
      <c r="BJ120" s="1147"/>
      <c r="BK120" s="1147"/>
      <c r="BL120" s="1147"/>
      <c r="BM120" s="1147"/>
      <c r="BN120" s="1147"/>
      <c r="BO120" s="1147"/>
      <c r="BP120" s="1147"/>
      <c r="BQ120" s="1147"/>
      <c r="BR120" s="1147"/>
      <c r="BS120" s="1147"/>
      <c r="BT120" s="1147"/>
      <c r="BU120" s="1147"/>
      <c r="BV120" s="1147"/>
      <c r="BW120" s="1147"/>
      <c r="BX120" s="1147"/>
      <c r="BY120" s="1147"/>
      <c r="BZ120" s="1147"/>
      <c r="CA120" s="1147"/>
      <c r="CB120" s="1147"/>
      <c r="CC120" s="1147"/>
      <c r="CD120" s="1147"/>
      <c r="CE120" s="1147"/>
      <c r="CF120" s="1147"/>
      <c r="CG120" s="1147"/>
      <c r="CH120" s="1147"/>
      <c r="CI120" s="1147"/>
      <c r="CJ120" s="1147"/>
      <c r="CK120" s="1146"/>
    </row>
    <row r="121" spans="1:89" ht="15" x14ac:dyDescent="0.25">
      <c r="A121" s="1146"/>
      <c r="B121" s="1146"/>
      <c r="C121" s="1146"/>
      <c r="D121" s="1146"/>
      <c r="E121" s="1146"/>
      <c r="F121" s="1146"/>
      <c r="G121" s="1146"/>
      <c r="H121" s="1146"/>
      <c r="I121" s="1146"/>
      <c r="J121" s="1146"/>
      <c r="K121" s="1146"/>
      <c r="L121" s="1146"/>
      <c r="M121" s="1146"/>
      <c r="N121" s="1146"/>
      <c r="O121" s="1146"/>
      <c r="P121" s="1146"/>
      <c r="Q121" s="1146"/>
      <c r="R121" s="1146"/>
      <c r="S121" s="1146"/>
      <c r="T121" s="1147"/>
      <c r="U121" s="1147" t="s">
        <v>374</v>
      </c>
      <c r="V121" s="1147"/>
      <c r="W121" s="1208">
        <f t="shared" si="75"/>
        <v>20</v>
      </c>
      <c r="X121" s="1208">
        <f t="shared" si="76"/>
        <v>151.58000000000001</v>
      </c>
      <c r="Y121" s="1208">
        <f t="shared" si="76"/>
        <v>878.18</v>
      </c>
      <c r="Z121" s="1208">
        <f t="shared" si="76"/>
        <v>2022.6599999999999</v>
      </c>
      <c r="AA121" s="1208">
        <f t="shared" si="76"/>
        <v>3167.8599999999997</v>
      </c>
      <c r="AB121" s="1208">
        <f t="shared" si="76"/>
        <v>4313.1200000000008</v>
      </c>
      <c r="AC121" s="1208">
        <f t="shared" si="76"/>
        <v>5457.6</v>
      </c>
      <c r="AD121" s="1208">
        <f t="shared" si="76"/>
        <v>6603.6</v>
      </c>
      <c r="AE121" s="1208">
        <f t="shared" si="76"/>
        <v>7247.079999999999</v>
      </c>
      <c r="AF121" s="1208">
        <f t="shared" si="76"/>
        <v>7890.8</v>
      </c>
      <c r="AG121" s="1208">
        <f t="shared" si="76"/>
        <v>8534.4599999999991</v>
      </c>
      <c r="AH121" s="1208">
        <f t="shared" si="76"/>
        <v>9177.9399999999987</v>
      </c>
      <c r="AI121" s="1208">
        <f t="shared" si="76"/>
        <v>9822.9400000000023</v>
      </c>
      <c r="AJ121" s="1208">
        <f t="shared" si="76"/>
        <v>10047.920000000004</v>
      </c>
      <c r="AK121" s="1208">
        <f t="shared" si="76"/>
        <v>10179.5</v>
      </c>
      <c r="AL121" s="1208">
        <f t="shared" si="76"/>
        <v>10311.080000000002</v>
      </c>
      <c r="AM121" s="1208">
        <f t="shared" si="76"/>
        <v>10442.660000000002</v>
      </c>
      <c r="AN121" s="1208">
        <f t="shared" si="76"/>
        <v>10574.76</v>
      </c>
      <c r="AO121" s="1208">
        <f t="shared" si="76"/>
        <v>10706.340000000002</v>
      </c>
      <c r="AP121" s="1208">
        <f t="shared" si="76"/>
        <v>10838.440000000004</v>
      </c>
      <c r="AQ121" s="1208">
        <f t="shared" si="76"/>
        <v>10970.02</v>
      </c>
      <c r="AR121" s="1208">
        <f t="shared" si="76"/>
        <v>11101.600000000002</v>
      </c>
      <c r="AS121" s="1208">
        <f t="shared" si="76"/>
        <v>11233.700000000004</v>
      </c>
      <c r="AT121" s="1208">
        <f t="shared" si="76"/>
        <v>11365.28</v>
      </c>
      <c r="AU121" s="1208">
        <f t="shared" si="76"/>
        <v>11496.86</v>
      </c>
      <c r="AV121" s="1208">
        <f t="shared" si="76"/>
        <v>11628.960000000003</v>
      </c>
      <c r="AW121" s="1147"/>
      <c r="AX121" s="1147"/>
      <c r="AY121" s="1147"/>
      <c r="AZ121" s="1147"/>
      <c r="BA121" s="1147"/>
      <c r="BB121" s="1147"/>
      <c r="BC121" s="1147"/>
      <c r="BD121" s="1147"/>
      <c r="BE121" s="1147"/>
      <c r="BF121" s="1147"/>
      <c r="BG121" s="1147"/>
      <c r="BH121" s="1147"/>
      <c r="BI121" s="1147"/>
      <c r="BJ121" s="1147"/>
      <c r="BK121" s="1147"/>
      <c r="BL121" s="1147"/>
      <c r="BM121" s="1147"/>
      <c r="BN121" s="1147"/>
      <c r="BO121" s="1147"/>
      <c r="BP121" s="1147"/>
      <c r="BQ121" s="1147"/>
      <c r="BR121" s="1147"/>
      <c r="BS121" s="1147"/>
      <c r="BT121" s="1147"/>
      <c r="BU121" s="1147"/>
      <c r="BV121" s="1147"/>
      <c r="BW121" s="1147"/>
      <c r="BX121" s="1147"/>
      <c r="BY121" s="1147"/>
      <c r="BZ121" s="1147"/>
      <c r="CA121" s="1147"/>
      <c r="CB121" s="1147"/>
      <c r="CC121" s="1147"/>
      <c r="CD121" s="1147"/>
      <c r="CE121" s="1147"/>
      <c r="CF121" s="1147"/>
      <c r="CG121" s="1147"/>
      <c r="CH121" s="1147"/>
      <c r="CI121" s="1147"/>
      <c r="CJ121" s="1147"/>
      <c r="CK121" s="1146"/>
    </row>
    <row r="122" spans="1:89" ht="15" x14ac:dyDescent="0.25">
      <c r="A122" s="1146"/>
      <c r="B122" s="1146"/>
      <c r="C122" s="1146"/>
      <c r="D122" s="1146"/>
      <c r="E122" s="1146"/>
      <c r="F122" s="1146"/>
      <c r="G122" s="1146"/>
      <c r="H122" s="1146"/>
      <c r="I122" s="1146"/>
      <c r="J122" s="1146"/>
      <c r="K122" s="1146"/>
      <c r="L122" s="1146"/>
      <c r="M122" s="1146"/>
      <c r="N122" s="1146"/>
      <c r="O122" s="1146"/>
      <c r="P122" s="1146"/>
      <c r="Q122" s="1146"/>
      <c r="R122" s="1146"/>
      <c r="S122" s="1146"/>
      <c r="T122" s="1147"/>
      <c r="U122" s="1147" t="s">
        <v>376</v>
      </c>
      <c r="V122" s="1147"/>
      <c r="W122" s="1208">
        <f t="shared" si="75"/>
        <v>300</v>
      </c>
      <c r="X122" s="1208">
        <f t="shared" si="76"/>
        <v>447.21</v>
      </c>
      <c r="Y122" s="1208">
        <f t="shared" si="76"/>
        <v>629.64</v>
      </c>
      <c r="Z122" s="1208">
        <f t="shared" si="76"/>
        <v>1090.82</v>
      </c>
      <c r="AA122" s="1208">
        <f t="shared" si="76"/>
        <v>1552.05</v>
      </c>
      <c r="AB122" s="1208">
        <f t="shared" si="76"/>
        <v>2013.5100000000002</v>
      </c>
      <c r="AC122" s="1208">
        <f t="shared" si="76"/>
        <v>2474.69</v>
      </c>
      <c r="AD122" s="1208">
        <f t="shared" si="76"/>
        <v>2935.72</v>
      </c>
      <c r="AE122" s="1208">
        <f t="shared" si="76"/>
        <v>4109.2299999999996</v>
      </c>
      <c r="AF122" s="1208">
        <f t="shared" si="76"/>
        <v>5282.28</v>
      </c>
      <c r="AG122" s="1208">
        <f t="shared" si="76"/>
        <v>6455.24</v>
      </c>
      <c r="AH122" s="1208">
        <f t="shared" si="76"/>
        <v>7628.75</v>
      </c>
      <c r="AI122" s="1208">
        <f t="shared" si="76"/>
        <v>8802.11</v>
      </c>
      <c r="AJ122" s="1208">
        <f t="shared" si="76"/>
        <v>9696.52</v>
      </c>
      <c r="AK122" s="1208">
        <f t="shared" si="76"/>
        <v>9843.73</v>
      </c>
      <c r="AL122" s="1208">
        <f t="shared" si="76"/>
        <v>9990.94</v>
      </c>
      <c r="AM122" s="1208">
        <f t="shared" si="76"/>
        <v>10138.15</v>
      </c>
      <c r="AN122" s="1208">
        <f t="shared" si="76"/>
        <v>10284.91</v>
      </c>
      <c r="AO122" s="1208">
        <f t="shared" si="76"/>
        <v>10432.120000000001</v>
      </c>
      <c r="AP122" s="1208">
        <f t="shared" si="76"/>
        <v>10578.880000000001</v>
      </c>
      <c r="AQ122" s="1208">
        <f t="shared" si="76"/>
        <v>10726.09</v>
      </c>
      <c r="AR122" s="1208">
        <f t="shared" si="76"/>
        <v>10873.300000000001</v>
      </c>
      <c r="AS122" s="1208">
        <f t="shared" si="76"/>
        <v>11020.06</v>
      </c>
      <c r="AT122" s="1208">
        <f t="shared" si="76"/>
        <v>11167.27</v>
      </c>
      <c r="AU122" s="1208">
        <f t="shared" si="76"/>
        <v>11314.48</v>
      </c>
      <c r="AV122" s="1208">
        <f t="shared" si="76"/>
        <v>11461.24</v>
      </c>
      <c r="AW122" s="1147"/>
      <c r="AX122" s="1147"/>
      <c r="AY122" s="1147"/>
      <c r="AZ122" s="1147"/>
      <c r="BA122" s="1147"/>
      <c r="BB122" s="1147"/>
      <c r="BC122" s="1147"/>
      <c r="BD122" s="1147"/>
      <c r="BE122" s="1147"/>
      <c r="BF122" s="1147"/>
      <c r="BG122" s="1147"/>
      <c r="BH122" s="1147"/>
      <c r="BI122" s="1147"/>
      <c r="BJ122" s="1147"/>
      <c r="BK122" s="1147"/>
      <c r="BL122" s="1147"/>
      <c r="BM122" s="1147"/>
      <c r="BN122" s="1147"/>
      <c r="BO122" s="1147"/>
      <c r="BP122" s="1147"/>
      <c r="BQ122" s="1147"/>
      <c r="BR122" s="1147"/>
      <c r="BS122" s="1147"/>
      <c r="BT122" s="1147"/>
      <c r="BU122" s="1147"/>
      <c r="BV122" s="1147"/>
      <c r="BW122" s="1147"/>
      <c r="BX122" s="1147"/>
      <c r="BY122" s="1147"/>
      <c r="BZ122" s="1147"/>
      <c r="CA122" s="1147"/>
      <c r="CB122" s="1147"/>
      <c r="CC122" s="1147"/>
      <c r="CD122" s="1147"/>
      <c r="CE122" s="1147"/>
      <c r="CF122" s="1147"/>
      <c r="CG122" s="1147"/>
      <c r="CH122" s="1147"/>
      <c r="CI122" s="1147"/>
      <c r="CJ122" s="1147"/>
      <c r="CK122" s="1146"/>
    </row>
    <row r="123" spans="1:89" ht="15.75" thickBot="1" x14ac:dyDescent="0.3">
      <c r="A123" s="1146"/>
      <c r="B123" s="1146"/>
      <c r="C123" s="1146"/>
      <c r="D123" s="1146"/>
      <c r="E123" s="1146"/>
      <c r="F123" s="1146"/>
      <c r="G123" s="1146"/>
      <c r="H123" s="1146"/>
      <c r="I123" s="1146"/>
      <c r="J123" s="1146"/>
      <c r="K123" s="1146"/>
      <c r="L123" s="1146"/>
      <c r="M123" s="1146"/>
      <c r="N123" s="1146"/>
      <c r="O123" s="1146"/>
      <c r="P123" s="1146"/>
      <c r="Q123" s="1146"/>
      <c r="R123" s="1146"/>
      <c r="S123" s="1146"/>
      <c r="T123" s="1222"/>
      <c r="U123" s="1222" t="s">
        <v>378</v>
      </c>
      <c r="V123" s="1222"/>
      <c r="W123" s="1225">
        <f t="shared" si="75"/>
        <v>0</v>
      </c>
      <c r="X123" s="1225">
        <f t="shared" si="76"/>
        <v>0</v>
      </c>
      <c r="Y123" s="1225">
        <f t="shared" si="76"/>
        <v>0</v>
      </c>
      <c r="Z123" s="1225">
        <f t="shared" si="76"/>
        <v>0</v>
      </c>
      <c r="AA123" s="1225">
        <f t="shared" si="76"/>
        <v>0</v>
      </c>
      <c r="AB123" s="1225">
        <f t="shared" si="76"/>
        <v>0</v>
      </c>
      <c r="AC123" s="1225">
        <f t="shared" si="76"/>
        <v>0</v>
      </c>
      <c r="AD123" s="1225">
        <f t="shared" si="76"/>
        <v>0</v>
      </c>
      <c r="AE123" s="1225">
        <f t="shared" si="76"/>
        <v>0</v>
      </c>
      <c r="AF123" s="1225">
        <f t="shared" si="76"/>
        <v>0</v>
      </c>
      <c r="AG123" s="1225">
        <f t="shared" si="76"/>
        <v>0</v>
      </c>
      <c r="AH123" s="1225">
        <f t="shared" si="76"/>
        <v>0</v>
      </c>
      <c r="AI123" s="1225">
        <f t="shared" si="76"/>
        <v>0</v>
      </c>
      <c r="AJ123" s="1225">
        <f t="shared" si="76"/>
        <v>0</v>
      </c>
      <c r="AK123" s="1225">
        <f t="shared" si="76"/>
        <v>0</v>
      </c>
      <c r="AL123" s="1225">
        <f t="shared" si="76"/>
        <v>0</v>
      </c>
      <c r="AM123" s="1225">
        <f t="shared" si="76"/>
        <v>0</v>
      </c>
      <c r="AN123" s="1225">
        <f t="shared" si="76"/>
        <v>0</v>
      </c>
      <c r="AO123" s="1225">
        <f t="shared" si="76"/>
        <v>0</v>
      </c>
      <c r="AP123" s="1225">
        <f t="shared" si="76"/>
        <v>0</v>
      </c>
      <c r="AQ123" s="1225">
        <f t="shared" si="76"/>
        <v>0</v>
      </c>
      <c r="AR123" s="1225">
        <f t="shared" si="76"/>
        <v>0</v>
      </c>
      <c r="AS123" s="1225">
        <f t="shared" si="76"/>
        <v>0</v>
      </c>
      <c r="AT123" s="1225">
        <f t="shared" si="76"/>
        <v>0</v>
      </c>
      <c r="AU123" s="1225">
        <f t="shared" si="76"/>
        <v>0</v>
      </c>
      <c r="AV123" s="1225">
        <f t="shared" si="76"/>
        <v>0</v>
      </c>
      <c r="AW123" s="1147"/>
      <c r="AX123" s="1147"/>
      <c r="AY123" s="1147"/>
      <c r="AZ123" s="1147"/>
      <c r="BA123" s="1147"/>
      <c r="BB123" s="1147"/>
      <c r="BC123" s="1147"/>
      <c r="BD123" s="1147"/>
      <c r="BE123" s="1147"/>
      <c r="BF123" s="1147"/>
      <c r="BG123" s="1147"/>
      <c r="BH123" s="1147"/>
      <c r="BI123" s="1147"/>
      <c r="BJ123" s="1147"/>
      <c r="BK123" s="1147"/>
      <c r="BL123" s="1147"/>
      <c r="BM123" s="1147"/>
      <c r="BN123" s="1147"/>
      <c r="BO123" s="1147"/>
      <c r="BP123" s="1147"/>
      <c r="BQ123" s="1147"/>
      <c r="BR123" s="1147"/>
      <c r="BS123" s="1147"/>
      <c r="BT123" s="1147"/>
      <c r="BU123" s="1147"/>
      <c r="BV123" s="1147"/>
      <c r="BW123" s="1147"/>
      <c r="BX123" s="1147"/>
      <c r="BY123" s="1147"/>
      <c r="BZ123" s="1147"/>
      <c r="CA123" s="1147"/>
      <c r="CB123" s="1147"/>
      <c r="CC123" s="1147"/>
      <c r="CD123" s="1147"/>
      <c r="CE123" s="1147"/>
      <c r="CF123" s="1147"/>
      <c r="CG123" s="1147"/>
      <c r="CH123" s="1147"/>
      <c r="CI123" s="1147"/>
      <c r="CJ123" s="1147"/>
      <c r="CK123" s="1146"/>
    </row>
    <row r="124" spans="1:89" ht="15" x14ac:dyDescent="0.25">
      <c r="A124" s="1146"/>
      <c r="B124" s="1146"/>
      <c r="C124" s="1146"/>
      <c r="D124" s="1146"/>
      <c r="E124" s="1146"/>
      <c r="F124" s="1146"/>
      <c r="G124" s="1146"/>
      <c r="H124" s="1146"/>
      <c r="I124" s="1146"/>
      <c r="J124" s="1146"/>
      <c r="K124" s="1146"/>
      <c r="L124" s="1146"/>
      <c r="M124" s="1146"/>
      <c r="N124" s="1146"/>
      <c r="O124" s="1146"/>
      <c r="P124" s="1146"/>
      <c r="Q124" s="1146"/>
      <c r="R124" s="1146"/>
      <c r="S124" s="1146"/>
      <c r="T124" s="1147"/>
      <c r="U124" s="1147"/>
      <c r="V124" s="1147"/>
      <c r="W124" s="1147"/>
      <c r="X124" s="1147"/>
      <c r="Y124" s="1147"/>
      <c r="Z124" s="1147"/>
      <c r="AA124" s="1147"/>
      <c r="AB124" s="1147"/>
      <c r="AC124" s="1147"/>
      <c r="AD124" s="1147"/>
      <c r="AE124" s="1147"/>
      <c r="AF124" s="1147"/>
      <c r="AG124" s="1147"/>
      <c r="AH124" s="1147"/>
      <c r="AI124" s="1147"/>
      <c r="AJ124" s="1147"/>
      <c r="AK124" s="1147"/>
      <c r="AL124" s="1147"/>
      <c r="AM124" s="1147"/>
      <c r="AN124" s="1147"/>
      <c r="AO124" s="1147"/>
      <c r="AP124" s="1147"/>
      <c r="AQ124" s="1147"/>
      <c r="AR124" s="1147"/>
      <c r="AS124" s="1147"/>
      <c r="AT124" s="1147"/>
      <c r="AU124" s="1147"/>
      <c r="AV124" s="1147"/>
      <c r="AW124" s="1147"/>
      <c r="AX124" s="1147"/>
      <c r="AY124" s="1147"/>
      <c r="AZ124" s="1147"/>
      <c r="BA124" s="1147"/>
      <c r="BB124" s="1147"/>
      <c r="BC124" s="1147"/>
      <c r="BD124" s="1147"/>
      <c r="BE124" s="1147"/>
      <c r="BF124" s="1147"/>
      <c r="BG124" s="1147"/>
      <c r="BH124" s="1147"/>
      <c r="BI124" s="1147"/>
      <c r="BJ124" s="1147"/>
      <c r="BK124" s="1147"/>
      <c r="BL124" s="1147"/>
      <c r="BM124" s="1147"/>
      <c r="BN124" s="1147"/>
      <c r="BO124" s="1147"/>
      <c r="BP124" s="1147"/>
      <c r="BQ124" s="1147"/>
      <c r="BR124" s="1147"/>
      <c r="BS124" s="1147"/>
      <c r="BT124" s="1147"/>
      <c r="BU124" s="1147"/>
      <c r="BV124" s="1147"/>
      <c r="BW124" s="1147"/>
      <c r="BX124" s="1147"/>
      <c r="BY124" s="1147"/>
      <c r="BZ124" s="1147"/>
      <c r="CA124" s="1147"/>
      <c r="CB124" s="1147"/>
      <c r="CC124" s="1147"/>
      <c r="CD124" s="1147"/>
      <c r="CE124" s="1147"/>
      <c r="CF124" s="1147"/>
      <c r="CG124" s="1147"/>
      <c r="CH124" s="1147"/>
      <c r="CI124" s="1147"/>
      <c r="CJ124" s="1147"/>
      <c r="CK124" s="1146"/>
    </row>
    <row r="125" spans="1:89" ht="15.75" thickBot="1" x14ac:dyDescent="0.3">
      <c r="A125" s="1146"/>
      <c r="B125" s="1146"/>
      <c r="C125" s="1146"/>
      <c r="D125" s="1146"/>
      <c r="E125" s="1146"/>
      <c r="F125" s="1146"/>
      <c r="G125" s="1146"/>
      <c r="H125" s="1146"/>
      <c r="I125" s="1146"/>
      <c r="J125" s="1146"/>
      <c r="K125" s="1146"/>
      <c r="L125" s="1146"/>
      <c r="M125" s="1146"/>
      <c r="N125" s="1146"/>
      <c r="O125" s="1146"/>
      <c r="P125" s="1146"/>
      <c r="Q125" s="1146"/>
      <c r="R125" s="1146"/>
      <c r="S125" s="1146"/>
      <c r="T125" s="1147"/>
      <c r="U125" s="1147"/>
      <c r="V125" s="1226">
        <v>1</v>
      </c>
      <c r="W125" s="1226">
        <v>2</v>
      </c>
      <c r="X125" s="1226">
        <v>3</v>
      </c>
      <c r="Y125" s="1226" t="s">
        <v>671</v>
      </c>
      <c r="Z125" s="1226" t="s">
        <v>672</v>
      </c>
      <c r="AA125" s="1226" t="s">
        <v>673</v>
      </c>
      <c r="AB125" s="1226">
        <v>5</v>
      </c>
      <c r="AC125" s="1226">
        <v>6</v>
      </c>
      <c r="AD125" s="1147"/>
      <c r="AE125" s="1147"/>
      <c r="AF125" s="1147"/>
      <c r="AG125" s="1147"/>
      <c r="AH125" s="1147"/>
      <c r="AI125" s="1147"/>
      <c r="AJ125" s="1147"/>
      <c r="AK125" s="1147"/>
      <c r="AL125" s="1147"/>
      <c r="AM125" s="1147"/>
      <c r="AN125" s="1147"/>
      <c r="AO125" s="1147"/>
      <c r="AP125" s="1147"/>
      <c r="AQ125" s="1147"/>
      <c r="AR125" s="1147"/>
      <c r="AS125" s="1147"/>
      <c r="AT125" s="1147"/>
      <c r="AU125" s="1147"/>
      <c r="AV125" s="1147"/>
      <c r="AW125" s="1147"/>
      <c r="AX125" s="1147"/>
      <c r="AY125" s="1147"/>
      <c r="AZ125" s="1147"/>
      <c r="BA125" s="1147"/>
      <c r="BB125" s="1147"/>
      <c r="BC125" s="1147"/>
      <c r="BD125" s="1147"/>
      <c r="BE125" s="1147"/>
      <c r="BF125" s="1147"/>
      <c r="BG125" s="1147"/>
      <c r="BH125" s="1147"/>
      <c r="BI125" s="1147"/>
      <c r="BJ125" s="1147"/>
      <c r="BK125" s="1147"/>
      <c r="BL125" s="1147"/>
      <c r="BM125" s="1147"/>
      <c r="BN125" s="1147"/>
      <c r="BO125" s="1147"/>
      <c r="BP125" s="1147"/>
      <c r="BQ125" s="1147"/>
      <c r="BR125" s="1147"/>
      <c r="BS125" s="1147"/>
      <c r="BT125" s="1147"/>
      <c r="BU125" s="1147"/>
      <c r="BV125" s="1147"/>
      <c r="BW125" s="1147"/>
      <c r="BX125" s="1147"/>
      <c r="BY125" s="1147"/>
      <c r="BZ125" s="1147"/>
      <c r="CA125" s="1147"/>
      <c r="CB125" s="1147"/>
      <c r="CC125" s="1147"/>
      <c r="CD125" s="1147"/>
      <c r="CE125" s="1147"/>
      <c r="CF125" s="1147"/>
      <c r="CG125" s="1147"/>
      <c r="CH125" s="1147"/>
      <c r="CI125" s="1147"/>
      <c r="CJ125" s="1147"/>
      <c r="CK125" s="1146"/>
    </row>
    <row r="126" spans="1:89" ht="15" x14ac:dyDescent="0.25">
      <c r="A126" s="1146"/>
      <c r="B126" s="1146"/>
      <c r="C126" s="1146"/>
      <c r="D126" s="1146"/>
      <c r="E126" s="1146"/>
      <c r="F126" s="1146"/>
      <c r="G126" s="1146"/>
      <c r="H126" s="1146"/>
      <c r="I126" s="1146"/>
      <c r="J126" s="1146"/>
      <c r="K126" s="1146"/>
      <c r="L126" s="1146"/>
      <c r="M126" s="1146"/>
      <c r="N126" s="1146"/>
      <c r="O126" s="1146"/>
      <c r="P126" s="1146"/>
      <c r="Q126" s="1146"/>
      <c r="R126" s="1146"/>
      <c r="S126" s="1146"/>
      <c r="T126" s="1205" t="s">
        <v>694</v>
      </c>
      <c r="U126" s="1223" t="s">
        <v>368</v>
      </c>
      <c r="V126" s="1227">
        <v>0.25</v>
      </c>
      <c r="W126" s="1227">
        <v>0.3</v>
      </c>
      <c r="X126" s="1227">
        <v>0.3</v>
      </c>
      <c r="Y126" s="1227">
        <v>0.25</v>
      </c>
      <c r="Z126" s="1227">
        <v>0.25</v>
      </c>
      <c r="AA126" s="1227">
        <v>0.3</v>
      </c>
      <c r="AB126" s="1227">
        <v>0.3</v>
      </c>
      <c r="AC126" s="1227">
        <v>0.3</v>
      </c>
      <c r="AD126" s="1223"/>
      <c r="AE126" s="1223"/>
      <c r="AF126" s="1223"/>
      <c r="AG126" s="1223"/>
      <c r="AH126" s="1223"/>
      <c r="AI126" s="1223"/>
      <c r="AJ126" s="1223"/>
      <c r="AK126" s="1223"/>
      <c r="AL126" s="1223"/>
      <c r="AM126" s="1223"/>
      <c r="AN126" s="1223"/>
      <c r="AO126" s="1223"/>
      <c r="AP126" s="1223"/>
      <c r="AQ126" s="1223"/>
      <c r="AR126" s="1223"/>
      <c r="AS126" s="1223"/>
      <c r="AT126" s="1223"/>
      <c r="AU126" s="1223"/>
      <c r="AV126" s="1223"/>
      <c r="AW126" s="1147"/>
      <c r="AX126" s="1147"/>
      <c r="AY126" s="1147">
        <f>(45357-44714)/44714</f>
        <v>1.4380283580086774E-2</v>
      </c>
      <c r="AZ126" s="1147"/>
      <c r="BA126" s="1147"/>
      <c r="BB126" s="1147"/>
      <c r="BC126" s="1147"/>
      <c r="BD126" s="1147"/>
      <c r="BE126" s="1147"/>
      <c r="BF126" s="1147"/>
      <c r="BG126" s="1147"/>
      <c r="BH126" s="1147"/>
      <c r="BI126" s="1147"/>
      <c r="BJ126" s="1147"/>
      <c r="BK126" s="1147"/>
      <c r="BL126" s="1147"/>
      <c r="BM126" s="1147"/>
      <c r="BN126" s="1147"/>
      <c r="BO126" s="1147"/>
      <c r="BP126" s="1147"/>
      <c r="BQ126" s="1147"/>
      <c r="BR126" s="1147"/>
      <c r="BS126" s="1147"/>
      <c r="BT126" s="1147"/>
      <c r="BU126" s="1147"/>
      <c r="BV126" s="1147"/>
      <c r="BW126" s="1147"/>
      <c r="BX126" s="1147"/>
      <c r="BY126" s="1147"/>
      <c r="BZ126" s="1147"/>
      <c r="CA126" s="1147"/>
      <c r="CB126" s="1147"/>
      <c r="CC126" s="1147"/>
      <c r="CD126" s="1147"/>
      <c r="CE126" s="1147"/>
      <c r="CF126" s="1147"/>
      <c r="CG126" s="1147"/>
      <c r="CH126" s="1147"/>
      <c r="CI126" s="1147"/>
      <c r="CJ126" s="1147"/>
      <c r="CK126" s="1146"/>
    </row>
    <row r="127" spans="1:89" ht="15" x14ac:dyDescent="0.25">
      <c r="A127" s="1146"/>
      <c r="B127" s="1146"/>
      <c r="C127" s="1146"/>
      <c r="D127" s="1146"/>
      <c r="E127" s="1146"/>
      <c r="F127" s="1146"/>
      <c r="G127" s="1146"/>
      <c r="H127" s="1146"/>
      <c r="I127" s="1146"/>
      <c r="J127" s="1146"/>
      <c r="K127" s="1146"/>
      <c r="L127" s="1146"/>
      <c r="M127" s="1146"/>
      <c r="N127" s="1146"/>
      <c r="O127" s="1146"/>
      <c r="P127" s="1146"/>
      <c r="Q127" s="1146"/>
      <c r="R127" s="1146"/>
      <c r="S127" s="1146"/>
      <c r="T127" s="1147" t="s">
        <v>690</v>
      </c>
      <c r="U127" s="1147" t="s">
        <v>369</v>
      </c>
      <c r="V127" s="1221">
        <v>0.3</v>
      </c>
      <c r="W127" s="1221">
        <v>0.4</v>
      </c>
      <c r="X127" s="1221">
        <v>0.4</v>
      </c>
      <c r="Y127" s="1221">
        <v>0.3</v>
      </c>
      <c r="Z127" s="1221">
        <v>0.3</v>
      </c>
      <c r="AA127" s="1221">
        <v>0.4</v>
      </c>
      <c r="AB127" s="1221">
        <v>0.5</v>
      </c>
      <c r="AC127" s="1221">
        <v>0.5</v>
      </c>
      <c r="AD127" s="1147"/>
      <c r="AE127" s="1147"/>
      <c r="AF127" s="1147"/>
      <c r="AG127" s="1147"/>
      <c r="AH127" s="1147"/>
      <c r="AI127" s="1147"/>
      <c r="AJ127" s="1147"/>
      <c r="AK127" s="1147"/>
      <c r="AL127" s="1147"/>
      <c r="AM127" s="1147"/>
      <c r="AN127" s="1147"/>
      <c r="AO127" s="1147"/>
      <c r="AP127" s="1147"/>
      <c r="AQ127" s="1147"/>
      <c r="AR127" s="1147"/>
      <c r="AS127" s="1147"/>
      <c r="AT127" s="1147"/>
      <c r="AU127" s="1147"/>
      <c r="AV127" s="1147"/>
      <c r="AW127" s="1147"/>
      <c r="AX127" s="1147"/>
      <c r="AY127" s="1147"/>
      <c r="AZ127" s="1147"/>
      <c r="BA127" s="1147"/>
      <c r="BB127" s="1147"/>
      <c r="BC127" s="1147"/>
      <c r="BD127" s="1147"/>
      <c r="BE127" s="1147"/>
      <c r="BF127" s="1147"/>
      <c r="BG127" s="1147"/>
      <c r="BH127" s="1147"/>
      <c r="BI127" s="1147"/>
      <c r="BJ127" s="1147"/>
      <c r="BK127" s="1147"/>
      <c r="BL127" s="1147"/>
      <c r="BM127" s="1147"/>
      <c r="BN127" s="1147"/>
      <c r="BO127" s="1147"/>
      <c r="BP127" s="1147"/>
      <c r="BQ127" s="1147"/>
      <c r="BR127" s="1147"/>
      <c r="BS127" s="1147"/>
      <c r="BT127" s="1147"/>
      <c r="BU127" s="1147"/>
      <c r="BV127" s="1147"/>
      <c r="BW127" s="1147"/>
      <c r="BX127" s="1147"/>
      <c r="BY127" s="1147"/>
      <c r="BZ127" s="1147"/>
      <c r="CA127" s="1147"/>
      <c r="CB127" s="1147"/>
      <c r="CC127" s="1147"/>
      <c r="CD127" s="1147"/>
      <c r="CE127" s="1147"/>
      <c r="CF127" s="1147"/>
      <c r="CG127" s="1147"/>
      <c r="CH127" s="1147"/>
      <c r="CI127" s="1147"/>
      <c r="CJ127" s="1147"/>
      <c r="CK127" s="1146"/>
    </row>
    <row r="128" spans="1:89" ht="15" x14ac:dyDescent="0.25">
      <c r="A128" s="1146"/>
      <c r="B128" s="1146"/>
      <c r="C128" s="1146"/>
      <c r="D128" s="1146"/>
      <c r="E128" s="1146"/>
      <c r="F128" s="1146"/>
      <c r="G128" s="1146"/>
      <c r="H128" s="1146"/>
      <c r="I128" s="1146"/>
      <c r="J128" s="1146"/>
      <c r="K128" s="1146"/>
      <c r="L128" s="1146"/>
      <c r="M128" s="1146"/>
      <c r="N128" s="1146"/>
      <c r="O128" s="1146"/>
      <c r="P128" s="1146"/>
      <c r="Q128" s="1146"/>
      <c r="R128" s="1146"/>
      <c r="S128" s="1146"/>
      <c r="T128" s="1147" t="s">
        <v>691</v>
      </c>
      <c r="U128" s="1147" t="s">
        <v>370</v>
      </c>
      <c r="V128" s="1221">
        <v>0.1</v>
      </c>
      <c r="W128" s="1221">
        <v>0.1</v>
      </c>
      <c r="X128" s="1221">
        <v>0.1</v>
      </c>
      <c r="Y128" s="1221">
        <v>0.1</v>
      </c>
      <c r="Z128" s="1221">
        <v>0.1</v>
      </c>
      <c r="AA128" s="1221">
        <v>0.1</v>
      </c>
      <c r="AB128" s="1221">
        <v>0.2</v>
      </c>
      <c r="AC128" s="1221">
        <v>0.2</v>
      </c>
      <c r="AD128" s="1147"/>
      <c r="AE128" s="1147"/>
      <c r="AF128" s="1147"/>
      <c r="AG128" s="1147"/>
      <c r="AH128" s="1147"/>
      <c r="AI128" s="1147"/>
      <c r="AJ128" s="1147"/>
      <c r="AK128" s="1147"/>
      <c r="AL128" s="1147"/>
      <c r="AM128" s="1147"/>
      <c r="AN128" s="1147"/>
      <c r="AO128" s="1147"/>
      <c r="AP128" s="1147"/>
      <c r="AQ128" s="1147"/>
      <c r="AR128" s="1147"/>
      <c r="AS128" s="1147"/>
      <c r="AT128" s="1147"/>
      <c r="AU128" s="1147"/>
      <c r="AV128" s="1147"/>
      <c r="AW128" s="1147"/>
      <c r="AX128" s="1147"/>
      <c r="AY128" s="1147">
        <f>26/22</f>
        <v>1.1818181818181819</v>
      </c>
      <c r="AZ128" s="1147"/>
      <c r="BA128" s="1147"/>
      <c r="BB128" s="1147"/>
      <c r="BC128" s="1147"/>
      <c r="BD128" s="1147"/>
      <c r="BE128" s="1147"/>
      <c r="BF128" s="1147"/>
      <c r="BG128" s="1147"/>
      <c r="BH128" s="1147"/>
      <c r="BI128" s="1147"/>
      <c r="BJ128" s="1147"/>
      <c r="BK128" s="1147"/>
      <c r="BL128" s="1147"/>
      <c r="BM128" s="1147"/>
      <c r="BN128" s="1147"/>
      <c r="BO128" s="1147"/>
      <c r="BP128" s="1147"/>
      <c r="BQ128" s="1147"/>
      <c r="BR128" s="1147"/>
      <c r="BS128" s="1147"/>
      <c r="BT128" s="1147"/>
      <c r="BU128" s="1147"/>
      <c r="BV128" s="1147"/>
      <c r="BW128" s="1147"/>
      <c r="BX128" s="1147"/>
      <c r="BY128" s="1147"/>
      <c r="BZ128" s="1147"/>
      <c r="CA128" s="1147"/>
      <c r="CB128" s="1147"/>
      <c r="CC128" s="1147"/>
      <c r="CD128" s="1147"/>
      <c r="CE128" s="1147"/>
      <c r="CF128" s="1147"/>
      <c r="CG128" s="1147"/>
      <c r="CH128" s="1147"/>
      <c r="CI128" s="1147"/>
      <c r="CJ128" s="1147"/>
      <c r="CK128" s="1146"/>
    </row>
    <row r="129" spans="1:89" ht="15" x14ac:dyDescent="0.25">
      <c r="A129" s="1146"/>
      <c r="B129" s="1146"/>
      <c r="C129" s="1146"/>
      <c r="D129" s="1146"/>
      <c r="E129" s="1146"/>
      <c r="F129" s="1146"/>
      <c r="G129" s="1146"/>
      <c r="H129" s="1146"/>
      <c r="I129" s="1146"/>
      <c r="J129" s="1146"/>
      <c r="K129" s="1146"/>
      <c r="L129" s="1146"/>
      <c r="M129" s="1146"/>
      <c r="N129" s="1146"/>
      <c r="O129" s="1146"/>
      <c r="P129" s="1146"/>
      <c r="Q129" s="1146"/>
      <c r="R129" s="1146"/>
      <c r="S129" s="1146"/>
      <c r="T129" s="1147"/>
      <c r="U129" s="1147" t="s">
        <v>367</v>
      </c>
      <c r="V129" s="1221">
        <v>0.2</v>
      </c>
      <c r="W129" s="1221">
        <v>0.15</v>
      </c>
      <c r="X129" s="1221">
        <v>0.15</v>
      </c>
      <c r="Y129" s="1221">
        <v>0.2</v>
      </c>
      <c r="Z129" s="1221">
        <v>0.2</v>
      </c>
      <c r="AA129" s="1221">
        <v>0.15</v>
      </c>
      <c r="AB129" s="1221">
        <v>0.2</v>
      </c>
      <c r="AC129" s="1221">
        <v>0.2</v>
      </c>
      <c r="AD129" s="1147"/>
      <c r="AE129" s="1147"/>
      <c r="AF129" s="1147"/>
      <c r="AG129" s="1147"/>
      <c r="AH129" s="1147"/>
      <c r="AI129" s="1147"/>
      <c r="AJ129" s="1147"/>
      <c r="AK129" s="1147"/>
      <c r="AL129" s="1147"/>
      <c r="AM129" s="1147"/>
      <c r="AN129" s="1147"/>
      <c r="AO129" s="1147"/>
      <c r="AP129" s="1147"/>
      <c r="AQ129" s="1147"/>
      <c r="AR129" s="1147"/>
      <c r="AS129" s="1147"/>
      <c r="AT129" s="1147"/>
      <c r="AU129" s="1147"/>
      <c r="AV129" s="1147"/>
      <c r="AW129" s="1147"/>
      <c r="AX129" s="1147"/>
      <c r="AY129" s="1147"/>
      <c r="AZ129" s="1147"/>
      <c r="BA129" s="1147"/>
      <c r="BB129" s="1147"/>
      <c r="BC129" s="1147"/>
      <c r="BD129" s="1147"/>
      <c r="BE129" s="1147"/>
      <c r="BF129" s="1147"/>
      <c r="BG129" s="1147"/>
      <c r="BH129" s="1147"/>
      <c r="BI129" s="1147"/>
      <c r="BJ129" s="1147"/>
      <c r="BK129" s="1147"/>
      <c r="BL129" s="1147"/>
      <c r="BM129" s="1147"/>
      <c r="BN129" s="1147"/>
      <c r="BO129" s="1147"/>
      <c r="BP129" s="1147"/>
      <c r="BQ129" s="1147"/>
      <c r="BR129" s="1147"/>
      <c r="BS129" s="1147"/>
      <c r="BT129" s="1147"/>
      <c r="BU129" s="1147"/>
      <c r="BV129" s="1147"/>
      <c r="BW129" s="1147"/>
      <c r="BX129" s="1147"/>
      <c r="BY129" s="1147"/>
      <c r="BZ129" s="1147"/>
      <c r="CA129" s="1147"/>
      <c r="CB129" s="1147"/>
      <c r="CC129" s="1147"/>
      <c r="CD129" s="1147"/>
      <c r="CE129" s="1147"/>
      <c r="CF129" s="1147"/>
      <c r="CG129" s="1147"/>
      <c r="CH129" s="1147"/>
      <c r="CI129" s="1147"/>
      <c r="CJ129" s="1147"/>
      <c r="CK129" s="1146"/>
    </row>
    <row r="130" spans="1:89" ht="15" x14ac:dyDescent="0.25">
      <c r="A130" s="1146"/>
      <c r="B130" s="1146"/>
      <c r="C130" s="1146"/>
      <c r="D130" s="1146"/>
      <c r="E130" s="1146"/>
      <c r="F130" s="1146"/>
      <c r="G130" s="1146"/>
      <c r="H130" s="1146"/>
      <c r="I130" s="1146"/>
      <c r="J130" s="1146"/>
      <c r="K130" s="1146"/>
      <c r="L130" s="1146"/>
      <c r="M130" s="1146"/>
      <c r="N130" s="1146"/>
      <c r="O130" s="1146"/>
      <c r="P130" s="1146"/>
      <c r="Q130" s="1146"/>
      <c r="R130" s="1146"/>
      <c r="S130" s="1146"/>
      <c r="T130" s="1147"/>
      <c r="U130" s="1147" t="s">
        <v>366</v>
      </c>
      <c r="V130" s="1221">
        <v>0.25</v>
      </c>
      <c r="W130" s="1221">
        <v>0.15</v>
      </c>
      <c r="X130" s="1221">
        <v>0.15</v>
      </c>
      <c r="Y130" s="1221">
        <v>0.25</v>
      </c>
      <c r="Z130" s="1221">
        <v>0.25</v>
      </c>
      <c r="AA130" s="1221">
        <v>0.15</v>
      </c>
      <c r="AB130" s="1221">
        <v>0.05</v>
      </c>
      <c r="AC130" s="1221">
        <v>0.05</v>
      </c>
      <c r="AD130" s="1147"/>
      <c r="AE130" s="1147"/>
      <c r="AF130" s="1147"/>
      <c r="AG130" s="1147"/>
      <c r="AH130" s="1147"/>
      <c r="AI130" s="1147"/>
      <c r="AJ130" s="1147"/>
      <c r="AK130" s="1147"/>
      <c r="AL130" s="1147"/>
      <c r="AM130" s="1147"/>
      <c r="AN130" s="1147"/>
      <c r="AO130" s="1147"/>
      <c r="AP130" s="1147"/>
      <c r="AQ130" s="1147"/>
      <c r="AR130" s="1147"/>
      <c r="AS130" s="1147"/>
      <c r="AT130" s="1147"/>
      <c r="AU130" s="1147"/>
      <c r="AV130" s="1147"/>
      <c r="AW130" s="1147"/>
      <c r="AX130" s="1147"/>
      <c r="AY130" s="1147">
        <f>26/22</f>
        <v>1.1818181818181819</v>
      </c>
      <c r="AZ130" s="1147"/>
      <c r="BA130" s="1147"/>
      <c r="BB130" s="1147"/>
      <c r="BC130" s="1147"/>
      <c r="BD130" s="1147"/>
      <c r="BE130" s="1147"/>
      <c r="BF130" s="1147"/>
      <c r="BG130" s="1147"/>
      <c r="BH130" s="1147"/>
      <c r="BI130" s="1147"/>
      <c r="BJ130" s="1147"/>
      <c r="BK130" s="1147"/>
      <c r="BL130" s="1147"/>
      <c r="BM130" s="1147"/>
      <c r="BN130" s="1147"/>
      <c r="BO130" s="1147"/>
      <c r="BP130" s="1147"/>
      <c r="BQ130" s="1147"/>
      <c r="BR130" s="1147"/>
      <c r="BS130" s="1147"/>
      <c r="BT130" s="1147"/>
      <c r="BU130" s="1147"/>
      <c r="BV130" s="1147"/>
      <c r="BW130" s="1147"/>
      <c r="BX130" s="1147"/>
      <c r="BY130" s="1147"/>
      <c r="BZ130" s="1147"/>
      <c r="CA130" s="1147"/>
      <c r="CB130" s="1147"/>
      <c r="CC130" s="1147"/>
      <c r="CD130" s="1147"/>
      <c r="CE130" s="1147"/>
      <c r="CF130" s="1147"/>
      <c r="CG130" s="1147"/>
      <c r="CH130" s="1147"/>
      <c r="CI130" s="1147"/>
      <c r="CJ130" s="1147"/>
      <c r="CK130" s="1146"/>
    </row>
    <row r="131" spans="1:89" ht="15" x14ac:dyDescent="0.25">
      <c r="A131" s="1146"/>
      <c r="B131" s="1146"/>
      <c r="C131" s="1146"/>
      <c r="D131" s="1146"/>
      <c r="E131" s="1146"/>
      <c r="F131" s="1146"/>
      <c r="G131" s="1146"/>
      <c r="H131" s="1146"/>
      <c r="I131" s="1146"/>
      <c r="J131" s="1146"/>
      <c r="K131" s="1146"/>
      <c r="L131" s="1146"/>
      <c r="M131" s="1146"/>
      <c r="N131" s="1146"/>
      <c r="O131" s="1146"/>
      <c r="P131" s="1146"/>
      <c r="Q131" s="1146"/>
      <c r="R131" s="1146"/>
      <c r="S131" s="1146"/>
      <c r="T131" s="1147"/>
      <c r="U131" s="1147" t="s">
        <v>365</v>
      </c>
      <c r="V131" s="1221">
        <v>0.25</v>
      </c>
      <c r="W131" s="1221">
        <v>0.18</v>
      </c>
      <c r="X131" s="1221">
        <v>0.18</v>
      </c>
      <c r="Y131" s="1221">
        <v>0.1</v>
      </c>
      <c r="Z131" s="1221">
        <v>0.1</v>
      </c>
      <c r="AA131" s="1221">
        <v>0.1</v>
      </c>
      <c r="AB131" s="1221">
        <v>0.1</v>
      </c>
      <c r="AC131" s="1221">
        <v>0.1</v>
      </c>
      <c r="AD131" s="1147"/>
      <c r="AE131" s="1147"/>
      <c r="AF131" s="1147"/>
      <c r="AG131" s="1147"/>
      <c r="AH131" s="1147"/>
      <c r="AI131" s="1147"/>
      <c r="AJ131" s="1147"/>
      <c r="AK131" s="1147"/>
      <c r="AL131" s="1147"/>
      <c r="AM131" s="1147"/>
      <c r="AN131" s="1147"/>
      <c r="AO131" s="1147"/>
      <c r="AP131" s="1147"/>
      <c r="AQ131" s="1147"/>
      <c r="AR131" s="1147"/>
      <c r="AS131" s="1147"/>
      <c r="AT131" s="1147"/>
      <c r="AU131" s="1147"/>
      <c r="AV131" s="1147"/>
      <c r="AW131" s="1147"/>
      <c r="AX131" s="1147"/>
      <c r="AY131" s="1147"/>
      <c r="AZ131" s="1147"/>
      <c r="BA131" s="1147"/>
      <c r="BB131" s="1147"/>
      <c r="BC131" s="1147"/>
      <c r="BD131" s="1147"/>
      <c r="BE131" s="1147"/>
      <c r="BF131" s="1147"/>
      <c r="BG131" s="1147"/>
      <c r="BH131" s="1147"/>
      <c r="BI131" s="1147"/>
      <c r="BJ131" s="1147"/>
      <c r="BK131" s="1147"/>
      <c r="BL131" s="1147"/>
      <c r="BM131" s="1147"/>
      <c r="BN131" s="1147"/>
      <c r="BO131" s="1147"/>
      <c r="BP131" s="1147"/>
      <c r="BQ131" s="1147"/>
      <c r="BR131" s="1147"/>
      <c r="BS131" s="1147"/>
      <c r="BT131" s="1147"/>
      <c r="BU131" s="1147"/>
      <c r="BV131" s="1147"/>
      <c r="BW131" s="1147"/>
      <c r="BX131" s="1147"/>
      <c r="BY131" s="1147"/>
      <c r="BZ131" s="1147"/>
      <c r="CA131" s="1147"/>
      <c r="CB131" s="1147"/>
      <c r="CC131" s="1147"/>
      <c r="CD131" s="1147"/>
      <c r="CE131" s="1147"/>
      <c r="CF131" s="1147"/>
      <c r="CG131" s="1147"/>
      <c r="CH131" s="1147"/>
      <c r="CI131" s="1147"/>
      <c r="CJ131" s="1147"/>
      <c r="CK131" s="1146"/>
    </row>
    <row r="132" spans="1:89" ht="15" x14ac:dyDescent="0.25">
      <c r="A132" s="1146"/>
      <c r="B132" s="1146"/>
      <c r="C132" s="1146"/>
      <c r="D132" s="1146"/>
      <c r="E132" s="1146"/>
      <c r="F132" s="1146"/>
      <c r="G132" s="1146"/>
      <c r="H132" s="1146"/>
      <c r="I132" s="1146"/>
      <c r="J132" s="1146"/>
      <c r="K132" s="1146"/>
      <c r="L132" s="1146"/>
      <c r="M132" s="1146"/>
      <c r="N132" s="1146"/>
      <c r="O132" s="1146"/>
      <c r="P132" s="1146"/>
      <c r="Q132" s="1146"/>
      <c r="R132" s="1146"/>
      <c r="S132" s="1146"/>
      <c r="T132" s="1147"/>
      <c r="U132" s="1147" t="s">
        <v>364</v>
      </c>
      <c r="V132" s="1221">
        <v>0.25</v>
      </c>
      <c r="W132" s="1221">
        <v>0.18</v>
      </c>
      <c r="X132" s="1221">
        <v>0.18</v>
      </c>
      <c r="Y132" s="1221">
        <v>0.1</v>
      </c>
      <c r="Z132" s="1221">
        <v>0.1</v>
      </c>
      <c r="AA132" s="1221">
        <v>0.1</v>
      </c>
      <c r="AB132" s="1221">
        <v>0.1</v>
      </c>
      <c r="AC132" s="1221">
        <v>0.1</v>
      </c>
      <c r="AD132" s="1147"/>
      <c r="AE132" s="1147"/>
      <c r="AF132" s="1147"/>
      <c r="AG132" s="1147"/>
      <c r="AH132" s="1147"/>
      <c r="AI132" s="1147"/>
      <c r="AJ132" s="1147"/>
      <c r="AK132" s="1147"/>
      <c r="AL132" s="1147"/>
      <c r="AM132" s="1147"/>
      <c r="AN132" s="1147"/>
      <c r="AO132" s="1147"/>
      <c r="AP132" s="1147"/>
      <c r="AQ132" s="1147"/>
      <c r="AR132" s="1147"/>
      <c r="AS132" s="1147"/>
      <c r="AT132" s="1147"/>
      <c r="AU132" s="1147"/>
      <c r="AV132" s="1147"/>
      <c r="AW132" s="1147"/>
      <c r="AX132" s="1147"/>
      <c r="AY132" s="1147"/>
      <c r="AZ132" s="1147"/>
      <c r="BA132" s="1147"/>
      <c r="BB132" s="1147"/>
      <c r="BC132" s="1147"/>
      <c r="BD132" s="1147"/>
      <c r="BE132" s="1147"/>
      <c r="BF132" s="1147"/>
      <c r="BG132" s="1147"/>
      <c r="BH132" s="1147"/>
      <c r="BI132" s="1147"/>
      <c r="BJ132" s="1147"/>
      <c r="BK132" s="1147"/>
      <c r="BL132" s="1147"/>
      <c r="BM132" s="1147"/>
      <c r="BN132" s="1147"/>
      <c r="BO132" s="1147"/>
      <c r="BP132" s="1147"/>
      <c r="BQ132" s="1147"/>
      <c r="BR132" s="1147"/>
      <c r="BS132" s="1147"/>
      <c r="BT132" s="1147"/>
      <c r="BU132" s="1147"/>
      <c r="BV132" s="1147"/>
      <c r="BW132" s="1147"/>
      <c r="BX132" s="1147"/>
      <c r="BY132" s="1147"/>
      <c r="BZ132" s="1147"/>
      <c r="CA132" s="1147"/>
      <c r="CB132" s="1147"/>
      <c r="CC132" s="1147"/>
      <c r="CD132" s="1147"/>
      <c r="CE132" s="1147"/>
      <c r="CF132" s="1147"/>
      <c r="CG132" s="1147"/>
      <c r="CH132" s="1147"/>
      <c r="CI132" s="1147"/>
      <c r="CJ132" s="1147"/>
      <c r="CK132" s="1146"/>
    </row>
    <row r="133" spans="1:89" ht="15" x14ac:dyDescent="0.25">
      <c r="A133" s="1146"/>
      <c r="B133" s="1146"/>
      <c r="C133" s="1146"/>
      <c r="D133" s="1146"/>
      <c r="E133" s="1146"/>
      <c r="F133" s="1146"/>
      <c r="G133" s="1146"/>
      <c r="H133" s="1146"/>
      <c r="I133" s="1146"/>
      <c r="J133" s="1146"/>
      <c r="K133" s="1146"/>
      <c r="L133" s="1146"/>
      <c r="M133" s="1146"/>
      <c r="N133" s="1146"/>
      <c r="O133" s="1146"/>
      <c r="P133" s="1146"/>
      <c r="Q133" s="1146"/>
      <c r="R133" s="1146"/>
      <c r="S133" s="1146"/>
      <c r="T133" s="1147"/>
      <c r="U133" s="1147" t="s">
        <v>363</v>
      </c>
      <c r="V133" s="1221">
        <v>0.25</v>
      </c>
      <c r="W133" s="1221">
        <v>0.25</v>
      </c>
      <c r="X133" s="1221">
        <v>0.25</v>
      </c>
      <c r="Y133" s="1221">
        <v>0.25</v>
      </c>
      <c r="Z133" s="1221">
        <v>0.25</v>
      </c>
      <c r="AA133" s="1221">
        <v>0.25</v>
      </c>
      <c r="AB133" s="1221">
        <v>0.15</v>
      </c>
      <c r="AC133" s="1221">
        <v>0.15</v>
      </c>
      <c r="AD133" s="1147"/>
      <c r="AE133" s="1147"/>
      <c r="AF133" s="1147"/>
      <c r="AG133" s="1147"/>
      <c r="AH133" s="1147"/>
      <c r="AI133" s="1147"/>
      <c r="AJ133" s="1147"/>
      <c r="AK133" s="1147"/>
      <c r="AL133" s="1147"/>
      <c r="AM133" s="1147"/>
      <c r="AN133" s="1147"/>
      <c r="AO133" s="1147"/>
      <c r="AP133" s="1147"/>
      <c r="AQ133" s="1147"/>
      <c r="AR133" s="1147"/>
      <c r="AS133" s="1147"/>
      <c r="AT133" s="1147"/>
      <c r="AU133" s="1147"/>
      <c r="AV133" s="1147"/>
      <c r="AW133" s="1147"/>
      <c r="AX133" s="1147"/>
      <c r="AY133" s="1147"/>
      <c r="AZ133" s="1147"/>
      <c r="BA133" s="1147"/>
      <c r="BB133" s="1147"/>
      <c r="BC133" s="1147"/>
      <c r="BD133" s="1147"/>
      <c r="BE133" s="1147"/>
      <c r="BF133" s="1147"/>
      <c r="BG133" s="1147"/>
      <c r="BH133" s="1147"/>
      <c r="BI133" s="1147"/>
      <c r="BJ133" s="1147"/>
      <c r="BK133" s="1147"/>
      <c r="BL133" s="1147"/>
      <c r="BM133" s="1147"/>
      <c r="BN133" s="1147"/>
      <c r="BO133" s="1147"/>
      <c r="BP133" s="1147"/>
      <c r="BQ133" s="1147"/>
      <c r="BR133" s="1147"/>
      <c r="BS133" s="1147"/>
      <c r="BT133" s="1147"/>
      <c r="BU133" s="1147"/>
      <c r="BV133" s="1147"/>
      <c r="BW133" s="1147"/>
      <c r="BX133" s="1147"/>
      <c r="BY133" s="1147"/>
      <c r="BZ133" s="1147"/>
      <c r="CA133" s="1147"/>
      <c r="CB133" s="1147"/>
      <c r="CC133" s="1147"/>
      <c r="CD133" s="1147"/>
      <c r="CE133" s="1147"/>
      <c r="CF133" s="1147"/>
      <c r="CG133" s="1147"/>
      <c r="CH133" s="1147"/>
      <c r="CI133" s="1147"/>
      <c r="CJ133" s="1147"/>
      <c r="CK133" s="1146"/>
    </row>
    <row r="134" spans="1:89" ht="15" x14ac:dyDescent="0.25">
      <c r="A134" s="1146"/>
      <c r="B134" s="1146"/>
      <c r="C134" s="1146"/>
      <c r="D134" s="1146"/>
      <c r="E134" s="1146"/>
      <c r="F134" s="1146"/>
      <c r="G134" s="1146"/>
      <c r="H134" s="1146"/>
      <c r="I134" s="1146"/>
      <c r="J134" s="1146"/>
      <c r="K134" s="1146"/>
      <c r="L134" s="1146"/>
      <c r="M134" s="1146"/>
      <c r="N134" s="1146"/>
      <c r="O134" s="1146"/>
      <c r="P134" s="1146"/>
      <c r="Q134" s="1146"/>
      <c r="R134" s="1146"/>
      <c r="S134" s="1146"/>
      <c r="T134" s="1147"/>
      <c r="U134" s="1147" t="s">
        <v>379</v>
      </c>
      <c r="V134" s="1221">
        <v>0.02</v>
      </c>
      <c r="W134" s="1221">
        <v>7.0000000000000007E-2</v>
      </c>
      <c r="X134" s="1221">
        <v>7.0000000000000007E-2</v>
      </c>
      <c r="Y134" s="1221">
        <v>0.17</v>
      </c>
      <c r="Z134" s="1221">
        <v>0.17</v>
      </c>
      <c r="AA134" s="1221">
        <v>0.25</v>
      </c>
      <c r="AB134" s="1221">
        <v>0.05</v>
      </c>
      <c r="AC134" s="1221">
        <v>0.05</v>
      </c>
      <c r="AD134" s="1147"/>
      <c r="AE134" s="1147"/>
      <c r="AF134" s="1147"/>
      <c r="AG134" s="1147"/>
      <c r="AH134" s="1147"/>
      <c r="AI134" s="1147"/>
      <c r="AJ134" s="1147"/>
      <c r="AK134" s="1147"/>
      <c r="AL134" s="1147"/>
      <c r="AM134" s="1147"/>
      <c r="AN134" s="1147"/>
      <c r="AO134" s="1147"/>
      <c r="AP134" s="1147"/>
      <c r="AQ134" s="1147"/>
      <c r="AR134" s="1147"/>
      <c r="AS134" s="1147"/>
      <c r="AT134" s="1147"/>
      <c r="AU134" s="1147"/>
      <c r="AV134" s="1147"/>
      <c r="AW134" s="1147"/>
      <c r="AX134" s="1147"/>
      <c r="AY134" s="1147"/>
      <c r="AZ134" s="1147"/>
      <c r="BA134" s="1147"/>
      <c r="BB134" s="1147"/>
      <c r="BC134" s="1147"/>
      <c r="BD134" s="1147"/>
      <c r="BE134" s="1147"/>
      <c r="BF134" s="1147"/>
      <c r="BG134" s="1147"/>
      <c r="BH134" s="1147"/>
      <c r="BI134" s="1147"/>
      <c r="BJ134" s="1147"/>
      <c r="BK134" s="1147"/>
      <c r="BL134" s="1147"/>
      <c r="BM134" s="1147"/>
      <c r="BN134" s="1147"/>
      <c r="BO134" s="1147"/>
      <c r="BP134" s="1147"/>
      <c r="BQ134" s="1147"/>
      <c r="BR134" s="1147"/>
      <c r="BS134" s="1147"/>
      <c r="BT134" s="1147"/>
      <c r="BU134" s="1147"/>
      <c r="BV134" s="1147"/>
      <c r="BW134" s="1147"/>
      <c r="BX134" s="1147"/>
      <c r="BY134" s="1147"/>
      <c r="BZ134" s="1147"/>
      <c r="CA134" s="1147"/>
      <c r="CB134" s="1147"/>
      <c r="CC134" s="1147"/>
      <c r="CD134" s="1147"/>
      <c r="CE134" s="1147"/>
      <c r="CF134" s="1147"/>
      <c r="CG134" s="1147"/>
      <c r="CH134" s="1147"/>
      <c r="CI134" s="1147"/>
      <c r="CJ134" s="1147"/>
      <c r="CK134" s="1146"/>
    </row>
    <row r="135" spans="1:89" ht="15" x14ac:dyDescent="0.25">
      <c r="A135" s="1146"/>
      <c r="B135" s="1146"/>
      <c r="C135" s="1146"/>
      <c r="D135" s="1146"/>
      <c r="E135" s="1146"/>
      <c r="F135" s="1146"/>
      <c r="G135" s="1146"/>
      <c r="H135" s="1146"/>
      <c r="I135" s="1146"/>
      <c r="J135" s="1146"/>
      <c r="K135" s="1146"/>
      <c r="L135" s="1146"/>
      <c r="M135" s="1146"/>
      <c r="N135" s="1146"/>
      <c r="O135" s="1146"/>
      <c r="P135" s="1146"/>
      <c r="Q135" s="1146"/>
      <c r="R135" s="1146"/>
      <c r="S135" s="1146"/>
      <c r="T135" s="1147"/>
      <c r="U135" s="1147" t="s">
        <v>380</v>
      </c>
      <c r="V135" s="1221">
        <v>0.02</v>
      </c>
      <c r="W135" s="1221">
        <v>7.0000000000000007E-2</v>
      </c>
      <c r="X135" s="1221">
        <v>7.0000000000000007E-2</v>
      </c>
      <c r="Y135" s="1221">
        <v>0.06</v>
      </c>
      <c r="Z135" s="1221">
        <v>0.06</v>
      </c>
      <c r="AA135" s="1221">
        <v>0.22</v>
      </c>
      <c r="AB135" s="1221">
        <v>0.04</v>
      </c>
      <c r="AC135" s="1221">
        <v>0.05</v>
      </c>
      <c r="AD135" s="1147"/>
      <c r="AE135" s="1147"/>
      <c r="AF135" s="1147"/>
      <c r="AG135" s="1147"/>
      <c r="AH135" s="1147"/>
      <c r="AI135" s="1147"/>
      <c r="AJ135" s="1147"/>
      <c r="AK135" s="1147"/>
      <c r="AL135" s="1147"/>
      <c r="AM135" s="1147"/>
      <c r="AN135" s="1147"/>
      <c r="AO135" s="1147"/>
      <c r="AP135" s="1147"/>
      <c r="AQ135" s="1147"/>
      <c r="AR135" s="1147"/>
      <c r="AS135" s="1147"/>
      <c r="AT135" s="1147"/>
      <c r="AU135" s="1147"/>
      <c r="AV135" s="1147"/>
      <c r="AW135" s="1147"/>
      <c r="AX135" s="1147"/>
      <c r="AY135" s="1147"/>
      <c r="AZ135" s="1147"/>
      <c r="BA135" s="1147"/>
      <c r="BB135" s="1147"/>
      <c r="BC135" s="1147"/>
      <c r="BD135" s="1147"/>
      <c r="BE135" s="1147"/>
      <c r="BF135" s="1147"/>
      <c r="BG135" s="1147"/>
      <c r="BH135" s="1147"/>
      <c r="BI135" s="1147"/>
      <c r="BJ135" s="1147"/>
      <c r="BK135" s="1147"/>
      <c r="BL135" s="1147"/>
      <c r="BM135" s="1147"/>
      <c r="BN135" s="1147"/>
      <c r="BO135" s="1147"/>
      <c r="BP135" s="1147"/>
      <c r="BQ135" s="1147"/>
      <c r="BR135" s="1147"/>
      <c r="BS135" s="1147"/>
      <c r="BT135" s="1147"/>
      <c r="BU135" s="1147"/>
      <c r="BV135" s="1147"/>
      <c r="BW135" s="1147"/>
      <c r="BX135" s="1147"/>
      <c r="BY135" s="1147"/>
      <c r="BZ135" s="1147"/>
      <c r="CA135" s="1147"/>
      <c r="CB135" s="1147"/>
      <c r="CC135" s="1147"/>
      <c r="CD135" s="1147"/>
      <c r="CE135" s="1147"/>
      <c r="CF135" s="1147"/>
      <c r="CG135" s="1147"/>
      <c r="CH135" s="1147"/>
      <c r="CI135" s="1147"/>
      <c r="CJ135" s="1147"/>
      <c r="CK135" s="1146"/>
    </row>
    <row r="136" spans="1:89" ht="15" x14ac:dyDescent="0.25">
      <c r="A136" s="1146"/>
      <c r="B136" s="1146"/>
      <c r="C136" s="1146"/>
      <c r="D136" s="1146"/>
      <c r="E136" s="1146"/>
      <c r="F136" s="1146"/>
      <c r="G136" s="1146"/>
      <c r="H136" s="1146"/>
      <c r="I136" s="1146"/>
      <c r="J136" s="1146"/>
      <c r="K136" s="1146"/>
      <c r="L136" s="1146"/>
      <c r="M136" s="1146"/>
      <c r="N136" s="1146"/>
      <c r="O136" s="1146"/>
      <c r="P136" s="1146"/>
      <c r="Q136" s="1146"/>
      <c r="R136" s="1146"/>
      <c r="S136" s="1146"/>
      <c r="T136" s="1147"/>
      <c r="U136" s="1147" t="s">
        <v>381</v>
      </c>
      <c r="V136" s="1221">
        <v>0.02</v>
      </c>
      <c r="W136" s="1221">
        <v>0.02</v>
      </c>
      <c r="X136" s="1221">
        <v>0.06</v>
      </c>
      <c r="Y136" s="1221">
        <v>0.02</v>
      </c>
      <c r="Z136" s="1221">
        <v>0.02</v>
      </c>
      <c r="AA136" s="1221">
        <v>0.15</v>
      </c>
      <c r="AB136" s="1221">
        <v>0.06</v>
      </c>
      <c r="AC136" s="1221">
        <v>0.08</v>
      </c>
      <c r="AD136" s="1147"/>
      <c r="AE136" s="1147"/>
      <c r="AF136" s="1147"/>
      <c r="AG136" s="1147"/>
      <c r="AH136" s="1147"/>
      <c r="AI136" s="1147"/>
      <c r="AJ136" s="1147"/>
      <c r="AK136" s="1147"/>
      <c r="AL136" s="1147"/>
      <c r="AM136" s="1147"/>
      <c r="AN136" s="1147"/>
      <c r="AO136" s="1147"/>
      <c r="AP136" s="1147"/>
      <c r="AQ136" s="1147"/>
      <c r="AR136" s="1147"/>
      <c r="AS136" s="1147"/>
      <c r="AT136" s="1147"/>
      <c r="AU136" s="1147"/>
      <c r="AV136" s="1147"/>
      <c r="AW136" s="1147"/>
      <c r="AX136" s="1147"/>
      <c r="AY136" s="1147"/>
      <c r="AZ136" s="1147"/>
      <c r="BA136" s="1147"/>
      <c r="BB136" s="1147"/>
      <c r="BC136" s="1147"/>
      <c r="BD136" s="1147"/>
      <c r="BE136" s="1147"/>
      <c r="BF136" s="1147"/>
      <c r="BG136" s="1147"/>
      <c r="BH136" s="1147"/>
      <c r="BI136" s="1147"/>
      <c r="BJ136" s="1147"/>
      <c r="BK136" s="1147"/>
      <c r="BL136" s="1147"/>
      <c r="BM136" s="1147"/>
      <c r="BN136" s="1147"/>
      <c r="BO136" s="1147"/>
      <c r="BP136" s="1147"/>
      <c r="BQ136" s="1147"/>
      <c r="BR136" s="1147"/>
      <c r="BS136" s="1147"/>
      <c r="BT136" s="1147"/>
      <c r="BU136" s="1147"/>
      <c r="BV136" s="1147"/>
      <c r="BW136" s="1147"/>
      <c r="BX136" s="1147"/>
      <c r="BY136" s="1147"/>
      <c r="BZ136" s="1147"/>
      <c r="CA136" s="1147"/>
      <c r="CB136" s="1147"/>
      <c r="CC136" s="1147"/>
      <c r="CD136" s="1147"/>
      <c r="CE136" s="1147"/>
      <c r="CF136" s="1147"/>
      <c r="CG136" s="1147"/>
      <c r="CH136" s="1147"/>
      <c r="CI136" s="1147"/>
      <c r="CJ136" s="1147"/>
      <c r="CK136" s="1146"/>
    </row>
    <row r="137" spans="1:89" ht="15" x14ac:dyDescent="0.25">
      <c r="A137" s="1146"/>
      <c r="B137" s="1146"/>
      <c r="C137" s="1146"/>
      <c r="D137" s="1146"/>
      <c r="E137" s="1146"/>
      <c r="F137" s="1146"/>
      <c r="G137" s="1146"/>
      <c r="H137" s="1146"/>
      <c r="I137" s="1146"/>
      <c r="J137" s="1146"/>
      <c r="K137" s="1146"/>
      <c r="L137" s="1146"/>
      <c r="M137" s="1146"/>
      <c r="N137" s="1146"/>
      <c r="O137" s="1146"/>
      <c r="P137" s="1146"/>
      <c r="Q137" s="1146"/>
      <c r="R137" s="1146"/>
      <c r="S137" s="1146"/>
      <c r="T137" s="1147"/>
      <c r="U137" s="1147" t="s">
        <v>371</v>
      </c>
      <c r="V137" s="1221">
        <v>0.42</v>
      </c>
      <c r="W137" s="1221">
        <v>0.5</v>
      </c>
      <c r="X137" s="1221">
        <v>0.5</v>
      </c>
      <c r="Y137" s="1221">
        <v>0.42</v>
      </c>
      <c r="Z137" s="1221">
        <v>0.42</v>
      </c>
      <c r="AA137" s="1221">
        <v>0.5</v>
      </c>
      <c r="AB137" s="1221">
        <v>0.7</v>
      </c>
      <c r="AC137" s="1221">
        <v>0.7</v>
      </c>
      <c r="AD137" s="1147"/>
      <c r="AE137" s="1147"/>
      <c r="AF137" s="1147"/>
      <c r="AG137" s="1147"/>
      <c r="AH137" s="1147"/>
      <c r="AI137" s="1147"/>
      <c r="AJ137" s="1147"/>
      <c r="AK137" s="1147"/>
      <c r="AL137" s="1147"/>
      <c r="AM137" s="1147"/>
      <c r="AN137" s="1147"/>
      <c r="AO137" s="1147"/>
      <c r="AP137" s="1147"/>
      <c r="AQ137" s="1147"/>
      <c r="AR137" s="1147"/>
      <c r="AS137" s="1147"/>
      <c r="AT137" s="1147"/>
      <c r="AU137" s="1147"/>
      <c r="AV137" s="1147"/>
      <c r="AW137" s="1147"/>
      <c r="AX137" s="1147"/>
      <c r="AY137" s="1147"/>
      <c r="AZ137" s="1147"/>
      <c r="BA137" s="1147"/>
      <c r="BB137" s="1147"/>
      <c r="BC137" s="1147"/>
      <c r="BD137" s="1147"/>
      <c r="BE137" s="1147"/>
      <c r="BF137" s="1147"/>
      <c r="BG137" s="1147"/>
      <c r="BH137" s="1147"/>
      <c r="BI137" s="1147"/>
      <c r="BJ137" s="1147"/>
      <c r="BK137" s="1147"/>
      <c r="BL137" s="1147"/>
      <c r="BM137" s="1147"/>
      <c r="BN137" s="1147"/>
      <c r="BO137" s="1147"/>
      <c r="BP137" s="1147"/>
      <c r="BQ137" s="1147"/>
      <c r="BR137" s="1147"/>
      <c r="BS137" s="1147"/>
      <c r="BT137" s="1147"/>
      <c r="BU137" s="1147"/>
      <c r="BV137" s="1147"/>
      <c r="BW137" s="1147"/>
      <c r="BX137" s="1147"/>
      <c r="BY137" s="1147"/>
      <c r="BZ137" s="1147"/>
      <c r="CA137" s="1147"/>
      <c r="CB137" s="1147"/>
      <c r="CC137" s="1147"/>
      <c r="CD137" s="1147"/>
      <c r="CE137" s="1147"/>
      <c r="CF137" s="1147"/>
      <c r="CG137" s="1147"/>
      <c r="CH137" s="1147"/>
      <c r="CI137" s="1147"/>
      <c r="CJ137" s="1147"/>
      <c r="CK137" s="1146"/>
    </row>
    <row r="138" spans="1:89" ht="15" x14ac:dyDescent="0.25">
      <c r="A138" s="1146"/>
      <c r="B138" s="1146"/>
      <c r="C138" s="1146"/>
      <c r="D138" s="1146"/>
      <c r="E138" s="1146"/>
      <c r="F138" s="1146"/>
      <c r="G138" s="1146"/>
      <c r="H138" s="1146"/>
      <c r="I138" s="1146"/>
      <c r="J138" s="1146"/>
      <c r="K138" s="1146"/>
      <c r="L138" s="1146"/>
      <c r="M138" s="1146"/>
      <c r="N138" s="1146"/>
      <c r="O138" s="1146"/>
      <c r="P138" s="1146"/>
      <c r="Q138" s="1146"/>
      <c r="R138" s="1146"/>
      <c r="S138" s="1146"/>
      <c r="T138" s="1147"/>
      <c r="U138" s="1147" t="s">
        <v>372</v>
      </c>
      <c r="V138" s="1221">
        <v>0.08</v>
      </c>
      <c r="W138" s="1221">
        <v>0.15</v>
      </c>
      <c r="X138" s="1221">
        <v>0.18</v>
      </c>
      <c r="Y138" s="1221">
        <v>0.06</v>
      </c>
      <c r="Z138" s="1221">
        <v>0.06</v>
      </c>
      <c r="AA138" s="1221">
        <v>0.3</v>
      </c>
      <c r="AB138" s="1221">
        <v>0.08</v>
      </c>
      <c r="AC138" s="1221">
        <v>0.5</v>
      </c>
      <c r="AD138" s="1147"/>
      <c r="AE138" s="1147"/>
      <c r="AF138" s="1147"/>
      <c r="AG138" s="1147"/>
      <c r="AH138" s="1147"/>
      <c r="AI138" s="1147"/>
      <c r="AJ138" s="1147"/>
      <c r="AK138" s="1147"/>
      <c r="AL138" s="1147"/>
      <c r="AM138" s="1147"/>
      <c r="AN138" s="1147"/>
      <c r="AO138" s="1147"/>
      <c r="AP138" s="1147"/>
      <c r="AQ138" s="1147"/>
      <c r="AR138" s="1147"/>
      <c r="AS138" s="1147"/>
      <c r="AT138" s="1147"/>
      <c r="AU138" s="1147"/>
      <c r="AV138" s="1147"/>
      <c r="AW138" s="1147"/>
      <c r="AX138" s="1147"/>
      <c r="AY138" s="1147"/>
      <c r="AZ138" s="1147"/>
      <c r="BA138" s="1147"/>
      <c r="BB138" s="1147"/>
      <c r="BC138" s="1147"/>
      <c r="BD138" s="1147"/>
      <c r="BE138" s="1147"/>
      <c r="BF138" s="1147"/>
      <c r="BG138" s="1147"/>
      <c r="BH138" s="1147"/>
      <c r="BI138" s="1147"/>
      <c r="BJ138" s="1147"/>
      <c r="BK138" s="1147"/>
      <c r="BL138" s="1147"/>
      <c r="BM138" s="1147"/>
      <c r="BN138" s="1147"/>
      <c r="BO138" s="1147"/>
      <c r="BP138" s="1147"/>
      <c r="BQ138" s="1147"/>
      <c r="BR138" s="1147"/>
      <c r="BS138" s="1147"/>
      <c r="BT138" s="1147"/>
      <c r="BU138" s="1147"/>
      <c r="BV138" s="1147"/>
      <c r="BW138" s="1147"/>
      <c r="BX138" s="1147"/>
      <c r="BY138" s="1147"/>
      <c r="BZ138" s="1147"/>
      <c r="CA138" s="1147"/>
      <c r="CB138" s="1147"/>
      <c r="CC138" s="1147"/>
      <c r="CD138" s="1147"/>
      <c r="CE138" s="1147"/>
      <c r="CF138" s="1147"/>
      <c r="CG138" s="1147"/>
      <c r="CH138" s="1147"/>
      <c r="CI138" s="1147"/>
      <c r="CJ138" s="1147"/>
      <c r="CK138" s="1146"/>
    </row>
    <row r="139" spans="1:89" ht="15" x14ac:dyDescent="0.25">
      <c r="A139" s="1146"/>
      <c r="B139" s="1146"/>
      <c r="C139" s="1146"/>
      <c r="D139" s="1146"/>
      <c r="E139" s="1146"/>
      <c r="F139" s="1146"/>
      <c r="G139" s="1146"/>
      <c r="H139" s="1146"/>
      <c r="I139" s="1146"/>
      <c r="J139" s="1146"/>
      <c r="K139" s="1146"/>
      <c r="L139" s="1146"/>
      <c r="M139" s="1146"/>
      <c r="N139" s="1146"/>
      <c r="O139" s="1146"/>
      <c r="P139" s="1146"/>
      <c r="Q139" s="1146"/>
      <c r="R139" s="1146"/>
      <c r="S139" s="1146"/>
      <c r="T139" s="1147"/>
      <c r="U139" s="1147" t="s">
        <v>373</v>
      </c>
      <c r="V139" s="1221">
        <v>0.06</v>
      </c>
      <c r="W139" s="1221">
        <v>0.05</v>
      </c>
      <c r="X139" s="1221">
        <v>0.08</v>
      </c>
      <c r="Y139" s="1221">
        <v>0.06</v>
      </c>
      <c r="Z139" s="1221">
        <v>0.06</v>
      </c>
      <c r="AA139" s="1221">
        <v>0.08</v>
      </c>
      <c r="AB139" s="1221">
        <v>0.08</v>
      </c>
      <c r="AC139" s="1221">
        <v>0.1</v>
      </c>
      <c r="AD139" s="1147"/>
      <c r="AE139" s="1147"/>
      <c r="AF139" s="1147"/>
      <c r="AG139" s="1147"/>
      <c r="AH139" s="1147"/>
      <c r="AI139" s="1147"/>
      <c r="AJ139" s="1147"/>
      <c r="AK139" s="1147"/>
      <c r="AL139" s="1147"/>
      <c r="AM139" s="1147"/>
      <c r="AN139" s="1147"/>
      <c r="AO139" s="1147"/>
      <c r="AP139" s="1147"/>
      <c r="AQ139" s="1147"/>
      <c r="AR139" s="1147"/>
      <c r="AS139" s="1147"/>
      <c r="AT139" s="1147"/>
      <c r="AU139" s="1147"/>
      <c r="AV139" s="1147"/>
      <c r="AW139" s="1147"/>
      <c r="AX139" s="1147"/>
      <c r="AY139" s="1147"/>
      <c r="AZ139" s="1147"/>
      <c r="BA139" s="1147"/>
      <c r="BB139" s="1147"/>
      <c r="BC139" s="1147"/>
      <c r="BD139" s="1147"/>
      <c r="BE139" s="1147"/>
      <c r="BF139" s="1147"/>
      <c r="BG139" s="1147"/>
      <c r="BH139" s="1147"/>
      <c r="BI139" s="1147"/>
      <c r="BJ139" s="1147"/>
      <c r="BK139" s="1147"/>
      <c r="BL139" s="1147"/>
      <c r="BM139" s="1147"/>
      <c r="BN139" s="1147"/>
      <c r="BO139" s="1147"/>
      <c r="BP139" s="1147"/>
      <c r="BQ139" s="1147"/>
      <c r="BR139" s="1147"/>
      <c r="BS139" s="1147"/>
      <c r="BT139" s="1147"/>
      <c r="BU139" s="1147"/>
      <c r="BV139" s="1147"/>
      <c r="BW139" s="1147"/>
      <c r="BX139" s="1147"/>
      <c r="BY139" s="1147"/>
      <c r="BZ139" s="1147"/>
      <c r="CA139" s="1147"/>
      <c r="CB139" s="1147"/>
      <c r="CC139" s="1147"/>
      <c r="CD139" s="1147"/>
      <c r="CE139" s="1147"/>
      <c r="CF139" s="1147"/>
      <c r="CG139" s="1147"/>
      <c r="CH139" s="1147"/>
      <c r="CI139" s="1147"/>
      <c r="CJ139" s="1147"/>
      <c r="CK139" s="1146"/>
    </row>
    <row r="140" spans="1:89" ht="15" x14ac:dyDescent="0.25">
      <c r="A140" s="1146"/>
      <c r="B140" s="1146"/>
      <c r="C140" s="1146"/>
      <c r="D140" s="1146"/>
      <c r="E140" s="1146"/>
      <c r="F140" s="1146"/>
      <c r="G140" s="1146"/>
      <c r="H140" s="1146"/>
      <c r="I140" s="1146"/>
      <c r="J140" s="1146"/>
      <c r="K140" s="1146"/>
      <c r="L140" s="1146"/>
      <c r="M140" s="1146"/>
      <c r="N140" s="1146"/>
      <c r="O140" s="1146"/>
      <c r="P140" s="1146"/>
      <c r="Q140" s="1146"/>
      <c r="R140" s="1146"/>
      <c r="S140" s="1146"/>
      <c r="T140" s="1147"/>
      <c r="U140" s="1147" t="s">
        <v>375</v>
      </c>
      <c r="V140" s="1221">
        <v>0.5</v>
      </c>
      <c r="W140" s="1221">
        <v>0.35</v>
      </c>
      <c r="X140" s="1221">
        <v>0.35</v>
      </c>
      <c r="Y140" s="1221">
        <v>0.35</v>
      </c>
      <c r="Z140" s="1221">
        <v>0.35</v>
      </c>
      <c r="AA140" s="1221">
        <v>0.15</v>
      </c>
      <c r="AB140" s="1221">
        <v>0.15</v>
      </c>
      <c r="AC140" s="1221">
        <v>0.15</v>
      </c>
      <c r="AD140" s="1147"/>
      <c r="AE140" s="1147"/>
      <c r="AF140" s="1147"/>
      <c r="AG140" s="1147"/>
      <c r="AH140" s="1147"/>
      <c r="AI140" s="1147"/>
      <c r="AJ140" s="1147"/>
      <c r="AK140" s="1147"/>
      <c r="AL140" s="1147"/>
      <c r="AM140" s="1147"/>
      <c r="AN140" s="1147"/>
      <c r="AO140" s="1147"/>
      <c r="AP140" s="1147"/>
      <c r="AQ140" s="1147"/>
      <c r="AR140" s="1147"/>
      <c r="AS140" s="1147"/>
      <c r="AT140" s="1147"/>
      <c r="AU140" s="1147"/>
      <c r="AV140" s="1147"/>
      <c r="AW140" s="1147"/>
      <c r="AX140" s="1147"/>
      <c r="AY140" s="1147"/>
      <c r="AZ140" s="1147"/>
      <c r="BA140" s="1147"/>
      <c r="BB140" s="1147"/>
      <c r="BC140" s="1147"/>
      <c r="BD140" s="1147"/>
      <c r="BE140" s="1147"/>
      <c r="BF140" s="1147"/>
      <c r="BG140" s="1147"/>
      <c r="BH140" s="1147"/>
      <c r="BI140" s="1147"/>
      <c r="BJ140" s="1147"/>
      <c r="BK140" s="1147"/>
      <c r="BL140" s="1147"/>
      <c r="BM140" s="1147"/>
      <c r="BN140" s="1147"/>
      <c r="BO140" s="1147"/>
      <c r="BP140" s="1147"/>
      <c r="BQ140" s="1147"/>
      <c r="BR140" s="1147"/>
      <c r="BS140" s="1147"/>
      <c r="BT140" s="1147"/>
      <c r="BU140" s="1147"/>
      <c r="BV140" s="1147"/>
      <c r="BW140" s="1147"/>
      <c r="BX140" s="1147"/>
      <c r="BY140" s="1147"/>
      <c r="BZ140" s="1147"/>
      <c r="CA140" s="1147"/>
      <c r="CB140" s="1147"/>
      <c r="CC140" s="1147"/>
      <c r="CD140" s="1147"/>
      <c r="CE140" s="1147"/>
      <c r="CF140" s="1147"/>
      <c r="CG140" s="1147"/>
      <c r="CH140" s="1147"/>
      <c r="CI140" s="1147"/>
      <c r="CJ140" s="1147"/>
      <c r="CK140" s="1146"/>
    </row>
    <row r="141" spans="1:89" ht="15" x14ac:dyDescent="0.25">
      <c r="A141" s="1146"/>
      <c r="B141" s="1146"/>
      <c r="C141" s="1146"/>
      <c r="D141" s="1146"/>
      <c r="E141" s="1146"/>
      <c r="F141" s="1146"/>
      <c r="G141" s="1146"/>
      <c r="H141" s="1146"/>
      <c r="I141" s="1146"/>
      <c r="J141" s="1146"/>
      <c r="K141" s="1146"/>
      <c r="L141" s="1146"/>
      <c r="M141" s="1146"/>
      <c r="N141" s="1146"/>
      <c r="O141" s="1146"/>
      <c r="P141" s="1146"/>
      <c r="Q141" s="1146"/>
      <c r="R141" s="1146"/>
      <c r="S141" s="1146"/>
      <c r="T141" s="1147"/>
      <c r="U141" s="1147" t="s">
        <v>382</v>
      </c>
      <c r="V141" s="1221">
        <v>0.03</v>
      </c>
      <c r="W141" s="1221">
        <v>0.02</v>
      </c>
      <c r="X141" s="1221">
        <v>0</v>
      </c>
      <c r="Y141" s="1221">
        <v>0.35</v>
      </c>
      <c r="Z141" s="1221">
        <v>0.2</v>
      </c>
      <c r="AA141" s="1221">
        <v>0.02</v>
      </c>
      <c r="AB141" s="1221">
        <v>0.02</v>
      </c>
      <c r="AC141" s="1221">
        <v>0.01</v>
      </c>
      <c r="AD141" s="1147"/>
      <c r="AE141" s="1147"/>
      <c r="AF141" s="1147"/>
      <c r="AG141" s="1147"/>
      <c r="AH141" s="1147"/>
      <c r="AI141" s="1147"/>
      <c r="AJ141" s="1147"/>
      <c r="AK141" s="1147"/>
      <c r="AL141" s="1147"/>
      <c r="AM141" s="1147"/>
      <c r="AN141" s="1147"/>
      <c r="AO141" s="1147"/>
      <c r="AP141" s="1147"/>
      <c r="AQ141" s="1147"/>
      <c r="AR141" s="1147"/>
      <c r="AS141" s="1147"/>
      <c r="AT141" s="1147"/>
      <c r="AU141" s="1147"/>
      <c r="AV141" s="1147"/>
      <c r="AW141" s="1147"/>
      <c r="AX141" s="1147"/>
      <c r="AY141" s="1147"/>
      <c r="AZ141" s="1147"/>
      <c r="BA141" s="1147"/>
      <c r="BB141" s="1147"/>
      <c r="BC141" s="1147"/>
      <c r="BD141" s="1147"/>
      <c r="BE141" s="1147"/>
      <c r="BF141" s="1147"/>
      <c r="BG141" s="1147"/>
      <c r="BH141" s="1147"/>
      <c r="BI141" s="1147"/>
      <c r="BJ141" s="1147"/>
      <c r="BK141" s="1147"/>
      <c r="BL141" s="1147"/>
      <c r="BM141" s="1147"/>
      <c r="BN141" s="1147"/>
      <c r="BO141" s="1147"/>
      <c r="BP141" s="1147"/>
      <c r="BQ141" s="1147"/>
      <c r="BR141" s="1147"/>
      <c r="BS141" s="1147"/>
      <c r="BT141" s="1147"/>
      <c r="BU141" s="1147"/>
      <c r="BV141" s="1147"/>
      <c r="BW141" s="1147"/>
      <c r="BX141" s="1147"/>
      <c r="BY141" s="1147"/>
      <c r="BZ141" s="1147"/>
      <c r="CA141" s="1147"/>
      <c r="CB141" s="1147"/>
      <c r="CC141" s="1147"/>
      <c r="CD141" s="1147"/>
      <c r="CE141" s="1147"/>
      <c r="CF141" s="1147"/>
      <c r="CG141" s="1147"/>
      <c r="CH141" s="1147"/>
      <c r="CI141" s="1147"/>
      <c r="CJ141" s="1147"/>
      <c r="CK141" s="1146"/>
    </row>
    <row r="142" spans="1:89" ht="15" x14ac:dyDescent="0.25">
      <c r="A142" s="1146"/>
      <c r="B142" s="1146"/>
      <c r="C142" s="1146"/>
      <c r="D142" s="1146"/>
      <c r="E142" s="1146"/>
      <c r="F142" s="1146"/>
      <c r="G142" s="1146"/>
      <c r="H142" s="1146"/>
      <c r="I142" s="1146"/>
      <c r="J142" s="1146"/>
      <c r="K142" s="1146"/>
      <c r="L142" s="1146"/>
      <c r="M142" s="1146"/>
      <c r="N142" s="1146"/>
      <c r="O142" s="1146"/>
      <c r="P142" s="1146"/>
      <c r="Q142" s="1146"/>
      <c r="R142" s="1146"/>
      <c r="S142" s="1146"/>
      <c r="T142" s="1147"/>
      <c r="U142" s="1147" t="s">
        <v>377</v>
      </c>
      <c r="V142" s="1221">
        <v>0.03</v>
      </c>
      <c r="W142" s="1221">
        <v>0.03</v>
      </c>
      <c r="X142" s="1221">
        <v>0.02</v>
      </c>
      <c r="Y142" s="1221">
        <v>0.3</v>
      </c>
      <c r="Z142" s="1221">
        <v>0.45</v>
      </c>
      <c r="AA142" s="1221">
        <v>0.2</v>
      </c>
      <c r="AB142" s="1221">
        <v>0.03</v>
      </c>
      <c r="AC142" s="1221">
        <v>0.02</v>
      </c>
      <c r="AD142" s="1147"/>
      <c r="AE142" s="1147"/>
      <c r="AF142" s="1147"/>
      <c r="AG142" s="1147"/>
      <c r="AH142" s="1147"/>
      <c r="AI142" s="1147"/>
      <c r="AJ142" s="1147"/>
      <c r="AK142" s="1147"/>
      <c r="AL142" s="1147"/>
      <c r="AM142" s="1147"/>
      <c r="AN142" s="1147"/>
      <c r="AO142" s="1147"/>
      <c r="AP142" s="1147"/>
      <c r="AQ142" s="1147"/>
      <c r="AR142" s="1147"/>
      <c r="AS142" s="1147"/>
      <c r="AT142" s="1147"/>
      <c r="AU142" s="1147"/>
      <c r="AV142" s="1147"/>
      <c r="AW142" s="1147"/>
      <c r="AX142" s="1147"/>
      <c r="AY142" s="1147"/>
      <c r="AZ142" s="1147"/>
      <c r="BA142" s="1147"/>
      <c r="BB142" s="1147"/>
      <c r="BC142" s="1147"/>
      <c r="BD142" s="1147"/>
      <c r="BE142" s="1147"/>
      <c r="BF142" s="1147"/>
      <c r="BG142" s="1147"/>
      <c r="BH142" s="1147"/>
      <c r="BI142" s="1147"/>
      <c r="BJ142" s="1147"/>
      <c r="BK142" s="1147"/>
      <c r="BL142" s="1147"/>
      <c r="BM142" s="1147"/>
      <c r="BN142" s="1147"/>
      <c r="BO142" s="1147"/>
      <c r="BP142" s="1147"/>
      <c r="BQ142" s="1147"/>
      <c r="BR142" s="1147"/>
      <c r="BS142" s="1147"/>
      <c r="BT142" s="1147"/>
      <c r="BU142" s="1147"/>
      <c r="BV142" s="1147"/>
      <c r="BW142" s="1147"/>
      <c r="BX142" s="1147"/>
      <c r="BY142" s="1147"/>
      <c r="BZ142" s="1147"/>
      <c r="CA142" s="1147"/>
      <c r="CB142" s="1147"/>
      <c r="CC142" s="1147"/>
      <c r="CD142" s="1147"/>
      <c r="CE142" s="1147"/>
      <c r="CF142" s="1147"/>
      <c r="CG142" s="1147"/>
      <c r="CH142" s="1147"/>
      <c r="CI142" s="1147"/>
      <c r="CJ142" s="1147"/>
      <c r="CK142" s="1146"/>
    </row>
    <row r="143" spans="1:89" ht="15" x14ac:dyDescent="0.25">
      <c r="A143" s="1146"/>
      <c r="B143" s="1146"/>
      <c r="C143" s="1146"/>
      <c r="D143" s="1146"/>
      <c r="E143" s="1146"/>
      <c r="F143" s="1146"/>
      <c r="G143" s="1146"/>
      <c r="H143" s="1146"/>
      <c r="I143" s="1146"/>
      <c r="J143" s="1146"/>
      <c r="K143" s="1146"/>
      <c r="L143" s="1146"/>
      <c r="M143" s="1146"/>
      <c r="N143" s="1146"/>
      <c r="O143" s="1146"/>
      <c r="P143" s="1146"/>
      <c r="Q143" s="1146"/>
      <c r="R143" s="1146"/>
      <c r="S143" s="1146"/>
      <c r="T143" s="1147"/>
      <c r="U143" s="1147" t="s">
        <v>374</v>
      </c>
      <c r="V143" s="1221">
        <v>0.5</v>
      </c>
      <c r="W143" s="1221">
        <v>0.22</v>
      </c>
      <c r="X143" s="1221">
        <v>0</v>
      </c>
      <c r="Y143" s="1221">
        <v>0.35</v>
      </c>
      <c r="Z143" s="1221">
        <v>0.1</v>
      </c>
      <c r="AA143" s="1221">
        <v>0.02</v>
      </c>
      <c r="AB143" s="1221">
        <v>0.22</v>
      </c>
      <c r="AC143" s="1221">
        <v>0.12</v>
      </c>
      <c r="AD143" s="1147"/>
      <c r="AE143" s="1147"/>
      <c r="AF143" s="1147"/>
      <c r="AG143" s="1147"/>
      <c r="AH143" s="1147"/>
      <c r="AI143" s="1147"/>
      <c r="AJ143" s="1147"/>
      <c r="AK143" s="1147"/>
      <c r="AL143" s="1147"/>
      <c r="AM143" s="1147"/>
      <c r="AN143" s="1147"/>
      <c r="AO143" s="1147"/>
      <c r="AP143" s="1147"/>
      <c r="AQ143" s="1147"/>
      <c r="AR143" s="1147"/>
      <c r="AS143" s="1147"/>
      <c r="AT143" s="1147"/>
      <c r="AU143" s="1147"/>
      <c r="AV143" s="1147"/>
      <c r="AW143" s="1147"/>
      <c r="AX143" s="1147"/>
      <c r="AY143" s="1147"/>
      <c r="AZ143" s="1147"/>
      <c r="BA143" s="1147"/>
      <c r="BB143" s="1147"/>
      <c r="BC143" s="1147"/>
      <c r="BD143" s="1147"/>
      <c r="BE143" s="1147"/>
      <c r="BF143" s="1147"/>
      <c r="BG143" s="1147"/>
      <c r="BH143" s="1147"/>
      <c r="BI143" s="1147"/>
      <c r="BJ143" s="1147"/>
      <c r="BK143" s="1147"/>
      <c r="BL143" s="1147"/>
      <c r="BM143" s="1147"/>
      <c r="BN143" s="1147"/>
      <c r="BO143" s="1147"/>
      <c r="BP143" s="1147"/>
      <c r="BQ143" s="1147"/>
      <c r="BR143" s="1147"/>
      <c r="BS143" s="1147"/>
      <c r="BT143" s="1147"/>
      <c r="BU143" s="1147"/>
      <c r="BV143" s="1147"/>
      <c r="BW143" s="1147"/>
      <c r="BX143" s="1147"/>
      <c r="BY143" s="1147"/>
      <c r="BZ143" s="1147"/>
      <c r="CA143" s="1147"/>
      <c r="CB143" s="1147"/>
      <c r="CC143" s="1147"/>
      <c r="CD143" s="1147"/>
      <c r="CE143" s="1147"/>
      <c r="CF143" s="1147"/>
      <c r="CG143" s="1147"/>
      <c r="CH143" s="1147"/>
      <c r="CI143" s="1147"/>
      <c r="CJ143" s="1147"/>
      <c r="CK143" s="1146"/>
    </row>
    <row r="144" spans="1:89" ht="15" x14ac:dyDescent="0.25">
      <c r="A144" s="1146"/>
      <c r="B144" s="1146"/>
      <c r="C144" s="1146"/>
      <c r="D144" s="1146"/>
      <c r="E144" s="1146"/>
      <c r="F144" s="1146"/>
      <c r="G144" s="1146"/>
      <c r="H144" s="1146"/>
      <c r="I144" s="1146"/>
      <c r="J144" s="1146"/>
      <c r="K144" s="1146"/>
      <c r="L144" s="1146"/>
      <c r="M144" s="1146"/>
      <c r="N144" s="1146"/>
      <c r="O144" s="1146"/>
      <c r="P144" s="1146"/>
      <c r="Q144" s="1146"/>
      <c r="R144" s="1146"/>
      <c r="S144" s="1146"/>
      <c r="T144" s="1147"/>
      <c r="U144" s="1147" t="s">
        <v>376</v>
      </c>
      <c r="V144" s="1221">
        <v>0.03</v>
      </c>
      <c r="W144" s="1221">
        <v>0.18</v>
      </c>
      <c r="X144" s="1221">
        <v>0.45</v>
      </c>
      <c r="Y144" s="1221">
        <v>0.03</v>
      </c>
      <c r="Z144" s="1221">
        <v>0.03</v>
      </c>
      <c r="AA144" s="1221">
        <v>0.57999999999999996</v>
      </c>
      <c r="AB144" s="1221">
        <v>0.02</v>
      </c>
      <c r="AC144" s="1221">
        <v>0.12</v>
      </c>
      <c r="AD144" s="1147"/>
      <c r="AE144" s="1147"/>
      <c r="AF144" s="1147"/>
      <c r="AG144" s="1147"/>
      <c r="AH144" s="1147"/>
      <c r="AI144" s="1147"/>
      <c r="AJ144" s="1147"/>
      <c r="AK144" s="1147"/>
      <c r="AL144" s="1147"/>
      <c r="AM144" s="1147"/>
      <c r="AN144" s="1147"/>
      <c r="AO144" s="1147"/>
      <c r="AP144" s="1147"/>
      <c r="AQ144" s="1147"/>
      <c r="AR144" s="1147"/>
      <c r="AS144" s="1147"/>
      <c r="AT144" s="1147"/>
      <c r="AU144" s="1147"/>
      <c r="AV144" s="1147"/>
      <c r="AW144" s="1147"/>
      <c r="AX144" s="1147"/>
      <c r="AY144" s="1147"/>
      <c r="AZ144" s="1147"/>
      <c r="BA144" s="1147"/>
      <c r="BB144" s="1147"/>
      <c r="BC144" s="1147"/>
      <c r="BD144" s="1147"/>
      <c r="BE144" s="1147"/>
      <c r="BF144" s="1147"/>
      <c r="BG144" s="1147"/>
      <c r="BH144" s="1147"/>
      <c r="BI144" s="1147"/>
      <c r="BJ144" s="1147"/>
      <c r="BK144" s="1147"/>
      <c r="BL144" s="1147"/>
      <c r="BM144" s="1147"/>
      <c r="BN144" s="1147"/>
      <c r="BO144" s="1147"/>
      <c r="BP144" s="1147"/>
      <c r="BQ144" s="1147"/>
      <c r="BR144" s="1147"/>
      <c r="BS144" s="1147"/>
      <c r="BT144" s="1147"/>
      <c r="BU144" s="1147"/>
      <c r="BV144" s="1147"/>
      <c r="BW144" s="1147"/>
      <c r="BX144" s="1147"/>
      <c r="BY144" s="1147"/>
      <c r="BZ144" s="1147"/>
      <c r="CA144" s="1147"/>
      <c r="CB144" s="1147"/>
      <c r="CC144" s="1147"/>
      <c r="CD144" s="1147"/>
      <c r="CE144" s="1147"/>
      <c r="CF144" s="1147"/>
      <c r="CG144" s="1147"/>
      <c r="CH144" s="1147"/>
      <c r="CI144" s="1147"/>
      <c r="CJ144" s="1147"/>
      <c r="CK144" s="1146"/>
    </row>
    <row r="145" spans="1:89" ht="15.75" thickBot="1" x14ac:dyDescent="0.3">
      <c r="A145" s="1146"/>
      <c r="B145" s="1146"/>
      <c r="C145" s="1146"/>
      <c r="D145" s="1146"/>
      <c r="E145" s="1146"/>
      <c r="F145" s="1146"/>
      <c r="G145" s="1146"/>
      <c r="H145" s="1146"/>
      <c r="I145" s="1146"/>
      <c r="J145" s="1146"/>
      <c r="K145" s="1146"/>
      <c r="L145" s="1146"/>
      <c r="M145" s="1146"/>
      <c r="N145" s="1146"/>
      <c r="O145" s="1146"/>
      <c r="P145" s="1146"/>
      <c r="Q145" s="1146"/>
      <c r="R145" s="1146"/>
      <c r="S145" s="1146"/>
      <c r="T145" s="1222"/>
      <c r="U145" s="1222" t="s">
        <v>378</v>
      </c>
      <c r="V145" s="1228">
        <v>0</v>
      </c>
      <c r="W145" s="1228">
        <v>0.4</v>
      </c>
      <c r="X145" s="1228">
        <v>0.45</v>
      </c>
      <c r="Y145" s="1228">
        <v>0.17</v>
      </c>
      <c r="Z145" s="1228">
        <v>0.42</v>
      </c>
      <c r="AA145" s="1228">
        <v>0.15</v>
      </c>
      <c r="AB145" s="1228">
        <v>0.03</v>
      </c>
      <c r="AC145" s="1228">
        <v>0</v>
      </c>
      <c r="AD145" s="1222"/>
      <c r="AE145" s="1222"/>
      <c r="AF145" s="1222"/>
      <c r="AG145" s="1222"/>
      <c r="AH145" s="1222"/>
      <c r="AI145" s="1222"/>
      <c r="AJ145" s="1222"/>
      <c r="AK145" s="1222"/>
      <c r="AL145" s="1222"/>
      <c r="AM145" s="1222"/>
      <c r="AN145" s="1222"/>
      <c r="AO145" s="1222"/>
      <c r="AP145" s="1222"/>
      <c r="AQ145" s="1222"/>
      <c r="AR145" s="1222"/>
      <c r="AS145" s="1222"/>
      <c r="AT145" s="1222"/>
      <c r="AU145" s="1222"/>
      <c r="AV145" s="1222"/>
      <c r="AW145" s="1147"/>
      <c r="AX145" s="1147"/>
      <c r="AY145" s="1147"/>
      <c r="AZ145" s="1147"/>
      <c r="BA145" s="1147"/>
      <c r="BB145" s="1147"/>
      <c r="BC145" s="1147"/>
      <c r="BD145" s="1147"/>
      <c r="BE145" s="1147"/>
      <c r="BF145" s="1147"/>
      <c r="BG145" s="1147"/>
      <c r="BH145" s="1147"/>
      <c r="BI145" s="1147"/>
      <c r="BJ145" s="1147"/>
      <c r="BK145" s="1147"/>
      <c r="BL145" s="1147"/>
      <c r="BM145" s="1147"/>
      <c r="BN145" s="1147"/>
      <c r="BO145" s="1147"/>
      <c r="BP145" s="1147"/>
      <c r="BQ145" s="1147"/>
      <c r="BR145" s="1147"/>
      <c r="BS145" s="1147"/>
      <c r="BT145" s="1147"/>
      <c r="BU145" s="1147"/>
      <c r="BV145" s="1147"/>
      <c r="BW145" s="1147"/>
      <c r="BX145" s="1147"/>
      <c r="BY145" s="1147"/>
      <c r="BZ145" s="1147"/>
      <c r="CA145" s="1147"/>
      <c r="CB145" s="1147"/>
      <c r="CC145" s="1147"/>
      <c r="CD145" s="1147"/>
      <c r="CE145" s="1147"/>
      <c r="CF145" s="1147"/>
      <c r="CG145" s="1147"/>
      <c r="CH145" s="1147"/>
      <c r="CI145" s="1147"/>
      <c r="CJ145" s="1147"/>
      <c r="CK145" s="1146"/>
    </row>
    <row r="146" spans="1:89" ht="15" x14ac:dyDescent="0.25">
      <c r="A146" s="1146"/>
      <c r="B146" s="1146"/>
      <c r="C146" s="1146"/>
      <c r="D146" s="1146"/>
      <c r="E146" s="1146"/>
      <c r="F146" s="1146"/>
      <c r="G146" s="1146"/>
      <c r="H146" s="1146"/>
      <c r="I146" s="1146"/>
      <c r="J146" s="1146"/>
      <c r="K146" s="1146"/>
      <c r="L146" s="1146"/>
      <c r="M146" s="1146"/>
      <c r="N146" s="1146"/>
      <c r="O146" s="1146"/>
      <c r="P146" s="1146"/>
      <c r="Q146" s="1146"/>
      <c r="R146" s="1146"/>
      <c r="S146" s="1146"/>
      <c r="T146" s="1147"/>
      <c r="U146" s="1147"/>
      <c r="V146" s="1147"/>
      <c r="W146" s="1147"/>
      <c r="X146" s="1147"/>
      <c r="Y146" s="1147"/>
      <c r="Z146" s="1147"/>
      <c r="AA146" s="1147"/>
      <c r="AB146" s="1147"/>
      <c r="AC146" s="1147"/>
      <c r="AD146" s="1147"/>
      <c r="AE146" s="1147"/>
      <c r="AF146" s="1147"/>
      <c r="AG146" s="1147"/>
      <c r="AH146" s="1147"/>
      <c r="AI146" s="1147"/>
      <c r="AJ146" s="1147"/>
      <c r="AK146" s="1147"/>
      <c r="AL146" s="1147"/>
      <c r="AM146" s="1147"/>
      <c r="AN146" s="1147"/>
      <c r="AO146" s="1147"/>
      <c r="AP146" s="1147"/>
      <c r="AQ146" s="1147"/>
      <c r="AR146" s="1147"/>
      <c r="AS146" s="1147"/>
      <c r="AT146" s="1147"/>
      <c r="AU146" s="1147"/>
      <c r="AV146" s="1147"/>
      <c r="AW146" s="1147"/>
      <c r="AX146" s="1147"/>
      <c r="AY146" s="1147"/>
      <c r="AZ146" s="1147"/>
      <c r="BA146" s="1147"/>
      <c r="BB146" s="1147"/>
      <c r="BC146" s="1147"/>
      <c r="BD146" s="1147"/>
      <c r="BE146" s="1147"/>
      <c r="BF146" s="1147"/>
      <c r="BG146" s="1147"/>
      <c r="BH146" s="1147"/>
      <c r="BI146" s="1147"/>
      <c r="BJ146" s="1147"/>
      <c r="BK146" s="1147"/>
      <c r="BL146" s="1147"/>
      <c r="BM146" s="1147"/>
      <c r="BN146" s="1147"/>
      <c r="BO146" s="1147"/>
      <c r="BP146" s="1147"/>
      <c r="BQ146" s="1147"/>
      <c r="BR146" s="1147"/>
      <c r="BS146" s="1147"/>
      <c r="BT146" s="1147"/>
      <c r="BU146" s="1147"/>
      <c r="BV146" s="1147"/>
      <c r="BW146" s="1147"/>
      <c r="BX146" s="1147"/>
      <c r="BY146" s="1147"/>
      <c r="BZ146" s="1147"/>
      <c r="CA146" s="1147"/>
      <c r="CB146" s="1147"/>
      <c r="CC146" s="1147"/>
      <c r="CD146" s="1147"/>
      <c r="CE146" s="1147"/>
      <c r="CF146" s="1147"/>
      <c r="CG146" s="1147"/>
      <c r="CH146" s="1147"/>
      <c r="CI146" s="1147"/>
      <c r="CJ146" s="1147"/>
      <c r="CK146" s="1146"/>
    </row>
    <row r="147" spans="1:89" ht="15.75" thickBot="1" x14ac:dyDescent="0.3">
      <c r="A147" s="1146"/>
      <c r="B147" s="1146"/>
      <c r="C147" s="1146"/>
      <c r="D147" s="1146"/>
      <c r="E147" s="1146"/>
      <c r="F147" s="1146"/>
      <c r="G147" s="1146"/>
      <c r="H147" s="1146"/>
      <c r="I147" s="1146"/>
      <c r="J147" s="1146"/>
      <c r="K147" s="1146"/>
      <c r="L147" s="1146"/>
      <c r="M147" s="1146"/>
      <c r="N147" s="1146"/>
      <c r="O147" s="1146"/>
      <c r="P147" s="1146"/>
      <c r="Q147" s="1146"/>
      <c r="R147" s="1146"/>
      <c r="S147" s="1146"/>
      <c r="T147" s="1147"/>
      <c r="U147" s="1147"/>
      <c r="V147" s="1147"/>
      <c r="W147" s="1147"/>
      <c r="X147" s="1147"/>
      <c r="Y147" s="1147"/>
      <c r="Z147" s="1147"/>
      <c r="AA147" s="1147"/>
      <c r="AB147" s="1147"/>
      <c r="AC147" s="1147"/>
      <c r="AD147" s="1147"/>
      <c r="AE147" s="1147"/>
      <c r="AF147" s="1147"/>
      <c r="AG147" s="1147"/>
      <c r="AH147" s="1147"/>
      <c r="AI147" s="1147"/>
      <c r="AJ147" s="1147"/>
      <c r="AK147" s="1147"/>
      <c r="AL147" s="1147"/>
      <c r="AM147" s="1147"/>
      <c r="AN147" s="1147"/>
      <c r="AO147" s="1147"/>
      <c r="AP147" s="1147"/>
      <c r="AQ147" s="1147"/>
      <c r="AR147" s="1147"/>
      <c r="AS147" s="1147"/>
      <c r="AT147" s="1147"/>
      <c r="AU147" s="1147"/>
      <c r="AV147" s="1147"/>
      <c r="AW147" s="1147"/>
      <c r="AX147" s="1147"/>
      <c r="AY147" s="1147"/>
      <c r="AZ147" s="1147"/>
      <c r="BA147" s="1147"/>
      <c r="BB147" s="1147"/>
      <c r="BC147" s="1147"/>
      <c r="BD147" s="1147"/>
      <c r="BE147" s="1147"/>
      <c r="BF147" s="1147"/>
      <c r="BG147" s="1147"/>
      <c r="BH147" s="1147"/>
      <c r="BI147" s="1147"/>
      <c r="BJ147" s="1147"/>
      <c r="BK147" s="1147"/>
      <c r="BL147" s="1147"/>
      <c r="BM147" s="1147"/>
      <c r="BN147" s="1147"/>
      <c r="BO147" s="1147"/>
      <c r="BP147" s="1147"/>
      <c r="BQ147" s="1147"/>
      <c r="BR147" s="1147"/>
      <c r="BS147" s="1147"/>
      <c r="BT147" s="1147"/>
      <c r="BU147" s="1147"/>
      <c r="BV147" s="1147"/>
      <c r="BW147" s="1147"/>
      <c r="BX147" s="1147"/>
      <c r="BY147" s="1147"/>
      <c r="BZ147" s="1147"/>
      <c r="CA147" s="1147"/>
      <c r="CB147" s="1147"/>
      <c r="CC147" s="1147"/>
      <c r="CD147" s="1147"/>
      <c r="CE147" s="1147"/>
      <c r="CF147" s="1147"/>
      <c r="CG147" s="1147"/>
      <c r="CH147" s="1147"/>
      <c r="CI147" s="1147"/>
      <c r="CJ147" s="1147"/>
      <c r="CK147" s="1146"/>
    </row>
    <row r="148" spans="1:89" ht="15" x14ac:dyDescent="0.25">
      <c r="A148" s="1146"/>
      <c r="B148" s="1146"/>
      <c r="C148" s="1146"/>
      <c r="D148" s="1146"/>
      <c r="E148" s="1146"/>
      <c r="F148" s="1146"/>
      <c r="G148" s="1146"/>
      <c r="H148" s="1146"/>
      <c r="I148" s="1146"/>
      <c r="J148" s="1146"/>
      <c r="K148" s="1146"/>
      <c r="L148" s="1146"/>
      <c r="M148" s="1146"/>
      <c r="N148" s="1146"/>
      <c r="O148" s="1146"/>
      <c r="P148" s="1146"/>
      <c r="Q148" s="1146"/>
      <c r="R148" s="1146"/>
      <c r="S148" s="1146"/>
      <c r="T148" s="1205" t="s">
        <v>694</v>
      </c>
      <c r="U148" s="1223" t="s">
        <v>368</v>
      </c>
      <c r="V148" s="1223"/>
      <c r="W148" s="1224">
        <f>W17+W$6*$V126+W$7*$W126+W$8*$X126+W$9*$Y126+W$10*$Z126+W$11*$AA126+W$12*$AB126+W$13*$AC126</f>
        <v>16000</v>
      </c>
      <c r="X148" s="1224">
        <f t="shared" ref="X148:AV148" si="77">X17+X$6*$V126+X$7*$W126+X$8*$X126+X$9*$Y126+X$10*$Z126+X$11*$AA126+X$12*$AB126+X$13*$AC126</f>
        <v>16727.55</v>
      </c>
      <c r="Y148" s="1224">
        <f t="shared" si="77"/>
        <v>17752.600000000002</v>
      </c>
      <c r="Z148" s="1224">
        <f t="shared" si="77"/>
        <v>19260.400000000001</v>
      </c>
      <c r="AA148" s="1224">
        <f t="shared" si="77"/>
        <v>20768.75</v>
      </c>
      <c r="AB148" s="1224">
        <f t="shared" si="77"/>
        <v>22277.1</v>
      </c>
      <c r="AC148" s="1224">
        <f t="shared" si="77"/>
        <v>23784.899999999998</v>
      </c>
      <c r="AD148" s="1224">
        <f t="shared" si="77"/>
        <v>25293.799999999996</v>
      </c>
      <c r="AE148" s="1224">
        <f t="shared" si="77"/>
        <v>26784.85</v>
      </c>
      <c r="AF148" s="1224">
        <f t="shared" si="77"/>
        <v>28276.2</v>
      </c>
      <c r="AG148" s="1224">
        <f t="shared" si="77"/>
        <v>29767.250000000004</v>
      </c>
      <c r="AH148" s="1224">
        <f t="shared" si="77"/>
        <v>31258.300000000003</v>
      </c>
      <c r="AI148" s="1224">
        <f t="shared" si="77"/>
        <v>32750.45</v>
      </c>
      <c r="AJ148" s="1224">
        <f t="shared" si="77"/>
        <v>33758.200000000004</v>
      </c>
      <c r="AK148" s="1224">
        <f t="shared" si="77"/>
        <v>34485.75</v>
      </c>
      <c r="AL148" s="1224">
        <f t="shared" si="77"/>
        <v>35213.299999999996</v>
      </c>
      <c r="AM148" s="1224">
        <f t="shared" si="77"/>
        <v>35940.85</v>
      </c>
      <c r="AN148" s="1224">
        <f t="shared" si="77"/>
        <v>36668.65</v>
      </c>
      <c r="AO148" s="1224">
        <f t="shared" si="77"/>
        <v>37396.200000000004</v>
      </c>
      <c r="AP148" s="1224">
        <f t="shared" si="77"/>
        <v>38123.999999999993</v>
      </c>
      <c r="AQ148" s="1224">
        <f t="shared" si="77"/>
        <v>38851.550000000003</v>
      </c>
      <c r="AR148" s="1224">
        <f t="shared" si="77"/>
        <v>39579.1</v>
      </c>
      <c r="AS148" s="1224">
        <f t="shared" si="77"/>
        <v>40306.899999999994</v>
      </c>
      <c r="AT148" s="1224">
        <f t="shared" si="77"/>
        <v>41034.449999999997</v>
      </c>
      <c r="AU148" s="1224">
        <f t="shared" si="77"/>
        <v>41762</v>
      </c>
      <c r="AV148" s="1224">
        <f t="shared" si="77"/>
        <v>42489.799999999996</v>
      </c>
      <c r="AW148" s="1147"/>
      <c r="AX148" s="1147"/>
      <c r="AY148" s="1147"/>
      <c r="AZ148" s="1147"/>
      <c r="BA148" s="1147"/>
      <c r="BB148" s="1147"/>
      <c r="BC148" s="1147"/>
      <c r="BD148" s="1147"/>
      <c r="BE148" s="1147"/>
      <c r="BF148" s="1147"/>
      <c r="BG148" s="1147"/>
      <c r="BH148" s="1147"/>
      <c r="BI148" s="1147"/>
      <c r="BJ148" s="1147"/>
      <c r="BK148" s="1147"/>
      <c r="BL148" s="1147"/>
      <c r="BM148" s="1147"/>
      <c r="BN148" s="1147"/>
      <c r="BO148" s="1147"/>
      <c r="BP148" s="1147"/>
      <c r="BQ148" s="1147"/>
      <c r="BR148" s="1147"/>
      <c r="BS148" s="1147"/>
      <c r="BT148" s="1147"/>
      <c r="BU148" s="1147"/>
      <c r="BV148" s="1147"/>
      <c r="BW148" s="1147"/>
      <c r="BX148" s="1147"/>
      <c r="BY148" s="1147"/>
      <c r="BZ148" s="1147"/>
      <c r="CA148" s="1147"/>
      <c r="CB148" s="1147"/>
      <c r="CC148" s="1147"/>
      <c r="CD148" s="1147"/>
      <c r="CE148" s="1147"/>
      <c r="CF148" s="1147"/>
      <c r="CG148" s="1147"/>
      <c r="CH148" s="1147"/>
      <c r="CI148" s="1147"/>
      <c r="CJ148" s="1147"/>
      <c r="CK148" s="1146"/>
    </row>
    <row r="149" spans="1:89" ht="15" x14ac:dyDescent="0.25">
      <c r="A149" s="1146"/>
      <c r="B149" s="1146"/>
      <c r="C149" s="1146"/>
      <c r="D149" s="1146"/>
      <c r="E149" s="1146"/>
      <c r="F149" s="1146"/>
      <c r="G149" s="1146"/>
      <c r="H149" s="1146"/>
      <c r="I149" s="1146"/>
      <c r="J149" s="1146"/>
      <c r="K149" s="1146"/>
      <c r="L149" s="1146"/>
      <c r="M149" s="1146"/>
      <c r="N149" s="1146"/>
      <c r="O149" s="1146"/>
      <c r="P149" s="1146"/>
      <c r="Q149" s="1146"/>
      <c r="R149" s="1146"/>
      <c r="S149" s="1146"/>
      <c r="T149" s="1147" t="s">
        <v>692</v>
      </c>
      <c r="U149" s="1147" t="s">
        <v>369</v>
      </c>
      <c r="V149" s="1147"/>
      <c r="W149" s="1208">
        <f>W18+W$6*$V127+W$7*$W127+W$8*$X127+W$9*$Y127+W$10*$Z127+W$11*$AA127+W$12*$AB127+W$13*$AC127</f>
        <v>13500</v>
      </c>
      <c r="X149" s="1208">
        <f t="shared" ref="X149:AV159" si="78">X18+X$6*$V127+X$7*$W127+X$8*$X127+X$9*$Y127+X$10*$Z127+X$11*$AA127+X$12*$AB127+X$13*$AC127</f>
        <v>14212.599999999997</v>
      </c>
      <c r="Y149" s="1208">
        <f t="shared" si="78"/>
        <v>15282.300000000001</v>
      </c>
      <c r="Z149" s="1208">
        <f t="shared" si="78"/>
        <v>17049.599999999999</v>
      </c>
      <c r="AA149" s="1208">
        <f t="shared" si="78"/>
        <v>18817.7</v>
      </c>
      <c r="AB149" s="1208">
        <f t="shared" si="78"/>
        <v>20585.699999999997</v>
      </c>
      <c r="AC149" s="1208">
        <f t="shared" si="78"/>
        <v>22353</v>
      </c>
      <c r="AD149" s="1208">
        <f t="shared" si="78"/>
        <v>24121.899999999998</v>
      </c>
      <c r="AE149" s="1208">
        <f t="shared" si="78"/>
        <v>25906.499999999996</v>
      </c>
      <c r="AF149" s="1208">
        <f t="shared" si="78"/>
        <v>27691.699999999997</v>
      </c>
      <c r="AG149" s="1208">
        <f t="shared" si="78"/>
        <v>29476.299999999996</v>
      </c>
      <c r="AH149" s="1208">
        <f t="shared" si="78"/>
        <v>31260.899999999998</v>
      </c>
      <c r="AI149" s="1208">
        <f t="shared" si="78"/>
        <v>33047.1</v>
      </c>
      <c r="AJ149" s="1208">
        <f t="shared" si="78"/>
        <v>34133.300000000003</v>
      </c>
      <c r="AK149" s="1208">
        <f t="shared" si="78"/>
        <v>34845.899999999994</v>
      </c>
      <c r="AL149" s="1208">
        <f t="shared" si="78"/>
        <v>35558.5</v>
      </c>
      <c r="AM149" s="1208">
        <f t="shared" si="78"/>
        <v>36271.100000000006</v>
      </c>
      <c r="AN149" s="1208">
        <f t="shared" si="78"/>
        <v>36984.1</v>
      </c>
      <c r="AO149" s="1208">
        <f t="shared" si="78"/>
        <v>37696.699999999997</v>
      </c>
      <c r="AP149" s="1208">
        <f t="shared" si="78"/>
        <v>38409.700000000004</v>
      </c>
      <c r="AQ149" s="1208">
        <f t="shared" si="78"/>
        <v>39122.300000000003</v>
      </c>
      <c r="AR149" s="1208">
        <f t="shared" si="78"/>
        <v>39834.9</v>
      </c>
      <c r="AS149" s="1208">
        <f t="shared" si="78"/>
        <v>40547.900000000009</v>
      </c>
      <c r="AT149" s="1208">
        <f t="shared" si="78"/>
        <v>41260.5</v>
      </c>
      <c r="AU149" s="1208">
        <f t="shared" si="78"/>
        <v>41973.1</v>
      </c>
      <c r="AV149" s="1208">
        <f t="shared" si="78"/>
        <v>42686.1</v>
      </c>
      <c r="AW149" s="1147"/>
      <c r="AX149" s="1147"/>
      <c r="AY149" s="1147"/>
      <c r="AZ149" s="1147"/>
      <c r="BA149" s="1147"/>
      <c r="BB149" s="1147"/>
      <c r="BC149" s="1147"/>
      <c r="BD149" s="1147"/>
      <c r="BE149" s="1147"/>
      <c r="BF149" s="1147"/>
      <c r="BG149" s="1147"/>
      <c r="BH149" s="1147"/>
      <c r="BI149" s="1147"/>
      <c r="BJ149" s="1147"/>
      <c r="BK149" s="1147"/>
      <c r="BL149" s="1147"/>
      <c r="BM149" s="1147"/>
      <c r="BN149" s="1147"/>
      <c r="BO149" s="1147"/>
      <c r="BP149" s="1147"/>
      <c r="BQ149" s="1147"/>
      <c r="BR149" s="1147"/>
      <c r="BS149" s="1147"/>
      <c r="BT149" s="1147"/>
      <c r="BU149" s="1147"/>
      <c r="BV149" s="1147"/>
      <c r="BW149" s="1147"/>
      <c r="BX149" s="1147"/>
      <c r="BY149" s="1147"/>
      <c r="BZ149" s="1147"/>
      <c r="CA149" s="1147"/>
      <c r="CB149" s="1147"/>
      <c r="CC149" s="1147"/>
      <c r="CD149" s="1147"/>
      <c r="CE149" s="1147"/>
      <c r="CF149" s="1147"/>
      <c r="CG149" s="1147"/>
      <c r="CH149" s="1147"/>
      <c r="CI149" s="1147"/>
      <c r="CJ149" s="1147"/>
      <c r="CK149" s="1146"/>
    </row>
    <row r="150" spans="1:89" ht="15" x14ac:dyDescent="0.25">
      <c r="A150" s="1146"/>
      <c r="B150" s="1146"/>
      <c r="C150" s="1146"/>
      <c r="D150" s="1146"/>
      <c r="E150" s="1146"/>
      <c r="F150" s="1146"/>
      <c r="G150" s="1146"/>
      <c r="H150" s="1146"/>
      <c r="I150" s="1146"/>
      <c r="J150" s="1146"/>
      <c r="K150" s="1146"/>
      <c r="L150" s="1146"/>
      <c r="M150" s="1146"/>
      <c r="N150" s="1146"/>
      <c r="O150" s="1146"/>
      <c r="P150" s="1146"/>
      <c r="Q150" s="1146"/>
      <c r="R150" s="1146"/>
      <c r="S150" s="1146"/>
      <c r="T150" s="1147"/>
      <c r="U150" s="1147" t="s">
        <v>370</v>
      </c>
      <c r="V150" s="1147"/>
      <c r="W150" s="1208">
        <f t="shared" ref="W150:AL167" si="79">W19+W$6*$V128+W$7*$W128+W$8*$X128+W$9*$Y128+W$10*$Z128+W$11*$AA128+W$12*$AB128+W$13*$AC128</f>
        <v>12000</v>
      </c>
      <c r="X150" s="1208">
        <f t="shared" si="79"/>
        <v>12501.099999999999</v>
      </c>
      <c r="Y150" s="1208">
        <f t="shared" si="79"/>
        <v>13121.299999999997</v>
      </c>
      <c r="Z150" s="1208">
        <f t="shared" si="79"/>
        <v>13956.3</v>
      </c>
      <c r="AA150" s="1208">
        <f t="shared" si="79"/>
        <v>14791.600000000002</v>
      </c>
      <c r="AB150" s="1208">
        <f t="shared" si="79"/>
        <v>15626.800000000003</v>
      </c>
      <c r="AC150" s="1208">
        <f t="shared" si="79"/>
        <v>16461.800000000003</v>
      </c>
      <c r="AD150" s="1208">
        <f t="shared" si="79"/>
        <v>17297.400000000005</v>
      </c>
      <c r="AE150" s="1208">
        <f t="shared" si="79"/>
        <v>18107</v>
      </c>
      <c r="AF150" s="1208">
        <f t="shared" si="79"/>
        <v>18916.899999999994</v>
      </c>
      <c r="AG150" s="1208">
        <f t="shared" si="79"/>
        <v>19726.5</v>
      </c>
      <c r="AH150" s="1208">
        <f t="shared" si="79"/>
        <v>20536.099999999999</v>
      </c>
      <c r="AI150" s="1208">
        <f t="shared" si="79"/>
        <v>21346.300000000003</v>
      </c>
      <c r="AJ150" s="1208">
        <f t="shared" si="79"/>
        <v>21940.799999999999</v>
      </c>
      <c r="AK150" s="1208">
        <f t="shared" si="79"/>
        <v>22441.9</v>
      </c>
      <c r="AL150" s="1208">
        <f t="shared" si="79"/>
        <v>22942.999999999996</v>
      </c>
      <c r="AM150" s="1208">
        <f t="shared" si="78"/>
        <v>23444.1</v>
      </c>
      <c r="AN150" s="1208">
        <f t="shared" si="78"/>
        <v>23945.4</v>
      </c>
      <c r="AO150" s="1208">
        <f t="shared" si="78"/>
        <v>24446.5</v>
      </c>
      <c r="AP150" s="1208">
        <f t="shared" si="78"/>
        <v>24947.8</v>
      </c>
      <c r="AQ150" s="1208">
        <f t="shared" si="78"/>
        <v>25448.900000000005</v>
      </c>
      <c r="AR150" s="1208">
        <f t="shared" si="78"/>
        <v>25949.999999999996</v>
      </c>
      <c r="AS150" s="1208">
        <f t="shared" si="78"/>
        <v>26451.3</v>
      </c>
      <c r="AT150" s="1208">
        <f t="shared" si="78"/>
        <v>26952.400000000001</v>
      </c>
      <c r="AU150" s="1208">
        <f t="shared" si="78"/>
        <v>27453.499999999996</v>
      </c>
      <c r="AV150" s="1208">
        <f t="shared" si="78"/>
        <v>27954.799999999999</v>
      </c>
      <c r="AW150" s="1147"/>
      <c r="AX150" s="1147"/>
      <c r="AY150" s="1147"/>
      <c r="AZ150" s="1147"/>
      <c r="BA150" s="1147"/>
      <c r="BB150" s="1147"/>
      <c r="BC150" s="1147"/>
      <c r="BD150" s="1147"/>
      <c r="BE150" s="1147"/>
      <c r="BF150" s="1147"/>
      <c r="BG150" s="1147"/>
      <c r="BH150" s="1147"/>
      <c r="BI150" s="1147"/>
      <c r="BJ150" s="1147"/>
      <c r="BK150" s="1147"/>
      <c r="BL150" s="1147"/>
      <c r="BM150" s="1147"/>
      <c r="BN150" s="1147"/>
      <c r="BO150" s="1147"/>
      <c r="BP150" s="1147"/>
      <c r="BQ150" s="1147"/>
      <c r="BR150" s="1147"/>
      <c r="BS150" s="1147"/>
      <c r="BT150" s="1147"/>
      <c r="BU150" s="1147"/>
      <c r="BV150" s="1147"/>
      <c r="BW150" s="1147"/>
      <c r="BX150" s="1147"/>
      <c r="BY150" s="1147"/>
      <c r="BZ150" s="1147"/>
      <c r="CA150" s="1147"/>
      <c r="CB150" s="1147"/>
      <c r="CC150" s="1147"/>
      <c r="CD150" s="1147"/>
      <c r="CE150" s="1147"/>
      <c r="CF150" s="1147"/>
      <c r="CG150" s="1147"/>
      <c r="CH150" s="1147"/>
      <c r="CI150" s="1147"/>
      <c r="CJ150" s="1147"/>
      <c r="CK150" s="1146"/>
    </row>
    <row r="151" spans="1:89" ht="15" x14ac:dyDescent="0.25">
      <c r="A151" s="1146"/>
      <c r="B151" s="1146"/>
      <c r="C151" s="1146"/>
      <c r="D151" s="1146"/>
      <c r="E151" s="1146"/>
      <c r="F151" s="1146"/>
      <c r="G151" s="1146"/>
      <c r="H151" s="1146"/>
      <c r="I151" s="1146"/>
      <c r="J151" s="1146"/>
      <c r="K151" s="1146"/>
      <c r="L151" s="1146"/>
      <c r="M151" s="1146"/>
      <c r="N151" s="1146"/>
      <c r="O151" s="1146"/>
      <c r="P151" s="1146"/>
      <c r="Q151" s="1146"/>
      <c r="R151" s="1146"/>
      <c r="S151" s="1146"/>
      <c r="T151" s="1147"/>
      <c r="U151" s="1147" t="s">
        <v>367</v>
      </c>
      <c r="V151" s="1147"/>
      <c r="W151" s="1208">
        <f t="shared" si="79"/>
        <v>14000</v>
      </c>
      <c r="X151" s="1208">
        <f t="shared" si="78"/>
        <v>14387.8</v>
      </c>
      <c r="Y151" s="1208">
        <f t="shared" si="78"/>
        <v>15013.65</v>
      </c>
      <c r="Z151" s="1208">
        <f t="shared" si="78"/>
        <v>15907.75</v>
      </c>
      <c r="AA151" s="1208">
        <f t="shared" si="78"/>
        <v>16802.250000000004</v>
      </c>
      <c r="AB151" s="1208">
        <f t="shared" si="78"/>
        <v>17696.700000000004</v>
      </c>
      <c r="AC151" s="1208">
        <f t="shared" si="78"/>
        <v>18590.800000000007</v>
      </c>
      <c r="AD151" s="1208">
        <f t="shared" si="78"/>
        <v>19485.7</v>
      </c>
      <c r="AE151" s="1208">
        <f t="shared" si="78"/>
        <v>20282.249999999996</v>
      </c>
      <c r="AF151" s="1208">
        <f t="shared" si="78"/>
        <v>21079.05</v>
      </c>
      <c r="AG151" s="1208">
        <f t="shared" si="78"/>
        <v>21875.599999999999</v>
      </c>
      <c r="AH151" s="1208">
        <f t="shared" si="78"/>
        <v>22672.149999999998</v>
      </c>
      <c r="AI151" s="1208">
        <f t="shared" si="78"/>
        <v>23469.5</v>
      </c>
      <c r="AJ151" s="1208">
        <f t="shared" si="78"/>
        <v>23997.4</v>
      </c>
      <c r="AK151" s="1208">
        <f t="shared" si="78"/>
        <v>24385.200000000001</v>
      </c>
      <c r="AL151" s="1208">
        <f t="shared" si="78"/>
        <v>24773</v>
      </c>
      <c r="AM151" s="1208">
        <f t="shared" si="78"/>
        <v>25160.799999999999</v>
      </c>
      <c r="AN151" s="1208">
        <f t="shared" si="78"/>
        <v>25548.85</v>
      </c>
      <c r="AO151" s="1208">
        <f t="shared" si="78"/>
        <v>25936.650000000005</v>
      </c>
      <c r="AP151" s="1208">
        <f t="shared" si="78"/>
        <v>26324.699999999997</v>
      </c>
      <c r="AQ151" s="1208">
        <f t="shared" si="78"/>
        <v>26712.499999999996</v>
      </c>
      <c r="AR151" s="1208">
        <f t="shared" si="78"/>
        <v>27100.3</v>
      </c>
      <c r="AS151" s="1208">
        <f t="shared" si="78"/>
        <v>27488.35</v>
      </c>
      <c r="AT151" s="1208">
        <f t="shared" si="78"/>
        <v>27876.149999999994</v>
      </c>
      <c r="AU151" s="1208">
        <f t="shared" si="78"/>
        <v>28263.949999999997</v>
      </c>
      <c r="AV151" s="1208">
        <f t="shared" si="78"/>
        <v>28651.999999999996</v>
      </c>
      <c r="AW151" s="1147"/>
      <c r="AX151" s="1147"/>
      <c r="AY151" s="1147"/>
      <c r="AZ151" s="1147"/>
      <c r="BA151" s="1147"/>
      <c r="BB151" s="1147"/>
      <c r="BC151" s="1147"/>
      <c r="BD151" s="1147"/>
      <c r="BE151" s="1147"/>
      <c r="BF151" s="1147"/>
      <c r="BG151" s="1147"/>
      <c r="BH151" s="1147"/>
      <c r="BI151" s="1147"/>
      <c r="BJ151" s="1147"/>
      <c r="BK151" s="1147"/>
      <c r="BL151" s="1147"/>
      <c r="BM151" s="1147"/>
      <c r="BN151" s="1147"/>
      <c r="BO151" s="1147"/>
      <c r="BP151" s="1147"/>
      <c r="BQ151" s="1147"/>
      <c r="BR151" s="1147"/>
      <c r="BS151" s="1147"/>
      <c r="BT151" s="1147"/>
      <c r="BU151" s="1147"/>
      <c r="BV151" s="1147"/>
      <c r="BW151" s="1147"/>
      <c r="BX151" s="1147"/>
      <c r="BY151" s="1147"/>
      <c r="BZ151" s="1147"/>
      <c r="CA151" s="1147"/>
      <c r="CB151" s="1147"/>
      <c r="CC151" s="1147"/>
      <c r="CD151" s="1147"/>
      <c r="CE151" s="1147"/>
      <c r="CF151" s="1147"/>
      <c r="CG151" s="1147"/>
      <c r="CH151" s="1147"/>
      <c r="CI151" s="1147"/>
      <c r="CJ151" s="1147"/>
      <c r="CK151" s="1146"/>
    </row>
    <row r="152" spans="1:89" ht="15" x14ac:dyDescent="0.25">
      <c r="A152" s="1146"/>
      <c r="B152" s="1146"/>
      <c r="C152" s="1146"/>
      <c r="D152" s="1146"/>
      <c r="E152" s="1146"/>
      <c r="F152" s="1146"/>
      <c r="G152" s="1146"/>
      <c r="H152" s="1146"/>
      <c r="I152" s="1146"/>
      <c r="J152" s="1146"/>
      <c r="K152" s="1146"/>
      <c r="L152" s="1146"/>
      <c r="M152" s="1146"/>
      <c r="N152" s="1146"/>
      <c r="O152" s="1146"/>
      <c r="P152" s="1146"/>
      <c r="Q152" s="1146"/>
      <c r="R152" s="1146"/>
      <c r="S152" s="1146"/>
      <c r="T152" s="1147"/>
      <c r="U152" s="1147" t="s">
        <v>366</v>
      </c>
      <c r="V152" s="1147"/>
      <c r="W152" s="1208">
        <f t="shared" si="79"/>
        <v>28000</v>
      </c>
      <c r="X152" s="1208">
        <f t="shared" si="78"/>
        <v>28642.75</v>
      </c>
      <c r="Y152" s="1208">
        <f t="shared" si="78"/>
        <v>29582.9</v>
      </c>
      <c r="Z152" s="1208">
        <f t="shared" si="78"/>
        <v>30710.400000000001</v>
      </c>
      <c r="AA152" s="1208">
        <f t="shared" si="78"/>
        <v>31838.2</v>
      </c>
      <c r="AB152" s="1208">
        <f t="shared" si="78"/>
        <v>32966.100000000013</v>
      </c>
      <c r="AC152" s="1208">
        <f t="shared" si="78"/>
        <v>34093.600000000006</v>
      </c>
      <c r="AD152" s="1208">
        <f t="shared" si="78"/>
        <v>35221.700000000004</v>
      </c>
      <c r="AE152" s="1208">
        <f t="shared" si="78"/>
        <v>36192.199999999997</v>
      </c>
      <c r="AF152" s="1208">
        <f t="shared" si="78"/>
        <v>37162.65</v>
      </c>
      <c r="AG152" s="1208">
        <f t="shared" si="78"/>
        <v>38133.15</v>
      </c>
      <c r="AH152" s="1208">
        <f t="shared" si="78"/>
        <v>39103.649999999994</v>
      </c>
      <c r="AI152" s="1208">
        <f t="shared" si="78"/>
        <v>40074.749999999993</v>
      </c>
      <c r="AJ152" s="1208">
        <f t="shared" si="78"/>
        <v>40857.599999999999</v>
      </c>
      <c r="AK152" s="1208">
        <f t="shared" si="78"/>
        <v>41500.349999999991</v>
      </c>
      <c r="AL152" s="1208">
        <f t="shared" si="78"/>
        <v>42143.099999999991</v>
      </c>
      <c r="AM152" s="1208">
        <f t="shared" si="78"/>
        <v>42785.849999999991</v>
      </c>
      <c r="AN152" s="1208">
        <f t="shared" si="78"/>
        <v>43428.749999999993</v>
      </c>
      <c r="AO152" s="1208">
        <f t="shared" si="78"/>
        <v>44071.499999999993</v>
      </c>
      <c r="AP152" s="1208">
        <f t="shared" si="78"/>
        <v>44714.399999999994</v>
      </c>
      <c r="AQ152" s="1208">
        <f t="shared" si="78"/>
        <v>45357.149999999994</v>
      </c>
      <c r="AR152" s="1208">
        <f t="shared" si="78"/>
        <v>45999.899999999994</v>
      </c>
      <c r="AS152" s="1208">
        <f t="shared" si="78"/>
        <v>46642.799999999996</v>
      </c>
      <c r="AT152" s="1208">
        <f t="shared" si="78"/>
        <v>47285.549999999988</v>
      </c>
      <c r="AU152" s="1208">
        <f t="shared" si="78"/>
        <v>47928.299999999996</v>
      </c>
      <c r="AV152" s="1208">
        <f t="shared" si="78"/>
        <v>48571.199999999997</v>
      </c>
      <c r="AW152" s="1147"/>
      <c r="AX152" s="1147"/>
      <c r="AY152" s="1147"/>
      <c r="AZ152" s="1147"/>
      <c r="BA152" s="1147"/>
      <c r="BB152" s="1147"/>
      <c r="BC152" s="1147"/>
      <c r="BD152" s="1147"/>
      <c r="BE152" s="1147"/>
      <c r="BF152" s="1147"/>
      <c r="BG152" s="1147"/>
      <c r="BH152" s="1147"/>
      <c r="BI152" s="1147"/>
      <c r="BJ152" s="1147"/>
      <c r="BK152" s="1147"/>
      <c r="BL152" s="1147"/>
      <c r="BM152" s="1147"/>
      <c r="BN152" s="1147"/>
      <c r="BO152" s="1147"/>
      <c r="BP152" s="1147"/>
      <c r="BQ152" s="1147"/>
      <c r="BR152" s="1147"/>
      <c r="BS152" s="1147"/>
      <c r="BT152" s="1147"/>
      <c r="BU152" s="1147"/>
      <c r="BV152" s="1147"/>
      <c r="BW152" s="1147"/>
      <c r="BX152" s="1147"/>
      <c r="BY152" s="1147"/>
      <c r="BZ152" s="1147"/>
      <c r="CA152" s="1147"/>
      <c r="CB152" s="1147"/>
      <c r="CC152" s="1147"/>
      <c r="CD152" s="1147"/>
      <c r="CE152" s="1147"/>
      <c r="CF152" s="1147"/>
      <c r="CG152" s="1147"/>
      <c r="CH152" s="1147"/>
      <c r="CI152" s="1147"/>
      <c r="CJ152" s="1147"/>
      <c r="CK152" s="1146"/>
    </row>
    <row r="153" spans="1:89" ht="15" x14ac:dyDescent="0.25">
      <c r="A153" s="1146"/>
      <c r="B153" s="1146"/>
      <c r="C153" s="1146"/>
      <c r="D153" s="1146"/>
      <c r="E153" s="1146"/>
      <c r="F153" s="1146"/>
      <c r="G153" s="1146"/>
      <c r="H153" s="1146"/>
      <c r="I153" s="1146"/>
      <c r="J153" s="1146"/>
      <c r="K153" s="1146"/>
      <c r="L153" s="1146"/>
      <c r="M153" s="1146"/>
      <c r="N153" s="1146"/>
      <c r="O153" s="1146"/>
      <c r="P153" s="1146"/>
      <c r="Q153" s="1146"/>
      <c r="R153" s="1146"/>
      <c r="S153" s="1146"/>
      <c r="T153" s="1147"/>
      <c r="U153" s="1147" t="s">
        <v>365</v>
      </c>
      <c r="V153" s="1147"/>
      <c r="W153" s="1208">
        <f t="shared" si="79"/>
        <v>28000</v>
      </c>
      <c r="X153" s="1208">
        <f t="shared" si="78"/>
        <v>28618.7</v>
      </c>
      <c r="Y153" s="1208">
        <f t="shared" si="78"/>
        <v>29534.75</v>
      </c>
      <c r="Z153" s="1208">
        <f t="shared" si="78"/>
        <v>30697.3</v>
      </c>
      <c r="AA153" s="1208">
        <f t="shared" si="78"/>
        <v>31860.200000000004</v>
      </c>
      <c r="AB153" s="1208">
        <f t="shared" si="78"/>
        <v>33023.03</v>
      </c>
      <c r="AC153" s="1208">
        <f t="shared" si="78"/>
        <v>34185.579999999994</v>
      </c>
      <c r="AD153" s="1208">
        <f t="shared" si="78"/>
        <v>35348.759999999995</v>
      </c>
      <c r="AE153" s="1208">
        <f t="shared" si="78"/>
        <v>36382.36</v>
      </c>
      <c r="AF153" s="1208">
        <f t="shared" si="78"/>
        <v>37416.06</v>
      </c>
      <c r="AG153" s="1208">
        <f t="shared" si="78"/>
        <v>38449.659999999996</v>
      </c>
      <c r="AH153" s="1208">
        <f t="shared" si="78"/>
        <v>39483.26</v>
      </c>
      <c r="AI153" s="1208">
        <f t="shared" si="78"/>
        <v>40517.339999999997</v>
      </c>
      <c r="AJ153" s="1208">
        <f t="shared" si="78"/>
        <v>41304.159999999996</v>
      </c>
      <c r="AK153" s="1208">
        <f t="shared" si="78"/>
        <v>41922.86</v>
      </c>
      <c r="AL153" s="1208">
        <f t="shared" si="78"/>
        <v>42541.560000000005</v>
      </c>
      <c r="AM153" s="1208">
        <f t="shared" si="78"/>
        <v>43160.260000000009</v>
      </c>
      <c r="AN153" s="1208">
        <f t="shared" si="78"/>
        <v>43779.060000000005</v>
      </c>
      <c r="AO153" s="1208">
        <f t="shared" si="78"/>
        <v>44397.759999999995</v>
      </c>
      <c r="AP153" s="1208">
        <f t="shared" si="78"/>
        <v>45016.560000000005</v>
      </c>
      <c r="AQ153" s="1208">
        <f t="shared" si="78"/>
        <v>45635.260000000009</v>
      </c>
      <c r="AR153" s="1208">
        <f t="shared" si="78"/>
        <v>46253.960000000006</v>
      </c>
      <c r="AS153" s="1208">
        <f t="shared" si="78"/>
        <v>46872.76</v>
      </c>
      <c r="AT153" s="1208">
        <f t="shared" si="78"/>
        <v>47491.460000000014</v>
      </c>
      <c r="AU153" s="1208">
        <f t="shared" si="78"/>
        <v>48110.160000000011</v>
      </c>
      <c r="AV153" s="1208">
        <f t="shared" si="78"/>
        <v>48728.960000000006</v>
      </c>
      <c r="AW153" s="1147"/>
      <c r="AX153" s="1147"/>
      <c r="AY153" s="1147"/>
      <c r="AZ153" s="1147"/>
      <c r="BA153" s="1147"/>
      <c r="BB153" s="1147"/>
      <c r="BC153" s="1147"/>
      <c r="BD153" s="1147"/>
      <c r="BE153" s="1147"/>
      <c r="BF153" s="1147"/>
      <c r="BG153" s="1147"/>
      <c r="BH153" s="1147"/>
      <c r="BI153" s="1147"/>
      <c r="BJ153" s="1147"/>
      <c r="BK153" s="1147"/>
      <c r="BL153" s="1147"/>
      <c r="BM153" s="1147"/>
      <c r="BN153" s="1147"/>
      <c r="BO153" s="1147"/>
      <c r="BP153" s="1147"/>
      <c r="BQ153" s="1147"/>
      <c r="BR153" s="1147"/>
      <c r="BS153" s="1147"/>
      <c r="BT153" s="1147"/>
      <c r="BU153" s="1147"/>
      <c r="BV153" s="1147"/>
      <c r="BW153" s="1147"/>
      <c r="BX153" s="1147"/>
      <c r="BY153" s="1147"/>
      <c r="BZ153" s="1147"/>
      <c r="CA153" s="1147"/>
      <c r="CB153" s="1147"/>
      <c r="CC153" s="1147"/>
      <c r="CD153" s="1147"/>
      <c r="CE153" s="1147"/>
      <c r="CF153" s="1147"/>
      <c r="CG153" s="1147"/>
      <c r="CH153" s="1147"/>
      <c r="CI153" s="1147"/>
      <c r="CJ153" s="1147"/>
      <c r="CK153" s="1146"/>
    </row>
    <row r="154" spans="1:89" ht="15" x14ac:dyDescent="0.25">
      <c r="A154" s="1146"/>
      <c r="B154" s="1146"/>
      <c r="C154" s="1146"/>
      <c r="D154" s="1146"/>
      <c r="E154" s="1146"/>
      <c r="F154" s="1146"/>
      <c r="G154" s="1146"/>
      <c r="H154" s="1146"/>
      <c r="I154" s="1146"/>
      <c r="J154" s="1146"/>
      <c r="K154" s="1146"/>
      <c r="L154" s="1146"/>
      <c r="M154" s="1146"/>
      <c r="N154" s="1146"/>
      <c r="O154" s="1146"/>
      <c r="P154" s="1146"/>
      <c r="Q154" s="1146"/>
      <c r="R154" s="1146"/>
      <c r="S154" s="1146"/>
      <c r="T154" s="1147"/>
      <c r="U154" s="1147" t="s">
        <v>364</v>
      </c>
      <c r="V154" s="1147"/>
      <c r="W154" s="1208">
        <f t="shared" si="79"/>
        <v>28000</v>
      </c>
      <c r="X154" s="1208">
        <f t="shared" si="78"/>
        <v>28618.7</v>
      </c>
      <c r="Y154" s="1208">
        <f t="shared" si="78"/>
        <v>29534.75</v>
      </c>
      <c r="Z154" s="1208">
        <f t="shared" si="78"/>
        <v>30697.3</v>
      </c>
      <c r="AA154" s="1208">
        <f t="shared" si="78"/>
        <v>31860.200000000004</v>
      </c>
      <c r="AB154" s="1208">
        <f t="shared" si="78"/>
        <v>33023.03</v>
      </c>
      <c r="AC154" s="1208">
        <f t="shared" si="78"/>
        <v>34185.579999999994</v>
      </c>
      <c r="AD154" s="1208">
        <f t="shared" si="78"/>
        <v>35348.759999999995</v>
      </c>
      <c r="AE154" s="1208">
        <f t="shared" si="78"/>
        <v>36382.36</v>
      </c>
      <c r="AF154" s="1208">
        <f t="shared" si="78"/>
        <v>37416.06</v>
      </c>
      <c r="AG154" s="1208">
        <f t="shared" si="78"/>
        <v>38449.659999999996</v>
      </c>
      <c r="AH154" s="1208">
        <f t="shared" si="78"/>
        <v>39483.26</v>
      </c>
      <c r="AI154" s="1208">
        <f t="shared" si="78"/>
        <v>40517.339999999997</v>
      </c>
      <c r="AJ154" s="1208">
        <f t="shared" si="78"/>
        <v>41304.159999999996</v>
      </c>
      <c r="AK154" s="1208">
        <f t="shared" si="78"/>
        <v>41922.86</v>
      </c>
      <c r="AL154" s="1208">
        <f t="shared" si="78"/>
        <v>42541.560000000005</v>
      </c>
      <c r="AM154" s="1208">
        <f t="shared" si="78"/>
        <v>43160.260000000009</v>
      </c>
      <c r="AN154" s="1208">
        <f t="shared" si="78"/>
        <v>43779.060000000005</v>
      </c>
      <c r="AO154" s="1208">
        <f t="shared" si="78"/>
        <v>44397.759999999995</v>
      </c>
      <c r="AP154" s="1208">
        <f t="shared" si="78"/>
        <v>45016.560000000005</v>
      </c>
      <c r="AQ154" s="1208">
        <f t="shared" si="78"/>
        <v>45635.260000000009</v>
      </c>
      <c r="AR154" s="1208">
        <f t="shared" si="78"/>
        <v>46253.960000000006</v>
      </c>
      <c r="AS154" s="1208">
        <f t="shared" si="78"/>
        <v>46872.76</v>
      </c>
      <c r="AT154" s="1208">
        <f t="shared" si="78"/>
        <v>47491.460000000014</v>
      </c>
      <c r="AU154" s="1208">
        <f t="shared" si="78"/>
        <v>48110.160000000011</v>
      </c>
      <c r="AV154" s="1208">
        <f t="shared" si="78"/>
        <v>48728.960000000006</v>
      </c>
      <c r="AW154" s="1147"/>
      <c r="AX154" s="1147"/>
      <c r="AY154" s="1147"/>
      <c r="AZ154" s="1147"/>
      <c r="BA154" s="1147"/>
      <c r="BB154" s="1147"/>
      <c r="BC154" s="1147"/>
      <c r="BD154" s="1147"/>
      <c r="BE154" s="1147"/>
      <c r="BF154" s="1147"/>
      <c r="BG154" s="1147"/>
      <c r="BH154" s="1147"/>
      <c r="BI154" s="1147"/>
      <c r="BJ154" s="1147"/>
      <c r="BK154" s="1147"/>
      <c r="BL154" s="1147"/>
      <c r="BM154" s="1147"/>
      <c r="BN154" s="1147"/>
      <c r="BO154" s="1147"/>
      <c r="BP154" s="1147"/>
      <c r="BQ154" s="1147"/>
      <c r="BR154" s="1147"/>
      <c r="BS154" s="1147"/>
      <c r="BT154" s="1147"/>
      <c r="BU154" s="1147"/>
      <c r="BV154" s="1147"/>
      <c r="BW154" s="1147"/>
      <c r="BX154" s="1147"/>
      <c r="BY154" s="1147"/>
      <c r="BZ154" s="1147"/>
      <c r="CA154" s="1147"/>
      <c r="CB154" s="1147"/>
      <c r="CC154" s="1147"/>
      <c r="CD154" s="1147"/>
      <c r="CE154" s="1147"/>
      <c r="CF154" s="1147"/>
      <c r="CG154" s="1147"/>
      <c r="CH154" s="1147"/>
      <c r="CI154" s="1147"/>
      <c r="CJ154" s="1147"/>
      <c r="CK154" s="1146"/>
    </row>
    <row r="155" spans="1:89" ht="15" x14ac:dyDescent="0.25">
      <c r="A155" s="1146"/>
      <c r="B155" s="1146"/>
      <c r="C155" s="1146"/>
      <c r="D155" s="1146"/>
      <c r="E155" s="1146"/>
      <c r="F155" s="1146"/>
      <c r="G155" s="1146"/>
      <c r="H155" s="1146"/>
      <c r="I155" s="1146"/>
      <c r="J155" s="1146"/>
      <c r="K155" s="1146"/>
      <c r="L155" s="1146"/>
      <c r="M155" s="1146"/>
      <c r="N155" s="1146"/>
      <c r="O155" s="1146"/>
      <c r="P155" s="1146"/>
      <c r="Q155" s="1146"/>
      <c r="R155" s="1146"/>
      <c r="S155" s="1146"/>
      <c r="T155" s="1147"/>
      <c r="U155" s="1147" t="s">
        <v>363</v>
      </c>
      <c r="V155" s="1147"/>
      <c r="W155" s="1208">
        <f t="shared" si="79"/>
        <v>32000</v>
      </c>
      <c r="X155" s="1208">
        <f t="shared" si="78"/>
        <v>32764.35</v>
      </c>
      <c r="Y155" s="1208">
        <f t="shared" si="78"/>
        <v>33826.1</v>
      </c>
      <c r="Z155" s="1208">
        <f t="shared" si="78"/>
        <v>35236.199999999997</v>
      </c>
      <c r="AA155" s="1208">
        <f t="shared" si="78"/>
        <v>36646.700000000004</v>
      </c>
      <c r="AB155" s="1208">
        <f t="shared" si="78"/>
        <v>38057.300000000003</v>
      </c>
      <c r="AC155" s="1208">
        <f t="shared" si="78"/>
        <v>39467.4</v>
      </c>
      <c r="AD155" s="1208">
        <f t="shared" si="78"/>
        <v>40878.30000000001</v>
      </c>
      <c r="AE155" s="1208">
        <f t="shared" si="78"/>
        <v>42224.9</v>
      </c>
      <c r="AF155" s="1208">
        <f t="shared" si="78"/>
        <v>43571.549999999996</v>
      </c>
      <c r="AG155" s="1208">
        <f t="shared" si="78"/>
        <v>44918.149999999994</v>
      </c>
      <c r="AH155" s="1208">
        <f t="shared" si="78"/>
        <v>46264.75</v>
      </c>
      <c r="AI155" s="1208">
        <f t="shared" si="78"/>
        <v>47612.15</v>
      </c>
      <c r="AJ155" s="1208">
        <f t="shared" si="78"/>
        <v>48610</v>
      </c>
      <c r="AK155" s="1208">
        <f t="shared" si="78"/>
        <v>49374.35</v>
      </c>
      <c r="AL155" s="1208">
        <f t="shared" si="78"/>
        <v>50138.7</v>
      </c>
      <c r="AM155" s="1208">
        <f t="shared" si="78"/>
        <v>50903.049999999996</v>
      </c>
      <c r="AN155" s="1208">
        <f t="shared" si="78"/>
        <v>51667.549999999996</v>
      </c>
      <c r="AO155" s="1208">
        <f t="shared" si="78"/>
        <v>52431.899999999994</v>
      </c>
      <c r="AP155" s="1208">
        <f t="shared" si="78"/>
        <v>53196.4</v>
      </c>
      <c r="AQ155" s="1208">
        <f t="shared" si="78"/>
        <v>53960.75</v>
      </c>
      <c r="AR155" s="1208">
        <f t="shared" si="78"/>
        <v>54725.1</v>
      </c>
      <c r="AS155" s="1208">
        <f t="shared" si="78"/>
        <v>55489.599999999999</v>
      </c>
      <c r="AT155" s="1208">
        <f t="shared" si="78"/>
        <v>56253.95</v>
      </c>
      <c r="AU155" s="1208">
        <f t="shared" si="78"/>
        <v>57018.299999999996</v>
      </c>
      <c r="AV155" s="1208">
        <f t="shared" si="78"/>
        <v>57782.799999999996</v>
      </c>
      <c r="AW155" s="1147"/>
      <c r="AX155" s="1147"/>
      <c r="AY155" s="1147"/>
      <c r="AZ155" s="1147"/>
      <c r="BA155" s="1147"/>
      <c r="BB155" s="1147"/>
      <c r="BC155" s="1147"/>
      <c r="BD155" s="1147"/>
      <c r="BE155" s="1147"/>
      <c r="BF155" s="1147"/>
      <c r="BG155" s="1147"/>
      <c r="BH155" s="1147"/>
      <c r="BI155" s="1147"/>
      <c r="BJ155" s="1147"/>
      <c r="BK155" s="1147"/>
      <c r="BL155" s="1147"/>
      <c r="BM155" s="1147"/>
      <c r="BN155" s="1147"/>
      <c r="BO155" s="1147"/>
      <c r="BP155" s="1147"/>
      <c r="BQ155" s="1147"/>
      <c r="BR155" s="1147"/>
      <c r="BS155" s="1147"/>
      <c r="BT155" s="1147"/>
      <c r="BU155" s="1147"/>
      <c r="BV155" s="1147"/>
      <c r="BW155" s="1147"/>
      <c r="BX155" s="1147"/>
      <c r="BY155" s="1147"/>
      <c r="BZ155" s="1147"/>
      <c r="CA155" s="1147"/>
      <c r="CB155" s="1147"/>
      <c r="CC155" s="1147"/>
      <c r="CD155" s="1147"/>
      <c r="CE155" s="1147"/>
      <c r="CF155" s="1147"/>
      <c r="CG155" s="1147"/>
      <c r="CH155" s="1147"/>
      <c r="CI155" s="1147"/>
      <c r="CJ155" s="1147"/>
      <c r="CK155" s="1146"/>
    </row>
    <row r="156" spans="1:89" ht="15" x14ac:dyDescent="0.25">
      <c r="A156" s="1146"/>
      <c r="B156" s="1146"/>
      <c r="C156" s="1146"/>
      <c r="D156" s="1146"/>
      <c r="E156" s="1146"/>
      <c r="F156" s="1146"/>
      <c r="G156" s="1146"/>
      <c r="H156" s="1146"/>
      <c r="I156" s="1146"/>
      <c r="J156" s="1146"/>
      <c r="K156" s="1146"/>
      <c r="L156" s="1146"/>
      <c r="M156" s="1146"/>
      <c r="N156" s="1146"/>
      <c r="O156" s="1146"/>
      <c r="P156" s="1146"/>
      <c r="Q156" s="1146"/>
      <c r="R156" s="1146"/>
      <c r="S156" s="1146"/>
      <c r="T156" s="1147"/>
      <c r="U156" s="1147" t="s">
        <v>379</v>
      </c>
      <c r="V156" s="1147"/>
      <c r="W156" s="1208">
        <f t="shared" si="79"/>
        <v>10000</v>
      </c>
      <c r="X156" s="1208">
        <f t="shared" si="78"/>
        <v>10288.270000000002</v>
      </c>
      <c r="Y156" s="1208">
        <f t="shared" si="78"/>
        <v>10600.29</v>
      </c>
      <c r="Z156" s="1208">
        <f t="shared" si="78"/>
        <v>11014.24</v>
      </c>
      <c r="AA156" s="1208">
        <f t="shared" si="78"/>
        <v>11428.259999999998</v>
      </c>
      <c r="AB156" s="1208">
        <f t="shared" si="78"/>
        <v>11842.449999999999</v>
      </c>
      <c r="AC156" s="1208">
        <f t="shared" si="78"/>
        <v>12256.400000000001</v>
      </c>
      <c r="AD156" s="1208">
        <f t="shared" si="78"/>
        <v>12670.460000000001</v>
      </c>
      <c r="AE156" s="1208">
        <f t="shared" si="78"/>
        <v>13126.080000000002</v>
      </c>
      <c r="AF156" s="1208">
        <f t="shared" si="78"/>
        <v>13581.55</v>
      </c>
      <c r="AG156" s="1208">
        <f t="shared" si="78"/>
        <v>14037.17</v>
      </c>
      <c r="AH156" s="1208">
        <f t="shared" si="78"/>
        <v>14492.789999999999</v>
      </c>
      <c r="AI156" s="1208">
        <f t="shared" si="78"/>
        <v>14948.670000000002</v>
      </c>
      <c r="AJ156" s="1208">
        <f t="shared" si="78"/>
        <v>15302.32</v>
      </c>
      <c r="AK156" s="1208">
        <f t="shared" si="78"/>
        <v>15590.59</v>
      </c>
      <c r="AL156" s="1208">
        <f t="shared" si="78"/>
        <v>15878.86</v>
      </c>
      <c r="AM156" s="1208">
        <f t="shared" si="78"/>
        <v>16167.130000000001</v>
      </c>
      <c r="AN156" s="1208">
        <f t="shared" si="78"/>
        <v>16455.37</v>
      </c>
      <c r="AO156" s="1208">
        <f t="shared" si="78"/>
        <v>16743.639999999996</v>
      </c>
      <c r="AP156" s="1208">
        <f t="shared" si="78"/>
        <v>17031.879999999994</v>
      </c>
      <c r="AQ156" s="1208">
        <f t="shared" si="78"/>
        <v>17320.150000000001</v>
      </c>
      <c r="AR156" s="1208">
        <f t="shared" si="78"/>
        <v>17608.420000000002</v>
      </c>
      <c r="AS156" s="1208">
        <f t="shared" si="78"/>
        <v>17896.66</v>
      </c>
      <c r="AT156" s="1208">
        <f t="shared" si="78"/>
        <v>18184.93</v>
      </c>
      <c r="AU156" s="1208">
        <f t="shared" si="78"/>
        <v>18473.2</v>
      </c>
      <c r="AV156" s="1208">
        <f t="shared" si="78"/>
        <v>18761.440000000002</v>
      </c>
      <c r="AW156" s="1147"/>
      <c r="AX156" s="1147"/>
      <c r="AY156" s="1147"/>
      <c r="AZ156" s="1147"/>
      <c r="BA156" s="1147"/>
      <c r="BB156" s="1147"/>
      <c r="BC156" s="1147"/>
      <c r="BD156" s="1147"/>
      <c r="BE156" s="1147"/>
      <c r="BF156" s="1147"/>
      <c r="BG156" s="1147"/>
      <c r="BH156" s="1147"/>
      <c r="BI156" s="1147"/>
      <c r="BJ156" s="1147"/>
      <c r="BK156" s="1147"/>
      <c r="BL156" s="1147"/>
      <c r="BM156" s="1147"/>
      <c r="BN156" s="1147"/>
      <c r="BO156" s="1147"/>
      <c r="BP156" s="1147"/>
      <c r="BQ156" s="1147"/>
      <c r="BR156" s="1147"/>
      <c r="BS156" s="1147"/>
      <c r="BT156" s="1147"/>
      <c r="BU156" s="1147"/>
      <c r="BV156" s="1147"/>
      <c r="BW156" s="1147"/>
      <c r="BX156" s="1147"/>
      <c r="BY156" s="1147"/>
      <c r="BZ156" s="1147"/>
      <c r="CA156" s="1147"/>
      <c r="CB156" s="1147"/>
      <c r="CC156" s="1147"/>
      <c r="CD156" s="1147"/>
      <c r="CE156" s="1147"/>
      <c r="CF156" s="1147"/>
      <c r="CG156" s="1147"/>
      <c r="CH156" s="1147"/>
      <c r="CI156" s="1147"/>
      <c r="CJ156" s="1147"/>
      <c r="CK156" s="1146"/>
    </row>
    <row r="157" spans="1:89" ht="15" x14ac:dyDescent="0.25">
      <c r="A157" s="1146"/>
      <c r="B157" s="1146"/>
      <c r="C157" s="1146"/>
      <c r="D157" s="1146"/>
      <c r="E157" s="1146"/>
      <c r="F157" s="1146"/>
      <c r="G157" s="1146"/>
      <c r="H157" s="1146"/>
      <c r="I157" s="1146"/>
      <c r="J157" s="1146"/>
      <c r="K157" s="1146"/>
      <c r="L157" s="1146"/>
      <c r="M157" s="1146"/>
      <c r="N157" s="1146"/>
      <c r="O157" s="1146"/>
      <c r="P157" s="1146"/>
      <c r="Q157" s="1146"/>
      <c r="R157" s="1146"/>
      <c r="S157" s="1146"/>
      <c r="T157" s="1147"/>
      <c r="U157" s="1147" t="s">
        <v>380</v>
      </c>
      <c r="V157" s="1147"/>
      <c r="W157" s="1208">
        <f t="shared" si="79"/>
        <v>7600</v>
      </c>
      <c r="X157" s="1208">
        <f t="shared" si="78"/>
        <v>7815.7</v>
      </c>
      <c r="Y157" s="1208">
        <f t="shared" si="78"/>
        <v>8055.07</v>
      </c>
      <c r="Z157" s="1208">
        <f t="shared" si="78"/>
        <v>8391.0499999999993</v>
      </c>
      <c r="AA157" s="1208">
        <f t="shared" si="78"/>
        <v>8727.09</v>
      </c>
      <c r="AB157" s="1208">
        <f t="shared" si="78"/>
        <v>9063.1999999999989</v>
      </c>
      <c r="AC157" s="1208">
        <f t="shared" si="78"/>
        <v>9399.18</v>
      </c>
      <c r="AD157" s="1208">
        <f t="shared" si="78"/>
        <v>9735.18</v>
      </c>
      <c r="AE157" s="1208">
        <f t="shared" si="78"/>
        <v>10112.830000000002</v>
      </c>
      <c r="AF157" s="1208">
        <f t="shared" si="78"/>
        <v>10490.349999999999</v>
      </c>
      <c r="AG157" s="1208">
        <f t="shared" si="78"/>
        <v>10867.999999999998</v>
      </c>
      <c r="AH157" s="1208">
        <f t="shared" si="78"/>
        <v>11245.649999999998</v>
      </c>
      <c r="AI157" s="1208">
        <f t="shared" si="78"/>
        <v>11623.36</v>
      </c>
      <c r="AJ157" s="1208">
        <f t="shared" si="78"/>
        <v>11904.439999999999</v>
      </c>
      <c r="AK157" s="1208">
        <f t="shared" si="78"/>
        <v>12120.14</v>
      </c>
      <c r="AL157" s="1208">
        <f t="shared" si="78"/>
        <v>12335.84</v>
      </c>
      <c r="AM157" s="1208">
        <f t="shared" si="78"/>
        <v>12551.539999999999</v>
      </c>
      <c r="AN157" s="1208">
        <f t="shared" si="78"/>
        <v>12767.129999999997</v>
      </c>
      <c r="AO157" s="1208">
        <f t="shared" si="78"/>
        <v>12982.829999999998</v>
      </c>
      <c r="AP157" s="1208">
        <f t="shared" si="78"/>
        <v>13198.42</v>
      </c>
      <c r="AQ157" s="1208">
        <f t="shared" si="78"/>
        <v>13414.119999999999</v>
      </c>
      <c r="AR157" s="1208">
        <f t="shared" si="78"/>
        <v>13629.82</v>
      </c>
      <c r="AS157" s="1208">
        <f t="shared" si="78"/>
        <v>13845.409999999998</v>
      </c>
      <c r="AT157" s="1208">
        <f t="shared" si="78"/>
        <v>14061.109999999999</v>
      </c>
      <c r="AU157" s="1208">
        <f t="shared" si="78"/>
        <v>14276.809999999998</v>
      </c>
      <c r="AV157" s="1208">
        <f t="shared" si="78"/>
        <v>14492.399999999998</v>
      </c>
      <c r="AW157" s="1147"/>
      <c r="AX157" s="1147"/>
      <c r="AY157" s="1147"/>
      <c r="AZ157" s="1147"/>
      <c r="BA157" s="1147"/>
      <c r="BB157" s="1147"/>
      <c r="BC157" s="1147"/>
      <c r="BD157" s="1147"/>
      <c r="BE157" s="1147"/>
      <c r="BF157" s="1147"/>
      <c r="BG157" s="1147"/>
      <c r="BH157" s="1147"/>
      <c r="BI157" s="1147"/>
      <c r="BJ157" s="1147"/>
      <c r="BK157" s="1147"/>
      <c r="BL157" s="1147"/>
      <c r="BM157" s="1147"/>
      <c r="BN157" s="1147"/>
      <c r="BO157" s="1147"/>
      <c r="BP157" s="1147"/>
      <c r="BQ157" s="1147"/>
      <c r="BR157" s="1147"/>
      <c r="BS157" s="1147"/>
      <c r="BT157" s="1147"/>
      <c r="BU157" s="1147"/>
      <c r="BV157" s="1147"/>
      <c r="BW157" s="1147"/>
      <c r="BX157" s="1147"/>
      <c r="BY157" s="1147"/>
      <c r="BZ157" s="1147"/>
      <c r="CA157" s="1147"/>
      <c r="CB157" s="1147"/>
      <c r="CC157" s="1147"/>
      <c r="CD157" s="1147"/>
      <c r="CE157" s="1147"/>
      <c r="CF157" s="1147"/>
      <c r="CG157" s="1147"/>
      <c r="CH157" s="1147"/>
      <c r="CI157" s="1147"/>
      <c r="CJ157" s="1147"/>
      <c r="CK157" s="1146"/>
    </row>
    <row r="158" spans="1:89" ht="15" x14ac:dyDescent="0.25">
      <c r="A158" s="1146"/>
      <c r="B158" s="1146"/>
      <c r="C158" s="1146"/>
      <c r="D158" s="1146"/>
      <c r="E158" s="1146"/>
      <c r="F158" s="1146"/>
      <c r="G158" s="1146"/>
      <c r="H158" s="1146"/>
      <c r="I158" s="1146"/>
      <c r="J158" s="1146"/>
      <c r="K158" s="1146"/>
      <c r="L158" s="1146"/>
      <c r="M158" s="1146"/>
      <c r="N158" s="1146"/>
      <c r="O158" s="1146"/>
      <c r="P158" s="1146"/>
      <c r="Q158" s="1146"/>
      <c r="R158" s="1146"/>
      <c r="S158" s="1146"/>
      <c r="T158" s="1147"/>
      <c r="U158" s="1147" t="s">
        <v>381</v>
      </c>
      <c r="V158" s="1147"/>
      <c r="W158" s="1208">
        <f t="shared" si="79"/>
        <v>6000</v>
      </c>
      <c r="X158" s="1208">
        <f t="shared" si="78"/>
        <v>6170.14</v>
      </c>
      <c r="Y158" s="1208">
        <f t="shared" si="78"/>
        <v>6364.0099999999993</v>
      </c>
      <c r="Z158" s="1208">
        <f t="shared" si="78"/>
        <v>6611.7300000000005</v>
      </c>
      <c r="AA158" s="1208">
        <f t="shared" si="78"/>
        <v>6859.53</v>
      </c>
      <c r="AB158" s="1208">
        <f t="shared" si="78"/>
        <v>7107.2900000000027</v>
      </c>
      <c r="AC158" s="1208">
        <f t="shared" si="78"/>
        <v>7355.0100000000011</v>
      </c>
      <c r="AD158" s="1208">
        <f t="shared" si="78"/>
        <v>7602.7800000000016</v>
      </c>
      <c r="AE158" s="1208">
        <f t="shared" si="78"/>
        <v>7882.82</v>
      </c>
      <c r="AF158" s="1208">
        <f t="shared" si="78"/>
        <v>8162.85</v>
      </c>
      <c r="AG158" s="1208">
        <f t="shared" si="78"/>
        <v>8442.85</v>
      </c>
      <c r="AH158" s="1208">
        <f t="shared" si="78"/>
        <v>8722.8900000000012</v>
      </c>
      <c r="AI158" s="1208">
        <f t="shared" si="78"/>
        <v>9002.98</v>
      </c>
      <c r="AJ158" s="1208">
        <f t="shared" si="78"/>
        <v>9229.16</v>
      </c>
      <c r="AK158" s="1208">
        <f t="shared" si="78"/>
        <v>9399.3000000000011</v>
      </c>
      <c r="AL158" s="1208">
        <f t="shared" si="78"/>
        <v>9569.4400000000023</v>
      </c>
      <c r="AM158" s="1208">
        <f t="shared" si="78"/>
        <v>9739.5800000000017</v>
      </c>
      <c r="AN158" s="1208">
        <f t="shared" si="78"/>
        <v>9909.6700000000019</v>
      </c>
      <c r="AO158" s="1208">
        <f t="shared" si="78"/>
        <v>10079.809999999998</v>
      </c>
      <c r="AP158" s="1208">
        <f t="shared" si="78"/>
        <v>10249.899999999998</v>
      </c>
      <c r="AQ158" s="1208">
        <f t="shared" si="78"/>
        <v>10420.039999999997</v>
      </c>
      <c r="AR158" s="1208">
        <f t="shared" si="78"/>
        <v>10590.179999999998</v>
      </c>
      <c r="AS158" s="1208">
        <f t="shared" si="78"/>
        <v>10760.269999999997</v>
      </c>
      <c r="AT158" s="1208">
        <f t="shared" si="78"/>
        <v>10930.409999999998</v>
      </c>
      <c r="AU158" s="1208">
        <f t="shared" si="78"/>
        <v>11100.549999999997</v>
      </c>
      <c r="AV158" s="1208">
        <f t="shared" si="78"/>
        <v>11270.639999999998</v>
      </c>
      <c r="AW158" s="1147"/>
      <c r="AX158" s="1147"/>
      <c r="AY158" s="1147"/>
      <c r="AZ158" s="1147"/>
      <c r="BA158" s="1147"/>
      <c r="BB158" s="1147"/>
      <c r="BC158" s="1147"/>
      <c r="BD158" s="1147"/>
      <c r="BE158" s="1147"/>
      <c r="BF158" s="1147"/>
      <c r="BG158" s="1147"/>
      <c r="BH158" s="1147"/>
      <c r="BI158" s="1147"/>
      <c r="BJ158" s="1147"/>
      <c r="BK158" s="1147"/>
      <c r="BL158" s="1147"/>
      <c r="BM158" s="1147"/>
      <c r="BN158" s="1147"/>
      <c r="BO158" s="1147"/>
      <c r="BP158" s="1147"/>
      <c r="BQ158" s="1147"/>
      <c r="BR158" s="1147"/>
      <c r="BS158" s="1147"/>
      <c r="BT158" s="1147"/>
      <c r="BU158" s="1147"/>
      <c r="BV158" s="1147"/>
      <c r="BW158" s="1147"/>
      <c r="BX158" s="1147"/>
      <c r="BY158" s="1147"/>
      <c r="BZ158" s="1147"/>
      <c r="CA158" s="1147"/>
      <c r="CB158" s="1147"/>
      <c r="CC158" s="1147"/>
      <c r="CD158" s="1147"/>
      <c r="CE158" s="1147"/>
      <c r="CF158" s="1147"/>
      <c r="CG158" s="1147"/>
      <c r="CH158" s="1147"/>
      <c r="CI158" s="1147"/>
      <c r="CJ158" s="1147"/>
      <c r="CK158" s="1146"/>
    </row>
    <row r="159" spans="1:89" ht="15" x14ac:dyDescent="0.25">
      <c r="A159" s="1146"/>
      <c r="B159" s="1146"/>
      <c r="C159" s="1146"/>
      <c r="D159" s="1146"/>
      <c r="E159" s="1146"/>
      <c r="F159" s="1146"/>
      <c r="G159" s="1146"/>
      <c r="H159" s="1146"/>
      <c r="I159" s="1146"/>
      <c r="J159" s="1146"/>
      <c r="K159" s="1146"/>
      <c r="L159" s="1146"/>
      <c r="M159" s="1146"/>
      <c r="N159" s="1146"/>
      <c r="O159" s="1146"/>
      <c r="P159" s="1146"/>
      <c r="Q159" s="1146"/>
      <c r="R159" s="1146"/>
      <c r="S159" s="1146"/>
      <c r="T159" s="1147"/>
      <c r="U159" s="1147" t="s">
        <v>371</v>
      </c>
      <c r="V159" s="1147"/>
      <c r="W159" s="1208">
        <f t="shared" si="79"/>
        <v>4000</v>
      </c>
      <c r="X159" s="1208">
        <f t="shared" si="78"/>
        <v>4404.62</v>
      </c>
      <c r="Y159" s="1208">
        <f t="shared" si="78"/>
        <v>5309.24</v>
      </c>
      <c r="Z159" s="1208">
        <f t="shared" si="78"/>
        <v>7126.2400000000007</v>
      </c>
      <c r="AA159" s="1208">
        <f t="shared" si="78"/>
        <v>8944.3599999999988</v>
      </c>
      <c r="AB159" s="1208">
        <f t="shared" si="78"/>
        <v>10762.279999999999</v>
      </c>
      <c r="AC159" s="1208">
        <f t="shared" si="78"/>
        <v>12579.279999999999</v>
      </c>
      <c r="AD159" s="1208">
        <f t="shared" si="78"/>
        <v>14398.52</v>
      </c>
      <c r="AE159" s="1208">
        <f t="shared" si="78"/>
        <v>16183.639999999998</v>
      </c>
      <c r="AF159" s="1208">
        <f t="shared" si="78"/>
        <v>17969.659999999996</v>
      </c>
      <c r="AG159" s="1208">
        <f t="shared" si="78"/>
        <v>19754.78</v>
      </c>
      <c r="AH159" s="1208">
        <f t="shared" si="78"/>
        <v>21539.9</v>
      </c>
      <c r="AI159" s="1208">
        <f t="shared" si="78"/>
        <v>23327.260000000002</v>
      </c>
      <c r="AJ159" s="1208">
        <f t="shared" si="78"/>
        <v>24198.879999999997</v>
      </c>
      <c r="AK159" s="1208">
        <f t="shared" si="78"/>
        <v>24603.499999999996</v>
      </c>
      <c r="AL159" s="1208">
        <f t="shared" si="78"/>
        <v>25008.12</v>
      </c>
      <c r="AM159" s="1208">
        <f t="shared" si="78"/>
        <v>25412.739999999998</v>
      </c>
      <c r="AN159" s="1208">
        <f t="shared" si="78"/>
        <v>25817.98</v>
      </c>
      <c r="AO159" s="1208">
        <f t="shared" si="78"/>
        <v>26222.6</v>
      </c>
      <c r="AP159" s="1208">
        <f t="shared" si="78"/>
        <v>26627.839999999997</v>
      </c>
      <c r="AQ159" s="1208">
        <f t="shared" si="78"/>
        <v>27032.459999999995</v>
      </c>
      <c r="AR159" s="1208">
        <f t="shared" ref="X159:AV167" si="80">AR28+AR$6*$V137+AR$7*$W137+AR$8*$X137+AR$9*$Y137+AR$10*$Z137+AR$11*$AA137+AR$12*$AB137+AR$13*$AC137</f>
        <v>27437.079999999998</v>
      </c>
      <c r="AS159" s="1208">
        <f t="shared" si="80"/>
        <v>27842.32</v>
      </c>
      <c r="AT159" s="1208">
        <f t="shared" si="80"/>
        <v>28246.94</v>
      </c>
      <c r="AU159" s="1208">
        <f t="shared" si="80"/>
        <v>28651.559999999998</v>
      </c>
      <c r="AV159" s="1208">
        <f t="shared" si="80"/>
        <v>29056.799999999996</v>
      </c>
      <c r="AW159" s="1147"/>
      <c r="AX159" s="1147"/>
      <c r="AY159" s="1147"/>
      <c r="AZ159" s="1147"/>
      <c r="BA159" s="1147"/>
      <c r="BB159" s="1147"/>
      <c r="BC159" s="1147"/>
      <c r="BD159" s="1147"/>
      <c r="BE159" s="1147"/>
      <c r="BF159" s="1147"/>
      <c r="BG159" s="1147"/>
      <c r="BH159" s="1147"/>
      <c r="BI159" s="1147"/>
      <c r="BJ159" s="1147"/>
      <c r="BK159" s="1147"/>
      <c r="BL159" s="1147"/>
      <c r="BM159" s="1147"/>
      <c r="BN159" s="1147"/>
      <c r="BO159" s="1147"/>
      <c r="BP159" s="1147"/>
      <c r="BQ159" s="1147"/>
      <c r="BR159" s="1147"/>
      <c r="BS159" s="1147"/>
      <c r="BT159" s="1147"/>
      <c r="BU159" s="1147"/>
      <c r="BV159" s="1147"/>
      <c r="BW159" s="1147"/>
      <c r="BX159" s="1147"/>
      <c r="BY159" s="1147"/>
      <c r="BZ159" s="1147"/>
      <c r="CA159" s="1147"/>
      <c r="CB159" s="1147"/>
      <c r="CC159" s="1147"/>
      <c r="CD159" s="1147"/>
      <c r="CE159" s="1147"/>
      <c r="CF159" s="1147"/>
      <c r="CG159" s="1147"/>
      <c r="CH159" s="1147"/>
      <c r="CI159" s="1147"/>
      <c r="CJ159" s="1147"/>
      <c r="CK159" s="1146"/>
    </row>
    <row r="160" spans="1:89" ht="15" x14ac:dyDescent="0.25">
      <c r="A160" s="1146"/>
      <c r="B160" s="1146"/>
      <c r="C160" s="1146"/>
      <c r="D160" s="1146"/>
      <c r="E160" s="1146"/>
      <c r="F160" s="1146"/>
      <c r="G160" s="1146"/>
      <c r="H160" s="1146"/>
      <c r="I160" s="1146"/>
      <c r="J160" s="1146"/>
      <c r="K160" s="1146"/>
      <c r="L160" s="1146"/>
      <c r="M160" s="1146"/>
      <c r="N160" s="1146"/>
      <c r="O160" s="1146"/>
      <c r="P160" s="1146"/>
      <c r="Q160" s="1146"/>
      <c r="R160" s="1146"/>
      <c r="S160" s="1146"/>
      <c r="T160" s="1147"/>
      <c r="U160" s="1147" t="s">
        <v>372</v>
      </c>
      <c r="V160" s="1147"/>
      <c r="W160" s="1208">
        <f t="shared" si="79"/>
        <v>2400</v>
      </c>
      <c r="X160" s="1208">
        <f t="shared" si="80"/>
        <v>2627.8599999999997</v>
      </c>
      <c r="Y160" s="1208">
        <f t="shared" si="80"/>
        <v>2951.1</v>
      </c>
      <c r="Z160" s="1208">
        <f t="shared" si="80"/>
        <v>3477.7799999999997</v>
      </c>
      <c r="AA160" s="1208">
        <f t="shared" si="80"/>
        <v>4004.62</v>
      </c>
      <c r="AB160" s="1208">
        <f t="shared" si="80"/>
        <v>4531.51</v>
      </c>
      <c r="AC160" s="1208">
        <f t="shared" si="80"/>
        <v>5058.1900000000005</v>
      </c>
      <c r="AD160" s="1208">
        <f t="shared" si="80"/>
        <v>5585.4400000000005</v>
      </c>
      <c r="AE160" s="1208">
        <f t="shared" si="80"/>
        <v>6185.2999999999993</v>
      </c>
      <c r="AF160" s="1208">
        <f t="shared" si="80"/>
        <v>6785.4400000000014</v>
      </c>
      <c r="AG160" s="1208">
        <f t="shared" si="80"/>
        <v>7385.2700000000013</v>
      </c>
      <c r="AH160" s="1208">
        <f t="shared" si="80"/>
        <v>7985.13</v>
      </c>
      <c r="AI160" s="1208">
        <f t="shared" si="80"/>
        <v>8585.5399999999991</v>
      </c>
      <c r="AJ160" s="1208">
        <f t="shared" si="80"/>
        <v>8981.52</v>
      </c>
      <c r="AK160" s="1208">
        <f t="shared" si="80"/>
        <v>9209.3799999999992</v>
      </c>
      <c r="AL160" s="1208">
        <f t="shared" si="80"/>
        <v>9437.239999999998</v>
      </c>
      <c r="AM160" s="1208">
        <f t="shared" si="80"/>
        <v>9665.0999999999985</v>
      </c>
      <c r="AN160" s="1208">
        <f t="shared" si="80"/>
        <v>9893.2199999999975</v>
      </c>
      <c r="AO160" s="1208">
        <f t="shared" si="80"/>
        <v>10121.079999999998</v>
      </c>
      <c r="AP160" s="1208">
        <f t="shared" si="80"/>
        <v>10349.199999999999</v>
      </c>
      <c r="AQ160" s="1208">
        <f t="shared" si="80"/>
        <v>10577.06</v>
      </c>
      <c r="AR160" s="1208">
        <f t="shared" si="80"/>
        <v>10804.92</v>
      </c>
      <c r="AS160" s="1208">
        <f t="shared" si="80"/>
        <v>11033.039999999999</v>
      </c>
      <c r="AT160" s="1208">
        <f t="shared" si="80"/>
        <v>11260.899999999998</v>
      </c>
      <c r="AU160" s="1208">
        <f t="shared" si="80"/>
        <v>11488.759999999998</v>
      </c>
      <c r="AV160" s="1208">
        <f t="shared" si="80"/>
        <v>11716.88</v>
      </c>
      <c r="AW160" s="1147"/>
      <c r="AX160" s="1147"/>
      <c r="AY160" s="1147"/>
      <c r="AZ160" s="1147"/>
      <c r="BA160" s="1147"/>
      <c r="BB160" s="1147"/>
      <c r="BC160" s="1147"/>
      <c r="BD160" s="1147"/>
      <c r="BE160" s="1147"/>
      <c r="BF160" s="1147"/>
      <c r="BG160" s="1147"/>
      <c r="BH160" s="1147"/>
      <c r="BI160" s="1147"/>
      <c r="BJ160" s="1147"/>
      <c r="BK160" s="1147"/>
      <c r="BL160" s="1147"/>
      <c r="BM160" s="1147"/>
      <c r="BN160" s="1147"/>
      <c r="BO160" s="1147"/>
      <c r="BP160" s="1147"/>
      <c r="BQ160" s="1147"/>
      <c r="BR160" s="1147"/>
      <c r="BS160" s="1147"/>
      <c r="BT160" s="1147"/>
      <c r="BU160" s="1147"/>
      <c r="BV160" s="1147"/>
      <c r="BW160" s="1147"/>
      <c r="BX160" s="1147"/>
      <c r="BY160" s="1147"/>
      <c r="BZ160" s="1147"/>
      <c r="CA160" s="1147"/>
      <c r="CB160" s="1147"/>
      <c r="CC160" s="1147"/>
      <c r="CD160" s="1147"/>
      <c r="CE160" s="1147"/>
      <c r="CF160" s="1147"/>
      <c r="CG160" s="1147"/>
      <c r="CH160" s="1147"/>
      <c r="CI160" s="1147"/>
      <c r="CJ160" s="1147"/>
      <c r="CK160" s="1146"/>
    </row>
    <row r="161" spans="1:89" ht="15" x14ac:dyDescent="0.25">
      <c r="A161" s="1146"/>
      <c r="B161" s="1146"/>
      <c r="C161" s="1146"/>
      <c r="D161" s="1146"/>
      <c r="E161" s="1146"/>
      <c r="F161" s="1146"/>
      <c r="G161" s="1146"/>
      <c r="H161" s="1146"/>
      <c r="I161" s="1146"/>
      <c r="J161" s="1146"/>
      <c r="K161" s="1146"/>
      <c r="L161" s="1146"/>
      <c r="M161" s="1146"/>
      <c r="N161" s="1146"/>
      <c r="O161" s="1146"/>
      <c r="P161" s="1146"/>
      <c r="Q161" s="1146"/>
      <c r="R161" s="1146"/>
      <c r="S161" s="1146"/>
      <c r="T161" s="1147"/>
      <c r="U161" s="1147" t="s">
        <v>373</v>
      </c>
      <c r="V161" s="1147"/>
      <c r="W161" s="1208">
        <f t="shared" si="79"/>
        <v>6000</v>
      </c>
      <c r="X161" s="1208">
        <f t="shared" si="80"/>
        <v>6168.0199999999995</v>
      </c>
      <c r="Y161" s="1208">
        <f t="shared" si="80"/>
        <v>6407.46</v>
      </c>
      <c r="Z161" s="1208">
        <f t="shared" si="80"/>
        <v>6743.52</v>
      </c>
      <c r="AA161" s="1208">
        <f t="shared" si="80"/>
        <v>7079.7199999999984</v>
      </c>
      <c r="AB161" s="1208">
        <f t="shared" si="80"/>
        <v>7415.8900000000021</v>
      </c>
      <c r="AC161" s="1208">
        <f t="shared" si="80"/>
        <v>7751.9500000000016</v>
      </c>
      <c r="AD161" s="1208">
        <f t="shared" si="80"/>
        <v>8088.2800000000007</v>
      </c>
      <c r="AE161" s="1208">
        <f t="shared" si="80"/>
        <v>8427.7999999999993</v>
      </c>
      <c r="AF161" s="1208">
        <f t="shared" si="80"/>
        <v>8767.42</v>
      </c>
      <c r="AG161" s="1208">
        <f t="shared" si="80"/>
        <v>9106.909999999998</v>
      </c>
      <c r="AH161" s="1208">
        <f t="shared" si="80"/>
        <v>9446.43</v>
      </c>
      <c r="AI161" s="1208">
        <f t="shared" si="80"/>
        <v>9786.2200000000012</v>
      </c>
      <c r="AJ161" s="1208">
        <f t="shared" si="80"/>
        <v>10028.960000000001</v>
      </c>
      <c r="AK161" s="1208">
        <f t="shared" si="80"/>
        <v>10196.98</v>
      </c>
      <c r="AL161" s="1208">
        <f t="shared" si="80"/>
        <v>10365</v>
      </c>
      <c r="AM161" s="1208">
        <f t="shared" si="80"/>
        <v>10533.019999999999</v>
      </c>
      <c r="AN161" s="1208">
        <f t="shared" si="80"/>
        <v>10701.119999999999</v>
      </c>
      <c r="AO161" s="1208">
        <f t="shared" si="80"/>
        <v>10869.140000000001</v>
      </c>
      <c r="AP161" s="1208">
        <f t="shared" si="80"/>
        <v>11037.240000000002</v>
      </c>
      <c r="AQ161" s="1208">
        <f t="shared" si="80"/>
        <v>11205.26</v>
      </c>
      <c r="AR161" s="1208">
        <f t="shared" si="80"/>
        <v>11373.28</v>
      </c>
      <c r="AS161" s="1208">
        <f t="shared" si="80"/>
        <v>11541.38</v>
      </c>
      <c r="AT161" s="1208">
        <f t="shared" si="80"/>
        <v>11709.399999999998</v>
      </c>
      <c r="AU161" s="1208">
        <f t="shared" si="80"/>
        <v>11877.419999999998</v>
      </c>
      <c r="AV161" s="1208">
        <f t="shared" si="80"/>
        <v>12045.519999999999</v>
      </c>
      <c r="AW161" s="1147"/>
      <c r="AX161" s="1147"/>
      <c r="AY161" s="1147"/>
      <c r="AZ161" s="1147"/>
      <c r="BA161" s="1147"/>
      <c r="BB161" s="1147"/>
      <c r="BC161" s="1147"/>
      <c r="BD161" s="1147"/>
      <c r="BE161" s="1147"/>
      <c r="BF161" s="1147"/>
      <c r="BG161" s="1147"/>
      <c r="BH161" s="1147"/>
      <c r="BI161" s="1147"/>
      <c r="BJ161" s="1147"/>
      <c r="BK161" s="1147"/>
      <c r="BL161" s="1147"/>
      <c r="BM161" s="1147"/>
      <c r="BN161" s="1147"/>
      <c r="BO161" s="1147"/>
      <c r="BP161" s="1147"/>
      <c r="BQ161" s="1147"/>
      <c r="BR161" s="1147"/>
      <c r="BS161" s="1147"/>
      <c r="BT161" s="1147"/>
      <c r="BU161" s="1147"/>
      <c r="BV161" s="1147"/>
      <c r="BW161" s="1147"/>
      <c r="BX161" s="1147"/>
      <c r="BY161" s="1147"/>
      <c r="BZ161" s="1147"/>
      <c r="CA161" s="1147"/>
      <c r="CB161" s="1147"/>
      <c r="CC161" s="1147"/>
      <c r="CD161" s="1147"/>
      <c r="CE161" s="1147"/>
      <c r="CF161" s="1147"/>
      <c r="CG161" s="1147"/>
      <c r="CH161" s="1147"/>
      <c r="CI161" s="1147"/>
      <c r="CJ161" s="1147"/>
      <c r="CK161" s="1146"/>
    </row>
    <row r="162" spans="1:89" ht="15" x14ac:dyDescent="0.25">
      <c r="A162" s="1146"/>
      <c r="B162" s="1146"/>
      <c r="C162" s="1146"/>
      <c r="D162" s="1146"/>
      <c r="E162" s="1146"/>
      <c r="F162" s="1146"/>
      <c r="G162" s="1146"/>
      <c r="H162" s="1146"/>
      <c r="I162" s="1146"/>
      <c r="J162" s="1146"/>
      <c r="K162" s="1146"/>
      <c r="L162" s="1146"/>
      <c r="M162" s="1146"/>
      <c r="N162" s="1146"/>
      <c r="O162" s="1146"/>
      <c r="P162" s="1146"/>
      <c r="Q162" s="1146"/>
      <c r="R162" s="1146"/>
      <c r="S162" s="1146"/>
      <c r="T162" s="1147"/>
      <c r="U162" s="1147" t="s">
        <v>375</v>
      </c>
      <c r="V162" s="1147"/>
      <c r="W162" s="1208">
        <f t="shared" si="79"/>
        <v>100</v>
      </c>
      <c r="X162" s="1208">
        <f t="shared" si="80"/>
        <v>222.24999999999997</v>
      </c>
      <c r="Y162" s="1208">
        <f t="shared" si="80"/>
        <v>939.35</v>
      </c>
      <c r="Z162" s="1208">
        <f t="shared" si="80"/>
        <v>2111.6</v>
      </c>
      <c r="AA162" s="1208">
        <f t="shared" si="80"/>
        <v>3284.5000000000005</v>
      </c>
      <c r="AB162" s="1208">
        <f t="shared" si="80"/>
        <v>4457.4499999999989</v>
      </c>
      <c r="AC162" s="1208">
        <f t="shared" si="80"/>
        <v>5629.7</v>
      </c>
      <c r="AD162" s="1208">
        <f t="shared" si="80"/>
        <v>6803.3</v>
      </c>
      <c r="AE162" s="1208">
        <f t="shared" si="80"/>
        <v>7708.3000000000011</v>
      </c>
      <c r="AF162" s="1208">
        <f t="shared" si="80"/>
        <v>8613.4500000000007</v>
      </c>
      <c r="AG162" s="1208">
        <f t="shared" si="80"/>
        <v>9518.4499999999989</v>
      </c>
      <c r="AH162" s="1208">
        <f t="shared" si="80"/>
        <v>10423.449999999999</v>
      </c>
      <c r="AI162" s="1208">
        <f t="shared" si="80"/>
        <v>11329.65</v>
      </c>
      <c r="AJ162" s="1208">
        <f t="shared" si="80"/>
        <v>11778.8</v>
      </c>
      <c r="AK162" s="1208">
        <f t="shared" si="80"/>
        <v>11901.050000000001</v>
      </c>
      <c r="AL162" s="1208">
        <f t="shared" si="80"/>
        <v>12023.3</v>
      </c>
      <c r="AM162" s="1208">
        <f t="shared" si="80"/>
        <v>12145.550000000001</v>
      </c>
      <c r="AN162" s="1208">
        <f t="shared" si="80"/>
        <v>12268.150000000001</v>
      </c>
      <c r="AO162" s="1208">
        <f t="shared" si="80"/>
        <v>12390.4</v>
      </c>
      <c r="AP162" s="1208">
        <f t="shared" si="80"/>
        <v>12512.999999999996</v>
      </c>
      <c r="AQ162" s="1208">
        <f t="shared" si="80"/>
        <v>12635.249999999998</v>
      </c>
      <c r="AR162" s="1208">
        <f t="shared" si="80"/>
        <v>12757.499999999998</v>
      </c>
      <c r="AS162" s="1208">
        <f t="shared" si="80"/>
        <v>12880.099999999999</v>
      </c>
      <c r="AT162" s="1208">
        <f t="shared" si="80"/>
        <v>13002.349999999999</v>
      </c>
      <c r="AU162" s="1208">
        <f t="shared" si="80"/>
        <v>13124.599999999999</v>
      </c>
      <c r="AV162" s="1208">
        <f t="shared" si="80"/>
        <v>13247.199999999999</v>
      </c>
      <c r="AW162" s="1147"/>
      <c r="AX162" s="1147"/>
      <c r="AY162" s="1147"/>
      <c r="AZ162" s="1147"/>
      <c r="BA162" s="1147"/>
      <c r="BB162" s="1147"/>
      <c r="BC162" s="1147"/>
      <c r="BD162" s="1147"/>
      <c r="BE162" s="1147"/>
      <c r="BF162" s="1147"/>
      <c r="BG162" s="1147"/>
      <c r="BH162" s="1147"/>
      <c r="BI162" s="1147"/>
      <c r="BJ162" s="1147"/>
      <c r="BK162" s="1147"/>
      <c r="BL162" s="1147"/>
      <c r="BM162" s="1147"/>
      <c r="BN162" s="1147"/>
      <c r="BO162" s="1147"/>
      <c r="BP162" s="1147"/>
      <c r="BQ162" s="1147"/>
      <c r="BR162" s="1147"/>
      <c r="BS162" s="1147"/>
      <c r="BT162" s="1147"/>
      <c r="BU162" s="1147"/>
      <c r="BV162" s="1147"/>
      <c r="BW162" s="1147"/>
      <c r="BX162" s="1147"/>
      <c r="BY162" s="1147"/>
      <c r="BZ162" s="1147"/>
      <c r="CA162" s="1147"/>
      <c r="CB162" s="1147"/>
      <c r="CC162" s="1147"/>
      <c r="CD162" s="1147"/>
      <c r="CE162" s="1147"/>
      <c r="CF162" s="1147"/>
      <c r="CG162" s="1147"/>
      <c r="CH162" s="1147"/>
      <c r="CI162" s="1147"/>
      <c r="CJ162" s="1147"/>
      <c r="CK162" s="1146"/>
    </row>
    <row r="163" spans="1:89" ht="15" x14ac:dyDescent="0.25">
      <c r="A163" s="1146"/>
      <c r="B163" s="1146"/>
      <c r="C163" s="1146"/>
      <c r="D163" s="1146"/>
      <c r="E163" s="1146"/>
      <c r="F163" s="1146"/>
      <c r="G163" s="1146"/>
      <c r="H163" s="1146"/>
      <c r="I163" s="1146"/>
      <c r="J163" s="1146"/>
      <c r="K163" s="1146"/>
      <c r="L163" s="1146"/>
      <c r="M163" s="1146"/>
      <c r="N163" s="1146"/>
      <c r="O163" s="1146"/>
      <c r="P163" s="1146"/>
      <c r="Q163" s="1146"/>
      <c r="R163" s="1146"/>
      <c r="S163" s="1146"/>
      <c r="T163" s="1147"/>
      <c r="U163" s="1147" t="s">
        <v>382</v>
      </c>
      <c r="V163" s="1147"/>
      <c r="W163" s="1208">
        <f t="shared" si="79"/>
        <v>3600</v>
      </c>
      <c r="X163" s="1208">
        <f t="shared" si="80"/>
        <v>3649.43</v>
      </c>
      <c r="Y163" s="1208">
        <f t="shared" si="80"/>
        <v>3734.87</v>
      </c>
      <c r="Z163" s="1208">
        <f t="shared" si="80"/>
        <v>3852.1700000000005</v>
      </c>
      <c r="AA163" s="1208">
        <f t="shared" si="80"/>
        <v>3969.52</v>
      </c>
      <c r="AB163" s="1208">
        <f t="shared" si="80"/>
        <v>4087.0399999999995</v>
      </c>
      <c r="AC163" s="1208">
        <f t="shared" si="80"/>
        <v>4204.34</v>
      </c>
      <c r="AD163" s="1208">
        <f t="shared" si="80"/>
        <v>4322.05</v>
      </c>
      <c r="AE163" s="1208">
        <f t="shared" si="80"/>
        <v>4403.68</v>
      </c>
      <c r="AF163" s="1208">
        <f t="shared" si="80"/>
        <v>4485.32</v>
      </c>
      <c r="AG163" s="1208">
        <f t="shared" si="80"/>
        <v>4566.97</v>
      </c>
      <c r="AH163" s="1208">
        <f t="shared" si="80"/>
        <v>4648.6000000000004</v>
      </c>
      <c r="AI163" s="1208">
        <f t="shared" si="80"/>
        <v>4730.8099999999995</v>
      </c>
      <c r="AJ163" s="1208">
        <f t="shared" si="80"/>
        <v>4780.24</v>
      </c>
      <c r="AK163" s="1208">
        <f t="shared" si="80"/>
        <v>4829.6699999999992</v>
      </c>
      <c r="AL163" s="1208">
        <f t="shared" si="80"/>
        <v>4879.1000000000004</v>
      </c>
      <c r="AM163" s="1208">
        <f t="shared" si="80"/>
        <v>4928.5299999999988</v>
      </c>
      <c r="AN163" s="1208">
        <f t="shared" si="80"/>
        <v>4978.3</v>
      </c>
      <c r="AO163" s="1208">
        <f t="shared" si="80"/>
        <v>5027.7299999999996</v>
      </c>
      <c r="AP163" s="1208">
        <f t="shared" si="80"/>
        <v>5077.3500000000004</v>
      </c>
      <c r="AQ163" s="1208">
        <f t="shared" si="80"/>
        <v>5126.78</v>
      </c>
      <c r="AR163" s="1208">
        <f t="shared" si="80"/>
        <v>5176.2100000000009</v>
      </c>
      <c r="AS163" s="1208">
        <f t="shared" si="80"/>
        <v>5225.9800000000005</v>
      </c>
      <c r="AT163" s="1208">
        <f t="shared" si="80"/>
        <v>5275.4100000000008</v>
      </c>
      <c r="AU163" s="1208">
        <f t="shared" si="80"/>
        <v>5324.84</v>
      </c>
      <c r="AV163" s="1208">
        <f t="shared" si="80"/>
        <v>5374.46</v>
      </c>
      <c r="AW163" s="1147"/>
      <c r="AX163" s="1147"/>
      <c r="AY163" s="1147"/>
      <c r="AZ163" s="1147"/>
      <c r="BA163" s="1147"/>
      <c r="BB163" s="1147"/>
      <c r="BC163" s="1147"/>
      <c r="BD163" s="1147"/>
      <c r="BE163" s="1147"/>
      <c r="BF163" s="1147"/>
      <c r="BG163" s="1147"/>
      <c r="BH163" s="1147"/>
      <c r="BI163" s="1147"/>
      <c r="BJ163" s="1147"/>
      <c r="BK163" s="1147"/>
      <c r="BL163" s="1147"/>
      <c r="BM163" s="1147"/>
      <c r="BN163" s="1147"/>
      <c r="BO163" s="1147"/>
      <c r="BP163" s="1147"/>
      <c r="BQ163" s="1147"/>
      <c r="BR163" s="1147"/>
      <c r="BS163" s="1147"/>
      <c r="BT163" s="1147"/>
      <c r="BU163" s="1147"/>
      <c r="BV163" s="1147"/>
      <c r="BW163" s="1147"/>
      <c r="BX163" s="1147"/>
      <c r="BY163" s="1147"/>
      <c r="BZ163" s="1147"/>
      <c r="CA163" s="1147"/>
      <c r="CB163" s="1147"/>
      <c r="CC163" s="1147"/>
      <c r="CD163" s="1147"/>
      <c r="CE163" s="1147"/>
      <c r="CF163" s="1147"/>
      <c r="CG163" s="1147"/>
      <c r="CH163" s="1147"/>
      <c r="CI163" s="1147"/>
      <c r="CJ163" s="1147"/>
      <c r="CK163" s="1146"/>
    </row>
    <row r="164" spans="1:89" ht="15" x14ac:dyDescent="0.25">
      <c r="A164" s="1146"/>
      <c r="B164" s="1146"/>
      <c r="C164" s="1146"/>
      <c r="D164" s="1146"/>
      <c r="E164" s="1146"/>
      <c r="F164" s="1146"/>
      <c r="G164" s="1146"/>
      <c r="H164" s="1146"/>
      <c r="I164" s="1146"/>
      <c r="J164" s="1146"/>
      <c r="K164" s="1146"/>
      <c r="L164" s="1146"/>
      <c r="M164" s="1146"/>
      <c r="N164" s="1146"/>
      <c r="O164" s="1146"/>
      <c r="P164" s="1146"/>
      <c r="Q164" s="1146"/>
      <c r="R164" s="1146"/>
      <c r="S164" s="1146"/>
      <c r="T164" s="1147"/>
      <c r="U164" s="1147" t="s">
        <v>377</v>
      </c>
      <c r="V164" s="1147"/>
      <c r="W164" s="1208">
        <f t="shared" si="79"/>
        <v>1800</v>
      </c>
      <c r="X164" s="1208">
        <f t="shared" si="80"/>
        <v>1910.68</v>
      </c>
      <c r="Y164" s="1208">
        <f t="shared" si="80"/>
        <v>2057.15</v>
      </c>
      <c r="Z164" s="1208">
        <f t="shared" si="80"/>
        <v>2251.7999999999997</v>
      </c>
      <c r="AA164" s="1208">
        <f t="shared" si="80"/>
        <v>2446.5099999999998</v>
      </c>
      <c r="AB164" s="1208">
        <f t="shared" si="80"/>
        <v>2641.6400000000003</v>
      </c>
      <c r="AC164" s="1208">
        <f t="shared" si="80"/>
        <v>2836.2899999999995</v>
      </c>
      <c r="AD164" s="1208">
        <f t="shared" si="80"/>
        <v>3031.1499999999996</v>
      </c>
      <c r="AE164" s="1208">
        <f t="shared" si="80"/>
        <v>3208.83</v>
      </c>
      <c r="AF164" s="1208">
        <f t="shared" si="80"/>
        <v>3386.36</v>
      </c>
      <c r="AG164" s="1208">
        <f t="shared" si="80"/>
        <v>3564.0499999999997</v>
      </c>
      <c r="AH164" s="1208">
        <f t="shared" si="80"/>
        <v>3741.73</v>
      </c>
      <c r="AI164" s="1208">
        <f t="shared" si="80"/>
        <v>3920.04</v>
      </c>
      <c r="AJ164" s="1208">
        <f t="shared" si="80"/>
        <v>4049.4</v>
      </c>
      <c r="AK164" s="1208">
        <f t="shared" si="80"/>
        <v>4160.08</v>
      </c>
      <c r="AL164" s="1208">
        <f t="shared" si="80"/>
        <v>4270.7599999999993</v>
      </c>
      <c r="AM164" s="1208">
        <f t="shared" si="80"/>
        <v>4381.4399999999996</v>
      </c>
      <c r="AN164" s="1208">
        <f t="shared" si="80"/>
        <v>4492.24</v>
      </c>
      <c r="AO164" s="1208">
        <f t="shared" si="80"/>
        <v>4602.9199999999992</v>
      </c>
      <c r="AP164" s="1208">
        <f t="shared" si="80"/>
        <v>4713.87</v>
      </c>
      <c r="AQ164" s="1208">
        <f t="shared" si="80"/>
        <v>4824.5499999999993</v>
      </c>
      <c r="AR164" s="1208">
        <f t="shared" si="80"/>
        <v>4935.2299999999996</v>
      </c>
      <c r="AS164" s="1208">
        <f t="shared" si="80"/>
        <v>5046.0299999999988</v>
      </c>
      <c r="AT164" s="1208">
        <f t="shared" si="80"/>
        <v>5156.71</v>
      </c>
      <c r="AU164" s="1208">
        <f t="shared" si="80"/>
        <v>5267.3899999999994</v>
      </c>
      <c r="AV164" s="1208">
        <f t="shared" si="80"/>
        <v>5378.3399999999992</v>
      </c>
      <c r="AW164" s="1147"/>
      <c r="AX164" s="1147"/>
      <c r="AY164" s="1147"/>
      <c r="AZ164" s="1147"/>
      <c r="BA164" s="1147"/>
      <c r="BB164" s="1147"/>
      <c r="BC164" s="1147"/>
      <c r="BD164" s="1147"/>
      <c r="BE164" s="1147"/>
      <c r="BF164" s="1147"/>
      <c r="BG164" s="1147"/>
      <c r="BH164" s="1147"/>
      <c r="BI164" s="1147"/>
      <c r="BJ164" s="1147"/>
      <c r="BK164" s="1147"/>
      <c r="BL164" s="1147"/>
      <c r="BM164" s="1147"/>
      <c r="BN164" s="1147"/>
      <c r="BO164" s="1147"/>
      <c r="BP164" s="1147"/>
      <c r="BQ164" s="1147"/>
      <c r="BR164" s="1147"/>
      <c r="BS164" s="1147"/>
      <c r="BT164" s="1147"/>
      <c r="BU164" s="1147"/>
      <c r="BV164" s="1147"/>
      <c r="BW164" s="1147"/>
      <c r="BX164" s="1147"/>
      <c r="BY164" s="1147"/>
      <c r="BZ164" s="1147"/>
      <c r="CA164" s="1147"/>
      <c r="CB164" s="1147"/>
      <c r="CC164" s="1147"/>
      <c r="CD164" s="1147"/>
      <c r="CE164" s="1147"/>
      <c r="CF164" s="1147"/>
      <c r="CG164" s="1147"/>
      <c r="CH164" s="1147"/>
      <c r="CI164" s="1147"/>
      <c r="CJ164" s="1147"/>
      <c r="CK164" s="1146"/>
    </row>
    <row r="165" spans="1:89" ht="15" x14ac:dyDescent="0.25">
      <c r="A165" s="1146"/>
      <c r="B165" s="1146"/>
      <c r="C165" s="1146"/>
      <c r="D165" s="1146"/>
      <c r="E165" s="1146"/>
      <c r="F165" s="1146"/>
      <c r="G165" s="1146"/>
      <c r="H165" s="1146"/>
      <c r="I165" s="1146"/>
      <c r="J165" s="1146"/>
      <c r="K165" s="1146"/>
      <c r="L165" s="1146"/>
      <c r="M165" s="1146"/>
      <c r="N165" s="1146"/>
      <c r="O165" s="1146"/>
      <c r="P165" s="1146"/>
      <c r="Q165" s="1146"/>
      <c r="R165" s="1146"/>
      <c r="S165" s="1146"/>
      <c r="T165" s="1147"/>
      <c r="U165" s="1147" t="s">
        <v>374</v>
      </c>
      <c r="V165" s="1147"/>
      <c r="W165" s="1208">
        <f t="shared" si="79"/>
        <v>20</v>
      </c>
      <c r="X165" s="1208">
        <f t="shared" si="80"/>
        <v>83.07</v>
      </c>
      <c r="Y165" s="1208">
        <f t="shared" si="80"/>
        <v>741.08999999999992</v>
      </c>
      <c r="Z165" s="1208">
        <f t="shared" si="80"/>
        <v>1752.8600000000001</v>
      </c>
      <c r="AA165" s="1208">
        <f t="shared" si="80"/>
        <v>2765.3500000000004</v>
      </c>
      <c r="AB165" s="1208">
        <f t="shared" si="80"/>
        <v>3777.4399999999996</v>
      </c>
      <c r="AC165" s="1208">
        <f t="shared" si="80"/>
        <v>4789.21</v>
      </c>
      <c r="AD165" s="1208">
        <f t="shared" si="80"/>
        <v>5802.3700000000008</v>
      </c>
      <c r="AE165" s="1208">
        <f t="shared" si="80"/>
        <v>6219.64</v>
      </c>
      <c r="AF165" s="1208">
        <f t="shared" si="80"/>
        <v>6637.2300000000005</v>
      </c>
      <c r="AG165" s="1208">
        <f t="shared" si="80"/>
        <v>7054.72</v>
      </c>
      <c r="AH165" s="1208">
        <f t="shared" si="80"/>
        <v>7471.9900000000007</v>
      </c>
      <c r="AI165" s="1208">
        <f t="shared" si="80"/>
        <v>7890.25</v>
      </c>
      <c r="AJ165" s="1208">
        <f t="shared" si="80"/>
        <v>7953.3200000000006</v>
      </c>
      <c r="AK165" s="1208">
        <f t="shared" si="80"/>
        <v>8016.39</v>
      </c>
      <c r="AL165" s="1208">
        <f t="shared" si="80"/>
        <v>8079.4600000000009</v>
      </c>
      <c r="AM165" s="1208">
        <f t="shared" si="80"/>
        <v>8142.53</v>
      </c>
      <c r="AN165" s="1208">
        <f t="shared" si="80"/>
        <v>8206.0500000000011</v>
      </c>
      <c r="AO165" s="1208">
        <f t="shared" si="80"/>
        <v>8269.1200000000008</v>
      </c>
      <c r="AP165" s="1208">
        <f t="shared" si="80"/>
        <v>8332.3900000000012</v>
      </c>
      <c r="AQ165" s="1208">
        <f t="shared" si="80"/>
        <v>8395.4600000000009</v>
      </c>
      <c r="AR165" s="1208">
        <f t="shared" si="80"/>
        <v>8458.5300000000007</v>
      </c>
      <c r="AS165" s="1208">
        <f t="shared" si="80"/>
        <v>8522.0500000000011</v>
      </c>
      <c r="AT165" s="1208">
        <f t="shared" si="80"/>
        <v>8585.1200000000008</v>
      </c>
      <c r="AU165" s="1208">
        <f t="shared" si="80"/>
        <v>8648.19</v>
      </c>
      <c r="AV165" s="1208">
        <f t="shared" si="80"/>
        <v>8711.4599999999991</v>
      </c>
      <c r="AW165" s="1147"/>
      <c r="AX165" s="1147"/>
      <c r="AY165" s="1147"/>
      <c r="AZ165" s="1147"/>
      <c r="BA165" s="1147"/>
      <c r="BB165" s="1147"/>
      <c r="BC165" s="1147"/>
      <c r="BD165" s="1147"/>
      <c r="BE165" s="1147"/>
      <c r="BF165" s="1147"/>
      <c r="BG165" s="1147"/>
      <c r="BH165" s="1147"/>
      <c r="BI165" s="1147"/>
      <c r="BJ165" s="1147"/>
      <c r="BK165" s="1147"/>
      <c r="BL165" s="1147"/>
      <c r="BM165" s="1147"/>
      <c r="BN165" s="1147"/>
      <c r="BO165" s="1147"/>
      <c r="BP165" s="1147"/>
      <c r="BQ165" s="1147"/>
      <c r="BR165" s="1147"/>
      <c r="BS165" s="1147"/>
      <c r="BT165" s="1147"/>
      <c r="BU165" s="1147"/>
      <c r="BV165" s="1147"/>
      <c r="BW165" s="1147"/>
      <c r="BX165" s="1147"/>
      <c r="BY165" s="1147"/>
      <c r="BZ165" s="1147"/>
      <c r="CA165" s="1147"/>
      <c r="CB165" s="1147"/>
      <c r="CC165" s="1147"/>
      <c r="CD165" s="1147"/>
      <c r="CE165" s="1147"/>
      <c r="CF165" s="1147"/>
      <c r="CG165" s="1147"/>
      <c r="CH165" s="1147"/>
      <c r="CI165" s="1147"/>
      <c r="CJ165" s="1147"/>
      <c r="CK165" s="1146"/>
    </row>
    <row r="166" spans="1:89" ht="15" x14ac:dyDescent="0.25">
      <c r="A166" s="1146"/>
      <c r="B166" s="1146"/>
      <c r="C166" s="1146"/>
      <c r="D166" s="1146"/>
      <c r="E166" s="1146"/>
      <c r="F166" s="1146"/>
      <c r="G166" s="1146"/>
      <c r="H166" s="1146"/>
      <c r="I166" s="1146"/>
      <c r="J166" s="1146"/>
      <c r="K166" s="1146"/>
      <c r="L166" s="1146"/>
      <c r="M166" s="1146"/>
      <c r="N166" s="1146"/>
      <c r="O166" s="1146"/>
      <c r="P166" s="1146"/>
      <c r="Q166" s="1146"/>
      <c r="R166" s="1146"/>
      <c r="S166" s="1146"/>
      <c r="T166" s="1147"/>
      <c r="U166" s="1147" t="s">
        <v>376</v>
      </c>
      <c r="V166" s="1147"/>
      <c r="W166" s="1208">
        <f t="shared" si="79"/>
        <v>300</v>
      </c>
      <c r="X166" s="1208">
        <f t="shared" si="80"/>
        <v>443.37</v>
      </c>
      <c r="Y166" s="1208">
        <f t="shared" si="80"/>
        <v>621.98</v>
      </c>
      <c r="Z166" s="1208">
        <f t="shared" si="80"/>
        <v>1004.42</v>
      </c>
      <c r="AA166" s="1208">
        <f t="shared" si="80"/>
        <v>1386.91</v>
      </c>
      <c r="AB166" s="1208">
        <f t="shared" si="80"/>
        <v>1769.56</v>
      </c>
      <c r="AC166" s="1208">
        <f t="shared" si="80"/>
        <v>2152</v>
      </c>
      <c r="AD166" s="1208">
        <f t="shared" si="80"/>
        <v>2534.2400000000002</v>
      </c>
      <c r="AE166" s="1208">
        <f t="shared" si="80"/>
        <v>3301.7599999999998</v>
      </c>
      <c r="AF166" s="1208">
        <f t="shared" si="80"/>
        <v>4068.84</v>
      </c>
      <c r="AG166" s="1208">
        <f t="shared" si="80"/>
        <v>4836.09</v>
      </c>
      <c r="AH166" s="1208">
        <f t="shared" si="80"/>
        <v>5603.61</v>
      </c>
      <c r="AI166" s="1208">
        <f t="shared" si="80"/>
        <v>6370.93</v>
      </c>
      <c r="AJ166" s="1208">
        <f t="shared" si="80"/>
        <v>6934.5999999999995</v>
      </c>
      <c r="AK166" s="1208">
        <f t="shared" si="80"/>
        <v>7077.97</v>
      </c>
      <c r="AL166" s="1208">
        <f t="shared" si="80"/>
        <v>7221.34</v>
      </c>
      <c r="AM166" s="1208">
        <f t="shared" si="80"/>
        <v>7364.7099999999991</v>
      </c>
      <c r="AN166" s="1208">
        <f t="shared" si="80"/>
        <v>7507.6499999999987</v>
      </c>
      <c r="AO166" s="1208">
        <f t="shared" si="80"/>
        <v>7651.0199999999995</v>
      </c>
      <c r="AP166" s="1208">
        <f t="shared" si="80"/>
        <v>7793.9599999999991</v>
      </c>
      <c r="AQ166" s="1208">
        <f t="shared" si="80"/>
        <v>7937.33</v>
      </c>
      <c r="AR166" s="1208">
        <f t="shared" si="80"/>
        <v>8080.7</v>
      </c>
      <c r="AS166" s="1208">
        <f t="shared" si="80"/>
        <v>8223.64</v>
      </c>
      <c r="AT166" s="1208">
        <f t="shared" si="80"/>
        <v>8367.0099999999984</v>
      </c>
      <c r="AU166" s="1208">
        <f t="shared" si="80"/>
        <v>8510.3799999999992</v>
      </c>
      <c r="AV166" s="1208">
        <f t="shared" si="80"/>
        <v>8653.3199999999979</v>
      </c>
      <c r="AW166" s="1147"/>
      <c r="AX166" s="1147"/>
      <c r="AY166" s="1147"/>
      <c r="AZ166" s="1147"/>
      <c r="BA166" s="1147"/>
      <c r="BB166" s="1147"/>
      <c r="BC166" s="1147"/>
      <c r="BD166" s="1147"/>
      <c r="BE166" s="1147"/>
      <c r="BF166" s="1147"/>
      <c r="BG166" s="1147"/>
      <c r="BH166" s="1147"/>
      <c r="BI166" s="1147"/>
      <c r="BJ166" s="1147"/>
      <c r="BK166" s="1147"/>
      <c r="BL166" s="1147"/>
      <c r="BM166" s="1147"/>
      <c r="BN166" s="1147"/>
      <c r="BO166" s="1147"/>
      <c r="BP166" s="1147"/>
      <c r="BQ166" s="1147"/>
      <c r="BR166" s="1147"/>
      <c r="BS166" s="1147"/>
      <c r="BT166" s="1147"/>
      <c r="BU166" s="1147"/>
      <c r="BV166" s="1147"/>
      <c r="BW166" s="1147"/>
      <c r="BX166" s="1147"/>
      <c r="BY166" s="1147"/>
      <c r="BZ166" s="1147"/>
      <c r="CA166" s="1147"/>
      <c r="CB166" s="1147"/>
      <c r="CC166" s="1147"/>
      <c r="CD166" s="1147"/>
      <c r="CE166" s="1147"/>
      <c r="CF166" s="1147"/>
      <c r="CG166" s="1147"/>
      <c r="CH166" s="1147"/>
      <c r="CI166" s="1147"/>
      <c r="CJ166" s="1147"/>
      <c r="CK166" s="1146"/>
    </row>
    <row r="167" spans="1:89" ht="15.75" thickBot="1" x14ac:dyDescent="0.3">
      <c r="A167" s="1146"/>
      <c r="B167" s="1146"/>
      <c r="C167" s="1146"/>
      <c r="D167" s="1146"/>
      <c r="E167" s="1146"/>
      <c r="F167" s="1146"/>
      <c r="G167" s="1146"/>
      <c r="H167" s="1146"/>
      <c r="I167" s="1146"/>
      <c r="J167" s="1146"/>
      <c r="K167" s="1146"/>
      <c r="L167" s="1146"/>
      <c r="M167" s="1146"/>
      <c r="N167" s="1146"/>
      <c r="O167" s="1146"/>
      <c r="P167" s="1146"/>
      <c r="Q167" s="1146"/>
      <c r="R167" s="1146"/>
      <c r="S167" s="1146"/>
      <c r="T167" s="1222"/>
      <c r="U167" s="1222" t="s">
        <v>378</v>
      </c>
      <c r="V167" s="1222"/>
      <c r="W167" s="1225">
        <f t="shared" si="79"/>
        <v>0</v>
      </c>
      <c r="X167" s="1225">
        <f t="shared" si="80"/>
        <v>85.36999999999999</v>
      </c>
      <c r="Y167" s="1225">
        <f t="shared" si="80"/>
        <v>170.76</v>
      </c>
      <c r="Z167" s="1225">
        <f t="shared" si="80"/>
        <v>700.33</v>
      </c>
      <c r="AA167" s="1225">
        <f t="shared" si="80"/>
        <v>1229.93</v>
      </c>
      <c r="AB167" s="1225">
        <f t="shared" si="80"/>
        <v>1760.3200000000002</v>
      </c>
      <c r="AC167" s="1225">
        <f t="shared" si="80"/>
        <v>2289.8900000000003</v>
      </c>
      <c r="AD167" s="1225">
        <f t="shared" si="80"/>
        <v>2819.9100000000003</v>
      </c>
      <c r="AE167" s="1225">
        <f t="shared" si="80"/>
        <v>3770.2300000000005</v>
      </c>
      <c r="AF167" s="1225">
        <f t="shared" si="80"/>
        <v>4720.43</v>
      </c>
      <c r="AG167" s="1225">
        <f t="shared" si="80"/>
        <v>5670.7</v>
      </c>
      <c r="AH167" s="1225">
        <f t="shared" si="80"/>
        <v>6621.02</v>
      </c>
      <c r="AI167" s="1225">
        <f t="shared" si="80"/>
        <v>7572.21</v>
      </c>
      <c r="AJ167" s="1225">
        <f t="shared" si="80"/>
        <v>8077.88</v>
      </c>
      <c r="AK167" s="1225">
        <f t="shared" si="80"/>
        <v>8163.2500000000009</v>
      </c>
      <c r="AL167" s="1225">
        <f t="shared" si="80"/>
        <v>8248.6200000000008</v>
      </c>
      <c r="AM167" s="1225">
        <f t="shared" si="80"/>
        <v>8333.9900000000016</v>
      </c>
      <c r="AN167" s="1225">
        <f t="shared" si="80"/>
        <v>8419.380000000001</v>
      </c>
      <c r="AO167" s="1225">
        <f t="shared" si="80"/>
        <v>8504.7500000000018</v>
      </c>
      <c r="AP167" s="1225">
        <f t="shared" si="80"/>
        <v>8590.3900000000012</v>
      </c>
      <c r="AQ167" s="1225">
        <f t="shared" si="80"/>
        <v>8675.760000000002</v>
      </c>
      <c r="AR167" s="1225">
        <f t="shared" si="80"/>
        <v>8761.130000000001</v>
      </c>
      <c r="AS167" s="1225">
        <f t="shared" si="80"/>
        <v>8846.52</v>
      </c>
      <c r="AT167" s="1225">
        <f t="shared" si="80"/>
        <v>8931.8900000000012</v>
      </c>
      <c r="AU167" s="1225">
        <f t="shared" si="80"/>
        <v>9017.26</v>
      </c>
      <c r="AV167" s="1225">
        <f t="shared" si="80"/>
        <v>9102.9000000000015</v>
      </c>
      <c r="AW167" s="1147"/>
      <c r="AX167" s="1147"/>
      <c r="AY167" s="1147"/>
      <c r="AZ167" s="1147"/>
      <c r="BA167" s="1147"/>
      <c r="BB167" s="1147"/>
      <c r="BC167" s="1147"/>
      <c r="BD167" s="1147"/>
      <c r="BE167" s="1147"/>
      <c r="BF167" s="1147"/>
      <c r="BG167" s="1147"/>
      <c r="BH167" s="1147"/>
      <c r="BI167" s="1147"/>
      <c r="BJ167" s="1147"/>
      <c r="BK167" s="1147"/>
      <c r="BL167" s="1147"/>
      <c r="BM167" s="1147"/>
      <c r="BN167" s="1147"/>
      <c r="BO167" s="1147"/>
      <c r="BP167" s="1147"/>
      <c r="BQ167" s="1147"/>
      <c r="BR167" s="1147"/>
      <c r="BS167" s="1147"/>
      <c r="BT167" s="1147"/>
      <c r="BU167" s="1147"/>
      <c r="BV167" s="1147"/>
      <c r="BW167" s="1147"/>
      <c r="BX167" s="1147"/>
      <c r="BY167" s="1147"/>
      <c r="BZ167" s="1147"/>
      <c r="CA167" s="1147"/>
      <c r="CB167" s="1147"/>
      <c r="CC167" s="1147"/>
      <c r="CD167" s="1147"/>
      <c r="CE167" s="1147"/>
      <c r="CF167" s="1147"/>
      <c r="CG167" s="1147"/>
      <c r="CH167" s="1147"/>
      <c r="CI167" s="1147"/>
      <c r="CJ167" s="1147"/>
      <c r="CK167" s="1146"/>
    </row>
    <row r="168" spans="1:89" ht="15" x14ac:dyDescent="0.25">
      <c r="A168" s="1146"/>
      <c r="B168" s="1146"/>
      <c r="C168" s="1146"/>
      <c r="D168" s="1146"/>
      <c r="E168" s="1146"/>
      <c r="F168" s="1146"/>
      <c r="G168" s="1146"/>
      <c r="H168" s="1146"/>
      <c r="I168" s="1146"/>
      <c r="J168" s="1146"/>
      <c r="K168" s="1146"/>
      <c r="L168" s="1146"/>
      <c r="M168" s="1146"/>
      <c r="N168" s="1146"/>
      <c r="O168" s="1146"/>
      <c r="P168" s="1146"/>
      <c r="Q168" s="1146"/>
      <c r="R168" s="1146"/>
      <c r="S168" s="1146"/>
      <c r="T168" s="1147"/>
      <c r="U168" s="1147"/>
      <c r="V168" s="1147"/>
      <c r="W168" s="1147"/>
      <c r="X168" s="1147"/>
      <c r="Y168" s="1147"/>
      <c r="Z168" s="1147"/>
      <c r="AA168" s="1147"/>
      <c r="AB168" s="1147"/>
      <c r="AC168" s="1147"/>
      <c r="AD168" s="1147"/>
      <c r="AE168" s="1147"/>
      <c r="AF168" s="1147"/>
      <c r="AG168" s="1147"/>
      <c r="AH168" s="1147"/>
      <c r="AI168" s="1147"/>
      <c r="AJ168" s="1147"/>
      <c r="AK168" s="1147"/>
      <c r="AL168" s="1147"/>
      <c r="AM168" s="1147"/>
      <c r="AN168" s="1147"/>
      <c r="AO168" s="1147"/>
      <c r="AP168" s="1147"/>
      <c r="AQ168" s="1147"/>
      <c r="AR168" s="1147"/>
      <c r="AS168" s="1147"/>
      <c r="AT168" s="1147"/>
      <c r="AU168" s="1147"/>
      <c r="AV168" s="1147"/>
      <c r="AW168" s="1147"/>
      <c r="AX168" s="1147"/>
      <c r="AY168" s="1147"/>
      <c r="AZ168" s="1147"/>
      <c r="BA168" s="1147"/>
      <c r="BB168" s="1147"/>
      <c r="BC168" s="1147"/>
      <c r="BD168" s="1147"/>
      <c r="BE168" s="1147"/>
      <c r="BF168" s="1147"/>
      <c r="BG168" s="1147"/>
      <c r="BH168" s="1147"/>
      <c r="BI168" s="1147"/>
      <c r="BJ168" s="1147"/>
      <c r="BK168" s="1147"/>
      <c r="BL168" s="1147"/>
      <c r="BM168" s="1147"/>
      <c r="BN168" s="1147"/>
      <c r="BO168" s="1147"/>
      <c r="BP168" s="1147"/>
      <c r="BQ168" s="1147"/>
      <c r="BR168" s="1147"/>
      <c r="BS168" s="1147"/>
      <c r="BT168" s="1147"/>
      <c r="BU168" s="1147"/>
      <c r="BV168" s="1147"/>
      <c r="BW168" s="1147"/>
      <c r="BX168" s="1147"/>
      <c r="BY168" s="1147"/>
      <c r="BZ168" s="1147"/>
      <c r="CA168" s="1147"/>
      <c r="CB168" s="1147"/>
      <c r="CC168" s="1147"/>
      <c r="CD168" s="1147"/>
      <c r="CE168" s="1147"/>
      <c r="CF168" s="1147"/>
      <c r="CG168" s="1147"/>
      <c r="CH168" s="1147"/>
      <c r="CI168" s="1147"/>
      <c r="CJ168" s="1147"/>
      <c r="CK168" s="1146"/>
    </row>
    <row r="169" spans="1:89" ht="15" x14ac:dyDescent="0.25">
      <c r="A169" s="1146"/>
      <c r="B169" s="1146"/>
      <c r="C169" s="1146"/>
      <c r="D169" s="1146"/>
      <c r="E169" s="1146"/>
      <c r="F169" s="1146"/>
      <c r="G169" s="1146"/>
      <c r="H169" s="1146"/>
      <c r="I169" s="1146"/>
      <c r="J169" s="1146"/>
      <c r="K169" s="1146"/>
      <c r="L169" s="1146"/>
      <c r="M169" s="1146"/>
      <c r="N169" s="1146"/>
      <c r="O169" s="1146"/>
      <c r="P169" s="1146"/>
      <c r="Q169" s="1146"/>
      <c r="R169" s="1146"/>
      <c r="S169" s="1146"/>
      <c r="T169" s="1147"/>
      <c r="U169" s="1147"/>
      <c r="V169" s="1147"/>
      <c r="W169" s="1147"/>
      <c r="X169" s="1147"/>
      <c r="Y169" s="1147"/>
      <c r="Z169" s="1147"/>
      <c r="AA169" s="1147"/>
      <c r="AB169" s="1147"/>
      <c r="AC169" s="1147"/>
      <c r="AD169" s="1147"/>
      <c r="AE169" s="1147"/>
      <c r="AF169" s="1147"/>
      <c r="AG169" s="1147"/>
      <c r="AH169" s="1147"/>
      <c r="AI169" s="1147"/>
      <c r="AJ169" s="1147"/>
      <c r="AK169" s="1147"/>
      <c r="AL169" s="1147"/>
      <c r="AM169" s="1147"/>
      <c r="AN169" s="1147"/>
      <c r="AO169" s="1147"/>
      <c r="AP169" s="1147"/>
      <c r="AQ169" s="1147"/>
      <c r="AR169" s="1147"/>
      <c r="AS169" s="1147"/>
      <c r="AT169" s="1147"/>
      <c r="AU169" s="1147"/>
      <c r="AV169" s="1147"/>
      <c r="AW169" s="1147"/>
      <c r="AX169" s="1147"/>
      <c r="AY169" s="1147"/>
      <c r="AZ169" s="1147"/>
      <c r="BA169" s="1147"/>
      <c r="BB169" s="1147"/>
      <c r="BC169" s="1147"/>
      <c r="BD169" s="1147"/>
      <c r="BE169" s="1147"/>
      <c r="BF169" s="1147"/>
      <c r="BG169" s="1147"/>
      <c r="BH169" s="1147"/>
      <c r="BI169" s="1147"/>
      <c r="BJ169" s="1147"/>
      <c r="BK169" s="1147"/>
      <c r="BL169" s="1147"/>
      <c r="BM169" s="1147"/>
      <c r="BN169" s="1147"/>
      <c r="BO169" s="1147"/>
      <c r="BP169" s="1147"/>
      <c r="BQ169" s="1147"/>
      <c r="BR169" s="1147"/>
      <c r="BS169" s="1147"/>
      <c r="BT169" s="1147"/>
      <c r="BU169" s="1147"/>
      <c r="BV169" s="1147"/>
      <c r="BW169" s="1147"/>
      <c r="BX169" s="1147"/>
      <c r="BY169" s="1147"/>
      <c r="BZ169" s="1147"/>
      <c r="CA169" s="1147"/>
      <c r="CB169" s="1147"/>
      <c r="CC169" s="1147"/>
      <c r="CD169" s="1147"/>
      <c r="CE169" s="1147"/>
      <c r="CF169" s="1147"/>
      <c r="CG169" s="1147"/>
      <c r="CH169" s="1147"/>
      <c r="CI169" s="1147"/>
      <c r="CJ169" s="1147"/>
      <c r="CK169" s="1146"/>
    </row>
    <row r="170" spans="1:89" ht="15" x14ac:dyDescent="0.25">
      <c r="A170" s="1146"/>
      <c r="B170" s="1146"/>
      <c r="C170" s="1146"/>
      <c r="D170" s="1146"/>
      <c r="E170" s="1146"/>
      <c r="F170" s="1146"/>
      <c r="G170" s="1146"/>
      <c r="H170" s="1146"/>
      <c r="I170" s="1146"/>
      <c r="J170" s="1146"/>
      <c r="K170" s="1146"/>
      <c r="L170" s="1146"/>
      <c r="M170" s="1146"/>
      <c r="N170" s="1146"/>
      <c r="O170" s="1146"/>
      <c r="P170" s="1146"/>
      <c r="Q170" s="1146"/>
      <c r="R170" s="1146"/>
      <c r="S170" s="1146"/>
      <c r="T170" s="1147"/>
      <c r="U170" s="1147"/>
      <c r="V170" s="1147"/>
      <c r="W170" s="1147"/>
      <c r="X170" s="1147"/>
      <c r="Y170" s="1147"/>
      <c r="Z170" s="1147"/>
      <c r="AA170" s="1147"/>
      <c r="AB170" s="1147"/>
      <c r="AC170" s="1147"/>
      <c r="AD170" s="1147"/>
      <c r="AE170" s="1147"/>
      <c r="AF170" s="1147"/>
      <c r="AG170" s="1147"/>
      <c r="AH170" s="1147"/>
      <c r="AI170" s="1147"/>
      <c r="AJ170" s="1147"/>
      <c r="AK170" s="1147"/>
      <c r="AL170" s="1147"/>
      <c r="AM170" s="1147"/>
      <c r="AN170" s="1147"/>
      <c r="AO170" s="1147"/>
      <c r="AP170" s="1147"/>
      <c r="AQ170" s="1147"/>
      <c r="AR170" s="1147"/>
      <c r="AS170" s="1147"/>
      <c r="AT170" s="1147"/>
      <c r="AU170" s="1147"/>
      <c r="AV170" s="1147"/>
      <c r="AW170" s="1147"/>
      <c r="AX170" s="1147"/>
      <c r="AY170" s="1147"/>
      <c r="AZ170" s="1147"/>
      <c r="BA170" s="1147"/>
      <c r="BB170" s="1147"/>
      <c r="BC170" s="1147"/>
      <c r="BD170" s="1147"/>
      <c r="BE170" s="1147"/>
      <c r="BF170" s="1147"/>
      <c r="BG170" s="1147"/>
      <c r="BH170" s="1147"/>
      <c r="BI170" s="1147"/>
      <c r="BJ170" s="1147"/>
      <c r="BK170" s="1147"/>
      <c r="BL170" s="1147"/>
      <c r="BM170" s="1147"/>
      <c r="BN170" s="1147"/>
      <c r="BO170" s="1147"/>
      <c r="BP170" s="1147"/>
      <c r="BQ170" s="1147"/>
      <c r="BR170" s="1147"/>
      <c r="BS170" s="1147"/>
      <c r="BT170" s="1147"/>
      <c r="BU170" s="1147"/>
      <c r="BV170" s="1147"/>
      <c r="BW170" s="1147"/>
      <c r="BX170" s="1147"/>
      <c r="BY170" s="1147"/>
      <c r="BZ170" s="1147"/>
      <c r="CA170" s="1147"/>
      <c r="CB170" s="1147"/>
      <c r="CC170" s="1147"/>
      <c r="CD170" s="1147"/>
      <c r="CE170" s="1147"/>
      <c r="CF170" s="1147"/>
      <c r="CG170" s="1147"/>
      <c r="CH170" s="1147"/>
      <c r="CI170" s="1147"/>
      <c r="CJ170" s="1147"/>
      <c r="CK170" s="1146"/>
    </row>
    <row r="171" spans="1:89" ht="15" x14ac:dyDescent="0.25">
      <c r="A171" s="1146"/>
      <c r="B171" s="1146"/>
      <c r="C171" s="1146"/>
      <c r="D171" s="1146"/>
      <c r="E171" s="1146"/>
      <c r="F171" s="1146"/>
      <c r="G171" s="1146"/>
      <c r="H171" s="1146"/>
      <c r="I171" s="1146"/>
      <c r="J171" s="1146"/>
      <c r="K171" s="1146"/>
      <c r="L171" s="1146"/>
      <c r="M171" s="1146"/>
      <c r="N171" s="1146"/>
      <c r="O171" s="1146"/>
      <c r="P171" s="1146"/>
      <c r="Q171" s="1146"/>
      <c r="R171" s="1146"/>
      <c r="S171" s="1146"/>
      <c r="T171" s="1147"/>
      <c r="U171" s="1147"/>
      <c r="V171" s="1147"/>
      <c r="W171" s="1147"/>
      <c r="X171" s="1147"/>
      <c r="Y171" s="1147"/>
      <c r="Z171" s="1147"/>
      <c r="AA171" s="1147"/>
      <c r="AB171" s="1147"/>
      <c r="AC171" s="1147"/>
      <c r="AD171" s="1147"/>
      <c r="AE171" s="1147"/>
      <c r="AF171" s="1147"/>
      <c r="AG171" s="1147"/>
      <c r="AH171" s="1147"/>
      <c r="AI171" s="1147"/>
      <c r="AJ171" s="1147"/>
      <c r="AK171" s="1147"/>
      <c r="AL171" s="1147"/>
      <c r="AM171" s="1147"/>
      <c r="AN171" s="1147"/>
      <c r="AO171" s="1147"/>
      <c r="AP171" s="1147"/>
      <c r="AQ171" s="1147"/>
      <c r="AR171" s="1147"/>
      <c r="AS171" s="1147"/>
      <c r="AT171" s="1147"/>
      <c r="AU171" s="1147"/>
      <c r="AV171" s="1147"/>
      <c r="AW171" s="1147"/>
      <c r="AX171" s="1147"/>
      <c r="AY171" s="1147"/>
      <c r="AZ171" s="1147"/>
      <c r="BA171" s="1147"/>
      <c r="BB171" s="1147"/>
      <c r="BC171" s="1147"/>
      <c r="BD171" s="1147"/>
      <c r="BE171" s="1147"/>
      <c r="BF171" s="1147"/>
      <c r="BG171" s="1147"/>
      <c r="BH171" s="1147"/>
      <c r="BI171" s="1147"/>
      <c r="BJ171" s="1147"/>
      <c r="BK171" s="1147"/>
      <c r="BL171" s="1147"/>
      <c r="BM171" s="1147"/>
      <c r="BN171" s="1147"/>
      <c r="BO171" s="1147"/>
      <c r="BP171" s="1147"/>
      <c r="BQ171" s="1147"/>
      <c r="BR171" s="1147"/>
      <c r="BS171" s="1147"/>
      <c r="BT171" s="1147"/>
      <c r="BU171" s="1147"/>
      <c r="BV171" s="1147"/>
      <c r="BW171" s="1147"/>
      <c r="BX171" s="1147"/>
      <c r="BY171" s="1147"/>
      <c r="BZ171" s="1147"/>
      <c r="CA171" s="1147"/>
      <c r="CB171" s="1147"/>
      <c r="CC171" s="1147"/>
      <c r="CD171" s="1147"/>
      <c r="CE171" s="1147"/>
      <c r="CF171" s="1147"/>
      <c r="CG171" s="1147"/>
      <c r="CH171" s="1147"/>
      <c r="CI171" s="1147"/>
      <c r="CJ171" s="1147"/>
      <c r="CK171" s="1146"/>
    </row>
    <row r="172" spans="1:89" ht="15" x14ac:dyDescent="0.25">
      <c r="A172" s="1146"/>
      <c r="B172" s="1146"/>
      <c r="C172" s="1146"/>
      <c r="D172" s="1146"/>
      <c r="E172" s="1146"/>
      <c r="F172" s="1146"/>
      <c r="G172" s="1146"/>
      <c r="H172" s="1146"/>
      <c r="I172" s="1146"/>
      <c r="J172" s="1146"/>
      <c r="K172" s="1146"/>
      <c r="L172" s="1146"/>
      <c r="M172" s="1146"/>
      <c r="N172" s="1146"/>
      <c r="O172" s="1146"/>
      <c r="P172" s="1146"/>
      <c r="Q172" s="1146"/>
      <c r="R172" s="1146"/>
      <c r="S172" s="1146"/>
      <c r="T172" s="1147"/>
      <c r="U172" s="1147"/>
      <c r="V172" s="1147"/>
      <c r="W172" s="1147"/>
      <c r="X172" s="1147"/>
      <c r="Y172" s="1147"/>
      <c r="Z172" s="1147"/>
      <c r="AA172" s="1147"/>
      <c r="AB172" s="1147"/>
      <c r="AC172" s="1147"/>
      <c r="AD172" s="1147"/>
      <c r="AE172" s="1147"/>
      <c r="AF172" s="1147"/>
      <c r="AG172" s="1147"/>
      <c r="AH172" s="1147"/>
      <c r="AI172" s="1147"/>
      <c r="AJ172" s="1147"/>
      <c r="AK172" s="1147"/>
      <c r="AL172" s="1147"/>
      <c r="AM172" s="1147"/>
      <c r="AN172" s="1147"/>
      <c r="AO172" s="1147"/>
      <c r="AP172" s="1147"/>
      <c r="AQ172" s="1147"/>
      <c r="AR172" s="1147"/>
      <c r="AS172" s="1147"/>
      <c r="AT172" s="1147"/>
      <c r="AU172" s="1147"/>
      <c r="AV172" s="1147"/>
      <c r="AW172" s="1147"/>
      <c r="AX172" s="1147"/>
      <c r="AY172" s="1147"/>
      <c r="AZ172" s="1147"/>
      <c r="BA172" s="1147"/>
      <c r="BB172" s="1147"/>
      <c r="BC172" s="1147"/>
      <c r="BD172" s="1147"/>
      <c r="BE172" s="1147"/>
      <c r="BF172" s="1147"/>
      <c r="BG172" s="1147"/>
      <c r="BH172" s="1147"/>
      <c r="BI172" s="1147"/>
      <c r="BJ172" s="1147"/>
      <c r="BK172" s="1147"/>
      <c r="BL172" s="1147"/>
      <c r="BM172" s="1147"/>
      <c r="BN172" s="1147"/>
      <c r="BO172" s="1147"/>
      <c r="BP172" s="1147"/>
      <c r="BQ172" s="1147"/>
      <c r="BR172" s="1147"/>
      <c r="BS172" s="1147"/>
      <c r="BT172" s="1147"/>
      <c r="BU172" s="1147"/>
      <c r="BV172" s="1147"/>
      <c r="BW172" s="1147"/>
      <c r="BX172" s="1147"/>
      <c r="BY172" s="1147"/>
      <c r="BZ172" s="1147"/>
      <c r="CA172" s="1147"/>
      <c r="CB172" s="1147"/>
      <c r="CC172" s="1147"/>
      <c r="CD172" s="1147"/>
      <c r="CE172" s="1147"/>
      <c r="CF172" s="1147"/>
      <c r="CG172" s="1147"/>
      <c r="CH172" s="1147"/>
      <c r="CI172" s="1147"/>
      <c r="CJ172" s="1147"/>
      <c r="CK172" s="1146"/>
    </row>
    <row r="173" spans="1:89" ht="15" x14ac:dyDescent="0.25">
      <c r="A173" s="1146"/>
      <c r="B173" s="1146"/>
      <c r="C173" s="1146"/>
      <c r="D173" s="1146"/>
      <c r="E173" s="1146"/>
      <c r="F173" s="1146"/>
      <c r="G173" s="1146"/>
      <c r="H173" s="1146"/>
      <c r="I173" s="1146"/>
      <c r="J173" s="1146"/>
      <c r="K173" s="1146"/>
      <c r="L173" s="1146"/>
      <c r="M173" s="1146"/>
      <c r="N173" s="1146"/>
      <c r="O173" s="1146"/>
      <c r="P173" s="1146"/>
      <c r="Q173" s="1146"/>
      <c r="R173" s="1146"/>
      <c r="S173" s="1146"/>
      <c r="T173" s="1147"/>
      <c r="U173" s="1147"/>
      <c r="V173" s="1147"/>
      <c r="W173" s="1147"/>
      <c r="X173" s="1147"/>
      <c r="Y173" s="1147"/>
      <c r="Z173" s="1147"/>
      <c r="AA173" s="1147"/>
      <c r="AB173" s="1147"/>
      <c r="AC173" s="1147"/>
      <c r="AD173" s="1147"/>
      <c r="AE173" s="1147"/>
      <c r="AF173" s="1147"/>
      <c r="AG173" s="1147"/>
      <c r="AH173" s="1147"/>
      <c r="AI173" s="1147"/>
      <c r="AJ173" s="1147"/>
      <c r="AK173" s="1147"/>
      <c r="AL173" s="1147"/>
      <c r="AM173" s="1147"/>
      <c r="AN173" s="1147"/>
      <c r="AO173" s="1147"/>
      <c r="AP173" s="1147"/>
      <c r="AQ173" s="1147"/>
      <c r="AR173" s="1147"/>
      <c r="AS173" s="1147"/>
      <c r="AT173" s="1147"/>
      <c r="AU173" s="1147"/>
      <c r="AV173" s="1147"/>
      <c r="AW173" s="1147"/>
      <c r="AX173" s="1147"/>
      <c r="AY173" s="1147"/>
      <c r="AZ173" s="1147"/>
      <c r="BA173" s="1147"/>
      <c r="BB173" s="1147"/>
      <c r="BC173" s="1147"/>
      <c r="BD173" s="1147"/>
      <c r="BE173" s="1147"/>
      <c r="BF173" s="1147"/>
      <c r="BG173" s="1147"/>
      <c r="BH173" s="1147"/>
      <c r="BI173" s="1147"/>
      <c r="BJ173" s="1147"/>
      <c r="BK173" s="1147"/>
      <c r="BL173" s="1147"/>
      <c r="BM173" s="1147"/>
      <c r="BN173" s="1147"/>
      <c r="BO173" s="1147"/>
      <c r="BP173" s="1147"/>
      <c r="BQ173" s="1147"/>
      <c r="BR173" s="1147"/>
      <c r="BS173" s="1147"/>
      <c r="BT173" s="1147"/>
      <c r="BU173" s="1147"/>
      <c r="BV173" s="1147"/>
      <c r="BW173" s="1147"/>
      <c r="BX173" s="1147"/>
      <c r="BY173" s="1147"/>
      <c r="BZ173" s="1147"/>
      <c r="CA173" s="1147"/>
      <c r="CB173" s="1147"/>
      <c r="CC173" s="1147"/>
      <c r="CD173" s="1147"/>
      <c r="CE173" s="1147"/>
      <c r="CF173" s="1147"/>
      <c r="CG173" s="1147"/>
      <c r="CH173" s="1147"/>
      <c r="CI173" s="1147"/>
      <c r="CJ173" s="1147"/>
      <c r="CK173" s="1146"/>
    </row>
    <row r="174" spans="1:89" ht="15" x14ac:dyDescent="0.25">
      <c r="A174" s="1146"/>
      <c r="B174" s="1146"/>
      <c r="C174" s="1146"/>
      <c r="D174" s="1146"/>
      <c r="E174" s="1146"/>
      <c r="F174" s="1146"/>
      <c r="G174" s="1146"/>
      <c r="H174" s="1146"/>
      <c r="I174" s="1146"/>
      <c r="J174" s="1146"/>
      <c r="K174" s="1146"/>
      <c r="L174" s="1146"/>
      <c r="M174" s="1146"/>
      <c r="N174" s="1146"/>
      <c r="O174" s="1146"/>
      <c r="P174" s="1146"/>
      <c r="Q174" s="1146"/>
      <c r="R174" s="1146"/>
      <c r="S174" s="1146"/>
      <c r="T174" s="1147"/>
      <c r="U174" s="1147"/>
      <c r="V174" s="1147"/>
      <c r="W174" s="1147"/>
      <c r="X174" s="1147"/>
      <c r="Y174" s="1147"/>
      <c r="Z174" s="1147"/>
      <c r="AA174" s="1147"/>
      <c r="AB174" s="1147"/>
      <c r="AC174" s="1147"/>
      <c r="AD174" s="1147"/>
      <c r="AE174" s="1147"/>
      <c r="AF174" s="1147"/>
      <c r="AG174" s="1147"/>
      <c r="AH174" s="1147"/>
      <c r="AI174" s="1147"/>
      <c r="AJ174" s="1147"/>
      <c r="AK174" s="1147"/>
      <c r="AL174" s="1147"/>
      <c r="AM174" s="1147"/>
      <c r="AN174" s="1147"/>
      <c r="AO174" s="1147"/>
      <c r="AP174" s="1147"/>
      <c r="AQ174" s="1147"/>
      <c r="AR174" s="1147"/>
      <c r="AS174" s="1147"/>
      <c r="AT174" s="1147"/>
      <c r="AU174" s="1147"/>
      <c r="AV174" s="1147"/>
      <c r="AW174" s="1147"/>
      <c r="AX174" s="1147"/>
      <c r="AY174" s="1147"/>
      <c r="AZ174" s="1147"/>
      <c r="BA174" s="1147"/>
      <c r="BB174" s="1147"/>
      <c r="BC174" s="1147"/>
      <c r="BD174" s="1147"/>
      <c r="BE174" s="1147"/>
      <c r="BF174" s="1147"/>
      <c r="BG174" s="1147"/>
      <c r="BH174" s="1147"/>
      <c r="BI174" s="1147"/>
      <c r="BJ174" s="1147"/>
      <c r="BK174" s="1147"/>
      <c r="BL174" s="1147"/>
      <c r="BM174" s="1147"/>
      <c r="BN174" s="1147"/>
      <c r="BO174" s="1147"/>
      <c r="BP174" s="1147"/>
      <c r="BQ174" s="1147"/>
      <c r="BR174" s="1147"/>
      <c r="BS174" s="1147"/>
      <c r="BT174" s="1147"/>
      <c r="BU174" s="1147"/>
      <c r="BV174" s="1147"/>
      <c r="BW174" s="1147"/>
      <c r="BX174" s="1147"/>
      <c r="BY174" s="1147"/>
      <c r="BZ174" s="1147"/>
      <c r="CA174" s="1147"/>
      <c r="CB174" s="1147"/>
      <c r="CC174" s="1147"/>
      <c r="CD174" s="1147"/>
      <c r="CE174" s="1147"/>
      <c r="CF174" s="1147"/>
      <c r="CG174" s="1147"/>
      <c r="CH174" s="1147"/>
      <c r="CI174" s="1147"/>
      <c r="CJ174" s="1147"/>
      <c r="CK174" s="1146"/>
    </row>
    <row r="175" spans="1:89" ht="15" x14ac:dyDescent="0.25">
      <c r="A175" s="1146"/>
      <c r="B175" s="1146"/>
      <c r="C175" s="1146"/>
      <c r="D175" s="1146"/>
      <c r="E175" s="1146"/>
      <c r="F175" s="1146"/>
      <c r="G175" s="1146"/>
      <c r="H175" s="1146"/>
      <c r="I175" s="1146"/>
      <c r="J175" s="1146"/>
      <c r="K175" s="1146"/>
      <c r="L175" s="1146"/>
      <c r="M175" s="1146"/>
      <c r="N175" s="1146"/>
      <c r="O175" s="1146"/>
      <c r="P175" s="1146"/>
      <c r="Q175" s="1146"/>
      <c r="R175" s="1146"/>
      <c r="S175" s="1146"/>
      <c r="T175" s="1147"/>
      <c r="U175" s="1147"/>
      <c r="V175" s="1147"/>
      <c r="W175" s="1147"/>
      <c r="X175" s="1147"/>
      <c r="Y175" s="1147"/>
      <c r="Z175" s="1147"/>
      <c r="AA175" s="1147"/>
      <c r="AB175" s="1147"/>
      <c r="AC175" s="1147"/>
      <c r="AD175" s="1147"/>
      <c r="AE175" s="1147"/>
      <c r="AF175" s="1147"/>
      <c r="AG175" s="1147"/>
      <c r="AH175" s="1147"/>
      <c r="AI175" s="1147"/>
      <c r="AJ175" s="1147"/>
      <c r="AK175" s="1147"/>
      <c r="AL175" s="1147"/>
      <c r="AM175" s="1147"/>
      <c r="AN175" s="1147"/>
      <c r="AO175" s="1147"/>
      <c r="AP175" s="1147"/>
      <c r="AQ175" s="1147"/>
      <c r="AR175" s="1147"/>
      <c r="AS175" s="1147"/>
      <c r="AT175" s="1147"/>
      <c r="AU175" s="1147"/>
      <c r="AV175" s="1147"/>
      <c r="AW175" s="1147"/>
      <c r="AX175" s="1147"/>
      <c r="AY175" s="1147"/>
      <c r="AZ175" s="1147"/>
      <c r="BA175" s="1147"/>
      <c r="BB175" s="1147"/>
      <c r="BC175" s="1147"/>
      <c r="BD175" s="1147"/>
      <c r="BE175" s="1147"/>
      <c r="BF175" s="1147"/>
      <c r="BG175" s="1147"/>
      <c r="BH175" s="1147"/>
      <c r="BI175" s="1147"/>
      <c r="BJ175" s="1147"/>
      <c r="BK175" s="1147"/>
      <c r="BL175" s="1147"/>
      <c r="BM175" s="1147"/>
      <c r="BN175" s="1147"/>
      <c r="BO175" s="1147"/>
      <c r="BP175" s="1147"/>
      <c r="BQ175" s="1147"/>
      <c r="BR175" s="1147"/>
      <c r="BS175" s="1147"/>
      <c r="BT175" s="1147"/>
      <c r="BU175" s="1147"/>
      <c r="BV175" s="1147"/>
      <c r="BW175" s="1147"/>
      <c r="BX175" s="1147"/>
      <c r="BY175" s="1147"/>
      <c r="BZ175" s="1147"/>
      <c r="CA175" s="1147"/>
      <c r="CB175" s="1147"/>
      <c r="CC175" s="1147"/>
      <c r="CD175" s="1147"/>
      <c r="CE175" s="1147"/>
      <c r="CF175" s="1147"/>
      <c r="CG175" s="1147"/>
      <c r="CH175" s="1147"/>
      <c r="CI175" s="1147"/>
      <c r="CJ175" s="1147"/>
      <c r="CK175" s="1146"/>
    </row>
    <row r="176" spans="1:89" ht="15" x14ac:dyDescent="0.25">
      <c r="A176" s="1146"/>
      <c r="B176" s="1146"/>
      <c r="C176" s="1146"/>
      <c r="D176" s="1146"/>
      <c r="E176" s="1146"/>
      <c r="F176" s="1146"/>
      <c r="G176" s="1146"/>
      <c r="H176" s="1146"/>
      <c r="I176" s="1146"/>
      <c r="J176" s="1146"/>
      <c r="K176" s="1146"/>
      <c r="L176" s="1146"/>
      <c r="M176" s="1146"/>
      <c r="N176" s="1146"/>
      <c r="O176" s="1146"/>
      <c r="P176" s="1146"/>
      <c r="Q176" s="1146"/>
      <c r="R176" s="1146"/>
      <c r="S176" s="1146"/>
      <c r="T176" s="1147"/>
      <c r="U176" s="1147"/>
      <c r="V176" s="1147"/>
      <c r="W176" s="1147"/>
      <c r="X176" s="1147"/>
      <c r="Y176" s="1147"/>
      <c r="Z176" s="1147"/>
      <c r="AA176" s="1147"/>
      <c r="AB176" s="1147"/>
      <c r="AC176" s="1147"/>
      <c r="AD176" s="1147"/>
      <c r="AE176" s="1147"/>
      <c r="AF176" s="1147"/>
      <c r="AG176" s="1147"/>
      <c r="AH176" s="1147"/>
      <c r="AI176" s="1147"/>
      <c r="AJ176" s="1147"/>
      <c r="AK176" s="1147"/>
      <c r="AL176" s="1147"/>
      <c r="AM176" s="1147"/>
      <c r="AN176" s="1147"/>
      <c r="AO176" s="1147"/>
      <c r="AP176" s="1147"/>
      <c r="AQ176" s="1147"/>
      <c r="AR176" s="1147"/>
      <c r="AS176" s="1147"/>
      <c r="AT176" s="1147"/>
      <c r="AU176" s="1147"/>
      <c r="AV176" s="1147"/>
      <c r="AW176" s="1147"/>
      <c r="AX176" s="1147"/>
      <c r="AY176" s="1147"/>
      <c r="AZ176" s="1147"/>
      <c r="BA176" s="1147"/>
      <c r="BB176" s="1147"/>
      <c r="BC176" s="1147"/>
      <c r="BD176" s="1147"/>
      <c r="BE176" s="1147"/>
      <c r="BF176" s="1147"/>
      <c r="BG176" s="1147"/>
      <c r="BH176" s="1147"/>
      <c r="BI176" s="1147"/>
      <c r="BJ176" s="1147"/>
      <c r="BK176" s="1147"/>
      <c r="BL176" s="1147"/>
      <c r="BM176" s="1147"/>
      <c r="BN176" s="1147"/>
      <c r="BO176" s="1147"/>
      <c r="BP176" s="1147"/>
      <c r="BQ176" s="1147"/>
      <c r="BR176" s="1147"/>
      <c r="BS176" s="1147"/>
      <c r="BT176" s="1147"/>
      <c r="BU176" s="1147"/>
      <c r="BV176" s="1147"/>
      <c r="BW176" s="1147"/>
      <c r="BX176" s="1147"/>
      <c r="BY176" s="1147"/>
      <c r="BZ176" s="1147"/>
      <c r="CA176" s="1147"/>
      <c r="CB176" s="1147"/>
      <c r="CC176" s="1147"/>
      <c r="CD176" s="1147"/>
      <c r="CE176" s="1147"/>
      <c r="CF176" s="1147"/>
      <c r="CG176" s="1147"/>
      <c r="CH176" s="1147"/>
      <c r="CI176" s="1147"/>
      <c r="CJ176" s="1147"/>
      <c r="CK176" s="1146"/>
    </row>
    <row r="177" spans="1:89" ht="15" x14ac:dyDescent="0.25">
      <c r="A177" s="1146"/>
      <c r="B177" s="1146"/>
      <c r="C177" s="1146"/>
      <c r="D177" s="1146"/>
      <c r="E177" s="1146"/>
      <c r="F177" s="1146"/>
      <c r="G177" s="1146"/>
      <c r="H177" s="1146"/>
      <c r="I177" s="1146"/>
      <c r="J177" s="1146"/>
      <c r="K177" s="1146"/>
      <c r="L177" s="1146"/>
      <c r="M177" s="1146"/>
      <c r="N177" s="1146"/>
      <c r="O177" s="1146"/>
      <c r="P177" s="1146"/>
      <c r="Q177" s="1146"/>
      <c r="R177" s="1146"/>
      <c r="S177" s="1146"/>
      <c r="T177" s="1147"/>
      <c r="U177" s="1147"/>
      <c r="V177" s="1147"/>
      <c r="W177" s="1147"/>
      <c r="X177" s="1147"/>
      <c r="Y177" s="1147"/>
      <c r="Z177" s="1147"/>
      <c r="AA177" s="1147"/>
      <c r="AB177" s="1147"/>
      <c r="AC177" s="1147"/>
      <c r="AD177" s="1147"/>
      <c r="AE177" s="1147"/>
      <c r="AF177" s="1147"/>
      <c r="AG177" s="1147"/>
      <c r="AH177" s="1147"/>
      <c r="AI177" s="1147"/>
      <c r="AJ177" s="1147"/>
      <c r="AK177" s="1147"/>
      <c r="AL177" s="1147"/>
      <c r="AM177" s="1147"/>
      <c r="AN177" s="1147"/>
      <c r="AO177" s="1147"/>
      <c r="AP177" s="1147"/>
      <c r="AQ177" s="1147"/>
      <c r="AR177" s="1147"/>
      <c r="AS177" s="1147"/>
      <c r="AT177" s="1147"/>
      <c r="AU177" s="1147"/>
      <c r="AV177" s="1147"/>
      <c r="AW177" s="1147"/>
      <c r="AX177" s="1147"/>
      <c r="AY177" s="1147"/>
      <c r="AZ177" s="1147"/>
      <c r="BA177" s="1147"/>
      <c r="BB177" s="1147"/>
      <c r="BC177" s="1147"/>
      <c r="BD177" s="1147"/>
      <c r="BE177" s="1147"/>
      <c r="BF177" s="1147"/>
      <c r="BG177" s="1147"/>
      <c r="BH177" s="1147"/>
      <c r="BI177" s="1147"/>
      <c r="BJ177" s="1147"/>
      <c r="BK177" s="1147"/>
      <c r="BL177" s="1147"/>
      <c r="BM177" s="1147"/>
      <c r="BN177" s="1147"/>
      <c r="BO177" s="1147"/>
      <c r="BP177" s="1147"/>
      <c r="BQ177" s="1147"/>
      <c r="BR177" s="1147"/>
      <c r="BS177" s="1147"/>
      <c r="BT177" s="1147"/>
      <c r="BU177" s="1147"/>
      <c r="BV177" s="1147"/>
      <c r="BW177" s="1147"/>
      <c r="BX177" s="1147"/>
      <c r="BY177" s="1147"/>
      <c r="BZ177" s="1147"/>
      <c r="CA177" s="1147"/>
      <c r="CB177" s="1147"/>
      <c r="CC177" s="1147"/>
      <c r="CD177" s="1147"/>
      <c r="CE177" s="1147"/>
      <c r="CF177" s="1147"/>
      <c r="CG177" s="1147"/>
      <c r="CH177" s="1147"/>
      <c r="CI177" s="1147"/>
      <c r="CJ177" s="1147"/>
      <c r="CK177" s="1146"/>
    </row>
    <row r="178" spans="1:89" ht="15" x14ac:dyDescent="0.25">
      <c r="A178" s="1146"/>
      <c r="B178" s="1146"/>
      <c r="C178" s="1146"/>
      <c r="D178" s="1146"/>
      <c r="E178" s="1146"/>
      <c r="F178" s="1146"/>
      <c r="G178" s="1146"/>
      <c r="H178" s="1146"/>
      <c r="I178" s="1146"/>
      <c r="J178" s="1146"/>
      <c r="K178" s="1146"/>
      <c r="L178" s="1146"/>
      <c r="M178" s="1146"/>
      <c r="N178" s="1146"/>
      <c r="O178" s="1146"/>
      <c r="P178" s="1146"/>
      <c r="Q178" s="1146"/>
      <c r="R178" s="1146"/>
      <c r="S178" s="1146"/>
      <c r="T178" s="1147"/>
      <c r="U178" s="1147"/>
      <c r="V178" s="1147"/>
      <c r="W178" s="1147"/>
      <c r="X178" s="1147"/>
      <c r="Y178" s="1147"/>
      <c r="Z178" s="1147"/>
      <c r="AA178" s="1147"/>
      <c r="AB178" s="1147"/>
      <c r="AC178" s="1147"/>
      <c r="AD178" s="1147"/>
      <c r="AE178" s="1147"/>
      <c r="AF178" s="1147"/>
      <c r="AG178" s="1147"/>
      <c r="AH178" s="1147"/>
      <c r="AI178" s="1147"/>
      <c r="AJ178" s="1147"/>
      <c r="AK178" s="1147"/>
      <c r="AL178" s="1147"/>
      <c r="AM178" s="1147"/>
      <c r="AN178" s="1147"/>
      <c r="AO178" s="1147"/>
      <c r="AP178" s="1147"/>
      <c r="AQ178" s="1147"/>
      <c r="AR178" s="1147"/>
      <c r="AS178" s="1147"/>
      <c r="AT178" s="1147"/>
      <c r="AU178" s="1147"/>
      <c r="AV178" s="1147"/>
      <c r="AW178" s="1147"/>
      <c r="AX178" s="1147"/>
      <c r="AY178" s="1147"/>
      <c r="AZ178" s="1147"/>
      <c r="BA178" s="1147"/>
      <c r="BB178" s="1147"/>
      <c r="BC178" s="1147"/>
      <c r="BD178" s="1147"/>
      <c r="BE178" s="1147"/>
      <c r="BF178" s="1147"/>
      <c r="BG178" s="1147"/>
      <c r="BH178" s="1147"/>
      <c r="BI178" s="1147"/>
      <c r="BJ178" s="1147"/>
      <c r="BK178" s="1147"/>
      <c r="BL178" s="1147"/>
      <c r="BM178" s="1147"/>
      <c r="BN178" s="1147"/>
      <c r="BO178" s="1147"/>
      <c r="BP178" s="1147"/>
      <c r="BQ178" s="1147"/>
      <c r="BR178" s="1147"/>
      <c r="BS178" s="1147"/>
      <c r="BT178" s="1147"/>
      <c r="BU178" s="1147"/>
      <c r="BV178" s="1147"/>
      <c r="BW178" s="1147"/>
      <c r="BX178" s="1147"/>
      <c r="BY178" s="1147"/>
      <c r="BZ178" s="1147"/>
      <c r="CA178" s="1147"/>
      <c r="CB178" s="1147"/>
      <c r="CC178" s="1147"/>
      <c r="CD178" s="1147"/>
      <c r="CE178" s="1147"/>
      <c r="CF178" s="1147"/>
      <c r="CG178" s="1147"/>
      <c r="CH178" s="1147"/>
      <c r="CI178" s="1147"/>
      <c r="CJ178" s="1147"/>
      <c r="CK178" s="1146"/>
    </row>
    <row r="179" spans="1:89" ht="15" x14ac:dyDescent="0.25">
      <c r="A179" s="1146"/>
      <c r="B179" s="1146"/>
      <c r="C179" s="1146"/>
      <c r="D179" s="1146"/>
      <c r="E179" s="1146"/>
      <c r="F179" s="1146"/>
      <c r="G179" s="1146"/>
      <c r="H179" s="1146"/>
      <c r="I179" s="1146"/>
      <c r="J179" s="1146"/>
      <c r="K179" s="1146"/>
      <c r="L179" s="1146"/>
      <c r="M179" s="1146"/>
      <c r="N179" s="1146"/>
      <c r="O179" s="1146"/>
      <c r="P179" s="1146"/>
      <c r="Q179" s="1146"/>
      <c r="R179" s="1146"/>
      <c r="S179" s="1146"/>
      <c r="T179" s="1147"/>
      <c r="U179" s="1147"/>
      <c r="V179" s="1147"/>
      <c r="W179" s="1147"/>
      <c r="X179" s="1147"/>
      <c r="Y179" s="1147"/>
      <c r="Z179" s="1147"/>
      <c r="AA179" s="1147"/>
      <c r="AB179" s="1147"/>
      <c r="AC179" s="1147"/>
      <c r="AD179" s="1147"/>
      <c r="AE179" s="1147"/>
      <c r="AF179" s="1147"/>
      <c r="AG179" s="1147"/>
      <c r="AH179" s="1147"/>
      <c r="AI179" s="1147"/>
      <c r="AJ179" s="1147"/>
      <c r="AK179" s="1147"/>
      <c r="AL179" s="1147"/>
      <c r="AM179" s="1147"/>
      <c r="AN179" s="1147"/>
      <c r="AO179" s="1147"/>
      <c r="AP179" s="1147"/>
      <c r="AQ179" s="1147"/>
      <c r="AR179" s="1147"/>
      <c r="AS179" s="1147"/>
      <c r="AT179" s="1147"/>
      <c r="AU179" s="1147"/>
      <c r="AV179" s="1147"/>
      <c r="AW179" s="1147"/>
      <c r="AX179" s="1147"/>
      <c r="AY179" s="1147"/>
      <c r="AZ179" s="1147"/>
      <c r="BA179" s="1147"/>
      <c r="BB179" s="1147"/>
      <c r="BC179" s="1147"/>
      <c r="BD179" s="1147"/>
      <c r="BE179" s="1147"/>
      <c r="BF179" s="1147"/>
      <c r="BG179" s="1147"/>
      <c r="BH179" s="1147"/>
      <c r="BI179" s="1147"/>
      <c r="BJ179" s="1147"/>
      <c r="BK179" s="1147"/>
      <c r="BL179" s="1147"/>
      <c r="BM179" s="1147"/>
      <c r="BN179" s="1147"/>
      <c r="BO179" s="1147"/>
      <c r="BP179" s="1147"/>
      <c r="BQ179" s="1147"/>
      <c r="BR179" s="1147"/>
      <c r="BS179" s="1147"/>
      <c r="BT179" s="1147"/>
      <c r="BU179" s="1147"/>
      <c r="BV179" s="1147"/>
      <c r="BW179" s="1147"/>
      <c r="BX179" s="1147"/>
      <c r="BY179" s="1147"/>
      <c r="BZ179" s="1147"/>
      <c r="CA179" s="1147"/>
      <c r="CB179" s="1147"/>
      <c r="CC179" s="1147"/>
      <c r="CD179" s="1147"/>
      <c r="CE179" s="1147"/>
      <c r="CF179" s="1147"/>
      <c r="CG179" s="1147"/>
      <c r="CH179" s="1147"/>
      <c r="CI179" s="1147"/>
      <c r="CJ179" s="1147"/>
      <c r="CK179" s="1146"/>
    </row>
    <row r="180" spans="1:89" ht="15" x14ac:dyDescent="0.25">
      <c r="A180" s="1146"/>
      <c r="B180" s="1146"/>
      <c r="C180" s="1146"/>
      <c r="D180" s="1146"/>
      <c r="E180" s="1146"/>
      <c r="F180" s="1146"/>
      <c r="G180" s="1146"/>
      <c r="H180" s="1146"/>
      <c r="I180" s="1146"/>
      <c r="J180" s="1146"/>
      <c r="K180" s="1146"/>
      <c r="L180" s="1146"/>
      <c r="M180" s="1146"/>
      <c r="N180" s="1146"/>
      <c r="O180" s="1146"/>
      <c r="P180" s="1146"/>
      <c r="Q180" s="1146"/>
      <c r="R180" s="1146"/>
      <c r="S180" s="1146"/>
      <c r="T180" s="1147"/>
      <c r="U180" s="1147"/>
      <c r="V180" s="1147"/>
      <c r="W180" s="1147"/>
      <c r="X180" s="1147"/>
      <c r="Y180" s="1147"/>
      <c r="Z180" s="1147"/>
      <c r="AA180" s="1147"/>
      <c r="AB180" s="1147"/>
      <c r="AC180" s="1147"/>
      <c r="AD180" s="1147"/>
      <c r="AE180" s="1147"/>
      <c r="AF180" s="1147"/>
      <c r="AG180" s="1147"/>
      <c r="AH180" s="1147"/>
      <c r="AI180" s="1147"/>
      <c r="AJ180" s="1147"/>
      <c r="AK180" s="1147"/>
      <c r="AL180" s="1147"/>
      <c r="AM180" s="1147"/>
      <c r="AN180" s="1147"/>
      <c r="AO180" s="1147"/>
      <c r="AP180" s="1147"/>
      <c r="AQ180" s="1147"/>
      <c r="AR180" s="1147"/>
      <c r="AS180" s="1147"/>
      <c r="AT180" s="1147"/>
      <c r="AU180" s="1147"/>
      <c r="AV180" s="1147"/>
      <c r="AW180" s="1147"/>
      <c r="AX180" s="1147"/>
      <c r="AY180" s="1147"/>
      <c r="AZ180" s="1147"/>
      <c r="BA180" s="1147"/>
      <c r="BB180" s="1147"/>
      <c r="BC180" s="1147"/>
      <c r="BD180" s="1147"/>
      <c r="BE180" s="1147"/>
      <c r="BF180" s="1147"/>
      <c r="BG180" s="1147"/>
      <c r="BH180" s="1147"/>
      <c r="BI180" s="1147"/>
      <c r="BJ180" s="1147"/>
      <c r="BK180" s="1147"/>
      <c r="BL180" s="1147"/>
      <c r="BM180" s="1147"/>
      <c r="BN180" s="1147"/>
      <c r="BO180" s="1147"/>
      <c r="BP180" s="1147"/>
      <c r="BQ180" s="1147"/>
      <c r="BR180" s="1147"/>
      <c r="BS180" s="1147"/>
      <c r="BT180" s="1147"/>
      <c r="BU180" s="1147"/>
      <c r="BV180" s="1147"/>
      <c r="BW180" s="1147"/>
      <c r="BX180" s="1147"/>
      <c r="BY180" s="1147"/>
      <c r="BZ180" s="1147"/>
      <c r="CA180" s="1147"/>
      <c r="CB180" s="1147"/>
      <c r="CC180" s="1147"/>
      <c r="CD180" s="1147"/>
      <c r="CE180" s="1147"/>
      <c r="CF180" s="1147"/>
      <c r="CG180" s="1147"/>
      <c r="CH180" s="1147"/>
      <c r="CI180" s="1147"/>
      <c r="CJ180" s="1147"/>
      <c r="CK180" s="1146"/>
    </row>
    <row r="181" spans="1:89" ht="15" x14ac:dyDescent="0.25">
      <c r="A181" s="1146"/>
      <c r="B181" s="1146"/>
      <c r="C181" s="1146"/>
      <c r="D181" s="1146"/>
      <c r="E181" s="1146"/>
      <c r="F181" s="1146"/>
      <c r="G181" s="1146"/>
      <c r="H181" s="1146"/>
      <c r="I181" s="1146"/>
      <c r="J181" s="1146"/>
      <c r="K181" s="1146"/>
      <c r="L181" s="1146"/>
      <c r="M181" s="1146"/>
      <c r="N181" s="1146"/>
      <c r="O181" s="1146"/>
      <c r="P181" s="1146"/>
      <c r="Q181" s="1146"/>
      <c r="R181" s="1146"/>
      <c r="S181" s="1146"/>
      <c r="T181" s="1147"/>
      <c r="U181" s="1147"/>
      <c r="V181" s="1147"/>
      <c r="W181" s="1147"/>
      <c r="X181" s="1147"/>
      <c r="Y181" s="1147"/>
      <c r="Z181" s="1147"/>
      <c r="AA181" s="1147"/>
      <c r="AB181" s="1147"/>
      <c r="AC181" s="1147"/>
      <c r="AD181" s="1147"/>
      <c r="AE181" s="1147"/>
      <c r="AF181" s="1147"/>
      <c r="AG181" s="1147"/>
      <c r="AH181" s="1147"/>
      <c r="AI181" s="1147"/>
      <c r="AJ181" s="1147"/>
      <c r="AK181" s="1147"/>
      <c r="AL181" s="1147"/>
      <c r="AM181" s="1147"/>
      <c r="AN181" s="1147"/>
      <c r="AO181" s="1147"/>
      <c r="AP181" s="1147"/>
      <c r="AQ181" s="1147"/>
      <c r="AR181" s="1147"/>
      <c r="AS181" s="1147"/>
      <c r="AT181" s="1147"/>
      <c r="AU181" s="1147"/>
      <c r="AV181" s="1147"/>
      <c r="AW181" s="1147"/>
      <c r="AX181" s="1147"/>
      <c r="AY181" s="1147"/>
      <c r="AZ181" s="1147"/>
      <c r="BA181" s="1147"/>
      <c r="BB181" s="1147"/>
      <c r="BC181" s="1147"/>
      <c r="BD181" s="1147"/>
      <c r="BE181" s="1147"/>
      <c r="BF181" s="1147"/>
      <c r="BG181" s="1147"/>
      <c r="BH181" s="1147"/>
      <c r="BI181" s="1147"/>
      <c r="BJ181" s="1147"/>
      <c r="BK181" s="1147"/>
      <c r="BL181" s="1147"/>
      <c r="BM181" s="1147"/>
      <c r="BN181" s="1147"/>
      <c r="BO181" s="1147"/>
      <c r="BP181" s="1147"/>
      <c r="BQ181" s="1147"/>
      <c r="BR181" s="1147"/>
      <c r="BS181" s="1147"/>
      <c r="BT181" s="1147"/>
      <c r="BU181" s="1147"/>
      <c r="BV181" s="1147"/>
      <c r="BW181" s="1147"/>
      <c r="BX181" s="1147"/>
      <c r="BY181" s="1147"/>
      <c r="BZ181" s="1147"/>
      <c r="CA181" s="1147"/>
      <c r="CB181" s="1147"/>
      <c r="CC181" s="1147"/>
      <c r="CD181" s="1147"/>
      <c r="CE181" s="1147"/>
      <c r="CF181" s="1147"/>
      <c r="CG181" s="1147"/>
      <c r="CH181" s="1147"/>
      <c r="CI181" s="1147"/>
      <c r="CJ181" s="1147"/>
      <c r="CK181" s="1146"/>
    </row>
    <row r="182" spans="1:89" ht="15" x14ac:dyDescent="0.25">
      <c r="A182" s="1146"/>
      <c r="B182" s="1146"/>
      <c r="C182" s="1146"/>
      <c r="D182" s="1146"/>
      <c r="E182" s="1146"/>
      <c r="F182" s="1146"/>
      <c r="G182" s="1146"/>
      <c r="H182" s="1146"/>
      <c r="I182" s="1146"/>
      <c r="J182" s="1146"/>
      <c r="K182" s="1146"/>
      <c r="L182" s="1146"/>
      <c r="M182" s="1146"/>
      <c r="N182" s="1146"/>
      <c r="O182" s="1146"/>
      <c r="P182" s="1146"/>
      <c r="Q182" s="1146"/>
      <c r="R182" s="1146"/>
      <c r="S182" s="1146"/>
      <c r="T182" s="1147"/>
      <c r="U182" s="1147"/>
      <c r="V182" s="1147"/>
      <c r="W182" s="1147"/>
      <c r="X182" s="1147"/>
      <c r="Y182" s="1147"/>
      <c r="Z182" s="1147"/>
      <c r="AA182" s="1147"/>
      <c r="AB182" s="1147"/>
      <c r="AC182" s="1147"/>
      <c r="AD182" s="1147"/>
      <c r="AE182" s="1147"/>
      <c r="AF182" s="1147"/>
      <c r="AG182" s="1147"/>
      <c r="AH182" s="1147"/>
      <c r="AI182" s="1147"/>
      <c r="AJ182" s="1147"/>
      <c r="AK182" s="1147"/>
      <c r="AL182" s="1147"/>
      <c r="AM182" s="1147"/>
      <c r="AN182" s="1147"/>
      <c r="AO182" s="1147"/>
      <c r="AP182" s="1147"/>
      <c r="AQ182" s="1147"/>
      <c r="AR182" s="1147"/>
      <c r="AS182" s="1147"/>
      <c r="AT182" s="1147"/>
      <c r="AU182" s="1147"/>
      <c r="AV182" s="1147"/>
      <c r="AW182" s="1147"/>
      <c r="AX182" s="1147"/>
      <c r="AY182" s="1147"/>
      <c r="AZ182" s="1147"/>
      <c r="BA182" s="1147"/>
      <c r="BB182" s="1147"/>
      <c r="BC182" s="1147"/>
      <c r="BD182" s="1147"/>
      <c r="BE182" s="1147"/>
      <c r="BF182" s="1147"/>
      <c r="BG182" s="1147"/>
      <c r="BH182" s="1147"/>
      <c r="BI182" s="1147"/>
      <c r="BJ182" s="1147"/>
      <c r="BK182" s="1147"/>
      <c r="BL182" s="1147"/>
      <c r="BM182" s="1147"/>
      <c r="BN182" s="1147"/>
      <c r="BO182" s="1147"/>
      <c r="BP182" s="1147"/>
      <c r="BQ182" s="1147"/>
      <c r="BR182" s="1147"/>
      <c r="BS182" s="1147"/>
      <c r="BT182" s="1147"/>
      <c r="BU182" s="1147"/>
      <c r="BV182" s="1147"/>
      <c r="BW182" s="1147"/>
      <c r="BX182" s="1147"/>
      <c r="BY182" s="1147"/>
      <c r="BZ182" s="1147"/>
      <c r="CA182" s="1147"/>
      <c r="CB182" s="1147"/>
      <c r="CC182" s="1147"/>
      <c r="CD182" s="1147"/>
      <c r="CE182" s="1147"/>
      <c r="CF182" s="1147"/>
      <c r="CG182" s="1147"/>
      <c r="CH182" s="1147"/>
      <c r="CI182" s="1147"/>
      <c r="CJ182" s="1147"/>
      <c r="CK182" s="1146"/>
    </row>
    <row r="183" spans="1:89" ht="15" x14ac:dyDescent="0.25">
      <c r="A183" s="1146"/>
      <c r="B183" s="1146"/>
      <c r="C183" s="1146"/>
      <c r="D183" s="1146"/>
      <c r="E183" s="1146"/>
      <c r="F183" s="1146"/>
      <c r="G183" s="1146"/>
      <c r="H183" s="1146"/>
      <c r="I183" s="1146"/>
      <c r="J183" s="1146"/>
      <c r="K183" s="1146"/>
      <c r="L183" s="1146"/>
      <c r="M183" s="1146"/>
      <c r="N183" s="1146"/>
      <c r="O183" s="1146"/>
      <c r="P183" s="1146"/>
      <c r="Q183" s="1146"/>
      <c r="R183" s="1146"/>
      <c r="S183" s="1146"/>
      <c r="T183" s="1147"/>
      <c r="U183" s="1147"/>
      <c r="V183" s="1147"/>
      <c r="W183" s="1147"/>
      <c r="X183" s="1147"/>
      <c r="Y183" s="1147"/>
      <c r="Z183" s="1147"/>
      <c r="AA183" s="1147"/>
      <c r="AB183" s="1147"/>
      <c r="AC183" s="1147"/>
      <c r="AD183" s="1147"/>
      <c r="AE183" s="1147"/>
      <c r="AF183" s="1147"/>
      <c r="AG183" s="1147"/>
      <c r="AH183" s="1147"/>
      <c r="AI183" s="1147"/>
      <c r="AJ183" s="1147"/>
      <c r="AK183" s="1147"/>
      <c r="AL183" s="1147"/>
      <c r="AM183" s="1147"/>
      <c r="AN183" s="1147"/>
      <c r="AO183" s="1147"/>
      <c r="AP183" s="1147"/>
      <c r="AQ183" s="1147"/>
      <c r="AR183" s="1147"/>
      <c r="AS183" s="1147"/>
      <c r="AT183" s="1147"/>
      <c r="AU183" s="1147"/>
      <c r="AV183" s="1147"/>
      <c r="AW183" s="1147"/>
      <c r="AX183" s="1147"/>
      <c r="AY183" s="1147"/>
      <c r="AZ183" s="1147"/>
      <c r="BA183" s="1147"/>
      <c r="BB183" s="1147"/>
      <c r="BC183" s="1147"/>
      <c r="BD183" s="1147"/>
      <c r="BE183" s="1147"/>
      <c r="BF183" s="1147"/>
      <c r="BG183" s="1147"/>
      <c r="BH183" s="1147"/>
      <c r="BI183" s="1147"/>
      <c r="BJ183" s="1147"/>
      <c r="BK183" s="1147"/>
      <c r="BL183" s="1147"/>
      <c r="BM183" s="1147"/>
      <c r="BN183" s="1147"/>
      <c r="BO183" s="1147"/>
      <c r="BP183" s="1147"/>
      <c r="BQ183" s="1147"/>
      <c r="BR183" s="1147"/>
      <c r="BS183" s="1147"/>
      <c r="BT183" s="1147"/>
      <c r="BU183" s="1147"/>
      <c r="BV183" s="1147"/>
      <c r="BW183" s="1147"/>
      <c r="BX183" s="1147"/>
      <c r="BY183" s="1147"/>
      <c r="BZ183" s="1147"/>
      <c r="CA183" s="1147"/>
      <c r="CB183" s="1147"/>
      <c r="CC183" s="1147"/>
      <c r="CD183" s="1147"/>
      <c r="CE183" s="1147"/>
      <c r="CF183" s="1147"/>
      <c r="CG183" s="1147"/>
      <c r="CH183" s="1147"/>
      <c r="CI183" s="1147"/>
      <c r="CJ183" s="1147"/>
      <c r="CK183" s="1146"/>
    </row>
    <row r="184" spans="1:89" ht="15" x14ac:dyDescent="0.25">
      <c r="A184" s="1146"/>
      <c r="B184" s="1146"/>
      <c r="C184" s="1146"/>
      <c r="D184" s="1146"/>
      <c r="E184" s="1146"/>
      <c r="F184" s="1146"/>
      <c r="G184" s="1146"/>
      <c r="H184" s="1146"/>
      <c r="I184" s="1146"/>
      <c r="J184" s="1146"/>
      <c r="K184" s="1146"/>
      <c r="L184" s="1146"/>
      <c r="M184" s="1146"/>
      <c r="N184" s="1146"/>
      <c r="O184" s="1146"/>
      <c r="P184" s="1146"/>
      <c r="Q184" s="1146"/>
      <c r="R184" s="1146"/>
      <c r="S184" s="1146"/>
      <c r="T184" s="1147"/>
      <c r="U184" s="1147"/>
      <c r="V184" s="1147"/>
      <c r="W184" s="1147"/>
      <c r="X184" s="1147"/>
      <c r="Y184" s="1147"/>
      <c r="Z184" s="1147"/>
      <c r="AA184" s="1147"/>
      <c r="AB184" s="1147"/>
      <c r="AC184" s="1147"/>
      <c r="AD184" s="1147"/>
      <c r="AE184" s="1147"/>
      <c r="AF184" s="1147"/>
      <c r="AG184" s="1147"/>
      <c r="AH184" s="1147"/>
      <c r="AI184" s="1147"/>
      <c r="AJ184" s="1147"/>
      <c r="AK184" s="1147"/>
      <c r="AL184" s="1147"/>
      <c r="AM184" s="1147"/>
      <c r="AN184" s="1147"/>
      <c r="AO184" s="1147"/>
      <c r="AP184" s="1147"/>
      <c r="AQ184" s="1147"/>
      <c r="AR184" s="1147"/>
      <c r="AS184" s="1147"/>
      <c r="AT184" s="1147"/>
      <c r="AU184" s="1147"/>
      <c r="AV184" s="1147"/>
      <c r="AW184" s="1147"/>
      <c r="AX184" s="1147"/>
      <c r="AY184" s="1147"/>
      <c r="AZ184" s="1147"/>
      <c r="BA184" s="1147"/>
      <c r="BB184" s="1147"/>
      <c r="BC184" s="1147"/>
      <c r="BD184" s="1147"/>
      <c r="BE184" s="1147"/>
      <c r="BF184" s="1147"/>
      <c r="BG184" s="1147"/>
      <c r="BH184" s="1147"/>
      <c r="BI184" s="1147"/>
      <c r="BJ184" s="1147"/>
      <c r="BK184" s="1147"/>
      <c r="BL184" s="1147"/>
      <c r="BM184" s="1147"/>
      <c r="BN184" s="1147"/>
      <c r="BO184" s="1147"/>
      <c r="BP184" s="1147"/>
      <c r="BQ184" s="1147"/>
      <c r="BR184" s="1147"/>
      <c r="BS184" s="1147"/>
      <c r="BT184" s="1147"/>
      <c r="BU184" s="1147"/>
      <c r="BV184" s="1147"/>
      <c r="BW184" s="1147"/>
      <c r="BX184" s="1147"/>
      <c r="BY184" s="1147"/>
      <c r="BZ184" s="1147"/>
      <c r="CA184" s="1147"/>
      <c r="CB184" s="1147"/>
      <c r="CC184" s="1147"/>
      <c r="CD184" s="1147"/>
      <c r="CE184" s="1147"/>
      <c r="CF184" s="1147"/>
      <c r="CG184" s="1147"/>
      <c r="CH184" s="1147"/>
      <c r="CI184" s="1147"/>
      <c r="CJ184" s="1147"/>
      <c r="CK184" s="1146"/>
    </row>
    <row r="185" spans="1:89" ht="15" x14ac:dyDescent="0.25">
      <c r="A185" s="1146"/>
      <c r="B185" s="1146"/>
      <c r="C185" s="1146"/>
      <c r="D185" s="1146"/>
      <c r="E185" s="1146"/>
      <c r="F185" s="1146"/>
      <c r="G185" s="1146"/>
      <c r="H185" s="1146"/>
      <c r="I185" s="1146"/>
      <c r="J185" s="1146"/>
      <c r="K185" s="1146"/>
      <c r="L185" s="1146"/>
      <c r="M185" s="1146"/>
      <c r="N185" s="1146"/>
      <c r="O185" s="1146"/>
      <c r="P185" s="1146"/>
      <c r="Q185" s="1146"/>
      <c r="R185" s="1146"/>
      <c r="S185" s="1146"/>
      <c r="T185" s="1147"/>
      <c r="U185" s="1147"/>
      <c r="V185" s="1147"/>
      <c r="W185" s="1147"/>
      <c r="X185" s="1147"/>
      <c r="Y185" s="1147"/>
      <c r="Z185" s="1147"/>
      <c r="AA185" s="1147"/>
      <c r="AB185" s="1147"/>
      <c r="AC185" s="1147"/>
      <c r="AD185" s="1147"/>
      <c r="AE185" s="1147"/>
      <c r="AF185" s="1147"/>
      <c r="AG185" s="1147"/>
      <c r="AH185" s="1147"/>
      <c r="AI185" s="1147"/>
      <c r="AJ185" s="1147"/>
      <c r="AK185" s="1147"/>
      <c r="AL185" s="1147"/>
      <c r="AM185" s="1147"/>
      <c r="AN185" s="1147"/>
      <c r="AO185" s="1147"/>
      <c r="AP185" s="1147"/>
      <c r="AQ185" s="1147"/>
      <c r="AR185" s="1147"/>
      <c r="AS185" s="1147"/>
      <c r="AT185" s="1147"/>
      <c r="AU185" s="1147"/>
      <c r="AV185" s="1147"/>
      <c r="AW185" s="1147"/>
      <c r="AX185" s="1147"/>
      <c r="AY185" s="1147"/>
      <c r="AZ185" s="1147"/>
      <c r="BA185" s="1147"/>
      <c r="BB185" s="1147"/>
      <c r="BC185" s="1147"/>
      <c r="BD185" s="1147"/>
      <c r="BE185" s="1147"/>
      <c r="BF185" s="1147"/>
      <c r="BG185" s="1147"/>
      <c r="BH185" s="1147"/>
      <c r="BI185" s="1147"/>
      <c r="BJ185" s="1147"/>
      <c r="BK185" s="1147"/>
      <c r="BL185" s="1147"/>
      <c r="BM185" s="1147"/>
      <c r="BN185" s="1147"/>
      <c r="BO185" s="1147"/>
      <c r="BP185" s="1147"/>
      <c r="BQ185" s="1147"/>
      <c r="BR185" s="1147"/>
      <c r="BS185" s="1147"/>
      <c r="BT185" s="1147"/>
      <c r="BU185" s="1147"/>
      <c r="BV185" s="1147"/>
      <c r="BW185" s="1147"/>
      <c r="BX185" s="1147"/>
      <c r="BY185" s="1147"/>
      <c r="BZ185" s="1147"/>
      <c r="CA185" s="1147"/>
      <c r="CB185" s="1147"/>
      <c r="CC185" s="1147"/>
      <c r="CD185" s="1147"/>
      <c r="CE185" s="1147"/>
      <c r="CF185" s="1147"/>
      <c r="CG185" s="1147"/>
      <c r="CH185" s="1147"/>
      <c r="CI185" s="1147"/>
      <c r="CJ185" s="1147"/>
      <c r="CK185" s="1146"/>
    </row>
    <row r="186" spans="1:89" ht="15" x14ac:dyDescent="0.25">
      <c r="A186" s="1146"/>
      <c r="B186" s="1146"/>
      <c r="C186" s="1146"/>
      <c r="D186" s="1146"/>
      <c r="E186" s="1146"/>
      <c r="F186" s="1146"/>
      <c r="G186" s="1146"/>
      <c r="H186" s="1146"/>
      <c r="I186" s="1146"/>
      <c r="J186" s="1146"/>
      <c r="K186" s="1146"/>
      <c r="L186" s="1146"/>
      <c r="M186" s="1146"/>
      <c r="N186" s="1146"/>
      <c r="O186" s="1146"/>
      <c r="P186" s="1146"/>
      <c r="Q186" s="1146"/>
      <c r="R186" s="1146"/>
      <c r="S186" s="1146"/>
      <c r="T186" s="1147"/>
      <c r="U186" s="1147"/>
      <c r="V186" s="1147"/>
      <c r="W186" s="1147"/>
      <c r="X186" s="1147"/>
      <c r="Y186" s="1147"/>
      <c r="Z186" s="1147"/>
      <c r="AA186" s="1147"/>
      <c r="AB186" s="1147"/>
      <c r="AC186" s="1147"/>
      <c r="AD186" s="1147"/>
      <c r="AE186" s="1147"/>
      <c r="AF186" s="1147"/>
      <c r="AG186" s="1147"/>
      <c r="AH186" s="1147"/>
      <c r="AI186" s="1147"/>
      <c r="AJ186" s="1147"/>
      <c r="AK186" s="1147"/>
      <c r="AL186" s="1147"/>
      <c r="AM186" s="1147"/>
      <c r="AN186" s="1147"/>
      <c r="AO186" s="1147"/>
      <c r="AP186" s="1147"/>
      <c r="AQ186" s="1147"/>
      <c r="AR186" s="1147"/>
      <c r="AS186" s="1147"/>
      <c r="AT186" s="1147"/>
      <c r="AU186" s="1147"/>
      <c r="AV186" s="1147"/>
      <c r="AW186" s="1147"/>
      <c r="AX186" s="1147"/>
      <c r="AY186" s="1147"/>
      <c r="AZ186" s="1147"/>
      <c r="BA186" s="1147"/>
      <c r="BB186" s="1147"/>
      <c r="BC186" s="1147"/>
      <c r="BD186" s="1147"/>
      <c r="BE186" s="1147"/>
      <c r="BF186" s="1147"/>
      <c r="BG186" s="1147"/>
      <c r="BH186" s="1147"/>
      <c r="BI186" s="1147"/>
      <c r="BJ186" s="1147"/>
      <c r="BK186" s="1147"/>
      <c r="BL186" s="1147"/>
      <c r="BM186" s="1147"/>
      <c r="BN186" s="1147"/>
      <c r="BO186" s="1147"/>
      <c r="BP186" s="1147"/>
      <c r="BQ186" s="1147"/>
      <c r="BR186" s="1147"/>
      <c r="BS186" s="1147"/>
      <c r="BT186" s="1147"/>
      <c r="BU186" s="1147"/>
      <c r="BV186" s="1147"/>
      <c r="BW186" s="1147"/>
      <c r="BX186" s="1147"/>
      <c r="BY186" s="1147"/>
      <c r="BZ186" s="1147"/>
      <c r="CA186" s="1147"/>
      <c r="CB186" s="1147"/>
      <c r="CC186" s="1147"/>
      <c r="CD186" s="1147"/>
      <c r="CE186" s="1147"/>
      <c r="CF186" s="1147"/>
      <c r="CG186" s="1147"/>
      <c r="CH186" s="1147"/>
      <c r="CI186" s="1147"/>
      <c r="CJ186" s="1147"/>
      <c r="CK186" s="1146"/>
    </row>
    <row r="187" spans="1:89" ht="15" x14ac:dyDescent="0.25">
      <c r="A187" s="1146"/>
      <c r="B187" s="1146"/>
      <c r="C187" s="1146"/>
      <c r="D187" s="1146"/>
      <c r="E187" s="1146"/>
      <c r="F187" s="1146"/>
      <c r="G187" s="1146"/>
      <c r="H187" s="1146"/>
      <c r="I187" s="1146"/>
      <c r="J187" s="1146"/>
      <c r="K187" s="1146"/>
      <c r="L187" s="1146"/>
      <c r="M187" s="1146"/>
      <c r="N187" s="1146"/>
      <c r="O187" s="1146"/>
      <c r="P187" s="1146"/>
      <c r="Q187" s="1146"/>
      <c r="R187" s="1146"/>
      <c r="S187" s="1146"/>
      <c r="T187" s="1147"/>
      <c r="U187" s="1147"/>
      <c r="V187" s="1147"/>
      <c r="W187" s="1147"/>
      <c r="X187" s="1147"/>
      <c r="Y187" s="1147"/>
      <c r="Z187" s="1147"/>
      <c r="AA187" s="1147"/>
      <c r="AB187" s="1147"/>
      <c r="AC187" s="1147"/>
      <c r="AD187" s="1147"/>
      <c r="AE187" s="1147"/>
      <c r="AF187" s="1147"/>
      <c r="AG187" s="1147"/>
      <c r="AH187" s="1147"/>
      <c r="AI187" s="1147"/>
      <c r="AJ187" s="1147"/>
      <c r="AK187" s="1147"/>
      <c r="AL187" s="1147"/>
      <c r="AM187" s="1147"/>
      <c r="AN187" s="1147"/>
      <c r="AO187" s="1147"/>
      <c r="AP187" s="1147"/>
      <c r="AQ187" s="1147"/>
      <c r="AR187" s="1147"/>
      <c r="AS187" s="1147"/>
      <c r="AT187" s="1147"/>
      <c r="AU187" s="1147"/>
      <c r="AV187" s="1147"/>
      <c r="AW187" s="1147"/>
      <c r="AX187" s="1147"/>
      <c r="AY187" s="1147"/>
      <c r="AZ187" s="1147"/>
      <c r="BA187" s="1147"/>
      <c r="BB187" s="1147"/>
      <c r="BC187" s="1147"/>
      <c r="BD187" s="1147"/>
      <c r="BE187" s="1147"/>
      <c r="BF187" s="1147"/>
      <c r="BG187" s="1147"/>
      <c r="BH187" s="1147"/>
      <c r="BI187" s="1147"/>
      <c r="BJ187" s="1147"/>
      <c r="BK187" s="1147"/>
      <c r="BL187" s="1147"/>
      <c r="BM187" s="1147"/>
      <c r="BN187" s="1147"/>
      <c r="BO187" s="1147"/>
      <c r="BP187" s="1147"/>
      <c r="BQ187" s="1147"/>
      <c r="BR187" s="1147"/>
      <c r="BS187" s="1147"/>
      <c r="BT187" s="1147"/>
      <c r="BU187" s="1147"/>
      <c r="BV187" s="1147"/>
      <c r="BW187" s="1147"/>
      <c r="BX187" s="1147"/>
      <c r="BY187" s="1147"/>
      <c r="BZ187" s="1147"/>
      <c r="CA187" s="1147"/>
      <c r="CB187" s="1147"/>
      <c r="CC187" s="1147"/>
      <c r="CD187" s="1147"/>
      <c r="CE187" s="1147"/>
      <c r="CF187" s="1147"/>
      <c r="CG187" s="1147"/>
      <c r="CH187" s="1147"/>
      <c r="CI187" s="1147"/>
      <c r="CJ187" s="1147"/>
      <c r="CK187" s="1146"/>
    </row>
    <row r="188" spans="1:89" ht="15" x14ac:dyDescent="0.25">
      <c r="A188" s="1146"/>
      <c r="B188" s="1146"/>
      <c r="C188" s="1146"/>
      <c r="D188" s="1146"/>
      <c r="E188" s="1146"/>
      <c r="F188" s="1146"/>
      <c r="G188" s="1146"/>
      <c r="H188" s="1146"/>
      <c r="I188" s="1146"/>
      <c r="J188" s="1146"/>
      <c r="K188" s="1146"/>
      <c r="L188" s="1146"/>
      <c r="M188" s="1146"/>
      <c r="N188" s="1146"/>
      <c r="O188" s="1146"/>
      <c r="P188" s="1146"/>
      <c r="Q188" s="1146"/>
      <c r="R188" s="1146"/>
      <c r="S188" s="1146"/>
      <c r="T188" s="1147"/>
      <c r="U188" s="1147"/>
      <c r="V188" s="1147"/>
      <c r="W188" s="1147"/>
      <c r="X188" s="1147"/>
      <c r="Y188" s="1147"/>
      <c r="Z188" s="1147"/>
      <c r="AA188" s="1147"/>
      <c r="AB188" s="1147"/>
      <c r="AC188" s="1147"/>
      <c r="AD188" s="1147"/>
      <c r="AE188" s="1147"/>
      <c r="AF188" s="1147"/>
      <c r="AG188" s="1147"/>
      <c r="AH188" s="1147"/>
      <c r="AI188" s="1147"/>
      <c r="AJ188" s="1147"/>
      <c r="AK188" s="1147"/>
      <c r="AL188" s="1147"/>
      <c r="AM188" s="1147"/>
      <c r="AN188" s="1147"/>
      <c r="AO188" s="1147"/>
      <c r="AP188" s="1147"/>
      <c r="AQ188" s="1147"/>
      <c r="AR188" s="1147"/>
      <c r="AS188" s="1147"/>
      <c r="AT188" s="1147"/>
      <c r="AU188" s="1147"/>
      <c r="AV188" s="1147"/>
      <c r="AW188" s="1147"/>
      <c r="AX188" s="1147"/>
      <c r="AY188" s="1147"/>
      <c r="AZ188" s="1147"/>
      <c r="BA188" s="1147"/>
      <c r="BB188" s="1147"/>
      <c r="BC188" s="1147"/>
      <c r="BD188" s="1147"/>
      <c r="BE188" s="1147"/>
      <c r="BF188" s="1147"/>
      <c r="BG188" s="1147"/>
      <c r="BH188" s="1147"/>
      <c r="BI188" s="1147"/>
      <c r="BJ188" s="1147"/>
      <c r="BK188" s="1147"/>
      <c r="BL188" s="1147"/>
      <c r="BM188" s="1147"/>
      <c r="BN188" s="1147"/>
      <c r="BO188" s="1147"/>
      <c r="BP188" s="1147"/>
      <c r="BQ188" s="1147"/>
      <c r="BR188" s="1147"/>
      <c r="BS188" s="1147"/>
      <c r="BT188" s="1147"/>
      <c r="BU188" s="1147"/>
      <c r="BV188" s="1147"/>
      <c r="BW188" s="1147"/>
      <c r="BX188" s="1147"/>
      <c r="BY188" s="1147"/>
      <c r="BZ188" s="1147"/>
      <c r="CA188" s="1147"/>
      <c r="CB188" s="1147"/>
      <c r="CC188" s="1147"/>
      <c r="CD188" s="1147"/>
      <c r="CE188" s="1147"/>
      <c r="CF188" s="1147"/>
      <c r="CG188" s="1147"/>
      <c r="CH188" s="1147"/>
      <c r="CI188" s="1147"/>
      <c r="CJ188" s="1147"/>
      <c r="CK188" s="1146"/>
    </row>
    <row r="189" spans="1:89" ht="15" x14ac:dyDescent="0.25">
      <c r="A189" s="1146"/>
      <c r="B189" s="1146"/>
      <c r="C189" s="1146"/>
      <c r="D189" s="1146"/>
      <c r="E189" s="1146"/>
      <c r="F189" s="1146"/>
      <c r="G189" s="1146"/>
      <c r="H189" s="1146"/>
      <c r="I189" s="1146"/>
      <c r="J189" s="1146"/>
      <c r="K189" s="1146"/>
      <c r="L189" s="1146"/>
      <c r="M189" s="1146"/>
      <c r="N189" s="1146"/>
      <c r="O189" s="1146"/>
      <c r="P189" s="1146"/>
      <c r="Q189" s="1146"/>
      <c r="R189" s="1146"/>
      <c r="S189" s="1146"/>
      <c r="T189" s="1147"/>
      <c r="U189" s="1147"/>
      <c r="V189" s="1147"/>
      <c r="W189" s="1147"/>
      <c r="X189" s="1147"/>
      <c r="Y189" s="1147"/>
      <c r="Z189" s="1147"/>
      <c r="AA189" s="1147"/>
      <c r="AB189" s="1147"/>
      <c r="AC189" s="1147"/>
      <c r="AD189" s="1147"/>
      <c r="AE189" s="1147"/>
      <c r="AF189" s="1147"/>
      <c r="AG189" s="1147"/>
      <c r="AH189" s="1147"/>
      <c r="AI189" s="1147"/>
      <c r="AJ189" s="1147"/>
      <c r="AK189" s="1147"/>
      <c r="AL189" s="1147"/>
      <c r="AM189" s="1147"/>
      <c r="AN189" s="1147"/>
      <c r="AO189" s="1147"/>
      <c r="AP189" s="1147"/>
      <c r="AQ189" s="1147"/>
      <c r="AR189" s="1147"/>
      <c r="AS189" s="1147"/>
      <c r="AT189" s="1147"/>
      <c r="AU189" s="1147"/>
      <c r="AV189" s="1147"/>
      <c r="AW189" s="1147"/>
      <c r="AX189" s="1147"/>
      <c r="AY189" s="1147"/>
      <c r="AZ189" s="1147"/>
      <c r="BA189" s="1147"/>
      <c r="BB189" s="1147"/>
      <c r="BC189" s="1147"/>
      <c r="BD189" s="1147"/>
      <c r="BE189" s="1147"/>
      <c r="BF189" s="1147"/>
      <c r="BG189" s="1147"/>
      <c r="BH189" s="1147"/>
      <c r="BI189" s="1147"/>
      <c r="BJ189" s="1147"/>
      <c r="BK189" s="1147"/>
      <c r="BL189" s="1147"/>
      <c r="BM189" s="1147"/>
      <c r="BN189" s="1147"/>
      <c r="BO189" s="1147"/>
      <c r="BP189" s="1147"/>
      <c r="BQ189" s="1147"/>
      <c r="BR189" s="1147"/>
      <c r="BS189" s="1147"/>
      <c r="BT189" s="1147"/>
      <c r="BU189" s="1147"/>
      <c r="BV189" s="1147"/>
      <c r="BW189" s="1147"/>
      <c r="BX189" s="1147"/>
      <c r="BY189" s="1147"/>
      <c r="BZ189" s="1147"/>
      <c r="CA189" s="1147"/>
      <c r="CB189" s="1147"/>
      <c r="CC189" s="1147"/>
      <c r="CD189" s="1147"/>
      <c r="CE189" s="1147"/>
      <c r="CF189" s="1147"/>
      <c r="CG189" s="1147"/>
      <c r="CH189" s="1147"/>
      <c r="CI189" s="1147"/>
      <c r="CJ189" s="1147"/>
      <c r="CK189" s="1146"/>
    </row>
    <row r="190" spans="1:89" ht="15" x14ac:dyDescent="0.25">
      <c r="A190" s="1146"/>
      <c r="B190" s="1146"/>
      <c r="C190" s="1146"/>
      <c r="D190" s="1146"/>
      <c r="E190" s="1146"/>
      <c r="F190" s="1146"/>
      <c r="G190" s="1146"/>
      <c r="H190" s="1146"/>
      <c r="I190" s="1146"/>
      <c r="J190" s="1146"/>
      <c r="K190" s="1146"/>
      <c r="L190" s="1146"/>
      <c r="M190" s="1146"/>
      <c r="N190" s="1146"/>
      <c r="O190" s="1146"/>
      <c r="P190" s="1146"/>
      <c r="Q190" s="1146"/>
      <c r="R190" s="1146"/>
      <c r="S190" s="1146"/>
      <c r="T190" s="1147"/>
      <c r="U190" s="1147"/>
      <c r="V190" s="1147"/>
      <c r="W190" s="1147"/>
      <c r="X190" s="1147"/>
      <c r="Y190" s="1147"/>
      <c r="Z190" s="1147"/>
      <c r="AA190" s="1147"/>
      <c r="AB190" s="1147"/>
      <c r="AC190" s="1147"/>
      <c r="AD190" s="1147"/>
      <c r="AE190" s="1147"/>
      <c r="AF190" s="1147"/>
      <c r="AG190" s="1147"/>
      <c r="AH190" s="1147"/>
      <c r="AI190" s="1147"/>
      <c r="AJ190" s="1147"/>
      <c r="AK190" s="1147"/>
      <c r="AL190" s="1147"/>
      <c r="AM190" s="1147"/>
      <c r="AN190" s="1147"/>
      <c r="AO190" s="1147"/>
      <c r="AP190" s="1147"/>
      <c r="AQ190" s="1147"/>
      <c r="AR190" s="1147"/>
      <c r="AS190" s="1147"/>
      <c r="AT190" s="1147"/>
      <c r="AU190" s="1147"/>
      <c r="AV190" s="1147"/>
      <c r="AW190" s="1147"/>
      <c r="AX190" s="1147"/>
      <c r="AY190" s="1147"/>
      <c r="AZ190" s="1147"/>
      <c r="BA190" s="1147"/>
      <c r="BB190" s="1147"/>
      <c r="BC190" s="1147"/>
      <c r="BD190" s="1147"/>
      <c r="BE190" s="1147"/>
      <c r="BF190" s="1147"/>
      <c r="BG190" s="1147"/>
      <c r="BH190" s="1147"/>
      <c r="BI190" s="1147"/>
      <c r="BJ190" s="1147"/>
      <c r="BK190" s="1147"/>
      <c r="BL190" s="1147"/>
      <c r="BM190" s="1147"/>
      <c r="BN190" s="1147"/>
      <c r="BO190" s="1147"/>
      <c r="BP190" s="1147"/>
      <c r="BQ190" s="1147"/>
      <c r="BR190" s="1147"/>
      <c r="BS190" s="1147"/>
      <c r="BT190" s="1147"/>
      <c r="BU190" s="1147"/>
      <c r="BV190" s="1147"/>
      <c r="BW190" s="1147"/>
      <c r="BX190" s="1147"/>
      <c r="BY190" s="1147"/>
      <c r="BZ190" s="1147"/>
      <c r="CA190" s="1147"/>
      <c r="CB190" s="1147"/>
      <c r="CC190" s="1147"/>
      <c r="CD190" s="1147"/>
      <c r="CE190" s="1147"/>
      <c r="CF190" s="1147"/>
      <c r="CG190" s="1147"/>
      <c r="CH190" s="1147"/>
      <c r="CI190" s="1147"/>
      <c r="CJ190" s="1147"/>
      <c r="CK190" s="1146"/>
    </row>
    <row r="191" spans="1:89" ht="15" x14ac:dyDescent="0.25">
      <c r="A191" s="1146"/>
      <c r="B191" s="1146"/>
      <c r="C191" s="1146"/>
      <c r="D191" s="1146"/>
      <c r="E191" s="1146"/>
      <c r="F191" s="1146"/>
      <c r="G191" s="1146"/>
      <c r="H191" s="1146"/>
      <c r="I191" s="1146"/>
      <c r="J191" s="1146"/>
      <c r="K191" s="1146"/>
      <c r="L191" s="1146"/>
      <c r="M191" s="1146"/>
      <c r="N191" s="1146"/>
      <c r="O191" s="1146"/>
      <c r="P191" s="1146"/>
      <c r="Q191" s="1146"/>
      <c r="R191" s="1146"/>
      <c r="S191" s="1146"/>
      <c r="T191" s="1147"/>
      <c r="U191" s="1147"/>
      <c r="V191" s="1147"/>
      <c r="W191" s="1147"/>
      <c r="X191" s="1147"/>
      <c r="Y191" s="1147"/>
      <c r="Z191" s="1147"/>
      <c r="AA191" s="1147"/>
      <c r="AB191" s="1147"/>
      <c r="AC191" s="1147"/>
      <c r="AD191" s="1147"/>
      <c r="AE191" s="1147"/>
      <c r="AF191" s="1147"/>
      <c r="AG191" s="1147"/>
      <c r="AH191" s="1147"/>
      <c r="AI191" s="1147"/>
      <c r="AJ191" s="1147"/>
      <c r="AK191" s="1147"/>
      <c r="AL191" s="1147"/>
      <c r="AM191" s="1147"/>
      <c r="AN191" s="1147"/>
      <c r="AO191" s="1147"/>
      <c r="AP191" s="1147"/>
      <c r="AQ191" s="1147"/>
      <c r="AR191" s="1147"/>
      <c r="AS191" s="1147"/>
      <c r="AT191" s="1147"/>
      <c r="AU191" s="1147"/>
      <c r="AV191" s="1147"/>
      <c r="AW191" s="1147"/>
      <c r="AX191" s="1147"/>
      <c r="AY191" s="1147"/>
      <c r="AZ191" s="1147"/>
      <c r="BA191" s="1147"/>
      <c r="BB191" s="1147"/>
      <c r="BC191" s="1147"/>
      <c r="BD191" s="1147"/>
      <c r="BE191" s="1147"/>
      <c r="BF191" s="1147"/>
      <c r="BG191" s="1147"/>
      <c r="BH191" s="1147"/>
      <c r="BI191" s="1147"/>
      <c r="BJ191" s="1147"/>
      <c r="BK191" s="1147"/>
      <c r="BL191" s="1147"/>
      <c r="BM191" s="1147"/>
      <c r="BN191" s="1147"/>
      <c r="BO191" s="1147"/>
      <c r="BP191" s="1147"/>
      <c r="BQ191" s="1147"/>
      <c r="BR191" s="1147"/>
      <c r="BS191" s="1147"/>
      <c r="BT191" s="1147"/>
      <c r="BU191" s="1147"/>
      <c r="BV191" s="1147"/>
      <c r="BW191" s="1147"/>
      <c r="BX191" s="1147"/>
      <c r="BY191" s="1147"/>
      <c r="BZ191" s="1147"/>
      <c r="CA191" s="1147"/>
      <c r="CB191" s="1147"/>
      <c r="CC191" s="1147"/>
      <c r="CD191" s="1147"/>
      <c r="CE191" s="1147"/>
      <c r="CF191" s="1147"/>
      <c r="CG191" s="1147"/>
      <c r="CH191" s="1147"/>
      <c r="CI191" s="1147"/>
      <c r="CJ191" s="1147"/>
      <c r="CK191" s="1146"/>
    </row>
    <row r="192" spans="1:89" ht="15" x14ac:dyDescent="0.25">
      <c r="A192" s="1146"/>
      <c r="B192" s="1146"/>
      <c r="C192" s="1146"/>
      <c r="D192" s="1146"/>
      <c r="E192" s="1146"/>
      <c r="F192" s="1146"/>
      <c r="G192" s="1146"/>
      <c r="H192" s="1146"/>
      <c r="I192" s="1146"/>
      <c r="J192" s="1146"/>
      <c r="K192" s="1146"/>
      <c r="L192" s="1146"/>
      <c r="M192" s="1146"/>
      <c r="N192" s="1146"/>
      <c r="O192" s="1146"/>
      <c r="P192" s="1146"/>
      <c r="Q192" s="1146"/>
      <c r="R192" s="1146"/>
      <c r="S192" s="1146"/>
      <c r="T192" s="1147"/>
      <c r="U192" s="1147"/>
      <c r="V192" s="1147"/>
      <c r="W192" s="1147"/>
      <c r="X192" s="1147"/>
      <c r="Y192" s="1147"/>
      <c r="Z192" s="1147"/>
      <c r="AA192" s="1147"/>
      <c r="AB192" s="1147"/>
      <c r="AC192" s="1147"/>
      <c r="AD192" s="1147"/>
      <c r="AE192" s="1147"/>
      <c r="AF192" s="1147"/>
      <c r="AG192" s="1147"/>
      <c r="AH192" s="1147"/>
      <c r="AI192" s="1147"/>
      <c r="AJ192" s="1147"/>
      <c r="AK192" s="1147"/>
      <c r="AL192" s="1147"/>
      <c r="AM192" s="1147"/>
      <c r="AN192" s="1147"/>
      <c r="AO192" s="1147"/>
      <c r="AP192" s="1147"/>
      <c r="AQ192" s="1147"/>
      <c r="AR192" s="1147"/>
      <c r="AS192" s="1147"/>
      <c r="AT192" s="1147"/>
      <c r="AU192" s="1147"/>
      <c r="AV192" s="1147"/>
      <c r="AW192" s="1147"/>
      <c r="AX192" s="1147"/>
      <c r="AY192" s="1147"/>
      <c r="AZ192" s="1147"/>
      <c r="BA192" s="1147"/>
      <c r="BB192" s="1147"/>
      <c r="BC192" s="1147"/>
      <c r="BD192" s="1147"/>
      <c r="BE192" s="1147"/>
      <c r="BF192" s="1147"/>
      <c r="BG192" s="1147"/>
      <c r="BH192" s="1147"/>
      <c r="BI192" s="1147"/>
      <c r="BJ192" s="1147"/>
      <c r="BK192" s="1147"/>
      <c r="BL192" s="1147"/>
      <c r="BM192" s="1147"/>
      <c r="BN192" s="1147"/>
      <c r="BO192" s="1147"/>
      <c r="BP192" s="1147"/>
      <c r="BQ192" s="1147"/>
      <c r="BR192" s="1147"/>
      <c r="BS192" s="1147"/>
      <c r="BT192" s="1147"/>
      <c r="BU192" s="1147"/>
      <c r="BV192" s="1147"/>
      <c r="BW192" s="1147"/>
      <c r="BX192" s="1147"/>
      <c r="BY192" s="1147"/>
      <c r="BZ192" s="1147"/>
      <c r="CA192" s="1147"/>
      <c r="CB192" s="1147"/>
      <c r="CC192" s="1147"/>
      <c r="CD192" s="1147"/>
      <c r="CE192" s="1147"/>
      <c r="CF192" s="1147"/>
      <c r="CG192" s="1147"/>
      <c r="CH192" s="1147"/>
      <c r="CI192" s="1147"/>
      <c r="CJ192" s="1147"/>
      <c r="CK192" s="1146"/>
    </row>
    <row r="193" spans="1:89" ht="15" x14ac:dyDescent="0.25">
      <c r="A193" s="1146"/>
      <c r="B193" s="1146"/>
      <c r="C193" s="1146"/>
      <c r="D193" s="1146"/>
      <c r="E193" s="1146"/>
      <c r="F193" s="1146"/>
      <c r="G193" s="1146"/>
      <c r="H193" s="1146"/>
      <c r="I193" s="1146"/>
      <c r="J193" s="1146"/>
      <c r="K193" s="1146"/>
      <c r="L193" s="1146"/>
      <c r="M193" s="1146"/>
      <c r="N193" s="1146"/>
      <c r="O193" s="1146"/>
      <c r="P193" s="1146"/>
      <c r="Q193" s="1146"/>
      <c r="R193" s="1146"/>
      <c r="S193" s="1146"/>
      <c r="T193" s="1147"/>
      <c r="U193" s="1147"/>
      <c r="V193" s="1147"/>
      <c r="W193" s="1147"/>
      <c r="X193" s="1147"/>
      <c r="Y193" s="1147"/>
      <c r="Z193" s="1147"/>
      <c r="AA193" s="1147"/>
      <c r="AB193" s="1147"/>
      <c r="AC193" s="1147"/>
      <c r="AD193" s="1147"/>
      <c r="AE193" s="1147"/>
      <c r="AF193" s="1147"/>
      <c r="AG193" s="1147"/>
      <c r="AH193" s="1147"/>
      <c r="AI193" s="1147"/>
      <c r="AJ193" s="1147"/>
      <c r="AK193" s="1147"/>
      <c r="AL193" s="1147"/>
      <c r="AM193" s="1147"/>
      <c r="AN193" s="1147"/>
      <c r="AO193" s="1147"/>
      <c r="AP193" s="1147"/>
      <c r="AQ193" s="1147"/>
      <c r="AR193" s="1147"/>
      <c r="AS193" s="1147"/>
      <c r="AT193" s="1147"/>
      <c r="AU193" s="1147"/>
      <c r="AV193" s="1147"/>
      <c r="AW193" s="1147"/>
      <c r="AX193" s="1147"/>
      <c r="AY193" s="1147"/>
      <c r="AZ193" s="1147"/>
      <c r="BA193" s="1147"/>
      <c r="BB193" s="1147"/>
      <c r="BC193" s="1147"/>
      <c r="BD193" s="1147"/>
      <c r="BE193" s="1147"/>
      <c r="BF193" s="1147"/>
      <c r="BG193" s="1147"/>
      <c r="BH193" s="1147"/>
      <c r="BI193" s="1147"/>
      <c r="BJ193" s="1147"/>
      <c r="BK193" s="1147"/>
      <c r="BL193" s="1147"/>
      <c r="BM193" s="1147"/>
      <c r="BN193" s="1147"/>
      <c r="BO193" s="1147"/>
      <c r="BP193" s="1147"/>
      <c r="BQ193" s="1147"/>
      <c r="BR193" s="1147"/>
      <c r="BS193" s="1147"/>
      <c r="BT193" s="1147"/>
      <c r="BU193" s="1147"/>
      <c r="BV193" s="1147"/>
      <c r="BW193" s="1147"/>
      <c r="BX193" s="1147"/>
      <c r="BY193" s="1147"/>
      <c r="BZ193" s="1147"/>
      <c r="CA193" s="1147"/>
      <c r="CB193" s="1147"/>
      <c r="CC193" s="1147"/>
      <c r="CD193" s="1147"/>
      <c r="CE193" s="1147"/>
      <c r="CF193" s="1147"/>
      <c r="CG193" s="1147"/>
      <c r="CH193" s="1147"/>
      <c r="CI193" s="1147"/>
      <c r="CJ193" s="1147"/>
      <c r="CK193" s="1146"/>
    </row>
    <row r="194" spans="1:89" ht="15" x14ac:dyDescent="0.25">
      <c r="A194" s="1146"/>
      <c r="B194" s="1146"/>
      <c r="C194" s="1146"/>
      <c r="D194" s="1146"/>
      <c r="E194" s="1146"/>
      <c r="F194" s="1146"/>
      <c r="G194" s="1146"/>
      <c r="H194" s="1146"/>
      <c r="I194" s="1146"/>
      <c r="J194" s="1146"/>
      <c r="K194" s="1146"/>
      <c r="L194" s="1146"/>
      <c r="M194" s="1146"/>
      <c r="N194" s="1146"/>
      <c r="O194" s="1146"/>
      <c r="P194" s="1146"/>
      <c r="Q194" s="1146"/>
      <c r="R194" s="1146"/>
      <c r="S194" s="1146"/>
      <c r="T194" s="1147"/>
      <c r="U194" s="1147"/>
      <c r="V194" s="1147"/>
      <c r="W194" s="1147"/>
      <c r="X194" s="1147"/>
      <c r="Y194" s="1147"/>
      <c r="Z194" s="1147"/>
      <c r="AA194" s="1147"/>
      <c r="AB194" s="1147"/>
      <c r="AC194" s="1147"/>
      <c r="AD194" s="1147"/>
      <c r="AE194" s="1147"/>
      <c r="AF194" s="1147"/>
      <c r="AG194" s="1147"/>
      <c r="AH194" s="1147"/>
      <c r="AI194" s="1147"/>
      <c r="AJ194" s="1147"/>
      <c r="AK194" s="1147"/>
      <c r="AL194" s="1147"/>
      <c r="AM194" s="1147"/>
      <c r="AN194" s="1147"/>
      <c r="AO194" s="1147"/>
      <c r="AP194" s="1147"/>
      <c r="AQ194" s="1147"/>
      <c r="AR194" s="1147"/>
      <c r="AS194" s="1147"/>
      <c r="AT194" s="1147"/>
      <c r="AU194" s="1147"/>
      <c r="AV194" s="1147"/>
      <c r="AW194" s="1147"/>
      <c r="AX194" s="1147"/>
      <c r="AY194" s="1147"/>
      <c r="AZ194" s="1147"/>
      <c r="BA194" s="1147"/>
      <c r="BB194" s="1147"/>
      <c r="BC194" s="1147"/>
      <c r="BD194" s="1147"/>
      <c r="BE194" s="1147"/>
      <c r="BF194" s="1147"/>
      <c r="BG194" s="1147"/>
      <c r="BH194" s="1147"/>
      <c r="BI194" s="1147"/>
      <c r="BJ194" s="1147"/>
      <c r="BK194" s="1147"/>
      <c r="BL194" s="1147"/>
      <c r="BM194" s="1147"/>
      <c r="BN194" s="1147"/>
      <c r="BO194" s="1147"/>
      <c r="BP194" s="1147"/>
      <c r="BQ194" s="1147"/>
      <c r="BR194" s="1147"/>
      <c r="BS194" s="1147"/>
      <c r="BT194" s="1147"/>
      <c r="BU194" s="1147"/>
      <c r="BV194" s="1147"/>
      <c r="BW194" s="1147"/>
      <c r="BX194" s="1147"/>
      <c r="BY194" s="1147"/>
      <c r="BZ194" s="1147"/>
      <c r="CA194" s="1147"/>
      <c r="CB194" s="1147"/>
      <c r="CC194" s="1147"/>
      <c r="CD194" s="1147"/>
      <c r="CE194" s="1147"/>
      <c r="CF194" s="1147"/>
      <c r="CG194" s="1147"/>
      <c r="CH194" s="1147"/>
      <c r="CI194" s="1147"/>
      <c r="CJ194" s="1147"/>
      <c r="CK194" s="1146"/>
    </row>
    <row r="195" spans="1:89" ht="15" x14ac:dyDescent="0.25">
      <c r="A195" s="1146"/>
      <c r="B195" s="1146"/>
      <c r="C195" s="1146"/>
      <c r="D195" s="1146"/>
      <c r="E195" s="1146"/>
      <c r="F195" s="1146"/>
      <c r="G195" s="1146"/>
      <c r="H195" s="1146"/>
      <c r="I195" s="1146"/>
      <c r="J195" s="1146"/>
      <c r="K195" s="1146"/>
      <c r="L195" s="1146"/>
      <c r="M195" s="1146"/>
      <c r="N195" s="1146"/>
      <c r="O195" s="1146"/>
      <c r="P195" s="1146"/>
      <c r="Q195" s="1146"/>
      <c r="R195" s="1146"/>
      <c r="S195" s="1146"/>
      <c r="T195" s="1147"/>
      <c r="U195" s="1147"/>
      <c r="V195" s="1147"/>
      <c r="W195" s="1147"/>
      <c r="X195" s="1147"/>
      <c r="Y195" s="1147"/>
      <c r="Z195" s="1147"/>
      <c r="AA195" s="1147"/>
      <c r="AB195" s="1147"/>
      <c r="AC195" s="1147"/>
      <c r="AD195" s="1147"/>
      <c r="AE195" s="1147"/>
      <c r="AF195" s="1147"/>
      <c r="AG195" s="1147"/>
      <c r="AH195" s="1147"/>
      <c r="AI195" s="1147"/>
      <c r="AJ195" s="1147"/>
      <c r="AK195" s="1147"/>
      <c r="AL195" s="1147"/>
      <c r="AM195" s="1147"/>
      <c r="AN195" s="1147"/>
      <c r="AO195" s="1147"/>
      <c r="AP195" s="1147"/>
      <c r="AQ195" s="1147"/>
      <c r="AR195" s="1147"/>
      <c r="AS195" s="1147"/>
      <c r="AT195" s="1147"/>
      <c r="AU195" s="1147"/>
      <c r="AV195" s="1147"/>
      <c r="AW195" s="1147"/>
      <c r="AX195" s="1147"/>
      <c r="AY195" s="1147"/>
      <c r="AZ195" s="1147"/>
      <c r="BA195" s="1147"/>
      <c r="BB195" s="1147"/>
      <c r="BC195" s="1147"/>
      <c r="BD195" s="1147"/>
      <c r="BE195" s="1147"/>
      <c r="BF195" s="1147"/>
      <c r="BG195" s="1147"/>
      <c r="BH195" s="1147"/>
      <c r="BI195" s="1147"/>
      <c r="BJ195" s="1147"/>
      <c r="BK195" s="1147"/>
      <c r="BL195" s="1147"/>
      <c r="BM195" s="1147"/>
      <c r="BN195" s="1147"/>
      <c r="BO195" s="1147"/>
      <c r="BP195" s="1147"/>
      <c r="BQ195" s="1147"/>
      <c r="BR195" s="1147"/>
      <c r="BS195" s="1147"/>
      <c r="BT195" s="1147"/>
      <c r="BU195" s="1147"/>
      <c r="BV195" s="1147"/>
      <c r="BW195" s="1147"/>
      <c r="BX195" s="1147"/>
      <c r="BY195" s="1147"/>
      <c r="BZ195" s="1147"/>
      <c r="CA195" s="1147"/>
      <c r="CB195" s="1147"/>
      <c r="CC195" s="1147"/>
      <c r="CD195" s="1147"/>
      <c r="CE195" s="1147"/>
      <c r="CF195" s="1147"/>
      <c r="CG195" s="1147"/>
      <c r="CH195" s="1147"/>
      <c r="CI195" s="1147"/>
      <c r="CJ195" s="1147"/>
      <c r="CK195" s="1146"/>
    </row>
    <row r="196" spans="1:89" ht="15" x14ac:dyDescent="0.25">
      <c r="A196" s="1146"/>
      <c r="B196" s="1146"/>
      <c r="C196" s="1146"/>
      <c r="D196" s="1146"/>
      <c r="E196" s="1146"/>
      <c r="F196" s="1146"/>
      <c r="G196" s="1146"/>
      <c r="H196" s="1146"/>
      <c r="I196" s="1146"/>
      <c r="J196" s="1146"/>
      <c r="K196" s="1146"/>
      <c r="L196" s="1146"/>
      <c r="M196" s="1146"/>
      <c r="N196" s="1146"/>
      <c r="O196" s="1146"/>
      <c r="P196" s="1146"/>
      <c r="Q196" s="1146"/>
      <c r="R196" s="1146"/>
      <c r="S196" s="1146"/>
      <c r="T196" s="1147"/>
      <c r="U196" s="1147"/>
      <c r="V196" s="1147"/>
      <c r="W196" s="1147"/>
      <c r="X196" s="1147"/>
      <c r="Y196" s="1147"/>
      <c r="Z196" s="1147"/>
      <c r="AA196" s="1147"/>
      <c r="AB196" s="1147"/>
      <c r="AC196" s="1147"/>
      <c r="AD196" s="1147"/>
      <c r="AE196" s="1147"/>
      <c r="AF196" s="1147"/>
      <c r="AG196" s="1147"/>
      <c r="AH196" s="1147"/>
      <c r="AI196" s="1147"/>
      <c r="AJ196" s="1147"/>
      <c r="AK196" s="1147"/>
      <c r="AL196" s="1147"/>
      <c r="AM196" s="1147"/>
      <c r="AN196" s="1147"/>
      <c r="AO196" s="1147"/>
      <c r="AP196" s="1147"/>
      <c r="AQ196" s="1147"/>
      <c r="AR196" s="1147"/>
      <c r="AS196" s="1147"/>
      <c r="AT196" s="1147"/>
      <c r="AU196" s="1147"/>
      <c r="AV196" s="1147"/>
      <c r="AW196" s="1147"/>
      <c r="AX196" s="1147"/>
      <c r="AY196" s="1147"/>
      <c r="AZ196" s="1147"/>
      <c r="BA196" s="1147"/>
      <c r="BB196" s="1147"/>
      <c r="BC196" s="1147"/>
      <c r="BD196" s="1147"/>
      <c r="BE196" s="1147"/>
      <c r="BF196" s="1147"/>
      <c r="BG196" s="1147"/>
      <c r="BH196" s="1147"/>
      <c r="BI196" s="1147"/>
      <c r="BJ196" s="1147"/>
      <c r="BK196" s="1147"/>
      <c r="BL196" s="1147"/>
      <c r="BM196" s="1147"/>
      <c r="BN196" s="1147"/>
      <c r="BO196" s="1147"/>
      <c r="BP196" s="1147"/>
      <c r="BQ196" s="1147"/>
      <c r="BR196" s="1147"/>
      <c r="BS196" s="1147"/>
      <c r="BT196" s="1147"/>
      <c r="BU196" s="1147"/>
      <c r="BV196" s="1147"/>
      <c r="BW196" s="1147"/>
      <c r="BX196" s="1147"/>
      <c r="BY196" s="1147"/>
      <c r="BZ196" s="1147"/>
      <c r="CA196" s="1147"/>
      <c r="CB196" s="1147"/>
      <c r="CC196" s="1147"/>
      <c r="CD196" s="1147"/>
      <c r="CE196" s="1147"/>
      <c r="CF196" s="1147"/>
      <c r="CG196" s="1147"/>
      <c r="CH196" s="1147"/>
      <c r="CI196" s="1147"/>
      <c r="CJ196" s="1147"/>
      <c r="CK196" s="1146"/>
    </row>
    <row r="197" spans="1:89" ht="15" x14ac:dyDescent="0.25">
      <c r="A197" s="1146"/>
      <c r="B197" s="1146"/>
      <c r="C197" s="1146"/>
      <c r="D197" s="1146"/>
      <c r="E197" s="1146"/>
      <c r="F197" s="1146"/>
      <c r="G197" s="1146"/>
      <c r="H197" s="1146"/>
      <c r="I197" s="1146"/>
      <c r="J197" s="1146"/>
      <c r="K197" s="1146"/>
      <c r="L197" s="1146"/>
      <c r="M197" s="1146"/>
      <c r="N197" s="1146"/>
      <c r="O197" s="1146"/>
      <c r="P197" s="1146"/>
      <c r="Q197" s="1146"/>
      <c r="R197" s="1146"/>
      <c r="S197" s="1146"/>
      <c r="T197" s="1147"/>
      <c r="U197" s="1147"/>
      <c r="V197" s="1147"/>
      <c r="W197" s="1147"/>
      <c r="X197" s="1147"/>
      <c r="Y197" s="1147"/>
      <c r="Z197" s="1147"/>
      <c r="AA197" s="1147"/>
      <c r="AB197" s="1147"/>
      <c r="AC197" s="1147"/>
      <c r="AD197" s="1147"/>
      <c r="AE197" s="1147"/>
      <c r="AF197" s="1147"/>
      <c r="AG197" s="1147"/>
      <c r="AH197" s="1147"/>
      <c r="AI197" s="1147"/>
      <c r="AJ197" s="1147"/>
      <c r="AK197" s="1147"/>
      <c r="AL197" s="1147"/>
      <c r="AM197" s="1147"/>
      <c r="AN197" s="1147"/>
      <c r="AO197" s="1147"/>
      <c r="AP197" s="1147"/>
      <c r="AQ197" s="1147"/>
      <c r="AR197" s="1147"/>
      <c r="AS197" s="1147"/>
      <c r="AT197" s="1147"/>
      <c r="AU197" s="1147"/>
      <c r="AV197" s="1147"/>
      <c r="AW197" s="1147"/>
      <c r="AX197" s="1147"/>
      <c r="AY197" s="1147"/>
      <c r="AZ197" s="1147"/>
      <c r="BA197" s="1147"/>
      <c r="BB197" s="1147"/>
      <c r="BC197" s="1147"/>
      <c r="BD197" s="1147"/>
      <c r="BE197" s="1147"/>
      <c r="BF197" s="1147"/>
      <c r="BG197" s="1147"/>
      <c r="BH197" s="1147"/>
      <c r="BI197" s="1147"/>
      <c r="BJ197" s="1147"/>
      <c r="BK197" s="1147"/>
      <c r="BL197" s="1147"/>
      <c r="BM197" s="1147"/>
      <c r="BN197" s="1147"/>
      <c r="BO197" s="1147"/>
      <c r="BP197" s="1147"/>
      <c r="BQ197" s="1147"/>
      <c r="BR197" s="1147"/>
      <c r="BS197" s="1147"/>
      <c r="BT197" s="1147"/>
      <c r="BU197" s="1147"/>
      <c r="BV197" s="1147"/>
      <c r="BW197" s="1147"/>
      <c r="BX197" s="1147"/>
      <c r="BY197" s="1147"/>
      <c r="BZ197" s="1147"/>
      <c r="CA197" s="1147"/>
      <c r="CB197" s="1147"/>
      <c r="CC197" s="1147"/>
      <c r="CD197" s="1147"/>
      <c r="CE197" s="1147"/>
      <c r="CF197" s="1147"/>
      <c r="CG197" s="1147"/>
      <c r="CH197" s="1147"/>
      <c r="CI197" s="1147"/>
      <c r="CJ197" s="1147"/>
      <c r="CK197" s="1146"/>
    </row>
    <row r="198" spans="1:89" ht="15" x14ac:dyDescent="0.25">
      <c r="A198" s="1146"/>
      <c r="B198" s="1146"/>
      <c r="C198" s="1146"/>
      <c r="D198" s="1146"/>
      <c r="E198" s="1146"/>
      <c r="F198" s="1146"/>
      <c r="G198" s="1146"/>
      <c r="H198" s="1146"/>
      <c r="I198" s="1146"/>
      <c r="J198" s="1146"/>
      <c r="K198" s="1146"/>
      <c r="L198" s="1146"/>
      <c r="M198" s="1146"/>
      <c r="N198" s="1146"/>
      <c r="O198" s="1146"/>
      <c r="P198" s="1146"/>
      <c r="Q198" s="1146"/>
      <c r="R198" s="1146"/>
      <c r="S198" s="1146"/>
      <c r="T198" s="1147"/>
      <c r="U198" s="1147"/>
      <c r="V198" s="1147"/>
      <c r="W198" s="1147"/>
      <c r="X198" s="1147"/>
      <c r="Y198" s="1147"/>
      <c r="Z198" s="1147"/>
      <c r="AA198" s="1147"/>
      <c r="AB198" s="1147"/>
      <c r="AC198" s="1147"/>
      <c r="AD198" s="1147"/>
      <c r="AE198" s="1147"/>
      <c r="AF198" s="1147"/>
      <c r="AG198" s="1147"/>
      <c r="AH198" s="1147"/>
      <c r="AI198" s="1147"/>
      <c r="AJ198" s="1147"/>
      <c r="AK198" s="1147"/>
      <c r="AL198" s="1147"/>
      <c r="AM198" s="1147"/>
      <c r="AN198" s="1147"/>
      <c r="AO198" s="1147"/>
      <c r="AP198" s="1147"/>
      <c r="AQ198" s="1147"/>
      <c r="AR198" s="1147"/>
      <c r="AS198" s="1147"/>
      <c r="AT198" s="1147"/>
      <c r="AU198" s="1147"/>
      <c r="AV198" s="1147"/>
      <c r="AW198" s="1147"/>
      <c r="AX198" s="1147"/>
      <c r="AY198" s="1147"/>
      <c r="AZ198" s="1147"/>
      <c r="BA198" s="1147"/>
      <c r="BB198" s="1147"/>
      <c r="BC198" s="1147"/>
      <c r="BD198" s="1147"/>
      <c r="BE198" s="1147"/>
      <c r="BF198" s="1147"/>
      <c r="BG198" s="1147"/>
      <c r="BH198" s="1147"/>
      <c r="BI198" s="1147"/>
      <c r="BJ198" s="1147"/>
      <c r="BK198" s="1147"/>
      <c r="BL198" s="1147"/>
      <c r="BM198" s="1147"/>
      <c r="BN198" s="1147"/>
      <c r="BO198" s="1147"/>
      <c r="BP198" s="1147"/>
      <c r="BQ198" s="1147"/>
      <c r="BR198" s="1147"/>
      <c r="BS198" s="1147"/>
      <c r="BT198" s="1147"/>
      <c r="BU198" s="1147"/>
      <c r="BV198" s="1147"/>
      <c r="BW198" s="1147"/>
      <c r="BX198" s="1147"/>
      <c r="BY198" s="1147"/>
      <c r="BZ198" s="1147"/>
      <c r="CA198" s="1147"/>
      <c r="CB198" s="1147"/>
      <c r="CC198" s="1147"/>
      <c r="CD198" s="1147"/>
      <c r="CE198" s="1147"/>
      <c r="CF198" s="1147"/>
      <c r="CG198" s="1147"/>
      <c r="CH198" s="1147"/>
      <c r="CI198" s="1147"/>
      <c r="CJ198" s="1147"/>
      <c r="CK198" s="1146"/>
    </row>
    <row r="199" spans="1:89" ht="15" x14ac:dyDescent="0.25">
      <c r="A199" s="1146"/>
      <c r="B199" s="1146"/>
      <c r="C199" s="1146"/>
      <c r="D199" s="1146"/>
      <c r="E199" s="1146"/>
      <c r="F199" s="1146"/>
      <c r="G199" s="1146"/>
      <c r="H199" s="1146"/>
      <c r="I199" s="1146"/>
      <c r="J199" s="1146"/>
      <c r="K199" s="1146"/>
      <c r="L199" s="1146"/>
      <c r="M199" s="1146"/>
      <c r="N199" s="1146"/>
      <c r="O199" s="1146"/>
      <c r="P199" s="1146"/>
      <c r="Q199" s="1146"/>
      <c r="R199" s="1146"/>
      <c r="S199" s="1146"/>
      <c r="T199" s="1147"/>
      <c r="U199" s="1147"/>
      <c r="V199" s="1147"/>
      <c r="W199" s="1147"/>
      <c r="X199" s="1147"/>
      <c r="Y199" s="1147"/>
      <c r="Z199" s="1147"/>
      <c r="AA199" s="1147"/>
      <c r="AB199" s="1147"/>
      <c r="AC199" s="1147"/>
      <c r="AD199" s="1147"/>
      <c r="AE199" s="1147"/>
      <c r="AF199" s="1147"/>
      <c r="AG199" s="1147"/>
      <c r="AH199" s="1147"/>
      <c r="AI199" s="1147"/>
      <c r="AJ199" s="1147"/>
      <c r="AK199" s="1147"/>
      <c r="AL199" s="1147"/>
      <c r="AM199" s="1147"/>
      <c r="AN199" s="1147"/>
      <c r="AO199" s="1147"/>
      <c r="AP199" s="1147"/>
      <c r="AQ199" s="1147"/>
      <c r="AR199" s="1147"/>
      <c r="AS199" s="1147"/>
      <c r="AT199" s="1147"/>
      <c r="AU199" s="1147"/>
      <c r="AV199" s="1147"/>
      <c r="AW199" s="1147"/>
      <c r="AX199" s="1147"/>
      <c r="AY199" s="1147"/>
      <c r="AZ199" s="1147"/>
      <c r="BA199" s="1147"/>
      <c r="BB199" s="1147"/>
      <c r="BC199" s="1147"/>
      <c r="BD199" s="1147"/>
      <c r="BE199" s="1147"/>
      <c r="BF199" s="1147"/>
      <c r="BG199" s="1147"/>
      <c r="BH199" s="1147"/>
      <c r="BI199" s="1147"/>
      <c r="BJ199" s="1147"/>
      <c r="BK199" s="1147"/>
      <c r="BL199" s="1147"/>
      <c r="BM199" s="1147"/>
      <c r="BN199" s="1147"/>
      <c r="BO199" s="1147"/>
      <c r="BP199" s="1147"/>
      <c r="BQ199" s="1147"/>
      <c r="BR199" s="1147"/>
      <c r="BS199" s="1147"/>
      <c r="BT199" s="1147"/>
      <c r="BU199" s="1147"/>
      <c r="BV199" s="1147"/>
      <c r="BW199" s="1147"/>
      <c r="BX199" s="1147"/>
      <c r="BY199" s="1147"/>
      <c r="BZ199" s="1147"/>
      <c r="CA199" s="1147"/>
      <c r="CB199" s="1147"/>
      <c r="CC199" s="1147"/>
      <c r="CD199" s="1147"/>
      <c r="CE199" s="1147"/>
      <c r="CF199" s="1147"/>
      <c r="CG199" s="1147"/>
      <c r="CH199" s="1147"/>
      <c r="CI199" s="1147"/>
      <c r="CJ199" s="1147"/>
      <c r="CK199" s="1146"/>
    </row>
    <row r="200" spans="1:89" ht="15" x14ac:dyDescent="0.25">
      <c r="A200" s="1146"/>
      <c r="B200" s="1146"/>
      <c r="C200" s="1146"/>
      <c r="D200" s="1146"/>
      <c r="E200" s="1146"/>
      <c r="F200" s="1146"/>
      <c r="G200" s="1146"/>
      <c r="H200" s="1146"/>
      <c r="I200" s="1146"/>
      <c r="J200" s="1146"/>
      <c r="K200" s="1146"/>
      <c r="L200" s="1146"/>
      <c r="M200" s="1146"/>
      <c r="N200" s="1146"/>
      <c r="O200" s="1146"/>
      <c r="P200" s="1146"/>
      <c r="Q200" s="1146"/>
      <c r="R200" s="1146"/>
      <c r="S200" s="1146"/>
      <c r="T200" s="1147"/>
      <c r="U200" s="1147"/>
      <c r="V200" s="1147"/>
      <c r="W200" s="1147"/>
      <c r="X200" s="1147"/>
      <c r="Y200" s="1147"/>
      <c r="Z200" s="1147"/>
      <c r="AA200" s="1147"/>
      <c r="AB200" s="1147"/>
      <c r="AC200" s="1147"/>
      <c r="AD200" s="1147"/>
      <c r="AE200" s="1147"/>
      <c r="AF200" s="1147"/>
      <c r="AG200" s="1147"/>
      <c r="AH200" s="1147"/>
      <c r="AI200" s="1147"/>
      <c r="AJ200" s="1147"/>
      <c r="AK200" s="1147"/>
      <c r="AL200" s="1147"/>
      <c r="AM200" s="1147"/>
      <c r="AN200" s="1147"/>
      <c r="AO200" s="1147"/>
      <c r="AP200" s="1147"/>
      <c r="AQ200" s="1147"/>
      <c r="AR200" s="1147"/>
      <c r="AS200" s="1147"/>
      <c r="AT200" s="1147"/>
      <c r="AU200" s="1147"/>
      <c r="AV200" s="1147"/>
      <c r="AW200" s="1147"/>
      <c r="AX200" s="1147"/>
      <c r="AY200" s="1147"/>
      <c r="AZ200" s="1147"/>
      <c r="BA200" s="1147"/>
      <c r="BB200" s="1147"/>
      <c r="BC200" s="1147"/>
      <c r="BD200" s="1147"/>
      <c r="BE200" s="1147"/>
      <c r="BF200" s="1147"/>
      <c r="BG200" s="1147"/>
      <c r="BH200" s="1147"/>
      <c r="BI200" s="1147"/>
      <c r="BJ200" s="1147"/>
      <c r="BK200" s="1147"/>
      <c r="BL200" s="1147"/>
      <c r="BM200" s="1147"/>
      <c r="BN200" s="1147"/>
      <c r="BO200" s="1147"/>
      <c r="BP200" s="1147"/>
      <c r="BQ200" s="1147"/>
      <c r="BR200" s="1147"/>
      <c r="BS200" s="1147"/>
      <c r="BT200" s="1147"/>
      <c r="BU200" s="1147"/>
      <c r="BV200" s="1147"/>
      <c r="BW200" s="1147"/>
      <c r="BX200" s="1147"/>
      <c r="BY200" s="1147"/>
      <c r="BZ200" s="1147"/>
      <c r="CA200" s="1147"/>
      <c r="CB200" s="1147"/>
      <c r="CC200" s="1147"/>
      <c r="CD200" s="1147"/>
      <c r="CE200" s="1147"/>
      <c r="CF200" s="1147"/>
      <c r="CG200" s="1147"/>
      <c r="CH200" s="1147"/>
      <c r="CI200" s="1147"/>
      <c r="CJ200" s="1147"/>
      <c r="CK200" s="1146"/>
    </row>
    <row r="201" spans="1:89" ht="15" x14ac:dyDescent="0.25">
      <c r="A201" s="1146"/>
      <c r="B201" s="1146"/>
      <c r="C201" s="1146"/>
      <c r="D201" s="1146"/>
      <c r="E201" s="1146"/>
      <c r="F201" s="1146"/>
      <c r="G201" s="1146"/>
      <c r="H201" s="1146"/>
      <c r="I201" s="1146"/>
      <c r="J201" s="1146"/>
      <c r="K201" s="1146"/>
      <c r="L201" s="1146"/>
      <c r="M201" s="1146"/>
      <c r="N201" s="1146"/>
      <c r="O201" s="1146"/>
      <c r="P201" s="1146"/>
      <c r="Q201" s="1146"/>
      <c r="R201" s="1146"/>
      <c r="S201" s="1146"/>
      <c r="T201" s="1147"/>
      <c r="U201" s="1147"/>
      <c r="V201" s="1147"/>
      <c r="W201" s="1147"/>
      <c r="X201" s="1147"/>
      <c r="Y201" s="1147"/>
      <c r="Z201" s="1147"/>
      <c r="AA201" s="1147"/>
      <c r="AB201" s="1147"/>
      <c r="AC201" s="1147"/>
      <c r="AD201" s="1147"/>
      <c r="AE201" s="1147"/>
      <c r="AF201" s="1147"/>
      <c r="AG201" s="1147"/>
      <c r="AH201" s="1147"/>
      <c r="AI201" s="1147"/>
      <c r="AJ201" s="1147"/>
      <c r="AK201" s="1147"/>
      <c r="AL201" s="1147"/>
      <c r="AM201" s="1147"/>
      <c r="AN201" s="1147"/>
      <c r="AO201" s="1147"/>
      <c r="AP201" s="1147"/>
      <c r="AQ201" s="1147"/>
      <c r="AR201" s="1147"/>
      <c r="AS201" s="1147"/>
      <c r="AT201" s="1147"/>
      <c r="AU201" s="1147"/>
      <c r="AV201" s="1147"/>
      <c r="AW201" s="1147"/>
      <c r="AX201" s="1147"/>
      <c r="AY201" s="1147"/>
      <c r="AZ201" s="1147"/>
      <c r="BA201" s="1147"/>
      <c r="BB201" s="1147"/>
      <c r="BC201" s="1147"/>
      <c r="BD201" s="1147"/>
      <c r="BE201" s="1147"/>
      <c r="BF201" s="1147"/>
      <c r="BG201" s="1147"/>
      <c r="BH201" s="1147"/>
      <c r="BI201" s="1147"/>
      <c r="BJ201" s="1147"/>
      <c r="BK201" s="1147"/>
      <c r="BL201" s="1147"/>
      <c r="BM201" s="1147"/>
      <c r="BN201" s="1147"/>
      <c r="BO201" s="1147"/>
      <c r="BP201" s="1147"/>
      <c r="BQ201" s="1147"/>
      <c r="BR201" s="1147"/>
      <c r="BS201" s="1147"/>
      <c r="BT201" s="1147"/>
      <c r="BU201" s="1147"/>
      <c r="BV201" s="1147"/>
      <c r="BW201" s="1147"/>
      <c r="BX201" s="1147"/>
      <c r="BY201" s="1147"/>
      <c r="BZ201" s="1147"/>
      <c r="CA201" s="1147"/>
      <c r="CB201" s="1147"/>
      <c r="CC201" s="1147"/>
      <c r="CD201" s="1147"/>
      <c r="CE201" s="1147"/>
      <c r="CF201" s="1147"/>
      <c r="CG201" s="1147"/>
      <c r="CH201" s="1147"/>
      <c r="CI201" s="1147"/>
      <c r="CJ201" s="1147"/>
      <c r="CK201" s="1146"/>
    </row>
    <row r="202" spans="1:89" ht="15" x14ac:dyDescent="0.25">
      <c r="A202" s="1146"/>
      <c r="B202" s="1146"/>
      <c r="C202" s="1146"/>
      <c r="D202" s="1146"/>
      <c r="E202" s="1146"/>
      <c r="F202" s="1146"/>
      <c r="G202" s="1146"/>
      <c r="H202" s="1146"/>
      <c r="I202" s="1146"/>
      <c r="J202" s="1146"/>
      <c r="K202" s="1146"/>
      <c r="L202" s="1146"/>
      <c r="M202" s="1146"/>
      <c r="N202" s="1146"/>
      <c r="O202" s="1146"/>
      <c r="P202" s="1146"/>
      <c r="Q202" s="1146"/>
      <c r="R202" s="1146"/>
      <c r="S202" s="1146"/>
      <c r="T202" s="1147"/>
      <c r="U202" s="1147"/>
      <c r="V202" s="1147"/>
      <c r="W202" s="1147"/>
      <c r="X202" s="1147"/>
      <c r="Y202" s="1147"/>
      <c r="Z202" s="1147"/>
      <c r="AA202" s="1147"/>
      <c r="AB202" s="1147"/>
      <c r="AC202" s="1147"/>
      <c r="AD202" s="1147"/>
      <c r="AE202" s="1147"/>
      <c r="AF202" s="1147"/>
      <c r="AG202" s="1147"/>
      <c r="AH202" s="1147"/>
      <c r="AI202" s="1147"/>
      <c r="AJ202" s="1147"/>
      <c r="AK202" s="1147"/>
      <c r="AL202" s="1147"/>
      <c r="AM202" s="1147"/>
      <c r="AN202" s="1147"/>
      <c r="AO202" s="1147"/>
      <c r="AP202" s="1147"/>
      <c r="AQ202" s="1147"/>
      <c r="AR202" s="1147"/>
      <c r="AS202" s="1147"/>
      <c r="AT202" s="1147"/>
      <c r="AU202" s="1147"/>
      <c r="AV202" s="1147"/>
      <c r="AW202" s="1147"/>
      <c r="AX202" s="1147"/>
      <c r="AY202" s="1147"/>
      <c r="AZ202" s="1147"/>
      <c r="BA202" s="1147"/>
      <c r="BB202" s="1147"/>
      <c r="BC202" s="1147"/>
      <c r="BD202" s="1147"/>
      <c r="BE202" s="1147"/>
      <c r="BF202" s="1147"/>
      <c r="BG202" s="1147"/>
      <c r="BH202" s="1147"/>
      <c r="BI202" s="1147"/>
      <c r="BJ202" s="1147"/>
      <c r="BK202" s="1147"/>
      <c r="BL202" s="1147"/>
      <c r="BM202" s="1147"/>
      <c r="BN202" s="1147"/>
      <c r="BO202" s="1147"/>
      <c r="BP202" s="1147"/>
      <c r="BQ202" s="1147"/>
      <c r="BR202" s="1147"/>
      <c r="BS202" s="1147"/>
      <c r="BT202" s="1147"/>
      <c r="BU202" s="1147"/>
      <c r="BV202" s="1147"/>
      <c r="BW202" s="1147"/>
      <c r="BX202" s="1147"/>
      <c r="BY202" s="1147"/>
      <c r="BZ202" s="1147"/>
      <c r="CA202" s="1147"/>
      <c r="CB202" s="1147"/>
      <c r="CC202" s="1147"/>
      <c r="CD202" s="1147"/>
      <c r="CE202" s="1147"/>
      <c r="CF202" s="1147"/>
      <c r="CG202" s="1147"/>
      <c r="CH202" s="1147"/>
      <c r="CI202" s="1147"/>
      <c r="CJ202" s="1147"/>
      <c r="CK202" s="1146"/>
    </row>
    <row r="203" spans="1:89" ht="15" x14ac:dyDescent="0.25">
      <c r="A203" s="1146"/>
      <c r="B203" s="1146"/>
      <c r="C203" s="1146"/>
      <c r="D203" s="1146"/>
      <c r="E203" s="1146"/>
      <c r="F203" s="1146"/>
      <c r="G203" s="1146"/>
      <c r="H203" s="1146"/>
      <c r="I203" s="1146"/>
      <c r="J203" s="1146"/>
      <c r="K203" s="1146"/>
      <c r="L203" s="1146"/>
      <c r="M203" s="1146"/>
      <c r="N203" s="1146"/>
      <c r="O203" s="1146"/>
      <c r="P203" s="1146"/>
      <c r="Q203" s="1146"/>
      <c r="R203" s="1146"/>
      <c r="S203" s="1146"/>
      <c r="T203" s="1147"/>
      <c r="U203" s="1147"/>
      <c r="V203" s="1147"/>
      <c r="W203" s="1147"/>
      <c r="X203" s="1147"/>
      <c r="Y203" s="1147"/>
      <c r="Z203" s="1147"/>
      <c r="AA203" s="1147"/>
      <c r="AB203" s="1147"/>
      <c r="AC203" s="1147"/>
      <c r="AD203" s="1147"/>
      <c r="AE203" s="1147"/>
      <c r="AF203" s="1147"/>
      <c r="AG203" s="1147"/>
      <c r="AH203" s="1147"/>
      <c r="AI203" s="1147"/>
      <c r="AJ203" s="1147"/>
      <c r="AK203" s="1147"/>
      <c r="AL203" s="1147"/>
      <c r="AM203" s="1147"/>
      <c r="AN203" s="1147"/>
      <c r="AO203" s="1147"/>
      <c r="AP203" s="1147"/>
      <c r="AQ203" s="1147"/>
      <c r="AR203" s="1147"/>
      <c r="AS203" s="1147"/>
      <c r="AT203" s="1147"/>
      <c r="AU203" s="1147"/>
      <c r="AV203" s="1147"/>
      <c r="AW203" s="1147"/>
      <c r="AX203" s="1147"/>
      <c r="AY203" s="1147"/>
      <c r="AZ203" s="1147"/>
      <c r="BA203" s="1147"/>
      <c r="BB203" s="1147"/>
      <c r="BC203" s="1147"/>
      <c r="BD203" s="1147"/>
      <c r="BE203" s="1147"/>
      <c r="BF203" s="1147"/>
      <c r="BG203" s="1147"/>
      <c r="BH203" s="1147"/>
      <c r="BI203" s="1147"/>
      <c r="BJ203" s="1147"/>
      <c r="BK203" s="1147"/>
      <c r="BL203" s="1147"/>
      <c r="BM203" s="1147"/>
      <c r="BN203" s="1147"/>
      <c r="BO203" s="1147"/>
      <c r="BP203" s="1147"/>
      <c r="BQ203" s="1147"/>
      <c r="BR203" s="1147"/>
      <c r="BS203" s="1147"/>
      <c r="BT203" s="1147"/>
      <c r="BU203" s="1147"/>
      <c r="BV203" s="1147"/>
      <c r="BW203" s="1147"/>
      <c r="BX203" s="1147"/>
      <c r="BY203" s="1147"/>
      <c r="BZ203" s="1147"/>
      <c r="CA203" s="1147"/>
      <c r="CB203" s="1147"/>
      <c r="CC203" s="1147"/>
      <c r="CD203" s="1147"/>
      <c r="CE203" s="1147"/>
      <c r="CF203" s="1147"/>
      <c r="CG203" s="1147"/>
      <c r="CH203" s="1147"/>
      <c r="CI203" s="1147"/>
      <c r="CJ203" s="1147"/>
      <c r="CK203" s="1146"/>
    </row>
    <row r="204" spans="1:89" ht="15" x14ac:dyDescent="0.25">
      <c r="A204" s="1146"/>
      <c r="B204" s="1146"/>
      <c r="C204" s="1146"/>
      <c r="D204" s="1146"/>
      <c r="E204" s="1146"/>
      <c r="F204" s="1146"/>
      <c r="G204" s="1146"/>
      <c r="H204" s="1146"/>
      <c r="I204" s="1146"/>
      <c r="J204" s="1146"/>
      <c r="K204" s="1146"/>
      <c r="L204" s="1146"/>
      <c r="M204" s="1146"/>
      <c r="N204" s="1146"/>
      <c r="O204" s="1146"/>
      <c r="P204" s="1146"/>
      <c r="Q204" s="1146"/>
      <c r="R204" s="1146"/>
      <c r="S204" s="1146"/>
      <c r="T204" s="1147"/>
      <c r="U204" s="1147"/>
      <c r="V204" s="1147"/>
      <c r="W204" s="1147"/>
      <c r="X204" s="1147"/>
      <c r="Y204" s="1147"/>
      <c r="Z204" s="1147"/>
      <c r="AA204" s="1147"/>
      <c r="AB204" s="1147"/>
      <c r="AC204" s="1147"/>
      <c r="AD204" s="1147"/>
      <c r="AE204" s="1147"/>
      <c r="AF204" s="1147"/>
      <c r="AG204" s="1147"/>
      <c r="AH204" s="1147"/>
      <c r="AI204" s="1147"/>
      <c r="AJ204" s="1147"/>
      <c r="AK204" s="1147"/>
      <c r="AL204" s="1147"/>
      <c r="AM204" s="1147"/>
      <c r="AN204" s="1147"/>
      <c r="AO204" s="1147"/>
      <c r="AP204" s="1147"/>
      <c r="AQ204" s="1147"/>
      <c r="AR204" s="1147"/>
      <c r="AS204" s="1147"/>
      <c r="AT204" s="1147"/>
      <c r="AU204" s="1147"/>
      <c r="AV204" s="1147"/>
      <c r="AW204" s="1147"/>
      <c r="AX204" s="1147"/>
      <c r="AY204" s="1147"/>
      <c r="AZ204" s="1147"/>
      <c r="BA204" s="1147"/>
      <c r="BB204" s="1147"/>
      <c r="BC204" s="1147"/>
      <c r="BD204" s="1147"/>
      <c r="BE204" s="1147"/>
      <c r="BF204" s="1147"/>
      <c r="BG204" s="1147"/>
      <c r="BH204" s="1147"/>
      <c r="BI204" s="1147"/>
      <c r="BJ204" s="1147"/>
      <c r="BK204" s="1147"/>
      <c r="BL204" s="1147"/>
      <c r="BM204" s="1147"/>
      <c r="BN204" s="1147"/>
      <c r="BO204" s="1147"/>
      <c r="BP204" s="1147"/>
      <c r="BQ204" s="1147"/>
      <c r="BR204" s="1147"/>
      <c r="BS204" s="1147"/>
      <c r="BT204" s="1147"/>
      <c r="BU204" s="1147"/>
      <c r="BV204" s="1147"/>
      <c r="BW204" s="1147"/>
      <c r="BX204" s="1147"/>
      <c r="BY204" s="1147"/>
      <c r="BZ204" s="1147"/>
      <c r="CA204" s="1147"/>
      <c r="CB204" s="1147"/>
      <c r="CC204" s="1147"/>
      <c r="CD204" s="1147"/>
      <c r="CE204" s="1147"/>
      <c r="CF204" s="1147"/>
      <c r="CG204" s="1147"/>
      <c r="CH204" s="1147"/>
      <c r="CI204" s="1147"/>
      <c r="CJ204" s="1147"/>
      <c r="CK204" s="1146"/>
    </row>
    <row r="205" spans="1:89" ht="15" x14ac:dyDescent="0.25">
      <c r="A205" s="1146"/>
      <c r="B205" s="1146"/>
      <c r="C205" s="1146"/>
      <c r="D205" s="1146"/>
      <c r="E205" s="1146"/>
      <c r="F205" s="1146"/>
      <c r="G205" s="1146"/>
      <c r="H205" s="1146"/>
      <c r="I205" s="1146"/>
      <c r="J205" s="1146"/>
      <c r="K205" s="1146"/>
      <c r="L205" s="1146"/>
      <c r="M205" s="1146"/>
      <c r="N205" s="1146"/>
      <c r="O205" s="1146"/>
      <c r="P205" s="1146"/>
      <c r="Q205" s="1146"/>
      <c r="R205" s="1146"/>
      <c r="S205" s="1146"/>
      <c r="T205" s="1147"/>
      <c r="U205" s="1147"/>
      <c r="V205" s="1147"/>
      <c r="W205" s="1147"/>
      <c r="X205" s="1147"/>
      <c r="Y205" s="1147"/>
      <c r="Z205" s="1147"/>
      <c r="AA205" s="1147"/>
      <c r="AB205" s="1147"/>
      <c r="AC205" s="1147"/>
      <c r="AD205" s="1147"/>
      <c r="AE205" s="1147"/>
      <c r="AF205" s="1147"/>
      <c r="AG205" s="1147"/>
      <c r="AH205" s="1147"/>
      <c r="AI205" s="1147"/>
      <c r="AJ205" s="1147"/>
      <c r="AK205" s="1147"/>
      <c r="AL205" s="1147"/>
      <c r="AM205" s="1147"/>
      <c r="AN205" s="1147"/>
      <c r="AO205" s="1147"/>
      <c r="AP205" s="1147"/>
      <c r="AQ205" s="1147"/>
      <c r="AR205" s="1147"/>
      <c r="AS205" s="1147"/>
      <c r="AT205" s="1147"/>
      <c r="AU205" s="1147"/>
      <c r="AV205" s="1147"/>
      <c r="AW205" s="1147"/>
      <c r="AX205" s="1147"/>
      <c r="AY205" s="1147"/>
      <c r="AZ205" s="1147"/>
      <c r="BA205" s="1147"/>
      <c r="BB205" s="1147"/>
      <c r="BC205" s="1147"/>
      <c r="BD205" s="1147"/>
      <c r="BE205" s="1147"/>
      <c r="BF205" s="1147"/>
      <c r="BG205" s="1147"/>
      <c r="BH205" s="1147"/>
      <c r="BI205" s="1147"/>
      <c r="BJ205" s="1147"/>
      <c r="BK205" s="1147"/>
      <c r="BL205" s="1147"/>
      <c r="BM205" s="1147"/>
      <c r="BN205" s="1147"/>
      <c r="BO205" s="1147"/>
      <c r="BP205" s="1147"/>
      <c r="BQ205" s="1147"/>
      <c r="BR205" s="1147"/>
      <c r="BS205" s="1147"/>
      <c r="BT205" s="1147"/>
      <c r="BU205" s="1147"/>
      <c r="BV205" s="1147"/>
      <c r="BW205" s="1147"/>
      <c r="BX205" s="1147"/>
      <c r="BY205" s="1147"/>
      <c r="BZ205" s="1147"/>
      <c r="CA205" s="1147"/>
      <c r="CB205" s="1147"/>
      <c r="CC205" s="1147"/>
      <c r="CD205" s="1147"/>
      <c r="CE205" s="1147"/>
      <c r="CF205" s="1147"/>
      <c r="CG205" s="1147"/>
      <c r="CH205" s="1147"/>
      <c r="CI205" s="1147"/>
      <c r="CJ205" s="1147"/>
      <c r="CK205" s="1146"/>
    </row>
    <row r="206" spans="1:89" ht="15" x14ac:dyDescent="0.25">
      <c r="A206" s="1146"/>
      <c r="B206" s="1146"/>
      <c r="C206" s="1146"/>
      <c r="D206" s="1146"/>
      <c r="E206" s="1146"/>
      <c r="F206" s="1146"/>
      <c r="G206" s="1146"/>
      <c r="H206" s="1146"/>
      <c r="I206" s="1146"/>
      <c r="J206" s="1146"/>
      <c r="K206" s="1146"/>
      <c r="L206" s="1146"/>
      <c r="M206" s="1146"/>
      <c r="N206" s="1146"/>
      <c r="O206" s="1146"/>
      <c r="P206" s="1146"/>
      <c r="Q206" s="1146"/>
      <c r="R206" s="1146"/>
      <c r="S206" s="1146"/>
      <c r="T206" s="1147"/>
      <c r="U206" s="1147"/>
      <c r="V206" s="1147"/>
      <c r="W206" s="1147"/>
      <c r="X206" s="1147"/>
      <c r="Y206" s="1147"/>
      <c r="Z206" s="1147"/>
      <c r="AA206" s="1147"/>
      <c r="AB206" s="1147"/>
      <c r="AC206" s="1147"/>
      <c r="AD206" s="1147"/>
      <c r="AE206" s="1147"/>
      <c r="AF206" s="1147"/>
      <c r="AG206" s="1147"/>
      <c r="AH206" s="1147"/>
      <c r="AI206" s="1147"/>
      <c r="AJ206" s="1147"/>
      <c r="AK206" s="1147"/>
      <c r="AL206" s="1147"/>
      <c r="AM206" s="1147"/>
      <c r="AN206" s="1147"/>
      <c r="AO206" s="1147"/>
      <c r="AP206" s="1147"/>
      <c r="AQ206" s="1147"/>
      <c r="AR206" s="1147"/>
      <c r="AS206" s="1147"/>
      <c r="AT206" s="1147"/>
      <c r="AU206" s="1147"/>
      <c r="AV206" s="1147"/>
      <c r="AW206" s="1147"/>
      <c r="AX206" s="1147"/>
      <c r="AY206" s="1147"/>
      <c r="AZ206" s="1147"/>
      <c r="BA206" s="1147"/>
      <c r="BB206" s="1147"/>
      <c r="BC206" s="1147"/>
      <c r="BD206" s="1147"/>
      <c r="BE206" s="1147"/>
      <c r="BF206" s="1147"/>
      <c r="BG206" s="1147"/>
      <c r="BH206" s="1147"/>
      <c r="BI206" s="1147"/>
      <c r="BJ206" s="1147"/>
      <c r="BK206" s="1147"/>
      <c r="BL206" s="1147"/>
      <c r="BM206" s="1147"/>
      <c r="BN206" s="1147"/>
      <c r="BO206" s="1147"/>
      <c r="BP206" s="1147"/>
      <c r="BQ206" s="1147"/>
      <c r="BR206" s="1147"/>
      <c r="BS206" s="1147"/>
      <c r="BT206" s="1147"/>
      <c r="BU206" s="1147"/>
      <c r="BV206" s="1147"/>
      <c r="BW206" s="1147"/>
      <c r="BX206" s="1147"/>
      <c r="BY206" s="1147"/>
      <c r="BZ206" s="1147"/>
      <c r="CA206" s="1147"/>
      <c r="CB206" s="1147"/>
      <c r="CC206" s="1147"/>
      <c r="CD206" s="1147"/>
      <c r="CE206" s="1147"/>
      <c r="CF206" s="1147"/>
      <c r="CG206" s="1147"/>
      <c r="CH206" s="1147"/>
      <c r="CI206" s="1147"/>
      <c r="CJ206" s="1147"/>
      <c r="CK206" s="1146"/>
    </row>
    <row r="207" spans="1:89" ht="15" x14ac:dyDescent="0.25">
      <c r="A207" s="1146"/>
      <c r="B207" s="1146"/>
      <c r="C207" s="1146"/>
      <c r="D207" s="1146"/>
      <c r="E207" s="1146"/>
      <c r="F207" s="1146"/>
      <c r="G207" s="1146"/>
      <c r="H207" s="1146"/>
      <c r="I207" s="1146"/>
      <c r="J207" s="1146"/>
      <c r="K207" s="1146"/>
      <c r="L207" s="1146"/>
      <c r="M207" s="1146"/>
      <c r="N207" s="1146"/>
      <c r="O207" s="1146"/>
      <c r="P207" s="1146"/>
      <c r="Q207" s="1146"/>
      <c r="R207" s="1146"/>
      <c r="S207" s="1146"/>
      <c r="T207" s="1147"/>
      <c r="U207" s="1147"/>
      <c r="V207" s="1147"/>
      <c r="W207" s="1147"/>
      <c r="X207" s="1147"/>
      <c r="Y207" s="1147"/>
      <c r="Z207" s="1147"/>
      <c r="AA207" s="1147"/>
      <c r="AB207" s="1147"/>
      <c r="AC207" s="1147"/>
      <c r="AD207" s="1147"/>
      <c r="AE207" s="1147"/>
      <c r="AF207" s="1147"/>
      <c r="AG207" s="1147"/>
      <c r="AH207" s="1147"/>
      <c r="AI207" s="1147"/>
      <c r="AJ207" s="1147"/>
      <c r="AK207" s="1147"/>
      <c r="AL207" s="1147"/>
      <c r="AM207" s="1147"/>
      <c r="AN207" s="1147"/>
      <c r="AO207" s="1147"/>
      <c r="AP207" s="1147"/>
      <c r="AQ207" s="1147"/>
      <c r="AR207" s="1147"/>
      <c r="AS207" s="1147"/>
      <c r="AT207" s="1147"/>
      <c r="AU207" s="1147"/>
      <c r="AV207" s="1147"/>
      <c r="AW207" s="1147"/>
      <c r="AX207" s="1147"/>
      <c r="AY207" s="1147"/>
      <c r="AZ207" s="1147"/>
      <c r="BA207" s="1147"/>
      <c r="BB207" s="1147"/>
      <c r="BC207" s="1147"/>
      <c r="BD207" s="1147"/>
      <c r="BE207" s="1147"/>
      <c r="BF207" s="1147"/>
      <c r="BG207" s="1147"/>
      <c r="BH207" s="1147"/>
      <c r="BI207" s="1147"/>
      <c r="BJ207" s="1147"/>
      <c r="BK207" s="1147"/>
      <c r="BL207" s="1147"/>
      <c r="BM207" s="1147"/>
      <c r="BN207" s="1147"/>
      <c r="BO207" s="1147"/>
      <c r="BP207" s="1147"/>
      <c r="BQ207" s="1147"/>
      <c r="BR207" s="1147"/>
      <c r="BS207" s="1147"/>
      <c r="BT207" s="1147"/>
      <c r="BU207" s="1147"/>
      <c r="BV207" s="1147"/>
      <c r="BW207" s="1147"/>
      <c r="BX207" s="1147"/>
      <c r="BY207" s="1147"/>
      <c r="BZ207" s="1147"/>
      <c r="CA207" s="1147"/>
      <c r="CB207" s="1147"/>
      <c r="CC207" s="1147"/>
      <c r="CD207" s="1147"/>
      <c r="CE207" s="1147"/>
      <c r="CF207" s="1147"/>
      <c r="CG207" s="1147"/>
      <c r="CH207" s="1147"/>
      <c r="CI207" s="1147"/>
      <c r="CJ207" s="1147"/>
      <c r="CK207" s="1146"/>
    </row>
    <row r="208" spans="1:89" ht="15" x14ac:dyDescent="0.25">
      <c r="A208" s="1146"/>
      <c r="B208" s="1146"/>
      <c r="C208" s="1146"/>
      <c r="D208" s="1146"/>
      <c r="E208" s="1146"/>
      <c r="F208" s="1146"/>
      <c r="G208" s="1146"/>
      <c r="H208" s="1146"/>
      <c r="I208" s="1146"/>
      <c r="J208" s="1146"/>
      <c r="K208" s="1146"/>
      <c r="L208" s="1146"/>
      <c r="M208" s="1146"/>
      <c r="N208" s="1146"/>
      <c r="O208" s="1146"/>
      <c r="P208" s="1146"/>
      <c r="Q208" s="1146"/>
      <c r="R208" s="1146"/>
      <c r="S208" s="1146"/>
      <c r="T208" s="1147"/>
      <c r="U208" s="1147"/>
      <c r="V208" s="1147"/>
      <c r="W208" s="1147"/>
      <c r="X208" s="1147"/>
      <c r="Y208" s="1147"/>
      <c r="Z208" s="1147"/>
      <c r="AA208" s="1147"/>
      <c r="AB208" s="1147"/>
      <c r="AC208" s="1147"/>
      <c r="AD208" s="1147"/>
      <c r="AE208" s="1147"/>
      <c r="AF208" s="1147"/>
      <c r="AG208" s="1147"/>
      <c r="AH208" s="1147"/>
      <c r="AI208" s="1147"/>
      <c r="AJ208" s="1147"/>
      <c r="AK208" s="1147"/>
      <c r="AL208" s="1147"/>
      <c r="AM208" s="1147"/>
      <c r="AN208" s="1147"/>
      <c r="AO208" s="1147"/>
      <c r="AP208" s="1147"/>
      <c r="AQ208" s="1147"/>
      <c r="AR208" s="1147"/>
      <c r="AS208" s="1147"/>
      <c r="AT208" s="1147"/>
      <c r="AU208" s="1147"/>
      <c r="AV208" s="1147"/>
      <c r="AW208" s="1147"/>
      <c r="AX208" s="1147"/>
      <c r="AY208" s="1147"/>
      <c r="AZ208" s="1147"/>
      <c r="BA208" s="1147"/>
      <c r="BB208" s="1147"/>
      <c r="BC208" s="1147"/>
      <c r="BD208" s="1147"/>
      <c r="BE208" s="1147"/>
      <c r="BF208" s="1147"/>
      <c r="BG208" s="1147"/>
      <c r="BH208" s="1147"/>
      <c r="BI208" s="1147"/>
      <c r="BJ208" s="1147"/>
      <c r="BK208" s="1147"/>
      <c r="BL208" s="1147"/>
      <c r="BM208" s="1147"/>
      <c r="BN208" s="1147"/>
      <c r="BO208" s="1147"/>
      <c r="BP208" s="1147"/>
      <c r="BQ208" s="1147"/>
      <c r="BR208" s="1147"/>
      <c r="BS208" s="1147"/>
      <c r="BT208" s="1147"/>
      <c r="BU208" s="1147"/>
      <c r="BV208" s="1147"/>
      <c r="BW208" s="1147"/>
      <c r="BX208" s="1147"/>
      <c r="BY208" s="1147"/>
      <c r="BZ208" s="1147"/>
      <c r="CA208" s="1147"/>
      <c r="CB208" s="1147"/>
      <c r="CC208" s="1147"/>
      <c r="CD208" s="1147"/>
      <c r="CE208" s="1147"/>
      <c r="CF208" s="1147"/>
      <c r="CG208" s="1147"/>
      <c r="CH208" s="1147"/>
      <c r="CI208" s="1147"/>
      <c r="CJ208" s="1147"/>
      <c r="CK208" s="1146"/>
    </row>
    <row r="209" spans="1:89" ht="15" x14ac:dyDescent="0.25">
      <c r="A209" s="1146"/>
      <c r="B209" s="1146"/>
      <c r="C209" s="1146"/>
      <c r="D209" s="1146"/>
      <c r="E209" s="1146"/>
      <c r="F209" s="1146"/>
      <c r="G209" s="1146"/>
      <c r="H209" s="1146"/>
      <c r="I209" s="1146"/>
      <c r="J209" s="1146"/>
      <c r="K209" s="1146"/>
      <c r="L209" s="1146"/>
      <c r="M209" s="1146"/>
      <c r="N209" s="1146"/>
      <c r="O209" s="1146"/>
      <c r="P209" s="1146"/>
      <c r="Q209" s="1146"/>
      <c r="R209" s="1146"/>
      <c r="S209" s="1146"/>
      <c r="T209" s="1147"/>
      <c r="U209" s="1147"/>
      <c r="V209" s="1147"/>
      <c r="W209" s="1147"/>
      <c r="X209" s="1147"/>
      <c r="Y209" s="1147"/>
      <c r="Z209" s="1147"/>
      <c r="AA209" s="1147"/>
      <c r="AB209" s="1147"/>
      <c r="AC209" s="1147"/>
      <c r="AD209" s="1147"/>
      <c r="AE209" s="1147"/>
      <c r="AF209" s="1147"/>
      <c r="AG209" s="1147"/>
      <c r="AH209" s="1147"/>
      <c r="AI209" s="1147"/>
      <c r="AJ209" s="1147"/>
      <c r="AK209" s="1147"/>
      <c r="AL209" s="1147"/>
      <c r="AM209" s="1147"/>
      <c r="AN209" s="1147"/>
      <c r="AO209" s="1147"/>
      <c r="AP209" s="1147"/>
      <c r="AQ209" s="1147"/>
      <c r="AR209" s="1147"/>
      <c r="AS209" s="1147"/>
      <c r="AT209" s="1147"/>
      <c r="AU209" s="1147"/>
      <c r="AV209" s="1147"/>
      <c r="AW209" s="1147"/>
      <c r="AX209" s="1147"/>
      <c r="AY209" s="1147"/>
      <c r="AZ209" s="1147"/>
      <c r="BA209" s="1147"/>
      <c r="BB209" s="1147"/>
      <c r="BC209" s="1147"/>
      <c r="BD209" s="1147"/>
      <c r="BE209" s="1147"/>
      <c r="BF209" s="1147"/>
      <c r="BG209" s="1147"/>
      <c r="BH209" s="1147"/>
      <c r="BI209" s="1147"/>
      <c r="BJ209" s="1147"/>
      <c r="BK209" s="1147"/>
      <c r="BL209" s="1147"/>
      <c r="BM209" s="1147"/>
      <c r="BN209" s="1147"/>
      <c r="BO209" s="1147"/>
      <c r="BP209" s="1147"/>
      <c r="BQ209" s="1147"/>
      <c r="BR209" s="1147"/>
      <c r="BS209" s="1147"/>
      <c r="BT209" s="1147"/>
      <c r="BU209" s="1147"/>
      <c r="BV209" s="1147"/>
      <c r="BW209" s="1147"/>
      <c r="BX209" s="1147"/>
      <c r="BY209" s="1147"/>
      <c r="BZ209" s="1147"/>
      <c r="CA209" s="1147"/>
      <c r="CB209" s="1147"/>
      <c r="CC209" s="1147"/>
      <c r="CD209" s="1147"/>
      <c r="CE209" s="1147"/>
      <c r="CF209" s="1147"/>
      <c r="CG209" s="1147"/>
      <c r="CH209" s="1147"/>
      <c r="CI209" s="1147"/>
      <c r="CJ209" s="1147"/>
      <c r="CK209" s="1146"/>
    </row>
    <row r="210" spans="1:89" ht="15" x14ac:dyDescent="0.25">
      <c r="A210" s="1146"/>
      <c r="B210" s="1146"/>
      <c r="C210" s="1146"/>
      <c r="D210" s="1146"/>
      <c r="E210" s="1146"/>
      <c r="F210" s="1146"/>
      <c r="G210" s="1146"/>
      <c r="H210" s="1146"/>
      <c r="I210" s="1146"/>
      <c r="J210" s="1146"/>
      <c r="K210" s="1146"/>
      <c r="L210" s="1146"/>
      <c r="M210" s="1146"/>
      <c r="N210" s="1146"/>
      <c r="O210" s="1146"/>
      <c r="P210" s="1146"/>
      <c r="Q210" s="1146"/>
      <c r="R210" s="1146"/>
      <c r="S210" s="1146"/>
      <c r="T210" s="1147"/>
      <c r="U210" s="1147"/>
      <c r="V210" s="1147"/>
      <c r="W210" s="1147"/>
      <c r="X210" s="1147"/>
      <c r="Y210" s="1147"/>
      <c r="Z210" s="1147"/>
      <c r="AA210" s="1147"/>
      <c r="AB210" s="1147"/>
      <c r="AC210" s="1147"/>
      <c r="AD210" s="1147"/>
      <c r="AE210" s="1147"/>
      <c r="AF210" s="1147"/>
      <c r="AG210" s="1147"/>
      <c r="AH210" s="1147"/>
      <c r="AI210" s="1147"/>
      <c r="AJ210" s="1147"/>
      <c r="AK210" s="1147"/>
      <c r="AL210" s="1147"/>
      <c r="AM210" s="1147"/>
      <c r="AN210" s="1147"/>
      <c r="AO210" s="1147"/>
      <c r="AP210" s="1147"/>
      <c r="AQ210" s="1147"/>
      <c r="AR210" s="1147"/>
      <c r="AS210" s="1147"/>
      <c r="AT210" s="1147"/>
      <c r="AU210" s="1147"/>
      <c r="AV210" s="1147"/>
      <c r="AW210" s="1147"/>
      <c r="AX210" s="1147"/>
      <c r="AY210" s="1147"/>
      <c r="AZ210" s="1147"/>
      <c r="BA210" s="1147"/>
      <c r="BB210" s="1147"/>
      <c r="BC210" s="1147"/>
      <c r="BD210" s="1147"/>
      <c r="BE210" s="1147"/>
      <c r="BF210" s="1147"/>
      <c r="BG210" s="1147"/>
      <c r="BH210" s="1147"/>
      <c r="BI210" s="1147"/>
      <c r="BJ210" s="1147"/>
      <c r="BK210" s="1147"/>
      <c r="BL210" s="1147"/>
      <c r="BM210" s="1147"/>
      <c r="BN210" s="1147"/>
      <c r="BO210" s="1147"/>
      <c r="BP210" s="1147"/>
      <c r="BQ210" s="1147"/>
      <c r="BR210" s="1147"/>
      <c r="BS210" s="1147"/>
      <c r="BT210" s="1147"/>
      <c r="BU210" s="1147"/>
      <c r="BV210" s="1147"/>
      <c r="BW210" s="1147"/>
      <c r="BX210" s="1147"/>
      <c r="BY210" s="1147"/>
      <c r="BZ210" s="1147"/>
      <c r="CA210" s="1147"/>
      <c r="CB210" s="1147"/>
      <c r="CC210" s="1147"/>
      <c r="CD210" s="1147"/>
      <c r="CE210" s="1147"/>
      <c r="CF210" s="1147"/>
      <c r="CG210" s="1147"/>
      <c r="CH210" s="1147"/>
      <c r="CI210" s="1147"/>
      <c r="CJ210" s="1147"/>
      <c r="CK210" s="1146"/>
    </row>
    <row r="211" spans="1:89" ht="15" x14ac:dyDescent="0.25">
      <c r="A211" s="1146"/>
      <c r="B211" s="1146"/>
      <c r="C211" s="1146"/>
      <c r="D211" s="1146"/>
      <c r="E211" s="1146"/>
      <c r="F211" s="1146"/>
      <c r="G211" s="1146"/>
      <c r="H211" s="1146"/>
      <c r="I211" s="1146"/>
      <c r="J211" s="1146"/>
      <c r="K211" s="1146"/>
      <c r="L211" s="1146"/>
      <c r="M211" s="1146"/>
      <c r="N211" s="1146"/>
      <c r="O211" s="1146"/>
      <c r="P211" s="1146"/>
      <c r="Q211" s="1146"/>
      <c r="R211" s="1146"/>
      <c r="S211" s="1146"/>
      <c r="T211" s="1147"/>
      <c r="U211" s="1147"/>
      <c r="V211" s="1147"/>
      <c r="W211" s="1147"/>
      <c r="X211" s="1147"/>
      <c r="Y211" s="1147"/>
      <c r="Z211" s="1147"/>
      <c r="AA211" s="1147"/>
      <c r="AB211" s="1147"/>
      <c r="AC211" s="1147"/>
      <c r="AD211" s="1147"/>
      <c r="AE211" s="1147"/>
      <c r="AF211" s="1147"/>
      <c r="AG211" s="1147"/>
      <c r="AH211" s="1147"/>
      <c r="AI211" s="1147"/>
      <c r="AJ211" s="1147"/>
      <c r="AK211" s="1147"/>
      <c r="AL211" s="1147"/>
      <c r="AM211" s="1147"/>
      <c r="AN211" s="1147"/>
      <c r="AO211" s="1147"/>
      <c r="AP211" s="1147"/>
      <c r="AQ211" s="1147"/>
      <c r="AR211" s="1147"/>
      <c r="AS211" s="1147"/>
      <c r="AT211" s="1147"/>
      <c r="AU211" s="1147"/>
      <c r="AV211" s="1147"/>
      <c r="AW211" s="1147"/>
      <c r="AX211" s="1147"/>
      <c r="AY211" s="1147"/>
      <c r="AZ211" s="1147"/>
      <c r="BA211" s="1147"/>
      <c r="BB211" s="1147"/>
      <c r="BC211" s="1147"/>
      <c r="BD211" s="1147"/>
      <c r="BE211" s="1147"/>
      <c r="BF211" s="1147"/>
      <c r="BG211" s="1147"/>
      <c r="BH211" s="1147"/>
      <c r="BI211" s="1147"/>
      <c r="BJ211" s="1147"/>
      <c r="BK211" s="1147"/>
      <c r="BL211" s="1147"/>
      <c r="BM211" s="1147"/>
      <c r="BN211" s="1147"/>
      <c r="BO211" s="1147"/>
      <c r="BP211" s="1147"/>
      <c r="BQ211" s="1147"/>
      <c r="BR211" s="1147"/>
      <c r="BS211" s="1147"/>
      <c r="BT211" s="1147"/>
      <c r="BU211" s="1147"/>
      <c r="BV211" s="1147"/>
      <c r="BW211" s="1147"/>
      <c r="BX211" s="1147"/>
      <c r="BY211" s="1147"/>
      <c r="BZ211" s="1147"/>
      <c r="CA211" s="1147"/>
      <c r="CB211" s="1147"/>
      <c r="CC211" s="1147"/>
      <c r="CD211" s="1147"/>
      <c r="CE211" s="1147"/>
      <c r="CF211" s="1147"/>
      <c r="CG211" s="1147"/>
      <c r="CH211" s="1147"/>
      <c r="CI211" s="1147"/>
      <c r="CJ211" s="1147"/>
      <c r="CK211" s="1146"/>
    </row>
    <row r="212" spans="1:89" ht="15" x14ac:dyDescent="0.25">
      <c r="A212" s="1146"/>
      <c r="B212" s="1146"/>
      <c r="C212" s="1146"/>
      <c r="D212" s="1146"/>
      <c r="E212" s="1146"/>
      <c r="F212" s="1146"/>
      <c r="G212" s="1146"/>
      <c r="H212" s="1146"/>
      <c r="I212" s="1146"/>
      <c r="J212" s="1146"/>
      <c r="K212" s="1146"/>
      <c r="L212" s="1146"/>
      <c r="M212" s="1146"/>
      <c r="N212" s="1146"/>
      <c r="O212" s="1146"/>
      <c r="P212" s="1146"/>
      <c r="Q212" s="1146"/>
      <c r="R212" s="1146"/>
      <c r="S212" s="1146"/>
      <c r="T212" s="1147"/>
      <c r="U212" s="1147"/>
      <c r="V212" s="1147"/>
      <c r="W212" s="1147"/>
      <c r="X212" s="1147"/>
      <c r="Y212" s="1147"/>
      <c r="Z212" s="1147"/>
      <c r="AA212" s="1147"/>
      <c r="AB212" s="1147"/>
      <c r="AC212" s="1147"/>
      <c r="AD212" s="1147"/>
      <c r="AE212" s="1147"/>
      <c r="AF212" s="1147"/>
      <c r="AG212" s="1147"/>
      <c r="AH212" s="1147"/>
      <c r="AI212" s="1147"/>
      <c r="AJ212" s="1147"/>
      <c r="AK212" s="1147"/>
      <c r="AL212" s="1147"/>
      <c r="AM212" s="1147"/>
      <c r="AN212" s="1147"/>
      <c r="AO212" s="1147"/>
      <c r="AP212" s="1147"/>
      <c r="AQ212" s="1147"/>
      <c r="AR212" s="1147"/>
      <c r="AS212" s="1147"/>
      <c r="AT212" s="1147"/>
      <c r="AU212" s="1147"/>
      <c r="AV212" s="1147"/>
      <c r="AW212" s="1147"/>
      <c r="AX212" s="1147"/>
      <c r="AY212" s="1147"/>
      <c r="AZ212" s="1147"/>
      <c r="BA212" s="1147"/>
      <c r="BB212" s="1147"/>
      <c r="BC212" s="1147"/>
      <c r="BD212" s="1147"/>
      <c r="BE212" s="1147"/>
      <c r="BF212" s="1147"/>
      <c r="BG212" s="1147"/>
      <c r="BH212" s="1147"/>
      <c r="BI212" s="1147"/>
      <c r="BJ212" s="1147"/>
      <c r="BK212" s="1147"/>
      <c r="BL212" s="1147"/>
      <c r="BM212" s="1147"/>
      <c r="BN212" s="1147"/>
      <c r="BO212" s="1147"/>
      <c r="BP212" s="1147"/>
      <c r="BQ212" s="1147"/>
      <c r="BR212" s="1147"/>
      <c r="BS212" s="1147"/>
      <c r="BT212" s="1147"/>
      <c r="BU212" s="1147"/>
      <c r="BV212" s="1147"/>
      <c r="BW212" s="1147"/>
      <c r="BX212" s="1147"/>
      <c r="BY212" s="1147"/>
      <c r="BZ212" s="1147"/>
      <c r="CA212" s="1147"/>
      <c r="CB212" s="1147"/>
      <c r="CC212" s="1147"/>
      <c r="CD212" s="1147"/>
      <c r="CE212" s="1147"/>
      <c r="CF212" s="1147"/>
      <c r="CG212" s="1147"/>
      <c r="CH212" s="1147"/>
      <c r="CI212" s="1147"/>
      <c r="CJ212" s="1147"/>
      <c r="CK212" s="1146"/>
    </row>
    <row r="213" spans="1:89" ht="15" x14ac:dyDescent="0.25">
      <c r="A213" s="1146"/>
      <c r="B213" s="1146"/>
      <c r="C213" s="1146"/>
      <c r="D213" s="1146"/>
      <c r="E213" s="1146"/>
      <c r="F213" s="1146"/>
      <c r="G213" s="1146"/>
      <c r="H213" s="1146"/>
      <c r="I213" s="1146"/>
      <c r="J213" s="1146"/>
      <c r="K213" s="1146"/>
      <c r="L213" s="1146"/>
      <c r="M213" s="1146"/>
      <c r="N213" s="1146"/>
      <c r="O213" s="1146"/>
      <c r="P213" s="1146"/>
      <c r="Q213" s="1146"/>
      <c r="R213" s="1146"/>
      <c r="S213" s="1146"/>
      <c r="T213" s="1147"/>
      <c r="U213" s="1147"/>
      <c r="V213" s="1147"/>
      <c r="W213" s="1147"/>
      <c r="X213" s="1147"/>
      <c r="Y213" s="1147"/>
      <c r="Z213" s="1147"/>
      <c r="AA213" s="1147"/>
      <c r="AB213" s="1147"/>
      <c r="AC213" s="1147"/>
      <c r="AD213" s="1147"/>
      <c r="AE213" s="1147"/>
      <c r="AF213" s="1147"/>
      <c r="AG213" s="1147"/>
      <c r="AH213" s="1147"/>
      <c r="AI213" s="1147"/>
      <c r="AJ213" s="1147"/>
      <c r="AK213" s="1147"/>
      <c r="AL213" s="1147"/>
      <c r="AM213" s="1147"/>
      <c r="AN213" s="1147"/>
      <c r="AO213" s="1147"/>
      <c r="AP213" s="1147"/>
      <c r="AQ213" s="1147"/>
      <c r="AR213" s="1147"/>
      <c r="AS213" s="1147"/>
      <c r="AT213" s="1147"/>
      <c r="AU213" s="1147"/>
      <c r="AV213" s="1147"/>
      <c r="AW213" s="1147"/>
      <c r="AX213" s="1147"/>
      <c r="AY213" s="1147"/>
      <c r="AZ213" s="1147"/>
      <c r="BA213" s="1147"/>
      <c r="BB213" s="1147"/>
      <c r="BC213" s="1147"/>
      <c r="BD213" s="1147"/>
      <c r="BE213" s="1147"/>
      <c r="BF213" s="1147"/>
      <c r="BG213" s="1147"/>
      <c r="BH213" s="1147"/>
      <c r="BI213" s="1147"/>
      <c r="BJ213" s="1147"/>
      <c r="BK213" s="1147"/>
      <c r="BL213" s="1147"/>
      <c r="BM213" s="1147"/>
      <c r="BN213" s="1147"/>
      <c r="BO213" s="1147"/>
      <c r="BP213" s="1147"/>
      <c r="BQ213" s="1147"/>
      <c r="BR213" s="1147"/>
      <c r="BS213" s="1147"/>
      <c r="BT213" s="1147"/>
      <c r="BU213" s="1147"/>
      <c r="BV213" s="1147"/>
      <c r="BW213" s="1147"/>
      <c r="BX213" s="1147"/>
      <c r="BY213" s="1147"/>
      <c r="BZ213" s="1147"/>
      <c r="CA213" s="1147"/>
      <c r="CB213" s="1147"/>
      <c r="CC213" s="1147"/>
      <c r="CD213" s="1147"/>
      <c r="CE213" s="1147"/>
      <c r="CF213" s="1147"/>
      <c r="CG213" s="1147"/>
      <c r="CH213" s="1147"/>
      <c r="CI213" s="1147"/>
      <c r="CJ213" s="1147"/>
      <c r="CK213" s="1146"/>
    </row>
    <row r="214" spans="1:89" ht="15" x14ac:dyDescent="0.25">
      <c r="A214" s="1146"/>
      <c r="B214" s="1146"/>
      <c r="C214" s="1146"/>
      <c r="D214" s="1146"/>
      <c r="E214" s="1146"/>
      <c r="F214" s="1146"/>
      <c r="G214" s="1146"/>
      <c r="H214" s="1146"/>
      <c r="I214" s="1146"/>
      <c r="J214" s="1146"/>
      <c r="K214" s="1146"/>
      <c r="L214" s="1146"/>
      <c r="M214" s="1146"/>
      <c r="N214" s="1146"/>
      <c r="O214" s="1146"/>
      <c r="P214" s="1146"/>
      <c r="Q214" s="1146"/>
      <c r="R214" s="1146"/>
      <c r="S214" s="1146"/>
      <c r="T214" s="1147"/>
      <c r="U214" s="1147"/>
      <c r="V214" s="1147"/>
      <c r="W214" s="1147"/>
      <c r="X214" s="1147"/>
      <c r="Y214" s="1147"/>
      <c r="Z214" s="1147"/>
      <c r="AA214" s="1147"/>
      <c r="AB214" s="1147"/>
      <c r="AC214" s="1147"/>
      <c r="AD214" s="1147"/>
      <c r="AE214" s="1147"/>
      <c r="AF214" s="1147"/>
      <c r="AG214" s="1147"/>
      <c r="AH214" s="1147"/>
      <c r="AI214" s="1147"/>
      <c r="AJ214" s="1147"/>
      <c r="AK214" s="1147"/>
      <c r="AL214" s="1147"/>
      <c r="AM214" s="1147"/>
      <c r="AN214" s="1147"/>
      <c r="AO214" s="1147"/>
      <c r="AP214" s="1147"/>
      <c r="AQ214" s="1147"/>
      <c r="AR214" s="1147"/>
      <c r="AS214" s="1147"/>
      <c r="AT214" s="1147"/>
      <c r="AU214" s="1147"/>
      <c r="AV214" s="1147"/>
      <c r="AW214" s="1147"/>
      <c r="AX214" s="1147"/>
      <c r="AY214" s="1147"/>
      <c r="AZ214" s="1147"/>
      <c r="BA214" s="1147"/>
      <c r="BB214" s="1147"/>
      <c r="BC214" s="1147"/>
      <c r="BD214" s="1147"/>
      <c r="BE214" s="1147"/>
      <c r="BF214" s="1147"/>
      <c r="BG214" s="1147"/>
      <c r="BH214" s="1147"/>
      <c r="BI214" s="1147"/>
      <c r="BJ214" s="1147"/>
      <c r="BK214" s="1147"/>
      <c r="BL214" s="1147"/>
      <c r="BM214" s="1147"/>
      <c r="BN214" s="1147"/>
      <c r="BO214" s="1147"/>
      <c r="BP214" s="1147"/>
      <c r="BQ214" s="1147"/>
      <c r="BR214" s="1147"/>
      <c r="BS214" s="1147"/>
      <c r="BT214" s="1147"/>
      <c r="BU214" s="1147"/>
      <c r="BV214" s="1147"/>
      <c r="BW214" s="1147"/>
      <c r="BX214" s="1147"/>
      <c r="BY214" s="1147"/>
      <c r="BZ214" s="1147"/>
      <c r="CA214" s="1147"/>
      <c r="CB214" s="1147"/>
      <c r="CC214" s="1147"/>
      <c r="CD214" s="1147"/>
      <c r="CE214" s="1147"/>
      <c r="CF214" s="1147"/>
      <c r="CG214" s="1147"/>
      <c r="CH214" s="1147"/>
      <c r="CI214" s="1147"/>
      <c r="CJ214" s="1147"/>
      <c r="CK214" s="1146"/>
    </row>
    <row r="215" spans="1:89" ht="15" x14ac:dyDescent="0.25">
      <c r="A215" s="1146"/>
      <c r="B215" s="1146"/>
      <c r="C215" s="1146"/>
      <c r="D215" s="1146"/>
      <c r="E215" s="1146"/>
      <c r="F215" s="1146"/>
      <c r="G215" s="1146"/>
      <c r="H215" s="1146"/>
      <c r="I215" s="1146"/>
      <c r="J215" s="1146"/>
      <c r="K215" s="1146"/>
      <c r="L215" s="1146"/>
      <c r="M215" s="1146"/>
      <c r="N215" s="1146"/>
      <c r="O215" s="1146"/>
      <c r="P215" s="1146"/>
      <c r="Q215" s="1146"/>
      <c r="R215" s="1146"/>
      <c r="S215" s="1146"/>
      <c r="T215" s="1147"/>
      <c r="U215" s="1147"/>
      <c r="V215" s="1147"/>
      <c r="W215" s="1147"/>
      <c r="X215" s="1147"/>
      <c r="Y215" s="1147"/>
      <c r="Z215" s="1147"/>
      <c r="AA215" s="1147"/>
      <c r="AB215" s="1147"/>
      <c r="AC215" s="1147"/>
      <c r="AD215" s="1147"/>
      <c r="AE215" s="1147"/>
      <c r="AF215" s="1147"/>
      <c r="AG215" s="1147"/>
      <c r="AH215" s="1147"/>
      <c r="AI215" s="1147"/>
      <c r="AJ215" s="1147"/>
      <c r="AK215" s="1147"/>
      <c r="AL215" s="1147"/>
      <c r="AM215" s="1147"/>
      <c r="AN215" s="1147"/>
      <c r="AO215" s="1147"/>
      <c r="AP215" s="1147"/>
      <c r="AQ215" s="1147"/>
      <c r="AR215" s="1147"/>
      <c r="AS215" s="1147"/>
      <c r="AT215" s="1147"/>
      <c r="AU215" s="1147"/>
      <c r="AV215" s="1147"/>
      <c r="AW215" s="1147"/>
      <c r="AX215" s="1147"/>
      <c r="AY215" s="1147"/>
      <c r="AZ215" s="1147"/>
      <c r="BA215" s="1147"/>
      <c r="BB215" s="1147"/>
      <c r="BC215" s="1147"/>
      <c r="BD215" s="1147"/>
      <c r="BE215" s="1147"/>
      <c r="BF215" s="1147"/>
      <c r="BG215" s="1147"/>
      <c r="BH215" s="1147"/>
      <c r="BI215" s="1147"/>
      <c r="BJ215" s="1147"/>
      <c r="BK215" s="1147"/>
      <c r="BL215" s="1147"/>
      <c r="BM215" s="1147"/>
      <c r="BN215" s="1147"/>
      <c r="BO215" s="1147"/>
      <c r="BP215" s="1147"/>
      <c r="BQ215" s="1147"/>
      <c r="BR215" s="1147"/>
      <c r="BS215" s="1147"/>
      <c r="BT215" s="1147"/>
      <c r="BU215" s="1147"/>
      <c r="BV215" s="1147"/>
      <c r="BW215" s="1147"/>
      <c r="BX215" s="1147"/>
      <c r="BY215" s="1147"/>
      <c r="BZ215" s="1147"/>
      <c r="CA215" s="1147"/>
      <c r="CB215" s="1147"/>
      <c r="CC215" s="1147"/>
      <c r="CD215" s="1147"/>
      <c r="CE215" s="1147"/>
      <c r="CF215" s="1147"/>
      <c r="CG215" s="1147"/>
      <c r="CH215" s="1147"/>
      <c r="CI215" s="1147"/>
      <c r="CJ215" s="1147"/>
      <c r="CK215" s="1146"/>
    </row>
    <row r="216" spans="1:89" ht="15" x14ac:dyDescent="0.25">
      <c r="A216" s="1146"/>
      <c r="B216" s="1146"/>
      <c r="C216" s="1146"/>
      <c r="D216" s="1146"/>
      <c r="E216" s="1146"/>
      <c r="F216" s="1146"/>
      <c r="G216" s="1146"/>
      <c r="H216" s="1146"/>
      <c r="I216" s="1146"/>
      <c r="J216" s="1146"/>
      <c r="K216" s="1146"/>
      <c r="L216" s="1146"/>
      <c r="M216" s="1146"/>
      <c r="N216" s="1146"/>
      <c r="O216" s="1146"/>
      <c r="P216" s="1146"/>
      <c r="Q216" s="1146"/>
      <c r="R216" s="1146"/>
      <c r="S216" s="1146"/>
      <c r="T216" s="1147"/>
      <c r="U216" s="1147"/>
      <c r="V216" s="1147"/>
      <c r="W216" s="1147"/>
      <c r="X216" s="1147"/>
      <c r="Y216" s="1147"/>
      <c r="Z216" s="1147"/>
      <c r="AA216" s="1147"/>
      <c r="AB216" s="1147"/>
      <c r="AC216" s="1147"/>
      <c r="AD216" s="1147"/>
      <c r="AE216" s="1147"/>
      <c r="AF216" s="1147"/>
      <c r="AG216" s="1147"/>
      <c r="AH216" s="1147"/>
      <c r="AI216" s="1147"/>
      <c r="AJ216" s="1147"/>
      <c r="AK216" s="1147"/>
      <c r="AL216" s="1147"/>
      <c r="AM216" s="1147"/>
      <c r="AN216" s="1147"/>
      <c r="AO216" s="1147"/>
      <c r="AP216" s="1147"/>
      <c r="AQ216" s="1147"/>
      <c r="AR216" s="1147"/>
      <c r="AS216" s="1147"/>
      <c r="AT216" s="1147"/>
      <c r="AU216" s="1147"/>
      <c r="AV216" s="1147"/>
      <c r="AW216" s="1147"/>
      <c r="AX216" s="1147"/>
      <c r="AY216" s="1147"/>
      <c r="AZ216" s="1147"/>
      <c r="BA216" s="1147"/>
      <c r="BB216" s="1147"/>
      <c r="BC216" s="1147"/>
      <c r="BD216" s="1147"/>
      <c r="BE216" s="1147"/>
      <c r="BF216" s="1147"/>
      <c r="BG216" s="1147"/>
      <c r="BH216" s="1147"/>
      <c r="BI216" s="1147"/>
      <c r="BJ216" s="1147"/>
      <c r="BK216" s="1147"/>
      <c r="BL216" s="1147"/>
      <c r="BM216" s="1147"/>
      <c r="BN216" s="1147"/>
      <c r="BO216" s="1147"/>
      <c r="BP216" s="1147"/>
      <c r="BQ216" s="1147"/>
      <c r="BR216" s="1147"/>
      <c r="BS216" s="1147"/>
      <c r="BT216" s="1147"/>
      <c r="BU216" s="1147"/>
      <c r="BV216" s="1147"/>
      <c r="BW216" s="1147"/>
      <c r="BX216" s="1147"/>
      <c r="BY216" s="1147"/>
      <c r="BZ216" s="1147"/>
      <c r="CA216" s="1147"/>
      <c r="CB216" s="1147"/>
      <c r="CC216" s="1147"/>
      <c r="CD216" s="1147"/>
      <c r="CE216" s="1147"/>
      <c r="CF216" s="1147"/>
      <c r="CG216" s="1147"/>
      <c r="CH216" s="1147"/>
      <c r="CI216" s="1147"/>
      <c r="CJ216" s="1147"/>
      <c r="CK216" s="1146"/>
    </row>
    <row r="217" spans="1:89" ht="15" x14ac:dyDescent="0.25">
      <c r="A217" s="1146"/>
      <c r="B217" s="1146"/>
      <c r="C217" s="1146"/>
      <c r="D217" s="1146"/>
      <c r="E217" s="1146"/>
      <c r="F217" s="1146"/>
      <c r="G217" s="1146"/>
      <c r="H217" s="1146"/>
      <c r="I217" s="1146"/>
      <c r="J217" s="1146"/>
      <c r="K217" s="1146"/>
      <c r="L217" s="1146"/>
      <c r="M217" s="1146"/>
      <c r="N217" s="1146"/>
      <c r="O217" s="1146"/>
      <c r="P217" s="1146"/>
      <c r="Q217" s="1146"/>
      <c r="R217" s="1146"/>
      <c r="S217" s="1146"/>
      <c r="T217" s="1147"/>
      <c r="U217" s="1147"/>
      <c r="V217" s="1147"/>
      <c r="W217" s="1147"/>
      <c r="X217" s="1147"/>
      <c r="Y217" s="1147"/>
      <c r="Z217" s="1147"/>
      <c r="AA217" s="1147"/>
      <c r="AB217" s="1147"/>
      <c r="AC217" s="1147"/>
      <c r="AD217" s="1147"/>
      <c r="AE217" s="1147"/>
      <c r="AF217" s="1147"/>
      <c r="AG217" s="1147"/>
      <c r="AH217" s="1147"/>
      <c r="AI217" s="1147"/>
      <c r="AJ217" s="1147"/>
      <c r="AK217" s="1147"/>
      <c r="AL217" s="1147"/>
      <c r="AM217" s="1147"/>
      <c r="AN217" s="1147"/>
      <c r="AO217" s="1147"/>
      <c r="AP217" s="1147"/>
      <c r="AQ217" s="1147"/>
      <c r="AR217" s="1147"/>
      <c r="AS217" s="1147"/>
      <c r="AT217" s="1147"/>
      <c r="AU217" s="1147"/>
      <c r="AV217" s="1147"/>
      <c r="AW217" s="1147"/>
      <c r="AX217" s="1147"/>
      <c r="AY217" s="1147"/>
      <c r="AZ217" s="1147"/>
      <c r="BA217" s="1147"/>
      <c r="BB217" s="1147"/>
      <c r="BC217" s="1147"/>
      <c r="BD217" s="1147"/>
      <c r="BE217" s="1147"/>
      <c r="BF217" s="1147"/>
      <c r="BG217" s="1147"/>
      <c r="BH217" s="1147"/>
      <c r="BI217" s="1147"/>
      <c r="BJ217" s="1147"/>
      <c r="BK217" s="1147"/>
      <c r="BL217" s="1147"/>
      <c r="BM217" s="1147"/>
      <c r="BN217" s="1147"/>
      <c r="BO217" s="1147"/>
      <c r="BP217" s="1147"/>
      <c r="BQ217" s="1147"/>
      <c r="BR217" s="1147"/>
      <c r="BS217" s="1147"/>
      <c r="BT217" s="1147"/>
      <c r="BU217" s="1147"/>
      <c r="BV217" s="1147"/>
      <c r="BW217" s="1147"/>
      <c r="BX217" s="1147"/>
      <c r="BY217" s="1147"/>
      <c r="BZ217" s="1147"/>
      <c r="CA217" s="1147"/>
      <c r="CB217" s="1147"/>
      <c r="CC217" s="1147"/>
      <c r="CD217" s="1147"/>
      <c r="CE217" s="1147"/>
      <c r="CF217" s="1147"/>
      <c r="CG217" s="1147"/>
      <c r="CH217" s="1147"/>
      <c r="CI217" s="1147"/>
      <c r="CJ217" s="1147"/>
      <c r="CK217" s="1146"/>
    </row>
    <row r="218" spans="1:89" ht="15" x14ac:dyDescent="0.25">
      <c r="A218" s="1146"/>
      <c r="B218" s="1146"/>
      <c r="C218" s="1146"/>
      <c r="D218" s="1146"/>
      <c r="E218" s="1146"/>
      <c r="F218" s="1146"/>
      <c r="G218" s="1146"/>
      <c r="H218" s="1146"/>
      <c r="I218" s="1146"/>
      <c r="J218" s="1146"/>
      <c r="K218" s="1146"/>
      <c r="L218" s="1146"/>
      <c r="M218" s="1146"/>
      <c r="N218" s="1146"/>
      <c r="O218" s="1146"/>
      <c r="P218" s="1146"/>
      <c r="Q218" s="1146"/>
      <c r="R218" s="1146"/>
      <c r="S218" s="1146"/>
      <c r="T218" s="1147"/>
      <c r="U218" s="1147"/>
      <c r="V218" s="1147"/>
      <c r="W218" s="1147"/>
      <c r="X218" s="1147"/>
      <c r="Y218" s="1147"/>
      <c r="Z218" s="1147"/>
      <c r="AA218" s="1147"/>
      <c r="AB218" s="1147"/>
      <c r="AC218" s="1147"/>
      <c r="AD218" s="1147"/>
      <c r="AE218" s="1147"/>
      <c r="AF218" s="1147"/>
      <c r="AG218" s="1147"/>
      <c r="AH218" s="1147"/>
      <c r="AI218" s="1147"/>
      <c r="AJ218" s="1147"/>
      <c r="AK218" s="1147"/>
      <c r="AL218" s="1147"/>
      <c r="AM218" s="1147"/>
      <c r="AN218" s="1147"/>
      <c r="AO218" s="1147"/>
      <c r="AP218" s="1147"/>
      <c r="AQ218" s="1147"/>
      <c r="AR218" s="1147"/>
      <c r="AS218" s="1147"/>
      <c r="AT218" s="1147"/>
      <c r="AU218" s="1147"/>
      <c r="AV218" s="1147"/>
      <c r="AW218" s="1147"/>
      <c r="AX218" s="1147"/>
      <c r="AY218" s="1147"/>
      <c r="AZ218" s="1147"/>
      <c r="BA218" s="1147"/>
      <c r="BB218" s="1147"/>
      <c r="BC218" s="1147"/>
      <c r="BD218" s="1147"/>
      <c r="BE218" s="1147"/>
      <c r="BF218" s="1147"/>
      <c r="BG218" s="1147"/>
      <c r="BH218" s="1147"/>
      <c r="BI218" s="1147"/>
      <c r="BJ218" s="1147"/>
      <c r="BK218" s="1147"/>
      <c r="BL218" s="1147"/>
      <c r="BM218" s="1147"/>
      <c r="BN218" s="1147"/>
      <c r="BO218" s="1147"/>
      <c r="BP218" s="1147"/>
      <c r="BQ218" s="1147"/>
      <c r="BR218" s="1147"/>
      <c r="BS218" s="1147"/>
      <c r="BT218" s="1147"/>
      <c r="BU218" s="1147"/>
      <c r="BV218" s="1147"/>
      <c r="BW218" s="1147"/>
      <c r="BX218" s="1147"/>
      <c r="BY218" s="1147"/>
      <c r="BZ218" s="1147"/>
      <c r="CA218" s="1147"/>
      <c r="CB218" s="1147"/>
      <c r="CC218" s="1147"/>
      <c r="CD218" s="1147"/>
      <c r="CE218" s="1147"/>
      <c r="CF218" s="1147"/>
      <c r="CG218" s="1147"/>
      <c r="CH218" s="1147"/>
      <c r="CI218" s="1147"/>
      <c r="CJ218" s="1147"/>
      <c r="CK218" s="1146"/>
    </row>
    <row r="219" spans="1:89" ht="15" x14ac:dyDescent="0.25">
      <c r="A219" s="1146"/>
      <c r="B219" s="1146"/>
      <c r="C219" s="1146"/>
      <c r="D219" s="1146"/>
      <c r="E219" s="1146"/>
      <c r="F219" s="1146"/>
      <c r="G219" s="1146"/>
      <c r="H219" s="1146"/>
      <c r="I219" s="1146"/>
      <c r="J219" s="1146"/>
      <c r="K219" s="1146"/>
      <c r="L219" s="1146"/>
      <c r="M219" s="1146"/>
      <c r="N219" s="1146"/>
      <c r="O219" s="1146"/>
      <c r="P219" s="1146"/>
      <c r="Q219" s="1146"/>
      <c r="R219" s="1146"/>
      <c r="S219" s="1146"/>
      <c r="T219" s="1147"/>
      <c r="U219" s="1147"/>
      <c r="V219" s="1147"/>
      <c r="W219" s="1147"/>
      <c r="X219" s="1147"/>
      <c r="Y219" s="1147"/>
      <c r="Z219" s="1147"/>
      <c r="AA219" s="1147"/>
      <c r="AB219" s="1147"/>
      <c r="AC219" s="1147"/>
      <c r="AD219" s="1147"/>
      <c r="AE219" s="1147"/>
      <c r="AF219" s="1147"/>
      <c r="AG219" s="1147"/>
      <c r="AH219" s="1147"/>
      <c r="AI219" s="1147"/>
      <c r="AJ219" s="1147"/>
      <c r="AK219" s="1147"/>
      <c r="AL219" s="1147"/>
      <c r="AM219" s="1147"/>
      <c r="AN219" s="1147"/>
      <c r="AO219" s="1147"/>
      <c r="AP219" s="1147"/>
      <c r="AQ219" s="1147"/>
      <c r="AR219" s="1147"/>
      <c r="AS219" s="1147"/>
      <c r="AT219" s="1147"/>
      <c r="AU219" s="1147"/>
      <c r="AV219" s="1147"/>
      <c r="AW219" s="1147"/>
      <c r="AX219" s="1147"/>
      <c r="AY219" s="1147"/>
      <c r="AZ219" s="1147"/>
      <c r="BA219" s="1147"/>
      <c r="BB219" s="1147"/>
      <c r="BC219" s="1147"/>
      <c r="BD219" s="1147"/>
      <c r="BE219" s="1147"/>
      <c r="BF219" s="1147"/>
      <c r="BG219" s="1147"/>
      <c r="BH219" s="1147"/>
      <c r="BI219" s="1147"/>
      <c r="BJ219" s="1147"/>
      <c r="BK219" s="1147"/>
      <c r="BL219" s="1147"/>
      <c r="BM219" s="1147"/>
      <c r="BN219" s="1147"/>
      <c r="BO219" s="1147"/>
      <c r="BP219" s="1147"/>
      <c r="BQ219" s="1147"/>
      <c r="BR219" s="1147"/>
      <c r="BS219" s="1147"/>
      <c r="BT219" s="1147"/>
      <c r="BU219" s="1147"/>
      <c r="BV219" s="1147"/>
      <c r="BW219" s="1147"/>
      <c r="BX219" s="1147"/>
      <c r="BY219" s="1147"/>
      <c r="BZ219" s="1147"/>
      <c r="CA219" s="1147"/>
      <c r="CB219" s="1147"/>
      <c r="CC219" s="1147"/>
      <c r="CD219" s="1147"/>
      <c r="CE219" s="1147"/>
      <c r="CF219" s="1147"/>
      <c r="CG219" s="1147"/>
      <c r="CH219" s="1147"/>
      <c r="CI219" s="1147"/>
      <c r="CJ219" s="1147"/>
      <c r="CK219" s="1146"/>
    </row>
    <row r="220" spans="1:89" ht="15" x14ac:dyDescent="0.25">
      <c r="A220" s="1146"/>
      <c r="B220" s="1146"/>
      <c r="C220" s="1146"/>
      <c r="D220" s="1146"/>
      <c r="E220" s="1146"/>
      <c r="F220" s="1146"/>
      <c r="G220" s="1146"/>
      <c r="H220" s="1146"/>
      <c r="I220" s="1146"/>
      <c r="J220" s="1146"/>
      <c r="K220" s="1146"/>
      <c r="L220" s="1146"/>
      <c r="M220" s="1146"/>
      <c r="N220" s="1146"/>
      <c r="O220" s="1146"/>
      <c r="P220" s="1146"/>
      <c r="Q220" s="1146"/>
      <c r="R220" s="1146"/>
      <c r="S220" s="1146"/>
      <c r="T220" s="1147"/>
      <c r="U220" s="1147"/>
      <c r="V220" s="1147"/>
      <c r="W220" s="1147"/>
      <c r="X220" s="1147"/>
      <c r="Y220" s="1147"/>
      <c r="Z220" s="1147"/>
      <c r="AA220" s="1147"/>
      <c r="AB220" s="1147"/>
      <c r="AC220" s="1147"/>
      <c r="AD220" s="1147"/>
      <c r="AE220" s="1147"/>
      <c r="AF220" s="1147"/>
      <c r="AG220" s="1147"/>
      <c r="AH220" s="1147"/>
      <c r="AI220" s="1147"/>
      <c r="AJ220" s="1147"/>
      <c r="AK220" s="1147"/>
      <c r="AL220" s="1147"/>
      <c r="AM220" s="1147"/>
      <c r="AN220" s="1147"/>
      <c r="AO220" s="1147"/>
      <c r="AP220" s="1147"/>
      <c r="AQ220" s="1147"/>
      <c r="AR220" s="1147"/>
      <c r="AS220" s="1147"/>
      <c r="AT220" s="1147"/>
      <c r="AU220" s="1147"/>
      <c r="AV220" s="1147"/>
      <c r="AW220" s="1147"/>
      <c r="AX220" s="1147"/>
      <c r="AY220" s="1147"/>
      <c r="AZ220" s="1147"/>
      <c r="BA220" s="1147"/>
      <c r="BB220" s="1147"/>
      <c r="BC220" s="1147"/>
      <c r="BD220" s="1147"/>
      <c r="BE220" s="1147"/>
      <c r="BF220" s="1147"/>
      <c r="BG220" s="1147"/>
      <c r="BH220" s="1147"/>
      <c r="BI220" s="1147"/>
      <c r="BJ220" s="1147"/>
      <c r="BK220" s="1147"/>
      <c r="BL220" s="1147"/>
      <c r="BM220" s="1147"/>
      <c r="BN220" s="1147"/>
      <c r="BO220" s="1147"/>
      <c r="BP220" s="1147"/>
      <c r="BQ220" s="1147"/>
      <c r="BR220" s="1147"/>
      <c r="BS220" s="1147"/>
      <c r="BT220" s="1147"/>
      <c r="BU220" s="1147"/>
      <c r="BV220" s="1147"/>
      <c r="BW220" s="1147"/>
      <c r="BX220" s="1147"/>
      <c r="BY220" s="1147"/>
      <c r="BZ220" s="1147"/>
      <c r="CA220" s="1147"/>
      <c r="CB220" s="1147"/>
      <c r="CC220" s="1147"/>
      <c r="CD220" s="1147"/>
      <c r="CE220" s="1147"/>
      <c r="CF220" s="1147"/>
      <c r="CG220" s="1147"/>
      <c r="CH220" s="1147"/>
      <c r="CI220" s="1147"/>
      <c r="CJ220" s="1147"/>
      <c r="CK220" s="1146"/>
    </row>
    <row r="221" spans="1:89" ht="15" x14ac:dyDescent="0.25">
      <c r="A221" s="1146"/>
      <c r="B221" s="1146"/>
      <c r="C221" s="1146"/>
      <c r="D221" s="1146"/>
      <c r="E221" s="1146"/>
      <c r="F221" s="1146"/>
      <c r="G221" s="1146"/>
      <c r="H221" s="1146"/>
      <c r="I221" s="1146"/>
      <c r="J221" s="1146"/>
      <c r="K221" s="1146"/>
      <c r="L221" s="1146"/>
      <c r="M221" s="1146"/>
      <c r="N221" s="1146"/>
      <c r="O221" s="1146"/>
      <c r="P221" s="1146"/>
      <c r="Q221" s="1146"/>
      <c r="R221" s="1146"/>
      <c r="S221" s="1146"/>
      <c r="T221" s="1147"/>
      <c r="U221" s="1147"/>
      <c r="V221" s="1147"/>
      <c r="W221" s="1147"/>
      <c r="X221" s="1147"/>
      <c r="Y221" s="1147"/>
      <c r="Z221" s="1147"/>
      <c r="AA221" s="1147"/>
      <c r="AB221" s="1147"/>
      <c r="AC221" s="1147"/>
      <c r="AD221" s="1147"/>
      <c r="AE221" s="1147"/>
      <c r="AF221" s="1147"/>
      <c r="AG221" s="1147"/>
      <c r="AH221" s="1147"/>
      <c r="AI221" s="1147"/>
      <c r="AJ221" s="1147"/>
      <c r="AK221" s="1147"/>
      <c r="AL221" s="1147"/>
      <c r="AM221" s="1147"/>
      <c r="AN221" s="1147"/>
      <c r="AO221" s="1147"/>
      <c r="AP221" s="1147"/>
      <c r="AQ221" s="1147"/>
      <c r="AR221" s="1147"/>
      <c r="AS221" s="1147"/>
      <c r="AT221" s="1147"/>
      <c r="AU221" s="1147"/>
      <c r="AV221" s="1147"/>
      <c r="AW221" s="1147"/>
      <c r="AX221" s="1147"/>
      <c r="AY221" s="1147"/>
      <c r="AZ221" s="1147"/>
      <c r="BA221" s="1147"/>
      <c r="BB221" s="1147"/>
      <c r="BC221" s="1147"/>
      <c r="BD221" s="1147"/>
      <c r="BE221" s="1147"/>
      <c r="BF221" s="1147"/>
      <c r="BG221" s="1147"/>
      <c r="BH221" s="1147"/>
      <c r="BI221" s="1147"/>
      <c r="BJ221" s="1147"/>
      <c r="BK221" s="1147"/>
      <c r="BL221" s="1147"/>
      <c r="BM221" s="1147"/>
      <c r="BN221" s="1147"/>
      <c r="BO221" s="1147"/>
      <c r="BP221" s="1147"/>
      <c r="BQ221" s="1147"/>
      <c r="BR221" s="1147"/>
      <c r="BS221" s="1147"/>
      <c r="BT221" s="1147"/>
      <c r="BU221" s="1147"/>
      <c r="BV221" s="1147"/>
      <c r="BW221" s="1147"/>
      <c r="BX221" s="1147"/>
      <c r="BY221" s="1147"/>
      <c r="BZ221" s="1147"/>
      <c r="CA221" s="1147"/>
      <c r="CB221" s="1147"/>
      <c r="CC221" s="1147"/>
      <c r="CD221" s="1147"/>
      <c r="CE221" s="1147"/>
      <c r="CF221" s="1147"/>
      <c r="CG221" s="1147"/>
      <c r="CH221" s="1147"/>
      <c r="CI221" s="1147"/>
      <c r="CJ221" s="1147"/>
      <c r="CK221" s="1146"/>
    </row>
    <row r="222" spans="1:89" ht="15" x14ac:dyDescent="0.25">
      <c r="A222" s="1146"/>
      <c r="B222" s="1146"/>
      <c r="C222" s="1146"/>
      <c r="D222" s="1146"/>
      <c r="E222" s="1146"/>
      <c r="F222" s="1146"/>
      <c r="G222" s="1146"/>
      <c r="H222" s="1146"/>
      <c r="I222" s="1146"/>
      <c r="J222" s="1146"/>
      <c r="K222" s="1146"/>
      <c r="L222" s="1146"/>
      <c r="M222" s="1146"/>
      <c r="N222" s="1146"/>
      <c r="O222" s="1146"/>
      <c r="P222" s="1146"/>
      <c r="Q222" s="1146"/>
      <c r="R222" s="1146"/>
      <c r="S222" s="1146"/>
      <c r="T222" s="1147"/>
      <c r="U222" s="1147"/>
      <c r="V222" s="1147"/>
      <c r="W222" s="1147"/>
      <c r="X222" s="1147"/>
      <c r="Y222" s="1147"/>
      <c r="Z222" s="1147"/>
      <c r="AA222" s="1147"/>
      <c r="AB222" s="1147"/>
      <c r="AC222" s="1147"/>
      <c r="AD222" s="1147"/>
      <c r="AE222" s="1147"/>
      <c r="AF222" s="1147"/>
      <c r="AG222" s="1147"/>
      <c r="AH222" s="1147"/>
      <c r="AI222" s="1147"/>
      <c r="AJ222" s="1147"/>
      <c r="AK222" s="1147"/>
      <c r="AL222" s="1147"/>
      <c r="AM222" s="1147"/>
      <c r="AN222" s="1147"/>
      <c r="AO222" s="1147"/>
      <c r="AP222" s="1147"/>
      <c r="AQ222" s="1147"/>
      <c r="AR222" s="1147"/>
      <c r="AS222" s="1147"/>
      <c r="AT222" s="1147"/>
      <c r="AU222" s="1147"/>
      <c r="AV222" s="1147"/>
      <c r="AW222" s="1147"/>
      <c r="AX222" s="1147"/>
      <c r="AY222" s="1147"/>
      <c r="AZ222" s="1147"/>
      <c r="BA222" s="1147"/>
      <c r="BB222" s="1147"/>
      <c r="BC222" s="1147"/>
      <c r="BD222" s="1147"/>
      <c r="BE222" s="1147"/>
      <c r="BF222" s="1147"/>
      <c r="BG222" s="1147"/>
      <c r="BH222" s="1147"/>
      <c r="BI222" s="1147"/>
      <c r="BJ222" s="1147"/>
      <c r="BK222" s="1147"/>
      <c r="BL222" s="1147"/>
      <c r="BM222" s="1147"/>
      <c r="BN222" s="1147"/>
      <c r="BO222" s="1147"/>
      <c r="BP222" s="1147"/>
      <c r="BQ222" s="1147"/>
      <c r="BR222" s="1147"/>
      <c r="BS222" s="1147"/>
      <c r="BT222" s="1147"/>
      <c r="BU222" s="1147"/>
      <c r="BV222" s="1147"/>
      <c r="BW222" s="1147"/>
      <c r="BX222" s="1147"/>
      <c r="BY222" s="1147"/>
      <c r="BZ222" s="1147"/>
      <c r="CA222" s="1147"/>
      <c r="CB222" s="1147"/>
      <c r="CC222" s="1147"/>
      <c r="CD222" s="1147"/>
      <c r="CE222" s="1147"/>
      <c r="CF222" s="1147"/>
      <c r="CG222" s="1147"/>
      <c r="CH222" s="1147"/>
      <c r="CI222" s="1147"/>
      <c r="CJ222" s="1147"/>
      <c r="CK222" s="1146"/>
    </row>
    <row r="223" spans="1:89" ht="15" x14ac:dyDescent="0.25">
      <c r="A223" s="1146"/>
      <c r="B223" s="1146"/>
      <c r="C223" s="1146"/>
      <c r="D223" s="1146"/>
      <c r="E223" s="1146"/>
      <c r="F223" s="1146"/>
      <c r="G223" s="1146"/>
      <c r="H223" s="1146"/>
      <c r="I223" s="1146"/>
      <c r="J223" s="1146"/>
      <c r="K223" s="1146"/>
      <c r="L223" s="1146"/>
      <c r="M223" s="1146"/>
      <c r="N223" s="1146"/>
      <c r="O223" s="1146"/>
      <c r="P223" s="1146"/>
      <c r="Q223" s="1146"/>
      <c r="R223" s="1146"/>
      <c r="S223" s="1146"/>
      <c r="T223" s="1147"/>
      <c r="U223" s="1147"/>
      <c r="V223" s="1147"/>
      <c r="W223" s="1147"/>
      <c r="X223" s="1147"/>
      <c r="Y223" s="1147"/>
      <c r="Z223" s="1147"/>
      <c r="AA223" s="1147"/>
      <c r="AB223" s="1147"/>
      <c r="AC223" s="1147"/>
      <c r="AD223" s="1147"/>
      <c r="AE223" s="1147"/>
      <c r="AF223" s="1147"/>
      <c r="AG223" s="1147"/>
      <c r="AH223" s="1147"/>
      <c r="AI223" s="1147"/>
      <c r="AJ223" s="1147"/>
      <c r="AK223" s="1147"/>
      <c r="AL223" s="1147"/>
      <c r="AM223" s="1147"/>
      <c r="AN223" s="1147"/>
      <c r="AO223" s="1147"/>
      <c r="AP223" s="1147"/>
      <c r="AQ223" s="1147"/>
      <c r="AR223" s="1147"/>
      <c r="AS223" s="1147"/>
      <c r="AT223" s="1147"/>
      <c r="AU223" s="1147"/>
      <c r="AV223" s="1147"/>
      <c r="AW223" s="1147"/>
      <c r="AX223" s="1147"/>
      <c r="AY223" s="1147"/>
      <c r="AZ223" s="1147"/>
      <c r="BA223" s="1147"/>
      <c r="BB223" s="1147"/>
      <c r="BC223" s="1147"/>
      <c r="BD223" s="1147"/>
      <c r="BE223" s="1147"/>
      <c r="BF223" s="1147"/>
      <c r="BG223" s="1147"/>
      <c r="BH223" s="1147"/>
      <c r="BI223" s="1147"/>
      <c r="BJ223" s="1147"/>
      <c r="BK223" s="1147"/>
      <c r="BL223" s="1147"/>
      <c r="BM223" s="1147"/>
      <c r="BN223" s="1147"/>
      <c r="BO223" s="1147"/>
      <c r="BP223" s="1147"/>
      <c r="BQ223" s="1147"/>
      <c r="BR223" s="1147"/>
      <c r="BS223" s="1147"/>
      <c r="BT223" s="1147"/>
      <c r="BU223" s="1147"/>
      <c r="BV223" s="1147"/>
      <c r="BW223" s="1147"/>
      <c r="BX223" s="1147"/>
      <c r="BY223" s="1147"/>
      <c r="BZ223" s="1147"/>
      <c r="CA223" s="1147"/>
      <c r="CB223" s="1147"/>
      <c r="CC223" s="1147"/>
      <c r="CD223" s="1147"/>
      <c r="CE223" s="1147"/>
      <c r="CF223" s="1147"/>
      <c r="CG223" s="1147"/>
      <c r="CH223" s="1147"/>
      <c r="CI223" s="1147"/>
      <c r="CJ223" s="1147"/>
      <c r="CK223" s="1146"/>
    </row>
    <row r="224" spans="1:89" ht="15" x14ac:dyDescent="0.25">
      <c r="A224" s="1146"/>
      <c r="B224" s="1146"/>
      <c r="C224" s="1146"/>
      <c r="D224" s="1146"/>
      <c r="E224" s="1146"/>
      <c r="F224" s="1146"/>
      <c r="G224" s="1146"/>
      <c r="H224" s="1146"/>
      <c r="I224" s="1146"/>
      <c r="J224" s="1146"/>
      <c r="K224" s="1146"/>
      <c r="L224" s="1146"/>
      <c r="M224" s="1146"/>
      <c r="N224" s="1146"/>
      <c r="O224" s="1146"/>
      <c r="P224" s="1146"/>
      <c r="Q224" s="1146"/>
      <c r="R224" s="1146"/>
      <c r="S224" s="1146"/>
      <c r="T224" s="1147"/>
      <c r="U224" s="1147"/>
      <c r="V224" s="1147"/>
      <c r="W224" s="1147"/>
      <c r="X224" s="1147"/>
      <c r="Y224" s="1147"/>
      <c r="Z224" s="1147"/>
      <c r="AA224" s="1147"/>
      <c r="AB224" s="1147"/>
      <c r="AC224" s="1147"/>
      <c r="AD224" s="1147"/>
      <c r="AE224" s="1147"/>
      <c r="AF224" s="1147"/>
      <c r="AG224" s="1147"/>
      <c r="AH224" s="1147"/>
      <c r="AI224" s="1147"/>
      <c r="AJ224" s="1147"/>
      <c r="AK224" s="1147"/>
      <c r="AL224" s="1147"/>
      <c r="AM224" s="1147"/>
      <c r="AN224" s="1147"/>
      <c r="AO224" s="1147"/>
      <c r="AP224" s="1147"/>
      <c r="AQ224" s="1147"/>
      <c r="AR224" s="1147"/>
      <c r="AS224" s="1147"/>
      <c r="AT224" s="1147"/>
      <c r="AU224" s="1147"/>
      <c r="AV224" s="1147"/>
      <c r="AW224" s="1147"/>
      <c r="AX224" s="1147"/>
      <c r="AY224" s="1147"/>
      <c r="AZ224" s="1147"/>
      <c r="BA224" s="1147"/>
      <c r="BB224" s="1147"/>
      <c r="BC224" s="1147"/>
      <c r="BD224" s="1147"/>
      <c r="BE224" s="1147"/>
      <c r="BF224" s="1147"/>
      <c r="BG224" s="1147"/>
      <c r="BH224" s="1147"/>
      <c r="BI224" s="1147"/>
      <c r="BJ224" s="1147"/>
      <c r="BK224" s="1147"/>
      <c r="BL224" s="1147"/>
      <c r="BM224" s="1147"/>
      <c r="BN224" s="1147"/>
      <c r="BO224" s="1147"/>
      <c r="BP224" s="1147"/>
      <c r="BQ224" s="1147"/>
      <c r="BR224" s="1147"/>
      <c r="BS224" s="1147"/>
      <c r="BT224" s="1147"/>
      <c r="BU224" s="1147"/>
      <c r="BV224" s="1147"/>
      <c r="BW224" s="1147"/>
      <c r="BX224" s="1147"/>
      <c r="BY224" s="1147"/>
      <c r="BZ224" s="1147"/>
      <c r="CA224" s="1147"/>
      <c r="CB224" s="1147"/>
      <c r="CC224" s="1147"/>
      <c r="CD224" s="1147"/>
      <c r="CE224" s="1147"/>
      <c r="CF224" s="1147"/>
      <c r="CG224" s="1147"/>
      <c r="CH224" s="1147"/>
      <c r="CI224" s="1147"/>
      <c r="CJ224" s="1147"/>
      <c r="CK224" s="1146"/>
    </row>
    <row r="225" spans="1:89" ht="15" x14ac:dyDescent="0.25">
      <c r="A225" s="1146"/>
      <c r="B225" s="1146"/>
      <c r="C225" s="1146"/>
      <c r="D225" s="1146"/>
      <c r="E225" s="1146"/>
      <c r="F225" s="1146"/>
      <c r="G225" s="1146"/>
      <c r="H225" s="1146"/>
      <c r="I225" s="1146"/>
      <c r="J225" s="1146"/>
      <c r="K225" s="1146"/>
      <c r="L225" s="1146"/>
      <c r="M225" s="1146"/>
      <c r="N225" s="1146"/>
      <c r="O225" s="1146"/>
      <c r="P225" s="1146"/>
      <c r="Q225" s="1146"/>
      <c r="R225" s="1146"/>
      <c r="S225" s="1146"/>
      <c r="T225" s="1147"/>
      <c r="U225" s="1147"/>
      <c r="V225" s="1147"/>
      <c r="W225" s="1147"/>
      <c r="X225" s="1147"/>
      <c r="Y225" s="1147"/>
      <c r="Z225" s="1147"/>
      <c r="AA225" s="1147"/>
      <c r="AB225" s="1147"/>
      <c r="AC225" s="1147"/>
      <c r="AD225" s="1147"/>
      <c r="AE225" s="1147"/>
      <c r="AF225" s="1147"/>
      <c r="AG225" s="1147"/>
      <c r="AH225" s="1147"/>
      <c r="AI225" s="1147"/>
      <c r="AJ225" s="1147"/>
      <c r="AK225" s="1147"/>
      <c r="AL225" s="1147"/>
      <c r="AM225" s="1147"/>
      <c r="AN225" s="1147"/>
      <c r="AO225" s="1147"/>
      <c r="AP225" s="1147"/>
      <c r="AQ225" s="1147"/>
      <c r="AR225" s="1147"/>
      <c r="AS225" s="1147"/>
      <c r="AT225" s="1147"/>
      <c r="AU225" s="1147"/>
      <c r="AV225" s="1147"/>
      <c r="AW225" s="1147"/>
      <c r="AX225" s="1147"/>
      <c r="AY225" s="1147"/>
      <c r="AZ225" s="1147"/>
      <c r="BA225" s="1147"/>
      <c r="BB225" s="1147"/>
      <c r="BC225" s="1147"/>
      <c r="BD225" s="1147"/>
      <c r="BE225" s="1147"/>
      <c r="BF225" s="1147"/>
      <c r="BG225" s="1147"/>
      <c r="BH225" s="1147"/>
      <c r="BI225" s="1147"/>
      <c r="BJ225" s="1147"/>
      <c r="BK225" s="1147"/>
      <c r="BL225" s="1147"/>
      <c r="BM225" s="1147"/>
      <c r="BN225" s="1147"/>
      <c r="BO225" s="1147"/>
      <c r="BP225" s="1147"/>
      <c r="BQ225" s="1147"/>
      <c r="BR225" s="1147"/>
      <c r="BS225" s="1147"/>
      <c r="BT225" s="1147"/>
      <c r="BU225" s="1147"/>
      <c r="BV225" s="1147"/>
      <c r="BW225" s="1147"/>
      <c r="BX225" s="1147"/>
      <c r="BY225" s="1147"/>
      <c r="BZ225" s="1147"/>
      <c r="CA225" s="1147"/>
      <c r="CB225" s="1147"/>
      <c r="CC225" s="1147"/>
      <c r="CD225" s="1147"/>
      <c r="CE225" s="1147"/>
      <c r="CF225" s="1147"/>
      <c r="CG225" s="1147"/>
      <c r="CH225" s="1147"/>
      <c r="CI225" s="1147"/>
      <c r="CJ225" s="1147"/>
      <c r="CK225" s="1146"/>
    </row>
    <row r="226" spans="1:89" ht="15" x14ac:dyDescent="0.25">
      <c r="A226" s="1146"/>
      <c r="B226" s="1146"/>
      <c r="C226" s="1146"/>
      <c r="D226" s="1146"/>
      <c r="E226" s="1146"/>
      <c r="F226" s="1146"/>
      <c r="G226" s="1146"/>
      <c r="H226" s="1146"/>
      <c r="I226" s="1146"/>
      <c r="J226" s="1146"/>
      <c r="K226" s="1146"/>
      <c r="L226" s="1146"/>
      <c r="M226" s="1146"/>
      <c r="N226" s="1146"/>
      <c r="O226" s="1146"/>
      <c r="P226" s="1146"/>
      <c r="Q226" s="1146"/>
      <c r="R226" s="1146"/>
      <c r="S226" s="1146"/>
      <c r="T226" s="1147"/>
      <c r="U226" s="1147"/>
      <c r="V226" s="1147"/>
      <c r="W226" s="1147"/>
      <c r="X226" s="1147"/>
      <c r="Y226" s="1147"/>
      <c r="Z226" s="1147"/>
      <c r="AA226" s="1147"/>
      <c r="AB226" s="1147"/>
      <c r="AC226" s="1147"/>
      <c r="AD226" s="1147"/>
      <c r="AE226" s="1147"/>
      <c r="AF226" s="1147"/>
      <c r="AG226" s="1147"/>
      <c r="AH226" s="1147"/>
      <c r="AI226" s="1147"/>
      <c r="AJ226" s="1147"/>
      <c r="AK226" s="1147"/>
      <c r="AL226" s="1147"/>
      <c r="AM226" s="1147"/>
      <c r="AN226" s="1147"/>
      <c r="AO226" s="1147"/>
      <c r="AP226" s="1147"/>
      <c r="AQ226" s="1147"/>
      <c r="AR226" s="1147"/>
      <c r="AS226" s="1147"/>
      <c r="AT226" s="1147"/>
      <c r="AU226" s="1147"/>
      <c r="AV226" s="1147"/>
      <c r="AW226" s="1147"/>
      <c r="AX226" s="1147"/>
      <c r="AY226" s="1147"/>
      <c r="AZ226" s="1147"/>
      <c r="BA226" s="1147"/>
      <c r="BB226" s="1147"/>
      <c r="BC226" s="1147"/>
      <c r="BD226" s="1147"/>
      <c r="BE226" s="1147"/>
      <c r="BF226" s="1147"/>
      <c r="BG226" s="1147"/>
      <c r="BH226" s="1147"/>
      <c r="BI226" s="1147"/>
      <c r="BJ226" s="1147"/>
      <c r="BK226" s="1147"/>
      <c r="BL226" s="1147"/>
      <c r="BM226" s="1147"/>
      <c r="BN226" s="1147"/>
      <c r="BO226" s="1147"/>
      <c r="BP226" s="1147"/>
      <c r="BQ226" s="1147"/>
      <c r="BR226" s="1147"/>
      <c r="BS226" s="1147"/>
      <c r="BT226" s="1147"/>
      <c r="BU226" s="1147"/>
      <c r="BV226" s="1147"/>
      <c r="BW226" s="1147"/>
      <c r="BX226" s="1147"/>
      <c r="BY226" s="1147"/>
      <c r="BZ226" s="1147"/>
      <c r="CA226" s="1147"/>
      <c r="CB226" s="1147"/>
      <c r="CC226" s="1147"/>
      <c r="CD226" s="1147"/>
      <c r="CE226" s="1147"/>
      <c r="CF226" s="1147"/>
      <c r="CG226" s="1147"/>
      <c r="CH226" s="1147"/>
      <c r="CI226" s="1147"/>
      <c r="CJ226" s="1147"/>
      <c r="CK226" s="1146"/>
    </row>
    <row r="227" spans="1:89" ht="15" x14ac:dyDescent="0.25">
      <c r="A227" s="1146"/>
      <c r="B227" s="1146"/>
      <c r="C227" s="1146"/>
      <c r="D227" s="1146"/>
      <c r="E227" s="1146"/>
      <c r="F227" s="1146"/>
      <c r="G227" s="1146"/>
      <c r="H227" s="1146"/>
      <c r="I227" s="1146"/>
      <c r="J227" s="1146"/>
      <c r="K227" s="1146"/>
      <c r="L227" s="1146"/>
      <c r="M227" s="1146"/>
      <c r="N227" s="1146"/>
      <c r="O227" s="1146"/>
      <c r="P227" s="1146"/>
      <c r="Q227" s="1146"/>
      <c r="R227" s="1146"/>
      <c r="S227" s="1146"/>
      <c r="T227" s="1147"/>
      <c r="U227" s="1147"/>
      <c r="V227" s="1147"/>
      <c r="W227" s="1147"/>
      <c r="X227" s="1147"/>
      <c r="Y227" s="1147"/>
      <c r="Z227" s="1147"/>
      <c r="AA227" s="1147"/>
      <c r="AB227" s="1147"/>
      <c r="AC227" s="1147"/>
      <c r="AD227" s="1147"/>
      <c r="AE227" s="1147"/>
      <c r="AF227" s="1147"/>
      <c r="AG227" s="1147"/>
      <c r="AH227" s="1147"/>
      <c r="AI227" s="1147"/>
      <c r="AJ227" s="1147"/>
      <c r="AK227" s="1147"/>
      <c r="AL227" s="1147"/>
      <c r="AM227" s="1147"/>
      <c r="AN227" s="1147"/>
      <c r="AO227" s="1147"/>
      <c r="AP227" s="1147"/>
      <c r="AQ227" s="1147"/>
      <c r="AR227" s="1147"/>
      <c r="AS227" s="1147"/>
      <c r="AT227" s="1147"/>
      <c r="AU227" s="1147"/>
      <c r="AV227" s="1147"/>
      <c r="AW227" s="1147"/>
      <c r="AX227" s="1147"/>
      <c r="AY227" s="1147"/>
      <c r="AZ227" s="1147"/>
      <c r="BA227" s="1147"/>
      <c r="BB227" s="1147"/>
      <c r="BC227" s="1147"/>
      <c r="BD227" s="1147"/>
      <c r="BE227" s="1147"/>
      <c r="BF227" s="1147"/>
      <c r="BG227" s="1147"/>
      <c r="BH227" s="1147"/>
      <c r="BI227" s="1147"/>
      <c r="BJ227" s="1147"/>
      <c r="BK227" s="1147"/>
      <c r="BL227" s="1147"/>
      <c r="BM227" s="1147"/>
      <c r="BN227" s="1147"/>
      <c r="BO227" s="1147"/>
      <c r="BP227" s="1147"/>
      <c r="BQ227" s="1147"/>
      <c r="BR227" s="1147"/>
      <c r="BS227" s="1147"/>
      <c r="BT227" s="1147"/>
      <c r="BU227" s="1147"/>
      <c r="BV227" s="1147"/>
      <c r="BW227" s="1147"/>
      <c r="BX227" s="1147"/>
      <c r="BY227" s="1147"/>
      <c r="BZ227" s="1147"/>
      <c r="CA227" s="1147"/>
      <c r="CB227" s="1147"/>
      <c r="CC227" s="1147"/>
      <c r="CD227" s="1147"/>
      <c r="CE227" s="1147"/>
      <c r="CF227" s="1147"/>
      <c r="CG227" s="1147"/>
      <c r="CH227" s="1147"/>
      <c r="CI227" s="1147"/>
      <c r="CJ227" s="1147"/>
      <c r="CK227" s="1146"/>
    </row>
    <row r="228" spans="1:89" ht="15" x14ac:dyDescent="0.25">
      <c r="A228" s="1146"/>
      <c r="B228" s="1146"/>
      <c r="C228" s="1146"/>
      <c r="D228" s="1146"/>
      <c r="E228" s="1146"/>
      <c r="F228" s="1146"/>
      <c r="G228" s="1146"/>
      <c r="H228" s="1146"/>
      <c r="I228" s="1146"/>
      <c r="J228" s="1146"/>
      <c r="K228" s="1146"/>
      <c r="L228" s="1146"/>
      <c r="M228" s="1146"/>
      <c r="N228" s="1146"/>
      <c r="O228" s="1146"/>
      <c r="P228" s="1146"/>
      <c r="Q228" s="1146"/>
      <c r="R228" s="1146"/>
      <c r="S228" s="1146"/>
      <c r="T228" s="1147"/>
      <c r="U228" s="1147"/>
      <c r="V228" s="1147"/>
      <c r="W228" s="1147"/>
      <c r="X228" s="1147"/>
      <c r="Y228" s="1147"/>
      <c r="Z228" s="1147"/>
      <c r="AA228" s="1147"/>
      <c r="AB228" s="1147"/>
      <c r="AC228" s="1147"/>
      <c r="AD228" s="1147"/>
      <c r="AE228" s="1147"/>
      <c r="AF228" s="1147"/>
      <c r="AG228" s="1147"/>
      <c r="AH228" s="1147"/>
      <c r="AI228" s="1147"/>
      <c r="AJ228" s="1147"/>
      <c r="AK228" s="1147"/>
      <c r="AL228" s="1147"/>
      <c r="AM228" s="1147"/>
      <c r="AN228" s="1147"/>
      <c r="AO228" s="1147"/>
      <c r="AP228" s="1147"/>
      <c r="AQ228" s="1147"/>
      <c r="AR228" s="1147"/>
      <c r="AS228" s="1147"/>
      <c r="AT228" s="1147"/>
      <c r="AU228" s="1147"/>
      <c r="AV228" s="1147"/>
      <c r="AW228" s="1147"/>
      <c r="AX228" s="1147"/>
      <c r="AY228" s="1147"/>
      <c r="AZ228" s="1147"/>
      <c r="BA228" s="1147"/>
      <c r="BB228" s="1147"/>
      <c r="BC228" s="1147"/>
      <c r="BD228" s="1147"/>
      <c r="BE228" s="1147"/>
      <c r="BF228" s="1147"/>
      <c r="BG228" s="1147"/>
      <c r="BH228" s="1147"/>
      <c r="BI228" s="1147"/>
      <c r="BJ228" s="1147"/>
      <c r="BK228" s="1147"/>
      <c r="BL228" s="1147"/>
      <c r="BM228" s="1147"/>
      <c r="BN228" s="1147"/>
      <c r="BO228" s="1147"/>
      <c r="BP228" s="1147"/>
      <c r="BQ228" s="1147"/>
      <c r="BR228" s="1147"/>
      <c r="BS228" s="1147"/>
      <c r="BT228" s="1147"/>
      <c r="BU228" s="1147"/>
      <c r="BV228" s="1147"/>
      <c r="BW228" s="1147"/>
      <c r="BX228" s="1147"/>
      <c r="BY228" s="1147"/>
      <c r="BZ228" s="1147"/>
      <c r="CA228" s="1147"/>
      <c r="CB228" s="1147"/>
      <c r="CC228" s="1147"/>
      <c r="CD228" s="1147"/>
      <c r="CE228" s="1147"/>
      <c r="CF228" s="1147"/>
      <c r="CG228" s="1147"/>
      <c r="CH228" s="1147"/>
      <c r="CI228" s="1147"/>
      <c r="CJ228" s="1147"/>
      <c r="CK228" s="1146"/>
    </row>
    <row r="229" spans="1:89" ht="15" x14ac:dyDescent="0.25">
      <c r="A229" s="1146"/>
      <c r="B229" s="1146"/>
      <c r="C229" s="1146"/>
      <c r="D229" s="1146"/>
      <c r="E229" s="1146"/>
      <c r="F229" s="1146"/>
      <c r="G229" s="1146"/>
      <c r="H229" s="1146"/>
      <c r="I229" s="1146"/>
      <c r="J229" s="1146"/>
      <c r="K229" s="1146"/>
      <c r="L229" s="1146"/>
      <c r="M229" s="1146"/>
      <c r="N229" s="1146"/>
      <c r="O229" s="1146"/>
      <c r="P229" s="1146"/>
      <c r="Q229" s="1146"/>
      <c r="R229" s="1146"/>
      <c r="S229" s="1146"/>
      <c r="T229" s="1147"/>
      <c r="U229" s="1147"/>
      <c r="V229" s="1147"/>
      <c r="W229" s="1147"/>
      <c r="X229" s="1147"/>
      <c r="Y229" s="1147"/>
      <c r="Z229" s="1147"/>
      <c r="AA229" s="1147"/>
      <c r="AB229" s="1147"/>
      <c r="AC229" s="1147"/>
      <c r="AD229" s="1147"/>
      <c r="AE229" s="1147"/>
      <c r="AF229" s="1147"/>
      <c r="AG229" s="1147"/>
      <c r="AH229" s="1147"/>
      <c r="AI229" s="1147"/>
      <c r="AJ229" s="1147"/>
      <c r="AK229" s="1147"/>
      <c r="AL229" s="1147"/>
      <c r="AM229" s="1147"/>
      <c r="AN229" s="1147"/>
      <c r="AO229" s="1147"/>
      <c r="AP229" s="1147"/>
      <c r="AQ229" s="1147"/>
      <c r="AR229" s="1147"/>
      <c r="AS229" s="1147"/>
      <c r="AT229" s="1147"/>
      <c r="AU229" s="1147"/>
      <c r="AV229" s="1147"/>
      <c r="AW229" s="1147"/>
      <c r="AX229" s="1147"/>
      <c r="AY229" s="1147"/>
      <c r="AZ229" s="1147"/>
      <c r="BA229" s="1147"/>
      <c r="BB229" s="1147"/>
      <c r="BC229" s="1147"/>
      <c r="BD229" s="1147"/>
      <c r="BE229" s="1147"/>
      <c r="BF229" s="1147"/>
      <c r="BG229" s="1147"/>
      <c r="BH229" s="1147"/>
      <c r="BI229" s="1147"/>
      <c r="BJ229" s="1147"/>
      <c r="BK229" s="1147"/>
      <c r="BL229" s="1147"/>
      <c r="BM229" s="1147"/>
      <c r="BN229" s="1147"/>
      <c r="BO229" s="1147"/>
      <c r="BP229" s="1147"/>
      <c r="BQ229" s="1147"/>
      <c r="BR229" s="1147"/>
      <c r="BS229" s="1147"/>
      <c r="BT229" s="1147"/>
      <c r="BU229" s="1147"/>
      <c r="BV229" s="1147"/>
      <c r="BW229" s="1147"/>
      <c r="BX229" s="1147"/>
      <c r="BY229" s="1147"/>
      <c r="BZ229" s="1147"/>
      <c r="CA229" s="1147"/>
      <c r="CB229" s="1147"/>
      <c r="CC229" s="1147"/>
      <c r="CD229" s="1147"/>
      <c r="CE229" s="1147"/>
      <c r="CF229" s="1147"/>
      <c r="CG229" s="1147"/>
      <c r="CH229" s="1147"/>
      <c r="CI229" s="1147"/>
      <c r="CJ229" s="1147"/>
      <c r="CK229" s="1146"/>
    </row>
    <row r="230" spans="1:89" ht="15" x14ac:dyDescent="0.25">
      <c r="A230" s="1146"/>
      <c r="B230" s="1146"/>
      <c r="C230" s="1146"/>
      <c r="D230" s="1146"/>
      <c r="E230" s="1146"/>
      <c r="F230" s="1146"/>
      <c r="G230" s="1146"/>
      <c r="H230" s="1146"/>
      <c r="I230" s="1146"/>
      <c r="J230" s="1146"/>
      <c r="K230" s="1146"/>
      <c r="L230" s="1146"/>
      <c r="M230" s="1146"/>
      <c r="N230" s="1146"/>
      <c r="O230" s="1146"/>
      <c r="P230" s="1146"/>
      <c r="Q230" s="1146"/>
      <c r="R230" s="1146"/>
      <c r="S230" s="1146"/>
      <c r="T230" s="1147"/>
      <c r="U230" s="1147"/>
      <c r="V230" s="1147"/>
      <c r="W230" s="1147"/>
      <c r="X230" s="1147"/>
      <c r="Y230" s="1147"/>
      <c r="Z230" s="1147"/>
      <c r="AA230" s="1147"/>
      <c r="AB230" s="1147"/>
      <c r="AC230" s="1147"/>
      <c r="AD230" s="1147"/>
      <c r="AE230" s="1147"/>
      <c r="AF230" s="1147"/>
      <c r="AG230" s="1147"/>
      <c r="AH230" s="1147"/>
      <c r="AI230" s="1147"/>
      <c r="AJ230" s="1147"/>
      <c r="AK230" s="1147"/>
      <c r="AL230" s="1147"/>
      <c r="AM230" s="1147"/>
      <c r="AN230" s="1147"/>
      <c r="AO230" s="1147"/>
      <c r="AP230" s="1147"/>
      <c r="AQ230" s="1147"/>
      <c r="AR230" s="1147"/>
      <c r="AS230" s="1147"/>
      <c r="AT230" s="1147"/>
      <c r="AU230" s="1147"/>
      <c r="AV230" s="1147"/>
      <c r="AW230" s="1147"/>
      <c r="AX230" s="1147"/>
      <c r="AY230" s="1147"/>
      <c r="AZ230" s="1147"/>
      <c r="BA230" s="1147"/>
      <c r="BB230" s="1147"/>
      <c r="BC230" s="1147"/>
      <c r="BD230" s="1147"/>
      <c r="BE230" s="1147"/>
      <c r="BF230" s="1147"/>
      <c r="BG230" s="1147"/>
      <c r="BH230" s="1147"/>
      <c r="BI230" s="1147"/>
      <c r="BJ230" s="1147"/>
      <c r="BK230" s="1147"/>
      <c r="BL230" s="1147"/>
      <c r="BM230" s="1147"/>
      <c r="BN230" s="1147"/>
      <c r="BO230" s="1147"/>
      <c r="BP230" s="1147"/>
      <c r="BQ230" s="1147"/>
      <c r="BR230" s="1147"/>
      <c r="BS230" s="1147"/>
      <c r="BT230" s="1147"/>
      <c r="BU230" s="1147"/>
      <c r="BV230" s="1147"/>
      <c r="BW230" s="1147"/>
      <c r="BX230" s="1147"/>
      <c r="BY230" s="1147"/>
      <c r="BZ230" s="1147"/>
      <c r="CA230" s="1147"/>
      <c r="CB230" s="1147"/>
      <c r="CC230" s="1147"/>
      <c r="CD230" s="1147"/>
      <c r="CE230" s="1147"/>
      <c r="CF230" s="1147"/>
      <c r="CG230" s="1147"/>
      <c r="CH230" s="1147"/>
      <c r="CI230" s="1147"/>
      <c r="CJ230" s="1147"/>
      <c r="CK230" s="1146"/>
    </row>
    <row r="231" spans="1:89" ht="15" x14ac:dyDescent="0.25">
      <c r="A231" s="1146"/>
      <c r="B231" s="1146"/>
      <c r="C231" s="1146"/>
      <c r="D231" s="1146"/>
      <c r="E231" s="1146"/>
      <c r="F231" s="1146"/>
      <c r="G231" s="1146"/>
      <c r="H231" s="1146"/>
      <c r="I231" s="1146"/>
      <c r="J231" s="1146"/>
      <c r="K231" s="1146"/>
      <c r="L231" s="1146"/>
      <c r="M231" s="1146"/>
      <c r="N231" s="1146"/>
      <c r="O231" s="1146"/>
      <c r="P231" s="1146"/>
      <c r="Q231" s="1146"/>
      <c r="R231" s="1146"/>
      <c r="S231" s="1146"/>
      <c r="T231" s="1147"/>
      <c r="U231" s="1147"/>
      <c r="V231" s="1147"/>
      <c r="W231" s="1147"/>
      <c r="X231" s="1147"/>
      <c r="Y231" s="1147"/>
      <c r="Z231" s="1147"/>
      <c r="AA231" s="1147"/>
      <c r="AB231" s="1147"/>
      <c r="AC231" s="1147"/>
      <c r="AD231" s="1147"/>
      <c r="AE231" s="1147"/>
      <c r="AF231" s="1147"/>
      <c r="AG231" s="1147"/>
      <c r="AH231" s="1147"/>
      <c r="AI231" s="1147"/>
      <c r="AJ231" s="1147"/>
      <c r="AK231" s="1147"/>
      <c r="AL231" s="1147"/>
      <c r="AM231" s="1147"/>
      <c r="AN231" s="1147"/>
      <c r="AO231" s="1147"/>
      <c r="AP231" s="1147"/>
      <c r="AQ231" s="1147"/>
      <c r="AR231" s="1147"/>
      <c r="AS231" s="1147"/>
      <c r="AT231" s="1147"/>
      <c r="AU231" s="1147"/>
      <c r="AV231" s="1147"/>
      <c r="AW231" s="1147"/>
      <c r="AX231" s="1147"/>
      <c r="AY231" s="1147"/>
      <c r="AZ231" s="1147"/>
      <c r="BA231" s="1147"/>
      <c r="BB231" s="1147"/>
      <c r="BC231" s="1147"/>
      <c r="BD231" s="1147"/>
      <c r="BE231" s="1147"/>
      <c r="BF231" s="1147"/>
      <c r="BG231" s="1147"/>
      <c r="BH231" s="1147"/>
      <c r="BI231" s="1147"/>
      <c r="BJ231" s="1147"/>
      <c r="BK231" s="1147"/>
      <c r="BL231" s="1147"/>
      <c r="BM231" s="1147"/>
      <c r="BN231" s="1147"/>
      <c r="BO231" s="1147"/>
      <c r="BP231" s="1147"/>
      <c r="BQ231" s="1147"/>
      <c r="BR231" s="1147"/>
      <c r="BS231" s="1147"/>
      <c r="BT231" s="1147"/>
      <c r="BU231" s="1147"/>
      <c r="BV231" s="1147"/>
      <c r="BW231" s="1147"/>
      <c r="BX231" s="1147"/>
      <c r="BY231" s="1147"/>
      <c r="BZ231" s="1147"/>
      <c r="CA231" s="1147"/>
      <c r="CB231" s="1147"/>
      <c r="CC231" s="1147"/>
      <c r="CD231" s="1147"/>
      <c r="CE231" s="1147"/>
      <c r="CF231" s="1147"/>
      <c r="CG231" s="1147"/>
      <c r="CH231" s="1147"/>
      <c r="CI231" s="1147"/>
      <c r="CJ231" s="1147"/>
      <c r="CK231" s="1146"/>
    </row>
    <row r="232" spans="1:89" ht="15" x14ac:dyDescent="0.25">
      <c r="A232" s="1146"/>
      <c r="B232" s="1146"/>
      <c r="C232" s="1146"/>
      <c r="D232" s="1146"/>
      <c r="E232" s="1146"/>
      <c r="F232" s="1146"/>
      <c r="G232" s="1146"/>
      <c r="H232" s="1146"/>
      <c r="I232" s="1146"/>
      <c r="J232" s="1146"/>
      <c r="K232" s="1146"/>
      <c r="L232" s="1146"/>
      <c r="M232" s="1146"/>
      <c r="N232" s="1146"/>
      <c r="O232" s="1146"/>
      <c r="P232" s="1146"/>
      <c r="Q232" s="1146"/>
      <c r="R232" s="1146"/>
      <c r="S232" s="1146"/>
      <c r="T232" s="1147"/>
      <c r="U232" s="1147"/>
      <c r="V232" s="1147"/>
      <c r="W232" s="1147"/>
      <c r="X232" s="1147"/>
      <c r="Y232" s="1147"/>
      <c r="Z232" s="1147"/>
      <c r="AA232" s="1147"/>
      <c r="AB232" s="1147"/>
      <c r="AC232" s="1147"/>
      <c r="AD232" s="1147"/>
      <c r="AE232" s="1147"/>
      <c r="AF232" s="1147"/>
      <c r="AG232" s="1147"/>
      <c r="AH232" s="1147"/>
      <c r="AI232" s="1147"/>
      <c r="AJ232" s="1147"/>
      <c r="AK232" s="1147"/>
      <c r="AL232" s="1147"/>
      <c r="AM232" s="1147"/>
      <c r="AN232" s="1147"/>
      <c r="AO232" s="1147"/>
      <c r="AP232" s="1147"/>
      <c r="AQ232" s="1147"/>
      <c r="AR232" s="1147"/>
      <c r="AS232" s="1147"/>
      <c r="AT232" s="1147"/>
      <c r="AU232" s="1147"/>
      <c r="AV232" s="1147"/>
      <c r="AW232" s="1147"/>
      <c r="AX232" s="1147"/>
      <c r="AY232" s="1147"/>
      <c r="AZ232" s="1147"/>
      <c r="BA232" s="1147"/>
      <c r="BB232" s="1147"/>
      <c r="BC232" s="1147"/>
      <c r="BD232" s="1147"/>
      <c r="BE232" s="1147"/>
      <c r="BF232" s="1147"/>
      <c r="BG232" s="1147"/>
      <c r="BH232" s="1147"/>
      <c r="BI232" s="1147"/>
      <c r="BJ232" s="1147"/>
      <c r="BK232" s="1147"/>
      <c r="BL232" s="1147"/>
      <c r="BM232" s="1147"/>
      <c r="BN232" s="1147"/>
      <c r="BO232" s="1147"/>
      <c r="BP232" s="1147"/>
      <c r="BQ232" s="1147"/>
      <c r="BR232" s="1147"/>
      <c r="BS232" s="1147"/>
      <c r="BT232" s="1147"/>
      <c r="BU232" s="1147"/>
      <c r="BV232" s="1147"/>
      <c r="BW232" s="1147"/>
      <c r="BX232" s="1147"/>
      <c r="BY232" s="1147"/>
      <c r="BZ232" s="1147"/>
      <c r="CA232" s="1147"/>
      <c r="CB232" s="1147"/>
      <c r="CC232" s="1147"/>
      <c r="CD232" s="1147"/>
      <c r="CE232" s="1147"/>
      <c r="CF232" s="1147"/>
      <c r="CG232" s="1147"/>
      <c r="CH232" s="1147"/>
      <c r="CI232" s="1147"/>
      <c r="CJ232" s="1147"/>
      <c r="CK232" s="1146"/>
    </row>
    <row r="233" spans="1:89" ht="15" x14ac:dyDescent="0.25">
      <c r="A233" s="1146"/>
      <c r="B233" s="1146"/>
      <c r="C233" s="1146"/>
      <c r="D233" s="1146"/>
      <c r="E233" s="1146"/>
      <c r="F233" s="1146"/>
      <c r="G233" s="1146"/>
      <c r="H233" s="1146"/>
      <c r="I233" s="1146"/>
      <c r="J233" s="1146"/>
      <c r="K233" s="1146"/>
      <c r="L233" s="1146"/>
      <c r="M233" s="1146"/>
      <c r="N233" s="1146"/>
      <c r="O233" s="1146"/>
      <c r="P233" s="1146"/>
      <c r="Q233" s="1146"/>
      <c r="R233" s="1146"/>
      <c r="S233" s="1146"/>
      <c r="T233" s="1147"/>
      <c r="U233" s="1147"/>
      <c r="V233" s="1147"/>
      <c r="W233" s="1147"/>
      <c r="X233" s="1147"/>
      <c r="Y233" s="1147"/>
      <c r="Z233" s="1147"/>
      <c r="AA233" s="1147"/>
      <c r="AB233" s="1147"/>
      <c r="AC233" s="1147"/>
      <c r="AD233" s="1147"/>
      <c r="AE233" s="1147"/>
      <c r="AF233" s="1147"/>
      <c r="AG233" s="1147"/>
      <c r="AH233" s="1147"/>
      <c r="AI233" s="1147"/>
      <c r="AJ233" s="1147"/>
      <c r="AK233" s="1147"/>
      <c r="AL233" s="1147"/>
      <c r="AM233" s="1147"/>
      <c r="AN233" s="1147"/>
      <c r="AO233" s="1147"/>
      <c r="AP233" s="1147"/>
      <c r="AQ233" s="1147"/>
      <c r="AR233" s="1147"/>
      <c r="AS233" s="1147"/>
      <c r="AT233" s="1147"/>
      <c r="AU233" s="1147"/>
      <c r="AV233" s="1147"/>
      <c r="AW233" s="1147"/>
      <c r="AX233" s="1147"/>
      <c r="AY233" s="1147"/>
      <c r="AZ233" s="1147"/>
      <c r="BA233" s="1147"/>
      <c r="BB233" s="1147"/>
      <c r="BC233" s="1147"/>
      <c r="BD233" s="1147"/>
      <c r="BE233" s="1147"/>
      <c r="BF233" s="1147"/>
      <c r="BG233" s="1147"/>
      <c r="BH233" s="1147"/>
      <c r="BI233" s="1147"/>
      <c r="BJ233" s="1147"/>
      <c r="BK233" s="1147"/>
      <c r="BL233" s="1147"/>
      <c r="BM233" s="1147"/>
      <c r="BN233" s="1147"/>
      <c r="BO233" s="1147"/>
      <c r="BP233" s="1147"/>
      <c r="BQ233" s="1147"/>
      <c r="BR233" s="1147"/>
      <c r="BS233" s="1147"/>
      <c r="BT233" s="1147"/>
      <c r="BU233" s="1147"/>
      <c r="BV233" s="1147"/>
      <c r="BW233" s="1147"/>
      <c r="BX233" s="1147"/>
      <c r="BY233" s="1147"/>
      <c r="BZ233" s="1147"/>
      <c r="CA233" s="1147"/>
      <c r="CB233" s="1147"/>
      <c r="CC233" s="1147"/>
      <c r="CD233" s="1147"/>
      <c r="CE233" s="1147"/>
      <c r="CF233" s="1147"/>
      <c r="CG233" s="1147"/>
      <c r="CH233" s="1147"/>
      <c r="CI233" s="1147"/>
      <c r="CJ233" s="1147"/>
      <c r="CK233" s="1146"/>
    </row>
    <row r="234" spans="1:89" ht="15" x14ac:dyDescent="0.25">
      <c r="A234" s="1146"/>
      <c r="B234" s="1146"/>
      <c r="C234" s="1146"/>
      <c r="D234" s="1146"/>
      <c r="E234" s="1146"/>
      <c r="F234" s="1146"/>
      <c r="G234" s="1146"/>
      <c r="H234" s="1146"/>
      <c r="I234" s="1146"/>
      <c r="J234" s="1146"/>
      <c r="K234" s="1146"/>
      <c r="L234" s="1146"/>
      <c r="M234" s="1146"/>
      <c r="N234" s="1146"/>
      <c r="O234" s="1146"/>
      <c r="P234" s="1146"/>
      <c r="Q234" s="1146"/>
      <c r="R234" s="1146"/>
      <c r="S234" s="1146"/>
      <c r="T234" s="1147"/>
      <c r="U234" s="1147"/>
      <c r="V234" s="1147"/>
      <c r="W234" s="1147"/>
      <c r="X234" s="1147"/>
      <c r="Y234" s="1147"/>
      <c r="Z234" s="1147"/>
      <c r="AA234" s="1147"/>
      <c r="AB234" s="1147"/>
      <c r="AC234" s="1147"/>
      <c r="AD234" s="1147"/>
      <c r="AE234" s="1147"/>
      <c r="AF234" s="1147"/>
      <c r="AG234" s="1147"/>
      <c r="AH234" s="1147"/>
      <c r="AI234" s="1147"/>
      <c r="AJ234" s="1147"/>
      <c r="AK234" s="1147"/>
      <c r="AL234" s="1147"/>
      <c r="AM234" s="1147"/>
      <c r="AN234" s="1147"/>
      <c r="AO234" s="1147"/>
      <c r="AP234" s="1147"/>
      <c r="AQ234" s="1147"/>
      <c r="AR234" s="1147"/>
      <c r="AS234" s="1147"/>
      <c r="AT234" s="1147"/>
      <c r="AU234" s="1147"/>
      <c r="AV234" s="1147"/>
      <c r="AW234" s="1147"/>
      <c r="AX234" s="1147"/>
      <c r="AY234" s="1147"/>
      <c r="AZ234" s="1147"/>
      <c r="BA234" s="1147"/>
      <c r="BB234" s="1147"/>
      <c r="BC234" s="1147"/>
      <c r="BD234" s="1147"/>
      <c r="BE234" s="1147"/>
      <c r="BF234" s="1147"/>
      <c r="BG234" s="1147"/>
      <c r="BH234" s="1147"/>
      <c r="BI234" s="1147"/>
      <c r="BJ234" s="1147"/>
      <c r="BK234" s="1147"/>
      <c r="BL234" s="1147"/>
      <c r="BM234" s="1147"/>
      <c r="BN234" s="1147"/>
      <c r="BO234" s="1147"/>
      <c r="BP234" s="1147"/>
      <c r="BQ234" s="1147"/>
      <c r="BR234" s="1147"/>
      <c r="BS234" s="1147"/>
      <c r="BT234" s="1147"/>
      <c r="BU234" s="1147"/>
      <c r="BV234" s="1147"/>
      <c r="BW234" s="1147"/>
      <c r="BX234" s="1147"/>
      <c r="BY234" s="1147"/>
      <c r="BZ234" s="1147"/>
      <c r="CA234" s="1147"/>
      <c r="CB234" s="1147"/>
      <c r="CC234" s="1147"/>
      <c r="CD234" s="1147"/>
      <c r="CE234" s="1147"/>
      <c r="CF234" s="1147"/>
      <c r="CG234" s="1147"/>
      <c r="CH234" s="1147"/>
      <c r="CI234" s="1147"/>
      <c r="CJ234" s="1147"/>
      <c r="CK234" s="1146"/>
    </row>
    <row r="235" spans="1:89" ht="15" x14ac:dyDescent="0.25">
      <c r="A235" s="1146"/>
      <c r="B235" s="1146"/>
      <c r="C235" s="1146"/>
      <c r="D235" s="1146"/>
      <c r="E235" s="1146"/>
      <c r="F235" s="1146"/>
      <c r="G235" s="1146"/>
      <c r="H235" s="1146"/>
      <c r="I235" s="1146"/>
      <c r="J235" s="1146"/>
      <c r="K235" s="1146"/>
      <c r="L235" s="1146"/>
      <c r="M235" s="1146"/>
      <c r="N235" s="1146"/>
      <c r="O235" s="1146"/>
      <c r="P235" s="1146"/>
      <c r="Q235" s="1146"/>
      <c r="R235" s="1146"/>
      <c r="S235" s="1146"/>
      <c r="T235" s="1147"/>
      <c r="U235" s="1147"/>
      <c r="V235" s="1147"/>
      <c r="W235" s="1147"/>
      <c r="X235" s="1147"/>
      <c r="Y235" s="1147"/>
      <c r="Z235" s="1147"/>
      <c r="AA235" s="1147"/>
      <c r="AB235" s="1147"/>
      <c r="AC235" s="1147"/>
      <c r="AD235" s="1147"/>
      <c r="AE235" s="1147"/>
      <c r="AF235" s="1147"/>
      <c r="AG235" s="1147"/>
      <c r="AH235" s="1147"/>
      <c r="AI235" s="1147"/>
      <c r="AJ235" s="1147"/>
      <c r="AK235" s="1147"/>
      <c r="AL235" s="1147"/>
      <c r="AM235" s="1147"/>
      <c r="AN235" s="1147"/>
      <c r="AO235" s="1147"/>
      <c r="AP235" s="1147"/>
      <c r="AQ235" s="1147"/>
      <c r="AR235" s="1147"/>
      <c r="AS235" s="1147"/>
      <c r="AT235" s="1147"/>
      <c r="AU235" s="1147"/>
      <c r="AV235" s="1147"/>
      <c r="AW235" s="1147"/>
      <c r="AX235" s="1147"/>
      <c r="AY235" s="1147"/>
      <c r="AZ235" s="1147"/>
      <c r="BA235" s="1147"/>
      <c r="BB235" s="1147"/>
      <c r="BC235" s="1147"/>
      <c r="BD235" s="1147"/>
      <c r="BE235" s="1147"/>
      <c r="BF235" s="1147"/>
      <c r="BG235" s="1147"/>
      <c r="BH235" s="1147"/>
      <c r="BI235" s="1147"/>
      <c r="BJ235" s="1147"/>
      <c r="BK235" s="1147"/>
      <c r="BL235" s="1147"/>
      <c r="BM235" s="1147"/>
      <c r="BN235" s="1147"/>
      <c r="BO235" s="1147"/>
      <c r="BP235" s="1147"/>
      <c r="BQ235" s="1147"/>
      <c r="BR235" s="1147"/>
      <c r="BS235" s="1147"/>
      <c r="BT235" s="1147"/>
      <c r="BU235" s="1147"/>
      <c r="BV235" s="1147"/>
      <c r="BW235" s="1147"/>
      <c r="BX235" s="1147"/>
      <c r="BY235" s="1147"/>
      <c r="BZ235" s="1147"/>
      <c r="CA235" s="1147"/>
      <c r="CB235" s="1147"/>
      <c r="CC235" s="1147"/>
      <c r="CD235" s="1147"/>
      <c r="CE235" s="1147"/>
      <c r="CF235" s="1147"/>
      <c r="CG235" s="1147"/>
      <c r="CH235" s="1147"/>
      <c r="CI235" s="1147"/>
      <c r="CJ235" s="1147"/>
      <c r="CK235" s="1146"/>
    </row>
    <row r="236" spans="1:89" ht="15" x14ac:dyDescent="0.25">
      <c r="A236" s="1146"/>
      <c r="B236" s="1146"/>
      <c r="C236" s="1146"/>
      <c r="D236" s="1146"/>
      <c r="E236" s="1146"/>
      <c r="F236" s="1146"/>
      <c r="G236" s="1146"/>
      <c r="H236" s="1146"/>
      <c r="I236" s="1146"/>
      <c r="J236" s="1146"/>
      <c r="K236" s="1146"/>
      <c r="L236" s="1146"/>
      <c r="M236" s="1146"/>
      <c r="N236" s="1146"/>
      <c r="O236" s="1146"/>
      <c r="P236" s="1146"/>
      <c r="Q236" s="1146"/>
      <c r="R236" s="1146"/>
      <c r="S236" s="1146"/>
      <c r="T236" s="1147"/>
      <c r="U236" s="1147"/>
      <c r="V236" s="1147"/>
      <c r="W236" s="1147"/>
      <c r="X236" s="1147"/>
      <c r="Y236" s="1147"/>
      <c r="Z236" s="1147"/>
      <c r="AA236" s="1147"/>
      <c r="AB236" s="1147"/>
      <c r="AC236" s="1147"/>
      <c r="AD236" s="1147"/>
      <c r="AE236" s="1147"/>
      <c r="AF236" s="1147"/>
      <c r="AG236" s="1147"/>
      <c r="AH236" s="1147"/>
      <c r="AI236" s="1147"/>
      <c r="AJ236" s="1147"/>
      <c r="AK236" s="1147"/>
      <c r="AL236" s="1147"/>
      <c r="AM236" s="1147"/>
      <c r="AN236" s="1147"/>
      <c r="AO236" s="1147"/>
      <c r="AP236" s="1147"/>
      <c r="AQ236" s="1147"/>
      <c r="AR236" s="1147"/>
      <c r="AS236" s="1147"/>
      <c r="AT236" s="1147"/>
      <c r="AU236" s="1147"/>
      <c r="AV236" s="1147"/>
      <c r="AW236" s="1147"/>
      <c r="AX236" s="1147"/>
      <c r="AY236" s="1147"/>
      <c r="AZ236" s="1147"/>
      <c r="BA236" s="1147"/>
      <c r="BB236" s="1147"/>
      <c r="BC236" s="1147"/>
      <c r="BD236" s="1147"/>
      <c r="BE236" s="1147"/>
      <c r="BF236" s="1147"/>
      <c r="BG236" s="1147"/>
      <c r="BH236" s="1147"/>
      <c r="BI236" s="1147"/>
      <c r="BJ236" s="1147"/>
      <c r="BK236" s="1147"/>
      <c r="BL236" s="1147"/>
      <c r="BM236" s="1147"/>
      <c r="BN236" s="1147"/>
      <c r="BO236" s="1147"/>
      <c r="BP236" s="1147"/>
      <c r="BQ236" s="1147"/>
      <c r="BR236" s="1147"/>
      <c r="BS236" s="1147"/>
      <c r="BT236" s="1147"/>
      <c r="BU236" s="1147"/>
      <c r="BV236" s="1147"/>
      <c r="BW236" s="1147"/>
      <c r="BX236" s="1147"/>
      <c r="BY236" s="1147"/>
      <c r="BZ236" s="1147"/>
      <c r="CA236" s="1147"/>
      <c r="CB236" s="1147"/>
      <c r="CC236" s="1147"/>
      <c r="CD236" s="1147"/>
      <c r="CE236" s="1147"/>
      <c r="CF236" s="1147"/>
      <c r="CG236" s="1147"/>
      <c r="CH236" s="1147"/>
      <c r="CI236" s="1147"/>
      <c r="CJ236" s="1147"/>
      <c r="CK236" s="1146"/>
    </row>
    <row r="237" spans="1:89" ht="15" x14ac:dyDescent="0.25">
      <c r="A237" s="1146"/>
      <c r="B237" s="1146"/>
      <c r="C237" s="1146"/>
      <c r="D237" s="1146"/>
      <c r="E237" s="1146"/>
      <c r="F237" s="1146"/>
      <c r="G237" s="1146"/>
      <c r="H237" s="1146"/>
      <c r="I237" s="1146"/>
      <c r="J237" s="1146"/>
      <c r="K237" s="1146"/>
      <c r="L237" s="1146"/>
      <c r="M237" s="1146"/>
      <c r="N237" s="1146"/>
      <c r="O237" s="1146"/>
      <c r="P237" s="1146"/>
      <c r="Q237" s="1146"/>
      <c r="R237" s="1146"/>
      <c r="S237" s="1146"/>
      <c r="T237" s="1147"/>
      <c r="U237" s="1147"/>
      <c r="V237" s="1147"/>
      <c r="W237" s="1147"/>
      <c r="X237" s="1147"/>
      <c r="Y237" s="1147"/>
      <c r="Z237" s="1147"/>
      <c r="AA237" s="1147"/>
      <c r="AB237" s="1147"/>
      <c r="AC237" s="1147"/>
      <c r="AD237" s="1147"/>
      <c r="AE237" s="1147"/>
      <c r="AF237" s="1147"/>
      <c r="AG237" s="1147"/>
      <c r="AH237" s="1147"/>
      <c r="AI237" s="1147"/>
      <c r="AJ237" s="1147"/>
      <c r="AK237" s="1147"/>
      <c r="AL237" s="1147"/>
      <c r="AM237" s="1147"/>
      <c r="AN237" s="1147"/>
      <c r="AO237" s="1147"/>
      <c r="AP237" s="1147"/>
      <c r="AQ237" s="1147"/>
      <c r="AR237" s="1147"/>
      <c r="AS237" s="1147"/>
      <c r="AT237" s="1147"/>
      <c r="AU237" s="1147"/>
      <c r="AV237" s="1147"/>
      <c r="AW237" s="1147"/>
      <c r="AX237" s="1147"/>
      <c r="AY237" s="1147"/>
      <c r="AZ237" s="1147"/>
      <c r="BA237" s="1147"/>
      <c r="BB237" s="1147"/>
      <c r="BC237" s="1147"/>
      <c r="BD237" s="1147"/>
      <c r="BE237" s="1147"/>
      <c r="BF237" s="1147"/>
      <c r="BG237" s="1147"/>
      <c r="BH237" s="1147"/>
      <c r="BI237" s="1147"/>
      <c r="BJ237" s="1147"/>
      <c r="BK237" s="1147"/>
      <c r="BL237" s="1147"/>
      <c r="BM237" s="1147"/>
      <c r="BN237" s="1147"/>
      <c r="BO237" s="1147"/>
      <c r="BP237" s="1147"/>
      <c r="BQ237" s="1147"/>
      <c r="BR237" s="1147"/>
      <c r="BS237" s="1147"/>
      <c r="BT237" s="1147"/>
      <c r="BU237" s="1147"/>
      <c r="BV237" s="1147"/>
      <c r="BW237" s="1147"/>
      <c r="BX237" s="1147"/>
      <c r="BY237" s="1147"/>
      <c r="BZ237" s="1147"/>
      <c r="CA237" s="1147"/>
      <c r="CB237" s="1147"/>
      <c r="CC237" s="1147"/>
      <c r="CD237" s="1147"/>
      <c r="CE237" s="1147"/>
      <c r="CF237" s="1147"/>
      <c r="CG237" s="1147"/>
      <c r="CH237" s="1147"/>
      <c r="CI237" s="1147"/>
      <c r="CJ237" s="1147"/>
      <c r="CK237" s="1146"/>
    </row>
    <row r="238" spans="1:89" ht="15" x14ac:dyDescent="0.25">
      <c r="A238" s="1146"/>
      <c r="B238" s="1146"/>
      <c r="C238" s="1146"/>
      <c r="D238" s="1146"/>
      <c r="E238" s="1146"/>
      <c r="F238" s="1146"/>
      <c r="G238" s="1146"/>
      <c r="H238" s="1146"/>
      <c r="I238" s="1146"/>
      <c r="J238" s="1146"/>
      <c r="K238" s="1146"/>
      <c r="L238" s="1146"/>
      <c r="M238" s="1146"/>
      <c r="N238" s="1146"/>
      <c r="O238" s="1146"/>
      <c r="P238" s="1146"/>
      <c r="Q238" s="1146"/>
      <c r="R238" s="1146"/>
      <c r="S238" s="1146"/>
      <c r="T238" s="1147"/>
      <c r="U238" s="1147"/>
      <c r="V238" s="1147"/>
      <c r="W238" s="1147"/>
      <c r="X238" s="1147"/>
      <c r="Y238" s="1147"/>
      <c r="Z238" s="1147"/>
      <c r="AA238" s="1147"/>
      <c r="AB238" s="1147"/>
      <c r="AC238" s="1147"/>
      <c r="AD238" s="1147"/>
      <c r="AE238" s="1147"/>
      <c r="AF238" s="1147"/>
      <c r="AG238" s="1147"/>
      <c r="AH238" s="1147"/>
      <c r="AI238" s="1147"/>
      <c r="AJ238" s="1147"/>
      <c r="AK238" s="1147"/>
      <c r="AL238" s="1147"/>
      <c r="AM238" s="1147"/>
      <c r="AN238" s="1147"/>
      <c r="AO238" s="1147"/>
      <c r="AP238" s="1147"/>
      <c r="AQ238" s="1147"/>
      <c r="AR238" s="1147"/>
      <c r="AS238" s="1147"/>
      <c r="AT238" s="1147"/>
      <c r="AU238" s="1147"/>
      <c r="AV238" s="1147"/>
      <c r="AW238" s="1147"/>
      <c r="AX238" s="1147"/>
      <c r="AY238" s="1147"/>
      <c r="AZ238" s="1147"/>
      <c r="BA238" s="1147"/>
      <c r="BB238" s="1147"/>
      <c r="BC238" s="1147"/>
      <c r="BD238" s="1147"/>
      <c r="BE238" s="1147"/>
      <c r="BF238" s="1147"/>
      <c r="BG238" s="1147"/>
      <c r="BH238" s="1147"/>
      <c r="BI238" s="1147"/>
      <c r="BJ238" s="1147"/>
      <c r="BK238" s="1147"/>
      <c r="BL238" s="1147"/>
      <c r="BM238" s="1147"/>
      <c r="BN238" s="1147"/>
      <c r="BO238" s="1147"/>
      <c r="BP238" s="1147"/>
      <c r="BQ238" s="1147"/>
      <c r="BR238" s="1147"/>
      <c r="BS238" s="1147"/>
      <c r="BT238" s="1147"/>
      <c r="BU238" s="1147"/>
      <c r="BV238" s="1147"/>
      <c r="BW238" s="1147"/>
      <c r="BX238" s="1147"/>
      <c r="BY238" s="1147"/>
      <c r="BZ238" s="1147"/>
      <c r="CA238" s="1147"/>
      <c r="CB238" s="1147"/>
      <c r="CC238" s="1147"/>
      <c r="CD238" s="1147"/>
      <c r="CE238" s="1147"/>
      <c r="CF238" s="1147"/>
      <c r="CG238" s="1147"/>
      <c r="CH238" s="1147"/>
      <c r="CI238" s="1147"/>
      <c r="CJ238" s="1147"/>
      <c r="CK238" s="1146"/>
    </row>
    <row r="239" spans="1:89" ht="15" x14ac:dyDescent="0.25">
      <c r="A239" s="1146"/>
      <c r="B239" s="1146"/>
      <c r="C239" s="1146"/>
      <c r="D239" s="1146"/>
      <c r="E239" s="1146"/>
      <c r="F239" s="1146"/>
      <c r="G239" s="1146"/>
      <c r="H239" s="1146"/>
      <c r="I239" s="1146"/>
      <c r="J239" s="1146"/>
      <c r="K239" s="1146"/>
      <c r="L239" s="1146"/>
      <c r="M239" s="1146"/>
      <c r="N239" s="1146"/>
      <c r="O239" s="1146"/>
      <c r="P239" s="1146"/>
      <c r="Q239" s="1146"/>
      <c r="R239" s="1146"/>
      <c r="S239" s="1146"/>
      <c r="T239" s="1147"/>
      <c r="U239" s="1147"/>
      <c r="V239" s="1147"/>
      <c r="W239" s="1147"/>
      <c r="X239" s="1147"/>
      <c r="Y239" s="1147"/>
      <c r="Z239" s="1147"/>
      <c r="AA239" s="1147"/>
      <c r="AB239" s="1147"/>
      <c r="AC239" s="1147"/>
      <c r="AD239" s="1147"/>
      <c r="AE239" s="1147"/>
      <c r="AF239" s="1147"/>
      <c r="AG239" s="1147"/>
      <c r="AH239" s="1147"/>
      <c r="AI239" s="1147"/>
      <c r="AJ239" s="1147"/>
      <c r="AK239" s="1147"/>
      <c r="AL239" s="1147"/>
      <c r="AM239" s="1147"/>
      <c r="AN239" s="1147"/>
      <c r="AO239" s="1147"/>
      <c r="AP239" s="1147"/>
      <c r="AQ239" s="1147"/>
      <c r="AR239" s="1147"/>
      <c r="AS239" s="1147"/>
      <c r="AT239" s="1147"/>
      <c r="AU239" s="1147"/>
      <c r="AV239" s="1147"/>
      <c r="AW239" s="1147"/>
      <c r="AX239" s="1147"/>
      <c r="AY239" s="1147"/>
      <c r="AZ239" s="1147"/>
      <c r="BA239" s="1147"/>
      <c r="BB239" s="1147"/>
      <c r="BC239" s="1147"/>
      <c r="BD239" s="1147"/>
      <c r="BE239" s="1147"/>
      <c r="BF239" s="1147"/>
      <c r="BG239" s="1147"/>
      <c r="BH239" s="1147"/>
      <c r="BI239" s="1147"/>
      <c r="BJ239" s="1147"/>
      <c r="BK239" s="1147"/>
      <c r="BL239" s="1147"/>
      <c r="BM239" s="1147"/>
      <c r="BN239" s="1147"/>
      <c r="BO239" s="1147"/>
      <c r="BP239" s="1147"/>
      <c r="BQ239" s="1147"/>
      <c r="BR239" s="1147"/>
      <c r="BS239" s="1147"/>
      <c r="BT239" s="1147"/>
      <c r="BU239" s="1147"/>
      <c r="BV239" s="1147"/>
      <c r="BW239" s="1147"/>
      <c r="BX239" s="1147"/>
      <c r="BY239" s="1147"/>
      <c r="BZ239" s="1147"/>
      <c r="CA239" s="1147"/>
      <c r="CB239" s="1147"/>
      <c r="CC239" s="1147"/>
      <c r="CD239" s="1147"/>
      <c r="CE239" s="1147"/>
      <c r="CF239" s="1147"/>
      <c r="CG239" s="1147"/>
      <c r="CH239" s="1147"/>
      <c r="CI239" s="1147"/>
      <c r="CJ239" s="1147"/>
      <c r="CK239" s="1146"/>
    </row>
    <row r="240" spans="1:89" ht="15" x14ac:dyDescent="0.25">
      <c r="A240" s="1146"/>
      <c r="B240" s="1146"/>
      <c r="C240" s="1146"/>
      <c r="D240" s="1146"/>
      <c r="E240" s="1146"/>
      <c r="F240" s="1146"/>
      <c r="G240" s="1146"/>
      <c r="H240" s="1146"/>
      <c r="I240" s="1146"/>
      <c r="J240" s="1146"/>
      <c r="K240" s="1146"/>
      <c r="L240" s="1146"/>
      <c r="M240" s="1146"/>
      <c r="N240" s="1146"/>
      <c r="O240" s="1146"/>
      <c r="P240" s="1146"/>
      <c r="Q240" s="1146"/>
      <c r="R240" s="1146"/>
      <c r="S240" s="1146"/>
      <c r="T240" s="1147"/>
      <c r="U240" s="1147"/>
      <c r="V240" s="1147"/>
      <c r="W240" s="1147"/>
      <c r="X240" s="1147"/>
      <c r="Y240" s="1147"/>
      <c r="Z240" s="1147"/>
      <c r="AA240" s="1147"/>
      <c r="AB240" s="1147"/>
      <c r="AC240" s="1147"/>
      <c r="AD240" s="1147"/>
      <c r="AE240" s="1147"/>
      <c r="AF240" s="1147"/>
      <c r="AG240" s="1147"/>
      <c r="AH240" s="1147"/>
      <c r="AI240" s="1147"/>
      <c r="AJ240" s="1147"/>
      <c r="AK240" s="1147"/>
      <c r="AL240" s="1147"/>
      <c r="AM240" s="1147"/>
      <c r="AN240" s="1147"/>
      <c r="AO240" s="1147"/>
      <c r="AP240" s="1147"/>
      <c r="AQ240" s="1147"/>
      <c r="AR240" s="1147"/>
      <c r="AS240" s="1147"/>
      <c r="AT240" s="1147"/>
      <c r="AU240" s="1147"/>
      <c r="AV240" s="1147"/>
      <c r="AW240" s="1147"/>
      <c r="AX240" s="1147"/>
      <c r="AY240" s="1147"/>
      <c r="AZ240" s="1147"/>
      <c r="BA240" s="1147"/>
      <c r="BB240" s="1147"/>
      <c r="BC240" s="1147"/>
      <c r="BD240" s="1147"/>
      <c r="BE240" s="1147"/>
      <c r="BF240" s="1147"/>
      <c r="BG240" s="1147"/>
      <c r="BH240" s="1147"/>
      <c r="BI240" s="1147"/>
      <c r="BJ240" s="1147"/>
      <c r="BK240" s="1147"/>
      <c r="BL240" s="1147"/>
      <c r="BM240" s="1147"/>
      <c r="BN240" s="1147"/>
      <c r="BO240" s="1147"/>
      <c r="BP240" s="1147"/>
      <c r="BQ240" s="1147"/>
      <c r="BR240" s="1147"/>
      <c r="BS240" s="1147"/>
      <c r="BT240" s="1147"/>
      <c r="BU240" s="1147"/>
      <c r="BV240" s="1147"/>
      <c r="BW240" s="1147"/>
      <c r="BX240" s="1147"/>
      <c r="BY240" s="1147"/>
      <c r="BZ240" s="1147"/>
      <c r="CA240" s="1147"/>
      <c r="CB240" s="1147"/>
      <c r="CC240" s="1147"/>
      <c r="CD240" s="1147"/>
      <c r="CE240" s="1147"/>
      <c r="CF240" s="1147"/>
      <c r="CG240" s="1147"/>
      <c r="CH240" s="1147"/>
      <c r="CI240" s="1147"/>
      <c r="CJ240" s="1147"/>
      <c r="CK240" s="1146"/>
    </row>
    <row r="241" spans="1:89" ht="15" x14ac:dyDescent="0.25">
      <c r="A241" s="1146"/>
      <c r="B241" s="1146"/>
      <c r="C241" s="1146"/>
      <c r="D241" s="1146"/>
      <c r="E241" s="1146"/>
      <c r="F241" s="1146"/>
      <c r="G241" s="1146"/>
      <c r="H241" s="1146"/>
      <c r="I241" s="1146"/>
      <c r="J241" s="1146"/>
      <c r="K241" s="1146"/>
      <c r="L241" s="1146"/>
      <c r="M241" s="1146"/>
      <c r="N241" s="1146"/>
      <c r="O241" s="1146"/>
      <c r="P241" s="1146"/>
      <c r="Q241" s="1146"/>
      <c r="R241" s="1146"/>
      <c r="S241" s="1146"/>
      <c r="T241" s="1147"/>
      <c r="U241" s="1147"/>
      <c r="V241" s="1147"/>
      <c r="W241" s="1147"/>
      <c r="X241" s="1147"/>
      <c r="Y241" s="1147"/>
      <c r="Z241" s="1147"/>
      <c r="AA241" s="1147"/>
      <c r="AB241" s="1147"/>
      <c r="AC241" s="1147"/>
      <c r="AD241" s="1147"/>
      <c r="AE241" s="1147"/>
      <c r="AF241" s="1147"/>
      <c r="AG241" s="1147"/>
      <c r="AH241" s="1147"/>
      <c r="AI241" s="1147"/>
      <c r="AJ241" s="1147"/>
      <c r="AK241" s="1147"/>
      <c r="AL241" s="1147"/>
      <c r="AM241" s="1147"/>
      <c r="AN241" s="1147"/>
      <c r="AO241" s="1147"/>
      <c r="AP241" s="1147"/>
      <c r="AQ241" s="1147"/>
      <c r="AR241" s="1147"/>
      <c r="AS241" s="1147"/>
      <c r="AT241" s="1147"/>
      <c r="AU241" s="1147"/>
      <c r="AV241" s="1147"/>
      <c r="AW241" s="1147"/>
      <c r="AX241" s="1147"/>
      <c r="AY241" s="1147"/>
      <c r="AZ241" s="1147"/>
      <c r="BA241" s="1147"/>
      <c r="BB241" s="1147"/>
      <c r="BC241" s="1147"/>
      <c r="BD241" s="1147"/>
      <c r="BE241" s="1147"/>
      <c r="BF241" s="1147"/>
      <c r="BG241" s="1147"/>
      <c r="BH241" s="1147"/>
      <c r="BI241" s="1147"/>
      <c r="BJ241" s="1147"/>
      <c r="BK241" s="1147"/>
      <c r="BL241" s="1147"/>
      <c r="BM241" s="1147"/>
      <c r="BN241" s="1147"/>
      <c r="BO241" s="1147"/>
      <c r="BP241" s="1147"/>
      <c r="BQ241" s="1147"/>
      <c r="BR241" s="1147"/>
      <c r="BS241" s="1147"/>
      <c r="BT241" s="1147"/>
      <c r="BU241" s="1147"/>
      <c r="BV241" s="1147"/>
      <c r="BW241" s="1147"/>
      <c r="BX241" s="1147"/>
      <c r="BY241" s="1147"/>
      <c r="BZ241" s="1147"/>
      <c r="CA241" s="1147"/>
      <c r="CB241" s="1147"/>
      <c r="CC241" s="1147"/>
      <c r="CD241" s="1147"/>
      <c r="CE241" s="1147"/>
      <c r="CF241" s="1147"/>
      <c r="CG241" s="1147"/>
      <c r="CH241" s="1147"/>
      <c r="CI241" s="1147"/>
      <c r="CJ241" s="1147"/>
      <c r="CK241" s="1146"/>
    </row>
    <row r="242" spans="1:89" ht="15" x14ac:dyDescent="0.25">
      <c r="A242" s="1146"/>
      <c r="B242" s="1146"/>
      <c r="C242" s="1146"/>
      <c r="D242" s="1146"/>
      <c r="E242" s="1146"/>
      <c r="F242" s="1146"/>
      <c r="G242" s="1146"/>
      <c r="H242" s="1146"/>
      <c r="I242" s="1146"/>
      <c r="J242" s="1146"/>
      <c r="K242" s="1146"/>
      <c r="L242" s="1146"/>
      <c r="M242" s="1146"/>
      <c r="N242" s="1146"/>
      <c r="O242" s="1146"/>
      <c r="P242" s="1146"/>
      <c r="Q242" s="1146"/>
      <c r="R242" s="1146"/>
      <c r="S242" s="1146"/>
      <c r="T242" s="1147"/>
      <c r="U242" s="1147"/>
      <c r="V242" s="1147"/>
      <c r="W242" s="1147"/>
      <c r="X242" s="1147"/>
      <c r="Y242" s="1147"/>
      <c r="Z242" s="1147"/>
      <c r="AA242" s="1147"/>
      <c r="AB242" s="1147"/>
      <c r="AC242" s="1147"/>
      <c r="AD242" s="1147"/>
      <c r="AE242" s="1147"/>
      <c r="AF242" s="1147"/>
      <c r="AG242" s="1147"/>
      <c r="AH242" s="1147"/>
      <c r="AI242" s="1147"/>
      <c r="AJ242" s="1147"/>
      <c r="AK242" s="1147"/>
      <c r="AL242" s="1147"/>
      <c r="AM242" s="1147"/>
      <c r="AN242" s="1147"/>
      <c r="AO242" s="1147"/>
      <c r="AP242" s="1147"/>
      <c r="AQ242" s="1147"/>
      <c r="AR242" s="1147"/>
      <c r="AS242" s="1147"/>
      <c r="AT242" s="1147"/>
      <c r="AU242" s="1147"/>
      <c r="AV242" s="1147"/>
      <c r="AW242" s="1147"/>
      <c r="AX242" s="1147"/>
      <c r="AY242" s="1147"/>
      <c r="AZ242" s="1147"/>
      <c r="BA242" s="1147"/>
      <c r="BB242" s="1147"/>
      <c r="BC242" s="1147"/>
      <c r="BD242" s="1147"/>
      <c r="BE242" s="1147"/>
      <c r="BF242" s="1147"/>
      <c r="BG242" s="1147"/>
      <c r="BH242" s="1147"/>
      <c r="BI242" s="1147"/>
      <c r="BJ242" s="1147"/>
      <c r="BK242" s="1147"/>
      <c r="BL242" s="1147"/>
      <c r="BM242" s="1147"/>
      <c r="BN242" s="1147"/>
      <c r="BO242" s="1147"/>
      <c r="BP242" s="1147"/>
      <c r="BQ242" s="1147"/>
      <c r="BR242" s="1147"/>
      <c r="BS242" s="1147"/>
      <c r="BT242" s="1147"/>
      <c r="BU242" s="1147"/>
      <c r="BV242" s="1147"/>
      <c r="BW242" s="1147"/>
      <c r="BX242" s="1147"/>
      <c r="BY242" s="1147"/>
      <c r="BZ242" s="1147"/>
      <c r="CA242" s="1147"/>
      <c r="CB242" s="1147"/>
      <c r="CC242" s="1147"/>
      <c r="CD242" s="1147"/>
      <c r="CE242" s="1147"/>
      <c r="CF242" s="1147"/>
      <c r="CG242" s="1147"/>
      <c r="CH242" s="1147"/>
      <c r="CI242" s="1147"/>
      <c r="CJ242" s="1147"/>
      <c r="CK242" s="1146"/>
    </row>
    <row r="243" spans="1:89" ht="15" x14ac:dyDescent="0.25">
      <c r="A243" s="1146"/>
      <c r="B243" s="1146"/>
      <c r="C243" s="1146"/>
      <c r="D243" s="1146"/>
      <c r="E243" s="1146"/>
      <c r="F243" s="1146"/>
      <c r="G243" s="1146"/>
      <c r="H243" s="1146"/>
      <c r="I243" s="1146"/>
      <c r="J243" s="1146"/>
      <c r="K243" s="1146"/>
      <c r="L243" s="1146"/>
      <c r="M243" s="1146"/>
      <c r="N243" s="1146"/>
      <c r="O243" s="1146"/>
      <c r="P243" s="1146"/>
      <c r="Q243" s="1146"/>
      <c r="R243" s="1146"/>
      <c r="S243" s="1146"/>
      <c r="T243" s="1147"/>
      <c r="U243" s="1147"/>
      <c r="V243" s="1147"/>
      <c r="W243" s="1147"/>
      <c r="X243" s="1147"/>
      <c r="Y243" s="1147"/>
      <c r="Z243" s="1147"/>
      <c r="AA243" s="1147"/>
      <c r="AB243" s="1147"/>
      <c r="AC243" s="1147"/>
      <c r="AD243" s="1147"/>
      <c r="AE243" s="1147"/>
      <c r="AF243" s="1147"/>
      <c r="AG243" s="1147"/>
      <c r="AH243" s="1147"/>
      <c r="AI243" s="1147"/>
      <c r="AJ243" s="1147"/>
      <c r="AK243" s="1147"/>
      <c r="AL243" s="1147"/>
      <c r="AM243" s="1147"/>
      <c r="AN243" s="1147"/>
      <c r="AO243" s="1147"/>
      <c r="AP243" s="1147"/>
      <c r="AQ243" s="1147"/>
      <c r="AR243" s="1147"/>
      <c r="AS243" s="1147"/>
      <c r="AT243" s="1147"/>
      <c r="AU243" s="1147"/>
      <c r="AV243" s="1147"/>
      <c r="AW243" s="1147"/>
      <c r="AX243" s="1147"/>
      <c r="AY243" s="1147"/>
      <c r="AZ243" s="1147"/>
      <c r="BA243" s="1147"/>
      <c r="BB243" s="1147"/>
      <c r="BC243" s="1147"/>
      <c r="BD243" s="1147"/>
      <c r="BE243" s="1147"/>
      <c r="BF243" s="1147"/>
      <c r="BG243" s="1147"/>
      <c r="BH243" s="1147"/>
      <c r="BI243" s="1147"/>
      <c r="BJ243" s="1147"/>
      <c r="BK243" s="1147"/>
      <c r="BL243" s="1147"/>
      <c r="BM243" s="1147"/>
      <c r="BN243" s="1147"/>
      <c r="BO243" s="1147"/>
      <c r="BP243" s="1147"/>
      <c r="BQ243" s="1147"/>
      <c r="BR243" s="1147"/>
      <c r="BS243" s="1147"/>
      <c r="BT243" s="1147"/>
      <c r="BU243" s="1147"/>
      <c r="BV243" s="1147"/>
      <c r="BW243" s="1147"/>
      <c r="BX243" s="1147"/>
      <c r="BY243" s="1147"/>
      <c r="BZ243" s="1147"/>
      <c r="CA243" s="1147"/>
      <c r="CB243" s="1147"/>
      <c r="CC243" s="1147"/>
      <c r="CD243" s="1147"/>
      <c r="CE243" s="1147"/>
      <c r="CF243" s="1147"/>
      <c r="CG243" s="1147"/>
      <c r="CH243" s="1147"/>
      <c r="CI243" s="1147"/>
      <c r="CJ243" s="1147"/>
      <c r="CK243" s="1146"/>
    </row>
    <row r="244" spans="1:89" ht="15" x14ac:dyDescent="0.25">
      <c r="A244" s="1146"/>
      <c r="B244" s="1146"/>
      <c r="C244" s="1146"/>
      <c r="D244" s="1146"/>
      <c r="E244" s="1146"/>
      <c r="F244" s="1146"/>
      <c r="G244" s="1146"/>
      <c r="H244" s="1146"/>
      <c r="I244" s="1146"/>
      <c r="J244" s="1146"/>
      <c r="K244" s="1146"/>
      <c r="L244" s="1146"/>
      <c r="M244" s="1146"/>
      <c r="N244" s="1146"/>
      <c r="O244" s="1146"/>
      <c r="P244" s="1146"/>
      <c r="Q244" s="1146"/>
      <c r="R244" s="1146"/>
      <c r="S244" s="1146"/>
      <c r="T244" s="1147"/>
      <c r="U244" s="1147"/>
      <c r="V244" s="1147"/>
      <c r="W244" s="1147"/>
      <c r="X244" s="1147"/>
      <c r="Y244" s="1147"/>
      <c r="Z244" s="1147"/>
      <c r="AA244" s="1147"/>
      <c r="AB244" s="1147"/>
      <c r="AC244" s="1147"/>
      <c r="AD244" s="1147"/>
      <c r="AE244" s="1147"/>
      <c r="AF244" s="1147"/>
      <c r="AG244" s="1147"/>
      <c r="AH244" s="1147"/>
      <c r="AI244" s="1147"/>
      <c r="AJ244" s="1147"/>
      <c r="AK244" s="1147"/>
      <c r="AL244" s="1147"/>
      <c r="AM244" s="1147"/>
      <c r="AN244" s="1147"/>
      <c r="AO244" s="1147"/>
      <c r="AP244" s="1147"/>
      <c r="AQ244" s="1147"/>
      <c r="AR244" s="1147"/>
      <c r="AS244" s="1147"/>
      <c r="AT244" s="1147"/>
      <c r="AU244" s="1147"/>
      <c r="AV244" s="1147"/>
      <c r="AW244" s="1147"/>
      <c r="AX244" s="1147"/>
      <c r="AY244" s="1147"/>
      <c r="AZ244" s="1147"/>
      <c r="BA244" s="1147"/>
      <c r="BB244" s="1147"/>
      <c r="BC244" s="1147"/>
      <c r="BD244" s="1147"/>
      <c r="BE244" s="1147"/>
      <c r="BF244" s="1147"/>
      <c r="BG244" s="1147"/>
      <c r="BH244" s="1147"/>
      <c r="BI244" s="1147"/>
      <c r="BJ244" s="1147"/>
      <c r="BK244" s="1147"/>
      <c r="BL244" s="1147"/>
      <c r="BM244" s="1147"/>
      <c r="BN244" s="1147"/>
      <c r="BO244" s="1147"/>
      <c r="BP244" s="1147"/>
      <c r="BQ244" s="1147"/>
      <c r="BR244" s="1147"/>
      <c r="BS244" s="1147"/>
      <c r="BT244" s="1147"/>
      <c r="BU244" s="1147"/>
      <c r="BV244" s="1147"/>
      <c r="BW244" s="1147"/>
      <c r="BX244" s="1147"/>
      <c r="BY244" s="1147"/>
      <c r="BZ244" s="1147"/>
      <c r="CA244" s="1147"/>
      <c r="CB244" s="1147"/>
      <c r="CC244" s="1147"/>
      <c r="CD244" s="1147"/>
      <c r="CE244" s="1147"/>
      <c r="CF244" s="1147"/>
      <c r="CG244" s="1147"/>
      <c r="CH244" s="1147"/>
      <c r="CI244" s="1147"/>
      <c r="CJ244" s="1147"/>
      <c r="CK244" s="1146"/>
    </row>
    <row r="245" spans="1:89" ht="15" x14ac:dyDescent="0.25">
      <c r="A245" s="1146"/>
      <c r="B245" s="1146"/>
      <c r="C245" s="1146"/>
      <c r="D245" s="1146"/>
      <c r="E245" s="1146"/>
      <c r="F245" s="1146"/>
      <c r="G245" s="1146"/>
      <c r="H245" s="1146"/>
      <c r="I245" s="1146"/>
      <c r="J245" s="1146"/>
      <c r="K245" s="1146"/>
      <c r="L245" s="1146"/>
      <c r="M245" s="1146"/>
      <c r="N245" s="1146"/>
      <c r="O245" s="1146"/>
      <c r="P245" s="1146"/>
      <c r="Q245" s="1146"/>
      <c r="R245" s="1146"/>
      <c r="S245" s="1146"/>
      <c r="T245" s="1147"/>
      <c r="U245" s="1147"/>
      <c r="V245" s="1147"/>
      <c r="W245" s="1147"/>
      <c r="X245" s="1147"/>
      <c r="Y245" s="1147"/>
      <c r="Z245" s="1147"/>
      <c r="AA245" s="1147"/>
      <c r="AB245" s="1147"/>
      <c r="AC245" s="1147"/>
      <c r="AD245" s="1147"/>
      <c r="AE245" s="1147"/>
      <c r="AF245" s="1147"/>
      <c r="AG245" s="1147"/>
      <c r="AH245" s="1147"/>
      <c r="AI245" s="1147"/>
      <c r="AJ245" s="1147"/>
      <c r="AK245" s="1147"/>
      <c r="AL245" s="1147"/>
      <c r="AM245" s="1147"/>
      <c r="AN245" s="1147"/>
      <c r="AO245" s="1147"/>
      <c r="AP245" s="1147"/>
      <c r="AQ245" s="1147"/>
      <c r="AR245" s="1147"/>
      <c r="AS245" s="1147"/>
      <c r="AT245" s="1147"/>
      <c r="AU245" s="1147"/>
      <c r="AV245" s="1147"/>
      <c r="AW245" s="1147"/>
      <c r="AX245" s="1147"/>
      <c r="AY245" s="1147"/>
      <c r="AZ245" s="1147"/>
      <c r="BA245" s="1147"/>
      <c r="BB245" s="1147"/>
      <c r="BC245" s="1147"/>
      <c r="BD245" s="1147"/>
      <c r="BE245" s="1147"/>
      <c r="BF245" s="1147"/>
      <c r="BG245" s="1147"/>
      <c r="BH245" s="1147"/>
      <c r="BI245" s="1147"/>
      <c r="BJ245" s="1147"/>
      <c r="BK245" s="1147"/>
      <c r="BL245" s="1147"/>
      <c r="BM245" s="1147"/>
      <c r="BN245" s="1147"/>
      <c r="BO245" s="1147"/>
      <c r="BP245" s="1147"/>
      <c r="BQ245" s="1147"/>
      <c r="BR245" s="1147"/>
      <c r="BS245" s="1147"/>
      <c r="BT245" s="1147"/>
      <c r="BU245" s="1147"/>
      <c r="BV245" s="1147"/>
      <c r="BW245" s="1147"/>
      <c r="BX245" s="1147"/>
      <c r="BY245" s="1147"/>
      <c r="BZ245" s="1147"/>
      <c r="CA245" s="1147"/>
      <c r="CB245" s="1147"/>
      <c r="CC245" s="1147"/>
      <c r="CD245" s="1147"/>
      <c r="CE245" s="1147"/>
      <c r="CF245" s="1147"/>
      <c r="CG245" s="1147"/>
      <c r="CH245" s="1147"/>
      <c r="CI245" s="1147"/>
      <c r="CJ245" s="1147"/>
      <c r="CK245" s="1146"/>
    </row>
    <row r="246" spans="1:89" ht="15" x14ac:dyDescent="0.25">
      <c r="A246" s="1146"/>
      <c r="B246" s="1146"/>
      <c r="C246" s="1146"/>
      <c r="D246" s="1146"/>
      <c r="E246" s="1146"/>
      <c r="F246" s="1146"/>
      <c r="G246" s="1146"/>
      <c r="H246" s="1146"/>
      <c r="I246" s="1146"/>
      <c r="J246" s="1146"/>
      <c r="K246" s="1146"/>
      <c r="L246" s="1146"/>
      <c r="M246" s="1146"/>
      <c r="N246" s="1146"/>
      <c r="O246" s="1146"/>
      <c r="P246" s="1146"/>
      <c r="Q246" s="1146"/>
      <c r="R246" s="1146"/>
      <c r="S246" s="1146"/>
      <c r="T246" s="1147"/>
      <c r="U246" s="1147"/>
      <c r="V246" s="1147"/>
      <c r="W246" s="1147"/>
      <c r="X246" s="1147"/>
      <c r="Y246" s="1147"/>
      <c r="Z246" s="1147"/>
      <c r="AA246" s="1147"/>
      <c r="AB246" s="1147"/>
      <c r="AC246" s="1147"/>
      <c r="AD246" s="1147"/>
      <c r="AE246" s="1147"/>
      <c r="AF246" s="1147"/>
      <c r="AG246" s="1147"/>
      <c r="AH246" s="1147"/>
      <c r="AI246" s="1147"/>
      <c r="AJ246" s="1147"/>
      <c r="AK246" s="1147"/>
      <c r="AL246" s="1147"/>
      <c r="AM246" s="1147"/>
      <c r="AN246" s="1147"/>
      <c r="AO246" s="1147"/>
      <c r="AP246" s="1147"/>
      <c r="AQ246" s="1147"/>
      <c r="AR246" s="1147"/>
      <c r="AS246" s="1147"/>
      <c r="AT246" s="1147"/>
      <c r="AU246" s="1147"/>
      <c r="AV246" s="1147"/>
      <c r="AW246" s="1147"/>
      <c r="AX246" s="1147"/>
      <c r="AY246" s="1147"/>
      <c r="AZ246" s="1147"/>
      <c r="BA246" s="1147"/>
      <c r="BB246" s="1147"/>
      <c r="BC246" s="1147"/>
      <c r="BD246" s="1147"/>
      <c r="BE246" s="1147"/>
      <c r="BF246" s="1147"/>
      <c r="BG246" s="1147"/>
      <c r="BH246" s="1147"/>
      <c r="BI246" s="1147"/>
      <c r="BJ246" s="1147"/>
      <c r="BK246" s="1147"/>
      <c r="BL246" s="1147"/>
      <c r="BM246" s="1147"/>
      <c r="BN246" s="1147"/>
      <c r="BO246" s="1147"/>
      <c r="BP246" s="1147"/>
      <c r="BQ246" s="1147"/>
      <c r="BR246" s="1147"/>
      <c r="BS246" s="1147"/>
      <c r="BT246" s="1147"/>
      <c r="BU246" s="1147"/>
      <c r="BV246" s="1147"/>
      <c r="BW246" s="1147"/>
      <c r="BX246" s="1147"/>
      <c r="BY246" s="1147"/>
      <c r="BZ246" s="1147"/>
      <c r="CA246" s="1147"/>
      <c r="CB246" s="1147"/>
      <c r="CC246" s="1147"/>
      <c r="CD246" s="1147"/>
      <c r="CE246" s="1147"/>
      <c r="CF246" s="1147"/>
      <c r="CG246" s="1147"/>
      <c r="CH246" s="1147"/>
      <c r="CI246" s="1147"/>
      <c r="CJ246" s="1147"/>
      <c r="CK246" s="1146"/>
    </row>
    <row r="247" spans="1:89" ht="15" x14ac:dyDescent="0.25">
      <c r="A247" s="1146"/>
      <c r="B247" s="1146"/>
      <c r="C247" s="1146"/>
      <c r="D247" s="1146"/>
      <c r="E247" s="1146"/>
      <c r="F247" s="1146"/>
      <c r="G247" s="1146"/>
      <c r="H247" s="1146"/>
      <c r="I247" s="1146"/>
      <c r="J247" s="1146"/>
      <c r="K247" s="1146"/>
      <c r="L247" s="1146"/>
      <c r="M247" s="1146"/>
      <c r="N247" s="1146"/>
      <c r="O247" s="1146"/>
      <c r="P247" s="1146"/>
      <c r="Q247" s="1146"/>
      <c r="R247" s="1146"/>
      <c r="S247" s="1146"/>
      <c r="T247" s="1147"/>
      <c r="U247" s="1147"/>
      <c r="V247" s="1147"/>
      <c r="W247" s="1147"/>
      <c r="X247" s="1147"/>
      <c r="Y247" s="1147"/>
      <c r="Z247" s="1147"/>
      <c r="AA247" s="1147"/>
      <c r="AB247" s="1147"/>
      <c r="AC247" s="1147"/>
      <c r="AD247" s="1147"/>
      <c r="AE247" s="1147"/>
      <c r="AF247" s="1147"/>
      <c r="AG247" s="1147"/>
      <c r="AH247" s="1147"/>
      <c r="AI247" s="1147"/>
      <c r="AJ247" s="1147"/>
      <c r="AK247" s="1147"/>
      <c r="AL247" s="1147"/>
      <c r="AM247" s="1147"/>
      <c r="AN247" s="1147"/>
      <c r="AO247" s="1147"/>
      <c r="AP247" s="1147"/>
      <c r="AQ247" s="1147"/>
      <c r="AR247" s="1147"/>
      <c r="AS247" s="1147"/>
      <c r="AT247" s="1147"/>
      <c r="AU247" s="1147"/>
      <c r="AV247" s="1147"/>
      <c r="AW247" s="1147"/>
      <c r="AX247" s="1147"/>
      <c r="AY247" s="1147"/>
      <c r="AZ247" s="1147"/>
      <c r="BA247" s="1147"/>
      <c r="BB247" s="1147"/>
      <c r="BC247" s="1147"/>
      <c r="BD247" s="1147"/>
      <c r="BE247" s="1147"/>
      <c r="BF247" s="1147"/>
      <c r="BG247" s="1147"/>
      <c r="BH247" s="1147"/>
      <c r="BI247" s="1147"/>
      <c r="BJ247" s="1147"/>
      <c r="BK247" s="1147"/>
      <c r="BL247" s="1147"/>
      <c r="BM247" s="1147"/>
      <c r="BN247" s="1147"/>
      <c r="BO247" s="1147"/>
      <c r="BP247" s="1147"/>
      <c r="BQ247" s="1147"/>
      <c r="BR247" s="1147"/>
      <c r="BS247" s="1147"/>
      <c r="BT247" s="1147"/>
      <c r="BU247" s="1147"/>
      <c r="BV247" s="1147"/>
      <c r="BW247" s="1147"/>
      <c r="BX247" s="1147"/>
      <c r="BY247" s="1147"/>
      <c r="BZ247" s="1147"/>
      <c r="CA247" s="1147"/>
      <c r="CB247" s="1147"/>
      <c r="CC247" s="1147"/>
      <c r="CD247" s="1147"/>
      <c r="CE247" s="1147"/>
      <c r="CF247" s="1147"/>
      <c r="CG247" s="1147"/>
      <c r="CH247" s="1147"/>
      <c r="CI247" s="1147"/>
      <c r="CJ247" s="1147"/>
      <c r="CK247" s="1146"/>
    </row>
    <row r="248" spans="1:89" ht="15" x14ac:dyDescent="0.25">
      <c r="A248" s="1146"/>
      <c r="B248" s="1146"/>
      <c r="C248" s="1146"/>
      <c r="D248" s="1146"/>
      <c r="E248" s="1146"/>
      <c r="F248" s="1146"/>
      <c r="G248" s="1146"/>
      <c r="H248" s="1146"/>
      <c r="I248" s="1146"/>
      <c r="J248" s="1146"/>
      <c r="K248" s="1146"/>
      <c r="L248" s="1146"/>
      <c r="M248" s="1146"/>
      <c r="N248" s="1146"/>
      <c r="O248" s="1146"/>
      <c r="P248" s="1146"/>
      <c r="Q248" s="1146"/>
      <c r="R248" s="1146"/>
      <c r="S248" s="1146"/>
      <c r="T248" s="1147"/>
      <c r="U248" s="1147"/>
      <c r="V248" s="1147"/>
      <c r="W248" s="1147"/>
      <c r="X248" s="1147"/>
      <c r="Y248" s="1147"/>
      <c r="Z248" s="1147"/>
      <c r="AA248" s="1147"/>
      <c r="AB248" s="1147"/>
      <c r="AC248" s="1147"/>
      <c r="AD248" s="1147"/>
      <c r="AE248" s="1147"/>
      <c r="AF248" s="1147"/>
      <c r="AG248" s="1147"/>
      <c r="AH248" s="1147"/>
      <c r="AI248" s="1147"/>
      <c r="AJ248" s="1147"/>
      <c r="AK248" s="1147"/>
      <c r="AL248" s="1147"/>
      <c r="AM248" s="1147"/>
      <c r="AN248" s="1147"/>
      <c r="AO248" s="1147"/>
      <c r="AP248" s="1147"/>
      <c r="AQ248" s="1147"/>
      <c r="AR248" s="1147"/>
      <c r="AS248" s="1147"/>
      <c r="AT248" s="1147"/>
      <c r="AU248" s="1147"/>
      <c r="AV248" s="1147"/>
      <c r="AW248" s="1147"/>
      <c r="AX248" s="1147"/>
      <c r="AY248" s="1147"/>
      <c r="AZ248" s="1147"/>
      <c r="BA248" s="1147"/>
      <c r="BB248" s="1147"/>
      <c r="BC248" s="1147"/>
      <c r="BD248" s="1147"/>
      <c r="BE248" s="1147"/>
      <c r="BF248" s="1147"/>
      <c r="BG248" s="1147"/>
      <c r="BH248" s="1147"/>
      <c r="BI248" s="1147"/>
      <c r="BJ248" s="1147"/>
      <c r="BK248" s="1147"/>
      <c r="BL248" s="1147"/>
      <c r="BM248" s="1147"/>
      <c r="BN248" s="1147"/>
      <c r="BO248" s="1147"/>
      <c r="BP248" s="1147"/>
      <c r="BQ248" s="1147"/>
      <c r="BR248" s="1147"/>
      <c r="BS248" s="1147"/>
      <c r="BT248" s="1147"/>
      <c r="BU248" s="1147"/>
      <c r="BV248" s="1147"/>
      <c r="BW248" s="1147"/>
      <c r="BX248" s="1147"/>
      <c r="BY248" s="1147"/>
      <c r="BZ248" s="1147"/>
      <c r="CA248" s="1147"/>
      <c r="CB248" s="1147"/>
      <c r="CC248" s="1147"/>
      <c r="CD248" s="1147"/>
      <c r="CE248" s="1147"/>
      <c r="CF248" s="1147"/>
      <c r="CG248" s="1147"/>
      <c r="CH248" s="1147"/>
      <c r="CI248" s="1147"/>
      <c r="CJ248" s="1147"/>
      <c r="CK248" s="1146"/>
    </row>
    <row r="249" spans="1:89" ht="15" x14ac:dyDescent="0.25">
      <c r="A249" s="1146"/>
      <c r="B249" s="1146"/>
      <c r="C249" s="1146"/>
      <c r="D249" s="1146"/>
      <c r="E249" s="1146"/>
      <c r="F249" s="1146"/>
      <c r="G249" s="1146"/>
      <c r="H249" s="1146"/>
      <c r="I249" s="1146"/>
      <c r="J249" s="1146"/>
      <c r="K249" s="1146"/>
      <c r="L249" s="1146"/>
      <c r="M249" s="1146"/>
      <c r="N249" s="1146"/>
      <c r="O249" s="1146"/>
      <c r="P249" s="1146"/>
      <c r="Q249" s="1146"/>
      <c r="R249" s="1146"/>
      <c r="S249" s="1146"/>
      <c r="T249" s="1147"/>
      <c r="U249" s="1147"/>
      <c r="V249" s="1147"/>
      <c r="W249" s="1147"/>
      <c r="X249" s="1147"/>
      <c r="Y249" s="1147"/>
      <c r="Z249" s="1147"/>
      <c r="AA249" s="1147"/>
      <c r="AB249" s="1147"/>
      <c r="AC249" s="1147"/>
      <c r="AD249" s="1147"/>
      <c r="AE249" s="1147"/>
      <c r="AF249" s="1147"/>
      <c r="AG249" s="1147"/>
      <c r="AH249" s="1147"/>
      <c r="AI249" s="1147"/>
      <c r="AJ249" s="1147"/>
      <c r="AK249" s="1147"/>
      <c r="AL249" s="1147"/>
      <c r="AM249" s="1147"/>
      <c r="AN249" s="1147"/>
      <c r="AO249" s="1147"/>
      <c r="AP249" s="1147"/>
      <c r="AQ249" s="1147"/>
      <c r="AR249" s="1147"/>
      <c r="AS249" s="1147"/>
      <c r="AT249" s="1147"/>
      <c r="AU249" s="1147"/>
      <c r="AV249" s="1147"/>
      <c r="AW249" s="1147"/>
      <c r="AX249" s="1147"/>
      <c r="AY249" s="1147"/>
      <c r="AZ249" s="1147"/>
      <c r="BA249" s="1147"/>
      <c r="BB249" s="1147"/>
      <c r="BC249" s="1147"/>
      <c r="BD249" s="1147"/>
      <c r="BE249" s="1147"/>
      <c r="BF249" s="1147"/>
      <c r="BG249" s="1147"/>
      <c r="BH249" s="1147"/>
      <c r="BI249" s="1147"/>
      <c r="BJ249" s="1147"/>
      <c r="BK249" s="1147"/>
      <c r="BL249" s="1147"/>
      <c r="BM249" s="1147"/>
      <c r="BN249" s="1147"/>
      <c r="BO249" s="1147"/>
      <c r="BP249" s="1147"/>
      <c r="BQ249" s="1147"/>
      <c r="BR249" s="1147"/>
      <c r="BS249" s="1147"/>
      <c r="BT249" s="1147"/>
      <c r="BU249" s="1147"/>
      <c r="BV249" s="1147"/>
      <c r="BW249" s="1147"/>
      <c r="BX249" s="1147"/>
      <c r="BY249" s="1147"/>
      <c r="BZ249" s="1147"/>
      <c r="CA249" s="1147"/>
      <c r="CB249" s="1147"/>
      <c r="CC249" s="1147"/>
      <c r="CD249" s="1147"/>
      <c r="CE249" s="1147"/>
      <c r="CF249" s="1147"/>
      <c r="CG249" s="1147"/>
      <c r="CH249" s="1147"/>
      <c r="CI249" s="1147"/>
      <c r="CJ249" s="1147"/>
      <c r="CK249" s="1146"/>
    </row>
    <row r="250" spans="1:89" ht="15" x14ac:dyDescent="0.25">
      <c r="A250" s="1146"/>
      <c r="B250" s="1146"/>
      <c r="C250" s="1146"/>
      <c r="D250" s="1146"/>
      <c r="E250" s="1146"/>
      <c r="F250" s="1146"/>
      <c r="G250" s="1146"/>
      <c r="H250" s="1146"/>
      <c r="I250" s="1146"/>
      <c r="J250" s="1146"/>
      <c r="K250" s="1146"/>
      <c r="L250" s="1146"/>
      <c r="M250" s="1146"/>
      <c r="N250" s="1146"/>
      <c r="O250" s="1146"/>
      <c r="P250" s="1146"/>
      <c r="Q250" s="1146"/>
      <c r="R250" s="1146"/>
      <c r="S250" s="1146"/>
      <c r="T250" s="1147"/>
      <c r="U250" s="1147"/>
      <c r="V250" s="1147"/>
      <c r="W250" s="1147"/>
      <c r="X250" s="1147"/>
      <c r="Y250" s="1147"/>
      <c r="Z250" s="1147"/>
      <c r="AA250" s="1147"/>
      <c r="AB250" s="1147"/>
      <c r="AC250" s="1147"/>
      <c r="AD250" s="1147"/>
      <c r="AE250" s="1147"/>
      <c r="AF250" s="1147"/>
      <c r="AG250" s="1147"/>
      <c r="AH250" s="1147"/>
      <c r="AI250" s="1147"/>
      <c r="AJ250" s="1147"/>
      <c r="AK250" s="1147"/>
      <c r="AL250" s="1147"/>
      <c r="AM250" s="1147"/>
      <c r="AN250" s="1147"/>
      <c r="AO250" s="1147"/>
      <c r="AP250" s="1147"/>
      <c r="AQ250" s="1147"/>
      <c r="AR250" s="1147"/>
      <c r="AS250" s="1147"/>
      <c r="AT250" s="1147"/>
      <c r="AU250" s="1147"/>
      <c r="AV250" s="1147"/>
      <c r="AW250" s="1147"/>
      <c r="AX250" s="1147"/>
      <c r="AY250" s="1147"/>
      <c r="AZ250" s="1147"/>
      <c r="BA250" s="1147"/>
      <c r="BB250" s="1147"/>
      <c r="BC250" s="1147"/>
      <c r="BD250" s="1147"/>
      <c r="BE250" s="1147"/>
      <c r="BF250" s="1147"/>
      <c r="BG250" s="1147"/>
      <c r="BH250" s="1147"/>
      <c r="BI250" s="1147"/>
      <c r="BJ250" s="1147"/>
      <c r="BK250" s="1147"/>
      <c r="BL250" s="1147"/>
      <c r="BM250" s="1147"/>
      <c r="BN250" s="1147"/>
      <c r="BO250" s="1147"/>
      <c r="BP250" s="1147"/>
      <c r="BQ250" s="1147"/>
      <c r="BR250" s="1147"/>
      <c r="BS250" s="1147"/>
      <c r="BT250" s="1147"/>
      <c r="BU250" s="1147"/>
      <c r="BV250" s="1147"/>
      <c r="BW250" s="1147"/>
      <c r="BX250" s="1147"/>
      <c r="BY250" s="1147"/>
      <c r="BZ250" s="1147"/>
      <c r="CA250" s="1147"/>
      <c r="CB250" s="1147"/>
      <c r="CC250" s="1147"/>
      <c r="CD250" s="1147"/>
      <c r="CE250" s="1147"/>
      <c r="CF250" s="1147"/>
      <c r="CG250" s="1147"/>
      <c r="CH250" s="1147"/>
      <c r="CI250" s="1147"/>
      <c r="CJ250" s="1147"/>
      <c r="CK250" s="1146"/>
    </row>
    <row r="251" spans="1:89" ht="15" x14ac:dyDescent="0.25">
      <c r="A251" s="1146"/>
      <c r="B251" s="1146"/>
      <c r="C251" s="1146"/>
      <c r="D251" s="1146"/>
      <c r="E251" s="1146"/>
      <c r="F251" s="1146"/>
      <c r="G251" s="1146"/>
      <c r="H251" s="1146"/>
      <c r="I251" s="1146"/>
      <c r="J251" s="1146"/>
      <c r="K251" s="1146"/>
      <c r="L251" s="1146"/>
      <c r="M251" s="1146"/>
      <c r="N251" s="1146"/>
      <c r="O251" s="1146"/>
      <c r="P251" s="1146"/>
      <c r="Q251" s="1146"/>
      <c r="R251" s="1146"/>
      <c r="S251" s="1146"/>
      <c r="T251" s="1147"/>
      <c r="U251" s="1147"/>
      <c r="V251" s="1147"/>
      <c r="W251" s="1147"/>
      <c r="X251" s="1147"/>
      <c r="Y251" s="1147"/>
      <c r="Z251" s="1147"/>
      <c r="AA251" s="1147"/>
      <c r="AB251" s="1147"/>
      <c r="AC251" s="1147"/>
      <c r="AD251" s="1147"/>
      <c r="AE251" s="1147"/>
      <c r="AF251" s="1147"/>
      <c r="AG251" s="1147"/>
      <c r="AH251" s="1147"/>
      <c r="AI251" s="1147"/>
      <c r="AJ251" s="1147"/>
      <c r="AK251" s="1147"/>
      <c r="AL251" s="1147"/>
      <c r="AM251" s="1147"/>
      <c r="AN251" s="1147"/>
      <c r="AO251" s="1147"/>
      <c r="AP251" s="1147"/>
      <c r="AQ251" s="1147"/>
      <c r="AR251" s="1147"/>
      <c r="AS251" s="1147"/>
      <c r="AT251" s="1147"/>
      <c r="AU251" s="1147"/>
      <c r="AV251" s="1147"/>
      <c r="AW251" s="1147"/>
      <c r="AX251" s="1147"/>
      <c r="AY251" s="1147"/>
      <c r="AZ251" s="1147"/>
      <c r="BA251" s="1147"/>
      <c r="BB251" s="1147"/>
      <c r="BC251" s="1147"/>
      <c r="BD251" s="1147"/>
      <c r="BE251" s="1147"/>
      <c r="BF251" s="1147"/>
      <c r="BG251" s="1147"/>
      <c r="BH251" s="1147"/>
      <c r="BI251" s="1147"/>
      <c r="BJ251" s="1147"/>
      <c r="BK251" s="1147"/>
      <c r="BL251" s="1147"/>
      <c r="BM251" s="1147"/>
      <c r="BN251" s="1147"/>
      <c r="BO251" s="1147"/>
      <c r="BP251" s="1147"/>
      <c r="BQ251" s="1147"/>
      <c r="BR251" s="1147"/>
      <c r="BS251" s="1147"/>
      <c r="BT251" s="1147"/>
      <c r="BU251" s="1147"/>
      <c r="BV251" s="1147"/>
      <c r="BW251" s="1147"/>
      <c r="BX251" s="1147"/>
      <c r="BY251" s="1147"/>
      <c r="BZ251" s="1147"/>
      <c r="CA251" s="1147"/>
      <c r="CB251" s="1147"/>
      <c r="CC251" s="1147"/>
      <c r="CD251" s="1147"/>
      <c r="CE251" s="1147"/>
      <c r="CF251" s="1147"/>
      <c r="CG251" s="1147"/>
      <c r="CH251" s="1147"/>
      <c r="CI251" s="1147"/>
      <c r="CJ251" s="1147"/>
      <c r="CK251" s="1146"/>
    </row>
    <row r="252" spans="1:89" ht="15" x14ac:dyDescent="0.25">
      <c r="A252" s="1146"/>
      <c r="B252" s="1146"/>
      <c r="C252" s="1146"/>
      <c r="D252" s="1146"/>
      <c r="E252" s="1146"/>
      <c r="F252" s="1146"/>
      <c r="G252" s="1146"/>
      <c r="H252" s="1146"/>
      <c r="I252" s="1146"/>
      <c r="J252" s="1146"/>
      <c r="K252" s="1146"/>
      <c r="L252" s="1146"/>
      <c r="M252" s="1146"/>
      <c r="N252" s="1146"/>
      <c r="O252" s="1146"/>
      <c r="P252" s="1146"/>
      <c r="Q252" s="1146"/>
      <c r="R252" s="1146"/>
      <c r="S252" s="1146"/>
      <c r="T252" s="1147"/>
      <c r="U252" s="1147"/>
      <c r="V252" s="1147"/>
      <c r="W252" s="1147"/>
      <c r="X252" s="1147"/>
      <c r="Y252" s="1147"/>
      <c r="Z252" s="1147"/>
      <c r="AA252" s="1147"/>
      <c r="AB252" s="1147"/>
      <c r="AC252" s="1147"/>
      <c r="AD252" s="1147"/>
      <c r="AE252" s="1147"/>
      <c r="AF252" s="1147"/>
      <c r="AG252" s="1147"/>
      <c r="AH252" s="1147"/>
      <c r="AI252" s="1147"/>
      <c r="AJ252" s="1147"/>
      <c r="AK252" s="1147"/>
      <c r="AL252" s="1147"/>
      <c r="AM252" s="1147"/>
      <c r="AN252" s="1147"/>
      <c r="AO252" s="1147"/>
      <c r="AP252" s="1147"/>
      <c r="AQ252" s="1147"/>
      <c r="AR252" s="1147"/>
      <c r="AS252" s="1147"/>
      <c r="AT252" s="1147"/>
      <c r="AU252" s="1147"/>
      <c r="AV252" s="1147"/>
      <c r="AW252" s="1147"/>
      <c r="AX252" s="1147"/>
      <c r="AY252" s="1147"/>
      <c r="AZ252" s="1147"/>
      <c r="BA252" s="1147"/>
      <c r="BB252" s="1147"/>
      <c r="BC252" s="1147"/>
      <c r="BD252" s="1147"/>
      <c r="BE252" s="1147"/>
      <c r="BF252" s="1147"/>
      <c r="BG252" s="1147"/>
      <c r="BH252" s="1147"/>
      <c r="BI252" s="1147"/>
      <c r="BJ252" s="1147"/>
      <c r="BK252" s="1147"/>
      <c r="BL252" s="1147"/>
      <c r="BM252" s="1147"/>
      <c r="BN252" s="1147"/>
      <c r="BO252" s="1147"/>
      <c r="BP252" s="1147"/>
      <c r="BQ252" s="1147"/>
      <c r="BR252" s="1147"/>
      <c r="BS252" s="1147"/>
      <c r="BT252" s="1147"/>
      <c r="BU252" s="1147"/>
      <c r="BV252" s="1147"/>
      <c r="BW252" s="1147"/>
      <c r="BX252" s="1147"/>
      <c r="BY252" s="1147"/>
      <c r="BZ252" s="1147"/>
      <c r="CA252" s="1147"/>
      <c r="CB252" s="1147"/>
      <c r="CC252" s="1147"/>
      <c r="CD252" s="1147"/>
      <c r="CE252" s="1147"/>
      <c r="CF252" s="1147"/>
      <c r="CG252" s="1147"/>
      <c r="CH252" s="1147"/>
      <c r="CI252" s="1147"/>
      <c r="CJ252" s="1147"/>
      <c r="CK252" s="1146"/>
    </row>
    <row r="253" spans="1:89" ht="15" x14ac:dyDescent="0.25">
      <c r="A253" s="1146"/>
      <c r="B253" s="1146"/>
      <c r="C253" s="1146"/>
      <c r="D253" s="1146"/>
      <c r="E253" s="1146"/>
      <c r="F253" s="1146"/>
      <c r="G253" s="1146"/>
      <c r="H253" s="1146"/>
      <c r="I253" s="1146"/>
      <c r="J253" s="1146"/>
      <c r="K253" s="1146"/>
      <c r="L253" s="1146"/>
      <c r="M253" s="1146"/>
      <c r="N253" s="1146"/>
      <c r="O253" s="1146"/>
      <c r="P253" s="1146"/>
      <c r="Q253" s="1146"/>
      <c r="R253" s="1146"/>
      <c r="S253" s="1146"/>
      <c r="T253" s="1147"/>
      <c r="U253" s="1147"/>
      <c r="V253" s="1147"/>
      <c r="W253" s="1147"/>
      <c r="X253" s="1147"/>
      <c r="Y253" s="1147"/>
      <c r="Z253" s="1147"/>
      <c r="AA253" s="1147"/>
      <c r="AB253" s="1147"/>
      <c r="AC253" s="1147"/>
      <c r="AD253" s="1147"/>
      <c r="AE253" s="1147"/>
      <c r="AF253" s="1147"/>
      <c r="AG253" s="1147"/>
      <c r="AH253" s="1147"/>
      <c r="AI253" s="1147"/>
      <c r="AJ253" s="1147"/>
      <c r="AK253" s="1147"/>
      <c r="AL253" s="1147"/>
      <c r="AM253" s="1147"/>
      <c r="AN253" s="1147"/>
      <c r="AO253" s="1147"/>
      <c r="AP253" s="1147"/>
      <c r="AQ253" s="1147"/>
      <c r="AR253" s="1147"/>
      <c r="AS253" s="1147"/>
      <c r="AT253" s="1147"/>
      <c r="AU253" s="1147"/>
      <c r="AV253" s="1147"/>
      <c r="AW253" s="1147"/>
      <c r="AX253" s="1147"/>
      <c r="AY253" s="1147"/>
      <c r="AZ253" s="1147"/>
      <c r="BA253" s="1147"/>
      <c r="BB253" s="1147"/>
      <c r="BC253" s="1147"/>
      <c r="BD253" s="1147"/>
      <c r="BE253" s="1147"/>
      <c r="BF253" s="1147"/>
      <c r="BG253" s="1147"/>
      <c r="BH253" s="1147"/>
      <c r="BI253" s="1147"/>
      <c r="BJ253" s="1147"/>
      <c r="BK253" s="1147"/>
      <c r="BL253" s="1147"/>
      <c r="BM253" s="1147"/>
      <c r="BN253" s="1147"/>
      <c r="BO253" s="1147"/>
      <c r="BP253" s="1147"/>
      <c r="BQ253" s="1147"/>
      <c r="BR253" s="1147"/>
      <c r="BS253" s="1147"/>
      <c r="BT253" s="1147"/>
      <c r="BU253" s="1147"/>
      <c r="BV253" s="1147"/>
      <c r="BW253" s="1147"/>
      <c r="BX253" s="1147"/>
      <c r="BY253" s="1147"/>
      <c r="BZ253" s="1147"/>
      <c r="CA253" s="1147"/>
      <c r="CB253" s="1147"/>
      <c r="CC253" s="1147"/>
      <c r="CD253" s="1147"/>
      <c r="CE253" s="1147"/>
      <c r="CF253" s="1147"/>
      <c r="CG253" s="1147"/>
      <c r="CH253" s="1147"/>
      <c r="CI253" s="1147"/>
      <c r="CJ253" s="1147"/>
      <c r="CK253" s="1146"/>
    </row>
    <row r="254" spans="1:89" ht="15" x14ac:dyDescent="0.25">
      <c r="A254" s="1146"/>
      <c r="B254" s="1146"/>
      <c r="C254" s="1146"/>
      <c r="D254" s="1146"/>
      <c r="E254" s="1146"/>
      <c r="F254" s="1146"/>
      <c r="G254" s="1146"/>
      <c r="H254" s="1146"/>
      <c r="I254" s="1146"/>
      <c r="J254" s="1146"/>
      <c r="K254" s="1146"/>
      <c r="L254" s="1146"/>
      <c r="M254" s="1146"/>
      <c r="N254" s="1146"/>
      <c r="O254" s="1146"/>
      <c r="P254" s="1146"/>
      <c r="Q254" s="1146"/>
      <c r="R254" s="1146"/>
      <c r="S254" s="1146"/>
      <c r="T254" s="1147"/>
      <c r="U254" s="1147"/>
      <c r="V254" s="1147"/>
      <c r="W254" s="1147"/>
      <c r="X254" s="1147"/>
      <c r="Y254" s="1147"/>
      <c r="Z254" s="1147"/>
      <c r="AA254" s="1147"/>
      <c r="AB254" s="1147"/>
      <c r="AC254" s="1147"/>
      <c r="AD254" s="1147"/>
      <c r="AE254" s="1147"/>
      <c r="AF254" s="1147"/>
      <c r="AG254" s="1147"/>
      <c r="AH254" s="1147"/>
      <c r="AI254" s="1147"/>
      <c r="AJ254" s="1147"/>
      <c r="AK254" s="1147"/>
      <c r="AL254" s="1147"/>
      <c r="AM254" s="1147"/>
      <c r="AN254" s="1147"/>
      <c r="AO254" s="1147"/>
      <c r="AP254" s="1147"/>
      <c r="AQ254" s="1147"/>
      <c r="AR254" s="1147"/>
      <c r="AS254" s="1147"/>
      <c r="AT254" s="1147"/>
      <c r="AU254" s="1147"/>
      <c r="AV254" s="1147"/>
      <c r="AW254" s="1147"/>
      <c r="AX254" s="1147"/>
      <c r="AY254" s="1147"/>
      <c r="AZ254" s="1147"/>
      <c r="BA254" s="1147"/>
      <c r="BB254" s="1147"/>
      <c r="BC254" s="1147"/>
      <c r="BD254" s="1147"/>
      <c r="BE254" s="1147"/>
      <c r="BF254" s="1147"/>
      <c r="BG254" s="1147"/>
      <c r="BH254" s="1147"/>
      <c r="BI254" s="1147"/>
      <c r="BJ254" s="1147"/>
      <c r="BK254" s="1147"/>
      <c r="BL254" s="1147"/>
      <c r="BM254" s="1147"/>
      <c r="BN254" s="1147"/>
      <c r="BO254" s="1147"/>
      <c r="BP254" s="1147"/>
      <c r="BQ254" s="1147"/>
      <c r="BR254" s="1147"/>
      <c r="BS254" s="1147"/>
      <c r="BT254" s="1147"/>
      <c r="BU254" s="1147"/>
      <c r="BV254" s="1147"/>
      <c r="BW254" s="1147"/>
      <c r="BX254" s="1147"/>
      <c r="BY254" s="1147"/>
      <c r="BZ254" s="1147"/>
      <c r="CA254" s="1147"/>
      <c r="CB254" s="1147"/>
      <c r="CC254" s="1147"/>
      <c r="CD254" s="1147"/>
      <c r="CE254" s="1147"/>
      <c r="CF254" s="1147"/>
      <c r="CG254" s="1147"/>
      <c r="CH254" s="1147"/>
      <c r="CI254" s="1147"/>
      <c r="CJ254" s="1147"/>
      <c r="CK254" s="1146"/>
    </row>
    <row r="255" spans="1:89" ht="15" x14ac:dyDescent="0.25">
      <c r="A255" s="1146"/>
      <c r="B255" s="1146"/>
      <c r="C255" s="1146"/>
      <c r="D255" s="1146"/>
      <c r="E255" s="1146"/>
      <c r="F255" s="1146"/>
      <c r="G255" s="1146"/>
      <c r="H255" s="1146"/>
      <c r="I255" s="1146"/>
      <c r="J255" s="1146"/>
      <c r="K255" s="1146"/>
      <c r="L255" s="1146"/>
      <c r="M255" s="1146"/>
      <c r="N255" s="1146"/>
      <c r="O255" s="1146"/>
      <c r="P255" s="1146"/>
      <c r="Q255" s="1146"/>
      <c r="R255" s="1146"/>
      <c r="S255" s="1146"/>
      <c r="T255" s="1147"/>
      <c r="U255" s="1147"/>
      <c r="V255" s="1147"/>
      <c r="W255" s="1147"/>
      <c r="X255" s="1147"/>
      <c r="Y255" s="1147"/>
      <c r="Z255" s="1147"/>
      <c r="AA255" s="1147"/>
      <c r="AB255" s="1147"/>
      <c r="AC255" s="1147"/>
      <c r="AD255" s="1147"/>
      <c r="AE255" s="1147"/>
      <c r="AF255" s="1147"/>
      <c r="AG255" s="1147"/>
      <c r="AH255" s="1147"/>
      <c r="AI255" s="1147"/>
      <c r="AJ255" s="1147"/>
      <c r="AK255" s="1147"/>
      <c r="AL255" s="1147"/>
      <c r="AM255" s="1147"/>
      <c r="AN255" s="1147"/>
      <c r="AO255" s="1147"/>
      <c r="AP255" s="1147"/>
      <c r="AQ255" s="1147"/>
      <c r="AR255" s="1147"/>
      <c r="AS255" s="1147"/>
      <c r="AT255" s="1147"/>
      <c r="AU255" s="1147"/>
      <c r="AV255" s="1147"/>
      <c r="AW255" s="1147"/>
      <c r="AX255" s="1147"/>
      <c r="AY255" s="1147"/>
      <c r="AZ255" s="1147"/>
      <c r="BA255" s="1147"/>
      <c r="BB255" s="1147"/>
      <c r="BC255" s="1147"/>
      <c r="BD255" s="1147"/>
      <c r="BE255" s="1147"/>
      <c r="BF255" s="1147"/>
      <c r="BG255" s="1147"/>
      <c r="BH255" s="1147"/>
      <c r="BI255" s="1147"/>
      <c r="BJ255" s="1147"/>
      <c r="BK255" s="1147"/>
      <c r="BL255" s="1147"/>
      <c r="BM255" s="1147"/>
      <c r="BN255" s="1147"/>
      <c r="BO255" s="1147"/>
      <c r="BP255" s="1147"/>
      <c r="BQ255" s="1147"/>
      <c r="BR255" s="1147"/>
      <c r="BS255" s="1147"/>
      <c r="BT255" s="1147"/>
      <c r="BU255" s="1147"/>
      <c r="BV255" s="1147"/>
      <c r="BW255" s="1147"/>
      <c r="BX255" s="1147"/>
      <c r="BY255" s="1147"/>
      <c r="BZ255" s="1147"/>
      <c r="CA255" s="1147"/>
      <c r="CB255" s="1147"/>
      <c r="CC255" s="1147"/>
      <c r="CD255" s="1147"/>
      <c r="CE255" s="1147"/>
      <c r="CF255" s="1147"/>
      <c r="CG255" s="1147"/>
      <c r="CH255" s="1147"/>
      <c r="CI255" s="1147"/>
      <c r="CJ255" s="1147"/>
      <c r="CK255" s="1146"/>
    </row>
    <row r="256" spans="1:89" ht="15" x14ac:dyDescent="0.25">
      <c r="A256" s="1146"/>
      <c r="B256" s="1146"/>
      <c r="C256" s="1146"/>
      <c r="D256" s="1146"/>
      <c r="E256" s="1146"/>
      <c r="F256" s="1146"/>
      <c r="G256" s="1146"/>
      <c r="H256" s="1146"/>
      <c r="I256" s="1146"/>
      <c r="J256" s="1146"/>
      <c r="K256" s="1146"/>
      <c r="L256" s="1146"/>
      <c r="M256" s="1146"/>
      <c r="N256" s="1146"/>
      <c r="O256" s="1146"/>
      <c r="P256" s="1146"/>
      <c r="Q256" s="1146"/>
      <c r="R256" s="1146"/>
      <c r="S256" s="1146"/>
      <c r="T256" s="1147"/>
      <c r="U256" s="1147"/>
      <c r="V256" s="1147"/>
      <c r="W256" s="1147"/>
      <c r="X256" s="1147"/>
      <c r="Y256" s="1147"/>
      <c r="Z256" s="1147"/>
      <c r="AA256" s="1147"/>
      <c r="AB256" s="1147"/>
      <c r="AC256" s="1147"/>
      <c r="AD256" s="1147"/>
      <c r="AE256" s="1147"/>
      <c r="AF256" s="1147"/>
      <c r="AG256" s="1147"/>
      <c r="AH256" s="1147"/>
      <c r="AI256" s="1147"/>
      <c r="AJ256" s="1147"/>
      <c r="AK256" s="1147"/>
      <c r="AL256" s="1147"/>
      <c r="AM256" s="1147"/>
      <c r="AN256" s="1147"/>
      <c r="AO256" s="1147"/>
      <c r="AP256" s="1147"/>
      <c r="AQ256" s="1147"/>
      <c r="AR256" s="1147"/>
      <c r="AS256" s="1147"/>
      <c r="AT256" s="1147"/>
      <c r="AU256" s="1147"/>
      <c r="AV256" s="1147"/>
      <c r="AW256" s="1147"/>
      <c r="AX256" s="1147"/>
      <c r="AY256" s="1147"/>
      <c r="AZ256" s="1147"/>
      <c r="BA256" s="1147"/>
      <c r="BB256" s="1147"/>
      <c r="BC256" s="1147"/>
      <c r="BD256" s="1147"/>
      <c r="BE256" s="1147"/>
      <c r="BF256" s="1147"/>
      <c r="BG256" s="1147"/>
      <c r="BH256" s="1147"/>
      <c r="BI256" s="1147"/>
      <c r="BJ256" s="1147"/>
      <c r="BK256" s="1147"/>
      <c r="BL256" s="1147"/>
      <c r="BM256" s="1147"/>
      <c r="BN256" s="1147"/>
      <c r="BO256" s="1147"/>
      <c r="BP256" s="1147"/>
      <c r="BQ256" s="1147"/>
      <c r="BR256" s="1147"/>
      <c r="BS256" s="1147"/>
      <c r="BT256" s="1147"/>
      <c r="BU256" s="1147"/>
      <c r="BV256" s="1147"/>
      <c r="BW256" s="1147"/>
      <c r="BX256" s="1147"/>
      <c r="BY256" s="1147"/>
      <c r="BZ256" s="1147"/>
      <c r="CA256" s="1147"/>
      <c r="CB256" s="1147"/>
      <c r="CC256" s="1147"/>
      <c r="CD256" s="1147"/>
      <c r="CE256" s="1147"/>
      <c r="CF256" s="1147"/>
      <c r="CG256" s="1147"/>
      <c r="CH256" s="1147"/>
      <c r="CI256" s="1147"/>
      <c r="CJ256" s="1147"/>
      <c r="CK256" s="1146"/>
    </row>
    <row r="257" spans="1:89" ht="15" x14ac:dyDescent="0.25">
      <c r="A257" s="1146"/>
      <c r="B257" s="1146"/>
      <c r="C257" s="1146"/>
      <c r="D257" s="1146"/>
      <c r="E257" s="1146"/>
      <c r="F257" s="1146"/>
      <c r="G257" s="1146"/>
      <c r="H257" s="1146"/>
      <c r="I257" s="1146"/>
      <c r="J257" s="1146"/>
      <c r="K257" s="1146"/>
      <c r="L257" s="1146"/>
      <c r="M257" s="1146"/>
      <c r="N257" s="1146"/>
      <c r="O257" s="1146"/>
      <c r="P257" s="1146"/>
      <c r="Q257" s="1146"/>
      <c r="R257" s="1146"/>
      <c r="S257" s="1146"/>
      <c r="T257" s="1147"/>
      <c r="U257" s="1147"/>
      <c r="V257" s="1147"/>
      <c r="W257" s="1147"/>
      <c r="X257" s="1147"/>
      <c r="Y257" s="1147"/>
      <c r="Z257" s="1147"/>
      <c r="AA257" s="1147"/>
      <c r="AB257" s="1147"/>
      <c r="AC257" s="1147"/>
      <c r="AD257" s="1147"/>
      <c r="AE257" s="1147"/>
      <c r="AF257" s="1147"/>
      <c r="AG257" s="1147"/>
      <c r="AH257" s="1147"/>
      <c r="AI257" s="1147"/>
      <c r="AJ257" s="1147"/>
      <c r="AK257" s="1147"/>
      <c r="AL257" s="1147"/>
      <c r="AM257" s="1147"/>
      <c r="AN257" s="1147"/>
      <c r="AO257" s="1147"/>
      <c r="AP257" s="1147"/>
      <c r="AQ257" s="1147"/>
      <c r="AR257" s="1147"/>
      <c r="AS257" s="1147"/>
      <c r="AT257" s="1147"/>
      <c r="AU257" s="1147"/>
      <c r="AV257" s="1147"/>
      <c r="AW257" s="1147"/>
      <c r="AX257" s="1147"/>
      <c r="AY257" s="1147"/>
      <c r="AZ257" s="1147"/>
      <c r="BA257" s="1147"/>
      <c r="BB257" s="1147"/>
      <c r="BC257" s="1147"/>
      <c r="BD257" s="1147"/>
      <c r="BE257" s="1147"/>
      <c r="BF257" s="1147"/>
      <c r="BG257" s="1147"/>
      <c r="BH257" s="1147"/>
      <c r="BI257" s="1147"/>
      <c r="BJ257" s="1147"/>
      <c r="BK257" s="1147"/>
      <c r="BL257" s="1147"/>
      <c r="BM257" s="1147"/>
      <c r="BN257" s="1147"/>
      <c r="BO257" s="1147"/>
      <c r="BP257" s="1147"/>
      <c r="BQ257" s="1147"/>
      <c r="BR257" s="1147"/>
      <c r="BS257" s="1147"/>
      <c r="BT257" s="1147"/>
      <c r="BU257" s="1147"/>
      <c r="BV257" s="1147"/>
      <c r="BW257" s="1147"/>
      <c r="BX257" s="1147"/>
      <c r="BY257" s="1147"/>
      <c r="BZ257" s="1147"/>
      <c r="CA257" s="1147"/>
      <c r="CB257" s="1147"/>
      <c r="CC257" s="1147"/>
      <c r="CD257" s="1147"/>
      <c r="CE257" s="1147"/>
      <c r="CF257" s="1147"/>
      <c r="CG257" s="1147"/>
      <c r="CH257" s="1147"/>
      <c r="CI257" s="1147"/>
      <c r="CJ257" s="1147"/>
      <c r="CK257" s="1146"/>
    </row>
    <row r="258" spans="1:89" ht="15" x14ac:dyDescent="0.25">
      <c r="A258" s="1146"/>
      <c r="B258" s="1146"/>
      <c r="C258" s="1146"/>
      <c r="D258" s="1146"/>
      <c r="E258" s="1146"/>
      <c r="F258" s="1146"/>
      <c r="G258" s="1146"/>
      <c r="H258" s="1146"/>
      <c r="I258" s="1146"/>
      <c r="J258" s="1146"/>
      <c r="K258" s="1146"/>
      <c r="L258" s="1146"/>
      <c r="M258" s="1146"/>
      <c r="N258" s="1146"/>
      <c r="O258" s="1146"/>
      <c r="P258" s="1146"/>
      <c r="Q258" s="1146"/>
      <c r="R258" s="1146"/>
      <c r="S258" s="1146"/>
      <c r="T258" s="1147"/>
      <c r="U258" s="1147"/>
      <c r="V258" s="1147"/>
      <c r="W258" s="1147"/>
      <c r="X258" s="1147"/>
      <c r="Y258" s="1147"/>
      <c r="Z258" s="1147"/>
      <c r="AA258" s="1147"/>
      <c r="AB258" s="1147"/>
      <c r="AC258" s="1147"/>
      <c r="AD258" s="1147"/>
      <c r="AE258" s="1147"/>
      <c r="AF258" s="1147"/>
      <c r="AG258" s="1147"/>
      <c r="AH258" s="1147"/>
      <c r="AI258" s="1147"/>
      <c r="AJ258" s="1147"/>
      <c r="AK258" s="1147"/>
      <c r="AL258" s="1147"/>
      <c r="AM258" s="1147"/>
      <c r="AN258" s="1147"/>
      <c r="AO258" s="1147"/>
      <c r="AP258" s="1147"/>
      <c r="AQ258" s="1147"/>
      <c r="AR258" s="1147"/>
      <c r="AS258" s="1147"/>
      <c r="AT258" s="1147"/>
      <c r="AU258" s="1147"/>
      <c r="AV258" s="1147"/>
      <c r="AW258" s="1147"/>
      <c r="AX258" s="1147"/>
      <c r="AY258" s="1147"/>
      <c r="AZ258" s="1147"/>
      <c r="BA258" s="1147"/>
      <c r="BB258" s="1147"/>
      <c r="BC258" s="1147"/>
      <c r="BD258" s="1147"/>
      <c r="BE258" s="1147"/>
      <c r="BF258" s="1147"/>
      <c r="BG258" s="1147"/>
      <c r="BH258" s="1147"/>
      <c r="BI258" s="1147"/>
      <c r="BJ258" s="1147"/>
      <c r="BK258" s="1147"/>
      <c r="BL258" s="1147"/>
      <c r="BM258" s="1147"/>
      <c r="BN258" s="1147"/>
      <c r="BO258" s="1147"/>
      <c r="BP258" s="1147"/>
      <c r="BQ258" s="1147"/>
      <c r="BR258" s="1147"/>
      <c r="BS258" s="1147"/>
      <c r="BT258" s="1147"/>
      <c r="BU258" s="1147"/>
      <c r="BV258" s="1147"/>
      <c r="BW258" s="1147"/>
      <c r="BX258" s="1147"/>
      <c r="BY258" s="1147"/>
      <c r="BZ258" s="1147"/>
      <c r="CA258" s="1147"/>
      <c r="CB258" s="1147"/>
      <c r="CC258" s="1147"/>
      <c r="CD258" s="1147"/>
      <c r="CE258" s="1147"/>
      <c r="CF258" s="1147"/>
      <c r="CG258" s="1147"/>
      <c r="CH258" s="1147"/>
      <c r="CI258" s="1147"/>
      <c r="CJ258" s="1147"/>
      <c r="CK258" s="1146"/>
    </row>
    <row r="259" spans="1:89" ht="15" x14ac:dyDescent="0.25">
      <c r="A259" s="1146"/>
      <c r="B259" s="1146"/>
      <c r="C259" s="1146"/>
      <c r="D259" s="1146"/>
      <c r="E259" s="1146"/>
      <c r="F259" s="1146"/>
      <c r="G259" s="1146"/>
      <c r="H259" s="1146"/>
      <c r="I259" s="1146"/>
      <c r="J259" s="1146"/>
      <c r="K259" s="1146"/>
      <c r="L259" s="1146"/>
      <c r="M259" s="1146"/>
      <c r="N259" s="1146"/>
      <c r="O259" s="1146"/>
      <c r="P259" s="1146"/>
      <c r="Q259" s="1146"/>
      <c r="R259" s="1146"/>
      <c r="S259" s="1146"/>
      <c r="T259" s="1147"/>
      <c r="U259" s="1147"/>
      <c r="V259" s="1147"/>
      <c r="W259" s="1147"/>
      <c r="X259" s="1147"/>
      <c r="Y259" s="1147"/>
      <c r="Z259" s="1147"/>
      <c r="AA259" s="1147"/>
      <c r="AB259" s="1147"/>
      <c r="AC259" s="1147"/>
      <c r="AD259" s="1147"/>
      <c r="AE259" s="1147"/>
      <c r="AF259" s="1147"/>
      <c r="AG259" s="1147"/>
      <c r="AH259" s="1147"/>
      <c r="AI259" s="1147"/>
      <c r="AJ259" s="1147"/>
      <c r="AK259" s="1147"/>
      <c r="AL259" s="1147"/>
      <c r="AM259" s="1147"/>
      <c r="AN259" s="1147"/>
      <c r="AO259" s="1147"/>
      <c r="AP259" s="1147"/>
      <c r="AQ259" s="1147"/>
      <c r="AR259" s="1147"/>
      <c r="AS259" s="1147"/>
      <c r="AT259" s="1147"/>
      <c r="AU259" s="1147"/>
      <c r="AV259" s="1147"/>
      <c r="AW259" s="1147"/>
      <c r="AX259" s="1147"/>
      <c r="AY259" s="1147"/>
      <c r="AZ259" s="1147"/>
      <c r="BA259" s="1147"/>
      <c r="BB259" s="1147"/>
      <c r="BC259" s="1147"/>
      <c r="BD259" s="1147"/>
      <c r="BE259" s="1147"/>
      <c r="BF259" s="1147"/>
      <c r="BG259" s="1147"/>
      <c r="BH259" s="1147"/>
      <c r="BI259" s="1147"/>
      <c r="BJ259" s="1147"/>
      <c r="BK259" s="1147"/>
      <c r="BL259" s="1147"/>
      <c r="BM259" s="1147"/>
      <c r="BN259" s="1147"/>
      <c r="BO259" s="1147"/>
      <c r="BP259" s="1147"/>
      <c r="BQ259" s="1147"/>
      <c r="BR259" s="1147"/>
      <c r="BS259" s="1147"/>
      <c r="BT259" s="1147"/>
      <c r="BU259" s="1147"/>
      <c r="BV259" s="1147"/>
      <c r="BW259" s="1147"/>
      <c r="BX259" s="1147"/>
      <c r="BY259" s="1147"/>
      <c r="BZ259" s="1147"/>
      <c r="CA259" s="1147"/>
      <c r="CB259" s="1147"/>
      <c r="CC259" s="1147"/>
      <c r="CD259" s="1147"/>
      <c r="CE259" s="1147"/>
      <c r="CF259" s="1147"/>
      <c r="CG259" s="1147"/>
      <c r="CH259" s="1147"/>
      <c r="CI259" s="1147"/>
      <c r="CJ259" s="1147"/>
      <c r="CK259" s="1146"/>
    </row>
    <row r="260" spans="1:89" ht="15" x14ac:dyDescent="0.25">
      <c r="A260" s="1146"/>
      <c r="B260" s="1146"/>
      <c r="C260" s="1146"/>
      <c r="D260" s="1146"/>
      <c r="E260" s="1146"/>
      <c r="F260" s="1146"/>
      <c r="G260" s="1146"/>
      <c r="H260" s="1146"/>
      <c r="I260" s="1146"/>
      <c r="J260" s="1146"/>
      <c r="K260" s="1146"/>
      <c r="L260" s="1146"/>
      <c r="M260" s="1146"/>
      <c r="N260" s="1146"/>
      <c r="O260" s="1146"/>
      <c r="P260" s="1146"/>
      <c r="Q260" s="1146"/>
      <c r="R260" s="1146"/>
      <c r="S260" s="1146"/>
      <c r="T260" s="1147"/>
      <c r="U260" s="1147"/>
      <c r="V260" s="1147"/>
      <c r="W260" s="1147"/>
      <c r="X260" s="1147"/>
      <c r="Y260" s="1147"/>
      <c r="Z260" s="1147"/>
      <c r="AA260" s="1147"/>
      <c r="AB260" s="1147"/>
      <c r="AC260" s="1147"/>
      <c r="AD260" s="1147"/>
      <c r="AE260" s="1147"/>
      <c r="AF260" s="1147"/>
      <c r="AG260" s="1147"/>
      <c r="AH260" s="1147"/>
      <c r="AI260" s="1147"/>
      <c r="AJ260" s="1147"/>
      <c r="AK260" s="1147"/>
      <c r="AL260" s="1147"/>
      <c r="AM260" s="1147"/>
      <c r="AN260" s="1147"/>
      <c r="AO260" s="1147"/>
      <c r="AP260" s="1147"/>
      <c r="AQ260" s="1147"/>
      <c r="AR260" s="1147"/>
      <c r="AS260" s="1147"/>
      <c r="AT260" s="1147"/>
      <c r="AU260" s="1147"/>
      <c r="AV260" s="1147"/>
      <c r="AW260" s="1147"/>
      <c r="AX260" s="1147"/>
      <c r="AY260" s="1147"/>
      <c r="AZ260" s="1147"/>
      <c r="BA260" s="1147"/>
      <c r="BB260" s="1147"/>
      <c r="BC260" s="1147"/>
      <c r="BD260" s="1147"/>
      <c r="BE260" s="1147"/>
      <c r="BF260" s="1147"/>
      <c r="BG260" s="1147"/>
      <c r="BH260" s="1147"/>
      <c r="BI260" s="1147"/>
      <c r="BJ260" s="1147"/>
      <c r="BK260" s="1147"/>
      <c r="BL260" s="1147"/>
      <c r="BM260" s="1147"/>
      <c r="BN260" s="1147"/>
      <c r="BO260" s="1147"/>
      <c r="BP260" s="1147"/>
      <c r="BQ260" s="1147"/>
      <c r="BR260" s="1147"/>
      <c r="BS260" s="1147"/>
      <c r="BT260" s="1147"/>
      <c r="BU260" s="1147"/>
      <c r="BV260" s="1147"/>
      <c r="BW260" s="1147"/>
      <c r="BX260" s="1147"/>
      <c r="BY260" s="1147"/>
      <c r="BZ260" s="1147"/>
      <c r="CA260" s="1147"/>
      <c r="CB260" s="1147"/>
      <c r="CC260" s="1147"/>
      <c r="CD260" s="1147"/>
      <c r="CE260" s="1147"/>
      <c r="CF260" s="1147"/>
      <c r="CG260" s="1147"/>
      <c r="CH260" s="1147"/>
      <c r="CI260" s="1147"/>
      <c r="CJ260" s="1147"/>
      <c r="CK260" s="1146"/>
    </row>
    <row r="261" spans="1:89" ht="15" x14ac:dyDescent="0.25">
      <c r="A261" s="1146"/>
      <c r="B261" s="1146"/>
      <c r="C261" s="1146"/>
      <c r="D261" s="1146"/>
      <c r="E261" s="1146"/>
      <c r="F261" s="1146"/>
      <c r="G261" s="1146"/>
      <c r="H261" s="1146"/>
      <c r="I261" s="1146"/>
      <c r="J261" s="1146"/>
      <c r="K261" s="1146"/>
      <c r="L261" s="1146"/>
      <c r="M261" s="1146"/>
      <c r="N261" s="1146"/>
      <c r="O261" s="1146"/>
      <c r="P261" s="1146"/>
      <c r="Q261" s="1146"/>
      <c r="R261" s="1146"/>
      <c r="S261" s="1146"/>
      <c r="T261" s="1147"/>
      <c r="U261" s="1147"/>
      <c r="V261" s="1147"/>
      <c r="W261" s="1147"/>
      <c r="X261" s="1147"/>
      <c r="Y261" s="1147"/>
      <c r="Z261" s="1147"/>
      <c r="AA261" s="1147"/>
      <c r="AB261" s="1147"/>
      <c r="AC261" s="1147"/>
      <c r="AD261" s="1147"/>
      <c r="AE261" s="1147"/>
      <c r="AF261" s="1147"/>
      <c r="AG261" s="1147"/>
      <c r="AH261" s="1147"/>
      <c r="AI261" s="1147"/>
      <c r="AJ261" s="1147"/>
      <c r="AK261" s="1147"/>
      <c r="AL261" s="1147"/>
      <c r="AM261" s="1147"/>
      <c r="AN261" s="1147"/>
      <c r="AO261" s="1147"/>
      <c r="AP261" s="1147"/>
      <c r="AQ261" s="1147"/>
      <c r="AR261" s="1147"/>
      <c r="AS261" s="1147"/>
      <c r="AT261" s="1147"/>
      <c r="AU261" s="1147"/>
      <c r="AV261" s="1147"/>
      <c r="AW261" s="1147"/>
      <c r="AX261" s="1147"/>
      <c r="AY261" s="1147"/>
      <c r="AZ261" s="1147"/>
      <c r="BA261" s="1147"/>
      <c r="BB261" s="1147"/>
      <c r="BC261" s="1147"/>
      <c r="BD261" s="1147"/>
      <c r="BE261" s="1147"/>
      <c r="BF261" s="1147"/>
      <c r="BG261" s="1147"/>
      <c r="BH261" s="1147"/>
      <c r="BI261" s="1147"/>
      <c r="BJ261" s="1147"/>
      <c r="BK261" s="1147"/>
      <c r="BL261" s="1147"/>
      <c r="BM261" s="1147"/>
      <c r="BN261" s="1147"/>
      <c r="BO261" s="1147"/>
      <c r="BP261" s="1147"/>
      <c r="BQ261" s="1147"/>
      <c r="BR261" s="1147"/>
      <c r="BS261" s="1147"/>
      <c r="BT261" s="1147"/>
      <c r="BU261" s="1147"/>
      <c r="BV261" s="1147"/>
      <c r="BW261" s="1147"/>
      <c r="BX261" s="1147"/>
      <c r="BY261" s="1147"/>
      <c r="BZ261" s="1147"/>
      <c r="CA261" s="1147"/>
      <c r="CB261" s="1147"/>
      <c r="CC261" s="1147"/>
      <c r="CD261" s="1147"/>
      <c r="CE261" s="1147"/>
      <c r="CF261" s="1147"/>
      <c r="CG261" s="1147"/>
      <c r="CH261" s="1147"/>
      <c r="CI261" s="1147"/>
      <c r="CJ261" s="1147"/>
      <c r="CK261" s="1146"/>
    </row>
    <row r="262" spans="1:89" ht="15" x14ac:dyDescent="0.25">
      <c r="A262" s="1146"/>
      <c r="B262" s="1146"/>
      <c r="C262" s="1146"/>
      <c r="D262" s="1146"/>
      <c r="E262" s="1146"/>
      <c r="F262" s="1146"/>
      <c r="G262" s="1146"/>
      <c r="H262" s="1146"/>
      <c r="I262" s="1146"/>
      <c r="J262" s="1146"/>
      <c r="K262" s="1146"/>
      <c r="L262" s="1146"/>
      <c r="M262" s="1146"/>
      <c r="N262" s="1146"/>
      <c r="O262" s="1146"/>
      <c r="P262" s="1146"/>
      <c r="Q262" s="1146"/>
      <c r="R262" s="1146"/>
      <c r="S262" s="1146"/>
      <c r="T262" s="1147"/>
      <c r="U262" s="1147"/>
      <c r="V262" s="1147"/>
      <c r="W262" s="1147"/>
      <c r="X262" s="1147"/>
      <c r="Y262" s="1147"/>
      <c r="Z262" s="1147"/>
      <c r="AA262" s="1147"/>
      <c r="AB262" s="1147"/>
      <c r="AC262" s="1147"/>
      <c r="AD262" s="1147"/>
      <c r="AE262" s="1147"/>
      <c r="AF262" s="1147"/>
      <c r="AG262" s="1147"/>
      <c r="AH262" s="1147"/>
      <c r="AI262" s="1147"/>
      <c r="AJ262" s="1147"/>
      <c r="AK262" s="1147"/>
      <c r="AL262" s="1147"/>
      <c r="AM262" s="1147"/>
      <c r="AN262" s="1147"/>
      <c r="AO262" s="1147"/>
      <c r="AP262" s="1147"/>
      <c r="AQ262" s="1147"/>
      <c r="AR262" s="1147"/>
      <c r="AS262" s="1147"/>
      <c r="AT262" s="1147"/>
      <c r="AU262" s="1147"/>
      <c r="AV262" s="1147"/>
      <c r="AW262" s="1147"/>
      <c r="AX262" s="1147"/>
      <c r="AY262" s="1147"/>
      <c r="AZ262" s="1147"/>
      <c r="BA262" s="1147"/>
      <c r="BB262" s="1147"/>
      <c r="BC262" s="1147"/>
      <c r="BD262" s="1147"/>
      <c r="BE262" s="1147"/>
      <c r="BF262" s="1147"/>
      <c r="BG262" s="1147"/>
      <c r="BH262" s="1147"/>
      <c r="BI262" s="1147"/>
      <c r="BJ262" s="1147"/>
      <c r="BK262" s="1147"/>
      <c r="BL262" s="1147"/>
      <c r="BM262" s="1147"/>
      <c r="BN262" s="1147"/>
      <c r="BO262" s="1147"/>
      <c r="BP262" s="1147"/>
      <c r="BQ262" s="1147"/>
      <c r="BR262" s="1147"/>
      <c r="BS262" s="1147"/>
      <c r="BT262" s="1147"/>
      <c r="BU262" s="1147"/>
      <c r="BV262" s="1147"/>
      <c r="BW262" s="1147"/>
      <c r="BX262" s="1147"/>
      <c r="BY262" s="1147"/>
      <c r="BZ262" s="1147"/>
      <c r="CA262" s="1147"/>
      <c r="CB262" s="1147"/>
      <c r="CC262" s="1147"/>
      <c r="CD262" s="1147"/>
      <c r="CE262" s="1147"/>
      <c r="CF262" s="1147"/>
      <c r="CG262" s="1147"/>
      <c r="CH262" s="1147"/>
      <c r="CI262" s="1147"/>
      <c r="CJ262" s="1147"/>
      <c r="CK262" s="1146"/>
    </row>
    <row r="263" spans="1:89" ht="15" x14ac:dyDescent="0.25">
      <c r="A263" s="1146"/>
      <c r="B263" s="1146"/>
      <c r="C263" s="1146"/>
      <c r="D263" s="1146"/>
      <c r="E263" s="1146"/>
      <c r="F263" s="1146"/>
      <c r="G263" s="1146"/>
      <c r="H263" s="1146"/>
      <c r="I263" s="1146"/>
      <c r="J263" s="1146"/>
      <c r="K263" s="1146"/>
      <c r="L263" s="1146"/>
      <c r="M263" s="1146"/>
      <c r="N263" s="1146"/>
      <c r="O263" s="1146"/>
      <c r="P263" s="1146"/>
      <c r="Q263" s="1146"/>
      <c r="R263" s="1146"/>
      <c r="S263" s="1146"/>
      <c r="T263" s="1147"/>
      <c r="U263" s="1147"/>
      <c r="V263" s="1147"/>
      <c r="W263" s="1147"/>
      <c r="X263" s="1147"/>
      <c r="Y263" s="1147"/>
      <c r="Z263" s="1147"/>
      <c r="AA263" s="1147"/>
      <c r="AB263" s="1147"/>
      <c r="AC263" s="1147"/>
      <c r="AD263" s="1147"/>
      <c r="AE263" s="1147"/>
      <c r="AF263" s="1147"/>
      <c r="AG263" s="1147"/>
      <c r="AH263" s="1147"/>
      <c r="AI263" s="1147"/>
      <c r="AJ263" s="1147"/>
      <c r="AK263" s="1147"/>
      <c r="AL263" s="1147"/>
      <c r="AM263" s="1147"/>
      <c r="AN263" s="1147"/>
      <c r="AO263" s="1147"/>
      <c r="AP263" s="1147"/>
      <c r="AQ263" s="1147"/>
      <c r="AR263" s="1147"/>
      <c r="AS263" s="1147"/>
      <c r="AT263" s="1147"/>
      <c r="AU263" s="1147"/>
      <c r="AV263" s="1147"/>
      <c r="AW263" s="1147"/>
      <c r="AX263" s="1147"/>
      <c r="AY263" s="1147"/>
      <c r="AZ263" s="1147"/>
      <c r="BA263" s="1147"/>
      <c r="BB263" s="1147"/>
      <c r="BC263" s="1147"/>
      <c r="BD263" s="1147"/>
      <c r="BE263" s="1147"/>
      <c r="BF263" s="1147"/>
      <c r="BG263" s="1147"/>
      <c r="BH263" s="1147"/>
      <c r="BI263" s="1147"/>
      <c r="BJ263" s="1147"/>
      <c r="BK263" s="1147"/>
      <c r="BL263" s="1147"/>
      <c r="BM263" s="1147"/>
      <c r="BN263" s="1147"/>
      <c r="BO263" s="1147"/>
      <c r="BP263" s="1147"/>
      <c r="BQ263" s="1147"/>
      <c r="BR263" s="1147"/>
      <c r="BS263" s="1147"/>
      <c r="BT263" s="1147"/>
      <c r="BU263" s="1147"/>
      <c r="BV263" s="1147"/>
      <c r="BW263" s="1147"/>
      <c r="BX263" s="1147"/>
      <c r="BY263" s="1147"/>
      <c r="BZ263" s="1147"/>
      <c r="CA263" s="1147"/>
      <c r="CB263" s="1147"/>
      <c r="CC263" s="1147"/>
      <c r="CD263" s="1147"/>
      <c r="CE263" s="1147"/>
      <c r="CF263" s="1147"/>
      <c r="CG263" s="1147"/>
      <c r="CH263" s="1147"/>
      <c r="CI263" s="1147"/>
      <c r="CJ263" s="1147"/>
      <c r="CK263" s="1146"/>
    </row>
    <row r="264" spans="1:89" ht="15" x14ac:dyDescent="0.25">
      <c r="A264" s="1146"/>
      <c r="B264" s="1146"/>
      <c r="C264" s="1146"/>
      <c r="D264" s="1146"/>
      <c r="E264" s="1146"/>
      <c r="F264" s="1146"/>
      <c r="G264" s="1146"/>
      <c r="H264" s="1146"/>
      <c r="I264" s="1146"/>
      <c r="J264" s="1146"/>
      <c r="K264" s="1146"/>
      <c r="L264" s="1146"/>
      <c r="M264" s="1146"/>
      <c r="N264" s="1146"/>
      <c r="O264" s="1146"/>
      <c r="P264" s="1146"/>
      <c r="Q264" s="1146"/>
      <c r="R264" s="1146"/>
      <c r="S264" s="1146"/>
      <c r="T264" s="1147"/>
      <c r="U264" s="1147"/>
      <c r="V264" s="1147"/>
      <c r="W264" s="1147"/>
      <c r="X264" s="1147"/>
      <c r="Y264" s="1147"/>
      <c r="Z264" s="1147"/>
      <c r="AA264" s="1147"/>
      <c r="AB264" s="1147"/>
      <c r="AC264" s="1147"/>
      <c r="AD264" s="1147"/>
      <c r="AE264" s="1147"/>
      <c r="AF264" s="1147"/>
      <c r="AG264" s="1147"/>
      <c r="AH264" s="1147"/>
      <c r="AI264" s="1147"/>
      <c r="AJ264" s="1147"/>
      <c r="AK264" s="1147"/>
      <c r="AL264" s="1147"/>
      <c r="AM264" s="1147"/>
      <c r="AN264" s="1147"/>
      <c r="AO264" s="1147"/>
      <c r="AP264" s="1147"/>
      <c r="AQ264" s="1147"/>
      <c r="AR264" s="1147"/>
      <c r="AS264" s="1147"/>
      <c r="AT264" s="1147"/>
      <c r="AU264" s="1147"/>
      <c r="AV264" s="1147"/>
      <c r="AW264" s="1147"/>
      <c r="AX264" s="1147"/>
      <c r="AY264" s="1147"/>
      <c r="AZ264" s="1147"/>
      <c r="BA264" s="1147"/>
      <c r="BB264" s="1147"/>
      <c r="BC264" s="1147"/>
      <c r="BD264" s="1147"/>
      <c r="BE264" s="1147"/>
      <c r="BF264" s="1147"/>
      <c r="BG264" s="1147"/>
      <c r="BH264" s="1147"/>
      <c r="BI264" s="1147"/>
      <c r="BJ264" s="1147"/>
      <c r="BK264" s="1147"/>
      <c r="BL264" s="1147"/>
      <c r="BM264" s="1147"/>
      <c r="BN264" s="1147"/>
      <c r="BO264" s="1147"/>
      <c r="BP264" s="1147"/>
      <c r="BQ264" s="1147"/>
      <c r="BR264" s="1147"/>
      <c r="BS264" s="1147"/>
      <c r="BT264" s="1147"/>
      <c r="BU264" s="1147"/>
      <c r="BV264" s="1147"/>
      <c r="BW264" s="1147"/>
      <c r="BX264" s="1147"/>
      <c r="BY264" s="1147"/>
      <c r="BZ264" s="1147"/>
      <c r="CA264" s="1147"/>
      <c r="CB264" s="1147"/>
      <c r="CC264" s="1147"/>
      <c r="CD264" s="1147"/>
      <c r="CE264" s="1147"/>
      <c r="CF264" s="1147"/>
      <c r="CG264" s="1147"/>
      <c r="CH264" s="1147"/>
      <c r="CI264" s="1147"/>
      <c r="CJ264" s="1147"/>
      <c r="CK264" s="1146"/>
    </row>
    <row r="265" spans="1:89" ht="15" x14ac:dyDescent="0.25">
      <c r="A265" s="1146"/>
      <c r="B265" s="1146"/>
      <c r="C265" s="1146"/>
      <c r="D265" s="1146"/>
      <c r="E265" s="1146"/>
      <c r="F265" s="1146"/>
      <c r="G265" s="1146"/>
      <c r="H265" s="1146"/>
      <c r="I265" s="1146"/>
      <c r="J265" s="1146"/>
      <c r="K265" s="1146"/>
      <c r="L265" s="1146"/>
      <c r="M265" s="1146"/>
      <c r="N265" s="1146"/>
      <c r="O265" s="1146"/>
      <c r="P265" s="1146"/>
      <c r="Q265" s="1146"/>
      <c r="R265" s="1146"/>
      <c r="S265" s="1146"/>
      <c r="T265" s="1147"/>
      <c r="U265" s="1147"/>
      <c r="V265" s="1147"/>
      <c r="W265" s="1147"/>
      <c r="X265" s="1147"/>
      <c r="Y265" s="1147"/>
      <c r="Z265" s="1147"/>
      <c r="AA265" s="1147"/>
      <c r="AB265" s="1147"/>
      <c r="AC265" s="1147"/>
      <c r="AD265" s="1147"/>
      <c r="AE265" s="1147"/>
      <c r="AF265" s="1147"/>
      <c r="AG265" s="1147"/>
      <c r="AH265" s="1147"/>
      <c r="AI265" s="1147"/>
      <c r="AJ265" s="1147"/>
      <c r="AK265" s="1147"/>
      <c r="AL265" s="1147"/>
      <c r="AM265" s="1147"/>
      <c r="AN265" s="1147"/>
      <c r="AO265" s="1147"/>
      <c r="AP265" s="1147"/>
      <c r="AQ265" s="1147"/>
      <c r="AR265" s="1147"/>
      <c r="AS265" s="1147"/>
      <c r="AT265" s="1147"/>
      <c r="AU265" s="1147"/>
      <c r="AV265" s="1147"/>
      <c r="AW265" s="1147"/>
      <c r="AX265" s="1147"/>
      <c r="AY265" s="1147"/>
      <c r="AZ265" s="1147"/>
      <c r="BA265" s="1147"/>
      <c r="BB265" s="1147"/>
      <c r="BC265" s="1147"/>
      <c r="BD265" s="1147"/>
      <c r="BE265" s="1147"/>
      <c r="BF265" s="1147"/>
      <c r="BG265" s="1147"/>
      <c r="BH265" s="1147"/>
      <c r="BI265" s="1147"/>
      <c r="BJ265" s="1147"/>
      <c r="BK265" s="1147"/>
      <c r="BL265" s="1147"/>
      <c r="BM265" s="1147"/>
      <c r="BN265" s="1147"/>
      <c r="BO265" s="1147"/>
      <c r="BP265" s="1147"/>
      <c r="BQ265" s="1147"/>
      <c r="BR265" s="1147"/>
      <c r="BS265" s="1147"/>
      <c r="BT265" s="1147"/>
      <c r="BU265" s="1147"/>
      <c r="BV265" s="1147"/>
      <c r="BW265" s="1147"/>
      <c r="BX265" s="1147"/>
      <c r="BY265" s="1147"/>
      <c r="BZ265" s="1147"/>
      <c r="CA265" s="1147"/>
      <c r="CB265" s="1147"/>
      <c r="CC265" s="1147"/>
      <c r="CD265" s="1147"/>
      <c r="CE265" s="1147"/>
      <c r="CF265" s="1147"/>
      <c r="CG265" s="1147"/>
      <c r="CH265" s="1147"/>
      <c r="CI265" s="1147"/>
      <c r="CJ265" s="1147"/>
      <c r="CK265" s="1146"/>
    </row>
    <row r="266" spans="1:89" ht="15" x14ac:dyDescent="0.25">
      <c r="A266" s="1146"/>
      <c r="B266" s="1146"/>
      <c r="C266" s="1146"/>
      <c r="D266" s="1146"/>
      <c r="E266" s="1146"/>
      <c r="F266" s="1146"/>
      <c r="G266" s="1146"/>
      <c r="H266" s="1146"/>
      <c r="I266" s="1146"/>
      <c r="J266" s="1146"/>
      <c r="K266" s="1146"/>
      <c r="L266" s="1146"/>
      <c r="M266" s="1146"/>
      <c r="N266" s="1146"/>
      <c r="O266" s="1146"/>
      <c r="P266" s="1146"/>
      <c r="Q266" s="1146"/>
      <c r="R266" s="1146"/>
      <c r="S266" s="1146"/>
      <c r="T266" s="1147"/>
      <c r="U266" s="1147"/>
      <c r="V266" s="1147"/>
      <c r="W266" s="1147"/>
      <c r="X266" s="1147"/>
      <c r="Y266" s="1147"/>
      <c r="Z266" s="1147"/>
      <c r="AA266" s="1147"/>
      <c r="AB266" s="1147"/>
      <c r="AC266" s="1147"/>
      <c r="AD266" s="1147"/>
      <c r="AE266" s="1147"/>
      <c r="AF266" s="1147"/>
      <c r="AG266" s="1147"/>
      <c r="AH266" s="1147"/>
      <c r="AI266" s="1147"/>
      <c r="AJ266" s="1147"/>
      <c r="AK266" s="1147"/>
      <c r="AL266" s="1147"/>
      <c r="AM266" s="1147"/>
      <c r="AN266" s="1147"/>
      <c r="AO266" s="1147"/>
      <c r="AP266" s="1147"/>
      <c r="AQ266" s="1147"/>
      <c r="AR266" s="1147"/>
      <c r="AS266" s="1147"/>
      <c r="AT266" s="1147"/>
      <c r="AU266" s="1147"/>
      <c r="AV266" s="1147"/>
      <c r="AW266" s="1147"/>
      <c r="AX266" s="1147"/>
      <c r="AY266" s="1147"/>
      <c r="AZ266" s="1147"/>
      <c r="BA266" s="1147"/>
      <c r="BB266" s="1147"/>
      <c r="BC266" s="1147"/>
      <c r="BD266" s="1147"/>
      <c r="BE266" s="1147"/>
      <c r="BF266" s="1147"/>
      <c r="BG266" s="1147"/>
      <c r="BH266" s="1147"/>
      <c r="BI266" s="1147"/>
      <c r="BJ266" s="1147"/>
      <c r="BK266" s="1147"/>
      <c r="BL266" s="1147"/>
      <c r="BM266" s="1147"/>
      <c r="BN266" s="1147"/>
      <c r="BO266" s="1147"/>
      <c r="BP266" s="1147"/>
      <c r="BQ266" s="1147"/>
      <c r="BR266" s="1147"/>
      <c r="BS266" s="1147"/>
      <c r="BT266" s="1147"/>
      <c r="BU266" s="1147"/>
      <c r="BV266" s="1147"/>
      <c r="BW266" s="1147"/>
      <c r="BX266" s="1147"/>
      <c r="BY266" s="1147"/>
      <c r="BZ266" s="1147"/>
      <c r="CA266" s="1147"/>
      <c r="CB266" s="1147"/>
      <c r="CC266" s="1147"/>
      <c r="CD266" s="1147"/>
      <c r="CE266" s="1147"/>
      <c r="CF266" s="1147"/>
      <c r="CG266" s="1147"/>
      <c r="CH266" s="1147"/>
      <c r="CI266" s="1147"/>
      <c r="CJ266" s="1147"/>
      <c r="CK266" s="1146"/>
    </row>
    <row r="267" spans="1:89" ht="15" x14ac:dyDescent="0.25">
      <c r="A267" s="1146"/>
      <c r="B267" s="1146"/>
      <c r="C267" s="1146"/>
      <c r="D267" s="1146"/>
      <c r="E267" s="1146"/>
      <c r="F267" s="1146"/>
      <c r="G267" s="1146"/>
      <c r="H267" s="1146"/>
      <c r="I267" s="1146"/>
      <c r="J267" s="1146"/>
      <c r="K267" s="1146"/>
      <c r="L267" s="1146"/>
      <c r="M267" s="1146"/>
      <c r="N267" s="1146"/>
      <c r="O267" s="1146"/>
      <c r="P267" s="1146"/>
      <c r="Q267" s="1146"/>
      <c r="R267" s="1146"/>
      <c r="S267" s="1146"/>
      <c r="T267" s="1147"/>
      <c r="U267" s="1147"/>
      <c r="V267" s="1147"/>
      <c r="W267" s="1147"/>
      <c r="X267" s="1147"/>
      <c r="Y267" s="1147"/>
      <c r="Z267" s="1147"/>
      <c r="AA267" s="1147"/>
      <c r="AB267" s="1147"/>
      <c r="AC267" s="1147"/>
      <c r="AD267" s="1147"/>
      <c r="AE267" s="1147"/>
      <c r="AF267" s="1147"/>
      <c r="AG267" s="1147"/>
      <c r="AH267" s="1147"/>
      <c r="AI267" s="1147"/>
      <c r="AJ267" s="1147"/>
      <c r="AK267" s="1147"/>
      <c r="AL267" s="1147"/>
      <c r="AM267" s="1147"/>
      <c r="AN267" s="1147"/>
      <c r="AO267" s="1147"/>
      <c r="AP267" s="1147"/>
      <c r="AQ267" s="1147"/>
      <c r="AR267" s="1147"/>
      <c r="AS267" s="1147"/>
      <c r="AT267" s="1147"/>
      <c r="AU267" s="1147"/>
      <c r="AV267" s="1147"/>
      <c r="AW267" s="1147"/>
      <c r="AX267" s="1147"/>
      <c r="AY267" s="1147"/>
      <c r="AZ267" s="1147"/>
      <c r="BA267" s="1147"/>
      <c r="BB267" s="1147"/>
      <c r="BC267" s="1147"/>
      <c r="BD267" s="1147"/>
      <c r="BE267" s="1147"/>
      <c r="BF267" s="1147"/>
      <c r="BG267" s="1147"/>
      <c r="BH267" s="1147"/>
      <c r="BI267" s="1147"/>
      <c r="BJ267" s="1147"/>
      <c r="BK267" s="1147"/>
      <c r="BL267" s="1147"/>
      <c r="BM267" s="1147"/>
      <c r="BN267" s="1147"/>
      <c r="BO267" s="1147"/>
      <c r="BP267" s="1147"/>
      <c r="BQ267" s="1147"/>
      <c r="BR267" s="1147"/>
      <c r="BS267" s="1147"/>
      <c r="BT267" s="1147"/>
      <c r="BU267" s="1147"/>
      <c r="BV267" s="1147"/>
      <c r="BW267" s="1147"/>
      <c r="BX267" s="1147"/>
      <c r="BY267" s="1147"/>
      <c r="BZ267" s="1147"/>
      <c r="CA267" s="1147"/>
      <c r="CB267" s="1147"/>
      <c r="CC267" s="1147"/>
      <c r="CD267" s="1147"/>
      <c r="CE267" s="1147"/>
      <c r="CF267" s="1147"/>
      <c r="CG267" s="1147"/>
      <c r="CH267" s="1147"/>
      <c r="CI267" s="1147"/>
      <c r="CJ267" s="1147"/>
      <c r="CK267" s="1146"/>
    </row>
    <row r="268" spans="1:89" ht="15" x14ac:dyDescent="0.25">
      <c r="A268" s="1146"/>
      <c r="B268" s="1146"/>
      <c r="C268" s="1146"/>
      <c r="D268" s="1146"/>
      <c r="E268" s="1146"/>
      <c r="F268" s="1146"/>
      <c r="G268" s="1146"/>
      <c r="H268" s="1146"/>
      <c r="I268" s="1146"/>
      <c r="J268" s="1146"/>
      <c r="K268" s="1146"/>
      <c r="L268" s="1146"/>
      <c r="M268" s="1146"/>
      <c r="N268" s="1146"/>
      <c r="O268" s="1146"/>
      <c r="P268" s="1146"/>
      <c r="Q268" s="1146"/>
      <c r="R268" s="1146"/>
      <c r="S268" s="1146"/>
      <c r="T268" s="1147"/>
      <c r="U268" s="1147"/>
      <c r="V268" s="1147"/>
      <c r="W268" s="1147"/>
      <c r="X268" s="1147"/>
      <c r="Y268" s="1147"/>
      <c r="Z268" s="1147"/>
      <c r="AA268" s="1147"/>
      <c r="AB268" s="1147"/>
      <c r="AC268" s="1147"/>
      <c r="AD268" s="1147"/>
      <c r="AE268" s="1147"/>
      <c r="AF268" s="1147"/>
      <c r="AG268" s="1147"/>
      <c r="AH268" s="1147"/>
      <c r="AI268" s="1147"/>
      <c r="AJ268" s="1147"/>
      <c r="AK268" s="1147"/>
      <c r="AL268" s="1147"/>
      <c r="AM268" s="1147"/>
      <c r="AN268" s="1147"/>
      <c r="AO268" s="1147"/>
      <c r="AP268" s="1147"/>
      <c r="AQ268" s="1147"/>
      <c r="AR268" s="1147"/>
      <c r="AS268" s="1147"/>
      <c r="AT268" s="1147"/>
      <c r="AU268" s="1147"/>
      <c r="AV268" s="1147"/>
      <c r="AW268" s="1147"/>
      <c r="AX268" s="1147"/>
      <c r="AY268" s="1147"/>
      <c r="AZ268" s="1147"/>
      <c r="BA268" s="1147"/>
      <c r="BB268" s="1147"/>
      <c r="BC268" s="1147"/>
      <c r="BD268" s="1147"/>
      <c r="BE268" s="1147"/>
      <c r="BF268" s="1147"/>
      <c r="BG268" s="1147"/>
      <c r="BH268" s="1147"/>
      <c r="BI268" s="1147"/>
      <c r="BJ268" s="1147"/>
      <c r="BK268" s="1147"/>
      <c r="BL268" s="1147"/>
      <c r="BM268" s="1147"/>
      <c r="BN268" s="1147"/>
      <c r="BO268" s="1147"/>
      <c r="BP268" s="1147"/>
      <c r="BQ268" s="1147"/>
      <c r="BR268" s="1147"/>
      <c r="BS268" s="1147"/>
      <c r="BT268" s="1147"/>
      <c r="BU268" s="1147"/>
      <c r="BV268" s="1147"/>
      <c r="BW268" s="1147"/>
      <c r="BX268" s="1147"/>
      <c r="BY268" s="1147"/>
      <c r="BZ268" s="1147"/>
      <c r="CA268" s="1147"/>
      <c r="CB268" s="1147"/>
      <c r="CC268" s="1147"/>
      <c r="CD268" s="1147"/>
      <c r="CE268" s="1147"/>
      <c r="CF268" s="1147"/>
      <c r="CG268" s="1147"/>
      <c r="CH268" s="1147"/>
      <c r="CI268" s="1147"/>
      <c r="CJ268" s="1147"/>
      <c r="CK268" s="1146"/>
    </row>
    <row r="269" spans="1:89" ht="15" x14ac:dyDescent="0.25">
      <c r="A269" s="1146"/>
      <c r="B269" s="1146"/>
      <c r="C269" s="1146"/>
      <c r="D269" s="1146"/>
      <c r="E269" s="1146"/>
      <c r="F269" s="1146"/>
      <c r="G269" s="1146"/>
      <c r="H269" s="1146"/>
      <c r="I269" s="1146"/>
      <c r="J269" s="1146"/>
      <c r="K269" s="1146"/>
      <c r="L269" s="1146"/>
      <c r="M269" s="1146"/>
      <c r="N269" s="1146"/>
      <c r="O269" s="1146"/>
      <c r="P269" s="1146"/>
      <c r="Q269" s="1146"/>
      <c r="R269" s="1146"/>
      <c r="S269" s="1146"/>
      <c r="T269" s="1147"/>
      <c r="U269" s="1147"/>
      <c r="V269" s="1147"/>
      <c r="W269" s="1147"/>
      <c r="X269" s="1147"/>
      <c r="Y269" s="1147"/>
      <c r="Z269" s="1147"/>
      <c r="AA269" s="1147"/>
      <c r="AB269" s="1147"/>
      <c r="AC269" s="1147"/>
      <c r="AD269" s="1147"/>
      <c r="AE269" s="1147"/>
      <c r="AF269" s="1147"/>
      <c r="AG269" s="1147"/>
      <c r="AH269" s="1147"/>
      <c r="AI269" s="1147"/>
      <c r="AJ269" s="1147"/>
      <c r="AK269" s="1147"/>
      <c r="AL269" s="1147"/>
      <c r="AM269" s="1147"/>
      <c r="AN269" s="1147"/>
      <c r="AO269" s="1147"/>
      <c r="AP269" s="1147"/>
      <c r="AQ269" s="1147"/>
      <c r="AR269" s="1147"/>
      <c r="AS269" s="1147"/>
      <c r="AT269" s="1147"/>
      <c r="AU269" s="1147"/>
      <c r="AV269" s="1147"/>
      <c r="AW269" s="1147"/>
      <c r="AX269" s="1147"/>
      <c r="AY269" s="1147"/>
      <c r="AZ269" s="1147"/>
      <c r="BA269" s="1147"/>
      <c r="BB269" s="1147"/>
      <c r="BC269" s="1147"/>
      <c r="BD269" s="1147"/>
      <c r="BE269" s="1147"/>
      <c r="BF269" s="1147"/>
      <c r="BG269" s="1147"/>
      <c r="BH269" s="1147"/>
      <c r="BI269" s="1147"/>
      <c r="BJ269" s="1147"/>
      <c r="BK269" s="1147"/>
      <c r="BL269" s="1147"/>
      <c r="BM269" s="1147"/>
      <c r="BN269" s="1147"/>
      <c r="BO269" s="1147"/>
      <c r="BP269" s="1147"/>
      <c r="BQ269" s="1147"/>
      <c r="BR269" s="1147"/>
      <c r="BS269" s="1147"/>
      <c r="BT269" s="1147"/>
      <c r="BU269" s="1147"/>
      <c r="BV269" s="1147"/>
      <c r="BW269" s="1147"/>
      <c r="BX269" s="1147"/>
      <c r="BY269" s="1147"/>
      <c r="BZ269" s="1147"/>
      <c r="CA269" s="1147"/>
      <c r="CB269" s="1147"/>
      <c r="CC269" s="1147"/>
      <c r="CD269" s="1147"/>
      <c r="CE269" s="1147"/>
      <c r="CF269" s="1147"/>
      <c r="CG269" s="1147"/>
      <c r="CH269" s="1147"/>
      <c r="CI269" s="1147"/>
      <c r="CJ269" s="1147"/>
      <c r="CK269" s="1146"/>
    </row>
    <row r="270" spans="1:89" ht="15" x14ac:dyDescent="0.25">
      <c r="A270" s="1146"/>
      <c r="B270" s="1146"/>
      <c r="C270" s="1146"/>
      <c r="D270" s="1146"/>
      <c r="E270" s="1146"/>
      <c r="F270" s="1146"/>
      <c r="G270" s="1146"/>
      <c r="H270" s="1146"/>
      <c r="I270" s="1146"/>
      <c r="J270" s="1146"/>
      <c r="K270" s="1146"/>
      <c r="L270" s="1146"/>
      <c r="M270" s="1146"/>
      <c r="N270" s="1146"/>
      <c r="O270" s="1146"/>
      <c r="P270" s="1146"/>
      <c r="Q270" s="1146"/>
      <c r="R270" s="1146"/>
      <c r="S270" s="1146"/>
      <c r="T270" s="1147"/>
      <c r="U270" s="1147"/>
      <c r="V270" s="1147"/>
      <c r="W270" s="1147"/>
      <c r="X270" s="1147"/>
      <c r="Y270" s="1147"/>
      <c r="Z270" s="1147"/>
      <c r="AA270" s="1147"/>
      <c r="AB270" s="1147"/>
      <c r="AC270" s="1147"/>
      <c r="AD270" s="1147"/>
      <c r="AE270" s="1147"/>
      <c r="AF270" s="1147"/>
      <c r="AG270" s="1147"/>
      <c r="AH270" s="1147"/>
      <c r="AI270" s="1147"/>
      <c r="AJ270" s="1147"/>
      <c r="AK270" s="1147"/>
      <c r="AL270" s="1147"/>
      <c r="AM270" s="1147"/>
      <c r="AN270" s="1147"/>
      <c r="AO270" s="1147"/>
      <c r="AP270" s="1147"/>
      <c r="AQ270" s="1147"/>
      <c r="AR270" s="1147"/>
      <c r="AS270" s="1147"/>
      <c r="AT270" s="1147"/>
      <c r="AU270" s="1147"/>
      <c r="AV270" s="1147"/>
      <c r="AW270" s="1147"/>
      <c r="AX270" s="1147"/>
      <c r="AY270" s="1147"/>
      <c r="AZ270" s="1147"/>
      <c r="BA270" s="1147"/>
      <c r="BB270" s="1147"/>
      <c r="BC270" s="1147"/>
      <c r="BD270" s="1147"/>
      <c r="BE270" s="1147"/>
      <c r="BF270" s="1147"/>
      <c r="BG270" s="1147"/>
      <c r="BH270" s="1147"/>
      <c r="BI270" s="1147"/>
      <c r="BJ270" s="1147"/>
      <c r="BK270" s="1147"/>
      <c r="BL270" s="1147"/>
      <c r="BM270" s="1147"/>
      <c r="BN270" s="1147"/>
      <c r="BO270" s="1147"/>
      <c r="BP270" s="1147"/>
      <c r="BQ270" s="1147"/>
      <c r="BR270" s="1147"/>
      <c r="BS270" s="1147"/>
      <c r="BT270" s="1147"/>
      <c r="BU270" s="1147"/>
      <c r="BV270" s="1147"/>
      <c r="BW270" s="1147"/>
      <c r="BX270" s="1147"/>
      <c r="BY270" s="1147"/>
      <c r="BZ270" s="1147"/>
      <c r="CA270" s="1147"/>
      <c r="CB270" s="1147"/>
      <c r="CC270" s="1147"/>
      <c r="CD270" s="1147"/>
      <c r="CE270" s="1147"/>
      <c r="CF270" s="1147"/>
      <c r="CG270" s="1147"/>
      <c r="CH270" s="1147"/>
      <c r="CI270" s="1147"/>
      <c r="CJ270" s="1147"/>
      <c r="CK270" s="1146"/>
    </row>
    <row r="271" spans="1:89" ht="15" x14ac:dyDescent="0.25">
      <c r="A271" s="1146"/>
      <c r="B271" s="1146"/>
      <c r="C271" s="1146"/>
      <c r="D271" s="1146"/>
      <c r="E271" s="1146"/>
      <c r="F271" s="1146"/>
      <c r="G271" s="1146"/>
      <c r="H271" s="1146"/>
      <c r="I271" s="1146"/>
      <c r="J271" s="1146"/>
      <c r="K271" s="1146"/>
      <c r="L271" s="1146"/>
      <c r="M271" s="1146"/>
      <c r="N271" s="1146"/>
      <c r="O271" s="1146"/>
      <c r="P271" s="1146"/>
      <c r="Q271" s="1146"/>
      <c r="R271" s="1146"/>
      <c r="S271" s="1146"/>
      <c r="T271" s="1147"/>
      <c r="U271" s="1147"/>
      <c r="V271" s="1147"/>
      <c r="W271" s="1147"/>
      <c r="X271" s="1147"/>
      <c r="Y271" s="1147"/>
      <c r="Z271" s="1147"/>
      <c r="AA271" s="1147"/>
      <c r="AB271" s="1147"/>
      <c r="AC271" s="1147"/>
      <c r="AD271" s="1147"/>
      <c r="AE271" s="1147"/>
      <c r="AF271" s="1147"/>
      <c r="AG271" s="1147"/>
      <c r="AH271" s="1147"/>
      <c r="AI271" s="1147"/>
      <c r="AJ271" s="1147"/>
      <c r="AK271" s="1147"/>
      <c r="AL271" s="1147"/>
      <c r="AM271" s="1147"/>
      <c r="AN271" s="1147"/>
      <c r="AO271" s="1147"/>
      <c r="AP271" s="1147"/>
      <c r="AQ271" s="1147"/>
      <c r="AR271" s="1147"/>
      <c r="AS271" s="1147"/>
      <c r="AT271" s="1147"/>
      <c r="AU271" s="1147"/>
      <c r="AV271" s="1147"/>
      <c r="AW271" s="1147"/>
      <c r="AX271" s="1147"/>
      <c r="AY271" s="1147"/>
      <c r="AZ271" s="1147"/>
      <c r="BA271" s="1147"/>
      <c r="BB271" s="1147"/>
      <c r="BC271" s="1147"/>
      <c r="BD271" s="1147"/>
      <c r="BE271" s="1147"/>
      <c r="BF271" s="1147"/>
      <c r="BG271" s="1147"/>
      <c r="BH271" s="1147"/>
      <c r="BI271" s="1147"/>
      <c r="BJ271" s="1147"/>
      <c r="BK271" s="1147"/>
      <c r="BL271" s="1147"/>
      <c r="BM271" s="1147"/>
      <c r="BN271" s="1147"/>
      <c r="BO271" s="1147"/>
      <c r="BP271" s="1147"/>
      <c r="BQ271" s="1147"/>
      <c r="BR271" s="1147"/>
      <c r="BS271" s="1147"/>
      <c r="BT271" s="1147"/>
      <c r="BU271" s="1147"/>
      <c r="BV271" s="1147"/>
      <c r="BW271" s="1147"/>
      <c r="BX271" s="1147"/>
      <c r="BY271" s="1147"/>
      <c r="BZ271" s="1147"/>
      <c r="CA271" s="1147"/>
      <c r="CB271" s="1147"/>
      <c r="CC271" s="1147"/>
      <c r="CD271" s="1147"/>
      <c r="CE271" s="1147"/>
      <c r="CF271" s="1147"/>
      <c r="CG271" s="1147"/>
      <c r="CH271" s="1147"/>
      <c r="CI271" s="1147"/>
      <c r="CJ271" s="1147"/>
      <c r="CK271" s="1146"/>
    </row>
    <row r="272" spans="1:89" ht="15" x14ac:dyDescent="0.25">
      <c r="A272" s="1146"/>
      <c r="B272" s="1146"/>
      <c r="C272" s="1146"/>
      <c r="D272" s="1146"/>
      <c r="E272" s="1146"/>
      <c r="F272" s="1146"/>
      <c r="G272" s="1146"/>
      <c r="H272" s="1146"/>
      <c r="I272" s="1146"/>
      <c r="J272" s="1146"/>
      <c r="K272" s="1146"/>
      <c r="L272" s="1146"/>
      <c r="M272" s="1146"/>
      <c r="N272" s="1146"/>
      <c r="O272" s="1146"/>
      <c r="P272" s="1146"/>
      <c r="Q272" s="1146"/>
      <c r="R272" s="1146"/>
      <c r="S272" s="1146"/>
      <c r="T272" s="1147"/>
      <c r="U272" s="1147"/>
      <c r="V272" s="1147"/>
      <c r="W272" s="1147"/>
      <c r="X272" s="1147"/>
      <c r="Y272" s="1147"/>
      <c r="Z272" s="1147"/>
      <c r="AA272" s="1147"/>
      <c r="AB272" s="1147"/>
      <c r="AC272" s="1147"/>
      <c r="AD272" s="1147"/>
      <c r="AE272" s="1147"/>
      <c r="AF272" s="1147"/>
      <c r="AG272" s="1147"/>
      <c r="AH272" s="1147"/>
      <c r="AI272" s="1147"/>
      <c r="AJ272" s="1147"/>
      <c r="AK272" s="1147"/>
      <c r="AL272" s="1147"/>
      <c r="AM272" s="1147"/>
      <c r="AN272" s="1147"/>
      <c r="AO272" s="1147"/>
      <c r="AP272" s="1147"/>
      <c r="AQ272" s="1147"/>
      <c r="AR272" s="1147"/>
      <c r="AS272" s="1147"/>
      <c r="AT272" s="1147"/>
      <c r="AU272" s="1147"/>
      <c r="AV272" s="1147"/>
      <c r="AW272" s="1147"/>
      <c r="AX272" s="1147"/>
      <c r="AY272" s="1147"/>
      <c r="AZ272" s="1147"/>
      <c r="BA272" s="1147"/>
      <c r="BB272" s="1147"/>
      <c r="BC272" s="1147"/>
      <c r="BD272" s="1147"/>
      <c r="BE272" s="1147"/>
      <c r="BF272" s="1147"/>
      <c r="BG272" s="1147"/>
      <c r="BH272" s="1147"/>
      <c r="BI272" s="1147"/>
      <c r="BJ272" s="1147"/>
      <c r="BK272" s="1147"/>
      <c r="BL272" s="1147"/>
      <c r="BM272" s="1147"/>
      <c r="BN272" s="1147"/>
      <c r="BO272" s="1147"/>
      <c r="BP272" s="1147"/>
      <c r="BQ272" s="1147"/>
      <c r="BR272" s="1147"/>
      <c r="BS272" s="1147"/>
      <c r="BT272" s="1147"/>
      <c r="BU272" s="1147"/>
      <c r="BV272" s="1147"/>
      <c r="BW272" s="1147"/>
      <c r="BX272" s="1147"/>
      <c r="BY272" s="1147"/>
      <c r="BZ272" s="1147"/>
      <c r="CA272" s="1147"/>
      <c r="CB272" s="1147"/>
      <c r="CC272" s="1147"/>
      <c r="CD272" s="1147"/>
      <c r="CE272" s="1147"/>
      <c r="CF272" s="1147"/>
      <c r="CG272" s="1147"/>
      <c r="CH272" s="1147"/>
      <c r="CI272" s="1147"/>
      <c r="CJ272" s="1147"/>
      <c r="CK272" s="1146"/>
    </row>
    <row r="273" spans="1:89" ht="15" x14ac:dyDescent="0.25">
      <c r="A273" s="1146"/>
      <c r="B273" s="1146"/>
      <c r="C273" s="1146"/>
      <c r="D273" s="1146"/>
      <c r="E273" s="1146"/>
      <c r="F273" s="1146"/>
      <c r="G273" s="1146"/>
      <c r="H273" s="1146"/>
      <c r="I273" s="1146"/>
      <c r="J273" s="1146"/>
      <c r="K273" s="1146"/>
      <c r="L273" s="1146"/>
      <c r="M273" s="1146"/>
      <c r="N273" s="1146"/>
      <c r="O273" s="1146"/>
      <c r="P273" s="1146"/>
      <c r="Q273" s="1146"/>
      <c r="R273" s="1146"/>
      <c r="S273" s="1146"/>
      <c r="T273" s="1147"/>
      <c r="U273" s="1147"/>
      <c r="V273" s="1147"/>
      <c r="W273" s="1147"/>
      <c r="X273" s="1147"/>
      <c r="Y273" s="1147"/>
      <c r="Z273" s="1147"/>
      <c r="AA273" s="1147"/>
      <c r="AB273" s="1147"/>
      <c r="AC273" s="1147"/>
      <c r="AD273" s="1147"/>
      <c r="AE273" s="1147"/>
      <c r="AF273" s="1147"/>
      <c r="AG273" s="1147"/>
      <c r="AH273" s="1147"/>
      <c r="AI273" s="1147"/>
      <c r="AJ273" s="1147"/>
      <c r="AK273" s="1147"/>
      <c r="AL273" s="1147"/>
      <c r="AM273" s="1147"/>
      <c r="AN273" s="1147"/>
      <c r="AO273" s="1147"/>
      <c r="AP273" s="1147"/>
      <c r="AQ273" s="1147"/>
      <c r="AR273" s="1147"/>
      <c r="AS273" s="1147"/>
      <c r="AT273" s="1147"/>
      <c r="AU273" s="1147"/>
      <c r="AV273" s="1147"/>
      <c r="AW273" s="1147"/>
      <c r="AX273" s="1147"/>
      <c r="AY273" s="1147"/>
      <c r="AZ273" s="1147"/>
      <c r="BA273" s="1147"/>
      <c r="BB273" s="1147"/>
      <c r="BC273" s="1147"/>
      <c r="BD273" s="1147"/>
      <c r="BE273" s="1147"/>
      <c r="BF273" s="1147"/>
      <c r="BG273" s="1147"/>
      <c r="BH273" s="1147"/>
      <c r="BI273" s="1147"/>
      <c r="BJ273" s="1147"/>
      <c r="BK273" s="1147"/>
      <c r="BL273" s="1147"/>
      <c r="BM273" s="1147"/>
      <c r="BN273" s="1147"/>
      <c r="BO273" s="1147"/>
      <c r="BP273" s="1147"/>
      <c r="BQ273" s="1147"/>
      <c r="BR273" s="1147"/>
      <c r="BS273" s="1147"/>
      <c r="BT273" s="1147"/>
      <c r="BU273" s="1147"/>
      <c r="BV273" s="1147"/>
      <c r="BW273" s="1147"/>
      <c r="BX273" s="1147"/>
      <c r="BY273" s="1147"/>
      <c r="BZ273" s="1147"/>
      <c r="CA273" s="1147"/>
      <c r="CB273" s="1147"/>
      <c r="CC273" s="1147"/>
      <c r="CD273" s="1147"/>
      <c r="CE273" s="1147"/>
      <c r="CF273" s="1147"/>
      <c r="CG273" s="1147"/>
      <c r="CH273" s="1147"/>
      <c r="CI273" s="1147"/>
      <c r="CJ273" s="1147"/>
      <c r="CK273" s="1146"/>
    </row>
    <row r="274" spans="1:89" ht="15" x14ac:dyDescent="0.25">
      <c r="A274" s="1146"/>
      <c r="B274" s="1146"/>
      <c r="C274" s="1146"/>
      <c r="D274" s="1146"/>
      <c r="E274" s="1146"/>
      <c r="F274" s="1146"/>
      <c r="G274" s="1146"/>
      <c r="H274" s="1146"/>
      <c r="I274" s="1146"/>
      <c r="J274" s="1146"/>
      <c r="K274" s="1146"/>
      <c r="L274" s="1146"/>
      <c r="M274" s="1146"/>
      <c r="N274" s="1146"/>
      <c r="O274" s="1146"/>
      <c r="P274" s="1146"/>
      <c r="Q274" s="1146"/>
      <c r="R274" s="1146"/>
      <c r="S274" s="1146"/>
      <c r="T274" s="1147"/>
      <c r="U274" s="1147"/>
      <c r="V274" s="1147"/>
      <c r="W274" s="1147"/>
      <c r="X274" s="1147"/>
      <c r="Y274" s="1147"/>
      <c r="Z274" s="1147"/>
      <c r="AA274" s="1147"/>
      <c r="AB274" s="1147"/>
      <c r="AC274" s="1147"/>
      <c r="AD274" s="1147"/>
      <c r="AE274" s="1147"/>
      <c r="AF274" s="1147"/>
      <c r="AG274" s="1147"/>
      <c r="AH274" s="1147"/>
      <c r="AI274" s="1147"/>
      <c r="AJ274" s="1147"/>
      <c r="AK274" s="1147"/>
      <c r="AL274" s="1147"/>
      <c r="AM274" s="1147"/>
      <c r="AN274" s="1147"/>
      <c r="AO274" s="1147"/>
      <c r="AP274" s="1147"/>
      <c r="AQ274" s="1147"/>
      <c r="AR274" s="1147"/>
      <c r="AS274" s="1147"/>
      <c r="AT274" s="1147"/>
      <c r="AU274" s="1147"/>
      <c r="AV274" s="1147"/>
      <c r="AW274" s="1147"/>
      <c r="AX274" s="1147"/>
      <c r="AY274" s="1147"/>
      <c r="AZ274" s="1147"/>
      <c r="BA274" s="1147"/>
      <c r="BB274" s="1147"/>
      <c r="BC274" s="1147"/>
      <c r="BD274" s="1147"/>
      <c r="BE274" s="1147"/>
      <c r="BF274" s="1147"/>
      <c r="BG274" s="1147"/>
      <c r="BH274" s="1147"/>
      <c r="BI274" s="1147"/>
      <c r="BJ274" s="1147"/>
      <c r="BK274" s="1147"/>
      <c r="BL274" s="1147"/>
      <c r="BM274" s="1147"/>
      <c r="BN274" s="1147"/>
      <c r="BO274" s="1147"/>
      <c r="BP274" s="1147"/>
      <c r="BQ274" s="1147"/>
      <c r="BR274" s="1147"/>
      <c r="BS274" s="1147"/>
      <c r="BT274" s="1147"/>
      <c r="BU274" s="1147"/>
      <c r="BV274" s="1147"/>
      <c r="BW274" s="1147"/>
      <c r="BX274" s="1147"/>
      <c r="BY274" s="1147"/>
      <c r="BZ274" s="1147"/>
      <c r="CA274" s="1147"/>
      <c r="CB274" s="1147"/>
      <c r="CC274" s="1147"/>
      <c r="CD274" s="1147"/>
      <c r="CE274" s="1147"/>
      <c r="CF274" s="1147"/>
      <c r="CG274" s="1147"/>
      <c r="CH274" s="1147"/>
      <c r="CI274" s="1147"/>
      <c r="CJ274" s="1147"/>
      <c r="CK274" s="1146"/>
    </row>
    <row r="275" spans="1:89" ht="15" x14ac:dyDescent="0.25">
      <c r="A275" s="1146"/>
      <c r="B275" s="1146"/>
      <c r="C275" s="1146"/>
      <c r="D275" s="1146"/>
      <c r="E275" s="1146"/>
      <c r="F275" s="1146"/>
      <c r="G275" s="1146"/>
      <c r="H275" s="1146"/>
      <c r="I275" s="1146"/>
      <c r="J275" s="1146"/>
      <c r="K275" s="1146"/>
      <c r="L275" s="1146"/>
      <c r="M275" s="1146"/>
      <c r="N275" s="1146"/>
      <c r="O275" s="1146"/>
      <c r="P275" s="1146"/>
      <c r="Q275" s="1146"/>
      <c r="R275" s="1146"/>
      <c r="S275" s="1146"/>
      <c r="T275" s="1147"/>
      <c r="U275" s="1147"/>
      <c r="V275" s="1147"/>
      <c r="W275" s="1147"/>
      <c r="X275" s="1147"/>
      <c r="Y275" s="1147"/>
      <c r="Z275" s="1147"/>
      <c r="AA275" s="1147"/>
      <c r="AB275" s="1147"/>
      <c r="AC275" s="1147"/>
      <c r="AD275" s="1147"/>
      <c r="AE275" s="1147"/>
      <c r="AF275" s="1147"/>
      <c r="AG275" s="1147"/>
      <c r="AH275" s="1147"/>
      <c r="AI275" s="1147"/>
      <c r="AJ275" s="1147"/>
      <c r="AK275" s="1147"/>
      <c r="AL275" s="1147"/>
      <c r="AM275" s="1147"/>
      <c r="AN275" s="1147"/>
      <c r="AO275" s="1147"/>
      <c r="AP275" s="1147"/>
      <c r="AQ275" s="1147"/>
      <c r="AR275" s="1147"/>
      <c r="AS275" s="1147"/>
      <c r="AT275" s="1147"/>
      <c r="AU275" s="1147"/>
      <c r="AV275" s="1147"/>
      <c r="AW275" s="1147"/>
      <c r="AX275" s="1147"/>
      <c r="AY275" s="1147"/>
      <c r="AZ275" s="1147"/>
      <c r="BA275" s="1147"/>
      <c r="BB275" s="1147"/>
      <c r="BC275" s="1147"/>
      <c r="BD275" s="1147"/>
      <c r="BE275" s="1147"/>
      <c r="BF275" s="1147"/>
      <c r="BG275" s="1147"/>
      <c r="BH275" s="1147"/>
      <c r="BI275" s="1147"/>
      <c r="BJ275" s="1147"/>
      <c r="BK275" s="1147"/>
      <c r="BL275" s="1147"/>
      <c r="BM275" s="1147"/>
      <c r="BN275" s="1147"/>
      <c r="BO275" s="1147"/>
      <c r="BP275" s="1147"/>
      <c r="BQ275" s="1147"/>
      <c r="BR275" s="1147"/>
      <c r="BS275" s="1147"/>
      <c r="BT275" s="1147"/>
      <c r="BU275" s="1147"/>
      <c r="BV275" s="1147"/>
      <c r="BW275" s="1147"/>
      <c r="BX275" s="1147"/>
      <c r="BY275" s="1147"/>
      <c r="BZ275" s="1147"/>
      <c r="CA275" s="1147"/>
      <c r="CB275" s="1147"/>
      <c r="CC275" s="1147"/>
      <c r="CD275" s="1147"/>
      <c r="CE275" s="1147"/>
      <c r="CF275" s="1147"/>
      <c r="CG275" s="1147"/>
      <c r="CH275" s="1147"/>
      <c r="CI275" s="1147"/>
      <c r="CJ275" s="1147"/>
      <c r="CK275" s="1146"/>
    </row>
    <row r="276" spans="1:89" ht="15" x14ac:dyDescent="0.25">
      <c r="A276" s="1146"/>
      <c r="B276" s="1146"/>
      <c r="C276" s="1146"/>
      <c r="D276" s="1146"/>
      <c r="E276" s="1146"/>
      <c r="F276" s="1146"/>
      <c r="G276" s="1146"/>
      <c r="H276" s="1146"/>
      <c r="I276" s="1146"/>
      <c r="J276" s="1146"/>
      <c r="K276" s="1146"/>
      <c r="L276" s="1146"/>
      <c r="M276" s="1146"/>
      <c r="N276" s="1146"/>
      <c r="O276" s="1146"/>
      <c r="P276" s="1146"/>
      <c r="Q276" s="1146"/>
      <c r="R276" s="1146"/>
      <c r="S276" s="1146"/>
      <c r="T276" s="1147"/>
      <c r="U276" s="1147"/>
      <c r="V276" s="1147"/>
      <c r="W276" s="1147"/>
      <c r="X276" s="1147"/>
      <c r="Y276" s="1147"/>
      <c r="Z276" s="1147"/>
      <c r="AA276" s="1147"/>
      <c r="AB276" s="1147"/>
      <c r="AC276" s="1147"/>
      <c r="AD276" s="1147"/>
      <c r="AE276" s="1147"/>
      <c r="AF276" s="1147"/>
      <c r="AG276" s="1147"/>
      <c r="AH276" s="1147"/>
      <c r="AI276" s="1147"/>
      <c r="AJ276" s="1147"/>
      <c r="AK276" s="1147"/>
      <c r="AL276" s="1147"/>
      <c r="AM276" s="1147"/>
      <c r="AN276" s="1147"/>
      <c r="AO276" s="1147"/>
      <c r="AP276" s="1147"/>
      <c r="AQ276" s="1147"/>
      <c r="AR276" s="1147"/>
      <c r="AS276" s="1147"/>
      <c r="AT276" s="1147"/>
      <c r="AU276" s="1147"/>
      <c r="AV276" s="1147"/>
      <c r="AW276" s="1147"/>
      <c r="AX276" s="1147"/>
      <c r="AY276" s="1147"/>
      <c r="AZ276" s="1147"/>
      <c r="BA276" s="1147"/>
      <c r="BB276" s="1147"/>
      <c r="BC276" s="1147"/>
      <c r="BD276" s="1147"/>
      <c r="BE276" s="1147"/>
      <c r="BF276" s="1147"/>
      <c r="BG276" s="1147"/>
      <c r="BH276" s="1147"/>
      <c r="BI276" s="1147"/>
      <c r="BJ276" s="1147"/>
      <c r="BK276" s="1147"/>
      <c r="BL276" s="1147"/>
      <c r="BM276" s="1147"/>
      <c r="BN276" s="1147"/>
      <c r="BO276" s="1147"/>
      <c r="BP276" s="1147"/>
      <c r="BQ276" s="1147"/>
      <c r="BR276" s="1147"/>
      <c r="BS276" s="1147"/>
      <c r="BT276" s="1147"/>
      <c r="BU276" s="1147"/>
      <c r="BV276" s="1147"/>
      <c r="BW276" s="1147"/>
      <c r="BX276" s="1147"/>
      <c r="BY276" s="1147"/>
      <c r="BZ276" s="1147"/>
      <c r="CA276" s="1147"/>
      <c r="CB276" s="1147"/>
      <c r="CC276" s="1147"/>
      <c r="CD276" s="1147"/>
      <c r="CE276" s="1147"/>
      <c r="CF276" s="1147"/>
      <c r="CG276" s="1147"/>
      <c r="CH276" s="1147"/>
      <c r="CI276" s="1147"/>
      <c r="CJ276" s="1147"/>
      <c r="CK276" s="1146"/>
    </row>
    <row r="277" spans="1:89" ht="15" x14ac:dyDescent="0.25">
      <c r="A277" s="1146"/>
      <c r="B277" s="1146"/>
      <c r="C277" s="1146"/>
      <c r="D277" s="1146"/>
      <c r="E277" s="1146"/>
      <c r="F277" s="1146"/>
      <c r="G277" s="1146"/>
      <c r="H277" s="1146"/>
      <c r="I277" s="1146"/>
      <c r="J277" s="1146"/>
      <c r="K277" s="1146"/>
      <c r="L277" s="1146"/>
      <c r="M277" s="1146"/>
      <c r="N277" s="1146"/>
      <c r="O277" s="1146"/>
      <c r="P277" s="1146"/>
      <c r="Q277" s="1146"/>
      <c r="R277" s="1146"/>
      <c r="S277" s="1146"/>
      <c r="T277" s="1147"/>
      <c r="U277" s="1147"/>
      <c r="V277" s="1147"/>
      <c r="W277" s="1147"/>
      <c r="X277" s="1147"/>
      <c r="Y277" s="1147"/>
      <c r="Z277" s="1147"/>
      <c r="AA277" s="1147"/>
      <c r="AB277" s="1147"/>
      <c r="AC277" s="1147"/>
      <c r="AD277" s="1147"/>
      <c r="AE277" s="1147"/>
      <c r="AF277" s="1147"/>
      <c r="AG277" s="1147"/>
      <c r="AH277" s="1147"/>
      <c r="AI277" s="1147"/>
      <c r="AJ277" s="1147"/>
      <c r="AK277" s="1147"/>
      <c r="AL277" s="1147"/>
      <c r="AM277" s="1147"/>
      <c r="AN277" s="1147"/>
      <c r="AO277" s="1147"/>
      <c r="AP277" s="1147"/>
      <c r="AQ277" s="1147"/>
      <c r="AR277" s="1147"/>
      <c r="AS277" s="1147"/>
      <c r="AT277" s="1147"/>
      <c r="AU277" s="1147"/>
      <c r="AV277" s="1147"/>
      <c r="AW277" s="1147"/>
      <c r="AX277" s="1147"/>
      <c r="AY277" s="1147"/>
      <c r="AZ277" s="1147"/>
      <c r="BA277" s="1147"/>
      <c r="BB277" s="1147"/>
      <c r="BC277" s="1147"/>
      <c r="BD277" s="1147"/>
      <c r="BE277" s="1147"/>
      <c r="BF277" s="1147"/>
      <c r="BG277" s="1147"/>
      <c r="BH277" s="1147"/>
      <c r="BI277" s="1147"/>
      <c r="BJ277" s="1147"/>
      <c r="BK277" s="1147"/>
      <c r="BL277" s="1147"/>
      <c r="BM277" s="1147"/>
      <c r="BN277" s="1147"/>
      <c r="BO277" s="1147"/>
      <c r="BP277" s="1147"/>
      <c r="BQ277" s="1147"/>
      <c r="BR277" s="1147"/>
      <c r="BS277" s="1147"/>
      <c r="BT277" s="1147"/>
      <c r="BU277" s="1147"/>
      <c r="BV277" s="1147"/>
      <c r="BW277" s="1147"/>
      <c r="BX277" s="1147"/>
      <c r="BY277" s="1147"/>
      <c r="BZ277" s="1147"/>
      <c r="CA277" s="1147"/>
      <c r="CB277" s="1147"/>
      <c r="CC277" s="1147"/>
      <c r="CD277" s="1147"/>
      <c r="CE277" s="1147"/>
      <c r="CF277" s="1147"/>
      <c r="CG277" s="1147"/>
      <c r="CH277" s="1147"/>
      <c r="CI277" s="1147"/>
      <c r="CJ277" s="1147"/>
      <c r="CK277" s="1146"/>
    </row>
    <row r="278" spans="1:89" ht="15" x14ac:dyDescent="0.25">
      <c r="A278" s="1146"/>
      <c r="B278" s="1146"/>
      <c r="C278" s="1146"/>
      <c r="D278" s="1146"/>
      <c r="E278" s="1146"/>
      <c r="F278" s="1146"/>
      <c r="G278" s="1146"/>
      <c r="H278" s="1146"/>
      <c r="I278" s="1146"/>
      <c r="J278" s="1146"/>
      <c r="K278" s="1146"/>
      <c r="L278" s="1146"/>
      <c r="M278" s="1146"/>
      <c r="N278" s="1146"/>
      <c r="O278" s="1146"/>
      <c r="P278" s="1146"/>
      <c r="Q278" s="1146"/>
      <c r="R278" s="1146"/>
      <c r="S278" s="1146"/>
      <c r="T278" s="1147"/>
      <c r="U278" s="1147"/>
      <c r="V278" s="1147"/>
      <c r="W278" s="1147"/>
      <c r="X278" s="1147"/>
      <c r="Y278" s="1147"/>
      <c r="Z278" s="1147"/>
      <c r="AA278" s="1147"/>
      <c r="AB278" s="1147"/>
      <c r="AC278" s="1147"/>
      <c r="AD278" s="1147"/>
      <c r="AE278" s="1147"/>
      <c r="AF278" s="1147"/>
      <c r="AG278" s="1147"/>
      <c r="AH278" s="1147"/>
      <c r="AI278" s="1147"/>
      <c r="AJ278" s="1147"/>
      <c r="AK278" s="1147"/>
      <c r="AL278" s="1147"/>
      <c r="AM278" s="1147"/>
      <c r="AN278" s="1147"/>
      <c r="AO278" s="1147"/>
      <c r="AP278" s="1147"/>
      <c r="AQ278" s="1147"/>
      <c r="AR278" s="1147"/>
      <c r="AS278" s="1147"/>
      <c r="AT278" s="1147"/>
      <c r="AU278" s="1147"/>
      <c r="AV278" s="1147"/>
      <c r="AW278" s="1147"/>
      <c r="AX278" s="1147"/>
      <c r="AY278" s="1147"/>
      <c r="AZ278" s="1147"/>
      <c r="BA278" s="1147"/>
      <c r="BB278" s="1147"/>
      <c r="BC278" s="1147"/>
      <c r="BD278" s="1147"/>
      <c r="BE278" s="1147"/>
      <c r="BF278" s="1147"/>
      <c r="BG278" s="1147"/>
      <c r="BH278" s="1147"/>
      <c r="BI278" s="1147"/>
      <c r="BJ278" s="1147"/>
      <c r="BK278" s="1147"/>
      <c r="BL278" s="1147"/>
      <c r="BM278" s="1147"/>
      <c r="BN278" s="1147"/>
      <c r="BO278" s="1147"/>
      <c r="BP278" s="1147"/>
      <c r="BQ278" s="1147"/>
      <c r="BR278" s="1147"/>
      <c r="BS278" s="1147"/>
      <c r="BT278" s="1147"/>
      <c r="BU278" s="1147"/>
      <c r="BV278" s="1147"/>
      <c r="BW278" s="1147"/>
      <c r="BX278" s="1147"/>
      <c r="BY278" s="1147"/>
      <c r="BZ278" s="1147"/>
      <c r="CA278" s="1147"/>
      <c r="CB278" s="1147"/>
      <c r="CC278" s="1147"/>
      <c r="CD278" s="1147"/>
      <c r="CE278" s="1147"/>
      <c r="CF278" s="1147"/>
      <c r="CG278" s="1147"/>
      <c r="CH278" s="1147"/>
      <c r="CI278" s="1147"/>
      <c r="CJ278" s="1147"/>
      <c r="CK278" s="1146"/>
    </row>
    <row r="279" spans="1:89" ht="15" x14ac:dyDescent="0.25">
      <c r="A279" s="1146"/>
      <c r="B279" s="1146"/>
      <c r="C279" s="1146"/>
      <c r="D279" s="1146"/>
      <c r="E279" s="1146"/>
      <c r="F279" s="1146"/>
      <c r="G279" s="1146"/>
      <c r="H279" s="1146"/>
      <c r="I279" s="1146"/>
      <c r="J279" s="1146"/>
      <c r="K279" s="1146"/>
      <c r="L279" s="1146"/>
      <c r="M279" s="1146"/>
      <c r="N279" s="1146"/>
      <c r="O279" s="1146"/>
      <c r="P279" s="1146"/>
      <c r="Q279" s="1146"/>
      <c r="R279" s="1146"/>
      <c r="S279" s="1146"/>
      <c r="T279" s="1147"/>
      <c r="U279" s="1147"/>
      <c r="V279" s="1147"/>
      <c r="W279" s="1147"/>
      <c r="X279" s="1147"/>
      <c r="Y279" s="1147"/>
      <c r="Z279" s="1147"/>
      <c r="AA279" s="1147"/>
      <c r="AB279" s="1147"/>
      <c r="AC279" s="1147"/>
      <c r="AD279" s="1147"/>
      <c r="AE279" s="1147"/>
      <c r="AF279" s="1147"/>
      <c r="AG279" s="1147"/>
      <c r="AH279" s="1147"/>
      <c r="AI279" s="1147"/>
      <c r="AJ279" s="1147"/>
      <c r="AK279" s="1147"/>
      <c r="AL279" s="1147"/>
      <c r="AM279" s="1147"/>
      <c r="AN279" s="1147"/>
      <c r="AO279" s="1147"/>
      <c r="AP279" s="1147"/>
      <c r="AQ279" s="1147"/>
      <c r="AR279" s="1147"/>
      <c r="AS279" s="1147"/>
      <c r="AT279" s="1147"/>
      <c r="AU279" s="1147"/>
      <c r="AV279" s="1147"/>
      <c r="AW279" s="1147"/>
      <c r="AX279" s="1147"/>
      <c r="AY279" s="1147"/>
      <c r="AZ279" s="1147"/>
      <c r="BA279" s="1147"/>
      <c r="BB279" s="1147"/>
      <c r="BC279" s="1147"/>
      <c r="BD279" s="1147"/>
      <c r="BE279" s="1147"/>
      <c r="BF279" s="1147"/>
      <c r="BG279" s="1147"/>
      <c r="BH279" s="1147"/>
      <c r="BI279" s="1147"/>
      <c r="BJ279" s="1147"/>
      <c r="BK279" s="1147"/>
      <c r="BL279" s="1147"/>
      <c r="BM279" s="1147"/>
      <c r="BN279" s="1147"/>
      <c r="BO279" s="1147"/>
      <c r="BP279" s="1147"/>
      <c r="BQ279" s="1147"/>
      <c r="BR279" s="1147"/>
      <c r="BS279" s="1147"/>
      <c r="BT279" s="1147"/>
      <c r="BU279" s="1147"/>
      <c r="BV279" s="1147"/>
      <c r="BW279" s="1147"/>
      <c r="BX279" s="1147"/>
      <c r="BY279" s="1147"/>
      <c r="BZ279" s="1147"/>
      <c r="CA279" s="1147"/>
      <c r="CB279" s="1147"/>
      <c r="CC279" s="1147"/>
      <c r="CD279" s="1147"/>
      <c r="CE279" s="1147"/>
      <c r="CF279" s="1147"/>
      <c r="CG279" s="1147"/>
      <c r="CH279" s="1147"/>
      <c r="CI279" s="1147"/>
      <c r="CJ279" s="1147"/>
      <c r="CK279" s="1146"/>
    </row>
    <row r="280" spans="1:89" ht="15" x14ac:dyDescent="0.25">
      <c r="A280" s="1146"/>
      <c r="B280" s="1146"/>
      <c r="C280" s="1146"/>
      <c r="D280" s="1146"/>
      <c r="E280" s="1146"/>
      <c r="F280" s="1146"/>
      <c r="G280" s="1146"/>
      <c r="H280" s="1146"/>
      <c r="I280" s="1146"/>
      <c r="J280" s="1146"/>
      <c r="K280" s="1146"/>
      <c r="L280" s="1146"/>
      <c r="M280" s="1146"/>
      <c r="N280" s="1146"/>
      <c r="O280" s="1146"/>
      <c r="P280" s="1146"/>
      <c r="Q280" s="1146"/>
      <c r="R280" s="1146"/>
      <c r="S280" s="1146"/>
      <c r="T280" s="1147"/>
      <c r="U280" s="1147"/>
      <c r="V280" s="1147"/>
      <c r="W280" s="1147"/>
      <c r="X280" s="1147"/>
      <c r="Y280" s="1147"/>
      <c r="Z280" s="1147"/>
      <c r="AA280" s="1147"/>
      <c r="AB280" s="1147"/>
      <c r="AC280" s="1147"/>
      <c r="AD280" s="1147"/>
      <c r="AE280" s="1147"/>
      <c r="AF280" s="1147"/>
      <c r="AG280" s="1147"/>
      <c r="AH280" s="1147"/>
      <c r="AI280" s="1147"/>
      <c r="AJ280" s="1147"/>
      <c r="AK280" s="1147"/>
      <c r="AL280" s="1147"/>
      <c r="AM280" s="1147"/>
      <c r="AN280" s="1147"/>
      <c r="AO280" s="1147"/>
      <c r="AP280" s="1147"/>
      <c r="AQ280" s="1147"/>
      <c r="AR280" s="1147"/>
      <c r="AS280" s="1147"/>
      <c r="AT280" s="1147"/>
      <c r="AU280" s="1147"/>
      <c r="AV280" s="1147"/>
      <c r="AW280" s="1147"/>
      <c r="AX280" s="1147"/>
      <c r="AY280" s="1147"/>
      <c r="AZ280" s="1147"/>
      <c r="BA280" s="1147"/>
      <c r="BB280" s="1147"/>
      <c r="BC280" s="1147"/>
      <c r="BD280" s="1147"/>
      <c r="BE280" s="1147"/>
      <c r="BF280" s="1147"/>
      <c r="BG280" s="1147"/>
      <c r="BH280" s="1147"/>
      <c r="BI280" s="1147"/>
      <c r="BJ280" s="1147"/>
      <c r="BK280" s="1147"/>
      <c r="BL280" s="1147"/>
      <c r="BM280" s="1147"/>
      <c r="BN280" s="1147"/>
      <c r="BO280" s="1147"/>
      <c r="BP280" s="1147"/>
      <c r="BQ280" s="1147"/>
      <c r="BR280" s="1147"/>
      <c r="BS280" s="1147"/>
      <c r="BT280" s="1147"/>
      <c r="BU280" s="1147"/>
      <c r="BV280" s="1147"/>
      <c r="BW280" s="1147"/>
      <c r="BX280" s="1147"/>
      <c r="BY280" s="1147"/>
      <c r="BZ280" s="1147"/>
      <c r="CA280" s="1147"/>
      <c r="CB280" s="1147"/>
      <c r="CC280" s="1147"/>
      <c r="CD280" s="1147"/>
      <c r="CE280" s="1147"/>
      <c r="CF280" s="1147"/>
      <c r="CG280" s="1147"/>
      <c r="CH280" s="1147"/>
      <c r="CI280" s="1147"/>
      <c r="CJ280" s="1147"/>
      <c r="CK280" s="1146"/>
    </row>
    <row r="281" spans="1:89" ht="15" x14ac:dyDescent="0.25">
      <c r="A281" s="1146"/>
      <c r="B281" s="1146"/>
      <c r="C281" s="1146"/>
      <c r="D281" s="1146"/>
      <c r="E281" s="1146"/>
      <c r="F281" s="1146"/>
      <c r="G281" s="1146"/>
      <c r="H281" s="1146"/>
      <c r="I281" s="1146"/>
      <c r="J281" s="1146"/>
      <c r="K281" s="1146"/>
      <c r="L281" s="1146"/>
      <c r="M281" s="1146"/>
      <c r="N281" s="1146"/>
      <c r="O281" s="1146"/>
      <c r="P281" s="1146"/>
      <c r="Q281" s="1146"/>
      <c r="R281" s="1146"/>
      <c r="S281" s="1146"/>
      <c r="T281" s="1147"/>
      <c r="U281" s="1147"/>
      <c r="V281" s="1147"/>
      <c r="W281" s="1147"/>
      <c r="X281" s="1147"/>
      <c r="Y281" s="1147"/>
      <c r="Z281" s="1147"/>
      <c r="AA281" s="1147"/>
      <c r="AB281" s="1147"/>
      <c r="AC281" s="1147"/>
      <c r="AD281" s="1147"/>
      <c r="AE281" s="1147"/>
      <c r="AF281" s="1147"/>
      <c r="AG281" s="1147"/>
      <c r="AH281" s="1147"/>
      <c r="AI281" s="1147"/>
      <c r="AJ281" s="1147"/>
      <c r="AK281" s="1147"/>
      <c r="AL281" s="1147"/>
      <c r="AM281" s="1147"/>
      <c r="AN281" s="1147"/>
      <c r="AO281" s="1147"/>
      <c r="AP281" s="1147"/>
      <c r="AQ281" s="1147"/>
      <c r="AR281" s="1147"/>
      <c r="AS281" s="1147"/>
      <c r="AT281" s="1147"/>
      <c r="AU281" s="1147"/>
      <c r="AV281" s="1147"/>
      <c r="AW281" s="1147"/>
      <c r="AX281" s="1147"/>
      <c r="AY281" s="1147"/>
      <c r="AZ281" s="1147"/>
      <c r="BA281" s="1147"/>
      <c r="BB281" s="1147"/>
      <c r="BC281" s="1147"/>
      <c r="BD281" s="1147"/>
      <c r="BE281" s="1147"/>
      <c r="BF281" s="1147"/>
      <c r="BG281" s="1147"/>
      <c r="BH281" s="1147"/>
      <c r="BI281" s="1147"/>
      <c r="BJ281" s="1147"/>
      <c r="BK281" s="1147"/>
      <c r="BL281" s="1147"/>
      <c r="BM281" s="1147"/>
      <c r="BN281" s="1147"/>
      <c r="BO281" s="1147"/>
      <c r="BP281" s="1147"/>
      <c r="BQ281" s="1147"/>
      <c r="BR281" s="1147"/>
      <c r="BS281" s="1147"/>
      <c r="BT281" s="1147"/>
      <c r="BU281" s="1147"/>
      <c r="BV281" s="1147"/>
      <c r="BW281" s="1147"/>
      <c r="BX281" s="1147"/>
      <c r="BY281" s="1147"/>
      <c r="BZ281" s="1147"/>
      <c r="CA281" s="1147"/>
      <c r="CB281" s="1147"/>
      <c r="CC281" s="1147"/>
      <c r="CD281" s="1147"/>
      <c r="CE281" s="1147"/>
      <c r="CF281" s="1147"/>
      <c r="CG281" s="1147"/>
      <c r="CH281" s="1147"/>
      <c r="CI281" s="1147"/>
      <c r="CJ281" s="1147"/>
      <c r="CK281" s="1146"/>
    </row>
    <row r="282" spans="1:89" ht="15" x14ac:dyDescent="0.25">
      <c r="A282" s="1146"/>
      <c r="B282" s="1146"/>
      <c r="C282" s="1146"/>
      <c r="D282" s="1146"/>
      <c r="E282" s="1146"/>
      <c r="F282" s="1146"/>
      <c r="G282" s="1146"/>
      <c r="H282" s="1146"/>
      <c r="I282" s="1146"/>
      <c r="J282" s="1146"/>
      <c r="K282" s="1146"/>
      <c r="L282" s="1146"/>
      <c r="M282" s="1146"/>
      <c r="N282" s="1146"/>
      <c r="O282" s="1146"/>
      <c r="P282" s="1146"/>
      <c r="Q282" s="1146"/>
      <c r="R282" s="1146"/>
      <c r="S282" s="1146"/>
      <c r="T282" s="1147"/>
      <c r="U282" s="1147"/>
      <c r="V282" s="1147"/>
      <c r="W282" s="1147"/>
      <c r="X282" s="1147"/>
      <c r="Y282" s="1147"/>
      <c r="Z282" s="1147"/>
      <c r="AA282" s="1147"/>
      <c r="AB282" s="1147"/>
      <c r="AC282" s="1147"/>
      <c r="AD282" s="1147"/>
      <c r="AE282" s="1147"/>
      <c r="AF282" s="1147"/>
      <c r="AG282" s="1147"/>
      <c r="AH282" s="1147"/>
      <c r="AI282" s="1147"/>
      <c r="AJ282" s="1147"/>
      <c r="AK282" s="1147"/>
      <c r="AL282" s="1147"/>
      <c r="AM282" s="1147"/>
      <c r="AN282" s="1147"/>
      <c r="AO282" s="1147"/>
      <c r="AP282" s="1147"/>
      <c r="AQ282" s="1147"/>
      <c r="AR282" s="1147"/>
      <c r="AS282" s="1147"/>
      <c r="AT282" s="1147"/>
      <c r="AU282" s="1147"/>
      <c r="AV282" s="1147"/>
      <c r="AW282" s="1147"/>
      <c r="AX282" s="1147"/>
      <c r="AY282" s="1147"/>
      <c r="AZ282" s="1147"/>
      <c r="BA282" s="1147"/>
      <c r="BB282" s="1147"/>
      <c r="BC282" s="1147"/>
      <c r="BD282" s="1147"/>
      <c r="BE282" s="1147"/>
      <c r="BF282" s="1147"/>
      <c r="BG282" s="1147"/>
      <c r="BH282" s="1147"/>
      <c r="BI282" s="1147"/>
      <c r="BJ282" s="1147"/>
      <c r="BK282" s="1147"/>
      <c r="BL282" s="1147"/>
      <c r="BM282" s="1147"/>
      <c r="BN282" s="1147"/>
      <c r="BO282" s="1147"/>
      <c r="BP282" s="1147"/>
      <c r="BQ282" s="1147"/>
      <c r="BR282" s="1147"/>
      <c r="BS282" s="1147"/>
      <c r="BT282" s="1147"/>
      <c r="BU282" s="1147"/>
      <c r="BV282" s="1147"/>
      <c r="BW282" s="1147"/>
      <c r="BX282" s="1147"/>
      <c r="BY282" s="1147"/>
      <c r="BZ282" s="1147"/>
      <c r="CA282" s="1147"/>
      <c r="CB282" s="1147"/>
      <c r="CC282" s="1147"/>
      <c r="CD282" s="1147"/>
      <c r="CE282" s="1147"/>
      <c r="CF282" s="1147"/>
      <c r="CG282" s="1147"/>
      <c r="CH282" s="1147"/>
      <c r="CI282" s="1147"/>
      <c r="CJ282" s="1147"/>
      <c r="CK282" s="1146"/>
    </row>
    <row r="283" spans="1:89" ht="15" x14ac:dyDescent="0.25">
      <c r="A283" s="1146"/>
      <c r="B283" s="1146"/>
      <c r="C283" s="1146"/>
      <c r="D283" s="1146"/>
      <c r="E283" s="1146"/>
      <c r="F283" s="1146"/>
      <c r="G283" s="1146"/>
      <c r="H283" s="1146"/>
      <c r="I283" s="1146"/>
      <c r="J283" s="1146"/>
      <c r="K283" s="1146"/>
      <c r="L283" s="1146"/>
      <c r="M283" s="1146"/>
      <c r="N283" s="1146"/>
      <c r="O283" s="1146"/>
      <c r="P283" s="1146"/>
      <c r="Q283" s="1146"/>
      <c r="R283" s="1146"/>
      <c r="S283" s="1146"/>
      <c r="T283" s="1147"/>
      <c r="U283" s="1147"/>
      <c r="V283" s="1147"/>
      <c r="W283" s="1147"/>
      <c r="X283" s="1147"/>
      <c r="Y283" s="1147"/>
      <c r="Z283" s="1147"/>
      <c r="AA283" s="1147"/>
      <c r="AB283" s="1147"/>
      <c r="AC283" s="1147"/>
      <c r="AD283" s="1147"/>
      <c r="AE283" s="1147"/>
      <c r="AF283" s="1147"/>
      <c r="AG283" s="1147"/>
      <c r="AH283" s="1147"/>
      <c r="AI283" s="1147"/>
      <c r="AJ283" s="1147"/>
      <c r="AK283" s="1147"/>
      <c r="AL283" s="1147"/>
      <c r="AM283" s="1147"/>
      <c r="AN283" s="1147"/>
      <c r="AO283" s="1147"/>
      <c r="AP283" s="1147"/>
      <c r="AQ283" s="1147"/>
      <c r="AR283" s="1147"/>
      <c r="AS283" s="1147"/>
      <c r="AT283" s="1147"/>
      <c r="AU283" s="1147"/>
      <c r="AV283" s="1147"/>
      <c r="AW283" s="1147"/>
      <c r="AX283" s="1147"/>
      <c r="AY283" s="1147"/>
      <c r="AZ283" s="1147"/>
      <c r="BA283" s="1147"/>
      <c r="BB283" s="1147"/>
      <c r="BC283" s="1147"/>
      <c r="BD283" s="1147"/>
      <c r="BE283" s="1147"/>
      <c r="BF283" s="1147"/>
      <c r="BG283" s="1147"/>
      <c r="BH283" s="1147"/>
      <c r="BI283" s="1147"/>
      <c r="BJ283" s="1147"/>
      <c r="BK283" s="1147"/>
      <c r="BL283" s="1147"/>
      <c r="BM283" s="1147"/>
      <c r="BN283" s="1147"/>
      <c r="BO283" s="1147"/>
      <c r="BP283" s="1147"/>
      <c r="BQ283" s="1147"/>
      <c r="BR283" s="1147"/>
      <c r="BS283" s="1147"/>
      <c r="BT283" s="1147"/>
      <c r="BU283" s="1147"/>
      <c r="BV283" s="1147"/>
      <c r="BW283" s="1147"/>
      <c r="BX283" s="1147"/>
      <c r="BY283" s="1147"/>
      <c r="BZ283" s="1147"/>
      <c r="CA283" s="1147"/>
      <c r="CB283" s="1147"/>
      <c r="CC283" s="1147"/>
      <c r="CD283" s="1147"/>
      <c r="CE283" s="1147"/>
      <c r="CF283" s="1147"/>
      <c r="CG283" s="1147"/>
      <c r="CH283" s="1147"/>
      <c r="CI283" s="1147"/>
      <c r="CJ283" s="1147"/>
      <c r="CK283" s="1146"/>
    </row>
    <row r="284" spans="1:89" ht="15" x14ac:dyDescent="0.25">
      <c r="A284" s="1146"/>
      <c r="B284" s="1146"/>
      <c r="C284" s="1146"/>
      <c r="D284" s="1146"/>
      <c r="E284" s="1146"/>
      <c r="F284" s="1146"/>
      <c r="G284" s="1146"/>
      <c r="H284" s="1146"/>
      <c r="I284" s="1146"/>
      <c r="J284" s="1146"/>
      <c r="K284" s="1146"/>
      <c r="L284" s="1146"/>
      <c r="M284" s="1146"/>
      <c r="N284" s="1146"/>
      <c r="O284" s="1146"/>
      <c r="P284" s="1146"/>
      <c r="Q284" s="1146"/>
      <c r="R284" s="1146"/>
      <c r="S284" s="1146"/>
      <c r="T284" s="1147"/>
      <c r="U284" s="1147"/>
      <c r="V284" s="1147"/>
      <c r="W284" s="1147"/>
      <c r="X284" s="1147"/>
      <c r="Y284" s="1147"/>
      <c r="Z284" s="1147"/>
      <c r="AA284" s="1147"/>
      <c r="AB284" s="1147"/>
      <c r="AC284" s="1147"/>
      <c r="AD284" s="1147"/>
      <c r="AE284" s="1147"/>
      <c r="AF284" s="1147"/>
      <c r="AG284" s="1147"/>
      <c r="AH284" s="1147"/>
      <c r="AI284" s="1147"/>
      <c r="AJ284" s="1147"/>
      <c r="AK284" s="1147"/>
      <c r="AL284" s="1147"/>
      <c r="AM284" s="1147"/>
      <c r="AN284" s="1147"/>
      <c r="AO284" s="1147"/>
      <c r="AP284" s="1147"/>
      <c r="AQ284" s="1147"/>
      <c r="AR284" s="1147"/>
      <c r="AS284" s="1147"/>
      <c r="AT284" s="1147"/>
      <c r="AU284" s="1147"/>
      <c r="AV284" s="1147"/>
      <c r="AW284" s="1147"/>
      <c r="AX284" s="1147"/>
      <c r="AY284" s="1147"/>
      <c r="AZ284" s="1147"/>
      <c r="BA284" s="1147"/>
      <c r="BB284" s="1147"/>
      <c r="BC284" s="1147"/>
      <c r="BD284" s="1147"/>
      <c r="BE284" s="1147"/>
      <c r="BF284" s="1147"/>
      <c r="BG284" s="1147"/>
      <c r="BH284" s="1147"/>
      <c r="BI284" s="1147"/>
      <c r="BJ284" s="1147"/>
      <c r="BK284" s="1147"/>
      <c r="BL284" s="1147"/>
      <c r="BM284" s="1147"/>
      <c r="BN284" s="1147"/>
      <c r="BO284" s="1147"/>
      <c r="BP284" s="1147"/>
      <c r="BQ284" s="1147"/>
      <c r="BR284" s="1147"/>
      <c r="BS284" s="1147"/>
      <c r="BT284" s="1147"/>
      <c r="BU284" s="1147"/>
      <c r="BV284" s="1147"/>
      <c r="BW284" s="1147"/>
      <c r="BX284" s="1147"/>
      <c r="BY284" s="1147"/>
      <c r="BZ284" s="1147"/>
      <c r="CA284" s="1147"/>
      <c r="CB284" s="1147"/>
      <c r="CC284" s="1147"/>
      <c r="CD284" s="1147"/>
      <c r="CE284" s="1147"/>
      <c r="CF284" s="1147"/>
      <c r="CG284" s="1147"/>
      <c r="CH284" s="1147"/>
      <c r="CI284" s="1147"/>
      <c r="CJ284" s="1147"/>
      <c r="CK284" s="1146"/>
    </row>
    <row r="285" spans="1:89" ht="15" x14ac:dyDescent="0.25">
      <c r="A285" s="1146"/>
      <c r="B285" s="1146"/>
      <c r="C285" s="1146"/>
      <c r="D285" s="1146"/>
      <c r="E285" s="1146"/>
      <c r="F285" s="1146"/>
      <c r="G285" s="1146"/>
      <c r="H285" s="1146"/>
      <c r="I285" s="1146"/>
      <c r="J285" s="1146"/>
      <c r="K285" s="1146"/>
      <c r="L285" s="1146"/>
      <c r="M285" s="1146"/>
      <c r="N285" s="1146"/>
      <c r="O285" s="1146"/>
      <c r="P285" s="1146"/>
      <c r="Q285" s="1146"/>
      <c r="R285" s="1146"/>
      <c r="S285" s="1146"/>
      <c r="T285" s="1147"/>
      <c r="U285" s="1147"/>
      <c r="V285" s="1147"/>
      <c r="W285" s="1147"/>
      <c r="X285" s="1147"/>
      <c r="Y285" s="1147"/>
      <c r="Z285" s="1147"/>
      <c r="AA285" s="1147"/>
      <c r="AB285" s="1147"/>
      <c r="AC285" s="1147"/>
      <c r="AD285" s="1147"/>
      <c r="AE285" s="1147"/>
      <c r="AF285" s="1147"/>
      <c r="AG285" s="1147"/>
      <c r="AH285" s="1147"/>
      <c r="AI285" s="1147"/>
      <c r="AJ285" s="1147"/>
      <c r="AK285" s="1147"/>
      <c r="AL285" s="1147"/>
      <c r="AM285" s="1147"/>
      <c r="AN285" s="1147"/>
      <c r="AO285" s="1147"/>
      <c r="AP285" s="1147"/>
      <c r="AQ285" s="1147"/>
      <c r="AR285" s="1147"/>
      <c r="AS285" s="1147"/>
      <c r="AT285" s="1147"/>
      <c r="AU285" s="1147"/>
      <c r="AV285" s="1147"/>
      <c r="AW285" s="1147"/>
      <c r="AX285" s="1147"/>
      <c r="AY285" s="1147"/>
      <c r="AZ285" s="1147"/>
      <c r="BA285" s="1147"/>
      <c r="BB285" s="1147"/>
      <c r="BC285" s="1147"/>
      <c r="BD285" s="1147"/>
      <c r="BE285" s="1147"/>
      <c r="BF285" s="1147"/>
      <c r="BG285" s="1147"/>
      <c r="BH285" s="1147"/>
      <c r="BI285" s="1147"/>
      <c r="BJ285" s="1147"/>
      <c r="BK285" s="1147"/>
      <c r="BL285" s="1147"/>
      <c r="BM285" s="1147"/>
      <c r="BN285" s="1147"/>
      <c r="BO285" s="1147"/>
      <c r="BP285" s="1147"/>
      <c r="BQ285" s="1147"/>
      <c r="BR285" s="1147"/>
      <c r="BS285" s="1147"/>
      <c r="BT285" s="1147"/>
      <c r="BU285" s="1147"/>
      <c r="BV285" s="1147"/>
      <c r="BW285" s="1147"/>
      <c r="BX285" s="1147"/>
      <c r="BY285" s="1147"/>
      <c r="BZ285" s="1147"/>
      <c r="CA285" s="1147"/>
      <c r="CB285" s="1147"/>
      <c r="CC285" s="1147"/>
      <c r="CD285" s="1147"/>
      <c r="CE285" s="1147"/>
      <c r="CF285" s="1147"/>
      <c r="CG285" s="1147"/>
      <c r="CH285" s="1147"/>
      <c r="CI285" s="1147"/>
      <c r="CJ285" s="1147"/>
      <c r="CK285" s="1146"/>
    </row>
    <row r="286" spans="1:89" ht="15" x14ac:dyDescent="0.25">
      <c r="A286" s="1146"/>
      <c r="B286" s="1146"/>
      <c r="C286" s="1146"/>
      <c r="D286" s="1146"/>
      <c r="E286" s="1146"/>
      <c r="F286" s="1146"/>
      <c r="G286" s="1146"/>
      <c r="H286" s="1146"/>
      <c r="I286" s="1146"/>
      <c r="J286" s="1146"/>
      <c r="K286" s="1146"/>
      <c r="L286" s="1146"/>
      <c r="M286" s="1146"/>
      <c r="N286" s="1146"/>
      <c r="O286" s="1146"/>
      <c r="P286" s="1146"/>
      <c r="Q286" s="1146"/>
      <c r="R286" s="1146"/>
      <c r="S286" s="1146"/>
      <c r="T286" s="1147"/>
      <c r="U286" s="1147"/>
      <c r="V286" s="1147"/>
      <c r="W286" s="1147"/>
      <c r="X286" s="1147"/>
      <c r="Y286" s="1147"/>
      <c r="Z286" s="1147"/>
      <c r="AA286" s="1147"/>
      <c r="AB286" s="1147"/>
      <c r="AC286" s="1147"/>
      <c r="AD286" s="1147"/>
      <c r="AE286" s="1147"/>
      <c r="AF286" s="1147"/>
      <c r="AG286" s="1147"/>
      <c r="AH286" s="1147"/>
      <c r="AI286" s="1147"/>
      <c r="AJ286" s="1147"/>
      <c r="AK286" s="1147"/>
      <c r="AL286" s="1147"/>
      <c r="AM286" s="1147"/>
      <c r="AN286" s="1147"/>
      <c r="AO286" s="1147"/>
      <c r="AP286" s="1147"/>
      <c r="AQ286" s="1147"/>
      <c r="AR286" s="1147"/>
      <c r="AS286" s="1147"/>
      <c r="AT286" s="1147"/>
      <c r="AU286" s="1147"/>
      <c r="AV286" s="1147"/>
      <c r="AW286" s="1147"/>
      <c r="AX286" s="1147"/>
      <c r="AY286" s="1147"/>
      <c r="AZ286" s="1147"/>
      <c r="BA286" s="1147"/>
      <c r="BB286" s="1147"/>
      <c r="BC286" s="1147"/>
      <c r="BD286" s="1147"/>
      <c r="BE286" s="1147"/>
      <c r="BF286" s="1147"/>
      <c r="BG286" s="1147"/>
      <c r="BH286" s="1147"/>
      <c r="BI286" s="1147"/>
      <c r="BJ286" s="1147"/>
      <c r="BK286" s="1147"/>
      <c r="BL286" s="1147"/>
      <c r="BM286" s="1147"/>
      <c r="BN286" s="1147"/>
      <c r="BO286" s="1147"/>
      <c r="BP286" s="1147"/>
      <c r="BQ286" s="1147"/>
      <c r="BR286" s="1147"/>
      <c r="BS286" s="1147"/>
      <c r="BT286" s="1147"/>
      <c r="BU286" s="1147"/>
      <c r="BV286" s="1147"/>
      <c r="BW286" s="1147"/>
      <c r="BX286" s="1147"/>
      <c r="BY286" s="1147"/>
      <c r="BZ286" s="1147"/>
      <c r="CA286" s="1147"/>
      <c r="CB286" s="1147"/>
      <c r="CC286" s="1147"/>
      <c r="CD286" s="1147"/>
      <c r="CE286" s="1147"/>
      <c r="CF286" s="1147"/>
      <c r="CG286" s="1147"/>
      <c r="CH286" s="1147"/>
      <c r="CI286" s="1147"/>
      <c r="CJ286" s="1147"/>
      <c r="CK286" s="1146"/>
    </row>
    <row r="287" spans="1:89" ht="15" x14ac:dyDescent="0.25">
      <c r="A287" s="1146"/>
      <c r="B287" s="1146"/>
      <c r="C287" s="1146"/>
      <c r="D287" s="1146"/>
      <c r="E287" s="1146"/>
      <c r="F287" s="1146"/>
      <c r="G287" s="1146"/>
      <c r="H287" s="1146"/>
      <c r="I287" s="1146"/>
      <c r="J287" s="1146"/>
      <c r="K287" s="1146"/>
      <c r="L287" s="1146"/>
      <c r="M287" s="1146"/>
      <c r="N287" s="1146"/>
      <c r="O287" s="1146"/>
      <c r="P287" s="1146"/>
      <c r="Q287" s="1146"/>
      <c r="R287" s="1146"/>
      <c r="S287" s="1146"/>
      <c r="T287" s="1147"/>
      <c r="U287" s="1147"/>
      <c r="V287" s="1147"/>
      <c r="W287" s="1147"/>
      <c r="X287" s="1147"/>
      <c r="Y287" s="1147"/>
      <c r="Z287" s="1147"/>
      <c r="AA287" s="1147"/>
      <c r="AB287" s="1147"/>
      <c r="AC287" s="1147"/>
      <c r="AD287" s="1147"/>
      <c r="AE287" s="1147"/>
      <c r="AF287" s="1147"/>
      <c r="AG287" s="1147"/>
      <c r="AH287" s="1147"/>
      <c r="AI287" s="1147"/>
      <c r="AJ287" s="1147"/>
      <c r="AK287" s="1147"/>
      <c r="AL287" s="1147"/>
      <c r="AM287" s="1147"/>
      <c r="AN287" s="1147"/>
      <c r="AO287" s="1147"/>
      <c r="AP287" s="1147"/>
      <c r="AQ287" s="1147"/>
      <c r="AR287" s="1147"/>
      <c r="AS287" s="1147"/>
      <c r="AT287" s="1147"/>
      <c r="AU287" s="1147"/>
      <c r="AV287" s="1147"/>
      <c r="AW287" s="1147"/>
      <c r="AX287" s="1147"/>
      <c r="AY287" s="1147"/>
      <c r="AZ287" s="1147"/>
      <c r="BA287" s="1147"/>
      <c r="BB287" s="1147"/>
      <c r="BC287" s="1147"/>
      <c r="BD287" s="1147"/>
      <c r="BE287" s="1147"/>
      <c r="BF287" s="1147"/>
      <c r="BG287" s="1147"/>
      <c r="BH287" s="1147"/>
      <c r="BI287" s="1147"/>
      <c r="BJ287" s="1147"/>
      <c r="BK287" s="1147"/>
      <c r="BL287" s="1147"/>
      <c r="BM287" s="1147"/>
      <c r="BN287" s="1147"/>
      <c r="BO287" s="1147"/>
      <c r="BP287" s="1147"/>
      <c r="BQ287" s="1147"/>
      <c r="BR287" s="1147"/>
      <c r="BS287" s="1147"/>
      <c r="BT287" s="1147"/>
      <c r="BU287" s="1147"/>
      <c r="BV287" s="1147"/>
      <c r="BW287" s="1147"/>
      <c r="BX287" s="1147"/>
      <c r="BY287" s="1147"/>
      <c r="BZ287" s="1147"/>
      <c r="CA287" s="1147"/>
      <c r="CB287" s="1147"/>
      <c r="CC287" s="1147"/>
      <c r="CD287" s="1147"/>
      <c r="CE287" s="1147"/>
      <c r="CF287" s="1147"/>
      <c r="CG287" s="1147"/>
      <c r="CH287" s="1147"/>
      <c r="CI287" s="1147"/>
      <c r="CJ287" s="1147"/>
      <c r="CK287" s="1146"/>
    </row>
    <row r="288" spans="1:89" ht="15" x14ac:dyDescent="0.25">
      <c r="A288" s="1146"/>
      <c r="B288" s="1146"/>
      <c r="C288" s="1146"/>
      <c r="D288" s="1146"/>
      <c r="E288" s="1146"/>
      <c r="F288" s="1146"/>
      <c r="G288" s="1146"/>
      <c r="H288" s="1146"/>
      <c r="I288" s="1146"/>
      <c r="J288" s="1146"/>
      <c r="K288" s="1146"/>
      <c r="L288" s="1146"/>
      <c r="M288" s="1146"/>
      <c r="N288" s="1146"/>
      <c r="O288" s="1146"/>
      <c r="P288" s="1146"/>
      <c r="Q288" s="1146"/>
      <c r="R288" s="1146"/>
      <c r="S288" s="1146"/>
      <c r="T288" s="1147"/>
      <c r="U288" s="1147"/>
      <c r="V288" s="1147"/>
      <c r="W288" s="1147"/>
      <c r="X288" s="1147"/>
      <c r="Y288" s="1147"/>
      <c r="Z288" s="1147"/>
      <c r="AA288" s="1147"/>
      <c r="AB288" s="1147"/>
      <c r="AC288" s="1147"/>
      <c r="AD288" s="1147"/>
      <c r="AE288" s="1147"/>
      <c r="AF288" s="1147"/>
      <c r="AG288" s="1147"/>
      <c r="AH288" s="1147"/>
      <c r="AI288" s="1147"/>
      <c r="AJ288" s="1147"/>
      <c r="AK288" s="1147"/>
      <c r="AL288" s="1147"/>
      <c r="AM288" s="1147"/>
      <c r="AN288" s="1147"/>
      <c r="AO288" s="1147"/>
      <c r="AP288" s="1147"/>
      <c r="AQ288" s="1147"/>
      <c r="AR288" s="1147"/>
      <c r="AS288" s="1147"/>
      <c r="AT288" s="1147"/>
      <c r="AU288" s="1147"/>
      <c r="AV288" s="1147"/>
      <c r="AW288" s="1147"/>
      <c r="AX288" s="1147"/>
      <c r="AY288" s="1147"/>
      <c r="AZ288" s="1147"/>
      <c r="BA288" s="1147"/>
      <c r="BB288" s="1147"/>
      <c r="BC288" s="1147"/>
      <c r="BD288" s="1147"/>
      <c r="BE288" s="1147"/>
      <c r="BF288" s="1147"/>
      <c r="BG288" s="1147"/>
      <c r="BH288" s="1147"/>
      <c r="BI288" s="1147"/>
      <c r="BJ288" s="1147"/>
      <c r="BK288" s="1147"/>
      <c r="BL288" s="1147"/>
      <c r="BM288" s="1147"/>
      <c r="BN288" s="1147"/>
      <c r="BO288" s="1147"/>
      <c r="BP288" s="1147"/>
      <c r="BQ288" s="1147"/>
      <c r="BR288" s="1147"/>
      <c r="BS288" s="1147"/>
      <c r="BT288" s="1147"/>
      <c r="BU288" s="1147"/>
      <c r="BV288" s="1147"/>
      <c r="BW288" s="1147"/>
      <c r="BX288" s="1147"/>
      <c r="BY288" s="1147"/>
      <c r="BZ288" s="1147"/>
      <c r="CA288" s="1147"/>
      <c r="CB288" s="1147"/>
      <c r="CC288" s="1147"/>
      <c r="CD288" s="1147"/>
      <c r="CE288" s="1147"/>
      <c r="CF288" s="1147"/>
      <c r="CG288" s="1147"/>
      <c r="CH288" s="1147"/>
      <c r="CI288" s="1147"/>
      <c r="CJ288" s="1147"/>
      <c r="CK288" s="1146"/>
    </row>
    <row r="289" spans="1:89" ht="15" x14ac:dyDescent="0.25">
      <c r="A289" s="1146"/>
      <c r="B289" s="1146"/>
      <c r="C289" s="1146"/>
      <c r="D289" s="1146"/>
      <c r="E289" s="1146"/>
      <c r="F289" s="1146"/>
      <c r="G289" s="1146"/>
      <c r="H289" s="1146"/>
      <c r="I289" s="1146"/>
      <c r="J289" s="1146"/>
      <c r="K289" s="1146"/>
      <c r="L289" s="1146"/>
      <c r="M289" s="1146"/>
      <c r="N289" s="1146"/>
      <c r="O289" s="1146"/>
      <c r="P289" s="1146"/>
      <c r="Q289" s="1146"/>
      <c r="R289" s="1146"/>
      <c r="S289" s="1146"/>
      <c r="T289" s="1147"/>
      <c r="U289" s="1147"/>
      <c r="V289" s="1147"/>
      <c r="W289" s="1147"/>
      <c r="X289" s="1147"/>
      <c r="Y289" s="1147"/>
      <c r="Z289" s="1147"/>
      <c r="AA289" s="1147"/>
      <c r="AB289" s="1147"/>
      <c r="AC289" s="1147"/>
      <c r="AD289" s="1147"/>
      <c r="AE289" s="1147"/>
      <c r="AF289" s="1147"/>
      <c r="AG289" s="1147"/>
      <c r="AH289" s="1147"/>
      <c r="AI289" s="1147"/>
      <c r="AJ289" s="1147"/>
      <c r="AK289" s="1147"/>
      <c r="AL289" s="1147"/>
      <c r="AM289" s="1147"/>
      <c r="AN289" s="1147"/>
      <c r="AO289" s="1147"/>
      <c r="AP289" s="1147"/>
      <c r="AQ289" s="1147"/>
      <c r="AR289" s="1147"/>
      <c r="AS289" s="1147"/>
      <c r="AT289" s="1147"/>
      <c r="AU289" s="1147"/>
      <c r="AV289" s="1147"/>
      <c r="AW289" s="1147"/>
      <c r="AX289" s="1147"/>
      <c r="AY289" s="1147"/>
      <c r="AZ289" s="1147"/>
      <c r="BA289" s="1147"/>
      <c r="BB289" s="1147"/>
      <c r="BC289" s="1147"/>
      <c r="BD289" s="1147"/>
      <c r="BE289" s="1147"/>
      <c r="BF289" s="1147"/>
      <c r="BG289" s="1147"/>
      <c r="BH289" s="1147"/>
      <c r="BI289" s="1147"/>
      <c r="BJ289" s="1147"/>
      <c r="BK289" s="1147"/>
      <c r="BL289" s="1147"/>
      <c r="BM289" s="1147"/>
      <c r="BN289" s="1147"/>
      <c r="BO289" s="1147"/>
      <c r="BP289" s="1147"/>
      <c r="BQ289" s="1147"/>
      <c r="BR289" s="1147"/>
      <c r="BS289" s="1147"/>
      <c r="BT289" s="1147"/>
      <c r="BU289" s="1147"/>
      <c r="BV289" s="1147"/>
      <c r="BW289" s="1147"/>
      <c r="BX289" s="1147"/>
      <c r="BY289" s="1147"/>
      <c r="BZ289" s="1147"/>
      <c r="CA289" s="1147"/>
      <c r="CB289" s="1147"/>
      <c r="CC289" s="1147"/>
      <c r="CD289" s="1147"/>
      <c r="CE289" s="1147"/>
      <c r="CF289" s="1147"/>
      <c r="CG289" s="1147"/>
      <c r="CH289" s="1147"/>
      <c r="CI289" s="1147"/>
      <c r="CJ289" s="1147"/>
      <c r="CK289" s="1146"/>
    </row>
    <row r="290" spans="1:89" ht="15" x14ac:dyDescent="0.25">
      <c r="A290" s="1146"/>
      <c r="B290" s="1146"/>
      <c r="C290" s="1146"/>
      <c r="D290" s="1146"/>
      <c r="E290" s="1146"/>
      <c r="F290" s="1146"/>
      <c r="G290" s="1146"/>
      <c r="H290" s="1146"/>
      <c r="I290" s="1146"/>
      <c r="J290" s="1146"/>
      <c r="K290" s="1146"/>
      <c r="L290" s="1146"/>
      <c r="M290" s="1146"/>
      <c r="N290" s="1146"/>
      <c r="O290" s="1146"/>
      <c r="P290" s="1146"/>
      <c r="Q290" s="1146"/>
      <c r="R290" s="1146"/>
      <c r="S290" s="1146"/>
      <c r="T290" s="1147"/>
      <c r="U290" s="1147"/>
      <c r="V290" s="1147"/>
      <c r="W290" s="1147"/>
      <c r="X290" s="1147"/>
      <c r="Y290" s="1147"/>
      <c r="Z290" s="1147"/>
      <c r="AA290" s="1147"/>
      <c r="AB290" s="1147"/>
      <c r="AC290" s="1147"/>
      <c r="AD290" s="1147"/>
      <c r="AE290" s="1147"/>
      <c r="AF290" s="1147"/>
      <c r="AG290" s="1147"/>
      <c r="AH290" s="1147"/>
      <c r="AI290" s="1147"/>
      <c r="AJ290" s="1147"/>
      <c r="AK290" s="1147"/>
      <c r="AL290" s="1147"/>
      <c r="AM290" s="1147"/>
      <c r="AN290" s="1147"/>
      <c r="AO290" s="1147"/>
      <c r="AP290" s="1147"/>
      <c r="AQ290" s="1147"/>
      <c r="AR290" s="1147"/>
      <c r="AS290" s="1147"/>
      <c r="AT290" s="1147"/>
      <c r="AU290" s="1147"/>
      <c r="AV290" s="1147"/>
      <c r="AW290" s="1147"/>
      <c r="AX290" s="1147"/>
      <c r="AY290" s="1147"/>
      <c r="AZ290" s="1147"/>
      <c r="BA290" s="1147"/>
      <c r="BB290" s="1147"/>
      <c r="BC290" s="1147"/>
      <c r="BD290" s="1147"/>
      <c r="BE290" s="1147"/>
      <c r="BF290" s="1147"/>
      <c r="BG290" s="1147"/>
      <c r="BH290" s="1147"/>
      <c r="BI290" s="1147"/>
      <c r="BJ290" s="1147"/>
      <c r="BK290" s="1147"/>
      <c r="BL290" s="1147"/>
      <c r="BM290" s="1147"/>
      <c r="BN290" s="1147"/>
      <c r="BO290" s="1147"/>
      <c r="BP290" s="1147"/>
      <c r="BQ290" s="1147"/>
      <c r="BR290" s="1147"/>
      <c r="BS290" s="1147"/>
      <c r="BT290" s="1147"/>
      <c r="BU290" s="1147"/>
      <c r="BV290" s="1147"/>
      <c r="BW290" s="1147"/>
      <c r="BX290" s="1147"/>
      <c r="BY290" s="1147"/>
      <c r="BZ290" s="1147"/>
      <c r="CA290" s="1147"/>
      <c r="CB290" s="1147"/>
      <c r="CC290" s="1147"/>
      <c r="CD290" s="1147"/>
      <c r="CE290" s="1147"/>
      <c r="CF290" s="1147"/>
      <c r="CG290" s="1147"/>
      <c r="CH290" s="1147"/>
      <c r="CI290" s="1147"/>
      <c r="CJ290" s="1147"/>
      <c r="CK290" s="1146"/>
    </row>
    <row r="291" spans="1:89" ht="15" x14ac:dyDescent="0.25">
      <c r="A291" s="1146"/>
      <c r="B291" s="1146"/>
      <c r="C291" s="1146"/>
      <c r="D291" s="1146"/>
      <c r="E291" s="1146"/>
      <c r="F291" s="1146"/>
      <c r="G291" s="1146"/>
      <c r="H291" s="1146"/>
      <c r="I291" s="1146"/>
      <c r="J291" s="1146"/>
      <c r="K291" s="1146"/>
      <c r="L291" s="1146"/>
      <c r="M291" s="1146"/>
      <c r="N291" s="1146"/>
      <c r="O291" s="1146"/>
      <c r="P291" s="1146"/>
      <c r="Q291" s="1146"/>
      <c r="R291" s="1146"/>
      <c r="S291" s="1146"/>
      <c r="T291" s="1147"/>
      <c r="U291" s="1147"/>
      <c r="V291" s="1147"/>
      <c r="W291" s="1147"/>
      <c r="X291" s="1147"/>
      <c r="Y291" s="1147"/>
      <c r="Z291" s="1147"/>
      <c r="AA291" s="1147"/>
      <c r="AB291" s="1147"/>
      <c r="AC291" s="1147"/>
      <c r="AD291" s="1147"/>
      <c r="AE291" s="1147"/>
      <c r="AF291" s="1147"/>
      <c r="AG291" s="1147"/>
      <c r="AH291" s="1147"/>
      <c r="AI291" s="1147"/>
      <c r="AJ291" s="1147"/>
      <c r="AK291" s="1147"/>
      <c r="AL291" s="1147"/>
      <c r="AM291" s="1147"/>
      <c r="AN291" s="1147"/>
      <c r="AO291" s="1147"/>
      <c r="AP291" s="1147"/>
      <c r="AQ291" s="1147"/>
      <c r="AR291" s="1147"/>
      <c r="AS291" s="1147"/>
      <c r="AT291" s="1147"/>
      <c r="AU291" s="1147"/>
      <c r="AV291" s="1147"/>
      <c r="AW291" s="1147"/>
      <c r="AX291" s="1147"/>
      <c r="AY291" s="1147"/>
      <c r="AZ291" s="1147"/>
      <c r="BA291" s="1147"/>
      <c r="BB291" s="1147"/>
      <c r="BC291" s="1147"/>
      <c r="BD291" s="1147"/>
      <c r="BE291" s="1147"/>
      <c r="BF291" s="1147"/>
      <c r="BG291" s="1147"/>
      <c r="BH291" s="1147"/>
      <c r="BI291" s="1147"/>
      <c r="BJ291" s="1147"/>
      <c r="BK291" s="1147"/>
      <c r="BL291" s="1147"/>
      <c r="BM291" s="1147"/>
      <c r="BN291" s="1147"/>
      <c r="BO291" s="1147"/>
      <c r="BP291" s="1147"/>
      <c r="BQ291" s="1147"/>
      <c r="BR291" s="1147"/>
      <c r="BS291" s="1147"/>
      <c r="BT291" s="1147"/>
      <c r="BU291" s="1147"/>
      <c r="BV291" s="1147"/>
      <c r="BW291" s="1147"/>
      <c r="BX291" s="1147"/>
      <c r="BY291" s="1147"/>
      <c r="BZ291" s="1147"/>
      <c r="CA291" s="1147"/>
      <c r="CB291" s="1147"/>
      <c r="CC291" s="1147"/>
      <c r="CD291" s="1147"/>
      <c r="CE291" s="1147"/>
      <c r="CF291" s="1147"/>
      <c r="CG291" s="1147"/>
      <c r="CH291" s="1147"/>
      <c r="CI291" s="1147"/>
      <c r="CJ291" s="1147"/>
      <c r="CK291" s="1146"/>
    </row>
    <row r="292" spans="1:89" ht="15" x14ac:dyDescent="0.25">
      <c r="A292" s="1146"/>
      <c r="B292" s="1146"/>
      <c r="C292" s="1146"/>
      <c r="D292" s="1146"/>
      <c r="E292" s="1146"/>
      <c r="F292" s="1146"/>
      <c r="G292" s="1146"/>
      <c r="H292" s="1146"/>
      <c r="I292" s="1146"/>
      <c r="J292" s="1146"/>
      <c r="K292" s="1146"/>
      <c r="L292" s="1146"/>
      <c r="M292" s="1146"/>
      <c r="N292" s="1146"/>
      <c r="O292" s="1146"/>
      <c r="P292" s="1146"/>
      <c r="Q292" s="1146"/>
      <c r="R292" s="1146"/>
      <c r="S292" s="1146"/>
      <c r="T292" s="1147"/>
      <c r="U292" s="1147"/>
      <c r="V292" s="1147"/>
      <c r="W292" s="1147"/>
      <c r="X292" s="1147"/>
      <c r="Y292" s="1147"/>
      <c r="Z292" s="1147"/>
      <c r="AA292" s="1147"/>
      <c r="AB292" s="1147"/>
      <c r="AC292" s="1147"/>
      <c r="AD292" s="1147"/>
      <c r="AE292" s="1147"/>
      <c r="AF292" s="1147"/>
      <c r="AG292" s="1147"/>
      <c r="AH292" s="1147"/>
      <c r="AI292" s="1147"/>
      <c r="AJ292" s="1147"/>
      <c r="AK292" s="1147"/>
      <c r="AL292" s="1147"/>
      <c r="AM292" s="1147"/>
      <c r="AN292" s="1147"/>
      <c r="AO292" s="1147"/>
      <c r="AP292" s="1147"/>
      <c r="AQ292" s="1147"/>
      <c r="AR292" s="1147"/>
      <c r="AS292" s="1147"/>
      <c r="AT292" s="1147"/>
      <c r="AU292" s="1147"/>
      <c r="AV292" s="1147"/>
      <c r="AW292" s="1147"/>
      <c r="AX292" s="1147"/>
      <c r="AY292" s="1147"/>
      <c r="AZ292" s="1147"/>
      <c r="BA292" s="1147"/>
      <c r="BB292" s="1147"/>
      <c r="BC292" s="1147"/>
      <c r="BD292" s="1147"/>
      <c r="BE292" s="1147"/>
      <c r="BF292" s="1147"/>
      <c r="BG292" s="1147"/>
      <c r="BH292" s="1147"/>
      <c r="BI292" s="1147"/>
      <c r="BJ292" s="1147"/>
      <c r="BK292" s="1147"/>
      <c r="BL292" s="1147"/>
      <c r="BM292" s="1147"/>
      <c r="BN292" s="1147"/>
      <c r="BO292" s="1147"/>
      <c r="BP292" s="1147"/>
      <c r="BQ292" s="1147"/>
      <c r="BR292" s="1147"/>
      <c r="BS292" s="1147"/>
      <c r="BT292" s="1147"/>
      <c r="BU292" s="1147"/>
      <c r="BV292" s="1147"/>
      <c r="BW292" s="1147"/>
      <c r="BX292" s="1147"/>
      <c r="BY292" s="1147"/>
      <c r="BZ292" s="1147"/>
      <c r="CA292" s="1147"/>
      <c r="CB292" s="1147"/>
      <c r="CC292" s="1147"/>
      <c r="CD292" s="1147"/>
      <c r="CE292" s="1147"/>
      <c r="CF292" s="1147"/>
      <c r="CG292" s="1147"/>
      <c r="CH292" s="1147"/>
      <c r="CI292" s="1147"/>
      <c r="CJ292" s="1147"/>
      <c r="CK292" s="1146"/>
    </row>
    <row r="293" spans="1:89" ht="15" x14ac:dyDescent="0.25">
      <c r="A293" s="1146"/>
      <c r="B293" s="1146"/>
      <c r="C293" s="1146"/>
      <c r="D293" s="1146"/>
      <c r="E293" s="1146"/>
      <c r="F293" s="1146"/>
      <c r="G293" s="1146"/>
      <c r="H293" s="1146"/>
      <c r="I293" s="1146"/>
      <c r="J293" s="1146"/>
      <c r="K293" s="1146"/>
      <c r="L293" s="1146"/>
      <c r="M293" s="1146"/>
      <c r="N293" s="1146"/>
      <c r="O293" s="1146"/>
      <c r="P293" s="1146"/>
      <c r="Q293" s="1146"/>
      <c r="R293" s="1146"/>
      <c r="S293" s="1146"/>
      <c r="T293" s="1147"/>
      <c r="U293" s="1147"/>
      <c r="V293" s="1147"/>
      <c r="W293" s="1147"/>
      <c r="X293" s="1147"/>
      <c r="Y293" s="1147"/>
      <c r="Z293" s="1147"/>
      <c r="AA293" s="1147"/>
      <c r="AB293" s="1147"/>
      <c r="AC293" s="1147"/>
      <c r="AD293" s="1147"/>
      <c r="AE293" s="1147"/>
      <c r="AF293" s="1147"/>
      <c r="AG293" s="1147"/>
      <c r="AH293" s="1147"/>
      <c r="AI293" s="1147"/>
      <c r="AJ293" s="1147"/>
      <c r="AK293" s="1147"/>
      <c r="AL293" s="1147"/>
      <c r="AM293" s="1147"/>
      <c r="AN293" s="1147"/>
      <c r="AO293" s="1147"/>
      <c r="AP293" s="1147"/>
      <c r="AQ293" s="1147"/>
      <c r="AR293" s="1147"/>
      <c r="AS293" s="1147"/>
      <c r="AT293" s="1147"/>
      <c r="AU293" s="1147"/>
      <c r="AV293" s="1147"/>
      <c r="AW293" s="1147"/>
      <c r="AX293" s="1147"/>
      <c r="AY293" s="1147"/>
      <c r="AZ293" s="1147"/>
      <c r="BA293" s="1147"/>
      <c r="BB293" s="1147"/>
      <c r="BC293" s="1147"/>
      <c r="BD293" s="1147"/>
      <c r="BE293" s="1147"/>
      <c r="BF293" s="1147"/>
      <c r="BG293" s="1147"/>
      <c r="BH293" s="1147"/>
      <c r="BI293" s="1147"/>
      <c r="BJ293" s="1147"/>
      <c r="BK293" s="1147"/>
      <c r="BL293" s="1147"/>
      <c r="BM293" s="1147"/>
      <c r="BN293" s="1147"/>
      <c r="BO293" s="1147"/>
      <c r="BP293" s="1147"/>
      <c r="BQ293" s="1147"/>
      <c r="BR293" s="1147"/>
      <c r="BS293" s="1147"/>
      <c r="BT293" s="1147"/>
      <c r="BU293" s="1147"/>
      <c r="BV293" s="1147"/>
      <c r="BW293" s="1147"/>
      <c r="BX293" s="1147"/>
      <c r="BY293" s="1147"/>
      <c r="BZ293" s="1147"/>
      <c r="CA293" s="1147"/>
      <c r="CB293" s="1147"/>
      <c r="CC293" s="1147"/>
      <c r="CD293" s="1147"/>
      <c r="CE293" s="1147"/>
      <c r="CF293" s="1147"/>
      <c r="CG293" s="1147"/>
      <c r="CH293" s="1147"/>
      <c r="CI293" s="1147"/>
      <c r="CJ293" s="1147"/>
      <c r="CK293" s="1146"/>
    </row>
    <row r="294" spans="1:89" ht="15" x14ac:dyDescent="0.25">
      <c r="A294" s="1146"/>
      <c r="B294" s="1146"/>
      <c r="C294" s="1146"/>
      <c r="D294" s="1146"/>
      <c r="E294" s="1146"/>
      <c r="F294" s="1146"/>
      <c r="G294" s="1146"/>
      <c r="H294" s="1146"/>
      <c r="I294" s="1146"/>
      <c r="J294" s="1146"/>
      <c r="K294" s="1146"/>
      <c r="L294" s="1146"/>
      <c r="M294" s="1146"/>
      <c r="N294" s="1146"/>
      <c r="O294" s="1146"/>
      <c r="P294" s="1146"/>
      <c r="Q294" s="1146"/>
      <c r="R294" s="1146"/>
      <c r="S294" s="1146"/>
      <c r="T294" s="1147"/>
      <c r="U294" s="1147"/>
      <c r="V294" s="1147"/>
      <c r="W294" s="1147"/>
      <c r="X294" s="1147"/>
      <c r="Y294" s="1147"/>
      <c r="Z294" s="1147"/>
      <c r="AA294" s="1147"/>
      <c r="AB294" s="1147"/>
      <c r="AC294" s="1147"/>
      <c r="AD294" s="1147"/>
      <c r="AE294" s="1147"/>
      <c r="AF294" s="1147"/>
      <c r="AG294" s="1147"/>
      <c r="AH294" s="1147"/>
      <c r="AI294" s="1147"/>
      <c r="AJ294" s="1147"/>
      <c r="AK294" s="1147"/>
      <c r="AL294" s="1147"/>
      <c r="AM294" s="1147"/>
      <c r="AN294" s="1147"/>
      <c r="AO294" s="1147"/>
      <c r="AP294" s="1147"/>
      <c r="AQ294" s="1147"/>
      <c r="AR294" s="1147"/>
      <c r="AS294" s="1147"/>
      <c r="AT294" s="1147"/>
      <c r="AU294" s="1147"/>
      <c r="AV294" s="1147"/>
      <c r="AW294" s="1147"/>
      <c r="AX294" s="1147"/>
      <c r="AY294" s="1147"/>
      <c r="AZ294" s="1147"/>
      <c r="BA294" s="1147"/>
      <c r="BB294" s="1147"/>
      <c r="BC294" s="1147"/>
      <c r="BD294" s="1147"/>
      <c r="BE294" s="1147"/>
      <c r="BF294" s="1147"/>
      <c r="BG294" s="1147"/>
      <c r="BH294" s="1147"/>
      <c r="BI294" s="1147"/>
      <c r="BJ294" s="1147"/>
      <c r="BK294" s="1147"/>
      <c r="BL294" s="1147"/>
      <c r="BM294" s="1147"/>
      <c r="BN294" s="1147"/>
      <c r="BO294" s="1147"/>
      <c r="BP294" s="1147"/>
      <c r="BQ294" s="1147"/>
      <c r="BR294" s="1147"/>
      <c r="BS294" s="1147"/>
      <c r="BT294" s="1147"/>
      <c r="BU294" s="1147"/>
      <c r="BV294" s="1147"/>
      <c r="BW294" s="1147"/>
      <c r="BX294" s="1147"/>
      <c r="BY294" s="1147"/>
      <c r="BZ294" s="1147"/>
      <c r="CA294" s="1147"/>
      <c r="CB294" s="1147"/>
      <c r="CC294" s="1147"/>
      <c r="CD294" s="1147"/>
      <c r="CE294" s="1147"/>
      <c r="CF294" s="1147"/>
      <c r="CG294" s="1147"/>
      <c r="CH294" s="1147"/>
      <c r="CI294" s="1147"/>
      <c r="CJ294" s="1147"/>
      <c r="CK294" s="1146"/>
    </row>
    <row r="295" spans="1:89" ht="15" x14ac:dyDescent="0.25">
      <c r="A295" s="1146"/>
      <c r="B295" s="1146"/>
      <c r="C295" s="1146"/>
      <c r="D295" s="1146"/>
      <c r="E295" s="1146"/>
      <c r="F295" s="1146"/>
      <c r="G295" s="1146"/>
      <c r="H295" s="1146"/>
      <c r="I295" s="1146"/>
      <c r="J295" s="1146"/>
      <c r="K295" s="1146"/>
      <c r="L295" s="1146"/>
      <c r="M295" s="1146"/>
      <c r="N295" s="1146"/>
      <c r="O295" s="1146"/>
      <c r="P295" s="1146"/>
      <c r="Q295" s="1146"/>
      <c r="R295" s="1146"/>
      <c r="S295" s="1146"/>
      <c r="T295" s="1147"/>
      <c r="U295" s="1147"/>
      <c r="V295" s="1147"/>
      <c r="W295" s="1147"/>
      <c r="X295" s="1147"/>
      <c r="Y295" s="1147"/>
      <c r="Z295" s="1147"/>
      <c r="AA295" s="1147"/>
      <c r="AB295" s="1147"/>
      <c r="AC295" s="1147"/>
      <c r="AD295" s="1147"/>
      <c r="AE295" s="1147"/>
      <c r="AF295" s="1147"/>
      <c r="AG295" s="1147"/>
      <c r="AH295" s="1147"/>
      <c r="AI295" s="1147"/>
      <c r="AJ295" s="1147"/>
      <c r="AK295" s="1147"/>
      <c r="AL295" s="1147"/>
      <c r="AM295" s="1147"/>
      <c r="AN295" s="1147"/>
      <c r="AO295" s="1147"/>
      <c r="AP295" s="1147"/>
      <c r="AQ295" s="1147"/>
      <c r="AR295" s="1147"/>
      <c r="AS295" s="1147"/>
      <c r="AT295" s="1147"/>
      <c r="AU295" s="1147"/>
      <c r="AV295" s="1147"/>
      <c r="AW295" s="1147"/>
      <c r="AX295" s="1147"/>
      <c r="AY295" s="1147"/>
      <c r="AZ295" s="1147"/>
      <c r="BA295" s="1147"/>
      <c r="BB295" s="1147"/>
      <c r="BC295" s="1147"/>
      <c r="BD295" s="1147"/>
      <c r="BE295" s="1147"/>
      <c r="BF295" s="1147"/>
      <c r="BG295" s="1147"/>
      <c r="BH295" s="1147"/>
      <c r="BI295" s="1147"/>
      <c r="BJ295" s="1147"/>
      <c r="BK295" s="1147"/>
      <c r="BL295" s="1147"/>
      <c r="BM295" s="1147"/>
      <c r="BN295" s="1147"/>
      <c r="BO295" s="1147"/>
      <c r="BP295" s="1147"/>
      <c r="BQ295" s="1147"/>
      <c r="BR295" s="1147"/>
      <c r="BS295" s="1147"/>
      <c r="BT295" s="1147"/>
      <c r="BU295" s="1147"/>
      <c r="BV295" s="1147"/>
      <c r="BW295" s="1147"/>
      <c r="BX295" s="1147"/>
      <c r="BY295" s="1147"/>
      <c r="BZ295" s="1147"/>
      <c r="CA295" s="1147"/>
      <c r="CB295" s="1147"/>
      <c r="CC295" s="1147"/>
      <c r="CD295" s="1147"/>
      <c r="CE295" s="1147"/>
      <c r="CF295" s="1147"/>
      <c r="CG295" s="1147"/>
      <c r="CH295" s="1147"/>
      <c r="CI295" s="1147"/>
      <c r="CJ295" s="1147"/>
      <c r="CK295" s="1146"/>
    </row>
    <row r="296" spans="1:89" ht="15" x14ac:dyDescent="0.25">
      <c r="A296" s="1146"/>
      <c r="B296" s="1146"/>
      <c r="C296" s="1146"/>
      <c r="D296" s="1146"/>
      <c r="E296" s="1146"/>
      <c r="F296" s="1146"/>
      <c r="G296" s="1146"/>
      <c r="H296" s="1146"/>
      <c r="I296" s="1146"/>
      <c r="J296" s="1146"/>
      <c r="K296" s="1146"/>
      <c r="L296" s="1146"/>
      <c r="M296" s="1146"/>
      <c r="N296" s="1146"/>
      <c r="O296" s="1146"/>
      <c r="P296" s="1146"/>
      <c r="Q296" s="1146"/>
      <c r="R296" s="1146"/>
      <c r="S296" s="1146"/>
      <c r="T296" s="1147"/>
      <c r="U296" s="1147"/>
      <c r="V296" s="1147"/>
      <c r="W296" s="1147"/>
      <c r="X296" s="1147"/>
      <c r="Y296" s="1147"/>
      <c r="Z296" s="1147"/>
      <c r="AA296" s="1147"/>
      <c r="AB296" s="1147"/>
      <c r="AC296" s="1147"/>
      <c r="AD296" s="1147"/>
      <c r="AE296" s="1147"/>
      <c r="AF296" s="1147"/>
      <c r="AG296" s="1147"/>
      <c r="AH296" s="1147"/>
      <c r="AI296" s="1147"/>
      <c r="AJ296" s="1147"/>
      <c r="AK296" s="1147"/>
      <c r="AL296" s="1147"/>
      <c r="AM296" s="1147"/>
      <c r="AN296" s="1147"/>
      <c r="AO296" s="1147"/>
      <c r="AP296" s="1147"/>
      <c r="AQ296" s="1147"/>
      <c r="AR296" s="1147"/>
      <c r="AS296" s="1147"/>
      <c r="AT296" s="1147"/>
      <c r="AU296" s="1147"/>
      <c r="AV296" s="1147"/>
      <c r="AW296" s="1147"/>
      <c r="AX296" s="1147"/>
      <c r="AY296" s="1147"/>
      <c r="AZ296" s="1147"/>
      <c r="BA296" s="1147"/>
      <c r="BB296" s="1147"/>
      <c r="BC296" s="1147"/>
      <c r="BD296" s="1147"/>
      <c r="BE296" s="1147"/>
      <c r="BF296" s="1147"/>
      <c r="BG296" s="1147"/>
      <c r="BH296" s="1147"/>
      <c r="BI296" s="1147"/>
      <c r="BJ296" s="1147"/>
      <c r="BK296" s="1147"/>
      <c r="BL296" s="1147"/>
      <c r="BM296" s="1147"/>
      <c r="BN296" s="1147"/>
      <c r="BO296" s="1147"/>
      <c r="BP296" s="1147"/>
      <c r="BQ296" s="1147"/>
      <c r="BR296" s="1147"/>
      <c r="BS296" s="1147"/>
      <c r="BT296" s="1147"/>
      <c r="BU296" s="1147"/>
      <c r="BV296" s="1147"/>
      <c r="BW296" s="1147"/>
      <c r="BX296" s="1147"/>
      <c r="BY296" s="1147"/>
      <c r="BZ296" s="1147"/>
      <c r="CA296" s="1147"/>
      <c r="CB296" s="1147"/>
      <c r="CC296" s="1147"/>
      <c r="CD296" s="1147"/>
      <c r="CE296" s="1147"/>
      <c r="CF296" s="1147"/>
      <c r="CG296" s="1147"/>
      <c r="CH296" s="1147"/>
      <c r="CI296" s="1147"/>
      <c r="CJ296" s="1147"/>
      <c r="CK296" s="1146"/>
    </row>
    <row r="297" spans="1:89" ht="15" x14ac:dyDescent="0.25">
      <c r="A297" s="1146"/>
      <c r="B297" s="1146"/>
      <c r="C297" s="1146"/>
      <c r="D297" s="1146"/>
      <c r="E297" s="1146"/>
      <c r="F297" s="1146"/>
      <c r="G297" s="1146"/>
      <c r="H297" s="1146"/>
      <c r="I297" s="1146"/>
      <c r="J297" s="1146"/>
      <c r="K297" s="1146"/>
      <c r="L297" s="1146"/>
      <c r="M297" s="1146"/>
      <c r="N297" s="1146"/>
      <c r="O297" s="1146"/>
      <c r="P297" s="1146"/>
      <c r="Q297" s="1146"/>
      <c r="R297" s="1146"/>
      <c r="S297" s="1146"/>
      <c r="T297" s="1147"/>
      <c r="U297" s="1147"/>
      <c r="V297" s="1147"/>
      <c r="W297" s="1147"/>
      <c r="X297" s="1147"/>
      <c r="Y297" s="1147"/>
      <c r="Z297" s="1147"/>
      <c r="AA297" s="1147"/>
      <c r="AB297" s="1147"/>
      <c r="AC297" s="1147"/>
      <c r="AD297" s="1147"/>
      <c r="AE297" s="1147"/>
      <c r="AF297" s="1147"/>
      <c r="AG297" s="1147"/>
      <c r="AH297" s="1147"/>
      <c r="AI297" s="1147"/>
      <c r="AJ297" s="1147"/>
      <c r="AK297" s="1147"/>
      <c r="AL297" s="1147"/>
      <c r="AM297" s="1147"/>
      <c r="AN297" s="1147"/>
      <c r="AO297" s="1147"/>
      <c r="AP297" s="1147"/>
      <c r="AQ297" s="1147"/>
      <c r="AR297" s="1147"/>
      <c r="AS297" s="1147"/>
      <c r="AT297" s="1147"/>
      <c r="AU297" s="1147"/>
      <c r="AV297" s="1147"/>
      <c r="AW297" s="1147"/>
      <c r="AX297" s="1147"/>
      <c r="AY297" s="1147"/>
      <c r="AZ297" s="1147"/>
      <c r="BA297" s="1147"/>
      <c r="BB297" s="1147"/>
      <c r="BC297" s="1147"/>
      <c r="BD297" s="1147"/>
      <c r="BE297" s="1147"/>
      <c r="BF297" s="1147"/>
      <c r="BG297" s="1147"/>
      <c r="BH297" s="1147"/>
      <c r="BI297" s="1147"/>
      <c r="BJ297" s="1147"/>
      <c r="BK297" s="1147"/>
      <c r="BL297" s="1147"/>
      <c r="BM297" s="1147"/>
      <c r="BN297" s="1147"/>
      <c r="BO297" s="1147"/>
      <c r="BP297" s="1147"/>
      <c r="BQ297" s="1147"/>
      <c r="BR297" s="1147"/>
      <c r="BS297" s="1147"/>
      <c r="BT297" s="1147"/>
      <c r="BU297" s="1147"/>
      <c r="BV297" s="1147"/>
      <c r="BW297" s="1147"/>
      <c r="BX297" s="1147"/>
      <c r="BY297" s="1147"/>
      <c r="BZ297" s="1147"/>
      <c r="CA297" s="1147"/>
      <c r="CB297" s="1147"/>
      <c r="CC297" s="1147"/>
      <c r="CD297" s="1147"/>
      <c r="CE297" s="1147"/>
      <c r="CF297" s="1147"/>
      <c r="CG297" s="1147"/>
      <c r="CH297" s="1147"/>
      <c r="CI297" s="1147"/>
      <c r="CJ297" s="1147"/>
      <c r="CK297" s="1146"/>
    </row>
    <row r="298" spans="1:89" ht="15" x14ac:dyDescent="0.25">
      <c r="A298" s="1146"/>
      <c r="B298" s="1146"/>
      <c r="C298" s="1146"/>
      <c r="D298" s="1146"/>
      <c r="E298" s="1146"/>
      <c r="F298" s="1146"/>
      <c r="G298" s="1146"/>
      <c r="H298" s="1146"/>
      <c r="I298" s="1146"/>
      <c r="J298" s="1146"/>
      <c r="K298" s="1146"/>
      <c r="L298" s="1146"/>
      <c r="M298" s="1146"/>
      <c r="N298" s="1146"/>
      <c r="O298" s="1146"/>
      <c r="P298" s="1146"/>
      <c r="Q298" s="1146"/>
      <c r="R298" s="1146"/>
      <c r="S298" s="1146"/>
      <c r="T298" s="1147"/>
      <c r="U298" s="1147"/>
      <c r="V298" s="1147"/>
      <c r="W298" s="1147"/>
      <c r="X298" s="1147"/>
      <c r="Y298" s="1147"/>
      <c r="Z298" s="1147"/>
      <c r="AA298" s="1147"/>
      <c r="AB298" s="1147"/>
      <c r="AC298" s="1147"/>
      <c r="AD298" s="1147"/>
      <c r="AE298" s="1147"/>
      <c r="AF298" s="1147"/>
      <c r="AG298" s="1147"/>
      <c r="AH298" s="1147"/>
      <c r="AI298" s="1147"/>
      <c r="AJ298" s="1147"/>
      <c r="AK298" s="1147"/>
      <c r="AL298" s="1147"/>
      <c r="AM298" s="1147"/>
      <c r="AN298" s="1147"/>
      <c r="AO298" s="1147"/>
      <c r="AP298" s="1147"/>
      <c r="AQ298" s="1147"/>
      <c r="AR298" s="1147"/>
      <c r="AS298" s="1147"/>
      <c r="AT298" s="1147"/>
      <c r="AU298" s="1147"/>
      <c r="AV298" s="1147"/>
      <c r="AW298" s="1147"/>
      <c r="AX298" s="1147"/>
      <c r="AY298" s="1147"/>
      <c r="AZ298" s="1147"/>
      <c r="BA298" s="1147"/>
      <c r="BB298" s="1147"/>
      <c r="BC298" s="1147"/>
      <c r="BD298" s="1147"/>
      <c r="BE298" s="1147"/>
      <c r="BF298" s="1147"/>
      <c r="BG298" s="1147"/>
      <c r="BH298" s="1147"/>
      <c r="BI298" s="1147"/>
      <c r="BJ298" s="1147"/>
      <c r="BK298" s="1147"/>
      <c r="BL298" s="1147"/>
      <c r="BM298" s="1147"/>
      <c r="BN298" s="1147"/>
      <c r="BO298" s="1147"/>
      <c r="BP298" s="1147"/>
      <c r="BQ298" s="1147"/>
      <c r="BR298" s="1147"/>
      <c r="BS298" s="1147"/>
      <c r="BT298" s="1147"/>
      <c r="BU298" s="1147"/>
      <c r="BV298" s="1147"/>
      <c r="BW298" s="1147"/>
      <c r="BX298" s="1147"/>
      <c r="BY298" s="1147"/>
      <c r="BZ298" s="1147"/>
      <c r="CA298" s="1147"/>
      <c r="CB298" s="1147"/>
      <c r="CC298" s="1147"/>
      <c r="CD298" s="1147"/>
      <c r="CE298" s="1147"/>
      <c r="CF298" s="1147"/>
      <c r="CG298" s="1147"/>
      <c r="CH298" s="1147"/>
      <c r="CI298" s="1147"/>
      <c r="CJ298" s="1147"/>
      <c r="CK298" s="1146"/>
    </row>
    <row r="299" spans="1:89" ht="15" x14ac:dyDescent="0.25">
      <c r="A299" s="1146"/>
      <c r="B299" s="1146"/>
      <c r="C299" s="1146"/>
      <c r="D299" s="1146"/>
      <c r="E299" s="1146"/>
      <c r="F299" s="1146"/>
      <c r="G299" s="1146"/>
      <c r="H299" s="1146"/>
      <c r="I299" s="1146"/>
      <c r="J299" s="1146"/>
      <c r="K299" s="1146"/>
      <c r="L299" s="1146"/>
      <c r="M299" s="1146"/>
      <c r="N299" s="1146"/>
      <c r="O299" s="1146"/>
      <c r="P299" s="1146"/>
      <c r="Q299" s="1146"/>
      <c r="R299" s="1146"/>
      <c r="S299" s="1146"/>
      <c r="T299" s="1147"/>
      <c r="U299" s="1147"/>
      <c r="V299" s="1147"/>
      <c r="W299" s="1147"/>
      <c r="X299" s="1147"/>
      <c r="Y299" s="1147"/>
      <c r="Z299" s="1147"/>
      <c r="AA299" s="1147"/>
      <c r="AB299" s="1147"/>
      <c r="AC299" s="1147"/>
      <c r="AD299" s="1147"/>
      <c r="AE299" s="1147"/>
      <c r="AF299" s="1147"/>
      <c r="AG299" s="1147"/>
      <c r="AH299" s="1147"/>
      <c r="AI299" s="1147"/>
      <c r="AJ299" s="1147"/>
      <c r="AK299" s="1147"/>
      <c r="AL299" s="1147"/>
      <c r="AM299" s="1147"/>
      <c r="AN299" s="1147"/>
      <c r="AO299" s="1147"/>
      <c r="AP299" s="1147"/>
      <c r="AQ299" s="1147"/>
      <c r="AR299" s="1147"/>
      <c r="AS299" s="1147"/>
      <c r="AT299" s="1147"/>
      <c r="AU299" s="1147"/>
      <c r="AV299" s="1147"/>
      <c r="AW299" s="1147"/>
      <c r="AX299" s="1147"/>
      <c r="AY299" s="1147"/>
      <c r="AZ299" s="1147"/>
      <c r="BA299" s="1147"/>
      <c r="BB299" s="1147"/>
      <c r="BC299" s="1147"/>
      <c r="BD299" s="1147"/>
      <c r="BE299" s="1147"/>
      <c r="BF299" s="1147"/>
      <c r="BG299" s="1147"/>
      <c r="BH299" s="1147"/>
      <c r="BI299" s="1147"/>
      <c r="BJ299" s="1147"/>
      <c r="BK299" s="1147"/>
      <c r="BL299" s="1147"/>
      <c r="BM299" s="1147"/>
      <c r="BN299" s="1147"/>
      <c r="BO299" s="1147"/>
      <c r="BP299" s="1147"/>
      <c r="BQ299" s="1147"/>
      <c r="BR299" s="1147"/>
      <c r="BS299" s="1147"/>
      <c r="BT299" s="1147"/>
      <c r="BU299" s="1147"/>
      <c r="BV299" s="1147"/>
      <c r="BW299" s="1147"/>
      <c r="BX299" s="1147"/>
      <c r="BY299" s="1147"/>
      <c r="BZ299" s="1147"/>
      <c r="CA299" s="1147"/>
      <c r="CB299" s="1147"/>
      <c r="CC299" s="1147"/>
      <c r="CD299" s="1147"/>
      <c r="CE299" s="1147"/>
      <c r="CF299" s="1147"/>
      <c r="CG299" s="1147"/>
      <c r="CH299" s="1147"/>
      <c r="CI299" s="1147"/>
      <c r="CJ299" s="1147"/>
      <c r="CK299" s="1146"/>
    </row>
    <row r="300" spans="1:89" ht="15" x14ac:dyDescent="0.25">
      <c r="A300" s="1146"/>
      <c r="B300" s="1146"/>
      <c r="C300" s="1146"/>
      <c r="D300" s="1146"/>
      <c r="E300" s="1146"/>
      <c r="F300" s="1146"/>
      <c r="G300" s="1146"/>
      <c r="H300" s="1146"/>
      <c r="I300" s="1146"/>
      <c r="J300" s="1146"/>
      <c r="K300" s="1146"/>
      <c r="L300" s="1146"/>
      <c r="M300" s="1146"/>
      <c r="N300" s="1146"/>
      <c r="O300" s="1146"/>
      <c r="P300" s="1146"/>
      <c r="Q300" s="1146"/>
      <c r="R300" s="1146"/>
      <c r="S300" s="1146"/>
      <c r="T300" s="1147"/>
      <c r="U300" s="1147"/>
      <c r="V300" s="1147"/>
      <c r="W300" s="1147"/>
      <c r="X300" s="1147"/>
      <c r="Y300" s="1147"/>
      <c r="Z300" s="1147"/>
      <c r="AA300" s="1147"/>
      <c r="AB300" s="1147"/>
      <c r="AC300" s="1147"/>
      <c r="AD300" s="1147"/>
      <c r="AE300" s="1147"/>
      <c r="AF300" s="1147"/>
      <c r="AG300" s="1147"/>
      <c r="AH300" s="1147"/>
      <c r="AI300" s="1147"/>
      <c r="AJ300" s="1147"/>
      <c r="AK300" s="1147"/>
      <c r="AL300" s="1147"/>
      <c r="AM300" s="1147"/>
      <c r="AN300" s="1147"/>
      <c r="AO300" s="1147"/>
      <c r="AP300" s="1147"/>
      <c r="AQ300" s="1147"/>
      <c r="AR300" s="1147"/>
      <c r="AS300" s="1147"/>
      <c r="AT300" s="1147"/>
      <c r="AU300" s="1147"/>
      <c r="AV300" s="1147"/>
      <c r="AW300" s="1147"/>
      <c r="AX300" s="1147"/>
      <c r="AY300" s="1147"/>
      <c r="AZ300" s="1147"/>
      <c r="BA300" s="1147"/>
      <c r="BB300" s="1147"/>
      <c r="BC300" s="1147"/>
      <c r="BD300" s="1147"/>
      <c r="BE300" s="1147"/>
      <c r="BF300" s="1147"/>
      <c r="BG300" s="1147"/>
      <c r="BH300" s="1147"/>
      <c r="BI300" s="1147"/>
      <c r="BJ300" s="1147"/>
      <c r="BK300" s="1147"/>
      <c r="BL300" s="1147"/>
      <c r="BM300" s="1147"/>
      <c r="BN300" s="1147"/>
      <c r="BO300" s="1147"/>
      <c r="BP300" s="1147"/>
      <c r="BQ300" s="1147"/>
      <c r="BR300" s="1147"/>
      <c r="BS300" s="1147"/>
      <c r="BT300" s="1147"/>
      <c r="BU300" s="1147"/>
      <c r="BV300" s="1147"/>
      <c r="BW300" s="1147"/>
      <c r="BX300" s="1147"/>
      <c r="BY300" s="1147"/>
      <c r="BZ300" s="1147"/>
      <c r="CA300" s="1147"/>
      <c r="CB300" s="1147"/>
      <c r="CC300" s="1147"/>
      <c r="CD300" s="1147"/>
      <c r="CE300" s="1147"/>
      <c r="CF300" s="1147"/>
      <c r="CG300" s="1147"/>
      <c r="CH300" s="1147"/>
      <c r="CI300" s="1147"/>
      <c r="CJ300" s="1147"/>
      <c r="CK300" s="1146"/>
    </row>
    <row r="301" spans="1:89" ht="15" x14ac:dyDescent="0.25">
      <c r="A301" s="1146"/>
      <c r="B301" s="1146"/>
      <c r="C301" s="1146"/>
      <c r="D301" s="1146"/>
      <c r="E301" s="1146"/>
      <c r="F301" s="1146"/>
      <c r="G301" s="1146"/>
      <c r="H301" s="1146"/>
      <c r="I301" s="1146"/>
      <c r="J301" s="1146"/>
      <c r="K301" s="1146"/>
      <c r="L301" s="1146"/>
      <c r="M301" s="1146"/>
      <c r="N301" s="1146"/>
      <c r="O301" s="1146"/>
      <c r="P301" s="1146"/>
      <c r="Q301" s="1146"/>
      <c r="R301" s="1146"/>
      <c r="S301" s="1146"/>
      <c r="T301" s="1147"/>
      <c r="U301" s="1147"/>
      <c r="V301" s="1147"/>
      <c r="W301" s="1147"/>
      <c r="X301" s="1147"/>
      <c r="Y301" s="1147"/>
      <c r="Z301" s="1147"/>
      <c r="AA301" s="1147"/>
      <c r="AB301" s="1147"/>
      <c r="AC301" s="1147"/>
      <c r="AD301" s="1147"/>
      <c r="AE301" s="1147"/>
      <c r="AF301" s="1147"/>
      <c r="AG301" s="1147"/>
      <c r="AH301" s="1147"/>
      <c r="AI301" s="1147"/>
      <c r="AJ301" s="1147"/>
      <c r="AK301" s="1147"/>
      <c r="AL301" s="1147"/>
      <c r="AM301" s="1147"/>
      <c r="AN301" s="1147"/>
      <c r="AO301" s="1147"/>
      <c r="AP301" s="1147"/>
      <c r="AQ301" s="1147"/>
      <c r="AR301" s="1147"/>
      <c r="AS301" s="1147"/>
      <c r="AT301" s="1147"/>
      <c r="AU301" s="1147"/>
      <c r="AV301" s="1147"/>
      <c r="AW301" s="1147"/>
      <c r="AX301" s="1147"/>
      <c r="AY301" s="1147"/>
      <c r="AZ301" s="1147"/>
      <c r="BA301" s="1147"/>
      <c r="BB301" s="1147"/>
      <c r="BC301" s="1147"/>
      <c r="BD301" s="1147"/>
      <c r="BE301" s="1147"/>
      <c r="BF301" s="1147"/>
      <c r="BG301" s="1147"/>
      <c r="BH301" s="1147"/>
      <c r="BI301" s="1147"/>
      <c r="BJ301" s="1147"/>
      <c r="BK301" s="1147"/>
      <c r="BL301" s="1147"/>
      <c r="BM301" s="1147"/>
      <c r="BN301" s="1147"/>
      <c r="BO301" s="1147"/>
      <c r="BP301" s="1147"/>
      <c r="BQ301" s="1147"/>
      <c r="BR301" s="1147"/>
      <c r="BS301" s="1147"/>
      <c r="BT301" s="1147"/>
      <c r="BU301" s="1147"/>
      <c r="BV301" s="1147"/>
      <c r="BW301" s="1147"/>
      <c r="BX301" s="1147"/>
      <c r="BY301" s="1147"/>
      <c r="BZ301" s="1147"/>
      <c r="CA301" s="1147"/>
      <c r="CB301" s="1147"/>
      <c r="CC301" s="1147"/>
      <c r="CD301" s="1147"/>
      <c r="CE301" s="1147"/>
      <c r="CF301" s="1147"/>
      <c r="CG301" s="1147"/>
      <c r="CH301" s="1147"/>
      <c r="CI301" s="1147"/>
      <c r="CJ301" s="1147"/>
      <c r="CK301" s="1146"/>
    </row>
    <row r="302" spans="1:89" ht="15" x14ac:dyDescent="0.25">
      <c r="A302" s="1146"/>
      <c r="B302" s="1146"/>
      <c r="C302" s="1146"/>
      <c r="D302" s="1146"/>
      <c r="E302" s="1146"/>
      <c r="F302" s="1146"/>
      <c r="G302" s="1146"/>
      <c r="H302" s="1146"/>
      <c r="I302" s="1146"/>
      <c r="J302" s="1146"/>
      <c r="K302" s="1146"/>
      <c r="L302" s="1146"/>
      <c r="M302" s="1146"/>
      <c r="N302" s="1146"/>
      <c r="O302" s="1146"/>
      <c r="P302" s="1146"/>
      <c r="Q302" s="1146"/>
      <c r="R302" s="1146"/>
      <c r="S302" s="1146"/>
      <c r="T302" s="1147"/>
      <c r="U302" s="1147"/>
      <c r="V302" s="1147"/>
      <c r="W302" s="1147"/>
      <c r="X302" s="1147"/>
      <c r="Y302" s="1147"/>
      <c r="Z302" s="1147"/>
      <c r="AA302" s="1147"/>
      <c r="AB302" s="1147"/>
      <c r="AC302" s="1147"/>
      <c r="AD302" s="1147"/>
      <c r="AE302" s="1147"/>
      <c r="AF302" s="1147"/>
      <c r="AG302" s="1147"/>
      <c r="AH302" s="1147"/>
      <c r="AI302" s="1147"/>
      <c r="AJ302" s="1147"/>
      <c r="AK302" s="1147"/>
      <c r="AL302" s="1147"/>
      <c r="AM302" s="1147"/>
      <c r="AN302" s="1147"/>
      <c r="AO302" s="1147"/>
      <c r="AP302" s="1147"/>
      <c r="AQ302" s="1147"/>
      <c r="AR302" s="1147"/>
      <c r="AS302" s="1147"/>
      <c r="AT302" s="1147"/>
      <c r="AU302" s="1147"/>
      <c r="AV302" s="1147"/>
      <c r="AW302" s="1147"/>
      <c r="AX302" s="1147"/>
      <c r="AY302" s="1147"/>
      <c r="AZ302" s="1147"/>
      <c r="BA302" s="1147"/>
      <c r="BB302" s="1147"/>
      <c r="BC302" s="1147"/>
      <c r="BD302" s="1147"/>
      <c r="BE302" s="1147"/>
      <c r="BF302" s="1147"/>
      <c r="BG302" s="1147"/>
      <c r="BH302" s="1147"/>
      <c r="BI302" s="1147"/>
      <c r="BJ302" s="1147"/>
      <c r="BK302" s="1147"/>
      <c r="BL302" s="1147"/>
      <c r="BM302" s="1147"/>
      <c r="BN302" s="1147"/>
      <c r="BO302" s="1147"/>
      <c r="BP302" s="1147"/>
      <c r="BQ302" s="1147"/>
      <c r="BR302" s="1147"/>
      <c r="BS302" s="1147"/>
      <c r="BT302" s="1147"/>
      <c r="BU302" s="1147"/>
      <c r="BV302" s="1147"/>
      <c r="BW302" s="1147"/>
      <c r="BX302" s="1147"/>
      <c r="BY302" s="1147"/>
      <c r="BZ302" s="1147"/>
      <c r="CA302" s="1147"/>
      <c r="CB302" s="1147"/>
      <c r="CC302" s="1147"/>
      <c r="CD302" s="1147"/>
      <c r="CE302" s="1147"/>
      <c r="CF302" s="1147"/>
      <c r="CG302" s="1147"/>
      <c r="CH302" s="1147"/>
      <c r="CI302" s="1147"/>
      <c r="CJ302" s="1147"/>
      <c r="CK302" s="1146"/>
    </row>
    <row r="303" spans="1:89" ht="15" x14ac:dyDescent="0.25">
      <c r="A303" s="1146"/>
      <c r="B303" s="1146"/>
      <c r="C303" s="1146"/>
      <c r="D303" s="1146"/>
      <c r="E303" s="1146"/>
      <c r="F303" s="1146"/>
      <c r="G303" s="1146"/>
      <c r="H303" s="1146"/>
      <c r="I303" s="1146"/>
      <c r="J303" s="1146"/>
      <c r="K303" s="1146"/>
      <c r="L303" s="1146"/>
      <c r="M303" s="1146"/>
      <c r="N303" s="1146"/>
      <c r="O303" s="1146"/>
      <c r="P303" s="1146"/>
      <c r="Q303" s="1146"/>
      <c r="R303" s="1146"/>
      <c r="S303" s="1146"/>
      <c r="T303" s="1147"/>
      <c r="U303" s="1147"/>
      <c r="V303" s="1147"/>
      <c r="W303" s="1147"/>
      <c r="X303" s="1147"/>
      <c r="Y303" s="1147"/>
      <c r="Z303" s="1147"/>
      <c r="AA303" s="1147"/>
      <c r="AB303" s="1147"/>
      <c r="AC303" s="1147"/>
      <c r="AD303" s="1147"/>
      <c r="AE303" s="1147"/>
      <c r="AF303" s="1147"/>
      <c r="AG303" s="1147"/>
      <c r="AH303" s="1147"/>
      <c r="AI303" s="1147"/>
      <c r="AJ303" s="1147"/>
      <c r="AK303" s="1147"/>
      <c r="AL303" s="1147"/>
      <c r="AM303" s="1147"/>
      <c r="AN303" s="1147"/>
      <c r="AO303" s="1147"/>
      <c r="AP303" s="1147"/>
      <c r="AQ303" s="1147"/>
      <c r="AR303" s="1147"/>
      <c r="AS303" s="1147"/>
      <c r="AT303" s="1147"/>
      <c r="AU303" s="1147"/>
      <c r="AV303" s="1147"/>
      <c r="AW303" s="1147"/>
      <c r="AX303" s="1147"/>
      <c r="AY303" s="1147"/>
      <c r="AZ303" s="1147"/>
      <c r="BA303" s="1147"/>
      <c r="BB303" s="1147"/>
      <c r="BC303" s="1147"/>
      <c r="BD303" s="1147"/>
      <c r="BE303" s="1147"/>
      <c r="BF303" s="1147"/>
      <c r="BG303" s="1147"/>
      <c r="BH303" s="1147"/>
      <c r="BI303" s="1147"/>
      <c r="BJ303" s="1147"/>
      <c r="BK303" s="1147"/>
      <c r="BL303" s="1147"/>
      <c r="BM303" s="1147"/>
      <c r="BN303" s="1147"/>
      <c r="BO303" s="1147"/>
      <c r="BP303" s="1147"/>
      <c r="BQ303" s="1147"/>
      <c r="BR303" s="1147"/>
      <c r="BS303" s="1147"/>
      <c r="BT303" s="1147"/>
      <c r="BU303" s="1147"/>
      <c r="BV303" s="1147"/>
      <c r="BW303" s="1147"/>
      <c r="BX303" s="1147"/>
      <c r="BY303" s="1147"/>
      <c r="BZ303" s="1147"/>
      <c r="CA303" s="1147"/>
      <c r="CB303" s="1147"/>
      <c r="CC303" s="1147"/>
      <c r="CD303" s="1147"/>
      <c r="CE303" s="1147"/>
      <c r="CF303" s="1147"/>
      <c r="CG303" s="1147"/>
      <c r="CH303" s="1147"/>
      <c r="CI303" s="1147"/>
      <c r="CJ303" s="1147"/>
      <c r="CK303" s="1146"/>
    </row>
    <row r="304" spans="1:89" ht="15" x14ac:dyDescent="0.25">
      <c r="A304" s="1146"/>
      <c r="B304" s="1146"/>
      <c r="C304" s="1146"/>
      <c r="D304" s="1146"/>
      <c r="E304" s="1146"/>
      <c r="F304" s="1146"/>
      <c r="G304" s="1146"/>
      <c r="H304" s="1146"/>
      <c r="I304" s="1146"/>
      <c r="J304" s="1146"/>
      <c r="K304" s="1146"/>
      <c r="L304" s="1146"/>
      <c r="M304" s="1146"/>
      <c r="N304" s="1146"/>
      <c r="O304" s="1146"/>
      <c r="P304" s="1146"/>
      <c r="Q304" s="1146"/>
      <c r="R304" s="1146"/>
      <c r="S304" s="1146"/>
      <c r="T304" s="1147"/>
      <c r="U304" s="1147"/>
      <c r="V304" s="1147"/>
      <c r="W304" s="1147"/>
      <c r="X304" s="1147"/>
      <c r="Y304" s="1147"/>
      <c r="Z304" s="1147"/>
      <c r="AA304" s="1147"/>
      <c r="AB304" s="1147"/>
      <c r="AC304" s="1147"/>
      <c r="AD304" s="1147"/>
      <c r="AE304" s="1147"/>
      <c r="AF304" s="1147"/>
      <c r="AG304" s="1147"/>
      <c r="AH304" s="1147"/>
      <c r="AI304" s="1147"/>
      <c r="AJ304" s="1147"/>
      <c r="AK304" s="1147"/>
      <c r="AL304" s="1147"/>
      <c r="AM304" s="1147"/>
      <c r="AN304" s="1147"/>
      <c r="AO304" s="1147"/>
      <c r="AP304" s="1147"/>
      <c r="AQ304" s="1147"/>
      <c r="AR304" s="1147"/>
      <c r="AS304" s="1147"/>
      <c r="AT304" s="1147"/>
      <c r="AU304" s="1147"/>
      <c r="AV304" s="1147"/>
      <c r="AW304" s="1147"/>
      <c r="AX304" s="1147"/>
      <c r="AY304" s="1147"/>
      <c r="AZ304" s="1147"/>
      <c r="BA304" s="1147"/>
      <c r="BB304" s="1147"/>
      <c r="BC304" s="1147"/>
      <c r="BD304" s="1147"/>
      <c r="BE304" s="1147"/>
      <c r="BF304" s="1147"/>
      <c r="BG304" s="1147"/>
      <c r="BH304" s="1147"/>
      <c r="BI304" s="1147"/>
      <c r="BJ304" s="1147"/>
      <c r="BK304" s="1147"/>
      <c r="BL304" s="1147"/>
      <c r="BM304" s="1147"/>
      <c r="BN304" s="1147"/>
      <c r="BO304" s="1147"/>
      <c r="BP304" s="1147"/>
      <c r="BQ304" s="1147"/>
      <c r="BR304" s="1147"/>
      <c r="BS304" s="1147"/>
      <c r="BT304" s="1147"/>
      <c r="BU304" s="1147"/>
      <c r="BV304" s="1147"/>
      <c r="BW304" s="1147"/>
      <c r="BX304" s="1147"/>
      <c r="BY304" s="1147"/>
      <c r="BZ304" s="1147"/>
      <c r="CA304" s="1147"/>
      <c r="CB304" s="1147"/>
      <c r="CC304" s="1147"/>
      <c r="CD304" s="1147"/>
      <c r="CE304" s="1147"/>
      <c r="CF304" s="1147"/>
      <c r="CG304" s="1147"/>
      <c r="CH304" s="1147"/>
      <c r="CI304" s="1147"/>
      <c r="CJ304" s="1147"/>
      <c r="CK304" s="1146"/>
    </row>
    <row r="305" spans="1:89" ht="15" x14ac:dyDescent="0.25">
      <c r="A305" s="1146"/>
      <c r="B305" s="1146"/>
      <c r="C305" s="1146"/>
      <c r="D305" s="1146"/>
      <c r="E305" s="1146"/>
      <c r="F305" s="1146"/>
      <c r="G305" s="1146"/>
      <c r="H305" s="1146"/>
      <c r="I305" s="1146"/>
      <c r="J305" s="1146"/>
      <c r="K305" s="1146"/>
      <c r="L305" s="1146"/>
      <c r="M305" s="1146"/>
      <c r="N305" s="1146"/>
      <c r="O305" s="1146"/>
      <c r="P305" s="1146"/>
      <c r="Q305" s="1146"/>
      <c r="R305" s="1146"/>
      <c r="S305" s="1146"/>
      <c r="T305" s="1147"/>
      <c r="U305" s="1147"/>
      <c r="V305" s="1147"/>
      <c r="W305" s="1147"/>
      <c r="X305" s="1147"/>
      <c r="Y305" s="1147"/>
      <c r="Z305" s="1147"/>
      <c r="AA305" s="1147"/>
      <c r="AB305" s="1147"/>
      <c r="AC305" s="1147"/>
      <c r="AD305" s="1147"/>
      <c r="AE305" s="1147"/>
      <c r="AF305" s="1147"/>
      <c r="AG305" s="1147"/>
      <c r="AH305" s="1147"/>
      <c r="AI305" s="1147"/>
      <c r="AJ305" s="1147"/>
      <c r="AK305" s="1147"/>
      <c r="AL305" s="1147"/>
      <c r="AM305" s="1147"/>
      <c r="AN305" s="1147"/>
      <c r="AO305" s="1147"/>
      <c r="AP305" s="1147"/>
      <c r="AQ305" s="1147"/>
      <c r="AR305" s="1147"/>
      <c r="AS305" s="1147"/>
      <c r="AT305" s="1147"/>
      <c r="AU305" s="1147"/>
      <c r="AV305" s="1147"/>
      <c r="AW305" s="1147"/>
      <c r="AX305" s="1147"/>
      <c r="AY305" s="1147"/>
      <c r="AZ305" s="1147"/>
      <c r="BA305" s="1147"/>
      <c r="BB305" s="1147"/>
      <c r="BC305" s="1147"/>
      <c r="BD305" s="1147"/>
      <c r="BE305" s="1147"/>
      <c r="BF305" s="1147"/>
      <c r="BG305" s="1147"/>
      <c r="BH305" s="1147"/>
      <c r="BI305" s="1147"/>
      <c r="BJ305" s="1147"/>
      <c r="BK305" s="1147"/>
      <c r="BL305" s="1147"/>
      <c r="BM305" s="1147"/>
      <c r="BN305" s="1147"/>
      <c r="BO305" s="1147"/>
      <c r="BP305" s="1147"/>
      <c r="BQ305" s="1147"/>
      <c r="BR305" s="1147"/>
      <c r="BS305" s="1147"/>
      <c r="BT305" s="1147"/>
      <c r="BU305" s="1147"/>
      <c r="BV305" s="1147"/>
      <c r="BW305" s="1147"/>
      <c r="BX305" s="1147"/>
      <c r="BY305" s="1147"/>
      <c r="BZ305" s="1147"/>
      <c r="CA305" s="1147"/>
      <c r="CB305" s="1147"/>
      <c r="CC305" s="1147"/>
      <c r="CD305" s="1147"/>
      <c r="CE305" s="1147"/>
      <c r="CF305" s="1147"/>
      <c r="CG305" s="1147"/>
      <c r="CH305" s="1147"/>
      <c r="CI305" s="1147"/>
      <c r="CJ305" s="1147"/>
      <c r="CK305" s="1146"/>
    </row>
    <row r="306" spans="1:89" ht="15" x14ac:dyDescent="0.25">
      <c r="A306" s="1146"/>
      <c r="B306" s="1146"/>
      <c r="C306" s="1146"/>
      <c r="D306" s="1146"/>
      <c r="E306" s="1146"/>
      <c r="F306" s="1146"/>
      <c r="G306" s="1146"/>
      <c r="H306" s="1146"/>
      <c r="I306" s="1146"/>
      <c r="J306" s="1146"/>
      <c r="K306" s="1146"/>
      <c r="L306" s="1146"/>
      <c r="M306" s="1146"/>
      <c r="N306" s="1146"/>
      <c r="O306" s="1146"/>
      <c r="P306" s="1146"/>
      <c r="Q306" s="1146"/>
      <c r="R306" s="1146"/>
      <c r="S306" s="1146"/>
      <c r="T306" s="1147"/>
      <c r="U306" s="1147"/>
      <c r="V306" s="1147"/>
      <c r="W306" s="1147"/>
      <c r="X306" s="1147"/>
      <c r="Y306" s="1147"/>
      <c r="Z306" s="1147"/>
      <c r="AA306" s="1147"/>
      <c r="AB306" s="1147"/>
      <c r="AC306" s="1147"/>
      <c r="AD306" s="1147"/>
      <c r="AE306" s="1147"/>
      <c r="AF306" s="1147"/>
      <c r="AG306" s="1147"/>
      <c r="AH306" s="1147"/>
      <c r="AI306" s="1147"/>
      <c r="AJ306" s="1147"/>
      <c r="AK306" s="1147"/>
      <c r="AL306" s="1147"/>
      <c r="AM306" s="1147"/>
      <c r="AN306" s="1147"/>
      <c r="AO306" s="1147"/>
      <c r="AP306" s="1147"/>
      <c r="AQ306" s="1147"/>
      <c r="AR306" s="1147"/>
      <c r="AS306" s="1147"/>
      <c r="AT306" s="1147"/>
      <c r="AU306" s="1147"/>
      <c r="AV306" s="1147"/>
      <c r="AW306" s="1147"/>
      <c r="AX306" s="1147"/>
      <c r="AY306" s="1147"/>
      <c r="AZ306" s="1147"/>
      <c r="BA306" s="1147"/>
      <c r="BB306" s="1147"/>
      <c r="BC306" s="1147"/>
      <c r="BD306" s="1147"/>
      <c r="BE306" s="1147"/>
      <c r="BF306" s="1147"/>
      <c r="BG306" s="1147"/>
      <c r="BH306" s="1147"/>
      <c r="BI306" s="1147"/>
      <c r="BJ306" s="1147"/>
      <c r="BK306" s="1147"/>
      <c r="BL306" s="1147"/>
      <c r="BM306" s="1147"/>
      <c r="BN306" s="1147"/>
      <c r="BO306" s="1147"/>
      <c r="BP306" s="1147"/>
      <c r="BQ306" s="1147"/>
      <c r="BR306" s="1147"/>
      <c r="BS306" s="1147"/>
      <c r="BT306" s="1147"/>
      <c r="BU306" s="1147"/>
      <c r="BV306" s="1147"/>
      <c r="BW306" s="1147"/>
      <c r="BX306" s="1147"/>
      <c r="BY306" s="1147"/>
      <c r="BZ306" s="1147"/>
      <c r="CA306" s="1147"/>
      <c r="CB306" s="1147"/>
      <c r="CC306" s="1147"/>
      <c r="CD306" s="1147"/>
      <c r="CE306" s="1147"/>
      <c r="CF306" s="1147"/>
      <c r="CG306" s="1147"/>
      <c r="CH306" s="1147"/>
      <c r="CI306" s="1147"/>
      <c r="CJ306" s="1147"/>
      <c r="CK306" s="1146"/>
    </row>
    <row r="307" spans="1:89" ht="15" x14ac:dyDescent="0.25">
      <c r="A307" s="1146"/>
      <c r="B307" s="1146"/>
      <c r="C307" s="1146"/>
      <c r="D307" s="1146"/>
      <c r="E307" s="1146"/>
      <c r="F307" s="1146"/>
      <c r="G307" s="1146"/>
      <c r="H307" s="1146"/>
      <c r="I307" s="1146"/>
      <c r="J307" s="1146"/>
      <c r="K307" s="1146"/>
      <c r="L307" s="1146"/>
      <c r="M307" s="1146"/>
      <c r="N307" s="1146"/>
      <c r="O307" s="1146"/>
      <c r="P307" s="1146"/>
      <c r="Q307" s="1146"/>
      <c r="R307" s="1146"/>
      <c r="S307" s="1146"/>
      <c r="T307" s="1147"/>
      <c r="U307" s="1147"/>
      <c r="V307" s="1147"/>
      <c r="W307" s="1147"/>
      <c r="X307" s="1147"/>
      <c r="Y307" s="1147"/>
      <c r="Z307" s="1147"/>
      <c r="AA307" s="1147"/>
      <c r="AB307" s="1147"/>
      <c r="AC307" s="1147"/>
      <c r="AD307" s="1147"/>
      <c r="AE307" s="1147"/>
      <c r="AF307" s="1147"/>
      <c r="AG307" s="1147"/>
      <c r="AH307" s="1147"/>
      <c r="AI307" s="1147"/>
      <c r="AJ307" s="1147"/>
      <c r="AK307" s="1147"/>
      <c r="AL307" s="1147"/>
      <c r="AM307" s="1147"/>
      <c r="AN307" s="1147"/>
      <c r="AO307" s="1147"/>
      <c r="AP307" s="1147"/>
      <c r="AQ307" s="1147"/>
      <c r="AR307" s="1147"/>
      <c r="AS307" s="1147"/>
      <c r="AT307" s="1147"/>
      <c r="AU307" s="1147"/>
      <c r="AV307" s="1147"/>
      <c r="AW307" s="1147"/>
      <c r="AX307" s="1147"/>
      <c r="AY307" s="1147"/>
      <c r="AZ307" s="1147"/>
      <c r="BA307" s="1147"/>
      <c r="BB307" s="1147"/>
      <c r="BC307" s="1147"/>
      <c r="BD307" s="1147"/>
      <c r="BE307" s="1147"/>
      <c r="BF307" s="1147"/>
      <c r="BG307" s="1147"/>
      <c r="BH307" s="1147"/>
      <c r="BI307" s="1147"/>
      <c r="BJ307" s="1147"/>
      <c r="BK307" s="1147"/>
      <c r="BL307" s="1147"/>
      <c r="BM307" s="1147"/>
      <c r="BN307" s="1147"/>
      <c r="BO307" s="1147"/>
      <c r="BP307" s="1147"/>
      <c r="BQ307" s="1147"/>
      <c r="BR307" s="1147"/>
      <c r="BS307" s="1147"/>
      <c r="BT307" s="1147"/>
      <c r="BU307" s="1147"/>
      <c r="BV307" s="1147"/>
      <c r="BW307" s="1147"/>
      <c r="BX307" s="1147"/>
      <c r="BY307" s="1147"/>
      <c r="BZ307" s="1147"/>
      <c r="CA307" s="1147"/>
      <c r="CB307" s="1147"/>
      <c r="CC307" s="1147"/>
      <c r="CD307" s="1147"/>
      <c r="CE307" s="1147"/>
      <c r="CF307" s="1147"/>
      <c r="CG307" s="1147"/>
      <c r="CH307" s="1147"/>
      <c r="CI307" s="1147"/>
      <c r="CJ307" s="1147"/>
      <c r="CK307" s="1146"/>
    </row>
    <row r="308" spans="1:89" ht="15" x14ac:dyDescent="0.25">
      <c r="A308" s="1146"/>
      <c r="B308" s="1146"/>
      <c r="C308" s="1146"/>
      <c r="D308" s="1146"/>
      <c r="E308" s="1146"/>
      <c r="F308" s="1146"/>
      <c r="G308" s="1146"/>
      <c r="H308" s="1146"/>
      <c r="I308" s="1146"/>
      <c r="J308" s="1146"/>
      <c r="K308" s="1146"/>
      <c r="L308" s="1146"/>
      <c r="M308" s="1146"/>
      <c r="N308" s="1146"/>
      <c r="O308" s="1146"/>
      <c r="P308" s="1146"/>
      <c r="Q308" s="1146"/>
      <c r="R308" s="1146"/>
      <c r="S308" s="1146"/>
      <c r="T308" s="1147"/>
      <c r="U308" s="1147"/>
      <c r="V308" s="1147"/>
      <c r="W308" s="1147"/>
      <c r="X308" s="1147"/>
      <c r="Y308" s="1147"/>
      <c r="Z308" s="1147"/>
      <c r="AA308" s="1147"/>
      <c r="AB308" s="1147"/>
      <c r="AC308" s="1147"/>
      <c r="AD308" s="1147"/>
      <c r="AE308" s="1147"/>
      <c r="AF308" s="1147"/>
      <c r="AG308" s="1147"/>
      <c r="AH308" s="1147"/>
      <c r="AI308" s="1147"/>
      <c r="AJ308" s="1147"/>
      <c r="AK308" s="1147"/>
      <c r="AL308" s="1147"/>
      <c r="AM308" s="1147"/>
      <c r="AN308" s="1147"/>
      <c r="AO308" s="1147"/>
      <c r="AP308" s="1147"/>
      <c r="AQ308" s="1147"/>
      <c r="AR308" s="1147"/>
      <c r="AS308" s="1147"/>
      <c r="AT308" s="1147"/>
      <c r="AU308" s="1147"/>
      <c r="AV308" s="1147"/>
      <c r="AW308" s="1147"/>
      <c r="AX308" s="1147"/>
      <c r="AY308" s="1147"/>
      <c r="AZ308" s="1147"/>
      <c r="BA308" s="1147"/>
      <c r="BB308" s="1147"/>
      <c r="BC308" s="1147"/>
      <c r="BD308" s="1147"/>
      <c r="BE308" s="1147"/>
      <c r="BF308" s="1147"/>
      <c r="BG308" s="1147"/>
      <c r="BH308" s="1147"/>
      <c r="BI308" s="1147"/>
      <c r="BJ308" s="1147"/>
      <c r="BK308" s="1147"/>
      <c r="BL308" s="1147"/>
      <c r="BM308" s="1147"/>
      <c r="BN308" s="1147"/>
      <c r="BO308" s="1147"/>
      <c r="BP308" s="1147"/>
      <c r="BQ308" s="1147"/>
      <c r="BR308" s="1147"/>
      <c r="BS308" s="1147"/>
      <c r="BT308" s="1147"/>
      <c r="BU308" s="1147"/>
      <c r="BV308" s="1147"/>
      <c r="BW308" s="1147"/>
      <c r="BX308" s="1147"/>
      <c r="BY308" s="1147"/>
      <c r="BZ308" s="1147"/>
      <c r="CA308" s="1147"/>
      <c r="CB308" s="1147"/>
      <c r="CC308" s="1147"/>
      <c r="CD308" s="1147"/>
      <c r="CE308" s="1147"/>
      <c r="CF308" s="1147"/>
      <c r="CG308" s="1147"/>
      <c r="CH308" s="1147"/>
      <c r="CI308" s="1147"/>
      <c r="CJ308" s="1147"/>
      <c r="CK308" s="1146"/>
    </row>
    <row r="309" spans="1:89" ht="15" x14ac:dyDescent="0.25">
      <c r="A309" s="1146"/>
      <c r="B309" s="1146"/>
      <c r="C309" s="1146"/>
      <c r="D309" s="1146"/>
      <c r="E309" s="1146"/>
      <c r="F309" s="1146"/>
      <c r="G309" s="1146"/>
      <c r="H309" s="1146"/>
      <c r="I309" s="1146"/>
      <c r="J309" s="1146"/>
      <c r="K309" s="1146"/>
      <c r="L309" s="1146"/>
      <c r="M309" s="1146"/>
      <c r="N309" s="1146"/>
      <c r="O309" s="1146"/>
      <c r="P309" s="1146"/>
      <c r="Q309" s="1146"/>
      <c r="R309" s="1146"/>
      <c r="S309" s="1146"/>
      <c r="T309" s="1147"/>
      <c r="U309" s="1147"/>
      <c r="V309" s="1147"/>
      <c r="W309" s="1147"/>
      <c r="X309" s="1147"/>
      <c r="Y309" s="1147"/>
      <c r="Z309" s="1147"/>
      <c r="AA309" s="1147"/>
      <c r="AB309" s="1147"/>
      <c r="AC309" s="1147"/>
      <c r="AD309" s="1147"/>
      <c r="AE309" s="1147"/>
      <c r="AF309" s="1147"/>
      <c r="AG309" s="1147"/>
      <c r="AH309" s="1147"/>
      <c r="AI309" s="1147"/>
      <c r="AJ309" s="1147"/>
      <c r="AK309" s="1147"/>
      <c r="AL309" s="1147"/>
      <c r="AM309" s="1147"/>
      <c r="AN309" s="1147"/>
      <c r="AO309" s="1147"/>
      <c r="AP309" s="1147"/>
      <c r="AQ309" s="1147"/>
      <c r="AR309" s="1147"/>
      <c r="AS309" s="1147"/>
      <c r="AT309" s="1147"/>
      <c r="AU309" s="1147"/>
      <c r="AV309" s="1147"/>
      <c r="AW309" s="1147"/>
      <c r="AX309" s="1147"/>
      <c r="AY309" s="1147"/>
      <c r="AZ309" s="1147"/>
      <c r="BA309" s="1147"/>
      <c r="BB309" s="1147"/>
      <c r="BC309" s="1147"/>
      <c r="BD309" s="1147"/>
      <c r="BE309" s="1147"/>
      <c r="BF309" s="1147"/>
      <c r="BG309" s="1147"/>
      <c r="BH309" s="1147"/>
      <c r="BI309" s="1147"/>
      <c r="BJ309" s="1147"/>
      <c r="BK309" s="1147"/>
      <c r="BL309" s="1147"/>
      <c r="BM309" s="1147"/>
      <c r="BN309" s="1147"/>
      <c r="BO309" s="1147"/>
      <c r="BP309" s="1147"/>
      <c r="BQ309" s="1147"/>
      <c r="BR309" s="1147"/>
      <c r="BS309" s="1147"/>
      <c r="BT309" s="1147"/>
      <c r="BU309" s="1147"/>
      <c r="BV309" s="1147"/>
      <c r="BW309" s="1147"/>
      <c r="BX309" s="1147"/>
      <c r="BY309" s="1147"/>
      <c r="BZ309" s="1147"/>
      <c r="CA309" s="1147"/>
      <c r="CB309" s="1147"/>
      <c r="CC309" s="1147"/>
      <c r="CD309" s="1147"/>
      <c r="CE309" s="1147"/>
      <c r="CF309" s="1147"/>
      <c r="CG309" s="1147"/>
      <c r="CH309" s="1147"/>
      <c r="CI309" s="1147"/>
      <c r="CJ309" s="1147"/>
      <c r="CK309" s="1146"/>
    </row>
    <row r="310" spans="1:89" ht="15" x14ac:dyDescent="0.25">
      <c r="A310" s="1146"/>
      <c r="B310" s="1146"/>
      <c r="C310" s="1146"/>
      <c r="D310" s="1146"/>
      <c r="E310" s="1146"/>
      <c r="F310" s="1146"/>
      <c r="G310" s="1146"/>
      <c r="H310" s="1146"/>
      <c r="I310" s="1146"/>
      <c r="J310" s="1146"/>
      <c r="K310" s="1146"/>
      <c r="L310" s="1146"/>
      <c r="M310" s="1146"/>
      <c r="N310" s="1146"/>
      <c r="O310" s="1146"/>
      <c r="P310" s="1146"/>
      <c r="Q310" s="1146"/>
      <c r="R310" s="1146"/>
      <c r="S310" s="1146"/>
      <c r="T310" s="1147"/>
      <c r="U310" s="1147"/>
      <c r="V310" s="1147"/>
      <c r="W310" s="1147"/>
      <c r="X310" s="1147"/>
      <c r="Y310" s="1147"/>
      <c r="Z310" s="1147"/>
      <c r="AA310" s="1147"/>
      <c r="AB310" s="1147"/>
      <c r="AC310" s="1147"/>
      <c r="AD310" s="1147"/>
      <c r="AE310" s="1147"/>
      <c r="AF310" s="1147"/>
      <c r="AG310" s="1147"/>
      <c r="AH310" s="1147"/>
      <c r="AI310" s="1147"/>
      <c r="AJ310" s="1147"/>
      <c r="AK310" s="1147"/>
      <c r="AL310" s="1147"/>
      <c r="AM310" s="1147"/>
      <c r="AN310" s="1147"/>
      <c r="AO310" s="1147"/>
      <c r="AP310" s="1147"/>
      <c r="AQ310" s="1147"/>
      <c r="AR310" s="1147"/>
      <c r="AS310" s="1147"/>
      <c r="AT310" s="1147"/>
      <c r="AU310" s="1147"/>
      <c r="AV310" s="1147"/>
      <c r="AW310" s="1147"/>
      <c r="AX310" s="1147"/>
      <c r="AY310" s="1147"/>
      <c r="AZ310" s="1147"/>
      <c r="BA310" s="1147"/>
      <c r="BB310" s="1147"/>
      <c r="BC310" s="1147"/>
      <c r="BD310" s="1147"/>
      <c r="BE310" s="1147"/>
      <c r="BF310" s="1147"/>
      <c r="BG310" s="1147"/>
      <c r="BH310" s="1147"/>
      <c r="BI310" s="1147"/>
      <c r="BJ310" s="1147"/>
      <c r="BK310" s="1147"/>
      <c r="BL310" s="1147"/>
      <c r="BM310" s="1147"/>
      <c r="BN310" s="1147"/>
      <c r="BO310" s="1147"/>
      <c r="BP310" s="1147"/>
      <c r="BQ310" s="1147"/>
      <c r="BR310" s="1147"/>
      <c r="BS310" s="1147"/>
      <c r="BT310" s="1147"/>
      <c r="BU310" s="1147"/>
      <c r="BV310" s="1147"/>
      <c r="BW310" s="1147"/>
      <c r="BX310" s="1147"/>
      <c r="BY310" s="1147"/>
      <c r="BZ310" s="1147"/>
      <c r="CA310" s="1147"/>
      <c r="CB310" s="1147"/>
      <c r="CC310" s="1147"/>
      <c r="CD310" s="1147"/>
      <c r="CE310" s="1147"/>
      <c r="CF310" s="1147"/>
      <c r="CG310" s="1147"/>
      <c r="CH310" s="1147"/>
      <c r="CI310" s="1147"/>
      <c r="CJ310" s="1147"/>
      <c r="CK310" s="1146"/>
    </row>
    <row r="311" spans="1:89" ht="15" x14ac:dyDescent="0.25">
      <c r="A311" s="1146"/>
      <c r="B311" s="1146"/>
      <c r="C311" s="1146"/>
      <c r="D311" s="1146"/>
      <c r="E311" s="1146"/>
      <c r="F311" s="1146"/>
      <c r="G311" s="1146"/>
      <c r="H311" s="1146"/>
      <c r="I311" s="1146"/>
      <c r="J311" s="1146"/>
      <c r="K311" s="1146"/>
      <c r="L311" s="1146"/>
      <c r="M311" s="1146"/>
      <c r="N311" s="1146"/>
      <c r="O311" s="1146"/>
      <c r="P311" s="1146"/>
      <c r="Q311" s="1146"/>
      <c r="R311" s="1146"/>
      <c r="S311" s="1146"/>
      <c r="T311" s="1147"/>
      <c r="U311" s="1147"/>
      <c r="V311" s="1147"/>
      <c r="W311" s="1147"/>
      <c r="X311" s="1147"/>
      <c r="Y311" s="1147"/>
      <c r="Z311" s="1147"/>
      <c r="AA311" s="1147"/>
      <c r="AB311" s="1147"/>
      <c r="AC311" s="1147"/>
      <c r="AD311" s="1147"/>
      <c r="AE311" s="1147"/>
      <c r="AF311" s="1147"/>
      <c r="AG311" s="1147"/>
      <c r="AH311" s="1147"/>
      <c r="AI311" s="1147"/>
      <c r="AJ311" s="1147"/>
      <c r="AK311" s="1147"/>
      <c r="AL311" s="1147"/>
      <c r="AM311" s="1147"/>
      <c r="AN311" s="1147"/>
      <c r="AO311" s="1147"/>
      <c r="AP311" s="1147"/>
      <c r="AQ311" s="1147"/>
      <c r="AR311" s="1147"/>
      <c r="AS311" s="1147"/>
      <c r="AT311" s="1147"/>
      <c r="AU311" s="1147"/>
      <c r="AV311" s="1147"/>
      <c r="AW311" s="1147"/>
      <c r="AX311" s="1147"/>
      <c r="AY311" s="1147"/>
      <c r="AZ311" s="1147"/>
      <c r="BA311" s="1147"/>
      <c r="BB311" s="1147"/>
      <c r="BC311" s="1147"/>
      <c r="BD311" s="1147"/>
      <c r="BE311" s="1147"/>
      <c r="BF311" s="1147"/>
      <c r="BG311" s="1147"/>
      <c r="BH311" s="1147"/>
      <c r="BI311" s="1147"/>
      <c r="BJ311" s="1147"/>
      <c r="BK311" s="1147"/>
      <c r="BL311" s="1147"/>
      <c r="BM311" s="1147"/>
      <c r="BN311" s="1147"/>
      <c r="BO311" s="1147"/>
      <c r="BP311" s="1147"/>
      <c r="BQ311" s="1147"/>
      <c r="BR311" s="1147"/>
      <c r="BS311" s="1147"/>
      <c r="BT311" s="1147"/>
      <c r="BU311" s="1147"/>
      <c r="BV311" s="1147"/>
      <c r="BW311" s="1147"/>
      <c r="BX311" s="1147"/>
      <c r="BY311" s="1147"/>
      <c r="BZ311" s="1147"/>
      <c r="CA311" s="1147"/>
      <c r="CB311" s="1147"/>
      <c r="CC311" s="1147"/>
      <c r="CD311" s="1147"/>
      <c r="CE311" s="1147"/>
      <c r="CF311" s="1147"/>
      <c r="CG311" s="1147"/>
      <c r="CH311" s="1147"/>
      <c r="CI311" s="1147"/>
      <c r="CJ311" s="1147"/>
      <c r="CK311" s="1146"/>
    </row>
    <row r="312" spans="1:89" ht="15" x14ac:dyDescent="0.25">
      <c r="A312" s="1146"/>
      <c r="B312" s="1146"/>
      <c r="C312" s="1146"/>
      <c r="D312" s="1146"/>
      <c r="E312" s="1146"/>
      <c r="F312" s="1146"/>
      <c r="G312" s="1146"/>
      <c r="H312" s="1146"/>
      <c r="I312" s="1146"/>
      <c r="J312" s="1146"/>
      <c r="K312" s="1146"/>
      <c r="L312" s="1146"/>
      <c r="M312" s="1146"/>
      <c r="N312" s="1146"/>
      <c r="O312" s="1146"/>
      <c r="P312" s="1146"/>
      <c r="Q312" s="1146"/>
      <c r="R312" s="1146"/>
      <c r="S312" s="1146"/>
      <c r="T312" s="1147"/>
      <c r="U312" s="1147"/>
      <c r="V312" s="1147"/>
      <c r="W312" s="1147"/>
      <c r="X312" s="1147"/>
      <c r="Y312" s="1147"/>
      <c r="Z312" s="1147"/>
      <c r="AA312" s="1147"/>
      <c r="AB312" s="1147"/>
      <c r="AC312" s="1147"/>
      <c r="AD312" s="1147"/>
      <c r="AE312" s="1147"/>
      <c r="AF312" s="1147"/>
      <c r="AG312" s="1147"/>
      <c r="AH312" s="1147"/>
      <c r="AI312" s="1147"/>
      <c r="AJ312" s="1147"/>
      <c r="AK312" s="1147"/>
      <c r="AL312" s="1147"/>
      <c r="AM312" s="1147"/>
      <c r="AN312" s="1147"/>
      <c r="AO312" s="1147"/>
      <c r="AP312" s="1147"/>
      <c r="AQ312" s="1147"/>
      <c r="AR312" s="1147"/>
      <c r="AS312" s="1147"/>
      <c r="AT312" s="1147"/>
      <c r="AU312" s="1147"/>
      <c r="AV312" s="1147"/>
      <c r="AW312" s="1147"/>
      <c r="AX312" s="1147"/>
      <c r="AY312" s="1147"/>
      <c r="AZ312" s="1147"/>
      <c r="BA312" s="1147"/>
      <c r="BB312" s="1147"/>
      <c r="BC312" s="1147"/>
      <c r="BD312" s="1147"/>
      <c r="BE312" s="1147"/>
      <c r="BF312" s="1147"/>
      <c r="BG312" s="1147"/>
      <c r="BH312" s="1147"/>
      <c r="BI312" s="1147"/>
      <c r="BJ312" s="1147"/>
      <c r="BK312" s="1147"/>
      <c r="BL312" s="1147"/>
      <c r="BM312" s="1147"/>
      <c r="BN312" s="1147"/>
      <c r="BO312" s="1147"/>
      <c r="BP312" s="1147"/>
      <c r="BQ312" s="1147"/>
      <c r="BR312" s="1147"/>
      <c r="BS312" s="1147"/>
      <c r="BT312" s="1147"/>
      <c r="BU312" s="1147"/>
      <c r="BV312" s="1147"/>
      <c r="BW312" s="1147"/>
      <c r="BX312" s="1147"/>
      <c r="BY312" s="1147"/>
      <c r="BZ312" s="1147"/>
      <c r="CA312" s="1147"/>
      <c r="CB312" s="1147"/>
      <c r="CC312" s="1147"/>
      <c r="CD312" s="1147"/>
      <c r="CE312" s="1147"/>
      <c r="CF312" s="1147"/>
      <c r="CG312" s="1147"/>
      <c r="CH312" s="1147"/>
      <c r="CI312" s="1147"/>
      <c r="CJ312" s="1147"/>
      <c r="CK312" s="1146"/>
    </row>
    <row r="313" spans="1:89" ht="15" x14ac:dyDescent="0.25">
      <c r="A313" s="1146"/>
      <c r="B313" s="1146"/>
      <c r="C313" s="1146"/>
      <c r="D313" s="1146"/>
      <c r="E313" s="1146"/>
      <c r="F313" s="1146"/>
      <c r="G313" s="1146"/>
      <c r="H313" s="1146"/>
      <c r="I313" s="1146"/>
      <c r="J313" s="1146"/>
      <c r="K313" s="1146"/>
      <c r="L313" s="1146"/>
      <c r="M313" s="1146"/>
      <c r="N313" s="1146"/>
      <c r="O313" s="1146"/>
      <c r="P313" s="1146"/>
      <c r="Q313" s="1146"/>
      <c r="R313" s="1146"/>
      <c r="S313" s="1146"/>
      <c r="T313" s="1147"/>
      <c r="U313" s="1147"/>
      <c r="V313" s="1147"/>
      <c r="W313" s="1147"/>
      <c r="X313" s="1147"/>
      <c r="Y313" s="1147"/>
      <c r="Z313" s="1147"/>
      <c r="AA313" s="1147"/>
      <c r="AB313" s="1147"/>
      <c r="AC313" s="1147"/>
      <c r="AD313" s="1147"/>
      <c r="AE313" s="1147"/>
      <c r="AF313" s="1147"/>
      <c r="AG313" s="1147"/>
      <c r="AH313" s="1147"/>
      <c r="AI313" s="1147"/>
      <c r="AJ313" s="1147"/>
      <c r="AK313" s="1147"/>
      <c r="AL313" s="1147"/>
      <c r="AM313" s="1147"/>
      <c r="AN313" s="1147"/>
      <c r="AO313" s="1147"/>
      <c r="AP313" s="1147"/>
      <c r="AQ313" s="1147"/>
      <c r="AR313" s="1147"/>
      <c r="AS313" s="1147"/>
      <c r="AT313" s="1147"/>
      <c r="AU313" s="1147"/>
      <c r="AV313" s="1147"/>
      <c r="AW313" s="1147"/>
      <c r="AX313" s="1147"/>
      <c r="AY313" s="1147"/>
      <c r="AZ313" s="1147"/>
      <c r="BA313" s="1147"/>
      <c r="BB313" s="1147"/>
      <c r="BC313" s="1147"/>
      <c r="BD313" s="1147"/>
      <c r="BE313" s="1147"/>
      <c r="BF313" s="1147"/>
      <c r="BG313" s="1147"/>
      <c r="BH313" s="1147"/>
      <c r="BI313" s="1147"/>
      <c r="BJ313" s="1147"/>
      <c r="BK313" s="1147"/>
      <c r="BL313" s="1147"/>
      <c r="BM313" s="1147"/>
      <c r="BN313" s="1147"/>
      <c r="BO313" s="1147"/>
      <c r="BP313" s="1147"/>
      <c r="BQ313" s="1147"/>
      <c r="BR313" s="1147"/>
      <c r="BS313" s="1147"/>
      <c r="BT313" s="1147"/>
      <c r="BU313" s="1147"/>
      <c r="BV313" s="1147"/>
      <c r="BW313" s="1147"/>
      <c r="BX313" s="1147"/>
      <c r="BY313" s="1147"/>
      <c r="BZ313" s="1147"/>
      <c r="CA313" s="1147"/>
      <c r="CB313" s="1147"/>
      <c r="CC313" s="1147"/>
      <c r="CD313" s="1147"/>
      <c r="CE313" s="1147"/>
      <c r="CF313" s="1147"/>
      <c r="CG313" s="1147"/>
      <c r="CH313" s="1147"/>
      <c r="CI313" s="1147"/>
      <c r="CJ313" s="1147"/>
      <c r="CK313" s="1146"/>
    </row>
    <row r="314" spans="1:89" ht="15" x14ac:dyDescent="0.25">
      <c r="A314" s="1146"/>
      <c r="B314" s="1146"/>
      <c r="C314" s="1146"/>
      <c r="D314" s="1146"/>
      <c r="E314" s="1146"/>
      <c r="F314" s="1146"/>
      <c r="G314" s="1146"/>
      <c r="H314" s="1146"/>
      <c r="I314" s="1146"/>
      <c r="J314" s="1146"/>
      <c r="K314" s="1146"/>
      <c r="L314" s="1146"/>
      <c r="M314" s="1146"/>
      <c r="N314" s="1146"/>
      <c r="O314" s="1146"/>
      <c r="P314" s="1146"/>
      <c r="Q314" s="1146"/>
      <c r="R314" s="1146"/>
      <c r="S314" s="1146"/>
      <c r="T314" s="1147"/>
      <c r="U314" s="1147"/>
      <c r="V314" s="1147"/>
      <c r="W314" s="1147"/>
      <c r="X314" s="1147"/>
      <c r="Y314" s="1147"/>
      <c r="Z314" s="1147"/>
      <c r="AA314" s="1147"/>
      <c r="AB314" s="1147"/>
      <c r="AC314" s="1147"/>
      <c r="AD314" s="1147"/>
      <c r="AE314" s="1147"/>
      <c r="AF314" s="1147"/>
      <c r="AG314" s="1147"/>
      <c r="AH314" s="1147"/>
      <c r="AI314" s="1147"/>
      <c r="AJ314" s="1147"/>
      <c r="AK314" s="1147"/>
      <c r="AL314" s="1147"/>
      <c r="AM314" s="1147"/>
      <c r="AN314" s="1147"/>
      <c r="AO314" s="1147"/>
      <c r="AP314" s="1147"/>
      <c r="AQ314" s="1147"/>
      <c r="AR314" s="1147"/>
      <c r="AS314" s="1147"/>
      <c r="AT314" s="1147"/>
      <c r="AU314" s="1147"/>
      <c r="AV314" s="1147"/>
      <c r="AW314" s="1147"/>
      <c r="AX314" s="1147"/>
      <c r="AY314" s="1147"/>
      <c r="AZ314" s="1147"/>
      <c r="BA314" s="1147"/>
      <c r="BB314" s="1147"/>
      <c r="BC314" s="1147"/>
      <c r="BD314" s="1147"/>
      <c r="BE314" s="1147"/>
      <c r="BF314" s="1147"/>
      <c r="BG314" s="1147"/>
      <c r="BH314" s="1147"/>
      <c r="BI314" s="1147"/>
      <c r="BJ314" s="1147"/>
      <c r="BK314" s="1147"/>
      <c r="BL314" s="1147"/>
      <c r="BM314" s="1147"/>
      <c r="BN314" s="1147"/>
      <c r="BO314" s="1147"/>
      <c r="BP314" s="1147"/>
      <c r="BQ314" s="1147"/>
      <c r="BR314" s="1147"/>
      <c r="BS314" s="1147"/>
      <c r="BT314" s="1147"/>
      <c r="BU314" s="1147"/>
      <c r="BV314" s="1147"/>
      <c r="BW314" s="1147"/>
      <c r="BX314" s="1147"/>
      <c r="BY314" s="1147"/>
      <c r="BZ314" s="1147"/>
      <c r="CA314" s="1147"/>
      <c r="CB314" s="1147"/>
      <c r="CC314" s="1147"/>
      <c r="CD314" s="1147"/>
      <c r="CE314" s="1147"/>
      <c r="CF314" s="1147"/>
      <c r="CG314" s="1147"/>
      <c r="CH314" s="1147"/>
      <c r="CI314" s="1147"/>
      <c r="CJ314" s="1147"/>
      <c r="CK314" s="1146"/>
    </row>
    <row r="315" spans="1:89" ht="15" x14ac:dyDescent="0.25">
      <c r="A315" s="1146"/>
      <c r="B315" s="1146"/>
      <c r="C315" s="1146"/>
      <c r="D315" s="1146"/>
      <c r="E315" s="1146"/>
      <c r="F315" s="1146"/>
      <c r="G315" s="1146"/>
      <c r="H315" s="1146"/>
      <c r="I315" s="1146"/>
      <c r="J315" s="1146"/>
      <c r="K315" s="1146"/>
      <c r="L315" s="1146"/>
      <c r="M315" s="1146"/>
      <c r="N315" s="1146"/>
      <c r="O315" s="1146"/>
      <c r="P315" s="1146"/>
      <c r="Q315" s="1146"/>
      <c r="R315" s="1146"/>
      <c r="S315" s="1146"/>
      <c r="T315" s="1147"/>
      <c r="U315" s="1147"/>
      <c r="V315" s="1147"/>
      <c r="W315" s="1147"/>
      <c r="X315" s="1147"/>
      <c r="Y315" s="1147"/>
      <c r="Z315" s="1147"/>
      <c r="AA315" s="1147"/>
      <c r="AB315" s="1147"/>
      <c r="AC315" s="1147"/>
      <c r="AD315" s="1147"/>
      <c r="AE315" s="1147"/>
      <c r="AF315" s="1147"/>
      <c r="AG315" s="1147"/>
      <c r="AH315" s="1147"/>
      <c r="AI315" s="1147"/>
      <c r="AJ315" s="1147"/>
      <c r="AK315" s="1147"/>
      <c r="AL315" s="1147"/>
      <c r="AM315" s="1147"/>
      <c r="AN315" s="1147"/>
      <c r="AO315" s="1147"/>
      <c r="AP315" s="1147"/>
      <c r="AQ315" s="1147"/>
      <c r="AR315" s="1147"/>
      <c r="AS315" s="1147"/>
      <c r="AT315" s="1147"/>
      <c r="AU315" s="1147"/>
      <c r="AV315" s="1147"/>
      <c r="AW315" s="1147"/>
      <c r="AX315" s="1147"/>
      <c r="AY315" s="1147"/>
      <c r="AZ315" s="1147"/>
      <c r="BA315" s="1147"/>
      <c r="BB315" s="1147"/>
      <c r="BC315" s="1147"/>
      <c r="BD315" s="1147"/>
      <c r="BE315" s="1147"/>
      <c r="BF315" s="1147"/>
      <c r="BG315" s="1147"/>
      <c r="BH315" s="1147"/>
      <c r="BI315" s="1147"/>
      <c r="BJ315" s="1147"/>
      <c r="BK315" s="1147"/>
      <c r="BL315" s="1147"/>
      <c r="BM315" s="1147"/>
      <c r="BN315" s="1147"/>
      <c r="BO315" s="1147"/>
      <c r="BP315" s="1147"/>
      <c r="BQ315" s="1147"/>
      <c r="BR315" s="1147"/>
      <c r="BS315" s="1147"/>
      <c r="BT315" s="1147"/>
      <c r="BU315" s="1147"/>
      <c r="BV315" s="1147"/>
      <c r="BW315" s="1147"/>
      <c r="BX315" s="1147"/>
      <c r="BY315" s="1147"/>
      <c r="BZ315" s="1147"/>
      <c r="CA315" s="1147"/>
      <c r="CB315" s="1147"/>
      <c r="CC315" s="1147"/>
      <c r="CD315" s="1147"/>
      <c r="CE315" s="1147"/>
      <c r="CF315" s="1147"/>
      <c r="CG315" s="1147"/>
      <c r="CH315" s="1147"/>
      <c r="CI315" s="1147"/>
      <c r="CJ315" s="1147"/>
      <c r="CK315" s="1146"/>
    </row>
    <row r="316" spans="1:89" ht="15" x14ac:dyDescent="0.25">
      <c r="A316" s="1146"/>
      <c r="B316" s="1146"/>
      <c r="C316" s="1146"/>
      <c r="D316" s="1146"/>
      <c r="E316" s="1146"/>
      <c r="F316" s="1146"/>
      <c r="G316" s="1146"/>
      <c r="H316" s="1146"/>
      <c r="I316" s="1146"/>
      <c r="J316" s="1146"/>
      <c r="K316" s="1146"/>
      <c r="L316" s="1146"/>
      <c r="M316" s="1146"/>
      <c r="N316" s="1146"/>
      <c r="O316" s="1146"/>
      <c r="P316" s="1146"/>
      <c r="Q316" s="1146"/>
      <c r="R316" s="1146"/>
      <c r="S316" s="1146"/>
      <c r="T316" s="1147"/>
      <c r="U316" s="1147"/>
      <c r="V316" s="1147"/>
      <c r="W316" s="1147"/>
      <c r="X316" s="1147"/>
      <c r="Y316" s="1147"/>
      <c r="Z316" s="1147"/>
      <c r="AA316" s="1147"/>
      <c r="AB316" s="1147"/>
      <c r="AC316" s="1147"/>
      <c r="AD316" s="1147"/>
      <c r="AE316" s="1147"/>
      <c r="AF316" s="1147"/>
      <c r="AG316" s="1147"/>
      <c r="AH316" s="1147"/>
      <c r="AI316" s="1147"/>
      <c r="AJ316" s="1147"/>
      <c r="AK316" s="1147"/>
      <c r="AL316" s="1147"/>
      <c r="AM316" s="1147"/>
      <c r="AN316" s="1147"/>
      <c r="AO316" s="1147"/>
      <c r="AP316" s="1147"/>
      <c r="AQ316" s="1147"/>
      <c r="AR316" s="1147"/>
      <c r="AS316" s="1147"/>
      <c r="AT316" s="1147"/>
      <c r="AU316" s="1147"/>
      <c r="AV316" s="1147"/>
      <c r="AW316" s="1147"/>
      <c r="AX316" s="1147"/>
      <c r="AY316" s="1147"/>
      <c r="AZ316" s="1147"/>
      <c r="BA316" s="1147"/>
      <c r="BB316" s="1147"/>
      <c r="BC316" s="1147"/>
      <c r="BD316" s="1147"/>
      <c r="BE316" s="1147"/>
      <c r="BF316" s="1147"/>
      <c r="BG316" s="1147"/>
      <c r="BH316" s="1147"/>
      <c r="BI316" s="1147"/>
      <c r="BJ316" s="1147"/>
      <c r="BK316" s="1147"/>
      <c r="BL316" s="1147"/>
      <c r="BM316" s="1147"/>
      <c r="BN316" s="1147"/>
      <c r="BO316" s="1147"/>
      <c r="BP316" s="1147"/>
      <c r="BQ316" s="1147"/>
      <c r="BR316" s="1147"/>
      <c r="BS316" s="1147"/>
      <c r="BT316" s="1147"/>
      <c r="BU316" s="1147"/>
      <c r="BV316" s="1147"/>
      <c r="BW316" s="1147"/>
      <c r="BX316" s="1147"/>
      <c r="BY316" s="1147"/>
      <c r="BZ316" s="1147"/>
      <c r="CA316" s="1147"/>
      <c r="CB316" s="1147"/>
      <c r="CC316" s="1147"/>
      <c r="CD316" s="1147"/>
      <c r="CE316" s="1147"/>
      <c r="CF316" s="1147"/>
      <c r="CG316" s="1147"/>
      <c r="CH316" s="1147"/>
      <c r="CI316" s="1147"/>
      <c r="CJ316" s="1147"/>
      <c r="CK316" s="1146"/>
    </row>
    <row r="317" spans="1:89" ht="15" x14ac:dyDescent="0.25">
      <c r="A317" s="1146"/>
      <c r="B317" s="1146"/>
      <c r="C317" s="1146"/>
      <c r="D317" s="1146"/>
      <c r="E317" s="1146"/>
      <c r="F317" s="1146"/>
      <c r="G317" s="1146"/>
      <c r="H317" s="1146"/>
      <c r="I317" s="1146"/>
      <c r="J317" s="1146"/>
      <c r="K317" s="1146"/>
      <c r="L317" s="1146"/>
      <c r="M317" s="1146"/>
      <c r="N317" s="1146"/>
      <c r="O317" s="1146"/>
      <c r="P317" s="1146"/>
      <c r="Q317" s="1146"/>
      <c r="R317" s="1146"/>
      <c r="S317" s="1146"/>
      <c r="T317" s="1147"/>
      <c r="U317" s="1147"/>
      <c r="V317" s="1147"/>
      <c r="W317" s="1147"/>
      <c r="X317" s="1147"/>
      <c r="Y317" s="1147"/>
      <c r="Z317" s="1147"/>
      <c r="AA317" s="1147"/>
      <c r="AB317" s="1147"/>
      <c r="AC317" s="1147"/>
      <c r="AD317" s="1147"/>
      <c r="AE317" s="1147"/>
      <c r="AF317" s="1147"/>
      <c r="AG317" s="1147"/>
      <c r="AH317" s="1147"/>
      <c r="AI317" s="1147"/>
      <c r="AJ317" s="1147"/>
      <c r="AK317" s="1147"/>
      <c r="AL317" s="1147"/>
      <c r="AM317" s="1147"/>
      <c r="AN317" s="1147"/>
      <c r="AO317" s="1147"/>
      <c r="AP317" s="1147"/>
      <c r="AQ317" s="1147"/>
      <c r="AR317" s="1147"/>
      <c r="AS317" s="1147"/>
      <c r="AT317" s="1147"/>
      <c r="AU317" s="1147"/>
      <c r="AV317" s="1147"/>
      <c r="AW317" s="1147"/>
      <c r="AX317" s="1147"/>
      <c r="AY317" s="1147"/>
      <c r="AZ317" s="1147"/>
      <c r="BA317" s="1147"/>
      <c r="BB317" s="1147"/>
      <c r="BC317" s="1147"/>
      <c r="BD317" s="1147"/>
      <c r="BE317" s="1147"/>
      <c r="BF317" s="1147"/>
      <c r="BG317" s="1147"/>
      <c r="BH317" s="1147"/>
      <c r="BI317" s="1147"/>
      <c r="BJ317" s="1147"/>
      <c r="BK317" s="1147"/>
      <c r="BL317" s="1147"/>
      <c r="BM317" s="1147"/>
      <c r="BN317" s="1147"/>
      <c r="BO317" s="1147"/>
      <c r="BP317" s="1147"/>
      <c r="BQ317" s="1147"/>
      <c r="BR317" s="1147"/>
      <c r="BS317" s="1147"/>
      <c r="BT317" s="1147"/>
      <c r="BU317" s="1147"/>
      <c r="BV317" s="1147"/>
      <c r="BW317" s="1147"/>
      <c r="BX317" s="1147"/>
      <c r="BY317" s="1147"/>
      <c r="BZ317" s="1147"/>
      <c r="CA317" s="1147"/>
      <c r="CB317" s="1147"/>
      <c r="CC317" s="1147"/>
      <c r="CD317" s="1147"/>
      <c r="CE317" s="1147"/>
      <c r="CF317" s="1147"/>
      <c r="CG317" s="1147"/>
      <c r="CH317" s="1147"/>
      <c r="CI317" s="1147"/>
      <c r="CJ317" s="1147"/>
      <c r="CK317" s="1146"/>
    </row>
    <row r="318" spans="1:89" ht="15" x14ac:dyDescent="0.25">
      <c r="A318" s="1146"/>
      <c r="B318" s="1146"/>
      <c r="C318" s="1146"/>
      <c r="D318" s="1146"/>
      <c r="E318" s="1146"/>
      <c r="F318" s="1146"/>
      <c r="G318" s="1146"/>
      <c r="H318" s="1146"/>
      <c r="I318" s="1146"/>
      <c r="J318" s="1146"/>
      <c r="K318" s="1146"/>
      <c r="L318" s="1146"/>
      <c r="M318" s="1146"/>
      <c r="N318" s="1146"/>
      <c r="O318" s="1146"/>
      <c r="P318" s="1146"/>
      <c r="Q318" s="1146"/>
      <c r="R318" s="1146"/>
      <c r="S318" s="1146"/>
      <c r="T318" s="1147"/>
      <c r="U318" s="1147"/>
      <c r="V318" s="1147"/>
      <c r="W318" s="1147"/>
      <c r="X318" s="1147"/>
      <c r="Y318" s="1147"/>
      <c r="Z318" s="1147"/>
      <c r="AA318" s="1147"/>
      <c r="AB318" s="1147"/>
      <c r="AC318" s="1147"/>
      <c r="AD318" s="1147"/>
      <c r="AE318" s="1147"/>
      <c r="AF318" s="1147"/>
      <c r="AG318" s="1147"/>
      <c r="AH318" s="1147"/>
      <c r="AI318" s="1147"/>
      <c r="AJ318" s="1147"/>
      <c r="AK318" s="1147"/>
      <c r="AL318" s="1147"/>
      <c r="AM318" s="1147"/>
      <c r="AN318" s="1147"/>
      <c r="AO318" s="1147"/>
      <c r="AP318" s="1147"/>
      <c r="AQ318" s="1147"/>
      <c r="AR318" s="1147"/>
      <c r="AS318" s="1147"/>
      <c r="AT318" s="1147"/>
      <c r="AU318" s="1147"/>
      <c r="AV318" s="1147"/>
      <c r="AW318" s="1147"/>
      <c r="AX318" s="1147"/>
      <c r="AY318" s="1147"/>
      <c r="AZ318" s="1147"/>
      <c r="BA318" s="1147"/>
      <c r="BB318" s="1147"/>
      <c r="BC318" s="1147"/>
      <c r="BD318" s="1147"/>
      <c r="BE318" s="1147"/>
      <c r="BF318" s="1147"/>
      <c r="BG318" s="1147"/>
      <c r="BH318" s="1147"/>
      <c r="BI318" s="1147"/>
      <c r="BJ318" s="1147"/>
      <c r="BK318" s="1147"/>
      <c r="BL318" s="1147"/>
      <c r="BM318" s="1147"/>
      <c r="BN318" s="1147"/>
      <c r="BO318" s="1147"/>
      <c r="BP318" s="1147"/>
      <c r="BQ318" s="1147"/>
      <c r="BR318" s="1147"/>
      <c r="BS318" s="1147"/>
      <c r="BT318" s="1147"/>
      <c r="BU318" s="1147"/>
      <c r="BV318" s="1147"/>
      <c r="BW318" s="1147"/>
      <c r="BX318" s="1147"/>
      <c r="BY318" s="1147"/>
      <c r="BZ318" s="1147"/>
      <c r="CA318" s="1147"/>
      <c r="CB318" s="1147"/>
      <c r="CC318" s="1147"/>
      <c r="CD318" s="1147"/>
      <c r="CE318" s="1147"/>
      <c r="CF318" s="1147"/>
      <c r="CG318" s="1147"/>
      <c r="CH318" s="1147"/>
      <c r="CI318" s="1147"/>
      <c r="CJ318" s="1147"/>
      <c r="CK318" s="1146"/>
    </row>
    <row r="319" spans="1:89" ht="15" x14ac:dyDescent="0.25">
      <c r="A319" s="1146"/>
      <c r="B319" s="1146"/>
      <c r="C319" s="1146"/>
      <c r="D319" s="1146"/>
      <c r="E319" s="1146"/>
      <c r="F319" s="1146"/>
      <c r="G319" s="1146"/>
      <c r="H319" s="1146"/>
      <c r="I319" s="1146"/>
      <c r="J319" s="1146"/>
      <c r="K319" s="1146"/>
      <c r="L319" s="1146"/>
      <c r="M319" s="1146"/>
      <c r="N319" s="1146"/>
      <c r="O319" s="1146"/>
      <c r="P319" s="1146"/>
      <c r="Q319" s="1146"/>
      <c r="R319" s="1146"/>
      <c r="S319" s="1146"/>
      <c r="T319" s="1147"/>
      <c r="U319" s="1147"/>
      <c r="V319" s="1147"/>
      <c r="W319" s="1147"/>
      <c r="X319" s="1147"/>
      <c r="Y319" s="1147"/>
      <c r="Z319" s="1147"/>
      <c r="AA319" s="1147"/>
      <c r="AB319" s="1147"/>
      <c r="AC319" s="1147"/>
      <c r="AD319" s="1147"/>
      <c r="AE319" s="1147"/>
      <c r="AF319" s="1147"/>
      <c r="AG319" s="1147"/>
      <c r="AH319" s="1147"/>
      <c r="AI319" s="1147"/>
      <c r="AJ319" s="1147"/>
      <c r="AK319" s="1147"/>
      <c r="AL319" s="1147"/>
      <c r="AM319" s="1147"/>
      <c r="AN319" s="1147"/>
      <c r="AO319" s="1147"/>
      <c r="AP319" s="1147"/>
      <c r="AQ319" s="1147"/>
      <c r="AR319" s="1147"/>
      <c r="AS319" s="1147"/>
      <c r="AT319" s="1147"/>
      <c r="AU319" s="1147"/>
      <c r="AV319" s="1147"/>
      <c r="AW319" s="1147"/>
      <c r="AX319" s="1147"/>
      <c r="AY319" s="1147"/>
      <c r="AZ319" s="1147"/>
      <c r="BA319" s="1147"/>
      <c r="BB319" s="1147"/>
      <c r="BC319" s="1147"/>
      <c r="BD319" s="1147"/>
      <c r="BE319" s="1147"/>
      <c r="BF319" s="1147"/>
      <c r="BG319" s="1147"/>
      <c r="BH319" s="1147"/>
      <c r="BI319" s="1147"/>
      <c r="BJ319" s="1147"/>
      <c r="BK319" s="1147"/>
      <c r="BL319" s="1147"/>
      <c r="BM319" s="1147"/>
      <c r="BN319" s="1147"/>
      <c r="BO319" s="1147"/>
      <c r="BP319" s="1147"/>
      <c r="BQ319" s="1147"/>
      <c r="BR319" s="1147"/>
      <c r="BS319" s="1147"/>
      <c r="BT319" s="1147"/>
      <c r="BU319" s="1147"/>
      <c r="BV319" s="1147"/>
      <c r="BW319" s="1147"/>
      <c r="BX319" s="1147"/>
      <c r="BY319" s="1147"/>
      <c r="BZ319" s="1147"/>
      <c r="CA319" s="1147"/>
      <c r="CB319" s="1147"/>
      <c r="CC319" s="1147"/>
      <c r="CD319" s="1147"/>
      <c r="CE319" s="1147"/>
      <c r="CF319" s="1147"/>
      <c r="CG319" s="1147"/>
      <c r="CH319" s="1147"/>
      <c r="CI319" s="1147"/>
      <c r="CJ319" s="1147"/>
      <c r="CK319" s="1146"/>
    </row>
    <row r="320" spans="1:89" ht="15" x14ac:dyDescent="0.25">
      <c r="A320" s="1146"/>
      <c r="B320" s="1146"/>
      <c r="C320" s="1146"/>
      <c r="D320" s="1146"/>
      <c r="E320" s="1146"/>
      <c r="F320" s="1146"/>
      <c r="G320" s="1146"/>
      <c r="H320" s="1146"/>
      <c r="I320" s="1146"/>
      <c r="J320" s="1146"/>
      <c r="K320" s="1146"/>
      <c r="L320" s="1146"/>
      <c r="M320" s="1146"/>
      <c r="N320" s="1146"/>
      <c r="O320" s="1146"/>
      <c r="P320" s="1146"/>
      <c r="Q320" s="1146"/>
      <c r="R320" s="1146"/>
      <c r="S320" s="1146"/>
      <c r="T320" s="1147"/>
      <c r="U320" s="1147"/>
      <c r="V320" s="1147"/>
      <c r="W320" s="1147"/>
      <c r="X320" s="1147"/>
      <c r="Y320" s="1147"/>
      <c r="Z320" s="1147"/>
      <c r="AA320" s="1147"/>
      <c r="AB320" s="1147"/>
      <c r="AC320" s="1147"/>
      <c r="AD320" s="1147"/>
      <c r="AE320" s="1147"/>
      <c r="AF320" s="1147"/>
      <c r="AG320" s="1147"/>
      <c r="AH320" s="1147"/>
      <c r="AI320" s="1147"/>
      <c r="AJ320" s="1147"/>
      <c r="AK320" s="1147"/>
      <c r="AL320" s="1147"/>
      <c r="AM320" s="1147"/>
      <c r="AN320" s="1147"/>
      <c r="AO320" s="1147"/>
      <c r="AP320" s="1147"/>
      <c r="AQ320" s="1147"/>
      <c r="AR320" s="1147"/>
      <c r="AS320" s="1147"/>
      <c r="AT320" s="1147"/>
      <c r="AU320" s="1147"/>
      <c r="AV320" s="1147"/>
      <c r="AW320" s="1147"/>
      <c r="AX320" s="1147"/>
      <c r="AY320" s="1147"/>
      <c r="AZ320" s="1147"/>
      <c r="BA320" s="1147"/>
      <c r="BB320" s="1147"/>
      <c r="BC320" s="1147"/>
      <c r="BD320" s="1147"/>
      <c r="BE320" s="1147"/>
      <c r="BF320" s="1147"/>
      <c r="BG320" s="1147"/>
      <c r="BH320" s="1147"/>
      <c r="BI320" s="1147"/>
      <c r="BJ320" s="1147"/>
      <c r="BK320" s="1147"/>
      <c r="BL320" s="1147"/>
      <c r="BM320" s="1147"/>
      <c r="BN320" s="1147"/>
      <c r="BO320" s="1147"/>
      <c r="BP320" s="1147"/>
      <c r="BQ320" s="1147"/>
      <c r="BR320" s="1147"/>
      <c r="BS320" s="1147"/>
      <c r="BT320" s="1147"/>
      <c r="BU320" s="1147"/>
      <c r="BV320" s="1147"/>
      <c r="BW320" s="1147"/>
      <c r="BX320" s="1147"/>
      <c r="BY320" s="1147"/>
      <c r="BZ320" s="1147"/>
      <c r="CA320" s="1147"/>
      <c r="CB320" s="1147"/>
      <c r="CC320" s="1147"/>
      <c r="CD320" s="1147"/>
      <c r="CE320" s="1147"/>
      <c r="CF320" s="1147"/>
      <c r="CG320" s="1147"/>
      <c r="CH320" s="1147"/>
      <c r="CI320" s="1147"/>
      <c r="CJ320" s="1147"/>
      <c r="CK320" s="1146"/>
    </row>
    <row r="321" spans="1:89" ht="15" x14ac:dyDescent="0.25">
      <c r="A321" s="1146"/>
      <c r="B321" s="1146"/>
      <c r="C321" s="1146"/>
      <c r="D321" s="1146"/>
      <c r="E321" s="1146"/>
      <c r="F321" s="1146"/>
      <c r="G321" s="1146"/>
      <c r="H321" s="1146"/>
      <c r="I321" s="1146"/>
      <c r="J321" s="1146"/>
      <c r="K321" s="1146"/>
      <c r="L321" s="1146"/>
      <c r="M321" s="1146"/>
      <c r="N321" s="1146"/>
      <c r="O321" s="1146"/>
      <c r="P321" s="1146"/>
      <c r="Q321" s="1146"/>
      <c r="R321" s="1146"/>
      <c r="S321" s="1146"/>
      <c r="T321" s="1147"/>
      <c r="U321" s="1147"/>
      <c r="V321" s="1147"/>
      <c r="W321" s="1147"/>
      <c r="X321" s="1147"/>
      <c r="Y321" s="1147"/>
      <c r="Z321" s="1147"/>
      <c r="AA321" s="1147"/>
      <c r="AB321" s="1147"/>
      <c r="AC321" s="1147"/>
      <c r="AD321" s="1147"/>
      <c r="AE321" s="1147"/>
      <c r="AF321" s="1147"/>
      <c r="AG321" s="1147"/>
      <c r="AH321" s="1147"/>
      <c r="AI321" s="1147"/>
      <c r="AJ321" s="1147"/>
      <c r="AK321" s="1147"/>
      <c r="AL321" s="1147"/>
      <c r="AM321" s="1147"/>
      <c r="AN321" s="1147"/>
      <c r="AO321" s="1147"/>
      <c r="AP321" s="1147"/>
      <c r="AQ321" s="1147"/>
      <c r="AR321" s="1147"/>
      <c r="AS321" s="1147"/>
      <c r="AT321" s="1147"/>
      <c r="AU321" s="1147"/>
      <c r="AV321" s="1147"/>
      <c r="AW321" s="1147"/>
      <c r="AX321" s="1147"/>
      <c r="AY321" s="1147"/>
      <c r="AZ321" s="1147"/>
      <c r="BA321" s="1147"/>
      <c r="BB321" s="1147"/>
      <c r="BC321" s="1147"/>
      <c r="BD321" s="1147"/>
      <c r="BE321" s="1147"/>
      <c r="BF321" s="1147"/>
      <c r="BG321" s="1147"/>
      <c r="BH321" s="1147"/>
      <c r="BI321" s="1147"/>
      <c r="BJ321" s="1147"/>
      <c r="BK321" s="1147"/>
      <c r="BL321" s="1147"/>
      <c r="BM321" s="1147"/>
      <c r="BN321" s="1147"/>
      <c r="BO321" s="1147"/>
      <c r="BP321" s="1147"/>
      <c r="BQ321" s="1147"/>
      <c r="BR321" s="1147"/>
      <c r="BS321" s="1147"/>
      <c r="BT321" s="1147"/>
      <c r="BU321" s="1147"/>
      <c r="BV321" s="1147"/>
      <c r="BW321" s="1147"/>
      <c r="BX321" s="1147"/>
      <c r="BY321" s="1147"/>
      <c r="BZ321" s="1147"/>
      <c r="CA321" s="1147"/>
      <c r="CB321" s="1147"/>
      <c r="CC321" s="1147"/>
      <c r="CD321" s="1147"/>
      <c r="CE321" s="1147"/>
      <c r="CF321" s="1147"/>
      <c r="CG321" s="1147"/>
      <c r="CH321" s="1147"/>
      <c r="CI321" s="1147"/>
      <c r="CJ321" s="1147"/>
      <c r="CK321" s="1146"/>
    </row>
    <row r="322" spans="1:89" ht="15" x14ac:dyDescent="0.25">
      <c r="A322" s="1146"/>
      <c r="B322" s="1146"/>
      <c r="C322" s="1146"/>
      <c r="D322" s="1146"/>
      <c r="E322" s="1146"/>
      <c r="F322" s="1146"/>
      <c r="G322" s="1146"/>
      <c r="H322" s="1146"/>
      <c r="I322" s="1146"/>
      <c r="J322" s="1146"/>
      <c r="K322" s="1146"/>
      <c r="L322" s="1146"/>
      <c r="M322" s="1146"/>
      <c r="N322" s="1146"/>
      <c r="O322" s="1146"/>
      <c r="P322" s="1146"/>
      <c r="Q322" s="1146"/>
      <c r="R322" s="1146"/>
      <c r="S322" s="1146"/>
      <c r="T322" s="1147"/>
      <c r="U322" s="1147"/>
      <c r="V322" s="1147"/>
      <c r="W322" s="1147"/>
      <c r="X322" s="1147"/>
      <c r="Y322" s="1147"/>
      <c r="Z322" s="1147"/>
      <c r="AA322" s="1147"/>
      <c r="AB322" s="1147"/>
      <c r="AC322" s="1147"/>
      <c r="AD322" s="1147"/>
      <c r="AE322" s="1147"/>
      <c r="AF322" s="1147"/>
      <c r="AG322" s="1147"/>
      <c r="AH322" s="1147"/>
      <c r="AI322" s="1147"/>
      <c r="AJ322" s="1147"/>
      <c r="AK322" s="1147"/>
      <c r="AL322" s="1147"/>
      <c r="AM322" s="1147"/>
      <c r="AN322" s="1147"/>
      <c r="AO322" s="1147"/>
      <c r="AP322" s="1147"/>
      <c r="AQ322" s="1147"/>
      <c r="AR322" s="1147"/>
      <c r="AS322" s="1147"/>
      <c r="AT322" s="1147"/>
      <c r="AU322" s="1147"/>
      <c r="AV322" s="1147"/>
      <c r="AW322" s="1147"/>
      <c r="AX322" s="1147"/>
      <c r="AY322" s="1147"/>
      <c r="AZ322" s="1147"/>
      <c r="BA322" s="1147"/>
      <c r="BB322" s="1147"/>
      <c r="BC322" s="1147"/>
      <c r="BD322" s="1147"/>
      <c r="BE322" s="1147"/>
      <c r="BF322" s="1147"/>
      <c r="BG322" s="1147"/>
      <c r="BH322" s="1147"/>
      <c r="BI322" s="1147"/>
      <c r="BJ322" s="1147"/>
      <c r="BK322" s="1147"/>
      <c r="BL322" s="1147"/>
      <c r="BM322" s="1147"/>
      <c r="BN322" s="1147"/>
      <c r="BO322" s="1147"/>
      <c r="BP322" s="1147"/>
      <c r="BQ322" s="1147"/>
      <c r="BR322" s="1147"/>
      <c r="BS322" s="1147"/>
      <c r="BT322" s="1147"/>
      <c r="BU322" s="1147"/>
      <c r="BV322" s="1147"/>
      <c r="BW322" s="1147"/>
      <c r="BX322" s="1147"/>
      <c r="BY322" s="1147"/>
      <c r="BZ322" s="1147"/>
      <c r="CA322" s="1147"/>
      <c r="CB322" s="1147"/>
      <c r="CC322" s="1147"/>
      <c r="CD322" s="1147"/>
      <c r="CE322" s="1147"/>
      <c r="CF322" s="1147"/>
      <c r="CG322" s="1147"/>
      <c r="CH322" s="1147"/>
      <c r="CI322" s="1147"/>
      <c r="CJ322" s="1147"/>
      <c r="CK322" s="1146"/>
    </row>
    <row r="323" spans="1:89" ht="15" x14ac:dyDescent="0.25">
      <c r="A323" s="1146"/>
      <c r="B323" s="1146"/>
      <c r="C323" s="1146"/>
      <c r="D323" s="1146"/>
      <c r="E323" s="1146"/>
      <c r="F323" s="1146"/>
      <c r="G323" s="1146"/>
      <c r="H323" s="1146"/>
      <c r="I323" s="1146"/>
      <c r="J323" s="1146"/>
      <c r="K323" s="1146"/>
      <c r="L323" s="1146"/>
      <c r="M323" s="1146"/>
      <c r="N323" s="1146"/>
      <c r="O323" s="1146"/>
      <c r="P323" s="1146"/>
      <c r="Q323" s="1146"/>
      <c r="R323" s="1146"/>
      <c r="S323" s="1146"/>
      <c r="T323" s="1147"/>
      <c r="U323" s="1147"/>
      <c r="V323" s="1147"/>
      <c r="W323" s="1147"/>
      <c r="X323" s="1147"/>
      <c r="Y323" s="1147"/>
      <c r="Z323" s="1147"/>
      <c r="AA323" s="1147"/>
      <c r="AB323" s="1147"/>
      <c r="AC323" s="1147"/>
      <c r="AD323" s="1147"/>
      <c r="AE323" s="1147"/>
      <c r="AF323" s="1147"/>
      <c r="AG323" s="1147"/>
      <c r="AH323" s="1147"/>
      <c r="AI323" s="1147"/>
      <c r="AJ323" s="1147"/>
      <c r="AK323" s="1147"/>
      <c r="AL323" s="1147"/>
      <c r="AM323" s="1147"/>
      <c r="AN323" s="1147"/>
      <c r="AO323" s="1147"/>
      <c r="AP323" s="1147"/>
      <c r="AQ323" s="1147"/>
      <c r="AR323" s="1147"/>
      <c r="AS323" s="1147"/>
      <c r="AT323" s="1147"/>
      <c r="AU323" s="1147"/>
      <c r="AV323" s="1147"/>
      <c r="AW323" s="1147"/>
      <c r="AX323" s="1147"/>
      <c r="AY323" s="1147"/>
      <c r="AZ323" s="1147"/>
      <c r="BA323" s="1147"/>
      <c r="BB323" s="1147"/>
      <c r="BC323" s="1147"/>
      <c r="BD323" s="1147"/>
      <c r="BE323" s="1147"/>
      <c r="BF323" s="1147"/>
      <c r="BG323" s="1147"/>
      <c r="BH323" s="1147"/>
      <c r="BI323" s="1147"/>
      <c r="BJ323" s="1147"/>
      <c r="BK323" s="1147"/>
      <c r="BL323" s="1147"/>
      <c r="BM323" s="1147"/>
      <c r="BN323" s="1147"/>
      <c r="BO323" s="1147"/>
      <c r="BP323" s="1147"/>
      <c r="BQ323" s="1147"/>
      <c r="BR323" s="1147"/>
      <c r="BS323" s="1147"/>
      <c r="BT323" s="1147"/>
      <c r="BU323" s="1147"/>
      <c r="BV323" s="1147"/>
      <c r="BW323" s="1147"/>
      <c r="BX323" s="1147"/>
      <c r="BY323" s="1147"/>
      <c r="BZ323" s="1147"/>
      <c r="CA323" s="1147"/>
      <c r="CB323" s="1147"/>
      <c r="CC323" s="1147"/>
      <c r="CD323" s="1147"/>
      <c r="CE323" s="1147"/>
      <c r="CF323" s="1147"/>
      <c r="CG323" s="1147"/>
      <c r="CH323" s="1147"/>
      <c r="CI323" s="1147"/>
      <c r="CJ323" s="1147"/>
      <c r="CK323" s="1146"/>
    </row>
    <row r="324" spans="1:89" ht="15" x14ac:dyDescent="0.25">
      <c r="A324" s="1146"/>
      <c r="B324" s="1146"/>
      <c r="C324" s="1146"/>
      <c r="D324" s="1146"/>
      <c r="E324" s="1146"/>
      <c r="F324" s="1146"/>
      <c r="G324" s="1146"/>
      <c r="H324" s="1146"/>
      <c r="I324" s="1146"/>
      <c r="J324" s="1146"/>
      <c r="K324" s="1146"/>
      <c r="L324" s="1146"/>
      <c r="M324" s="1146"/>
      <c r="N324" s="1146"/>
      <c r="O324" s="1146"/>
      <c r="P324" s="1146"/>
      <c r="Q324" s="1146"/>
      <c r="R324" s="1146"/>
      <c r="S324" s="1146"/>
      <c r="T324" s="1147"/>
      <c r="U324" s="1147"/>
      <c r="V324" s="1147"/>
      <c r="W324" s="1147"/>
      <c r="X324" s="1147"/>
      <c r="Y324" s="1147"/>
      <c r="Z324" s="1147"/>
      <c r="AA324" s="1147"/>
      <c r="AB324" s="1147"/>
      <c r="AC324" s="1147"/>
      <c r="AD324" s="1147"/>
      <c r="AE324" s="1147"/>
      <c r="AF324" s="1147"/>
      <c r="AG324" s="1147"/>
      <c r="AH324" s="1147"/>
      <c r="AI324" s="1147"/>
      <c r="AJ324" s="1147"/>
      <c r="AK324" s="1147"/>
      <c r="AL324" s="1147"/>
      <c r="AM324" s="1147"/>
      <c r="AN324" s="1147"/>
      <c r="AO324" s="1147"/>
      <c r="AP324" s="1147"/>
      <c r="AQ324" s="1147"/>
      <c r="AR324" s="1147"/>
      <c r="AS324" s="1147"/>
      <c r="AT324" s="1147"/>
      <c r="AU324" s="1147"/>
      <c r="AV324" s="1147"/>
      <c r="AW324" s="1147"/>
      <c r="AX324" s="1147"/>
      <c r="AY324" s="1147"/>
      <c r="AZ324" s="1147"/>
      <c r="BA324" s="1147"/>
      <c r="BB324" s="1147"/>
      <c r="BC324" s="1147"/>
      <c r="BD324" s="1147"/>
      <c r="BE324" s="1147"/>
      <c r="BF324" s="1147"/>
      <c r="BG324" s="1147"/>
      <c r="BH324" s="1147"/>
      <c r="BI324" s="1147"/>
      <c r="BJ324" s="1147"/>
      <c r="BK324" s="1147"/>
      <c r="BL324" s="1147"/>
      <c r="BM324" s="1147"/>
      <c r="BN324" s="1147"/>
      <c r="BO324" s="1147"/>
      <c r="BP324" s="1147"/>
      <c r="BQ324" s="1147"/>
      <c r="BR324" s="1147"/>
      <c r="BS324" s="1147"/>
      <c r="BT324" s="1147"/>
      <c r="BU324" s="1147"/>
      <c r="BV324" s="1147"/>
      <c r="BW324" s="1147"/>
      <c r="BX324" s="1147"/>
      <c r="BY324" s="1147"/>
      <c r="BZ324" s="1147"/>
      <c r="CA324" s="1147"/>
      <c r="CB324" s="1147"/>
      <c r="CC324" s="1147"/>
      <c r="CD324" s="1147"/>
      <c r="CE324" s="1147"/>
      <c r="CF324" s="1147"/>
      <c r="CG324" s="1147"/>
      <c r="CH324" s="1147"/>
      <c r="CI324" s="1147"/>
      <c r="CJ324" s="1147"/>
      <c r="CK324" s="1146"/>
    </row>
    <row r="325" spans="1:89" ht="15" x14ac:dyDescent="0.25">
      <c r="A325" s="1146"/>
      <c r="B325" s="1146"/>
      <c r="C325" s="1146"/>
      <c r="D325" s="1146"/>
      <c r="E325" s="1146"/>
      <c r="F325" s="1146"/>
      <c r="G325" s="1146"/>
      <c r="H325" s="1146"/>
      <c r="I325" s="1146"/>
      <c r="J325" s="1146"/>
      <c r="K325" s="1146"/>
      <c r="L325" s="1146"/>
      <c r="M325" s="1146"/>
      <c r="N325" s="1146"/>
      <c r="O325" s="1146"/>
      <c r="P325" s="1146"/>
      <c r="Q325" s="1146"/>
      <c r="R325" s="1146"/>
      <c r="S325" s="1146"/>
      <c r="T325" s="1147"/>
      <c r="U325" s="1147"/>
      <c r="V325" s="1147"/>
      <c r="W325" s="1147"/>
      <c r="X325" s="1147"/>
      <c r="Y325" s="1147"/>
      <c r="Z325" s="1147"/>
      <c r="AA325" s="1147"/>
      <c r="AB325" s="1147"/>
      <c r="AC325" s="1147"/>
      <c r="AD325" s="1147"/>
      <c r="AE325" s="1147"/>
      <c r="AF325" s="1147"/>
      <c r="AG325" s="1147"/>
      <c r="AH325" s="1147"/>
      <c r="AI325" s="1147"/>
      <c r="AJ325" s="1147"/>
      <c r="AK325" s="1147"/>
      <c r="AL325" s="1147"/>
      <c r="AM325" s="1147"/>
      <c r="AN325" s="1147"/>
      <c r="AO325" s="1147"/>
      <c r="AP325" s="1147"/>
      <c r="AQ325" s="1147"/>
      <c r="AR325" s="1147"/>
      <c r="AS325" s="1147"/>
      <c r="AT325" s="1147"/>
      <c r="AU325" s="1147"/>
      <c r="AV325" s="1147"/>
      <c r="AW325" s="1147"/>
      <c r="AX325" s="1147"/>
      <c r="AY325" s="1147"/>
      <c r="AZ325" s="1147"/>
      <c r="BA325" s="1147"/>
      <c r="BB325" s="1147"/>
      <c r="BC325" s="1147"/>
      <c r="BD325" s="1147"/>
      <c r="BE325" s="1147"/>
      <c r="BF325" s="1147"/>
      <c r="BG325" s="1147"/>
      <c r="BH325" s="1147"/>
      <c r="BI325" s="1147"/>
      <c r="BJ325" s="1147"/>
      <c r="BK325" s="1147"/>
      <c r="BL325" s="1147"/>
      <c r="BM325" s="1147"/>
      <c r="BN325" s="1147"/>
      <c r="BO325" s="1147"/>
      <c r="BP325" s="1147"/>
      <c r="BQ325" s="1147"/>
      <c r="BR325" s="1147"/>
      <c r="BS325" s="1147"/>
      <c r="BT325" s="1147"/>
      <c r="BU325" s="1147"/>
      <c r="BV325" s="1147"/>
      <c r="BW325" s="1147"/>
      <c r="BX325" s="1147"/>
      <c r="BY325" s="1147"/>
      <c r="BZ325" s="1147"/>
      <c r="CA325" s="1147"/>
      <c r="CB325" s="1147"/>
      <c r="CC325" s="1147"/>
      <c r="CD325" s="1147"/>
      <c r="CE325" s="1147"/>
      <c r="CF325" s="1147"/>
      <c r="CG325" s="1147"/>
      <c r="CH325" s="1147"/>
      <c r="CI325" s="1147"/>
      <c r="CJ325" s="1147"/>
      <c r="CK325" s="1146"/>
    </row>
    <row r="326" spans="1:89" ht="15" x14ac:dyDescent="0.25">
      <c r="A326" s="1146"/>
      <c r="B326" s="1146"/>
      <c r="C326" s="1146"/>
      <c r="D326" s="1146"/>
      <c r="E326" s="1146"/>
      <c r="F326" s="1146"/>
      <c r="G326" s="1146"/>
      <c r="H326" s="1146"/>
      <c r="I326" s="1146"/>
      <c r="J326" s="1146"/>
      <c r="K326" s="1146"/>
      <c r="L326" s="1146"/>
      <c r="M326" s="1146"/>
      <c r="N326" s="1146"/>
      <c r="O326" s="1146"/>
      <c r="P326" s="1146"/>
      <c r="Q326" s="1146"/>
      <c r="R326" s="1146"/>
      <c r="S326" s="1146"/>
      <c r="T326" s="1147"/>
      <c r="U326" s="1147"/>
      <c r="V326" s="1147"/>
      <c r="W326" s="1147"/>
      <c r="X326" s="1147"/>
      <c r="Y326" s="1147"/>
      <c r="Z326" s="1147"/>
      <c r="AA326" s="1147"/>
      <c r="AB326" s="1147"/>
      <c r="AC326" s="1147"/>
      <c r="AD326" s="1147"/>
      <c r="AE326" s="1147"/>
      <c r="AF326" s="1147"/>
      <c r="AG326" s="1147"/>
      <c r="AH326" s="1147"/>
      <c r="AI326" s="1147"/>
      <c r="AJ326" s="1147"/>
      <c r="AK326" s="1147"/>
      <c r="AL326" s="1147"/>
      <c r="AM326" s="1147"/>
      <c r="AN326" s="1147"/>
      <c r="AO326" s="1147"/>
      <c r="AP326" s="1147"/>
      <c r="AQ326" s="1147"/>
      <c r="AR326" s="1147"/>
      <c r="AS326" s="1147"/>
      <c r="AT326" s="1147"/>
      <c r="AU326" s="1147"/>
      <c r="AV326" s="1147"/>
      <c r="AW326" s="1147"/>
      <c r="AX326" s="1147"/>
      <c r="AY326" s="1147"/>
      <c r="AZ326" s="1147"/>
      <c r="BA326" s="1147"/>
      <c r="BB326" s="1147"/>
      <c r="BC326" s="1147"/>
      <c r="BD326" s="1147"/>
      <c r="BE326" s="1147"/>
      <c r="BF326" s="1147"/>
      <c r="BG326" s="1147"/>
      <c r="BH326" s="1147"/>
      <c r="BI326" s="1147"/>
      <c r="BJ326" s="1147"/>
      <c r="BK326" s="1147"/>
      <c r="BL326" s="1147"/>
      <c r="BM326" s="1147"/>
      <c r="BN326" s="1147"/>
      <c r="BO326" s="1147"/>
      <c r="BP326" s="1147"/>
      <c r="BQ326" s="1147"/>
      <c r="BR326" s="1147"/>
      <c r="BS326" s="1147"/>
      <c r="BT326" s="1147"/>
      <c r="BU326" s="1147"/>
      <c r="BV326" s="1147"/>
      <c r="BW326" s="1147"/>
      <c r="BX326" s="1147"/>
      <c r="BY326" s="1147"/>
      <c r="BZ326" s="1147"/>
      <c r="CA326" s="1147"/>
      <c r="CB326" s="1147"/>
      <c r="CC326" s="1147"/>
      <c r="CD326" s="1147"/>
      <c r="CE326" s="1147"/>
      <c r="CF326" s="1147"/>
      <c r="CG326" s="1147"/>
      <c r="CH326" s="1147"/>
      <c r="CI326" s="1147"/>
      <c r="CJ326" s="1147"/>
      <c r="CK326" s="1146"/>
    </row>
    <row r="327" spans="1:89" ht="15" x14ac:dyDescent="0.25">
      <c r="A327" s="1146"/>
      <c r="B327" s="1146"/>
      <c r="C327" s="1146"/>
      <c r="D327" s="1146"/>
      <c r="E327" s="1146"/>
      <c r="F327" s="1146"/>
      <c r="G327" s="1146"/>
      <c r="H327" s="1146"/>
      <c r="I327" s="1146"/>
      <c r="J327" s="1146"/>
      <c r="K327" s="1146"/>
      <c r="L327" s="1146"/>
      <c r="M327" s="1146"/>
      <c r="N327" s="1146"/>
      <c r="O327" s="1146"/>
      <c r="P327" s="1146"/>
      <c r="Q327" s="1146"/>
      <c r="R327" s="1146"/>
      <c r="S327" s="1146"/>
      <c r="T327" s="1147"/>
      <c r="U327" s="1147"/>
      <c r="V327" s="1147"/>
      <c r="W327" s="1147"/>
      <c r="X327" s="1147"/>
      <c r="Y327" s="1147"/>
      <c r="Z327" s="1147"/>
      <c r="AA327" s="1147"/>
      <c r="AB327" s="1147"/>
      <c r="AC327" s="1147"/>
      <c r="AD327" s="1147"/>
      <c r="AE327" s="1147"/>
      <c r="AF327" s="1147"/>
      <c r="AG327" s="1147"/>
      <c r="AH327" s="1147"/>
      <c r="AI327" s="1147"/>
      <c r="AJ327" s="1147"/>
      <c r="AK327" s="1147"/>
      <c r="AL327" s="1147"/>
      <c r="AM327" s="1147"/>
      <c r="AN327" s="1147"/>
      <c r="AO327" s="1147"/>
      <c r="AP327" s="1147"/>
      <c r="AQ327" s="1147"/>
      <c r="AR327" s="1147"/>
      <c r="AS327" s="1147"/>
      <c r="AT327" s="1147"/>
      <c r="AU327" s="1147"/>
      <c r="AV327" s="1147"/>
      <c r="AW327" s="1147"/>
      <c r="AX327" s="1147"/>
      <c r="AY327" s="1147"/>
      <c r="AZ327" s="1147"/>
      <c r="BA327" s="1147"/>
      <c r="BB327" s="1147"/>
      <c r="BC327" s="1147"/>
      <c r="BD327" s="1147"/>
      <c r="BE327" s="1147"/>
      <c r="BF327" s="1147"/>
      <c r="BG327" s="1147"/>
      <c r="BH327" s="1147"/>
      <c r="BI327" s="1147"/>
      <c r="BJ327" s="1147"/>
      <c r="BK327" s="1147"/>
      <c r="BL327" s="1147"/>
      <c r="BM327" s="1147"/>
      <c r="BN327" s="1147"/>
      <c r="BO327" s="1147"/>
      <c r="BP327" s="1147"/>
      <c r="BQ327" s="1147"/>
      <c r="BR327" s="1147"/>
      <c r="BS327" s="1147"/>
      <c r="BT327" s="1147"/>
      <c r="BU327" s="1147"/>
      <c r="BV327" s="1147"/>
      <c r="BW327" s="1147"/>
      <c r="BX327" s="1147"/>
      <c r="BY327" s="1147"/>
      <c r="BZ327" s="1147"/>
      <c r="CA327" s="1147"/>
      <c r="CB327" s="1147"/>
      <c r="CC327" s="1147"/>
      <c r="CD327" s="1147"/>
      <c r="CE327" s="1147"/>
      <c r="CF327" s="1147"/>
      <c r="CG327" s="1147"/>
      <c r="CH327" s="1147"/>
      <c r="CI327" s="1147"/>
      <c r="CJ327" s="1147"/>
      <c r="CK327" s="1146"/>
    </row>
    <row r="328" spans="1:89" ht="15" x14ac:dyDescent="0.25">
      <c r="A328" s="1146"/>
      <c r="B328" s="1146"/>
      <c r="C328" s="1146"/>
      <c r="D328" s="1146"/>
      <c r="E328" s="1146"/>
      <c r="F328" s="1146"/>
      <c r="G328" s="1146"/>
      <c r="H328" s="1146"/>
      <c r="I328" s="1146"/>
      <c r="J328" s="1146"/>
      <c r="K328" s="1146"/>
      <c r="L328" s="1146"/>
      <c r="M328" s="1146"/>
      <c r="N328" s="1146"/>
      <c r="O328" s="1146"/>
      <c r="P328" s="1146"/>
      <c r="Q328" s="1146"/>
      <c r="R328" s="1146"/>
      <c r="S328" s="1146"/>
      <c r="T328" s="1147"/>
      <c r="U328" s="1147"/>
      <c r="V328" s="1147"/>
      <c r="W328" s="1147"/>
      <c r="X328" s="1147"/>
      <c r="Y328" s="1147"/>
      <c r="Z328" s="1147"/>
      <c r="AA328" s="1147"/>
      <c r="AB328" s="1147"/>
      <c r="AC328" s="1147"/>
      <c r="AD328" s="1147"/>
      <c r="AE328" s="1147"/>
      <c r="AF328" s="1147"/>
      <c r="AG328" s="1147"/>
      <c r="AH328" s="1147"/>
      <c r="AI328" s="1147"/>
      <c r="AJ328" s="1147"/>
      <c r="AK328" s="1147"/>
      <c r="AL328" s="1147"/>
      <c r="AM328" s="1147"/>
      <c r="AN328" s="1147"/>
      <c r="AO328" s="1147"/>
      <c r="AP328" s="1147"/>
      <c r="AQ328" s="1147"/>
      <c r="AR328" s="1147"/>
      <c r="AS328" s="1147"/>
      <c r="AT328" s="1147"/>
      <c r="AU328" s="1147"/>
      <c r="AV328" s="1147"/>
      <c r="AW328" s="1147"/>
      <c r="AX328" s="1147"/>
      <c r="AY328" s="1147"/>
      <c r="AZ328" s="1147"/>
      <c r="BA328" s="1147"/>
      <c r="BB328" s="1147"/>
      <c r="BC328" s="1147"/>
      <c r="BD328" s="1147"/>
      <c r="BE328" s="1147"/>
      <c r="BF328" s="1147"/>
      <c r="BG328" s="1147"/>
      <c r="BH328" s="1147"/>
      <c r="BI328" s="1147"/>
      <c r="BJ328" s="1147"/>
      <c r="BK328" s="1147"/>
      <c r="BL328" s="1147"/>
      <c r="BM328" s="1147"/>
      <c r="BN328" s="1147"/>
      <c r="BO328" s="1147"/>
      <c r="BP328" s="1147"/>
      <c r="BQ328" s="1147"/>
      <c r="BR328" s="1147"/>
      <c r="BS328" s="1147"/>
      <c r="BT328" s="1147"/>
      <c r="BU328" s="1147"/>
      <c r="BV328" s="1147"/>
      <c r="BW328" s="1147"/>
      <c r="BX328" s="1147"/>
      <c r="BY328" s="1147"/>
      <c r="BZ328" s="1147"/>
      <c r="CA328" s="1147"/>
      <c r="CB328" s="1147"/>
      <c r="CC328" s="1147"/>
      <c r="CD328" s="1147"/>
      <c r="CE328" s="1147"/>
      <c r="CF328" s="1147"/>
      <c r="CG328" s="1147"/>
      <c r="CH328" s="1147"/>
      <c r="CI328" s="1147"/>
      <c r="CJ328" s="1147"/>
      <c r="CK328" s="1146"/>
    </row>
    <row r="329" spans="1:89" ht="15" x14ac:dyDescent="0.25">
      <c r="A329" s="1146"/>
      <c r="B329" s="1146"/>
      <c r="C329" s="1146"/>
      <c r="D329" s="1146"/>
      <c r="E329" s="1146"/>
      <c r="F329" s="1146"/>
      <c r="G329" s="1146"/>
      <c r="H329" s="1146"/>
      <c r="I329" s="1146"/>
      <c r="J329" s="1146"/>
      <c r="K329" s="1146"/>
      <c r="L329" s="1146"/>
      <c r="M329" s="1146"/>
      <c r="N329" s="1146"/>
      <c r="O329" s="1146"/>
      <c r="P329" s="1146"/>
      <c r="Q329" s="1146"/>
      <c r="R329" s="1146"/>
      <c r="S329" s="1146"/>
      <c r="T329" s="1147"/>
      <c r="U329" s="1147"/>
      <c r="V329" s="1147"/>
      <c r="W329" s="1147"/>
      <c r="X329" s="1147"/>
      <c r="Y329" s="1147"/>
      <c r="Z329" s="1147"/>
      <c r="AA329" s="1147"/>
      <c r="AB329" s="1147"/>
      <c r="AC329" s="1147"/>
      <c r="AD329" s="1147"/>
      <c r="AE329" s="1147"/>
      <c r="AF329" s="1147"/>
      <c r="AG329" s="1147"/>
      <c r="AH329" s="1147"/>
      <c r="AI329" s="1147"/>
      <c r="AJ329" s="1147"/>
      <c r="AK329" s="1147"/>
      <c r="AL329" s="1147"/>
      <c r="AM329" s="1147"/>
      <c r="AN329" s="1147"/>
      <c r="AO329" s="1147"/>
      <c r="AP329" s="1147"/>
      <c r="AQ329" s="1147"/>
      <c r="AR329" s="1147"/>
      <c r="AS329" s="1147"/>
      <c r="AT329" s="1147"/>
      <c r="AU329" s="1147"/>
      <c r="AV329" s="1147"/>
      <c r="AW329" s="1147"/>
      <c r="AX329" s="1147"/>
      <c r="AY329" s="1147"/>
      <c r="AZ329" s="1147"/>
      <c r="BA329" s="1147"/>
      <c r="BB329" s="1147"/>
      <c r="BC329" s="1147"/>
      <c r="BD329" s="1147"/>
      <c r="BE329" s="1147"/>
      <c r="BF329" s="1147"/>
      <c r="BG329" s="1147"/>
      <c r="BH329" s="1147"/>
      <c r="BI329" s="1147"/>
      <c r="BJ329" s="1147"/>
      <c r="BK329" s="1147"/>
      <c r="BL329" s="1147"/>
      <c r="BM329" s="1147"/>
      <c r="BN329" s="1147"/>
      <c r="BO329" s="1147"/>
      <c r="BP329" s="1147"/>
      <c r="BQ329" s="1147"/>
      <c r="BR329" s="1147"/>
      <c r="BS329" s="1147"/>
      <c r="BT329" s="1147"/>
      <c r="BU329" s="1147"/>
      <c r="BV329" s="1147"/>
      <c r="BW329" s="1147"/>
      <c r="BX329" s="1147"/>
      <c r="BY329" s="1147"/>
      <c r="BZ329" s="1147"/>
      <c r="CA329" s="1147"/>
      <c r="CB329" s="1147"/>
      <c r="CC329" s="1147"/>
      <c r="CD329" s="1147"/>
      <c r="CE329" s="1147"/>
      <c r="CF329" s="1147"/>
      <c r="CG329" s="1147"/>
      <c r="CH329" s="1147"/>
      <c r="CI329" s="1147"/>
      <c r="CJ329" s="1147"/>
      <c r="CK329" s="1146"/>
    </row>
    <row r="330" spans="1:89" ht="15" x14ac:dyDescent="0.25">
      <c r="A330" s="1146"/>
      <c r="B330" s="1146"/>
      <c r="C330" s="1146"/>
      <c r="D330" s="1146"/>
      <c r="E330" s="1146"/>
      <c r="F330" s="1146"/>
      <c r="G330" s="1146"/>
      <c r="H330" s="1146"/>
      <c r="I330" s="1146"/>
      <c r="J330" s="1146"/>
      <c r="K330" s="1146"/>
      <c r="L330" s="1146"/>
      <c r="M330" s="1146"/>
      <c r="N330" s="1146"/>
      <c r="O330" s="1146"/>
      <c r="P330" s="1146"/>
      <c r="Q330" s="1146"/>
      <c r="R330" s="1146"/>
      <c r="S330" s="1146"/>
      <c r="T330" s="1147"/>
      <c r="U330" s="1147"/>
      <c r="V330" s="1147"/>
      <c r="W330" s="1147"/>
      <c r="X330" s="1147"/>
      <c r="Y330" s="1147"/>
      <c r="Z330" s="1147"/>
      <c r="AA330" s="1147"/>
      <c r="AB330" s="1147"/>
      <c r="AC330" s="1147"/>
      <c r="AD330" s="1147"/>
      <c r="AE330" s="1147"/>
      <c r="AF330" s="1147"/>
      <c r="AG330" s="1147"/>
      <c r="AH330" s="1147"/>
      <c r="AI330" s="1147"/>
      <c r="AJ330" s="1147"/>
      <c r="AK330" s="1147"/>
      <c r="AL330" s="1147"/>
      <c r="AM330" s="1147"/>
      <c r="AN330" s="1147"/>
      <c r="AO330" s="1147"/>
      <c r="AP330" s="1147"/>
      <c r="AQ330" s="1147"/>
      <c r="AR330" s="1147"/>
      <c r="AS330" s="1147"/>
      <c r="AT330" s="1147"/>
      <c r="AU330" s="1147"/>
      <c r="AV330" s="1147"/>
      <c r="AW330" s="1147"/>
      <c r="AX330" s="1147"/>
      <c r="AY330" s="1147"/>
      <c r="AZ330" s="1147"/>
      <c r="BA330" s="1147"/>
      <c r="BB330" s="1147"/>
      <c r="BC330" s="1147"/>
      <c r="BD330" s="1147"/>
      <c r="BE330" s="1147"/>
      <c r="BF330" s="1147"/>
      <c r="BG330" s="1147"/>
      <c r="BH330" s="1147"/>
      <c r="BI330" s="1147"/>
      <c r="BJ330" s="1147"/>
      <c r="BK330" s="1147"/>
      <c r="BL330" s="1147"/>
      <c r="BM330" s="1147"/>
      <c r="BN330" s="1147"/>
      <c r="BO330" s="1147"/>
      <c r="BP330" s="1147"/>
      <c r="BQ330" s="1147"/>
      <c r="BR330" s="1147"/>
      <c r="BS330" s="1147"/>
      <c r="BT330" s="1147"/>
      <c r="BU330" s="1147"/>
      <c r="BV330" s="1147"/>
      <c r="BW330" s="1147"/>
      <c r="BX330" s="1147"/>
      <c r="BY330" s="1147"/>
      <c r="BZ330" s="1147"/>
      <c r="CA330" s="1147"/>
      <c r="CB330" s="1147"/>
      <c r="CC330" s="1147"/>
      <c r="CD330" s="1147"/>
      <c r="CE330" s="1147"/>
      <c r="CF330" s="1147"/>
      <c r="CG330" s="1147"/>
      <c r="CH330" s="1147"/>
      <c r="CI330" s="1147"/>
      <c r="CJ330" s="1147"/>
      <c r="CK330" s="1146"/>
    </row>
    <row r="331" spans="1:89" ht="15" x14ac:dyDescent="0.25">
      <c r="A331" s="1146"/>
      <c r="B331" s="1146"/>
      <c r="C331" s="1146"/>
      <c r="D331" s="1146"/>
      <c r="E331" s="1146"/>
      <c r="F331" s="1146"/>
      <c r="G331" s="1146"/>
      <c r="H331" s="1146"/>
      <c r="I331" s="1146"/>
      <c r="J331" s="1146"/>
      <c r="K331" s="1146"/>
      <c r="L331" s="1146"/>
      <c r="M331" s="1146"/>
      <c r="N331" s="1146"/>
      <c r="O331" s="1146"/>
      <c r="P331" s="1146"/>
      <c r="Q331" s="1146"/>
      <c r="R331" s="1146"/>
      <c r="S331" s="1146"/>
      <c r="T331" s="1147"/>
      <c r="U331" s="1147"/>
      <c r="V331" s="1147"/>
      <c r="W331" s="1147"/>
      <c r="X331" s="1147"/>
      <c r="Y331" s="1147"/>
      <c r="Z331" s="1147"/>
      <c r="AA331" s="1147"/>
      <c r="AB331" s="1147"/>
      <c r="AC331" s="1147"/>
      <c r="AD331" s="1147"/>
      <c r="AE331" s="1147"/>
      <c r="AF331" s="1147"/>
      <c r="AG331" s="1147"/>
      <c r="AH331" s="1147"/>
      <c r="AI331" s="1147"/>
      <c r="AJ331" s="1147"/>
      <c r="AK331" s="1147"/>
      <c r="AL331" s="1147"/>
      <c r="AM331" s="1147"/>
      <c r="AN331" s="1147"/>
      <c r="AO331" s="1147"/>
      <c r="AP331" s="1147"/>
      <c r="AQ331" s="1147"/>
      <c r="AR331" s="1147"/>
      <c r="AS331" s="1147"/>
      <c r="AT331" s="1147"/>
      <c r="AU331" s="1147"/>
      <c r="AV331" s="1147"/>
      <c r="AW331" s="1147"/>
      <c r="AX331" s="1147"/>
      <c r="AY331" s="1147"/>
      <c r="AZ331" s="1147"/>
      <c r="BA331" s="1147"/>
      <c r="BB331" s="1147"/>
      <c r="BC331" s="1147"/>
      <c r="BD331" s="1147"/>
      <c r="BE331" s="1147"/>
      <c r="BF331" s="1147"/>
      <c r="BG331" s="1147"/>
      <c r="BH331" s="1147"/>
      <c r="BI331" s="1147"/>
      <c r="BJ331" s="1147"/>
      <c r="BK331" s="1147"/>
      <c r="BL331" s="1147"/>
      <c r="BM331" s="1147"/>
      <c r="BN331" s="1147"/>
      <c r="BO331" s="1147"/>
      <c r="BP331" s="1147"/>
      <c r="BQ331" s="1147"/>
      <c r="BR331" s="1147"/>
      <c r="BS331" s="1147"/>
      <c r="BT331" s="1147"/>
      <c r="BU331" s="1147"/>
      <c r="BV331" s="1147"/>
      <c r="BW331" s="1147"/>
      <c r="BX331" s="1147"/>
      <c r="BY331" s="1147"/>
      <c r="BZ331" s="1147"/>
      <c r="CA331" s="1147"/>
      <c r="CB331" s="1147"/>
      <c r="CC331" s="1147"/>
      <c r="CD331" s="1147"/>
      <c r="CE331" s="1147"/>
      <c r="CF331" s="1147"/>
      <c r="CG331" s="1147"/>
      <c r="CH331" s="1147"/>
      <c r="CI331" s="1147"/>
      <c r="CJ331" s="1147"/>
      <c r="CK331" s="1146"/>
    </row>
    <row r="332" spans="1:89" ht="15" x14ac:dyDescent="0.25">
      <c r="A332" s="1146"/>
      <c r="B332" s="1146"/>
      <c r="C332" s="1146"/>
      <c r="D332" s="1146"/>
      <c r="E332" s="1146"/>
      <c r="F332" s="1146"/>
      <c r="G332" s="1146"/>
      <c r="H332" s="1146"/>
      <c r="I332" s="1146"/>
      <c r="J332" s="1146"/>
      <c r="K332" s="1146"/>
      <c r="L332" s="1146"/>
      <c r="M332" s="1146"/>
      <c r="N332" s="1146"/>
      <c r="O332" s="1146"/>
      <c r="P332" s="1146"/>
      <c r="Q332" s="1146"/>
      <c r="R332" s="1146"/>
      <c r="S332" s="1146"/>
      <c r="T332" s="1147"/>
      <c r="U332" s="1147"/>
      <c r="V332" s="1147"/>
      <c r="W332" s="1147"/>
      <c r="X332" s="1147"/>
      <c r="Y332" s="1147"/>
      <c r="Z332" s="1147"/>
      <c r="AA332" s="1147"/>
      <c r="AB332" s="1147"/>
      <c r="AC332" s="1147"/>
      <c r="AD332" s="1147"/>
      <c r="AE332" s="1147"/>
      <c r="AF332" s="1147"/>
      <c r="AG332" s="1147"/>
      <c r="AH332" s="1147"/>
      <c r="AI332" s="1147"/>
      <c r="AJ332" s="1147"/>
      <c r="AK332" s="1147"/>
      <c r="AL332" s="1147"/>
      <c r="AM332" s="1147"/>
      <c r="AN332" s="1147"/>
      <c r="AO332" s="1147"/>
      <c r="AP332" s="1147"/>
      <c r="AQ332" s="1147"/>
      <c r="AR332" s="1147"/>
      <c r="AS332" s="1147"/>
      <c r="AT332" s="1147"/>
      <c r="AU332" s="1147"/>
      <c r="AV332" s="1147"/>
      <c r="AW332" s="1147"/>
      <c r="AX332" s="1147"/>
      <c r="AY332" s="1147"/>
      <c r="AZ332" s="1147"/>
      <c r="BA332" s="1147"/>
      <c r="BB332" s="1147"/>
      <c r="BC332" s="1147"/>
      <c r="BD332" s="1147"/>
      <c r="BE332" s="1147"/>
      <c r="BF332" s="1147"/>
      <c r="BG332" s="1147"/>
      <c r="BH332" s="1147"/>
      <c r="BI332" s="1147"/>
      <c r="BJ332" s="1147"/>
      <c r="BK332" s="1147"/>
      <c r="BL332" s="1147"/>
      <c r="BM332" s="1147"/>
      <c r="BN332" s="1147"/>
      <c r="BO332" s="1147"/>
      <c r="BP332" s="1147"/>
      <c r="BQ332" s="1147"/>
      <c r="BR332" s="1147"/>
      <c r="BS332" s="1147"/>
      <c r="BT332" s="1147"/>
      <c r="BU332" s="1147"/>
      <c r="BV332" s="1147"/>
      <c r="BW332" s="1147"/>
      <c r="BX332" s="1147"/>
      <c r="BY332" s="1147"/>
      <c r="BZ332" s="1147"/>
      <c r="CA332" s="1147"/>
      <c r="CB332" s="1147"/>
      <c r="CC332" s="1147"/>
      <c r="CD332" s="1147"/>
      <c r="CE332" s="1147"/>
      <c r="CF332" s="1147"/>
      <c r="CG332" s="1147"/>
      <c r="CH332" s="1147"/>
      <c r="CI332" s="1147"/>
      <c r="CJ332" s="1147"/>
      <c r="CK332" s="1146"/>
    </row>
    <row r="333" spans="1:89" ht="15" x14ac:dyDescent="0.25">
      <c r="A333" s="1146"/>
      <c r="B333" s="1146"/>
      <c r="C333" s="1146"/>
      <c r="D333" s="1146"/>
      <c r="E333" s="1146"/>
      <c r="F333" s="1146"/>
      <c r="G333" s="1146"/>
      <c r="H333" s="1146"/>
      <c r="I333" s="1146"/>
      <c r="J333" s="1146"/>
      <c r="K333" s="1146"/>
      <c r="L333" s="1146"/>
      <c r="M333" s="1146"/>
      <c r="N333" s="1146"/>
      <c r="O333" s="1146"/>
      <c r="P333" s="1146"/>
      <c r="Q333" s="1146"/>
      <c r="R333" s="1146"/>
      <c r="S333" s="1146"/>
      <c r="T333" s="1147"/>
      <c r="U333" s="1147"/>
      <c r="V333" s="1147"/>
      <c r="W333" s="1147"/>
      <c r="X333" s="1147"/>
      <c r="Y333" s="1147"/>
      <c r="Z333" s="1147"/>
      <c r="AA333" s="1147"/>
      <c r="AB333" s="1147"/>
      <c r="AC333" s="1147"/>
      <c r="AD333" s="1147"/>
      <c r="AE333" s="1147"/>
      <c r="AF333" s="1147"/>
      <c r="AG333" s="1147"/>
      <c r="AH333" s="1147"/>
      <c r="AI333" s="1147"/>
      <c r="AJ333" s="1147"/>
      <c r="AK333" s="1147"/>
      <c r="AL333" s="1147"/>
      <c r="AM333" s="1147"/>
      <c r="AN333" s="1147"/>
      <c r="AO333" s="1147"/>
      <c r="AP333" s="1147"/>
      <c r="AQ333" s="1147"/>
      <c r="AR333" s="1147"/>
      <c r="AS333" s="1147"/>
      <c r="AT333" s="1147"/>
      <c r="AU333" s="1147"/>
      <c r="AV333" s="1147"/>
      <c r="AW333" s="1147"/>
      <c r="AX333" s="1147"/>
      <c r="AY333" s="1147"/>
      <c r="AZ333" s="1147"/>
      <c r="BA333" s="1147"/>
      <c r="BB333" s="1147"/>
      <c r="BC333" s="1147"/>
      <c r="BD333" s="1147"/>
      <c r="BE333" s="1147"/>
      <c r="BF333" s="1147"/>
      <c r="BG333" s="1147"/>
      <c r="BH333" s="1147"/>
      <c r="BI333" s="1147"/>
      <c r="BJ333" s="1147"/>
      <c r="BK333" s="1147"/>
      <c r="BL333" s="1147"/>
      <c r="BM333" s="1147"/>
      <c r="BN333" s="1147"/>
      <c r="BO333" s="1147"/>
      <c r="BP333" s="1147"/>
      <c r="BQ333" s="1147"/>
      <c r="BR333" s="1147"/>
      <c r="BS333" s="1147"/>
      <c r="BT333" s="1147"/>
      <c r="BU333" s="1147"/>
      <c r="BV333" s="1147"/>
      <c r="BW333" s="1147"/>
      <c r="BX333" s="1147"/>
      <c r="BY333" s="1147"/>
      <c r="BZ333" s="1147"/>
      <c r="CA333" s="1147"/>
      <c r="CB333" s="1147"/>
      <c r="CC333" s="1147"/>
      <c r="CD333" s="1147"/>
      <c r="CE333" s="1147"/>
      <c r="CF333" s="1147"/>
      <c r="CG333" s="1147"/>
      <c r="CH333" s="1147"/>
      <c r="CI333" s="1147"/>
      <c r="CJ333" s="1147"/>
      <c r="CK333" s="1146"/>
    </row>
    <row r="334" spans="1:89" ht="15" x14ac:dyDescent="0.25">
      <c r="A334" s="1146"/>
      <c r="B334" s="1146"/>
      <c r="C334" s="1146"/>
      <c r="D334" s="1146"/>
      <c r="E334" s="1146"/>
      <c r="F334" s="1146"/>
      <c r="G334" s="1146"/>
      <c r="H334" s="1146"/>
      <c r="I334" s="1146"/>
      <c r="J334" s="1146"/>
      <c r="K334" s="1146"/>
      <c r="L334" s="1146"/>
      <c r="M334" s="1146"/>
      <c r="N334" s="1146"/>
      <c r="O334" s="1146"/>
      <c r="P334" s="1146"/>
      <c r="Q334" s="1146"/>
      <c r="R334" s="1146"/>
      <c r="S334" s="1146"/>
      <c r="T334" s="1147"/>
      <c r="U334" s="1147"/>
      <c r="V334" s="1147"/>
      <c r="W334" s="1147"/>
      <c r="X334" s="1147"/>
      <c r="Y334" s="1147"/>
      <c r="Z334" s="1147"/>
      <c r="AA334" s="1147"/>
      <c r="AB334" s="1147"/>
      <c r="AC334" s="1147"/>
      <c r="AD334" s="1147"/>
      <c r="AE334" s="1147"/>
      <c r="AF334" s="1147"/>
      <c r="AG334" s="1147"/>
      <c r="AH334" s="1147"/>
      <c r="AI334" s="1147"/>
      <c r="AJ334" s="1147"/>
      <c r="AK334" s="1147"/>
      <c r="AL334" s="1147"/>
      <c r="AM334" s="1147"/>
      <c r="AN334" s="1147"/>
      <c r="AO334" s="1147"/>
      <c r="AP334" s="1147"/>
      <c r="AQ334" s="1147"/>
      <c r="AR334" s="1147"/>
      <c r="AS334" s="1147"/>
      <c r="AT334" s="1147"/>
      <c r="AU334" s="1147"/>
      <c r="AV334" s="1147"/>
      <c r="AW334" s="1147"/>
      <c r="AX334" s="1147"/>
      <c r="AY334" s="1147"/>
      <c r="AZ334" s="1147"/>
      <c r="BA334" s="1147"/>
      <c r="BB334" s="1147"/>
      <c r="BC334" s="1147"/>
      <c r="BD334" s="1147"/>
      <c r="BE334" s="1147"/>
      <c r="BF334" s="1147"/>
      <c r="BG334" s="1147"/>
      <c r="BH334" s="1147"/>
      <c r="BI334" s="1147"/>
      <c r="BJ334" s="1147"/>
      <c r="BK334" s="1147"/>
      <c r="BL334" s="1147"/>
      <c r="BM334" s="1147"/>
      <c r="BN334" s="1147"/>
      <c r="BO334" s="1147"/>
      <c r="BP334" s="1147"/>
      <c r="BQ334" s="1147"/>
      <c r="BR334" s="1147"/>
      <c r="BS334" s="1147"/>
      <c r="BT334" s="1147"/>
      <c r="BU334" s="1147"/>
      <c r="BV334" s="1147"/>
      <c r="BW334" s="1147"/>
      <c r="BX334" s="1147"/>
      <c r="BY334" s="1147"/>
      <c r="BZ334" s="1147"/>
      <c r="CA334" s="1147"/>
      <c r="CB334" s="1147"/>
      <c r="CC334" s="1147"/>
      <c r="CD334" s="1147"/>
      <c r="CE334" s="1147"/>
      <c r="CF334" s="1147"/>
      <c r="CG334" s="1147"/>
      <c r="CH334" s="1147"/>
      <c r="CI334" s="1147"/>
      <c r="CJ334" s="1147"/>
      <c r="CK334" s="1146"/>
    </row>
    <row r="335" spans="1:89" ht="15" x14ac:dyDescent="0.25">
      <c r="A335" s="1146"/>
      <c r="B335" s="1146"/>
      <c r="C335" s="1146"/>
      <c r="D335" s="1146"/>
      <c r="E335" s="1146"/>
      <c r="F335" s="1146"/>
      <c r="G335" s="1146"/>
      <c r="H335" s="1146"/>
      <c r="I335" s="1146"/>
      <c r="J335" s="1146"/>
      <c r="K335" s="1146"/>
      <c r="L335" s="1146"/>
      <c r="M335" s="1146"/>
      <c r="N335" s="1146"/>
      <c r="O335" s="1146"/>
      <c r="P335" s="1146"/>
      <c r="Q335" s="1146"/>
      <c r="R335" s="1146"/>
      <c r="S335" s="1146"/>
      <c r="T335" s="1147"/>
      <c r="U335" s="1147"/>
      <c r="V335" s="1147"/>
      <c r="W335" s="1147"/>
      <c r="X335" s="1147"/>
      <c r="Y335" s="1147"/>
      <c r="Z335" s="1147"/>
      <c r="AA335" s="1147"/>
      <c r="AB335" s="1147"/>
      <c r="AC335" s="1147"/>
      <c r="AD335" s="1147"/>
      <c r="AE335" s="1147"/>
      <c r="AF335" s="1147"/>
      <c r="AG335" s="1147"/>
      <c r="AH335" s="1147"/>
      <c r="AI335" s="1147"/>
      <c r="AJ335" s="1147"/>
      <c r="AK335" s="1147"/>
      <c r="AL335" s="1147"/>
      <c r="AM335" s="1147"/>
      <c r="AN335" s="1147"/>
      <c r="AO335" s="1147"/>
      <c r="AP335" s="1147"/>
      <c r="AQ335" s="1147"/>
      <c r="AR335" s="1147"/>
      <c r="AS335" s="1147"/>
      <c r="AT335" s="1147"/>
      <c r="AU335" s="1147"/>
      <c r="AV335" s="1147"/>
      <c r="AW335" s="1147"/>
      <c r="AX335" s="1147"/>
      <c r="AY335" s="1147"/>
      <c r="AZ335" s="1147"/>
      <c r="BA335" s="1147"/>
      <c r="BB335" s="1147"/>
      <c r="BC335" s="1147"/>
      <c r="BD335" s="1147"/>
      <c r="BE335" s="1147"/>
      <c r="BF335" s="1147"/>
      <c r="BG335" s="1147"/>
      <c r="BH335" s="1147"/>
      <c r="BI335" s="1147"/>
      <c r="BJ335" s="1147"/>
      <c r="BK335" s="1147"/>
      <c r="BL335" s="1147"/>
      <c r="BM335" s="1147"/>
      <c r="BN335" s="1147"/>
      <c r="BO335" s="1147"/>
      <c r="BP335" s="1147"/>
      <c r="BQ335" s="1147"/>
      <c r="BR335" s="1147"/>
      <c r="BS335" s="1147"/>
      <c r="BT335" s="1147"/>
      <c r="BU335" s="1147"/>
      <c r="BV335" s="1147"/>
      <c r="BW335" s="1147"/>
      <c r="BX335" s="1147"/>
      <c r="BY335" s="1147"/>
      <c r="BZ335" s="1147"/>
      <c r="CA335" s="1147"/>
      <c r="CB335" s="1147"/>
      <c r="CC335" s="1147"/>
      <c r="CD335" s="1147"/>
      <c r="CE335" s="1147"/>
      <c r="CF335" s="1147"/>
      <c r="CG335" s="1147"/>
      <c r="CH335" s="1147"/>
      <c r="CI335" s="1147"/>
      <c r="CJ335" s="1147"/>
      <c r="CK335" s="1146"/>
    </row>
    <row r="336" spans="1:89" ht="15" x14ac:dyDescent="0.25">
      <c r="A336" s="1146"/>
      <c r="B336" s="1146"/>
      <c r="C336" s="1146"/>
      <c r="D336" s="1146"/>
      <c r="E336" s="1146"/>
      <c r="F336" s="1146"/>
      <c r="G336" s="1146"/>
      <c r="H336" s="1146"/>
      <c r="I336" s="1146"/>
      <c r="J336" s="1146"/>
      <c r="K336" s="1146"/>
      <c r="L336" s="1146"/>
      <c r="M336" s="1146"/>
      <c r="N336" s="1146"/>
      <c r="O336" s="1146"/>
      <c r="P336" s="1146"/>
      <c r="Q336" s="1146"/>
      <c r="R336" s="1146"/>
      <c r="S336" s="1146"/>
      <c r="T336" s="1147"/>
      <c r="U336" s="1147"/>
      <c r="V336" s="1147"/>
      <c r="W336" s="1147"/>
      <c r="X336" s="1147"/>
      <c r="Y336" s="1147"/>
      <c r="Z336" s="1147"/>
      <c r="AA336" s="1147"/>
      <c r="AB336" s="1147"/>
      <c r="AC336" s="1147"/>
      <c r="AD336" s="1147"/>
      <c r="AE336" s="1147"/>
      <c r="AF336" s="1147"/>
      <c r="AG336" s="1147"/>
      <c r="AH336" s="1147"/>
      <c r="AI336" s="1147"/>
      <c r="AJ336" s="1147"/>
      <c r="AK336" s="1147"/>
      <c r="AL336" s="1147"/>
      <c r="AM336" s="1147"/>
      <c r="AN336" s="1147"/>
      <c r="AO336" s="1147"/>
      <c r="AP336" s="1147"/>
      <c r="AQ336" s="1147"/>
      <c r="AR336" s="1147"/>
      <c r="AS336" s="1147"/>
      <c r="AT336" s="1147"/>
      <c r="AU336" s="1147"/>
      <c r="AV336" s="1147"/>
      <c r="AW336" s="1147"/>
      <c r="AX336" s="1147"/>
      <c r="AY336" s="1147"/>
      <c r="AZ336" s="1147"/>
      <c r="BA336" s="1147"/>
      <c r="BB336" s="1147"/>
      <c r="BC336" s="1147"/>
      <c r="BD336" s="1147"/>
      <c r="BE336" s="1147"/>
      <c r="BF336" s="1147"/>
      <c r="BG336" s="1147"/>
      <c r="BH336" s="1147"/>
      <c r="BI336" s="1147"/>
      <c r="BJ336" s="1147"/>
      <c r="BK336" s="1147"/>
      <c r="BL336" s="1147"/>
      <c r="BM336" s="1147"/>
      <c r="BN336" s="1147"/>
      <c r="BO336" s="1147"/>
      <c r="BP336" s="1147"/>
      <c r="BQ336" s="1147"/>
      <c r="BR336" s="1147"/>
      <c r="BS336" s="1147"/>
      <c r="BT336" s="1147"/>
      <c r="BU336" s="1147"/>
      <c r="BV336" s="1147"/>
      <c r="BW336" s="1147"/>
      <c r="BX336" s="1147"/>
      <c r="BY336" s="1147"/>
      <c r="BZ336" s="1147"/>
      <c r="CA336" s="1147"/>
      <c r="CB336" s="1147"/>
      <c r="CC336" s="1147"/>
      <c r="CD336" s="1147"/>
      <c r="CE336" s="1147"/>
      <c r="CF336" s="1147"/>
      <c r="CG336" s="1147"/>
      <c r="CH336" s="1147"/>
      <c r="CI336" s="1147"/>
      <c r="CJ336" s="1147"/>
      <c r="CK336" s="1146"/>
    </row>
    <row r="337" spans="1:89" ht="15" x14ac:dyDescent="0.25">
      <c r="A337" s="1146"/>
      <c r="B337" s="1146"/>
      <c r="C337" s="1146"/>
      <c r="D337" s="1146"/>
      <c r="E337" s="1146"/>
      <c r="F337" s="1146"/>
      <c r="G337" s="1146"/>
      <c r="H337" s="1146"/>
      <c r="I337" s="1146"/>
      <c r="J337" s="1146"/>
      <c r="K337" s="1146"/>
      <c r="L337" s="1146"/>
      <c r="M337" s="1146"/>
      <c r="N337" s="1146"/>
      <c r="O337" s="1146"/>
      <c r="P337" s="1146"/>
      <c r="Q337" s="1146"/>
      <c r="R337" s="1146"/>
      <c r="S337" s="1146"/>
      <c r="T337" s="1147"/>
      <c r="U337" s="1147"/>
      <c r="V337" s="1147"/>
      <c r="W337" s="1147"/>
      <c r="X337" s="1147"/>
      <c r="Y337" s="1147"/>
      <c r="Z337" s="1147"/>
      <c r="AA337" s="1147"/>
      <c r="AB337" s="1147"/>
      <c r="AC337" s="1147"/>
      <c r="AD337" s="1147"/>
      <c r="AE337" s="1147"/>
      <c r="AF337" s="1147"/>
      <c r="AG337" s="1147"/>
      <c r="AH337" s="1147"/>
      <c r="AI337" s="1147"/>
      <c r="AJ337" s="1147"/>
      <c r="AK337" s="1147"/>
      <c r="AL337" s="1147"/>
      <c r="AM337" s="1147"/>
      <c r="AN337" s="1147"/>
      <c r="AO337" s="1147"/>
      <c r="AP337" s="1147"/>
      <c r="AQ337" s="1147"/>
      <c r="AR337" s="1147"/>
      <c r="AS337" s="1147"/>
      <c r="AT337" s="1147"/>
      <c r="AU337" s="1147"/>
      <c r="AV337" s="1147"/>
      <c r="AW337" s="1147"/>
      <c r="AX337" s="1147"/>
      <c r="AY337" s="1147"/>
      <c r="AZ337" s="1147"/>
      <c r="BA337" s="1147"/>
      <c r="BB337" s="1147"/>
      <c r="BC337" s="1147"/>
      <c r="BD337" s="1147"/>
      <c r="BE337" s="1147"/>
      <c r="BF337" s="1147"/>
      <c r="BG337" s="1147"/>
      <c r="BH337" s="1147"/>
      <c r="BI337" s="1147"/>
      <c r="BJ337" s="1147"/>
      <c r="BK337" s="1147"/>
      <c r="BL337" s="1147"/>
      <c r="BM337" s="1147"/>
      <c r="BN337" s="1147"/>
      <c r="BO337" s="1147"/>
      <c r="BP337" s="1147"/>
      <c r="BQ337" s="1147"/>
      <c r="BR337" s="1147"/>
      <c r="BS337" s="1147"/>
      <c r="BT337" s="1147"/>
      <c r="BU337" s="1147"/>
      <c r="BV337" s="1147"/>
      <c r="BW337" s="1147"/>
      <c r="BX337" s="1147"/>
      <c r="BY337" s="1147"/>
      <c r="BZ337" s="1147"/>
      <c r="CA337" s="1147"/>
      <c r="CB337" s="1147"/>
      <c r="CC337" s="1147"/>
      <c r="CD337" s="1147"/>
      <c r="CE337" s="1147"/>
      <c r="CF337" s="1147"/>
      <c r="CG337" s="1147"/>
      <c r="CH337" s="1147"/>
      <c r="CI337" s="1147"/>
      <c r="CJ337" s="1147"/>
      <c r="CK337" s="1146"/>
    </row>
    <row r="338" spans="1:89" ht="15" x14ac:dyDescent="0.25">
      <c r="A338" s="1146"/>
      <c r="B338" s="1146"/>
      <c r="C338" s="1146"/>
      <c r="D338" s="1146"/>
      <c r="E338" s="1146"/>
      <c r="F338" s="1146"/>
      <c r="G338" s="1146"/>
      <c r="H338" s="1146"/>
      <c r="I338" s="1146"/>
      <c r="J338" s="1146"/>
      <c r="K338" s="1146"/>
      <c r="L338" s="1146"/>
      <c r="M338" s="1146"/>
      <c r="N338" s="1146"/>
      <c r="O338" s="1146"/>
      <c r="P338" s="1146"/>
      <c r="Q338" s="1146"/>
      <c r="R338" s="1146"/>
      <c r="S338" s="1146"/>
      <c r="T338" s="1147"/>
      <c r="U338" s="1147"/>
      <c r="V338" s="1147"/>
      <c r="W338" s="1147"/>
      <c r="X338" s="1147"/>
      <c r="Y338" s="1147"/>
      <c r="Z338" s="1147"/>
      <c r="AA338" s="1147"/>
      <c r="AB338" s="1147"/>
      <c r="AC338" s="1147"/>
      <c r="AD338" s="1147"/>
      <c r="AE338" s="1147"/>
      <c r="AF338" s="1147"/>
      <c r="AG338" s="1147"/>
      <c r="AH338" s="1147"/>
      <c r="AI338" s="1147"/>
      <c r="AJ338" s="1147"/>
      <c r="AK338" s="1147"/>
      <c r="AL338" s="1147"/>
      <c r="AM338" s="1147"/>
      <c r="AN338" s="1147"/>
      <c r="AO338" s="1147"/>
      <c r="AP338" s="1147"/>
      <c r="AQ338" s="1147"/>
      <c r="AR338" s="1147"/>
      <c r="AS338" s="1147"/>
      <c r="AT338" s="1147"/>
      <c r="AU338" s="1147"/>
      <c r="AV338" s="1147"/>
      <c r="AW338" s="1147"/>
      <c r="AX338" s="1147"/>
      <c r="AY338" s="1147"/>
      <c r="AZ338" s="1147"/>
      <c r="BA338" s="1147"/>
      <c r="BB338" s="1147"/>
      <c r="BC338" s="1147"/>
      <c r="BD338" s="1147"/>
      <c r="BE338" s="1147"/>
      <c r="BF338" s="1147"/>
      <c r="BG338" s="1147"/>
      <c r="BH338" s="1147"/>
      <c r="BI338" s="1147"/>
      <c r="BJ338" s="1147"/>
      <c r="BK338" s="1147"/>
      <c r="BL338" s="1147"/>
      <c r="BM338" s="1147"/>
      <c r="BN338" s="1147"/>
      <c r="BO338" s="1147"/>
      <c r="BP338" s="1147"/>
      <c r="BQ338" s="1147"/>
      <c r="BR338" s="1147"/>
      <c r="BS338" s="1147"/>
      <c r="BT338" s="1147"/>
      <c r="BU338" s="1147"/>
      <c r="BV338" s="1147"/>
      <c r="BW338" s="1147"/>
      <c r="BX338" s="1147"/>
      <c r="BY338" s="1147"/>
      <c r="BZ338" s="1147"/>
      <c r="CA338" s="1147"/>
      <c r="CB338" s="1147"/>
      <c r="CC338" s="1147"/>
      <c r="CD338" s="1147"/>
      <c r="CE338" s="1147"/>
      <c r="CF338" s="1147"/>
      <c r="CG338" s="1147"/>
      <c r="CH338" s="1147"/>
      <c r="CI338" s="1147"/>
      <c r="CJ338" s="1147"/>
      <c r="CK338" s="1146"/>
    </row>
    <row r="339" spans="1:89" ht="15" x14ac:dyDescent="0.25">
      <c r="A339" s="1146"/>
      <c r="B339" s="1146"/>
      <c r="C339" s="1146"/>
      <c r="D339" s="1146"/>
      <c r="E339" s="1146"/>
      <c r="F339" s="1146"/>
      <c r="G339" s="1146"/>
      <c r="H339" s="1146"/>
      <c r="I339" s="1146"/>
      <c r="J339" s="1146"/>
      <c r="K339" s="1146"/>
      <c r="L339" s="1146"/>
      <c r="M339" s="1146"/>
      <c r="N339" s="1146"/>
      <c r="O339" s="1146"/>
      <c r="P339" s="1146"/>
      <c r="Q339" s="1146"/>
      <c r="R339" s="1146"/>
      <c r="S339" s="1146"/>
      <c r="T339" s="1147"/>
      <c r="U339" s="1147"/>
      <c r="V339" s="1147"/>
      <c r="W339" s="1147"/>
      <c r="X339" s="1147"/>
      <c r="Y339" s="1147"/>
      <c r="Z339" s="1147"/>
      <c r="AA339" s="1147"/>
      <c r="AB339" s="1147"/>
      <c r="AC339" s="1147"/>
      <c r="AD339" s="1147"/>
      <c r="AE339" s="1147"/>
      <c r="AF339" s="1147"/>
      <c r="AG339" s="1147"/>
      <c r="AH339" s="1147"/>
      <c r="AI339" s="1147"/>
      <c r="AJ339" s="1147"/>
      <c r="AK339" s="1147"/>
      <c r="AL339" s="1147"/>
      <c r="AM339" s="1147"/>
      <c r="AN339" s="1147"/>
      <c r="AO339" s="1147"/>
      <c r="AP339" s="1147"/>
      <c r="AQ339" s="1147"/>
      <c r="AR339" s="1147"/>
      <c r="AS339" s="1147"/>
      <c r="AT339" s="1147"/>
      <c r="AU339" s="1147"/>
      <c r="AV339" s="1147"/>
      <c r="AW339" s="1147"/>
      <c r="AX339" s="1147"/>
      <c r="AY339" s="1147"/>
      <c r="AZ339" s="1147"/>
      <c r="BA339" s="1147"/>
      <c r="BB339" s="1147"/>
      <c r="BC339" s="1147"/>
      <c r="BD339" s="1147"/>
      <c r="BE339" s="1147"/>
      <c r="BF339" s="1147"/>
      <c r="BG339" s="1147"/>
      <c r="BH339" s="1147"/>
      <c r="BI339" s="1147"/>
      <c r="BJ339" s="1147"/>
      <c r="BK339" s="1147"/>
      <c r="BL339" s="1147"/>
      <c r="BM339" s="1147"/>
      <c r="BN339" s="1147"/>
      <c r="BO339" s="1147"/>
      <c r="BP339" s="1147"/>
      <c r="BQ339" s="1147"/>
      <c r="BR339" s="1147"/>
      <c r="BS339" s="1147"/>
      <c r="BT339" s="1147"/>
      <c r="BU339" s="1147"/>
      <c r="BV339" s="1147"/>
      <c r="BW339" s="1147"/>
      <c r="BX339" s="1147"/>
      <c r="BY339" s="1147"/>
      <c r="BZ339" s="1147"/>
      <c r="CA339" s="1147"/>
      <c r="CB339" s="1147"/>
      <c r="CC339" s="1147"/>
      <c r="CD339" s="1147"/>
      <c r="CE339" s="1147"/>
      <c r="CF339" s="1147"/>
      <c r="CG339" s="1147"/>
      <c r="CH339" s="1147"/>
      <c r="CI339" s="1147"/>
      <c r="CJ339" s="1147"/>
      <c r="CK339" s="1146"/>
    </row>
    <row r="340" spans="1:89" ht="15" x14ac:dyDescent="0.25">
      <c r="A340" s="1146"/>
      <c r="B340" s="1146"/>
      <c r="C340" s="1146"/>
      <c r="D340" s="1146"/>
      <c r="E340" s="1146"/>
      <c r="F340" s="1146"/>
      <c r="G340" s="1146"/>
      <c r="H340" s="1146"/>
      <c r="I340" s="1146"/>
      <c r="J340" s="1146"/>
      <c r="K340" s="1146"/>
      <c r="L340" s="1146"/>
      <c r="M340" s="1146"/>
      <c r="N340" s="1146"/>
      <c r="O340" s="1146"/>
      <c r="P340" s="1146"/>
      <c r="Q340" s="1146"/>
      <c r="R340" s="1146"/>
      <c r="S340" s="1146"/>
      <c r="T340" s="1147"/>
      <c r="U340" s="1147"/>
      <c r="V340" s="1147"/>
      <c r="W340" s="1147"/>
      <c r="X340" s="1147"/>
      <c r="Y340" s="1147"/>
      <c r="Z340" s="1147"/>
      <c r="AA340" s="1147"/>
      <c r="AB340" s="1147"/>
      <c r="AC340" s="1147"/>
      <c r="AD340" s="1147"/>
      <c r="AE340" s="1147"/>
      <c r="AF340" s="1147"/>
      <c r="AG340" s="1147"/>
      <c r="AH340" s="1147"/>
      <c r="AI340" s="1147"/>
      <c r="AJ340" s="1147"/>
      <c r="AK340" s="1147"/>
      <c r="AL340" s="1147"/>
      <c r="AM340" s="1147"/>
      <c r="AN340" s="1147"/>
      <c r="AO340" s="1147"/>
      <c r="AP340" s="1147"/>
      <c r="AQ340" s="1147"/>
      <c r="AR340" s="1147"/>
      <c r="AS340" s="1147"/>
      <c r="AT340" s="1147"/>
      <c r="AU340" s="1147"/>
      <c r="AV340" s="1147"/>
      <c r="AW340" s="1147"/>
      <c r="AX340" s="1147"/>
      <c r="AY340" s="1147"/>
      <c r="AZ340" s="1147"/>
      <c r="BA340" s="1147"/>
      <c r="BB340" s="1147"/>
      <c r="BC340" s="1147"/>
      <c r="BD340" s="1147"/>
      <c r="BE340" s="1147"/>
      <c r="BF340" s="1147"/>
      <c r="BG340" s="1147"/>
      <c r="BH340" s="1147"/>
      <c r="BI340" s="1147"/>
      <c r="BJ340" s="1147"/>
      <c r="BK340" s="1147"/>
      <c r="BL340" s="1147"/>
      <c r="BM340" s="1147"/>
      <c r="BN340" s="1147"/>
      <c r="BO340" s="1147"/>
      <c r="BP340" s="1147"/>
      <c r="BQ340" s="1147"/>
      <c r="BR340" s="1147"/>
      <c r="BS340" s="1147"/>
      <c r="BT340" s="1147"/>
      <c r="BU340" s="1147"/>
      <c r="BV340" s="1147"/>
      <c r="BW340" s="1147"/>
      <c r="BX340" s="1147"/>
      <c r="BY340" s="1147"/>
      <c r="BZ340" s="1147"/>
      <c r="CA340" s="1147"/>
      <c r="CB340" s="1147"/>
      <c r="CC340" s="1147"/>
      <c r="CD340" s="1147"/>
      <c r="CE340" s="1147"/>
      <c r="CF340" s="1147"/>
      <c r="CG340" s="1147"/>
      <c r="CH340" s="1147"/>
      <c r="CI340" s="1147"/>
      <c r="CJ340" s="1147"/>
      <c r="CK340" s="1146"/>
    </row>
    <row r="341" spans="1:89" ht="15" x14ac:dyDescent="0.25">
      <c r="A341" s="1146"/>
      <c r="B341" s="1146"/>
      <c r="C341" s="1146"/>
      <c r="D341" s="1146"/>
      <c r="E341" s="1146"/>
      <c r="F341" s="1146"/>
      <c r="G341" s="1146"/>
      <c r="H341" s="1146"/>
      <c r="I341" s="1146"/>
      <c r="J341" s="1146"/>
      <c r="K341" s="1146"/>
      <c r="L341" s="1146"/>
      <c r="M341" s="1146"/>
      <c r="N341" s="1146"/>
      <c r="O341" s="1146"/>
      <c r="P341" s="1146"/>
      <c r="Q341" s="1146"/>
      <c r="R341" s="1146"/>
      <c r="S341" s="1146"/>
      <c r="T341" s="1147"/>
      <c r="U341" s="1147"/>
      <c r="V341" s="1147"/>
      <c r="W341" s="1147"/>
      <c r="X341" s="1147"/>
      <c r="Y341" s="1147"/>
      <c r="Z341" s="1147"/>
      <c r="AA341" s="1147"/>
      <c r="AB341" s="1147"/>
      <c r="AC341" s="1147"/>
      <c r="AD341" s="1147"/>
      <c r="AE341" s="1147"/>
      <c r="AF341" s="1147"/>
      <c r="AG341" s="1147"/>
      <c r="AH341" s="1147"/>
      <c r="AI341" s="1147"/>
      <c r="AJ341" s="1147"/>
      <c r="AK341" s="1147"/>
      <c r="AL341" s="1147"/>
      <c r="AM341" s="1147"/>
      <c r="AN341" s="1147"/>
      <c r="AO341" s="1147"/>
      <c r="AP341" s="1147"/>
      <c r="AQ341" s="1147"/>
      <c r="AR341" s="1147"/>
      <c r="AS341" s="1147"/>
      <c r="AT341" s="1147"/>
      <c r="AU341" s="1147"/>
      <c r="AV341" s="1147"/>
      <c r="AW341" s="1147"/>
      <c r="AX341" s="1147"/>
      <c r="AY341" s="1147"/>
      <c r="AZ341" s="1147"/>
      <c r="BA341" s="1147"/>
      <c r="BB341" s="1147"/>
      <c r="BC341" s="1147"/>
      <c r="BD341" s="1147"/>
      <c r="BE341" s="1147"/>
      <c r="BF341" s="1147"/>
      <c r="BG341" s="1147"/>
      <c r="BH341" s="1147"/>
      <c r="BI341" s="1147"/>
      <c r="BJ341" s="1147"/>
      <c r="BK341" s="1147"/>
      <c r="BL341" s="1147"/>
      <c r="BM341" s="1147"/>
      <c r="BN341" s="1147"/>
      <c r="BO341" s="1147"/>
      <c r="BP341" s="1147"/>
      <c r="BQ341" s="1147"/>
      <c r="BR341" s="1147"/>
      <c r="BS341" s="1147"/>
      <c r="BT341" s="1147"/>
      <c r="BU341" s="1147"/>
      <c r="BV341" s="1147"/>
      <c r="BW341" s="1147"/>
      <c r="BX341" s="1147"/>
      <c r="BY341" s="1147"/>
      <c r="BZ341" s="1147"/>
      <c r="CA341" s="1147"/>
      <c r="CB341" s="1147"/>
      <c r="CC341" s="1147"/>
      <c r="CD341" s="1147"/>
      <c r="CE341" s="1147"/>
      <c r="CF341" s="1147"/>
      <c r="CG341" s="1147"/>
      <c r="CH341" s="1147"/>
      <c r="CI341" s="1147"/>
      <c r="CJ341" s="1147"/>
      <c r="CK341" s="1146"/>
    </row>
    <row r="342" spans="1:89" ht="15" x14ac:dyDescent="0.25">
      <c r="A342" s="1146"/>
      <c r="B342" s="1146"/>
      <c r="C342" s="1146"/>
      <c r="D342" s="1146"/>
      <c r="E342" s="1146"/>
      <c r="F342" s="1146"/>
      <c r="G342" s="1146"/>
      <c r="H342" s="1146"/>
      <c r="I342" s="1146"/>
      <c r="J342" s="1146"/>
      <c r="K342" s="1146"/>
      <c r="L342" s="1146"/>
      <c r="M342" s="1146"/>
      <c r="N342" s="1146"/>
      <c r="O342" s="1146"/>
      <c r="P342" s="1146"/>
      <c r="Q342" s="1146"/>
      <c r="R342" s="1146"/>
      <c r="S342" s="1146"/>
      <c r="T342" s="1147"/>
      <c r="U342" s="1147"/>
      <c r="V342" s="1147"/>
      <c r="W342" s="1147"/>
      <c r="X342" s="1147"/>
      <c r="Y342" s="1147"/>
      <c r="Z342" s="1147"/>
      <c r="AA342" s="1147"/>
      <c r="AB342" s="1147"/>
      <c r="AC342" s="1147"/>
      <c r="AD342" s="1147"/>
      <c r="AE342" s="1147"/>
      <c r="AF342" s="1147"/>
      <c r="AG342" s="1147"/>
      <c r="AH342" s="1147"/>
      <c r="AI342" s="1147"/>
      <c r="AJ342" s="1147"/>
      <c r="AK342" s="1147"/>
      <c r="AL342" s="1147"/>
      <c r="AM342" s="1147"/>
      <c r="AN342" s="1147"/>
      <c r="AO342" s="1147"/>
      <c r="AP342" s="1147"/>
      <c r="AQ342" s="1147"/>
      <c r="AR342" s="1147"/>
      <c r="AS342" s="1147"/>
      <c r="AT342" s="1147"/>
      <c r="AU342" s="1147"/>
      <c r="AV342" s="1147"/>
      <c r="AW342" s="1147"/>
      <c r="AX342" s="1147"/>
      <c r="AY342" s="1147"/>
      <c r="AZ342" s="1147"/>
      <c r="BA342" s="1147"/>
      <c r="BB342" s="1147"/>
      <c r="BC342" s="1147"/>
      <c r="BD342" s="1147"/>
      <c r="BE342" s="1147"/>
      <c r="BF342" s="1147"/>
      <c r="BG342" s="1147"/>
      <c r="BH342" s="1147"/>
      <c r="BI342" s="1147"/>
      <c r="BJ342" s="1147"/>
      <c r="BK342" s="1147"/>
      <c r="BL342" s="1147"/>
      <c r="BM342" s="1147"/>
      <c r="BN342" s="1147"/>
      <c r="BO342" s="1147"/>
      <c r="BP342" s="1147"/>
      <c r="BQ342" s="1147"/>
      <c r="BR342" s="1147"/>
      <c r="BS342" s="1147"/>
      <c r="BT342" s="1147"/>
      <c r="BU342" s="1147"/>
      <c r="BV342" s="1147"/>
      <c r="BW342" s="1147"/>
      <c r="BX342" s="1147"/>
      <c r="BY342" s="1147"/>
      <c r="BZ342" s="1147"/>
      <c r="CA342" s="1147"/>
      <c r="CB342" s="1147"/>
      <c r="CC342" s="1147"/>
      <c r="CD342" s="1147"/>
      <c r="CE342" s="1147"/>
      <c r="CF342" s="1147"/>
      <c r="CG342" s="1147"/>
      <c r="CH342" s="1147"/>
      <c r="CI342" s="1147"/>
      <c r="CJ342" s="1147"/>
      <c r="CK342" s="1146"/>
    </row>
    <row r="343" spans="1:89" ht="15" x14ac:dyDescent="0.25">
      <c r="A343" s="1146"/>
      <c r="B343" s="1146"/>
      <c r="C343" s="1146"/>
      <c r="D343" s="1146"/>
      <c r="E343" s="1146"/>
      <c r="F343" s="1146"/>
      <c r="G343" s="1146"/>
      <c r="H343" s="1146"/>
      <c r="I343" s="1146"/>
      <c r="J343" s="1146"/>
      <c r="K343" s="1146"/>
      <c r="L343" s="1146"/>
      <c r="M343" s="1146"/>
      <c r="N343" s="1146"/>
      <c r="O343" s="1146"/>
      <c r="P343" s="1146"/>
      <c r="Q343" s="1146"/>
      <c r="R343" s="1146"/>
      <c r="S343" s="1146"/>
      <c r="T343" s="1147"/>
      <c r="U343" s="1147"/>
      <c r="V343" s="1147"/>
      <c r="W343" s="1147"/>
      <c r="X343" s="1147"/>
      <c r="Y343" s="1147"/>
      <c r="Z343" s="1147"/>
      <c r="AA343" s="1147"/>
      <c r="AB343" s="1147"/>
      <c r="AC343" s="1147"/>
      <c r="AD343" s="1147"/>
      <c r="AE343" s="1147"/>
      <c r="AF343" s="1147"/>
      <c r="AG343" s="1147"/>
      <c r="AH343" s="1147"/>
      <c r="AI343" s="1147"/>
      <c r="AJ343" s="1147"/>
      <c r="AK343" s="1147"/>
      <c r="AL343" s="1147"/>
      <c r="AM343" s="1147"/>
      <c r="AN343" s="1147"/>
      <c r="AO343" s="1147"/>
      <c r="AP343" s="1147"/>
      <c r="AQ343" s="1147"/>
      <c r="AR343" s="1147"/>
      <c r="AS343" s="1147"/>
      <c r="AT343" s="1147"/>
      <c r="AU343" s="1147"/>
      <c r="AV343" s="1147"/>
      <c r="AW343" s="1147"/>
      <c r="AX343" s="1147"/>
      <c r="AY343" s="1147"/>
      <c r="AZ343" s="1147"/>
      <c r="BA343" s="1147"/>
      <c r="BB343" s="1147"/>
      <c r="BC343" s="1147"/>
      <c r="BD343" s="1147"/>
      <c r="BE343" s="1147"/>
      <c r="BF343" s="1147"/>
      <c r="BG343" s="1147"/>
      <c r="BH343" s="1147"/>
      <c r="BI343" s="1147"/>
      <c r="BJ343" s="1147"/>
      <c r="BK343" s="1147"/>
      <c r="BL343" s="1147"/>
      <c r="BM343" s="1147"/>
      <c r="BN343" s="1147"/>
      <c r="BO343" s="1147"/>
      <c r="BP343" s="1147"/>
      <c r="BQ343" s="1147"/>
      <c r="BR343" s="1147"/>
      <c r="BS343" s="1147"/>
      <c r="BT343" s="1147"/>
      <c r="BU343" s="1147"/>
      <c r="BV343" s="1147"/>
      <c r="BW343" s="1147"/>
      <c r="BX343" s="1147"/>
      <c r="BY343" s="1147"/>
      <c r="BZ343" s="1147"/>
      <c r="CA343" s="1147"/>
      <c r="CB343" s="1147"/>
      <c r="CC343" s="1147"/>
      <c r="CD343" s="1147"/>
      <c r="CE343" s="1147"/>
      <c r="CF343" s="1147"/>
      <c r="CG343" s="1147"/>
      <c r="CH343" s="1147"/>
      <c r="CI343" s="1147"/>
      <c r="CJ343" s="1147"/>
      <c r="CK343" s="1146"/>
    </row>
    <row r="344" spans="1:89" ht="15" x14ac:dyDescent="0.25">
      <c r="A344" s="1146"/>
      <c r="B344" s="1146"/>
      <c r="C344" s="1146"/>
      <c r="D344" s="1146"/>
      <c r="E344" s="1146"/>
      <c r="F344" s="1146"/>
      <c r="G344" s="1146"/>
      <c r="H344" s="1146"/>
      <c r="I344" s="1146"/>
      <c r="J344" s="1146"/>
      <c r="K344" s="1146"/>
      <c r="L344" s="1146"/>
      <c r="M344" s="1146"/>
      <c r="N344" s="1146"/>
      <c r="O344" s="1146"/>
      <c r="P344" s="1146"/>
      <c r="Q344" s="1146"/>
      <c r="R344" s="1146"/>
      <c r="S344" s="1146"/>
      <c r="T344" s="1147"/>
      <c r="U344" s="1147"/>
      <c r="V344" s="1147"/>
      <c r="W344" s="1147"/>
      <c r="X344" s="1147"/>
      <c r="Y344" s="1147"/>
      <c r="Z344" s="1147"/>
      <c r="AA344" s="1147"/>
      <c r="AB344" s="1147"/>
      <c r="AC344" s="1147"/>
      <c r="AD344" s="1147"/>
      <c r="AE344" s="1147"/>
      <c r="AF344" s="1147"/>
      <c r="AG344" s="1147"/>
      <c r="AH344" s="1147"/>
      <c r="AI344" s="1147"/>
      <c r="AJ344" s="1147"/>
      <c r="AK344" s="1147"/>
      <c r="AL344" s="1147"/>
      <c r="AM344" s="1147"/>
      <c r="AN344" s="1147"/>
      <c r="AO344" s="1147"/>
      <c r="AP344" s="1147"/>
      <c r="AQ344" s="1147"/>
      <c r="AR344" s="1147"/>
      <c r="AS344" s="1147"/>
      <c r="AT344" s="1147"/>
      <c r="AU344" s="1147"/>
      <c r="AV344" s="1147"/>
      <c r="AW344" s="1147"/>
      <c r="AX344" s="1147"/>
      <c r="AY344" s="1147"/>
      <c r="AZ344" s="1147"/>
      <c r="BA344" s="1147"/>
      <c r="BB344" s="1147"/>
      <c r="BC344" s="1147"/>
      <c r="BD344" s="1147"/>
      <c r="BE344" s="1147"/>
      <c r="BF344" s="1147"/>
      <c r="BG344" s="1147"/>
      <c r="BH344" s="1147"/>
      <c r="BI344" s="1147"/>
      <c r="BJ344" s="1147"/>
      <c r="BK344" s="1147"/>
      <c r="BL344" s="1147"/>
      <c r="BM344" s="1147"/>
      <c r="BN344" s="1147"/>
      <c r="BO344" s="1147"/>
      <c r="BP344" s="1147"/>
      <c r="BQ344" s="1147"/>
      <c r="BR344" s="1147"/>
      <c r="BS344" s="1147"/>
      <c r="BT344" s="1147"/>
      <c r="BU344" s="1147"/>
      <c r="BV344" s="1147"/>
      <c r="BW344" s="1147"/>
      <c r="BX344" s="1147"/>
      <c r="BY344" s="1147"/>
      <c r="BZ344" s="1147"/>
      <c r="CA344" s="1147"/>
      <c r="CB344" s="1147"/>
      <c r="CC344" s="1147"/>
      <c r="CD344" s="1147"/>
      <c r="CE344" s="1147"/>
      <c r="CF344" s="1147"/>
      <c r="CG344" s="1147"/>
      <c r="CH344" s="1147"/>
      <c r="CI344" s="1147"/>
      <c r="CJ344" s="1147"/>
      <c r="CK344" s="1146"/>
    </row>
    <row r="345" spans="1:89" ht="15" x14ac:dyDescent="0.25">
      <c r="A345" s="1146"/>
      <c r="B345" s="1146"/>
      <c r="C345" s="1146"/>
      <c r="D345" s="1146"/>
      <c r="E345" s="1146"/>
      <c r="F345" s="1146"/>
      <c r="G345" s="1146"/>
      <c r="H345" s="1146"/>
      <c r="I345" s="1146"/>
      <c r="J345" s="1146"/>
      <c r="K345" s="1146"/>
      <c r="L345" s="1146"/>
      <c r="M345" s="1146"/>
      <c r="N345" s="1146"/>
      <c r="O345" s="1146"/>
      <c r="P345" s="1146"/>
      <c r="Q345" s="1146"/>
      <c r="R345" s="1146"/>
      <c r="S345" s="1146"/>
      <c r="T345" s="1147"/>
      <c r="U345" s="1147"/>
      <c r="V345" s="1147"/>
      <c r="W345" s="1147"/>
      <c r="X345" s="1147"/>
      <c r="Y345" s="1147"/>
      <c r="Z345" s="1147"/>
      <c r="AA345" s="1147"/>
      <c r="AB345" s="1147"/>
      <c r="AC345" s="1147"/>
      <c r="AD345" s="1147"/>
      <c r="AE345" s="1147"/>
      <c r="AF345" s="1147"/>
      <c r="AG345" s="1147"/>
      <c r="AH345" s="1147"/>
      <c r="AI345" s="1147"/>
      <c r="AJ345" s="1147"/>
      <c r="AK345" s="1147"/>
      <c r="AL345" s="1147"/>
      <c r="AM345" s="1147"/>
      <c r="AN345" s="1147"/>
      <c r="AO345" s="1147"/>
      <c r="AP345" s="1147"/>
      <c r="AQ345" s="1147"/>
      <c r="AR345" s="1147"/>
      <c r="AS345" s="1147"/>
      <c r="AT345" s="1147"/>
      <c r="AU345" s="1147"/>
      <c r="AV345" s="1147"/>
      <c r="AW345" s="1147"/>
      <c r="AX345" s="1147"/>
      <c r="AY345" s="1147"/>
      <c r="AZ345" s="1147"/>
      <c r="BA345" s="1147"/>
      <c r="BB345" s="1147"/>
      <c r="BC345" s="1147"/>
      <c r="BD345" s="1147"/>
      <c r="BE345" s="1147"/>
      <c r="BF345" s="1147"/>
      <c r="BG345" s="1147"/>
      <c r="BH345" s="1147"/>
      <c r="BI345" s="1147"/>
      <c r="BJ345" s="1147"/>
      <c r="BK345" s="1147"/>
      <c r="BL345" s="1147"/>
      <c r="BM345" s="1147"/>
      <c r="BN345" s="1147"/>
      <c r="BO345" s="1147"/>
      <c r="BP345" s="1147"/>
      <c r="BQ345" s="1147"/>
      <c r="BR345" s="1147"/>
      <c r="BS345" s="1147"/>
      <c r="BT345" s="1147"/>
      <c r="BU345" s="1147"/>
      <c r="BV345" s="1147"/>
      <c r="BW345" s="1147"/>
      <c r="BX345" s="1147"/>
      <c r="BY345" s="1147"/>
      <c r="BZ345" s="1147"/>
      <c r="CA345" s="1147"/>
      <c r="CB345" s="1147"/>
      <c r="CC345" s="1147"/>
      <c r="CD345" s="1147"/>
      <c r="CE345" s="1147"/>
      <c r="CF345" s="1147"/>
      <c r="CG345" s="1147"/>
      <c r="CH345" s="1147"/>
      <c r="CI345" s="1147"/>
      <c r="CJ345" s="1147"/>
      <c r="CK345" s="1146"/>
    </row>
    <row r="346" spans="1:89" ht="15" x14ac:dyDescent="0.25">
      <c r="A346" s="1146"/>
      <c r="B346" s="1146"/>
      <c r="C346" s="1146"/>
      <c r="D346" s="1146"/>
      <c r="E346" s="1146"/>
      <c r="F346" s="1146"/>
      <c r="G346" s="1146"/>
      <c r="H346" s="1146"/>
      <c r="I346" s="1146"/>
      <c r="J346" s="1146"/>
      <c r="K346" s="1146"/>
      <c r="L346" s="1146"/>
      <c r="M346" s="1146"/>
      <c r="N346" s="1146"/>
      <c r="O346" s="1146"/>
      <c r="P346" s="1146"/>
      <c r="Q346" s="1146"/>
      <c r="R346" s="1146"/>
      <c r="S346" s="1146"/>
      <c r="T346" s="1147"/>
      <c r="U346" s="1147"/>
      <c r="V346" s="1147"/>
      <c r="W346" s="1147"/>
      <c r="X346" s="1147"/>
      <c r="Y346" s="1147"/>
      <c r="Z346" s="1147"/>
      <c r="AA346" s="1147"/>
      <c r="AB346" s="1147"/>
      <c r="AC346" s="1147"/>
      <c r="AD346" s="1147"/>
      <c r="AE346" s="1147"/>
      <c r="AF346" s="1147"/>
      <c r="AG346" s="1147"/>
      <c r="AH346" s="1147"/>
      <c r="AI346" s="1147"/>
      <c r="AJ346" s="1147"/>
      <c r="AK346" s="1147"/>
      <c r="AL346" s="1147"/>
      <c r="AM346" s="1147"/>
      <c r="AN346" s="1147"/>
      <c r="AO346" s="1147"/>
      <c r="AP346" s="1147"/>
      <c r="AQ346" s="1147"/>
      <c r="AR346" s="1147"/>
      <c r="AS346" s="1147"/>
      <c r="AT346" s="1147"/>
      <c r="AU346" s="1147"/>
      <c r="AV346" s="1147"/>
      <c r="AW346" s="1147"/>
      <c r="AX346" s="1147"/>
      <c r="AY346" s="1147"/>
      <c r="AZ346" s="1147"/>
      <c r="BA346" s="1147"/>
      <c r="BB346" s="1147"/>
      <c r="BC346" s="1147"/>
      <c r="BD346" s="1147"/>
      <c r="BE346" s="1147"/>
      <c r="BF346" s="1147"/>
      <c r="BG346" s="1147"/>
      <c r="BH346" s="1147"/>
      <c r="BI346" s="1147"/>
      <c r="BJ346" s="1147"/>
      <c r="BK346" s="1147"/>
      <c r="BL346" s="1147"/>
      <c r="BM346" s="1147"/>
      <c r="BN346" s="1147"/>
      <c r="BO346" s="1147"/>
      <c r="BP346" s="1147"/>
      <c r="BQ346" s="1147"/>
      <c r="BR346" s="1147"/>
      <c r="BS346" s="1147"/>
      <c r="BT346" s="1147"/>
      <c r="BU346" s="1147"/>
      <c r="BV346" s="1147"/>
      <c r="BW346" s="1147"/>
      <c r="BX346" s="1147"/>
      <c r="BY346" s="1147"/>
      <c r="BZ346" s="1147"/>
      <c r="CA346" s="1147"/>
      <c r="CB346" s="1147"/>
      <c r="CC346" s="1147"/>
      <c r="CD346" s="1147"/>
      <c r="CE346" s="1147"/>
      <c r="CF346" s="1147"/>
      <c r="CG346" s="1147"/>
      <c r="CH346" s="1147"/>
      <c r="CI346" s="1147"/>
      <c r="CJ346" s="1147"/>
      <c r="CK346" s="1146"/>
    </row>
    <row r="347" spans="1:89" ht="15" x14ac:dyDescent="0.25">
      <c r="A347" s="1146"/>
      <c r="B347" s="1146"/>
      <c r="C347" s="1146"/>
      <c r="D347" s="1146"/>
      <c r="E347" s="1146"/>
      <c r="F347" s="1146"/>
      <c r="G347" s="1146"/>
      <c r="H347" s="1146"/>
      <c r="I347" s="1146"/>
      <c r="J347" s="1146"/>
      <c r="K347" s="1146"/>
      <c r="L347" s="1146"/>
      <c r="M347" s="1146"/>
      <c r="N347" s="1146"/>
      <c r="O347" s="1146"/>
      <c r="P347" s="1146"/>
      <c r="Q347" s="1146"/>
      <c r="R347" s="1146"/>
      <c r="S347" s="1146"/>
      <c r="T347" s="1147"/>
      <c r="U347" s="1147"/>
      <c r="V347" s="1147"/>
      <c r="W347" s="1147"/>
      <c r="X347" s="1147"/>
      <c r="Y347" s="1147"/>
      <c r="Z347" s="1147"/>
      <c r="AA347" s="1147"/>
      <c r="AB347" s="1147"/>
      <c r="AC347" s="1147"/>
      <c r="AD347" s="1147"/>
      <c r="AE347" s="1147"/>
      <c r="AF347" s="1147"/>
      <c r="AG347" s="1147"/>
      <c r="AH347" s="1147"/>
      <c r="AI347" s="1147"/>
      <c r="AJ347" s="1147"/>
      <c r="AK347" s="1147"/>
      <c r="AL347" s="1147"/>
      <c r="AM347" s="1147"/>
      <c r="AN347" s="1147"/>
      <c r="AO347" s="1147"/>
      <c r="AP347" s="1147"/>
      <c r="AQ347" s="1147"/>
      <c r="AR347" s="1147"/>
      <c r="AS347" s="1147"/>
      <c r="AT347" s="1147"/>
      <c r="AU347" s="1147"/>
      <c r="AV347" s="1147"/>
      <c r="AW347" s="1147"/>
      <c r="AX347" s="1147"/>
      <c r="AY347" s="1147"/>
      <c r="AZ347" s="1147"/>
      <c r="BA347" s="1147"/>
      <c r="BB347" s="1147"/>
      <c r="BC347" s="1147"/>
      <c r="BD347" s="1147"/>
      <c r="BE347" s="1147"/>
      <c r="BF347" s="1147"/>
      <c r="BG347" s="1147"/>
      <c r="BH347" s="1147"/>
      <c r="BI347" s="1147"/>
      <c r="BJ347" s="1147"/>
      <c r="BK347" s="1147"/>
      <c r="BL347" s="1147"/>
      <c r="BM347" s="1147"/>
      <c r="BN347" s="1147"/>
      <c r="BO347" s="1147"/>
      <c r="BP347" s="1147"/>
      <c r="BQ347" s="1147"/>
      <c r="BR347" s="1147"/>
      <c r="BS347" s="1147"/>
      <c r="BT347" s="1147"/>
      <c r="BU347" s="1147"/>
      <c r="BV347" s="1147"/>
      <c r="BW347" s="1147"/>
      <c r="BX347" s="1147"/>
      <c r="BY347" s="1147"/>
      <c r="BZ347" s="1147"/>
      <c r="CA347" s="1147"/>
      <c r="CB347" s="1147"/>
      <c r="CC347" s="1147"/>
      <c r="CD347" s="1147"/>
      <c r="CE347" s="1147"/>
      <c r="CF347" s="1147"/>
      <c r="CG347" s="1147"/>
      <c r="CH347" s="1147"/>
      <c r="CI347" s="1147"/>
      <c r="CJ347" s="1147"/>
      <c r="CK347" s="1146"/>
    </row>
    <row r="348" spans="1:89" ht="15" x14ac:dyDescent="0.25">
      <c r="A348" s="1146"/>
      <c r="B348" s="1146"/>
      <c r="C348" s="1146"/>
      <c r="D348" s="1146"/>
      <c r="E348" s="1146"/>
      <c r="F348" s="1146"/>
      <c r="G348" s="1146"/>
      <c r="H348" s="1146"/>
      <c r="I348" s="1146"/>
      <c r="J348" s="1146"/>
      <c r="K348" s="1146"/>
      <c r="L348" s="1146"/>
      <c r="M348" s="1146"/>
      <c r="N348" s="1146"/>
      <c r="O348" s="1146"/>
      <c r="P348" s="1146"/>
      <c r="Q348" s="1146"/>
      <c r="R348" s="1146"/>
      <c r="S348" s="1146"/>
      <c r="T348" s="1147"/>
      <c r="U348" s="1147"/>
      <c r="V348" s="1147"/>
      <c r="W348" s="1147"/>
      <c r="X348" s="1147"/>
      <c r="Y348" s="1147"/>
      <c r="Z348" s="1147"/>
      <c r="AA348" s="1147"/>
      <c r="AB348" s="1147"/>
      <c r="AC348" s="1147"/>
      <c r="AD348" s="1147"/>
      <c r="AE348" s="1147"/>
      <c r="AF348" s="1147"/>
      <c r="AG348" s="1147"/>
      <c r="AH348" s="1147"/>
      <c r="AI348" s="1147"/>
      <c r="AJ348" s="1147"/>
      <c r="AK348" s="1147"/>
      <c r="AL348" s="1147"/>
      <c r="AM348" s="1147"/>
      <c r="AN348" s="1147"/>
      <c r="AO348" s="1147"/>
      <c r="AP348" s="1147"/>
      <c r="AQ348" s="1147"/>
      <c r="AR348" s="1147"/>
      <c r="AS348" s="1147"/>
      <c r="AT348" s="1147"/>
      <c r="AU348" s="1147"/>
      <c r="AV348" s="1147"/>
      <c r="AW348" s="1147"/>
      <c r="AX348" s="1147"/>
      <c r="AY348" s="1147"/>
      <c r="AZ348" s="1147"/>
      <c r="BA348" s="1147"/>
      <c r="BB348" s="1147"/>
      <c r="BC348" s="1147"/>
      <c r="BD348" s="1147"/>
      <c r="BE348" s="1147"/>
      <c r="BF348" s="1147"/>
      <c r="BG348" s="1147"/>
      <c r="BH348" s="1147"/>
      <c r="BI348" s="1147"/>
      <c r="BJ348" s="1147"/>
      <c r="BK348" s="1147"/>
      <c r="BL348" s="1147"/>
      <c r="BM348" s="1147"/>
      <c r="BN348" s="1147"/>
      <c r="BO348" s="1147"/>
      <c r="BP348" s="1147"/>
      <c r="BQ348" s="1147"/>
      <c r="BR348" s="1147"/>
      <c r="BS348" s="1147"/>
      <c r="BT348" s="1147"/>
      <c r="BU348" s="1147"/>
      <c r="BV348" s="1147"/>
      <c r="BW348" s="1147"/>
      <c r="BX348" s="1147"/>
      <c r="BY348" s="1147"/>
      <c r="BZ348" s="1147"/>
      <c r="CA348" s="1147"/>
      <c r="CB348" s="1147"/>
      <c r="CC348" s="1147"/>
      <c r="CD348" s="1147"/>
      <c r="CE348" s="1147"/>
      <c r="CF348" s="1147"/>
      <c r="CG348" s="1147"/>
      <c r="CH348" s="1147"/>
      <c r="CI348" s="1147"/>
      <c r="CJ348" s="1147"/>
      <c r="CK348" s="1146"/>
    </row>
    <row r="349" spans="1:89" ht="15" x14ac:dyDescent="0.25">
      <c r="A349" s="1146"/>
      <c r="B349" s="1146"/>
      <c r="C349" s="1146"/>
      <c r="D349" s="1146"/>
      <c r="E349" s="1146"/>
      <c r="F349" s="1146"/>
      <c r="G349" s="1146"/>
      <c r="H349" s="1146"/>
      <c r="I349" s="1146"/>
      <c r="J349" s="1146"/>
      <c r="K349" s="1146"/>
      <c r="L349" s="1146"/>
      <c r="M349" s="1146"/>
      <c r="N349" s="1146"/>
      <c r="O349" s="1146"/>
      <c r="P349" s="1146"/>
      <c r="Q349" s="1146"/>
      <c r="R349" s="1146"/>
      <c r="S349" s="1146"/>
      <c r="T349" s="1147"/>
      <c r="U349" s="1147"/>
      <c r="V349" s="1147"/>
      <c r="W349" s="1147"/>
      <c r="X349" s="1147"/>
      <c r="Y349" s="1147"/>
      <c r="Z349" s="1147"/>
      <c r="AA349" s="1147"/>
      <c r="AB349" s="1147"/>
      <c r="AC349" s="1147"/>
      <c r="AD349" s="1147"/>
      <c r="AE349" s="1147"/>
      <c r="AF349" s="1147"/>
      <c r="AG349" s="1147"/>
      <c r="AH349" s="1147"/>
      <c r="AI349" s="1147"/>
      <c r="AJ349" s="1147"/>
      <c r="AK349" s="1147"/>
      <c r="AL349" s="1147"/>
      <c r="AM349" s="1147"/>
      <c r="AN349" s="1147"/>
      <c r="AO349" s="1147"/>
      <c r="AP349" s="1147"/>
      <c r="AQ349" s="1147"/>
      <c r="AR349" s="1147"/>
      <c r="AS349" s="1147"/>
      <c r="AT349" s="1147"/>
      <c r="AU349" s="1147"/>
      <c r="AV349" s="1147"/>
      <c r="AW349" s="1147"/>
      <c r="AX349" s="1147"/>
      <c r="AY349" s="1147"/>
      <c r="AZ349" s="1147"/>
      <c r="BA349" s="1147"/>
      <c r="BB349" s="1147"/>
      <c r="BC349" s="1147"/>
      <c r="BD349" s="1147"/>
      <c r="BE349" s="1147"/>
      <c r="BF349" s="1147"/>
      <c r="BG349" s="1147"/>
      <c r="BH349" s="1147"/>
      <c r="BI349" s="1147"/>
      <c r="BJ349" s="1147"/>
      <c r="BK349" s="1147"/>
      <c r="BL349" s="1147"/>
      <c r="BM349" s="1147"/>
      <c r="BN349" s="1147"/>
      <c r="BO349" s="1147"/>
      <c r="BP349" s="1147"/>
      <c r="BQ349" s="1147"/>
      <c r="BR349" s="1147"/>
      <c r="BS349" s="1147"/>
      <c r="BT349" s="1147"/>
      <c r="BU349" s="1147"/>
      <c r="BV349" s="1147"/>
      <c r="BW349" s="1147"/>
      <c r="BX349" s="1147"/>
      <c r="BY349" s="1147"/>
      <c r="BZ349" s="1147"/>
      <c r="CA349" s="1147"/>
      <c r="CB349" s="1147"/>
      <c r="CC349" s="1147"/>
      <c r="CD349" s="1147"/>
      <c r="CE349" s="1147"/>
      <c r="CF349" s="1147"/>
      <c r="CG349" s="1147"/>
      <c r="CH349" s="1147"/>
      <c r="CI349" s="1147"/>
      <c r="CJ349" s="1147"/>
      <c r="CK349" s="1146"/>
    </row>
    <row r="350" spans="1:89" ht="15" x14ac:dyDescent="0.25">
      <c r="A350" s="1146"/>
      <c r="B350" s="1146"/>
      <c r="C350" s="1146"/>
      <c r="D350" s="1146"/>
      <c r="E350" s="1146"/>
      <c r="F350" s="1146"/>
      <c r="G350" s="1146"/>
      <c r="H350" s="1146"/>
      <c r="I350" s="1146"/>
      <c r="J350" s="1146"/>
      <c r="K350" s="1146"/>
      <c r="L350" s="1146"/>
      <c r="M350" s="1146"/>
      <c r="N350" s="1146"/>
      <c r="O350" s="1146"/>
      <c r="P350" s="1146"/>
      <c r="Q350" s="1146"/>
      <c r="R350" s="1146"/>
      <c r="S350" s="1146"/>
      <c r="T350" s="1147"/>
      <c r="U350" s="1147"/>
      <c r="V350" s="1147"/>
      <c r="W350" s="1147"/>
      <c r="X350" s="1147"/>
      <c r="Y350" s="1147"/>
      <c r="Z350" s="1147"/>
      <c r="AA350" s="1147"/>
      <c r="AB350" s="1147"/>
      <c r="AC350" s="1147"/>
      <c r="AD350" s="1147"/>
      <c r="AE350" s="1147"/>
      <c r="AF350" s="1147"/>
      <c r="AG350" s="1147"/>
      <c r="AH350" s="1147"/>
      <c r="AI350" s="1147"/>
      <c r="AJ350" s="1147"/>
      <c r="AK350" s="1147"/>
      <c r="AL350" s="1147"/>
      <c r="AM350" s="1147"/>
      <c r="AN350" s="1147"/>
      <c r="AO350" s="1147"/>
      <c r="AP350" s="1147"/>
      <c r="AQ350" s="1147"/>
      <c r="AR350" s="1147"/>
      <c r="AS350" s="1147"/>
      <c r="AT350" s="1147"/>
      <c r="AU350" s="1147"/>
      <c r="AV350" s="1147"/>
      <c r="AW350" s="1147"/>
      <c r="AX350" s="1147"/>
      <c r="AY350" s="1147"/>
      <c r="AZ350" s="1147"/>
      <c r="BA350" s="1147"/>
      <c r="BB350" s="1147"/>
      <c r="BC350" s="1147"/>
      <c r="BD350" s="1147"/>
      <c r="BE350" s="1147"/>
      <c r="BF350" s="1147"/>
      <c r="BG350" s="1147"/>
      <c r="BH350" s="1147"/>
      <c r="BI350" s="1147"/>
      <c r="BJ350" s="1147"/>
      <c r="BK350" s="1147"/>
      <c r="BL350" s="1147"/>
      <c r="BM350" s="1147"/>
      <c r="BN350" s="1147"/>
      <c r="BO350" s="1147"/>
      <c r="BP350" s="1147"/>
      <c r="BQ350" s="1147"/>
      <c r="BR350" s="1147"/>
      <c r="BS350" s="1147"/>
      <c r="BT350" s="1147"/>
      <c r="BU350" s="1147"/>
      <c r="BV350" s="1147"/>
      <c r="BW350" s="1147"/>
      <c r="BX350" s="1147"/>
      <c r="BY350" s="1147"/>
      <c r="BZ350" s="1147"/>
      <c r="CA350" s="1147"/>
      <c r="CB350" s="1147"/>
      <c r="CC350" s="1147"/>
      <c r="CD350" s="1147"/>
      <c r="CE350" s="1147"/>
      <c r="CF350" s="1147"/>
      <c r="CG350" s="1147"/>
      <c r="CH350" s="1147"/>
      <c r="CI350" s="1147"/>
      <c r="CJ350" s="1147"/>
      <c r="CK350" s="1146"/>
    </row>
    <row r="351" spans="1:89" ht="15" x14ac:dyDescent="0.25">
      <c r="A351" s="1146"/>
      <c r="B351" s="1146"/>
      <c r="C351" s="1146"/>
      <c r="D351" s="1146"/>
      <c r="E351" s="1146"/>
      <c r="F351" s="1146"/>
      <c r="G351" s="1146"/>
      <c r="H351" s="1146"/>
      <c r="I351" s="1146"/>
      <c r="J351" s="1146"/>
      <c r="K351" s="1146"/>
      <c r="L351" s="1146"/>
      <c r="M351" s="1146"/>
      <c r="N351" s="1146"/>
      <c r="O351" s="1146"/>
      <c r="P351" s="1146"/>
      <c r="Q351" s="1146"/>
      <c r="R351" s="1146"/>
      <c r="S351" s="1146"/>
      <c r="T351" s="1147"/>
      <c r="U351" s="1147"/>
      <c r="V351" s="1147"/>
      <c r="W351" s="1147"/>
      <c r="X351" s="1147"/>
      <c r="Y351" s="1147"/>
      <c r="Z351" s="1147"/>
      <c r="AA351" s="1147"/>
      <c r="AB351" s="1147"/>
      <c r="AC351" s="1147"/>
      <c r="AD351" s="1147"/>
      <c r="AE351" s="1147"/>
      <c r="AF351" s="1147"/>
      <c r="AG351" s="1147"/>
      <c r="AH351" s="1147"/>
      <c r="AI351" s="1147"/>
      <c r="AJ351" s="1147"/>
      <c r="AK351" s="1147"/>
      <c r="AL351" s="1147"/>
      <c r="AM351" s="1147"/>
      <c r="AN351" s="1147"/>
      <c r="AO351" s="1147"/>
      <c r="AP351" s="1147"/>
      <c r="AQ351" s="1147"/>
      <c r="AR351" s="1147"/>
      <c r="AS351" s="1147"/>
      <c r="AT351" s="1147"/>
      <c r="AU351" s="1147"/>
      <c r="AV351" s="1147"/>
      <c r="AW351" s="1147"/>
      <c r="AX351" s="1147"/>
      <c r="AY351" s="1147"/>
      <c r="AZ351" s="1147"/>
      <c r="BA351" s="1147"/>
      <c r="BB351" s="1147"/>
      <c r="BC351" s="1147"/>
      <c r="BD351" s="1147"/>
      <c r="BE351" s="1147"/>
      <c r="BF351" s="1147"/>
      <c r="BG351" s="1147"/>
      <c r="BH351" s="1147"/>
      <c r="BI351" s="1147"/>
      <c r="BJ351" s="1147"/>
      <c r="BK351" s="1147"/>
      <c r="BL351" s="1147"/>
      <c r="BM351" s="1147"/>
      <c r="BN351" s="1147"/>
      <c r="BO351" s="1147"/>
      <c r="BP351" s="1147"/>
      <c r="BQ351" s="1147"/>
      <c r="BR351" s="1147"/>
      <c r="BS351" s="1147"/>
      <c r="BT351" s="1147"/>
      <c r="BU351" s="1147"/>
      <c r="BV351" s="1147"/>
      <c r="BW351" s="1147"/>
      <c r="BX351" s="1147"/>
      <c r="BY351" s="1147"/>
      <c r="BZ351" s="1147"/>
      <c r="CA351" s="1147"/>
      <c r="CB351" s="1147"/>
      <c r="CC351" s="1147"/>
      <c r="CD351" s="1147"/>
      <c r="CE351" s="1147"/>
      <c r="CF351" s="1147"/>
      <c r="CG351" s="1147"/>
      <c r="CH351" s="1147"/>
      <c r="CI351" s="1147"/>
      <c r="CJ351" s="1147"/>
      <c r="CK351" s="1146"/>
    </row>
    <row r="352" spans="1:89" ht="15" x14ac:dyDescent="0.25">
      <c r="A352" s="1146"/>
      <c r="B352" s="1146"/>
      <c r="C352" s="1146"/>
      <c r="D352" s="1146"/>
      <c r="E352" s="1146"/>
      <c r="F352" s="1146"/>
      <c r="G352" s="1146"/>
      <c r="H352" s="1146"/>
      <c r="I352" s="1146"/>
      <c r="J352" s="1146"/>
      <c r="K352" s="1146"/>
      <c r="L352" s="1146"/>
      <c r="M352" s="1146"/>
      <c r="N352" s="1146"/>
      <c r="O352" s="1146"/>
      <c r="P352" s="1146"/>
      <c r="Q352" s="1146"/>
      <c r="R352" s="1146"/>
      <c r="S352" s="1146"/>
      <c r="T352" s="1147"/>
      <c r="U352" s="1147"/>
      <c r="V352" s="1147"/>
      <c r="W352" s="1147"/>
      <c r="X352" s="1147"/>
      <c r="Y352" s="1147"/>
      <c r="Z352" s="1147"/>
      <c r="AA352" s="1147"/>
      <c r="AB352" s="1147"/>
      <c r="AC352" s="1147"/>
      <c r="AD352" s="1147"/>
      <c r="AE352" s="1147"/>
      <c r="AF352" s="1147"/>
      <c r="AG352" s="1147"/>
      <c r="AH352" s="1147"/>
      <c r="AI352" s="1147"/>
      <c r="AJ352" s="1147"/>
      <c r="AK352" s="1147"/>
      <c r="AL352" s="1147"/>
      <c r="AM352" s="1147"/>
      <c r="AN352" s="1147"/>
      <c r="AO352" s="1147"/>
      <c r="AP352" s="1147"/>
      <c r="AQ352" s="1147"/>
      <c r="AR352" s="1147"/>
      <c r="AS352" s="1147"/>
      <c r="AT352" s="1147"/>
      <c r="AU352" s="1147"/>
      <c r="AV352" s="1147"/>
      <c r="AW352" s="1147"/>
      <c r="AX352" s="1147"/>
      <c r="AY352" s="1147"/>
      <c r="AZ352" s="1147"/>
      <c r="BA352" s="1147"/>
      <c r="BB352" s="1147"/>
      <c r="BC352" s="1147"/>
      <c r="BD352" s="1147"/>
      <c r="BE352" s="1147"/>
      <c r="BF352" s="1147"/>
      <c r="BG352" s="1147"/>
      <c r="BH352" s="1147"/>
      <c r="BI352" s="1147"/>
      <c r="BJ352" s="1147"/>
      <c r="BK352" s="1147"/>
      <c r="BL352" s="1147"/>
      <c r="BM352" s="1147"/>
      <c r="BN352" s="1147"/>
      <c r="BO352" s="1147"/>
      <c r="BP352" s="1147"/>
      <c r="BQ352" s="1147"/>
      <c r="BR352" s="1147"/>
      <c r="BS352" s="1147"/>
      <c r="BT352" s="1147"/>
      <c r="BU352" s="1147"/>
      <c r="BV352" s="1147"/>
      <c r="BW352" s="1147"/>
      <c r="BX352" s="1147"/>
      <c r="BY352" s="1147"/>
      <c r="BZ352" s="1147"/>
      <c r="CA352" s="1147"/>
      <c r="CB352" s="1147"/>
      <c r="CC352" s="1147"/>
      <c r="CD352" s="1147"/>
      <c r="CE352" s="1147"/>
      <c r="CF352" s="1147"/>
      <c r="CG352" s="1147"/>
      <c r="CH352" s="1147"/>
      <c r="CI352" s="1147"/>
      <c r="CJ352" s="1147"/>
      <c r="CK352" s="1146"/>
    </row>
    <row r="353" spans="1:89" ht="15" x14ac:dyDescent="0.25">
      <c r="A353" s="1146"/>
      <c r="B353" s="1146"/>
      <c r="C353" s="1146"/>
      <c r="D353" s="1146"/>
      <c r="E353" s="1146"/>
      <c r="F353" s="1146"/>
      <c r="G353" s="1146"/>
      <c r="H353" s="1146"/>
      <c r="I353" s="1146"/>
      <c r="J353" s="1146"/>
      <c r="K353" s="1146"/>
      <c r="L353" s="1146"/>
      <c r="M353" s="1146"/>
      <c r="N353" s="1146"/>
      <c r="O353" s="1146"/>
      <c r="P353" s="1146"/>
      <c r="Q353" s="1146"/>
      <c r="R353" s="1146"/>
      <c r="S353" s="1146"/>
      <c r="T353" s="1147"/>
      <c r="U353" s="1147"/>
      <c r="V353" s="1147"/>
      <c r="W353" s="1147"/>
      <c r="X353" s="1147"/>
      <c r="Y353" s="1147"/>
      <c r="Z353" s="1147"/>
      <c r="AA353" s="1147"/>
      <c r="AB353" s="1147"/>
      <c r="AC353" s="1147"/>
      <c r="AD353" s="1147"/>
      <c r="AE353" s="1147"/>
      <c r="AF353" s="1147"/>
      <c r="AG353" s="1147"/>
      <c r="AH353" s="1147"/>
      <c r="AI353" s="1147"/>
      <c r="AJ353" s="1147"/>
      <c r="AK353" s="1147"/>
      <c r="AL353" s="1147"/>
      <c r="AM353" s="1147"/>
      <c r="AN353" s="1147"/>
      <c r="AO353" s="1147"/>
      <c r="AP353" s="1147"/>
      <c r="AQ353" s="1147"/>
      <c r="AR353" s="1147"/>
      <c r="AS353" s="1147"/>
      <c r="AT353" s="1147"/>
      <c r="AU353" s="1147"/>
      <c r="AV353" s="1147"/>
      <c r="AW353" s="1147"/>
      <c r="AX353" s="1147"/>
      <c r="AY353" s="1147"/>
      <c r="AZ353" s="1147"/>
      <c r="BA353" s="1147"/>
      <c r="BB353" s="1147"/>
      <c r="BC353" s="1147"/>
      <c r="BD353" s="1147"/>
      <c r="BE353" s="1147"/>
      <c r="BF353" s="1147"/>
      <c r="BG353" s="1147"/>
      <c r="BH353" s="1147"/>
      <c r="BI353" s="1147"/>
      <c r="BJ353" s="1147"/>
      <c r="BK353" s="1147"/>
      <c r="BL353" s="1147"/>
      <c r="BM353" s="1147"/>
      <c r="BN353" s="1147"/>
      <c r="BO353" s="1147"/>
      <c r="BP353" s="1147"/>
      <c r="BQ353" s="1147"/>
      <c r="BR353" s="1147"/>
      <c r="BS353" s="1147"/>
      <c r="BT353" s="1147"/>
      <c r="BU353" s="1147"/>
      <c r="BV353" s="1147"/>
      <c r="BW353" s="1147"/>
      <c r="BX353" s="1147"/>
      <c r="BY353" s="1147"/>
      <c r="BZ353" s="1147"/>
      <c r="CA353" s="1147"/>
      <c r="CB353" s="1147"/>
      <c r="CC353" s="1147"/>
      <c r="CD353" s="1147"/>
      <c r="CE353" s="1147"/>
      <c r="CF353" s="1147"/>
      <c r="CG353" s="1147"/>
      <c r="CH353" s="1147"/>
      <c r="CI353" s="1147"/>
      <c r="CJ353" s="1147"/>
      <c r="CK353" s="1146"/>
    </row>
    <row r="354" spans="1:89" ht="15" x14ac:dyDescent="0.25">
      <c r="A354" s="1146"/>
      <c r="B354" s="1146"/>
      <c r="C354" s="1146"/>
      <c r="D354" s="1146"/>
      <c r="E354" s="1146"/>
      <c r="F354" s="1146"/>
      <c r="G354" s="1146"/>
      <c r="H354" s="1146"/>
      <c r="I354" s="1146"/>
      <c r="J354" s="1146"/>
      <c r="K354" s="1146"/>
      <c r="L354" s="1146"/>
      <c r="M354" s="1146"/>
      <c r="N354" s="1146"/>
      <c r="O354" s="1146"/>
      <c r="P354" s="1146"/>
      <c r="Q354" s="1146"/>
      <c r="R354" s="1146"/>
      <c r="S354" s="1146"/>
      <c r="T354" s="1147"/>
      <c r="U354" s="1147"/>
      <c r="V354" s="1147"/>
      <c r="W354" s="1147"/>
      <c r="X354" s="1147"/>
      <c r="Y354" s="1147"/>
      <c r="Z354" s="1147"/>
      <c r="AA354" s="1147"/>
      <c r="AB354" s="1147"/>
      <c r="AC354" s="1147"/>
      <c r="AD354" s="1147"/>
      <c r="AE354" s="1147"/>
      <c r="AF354" s="1147"/>
      <c r="AG354" s="1147"/>
      <c r="AH354" s="1147"/>
      <c r="AI354" s="1147"/>
      <c r="AJ354" s="1147"/>
      <c r="AK354" s="1147"/>
      <c r="AL354" s="1147"/>
      <c r="AM354" s="1147"/>
      <c r="AN354" s="1147"/>
      <c r="AO354" s="1147"/>
      <c r="AP354" s="1147"/>
      <c r="AQ354" s="1147"/>
      <c r="AR354" s="1147"/>
      <c r="AS354" s="1147"/>
      <c r="AT354" s="1147"/>
      <c r="AU354" s="1147"/>
      <c r="AV354" s="1147"/>
      <c r="AW354" s="1147"/>
      <c r="AX354" s="1147"/>
      <c r="AY354" s="1147"/>
      <c r="AZ354" s="1147"/>
      <c r="BA354" s="1147"/>
      <c r="BB354" s="1147"/>
      <c r="BC354" s="1147"/>
      <c r="BD354" s="1147"/>
      <c r="BE354" s="1147"/>
      <c r="BF354" s="1147"/>
      <c r="BG354" s="1147"/>
      <c r="BH354" s="1147"/>
      <c r="BI354" s="1147"/>
      <c r="BJ354" s="1147"/>
      <c r="BK354" s="1147"/>
      <c r="BL354" s="1147"/>
      <c r="BM354" s="1147"/>
      <c r="BN354" s="1147"/>
      <c r="BO354" s="1147"/>
      <c r="BP354" s="1147"/>
      <c r="BQ354" s="1147"/>
      <c r="BR354" s="1147"/>
      <c r="BS354" s="1147"/>
      <c r="BT354" s="1147"/>
      <c r="BU354" s="1147"/>
      <c r="BV354" s="1147"/>
      <c r="BW354" s="1147"/>
      <c r="BX354" s="1147"/>
      <c r="BY354" s="1147"/>
      <c r="BZ354" s="1147"/>
      <c r="CA354" s="1147"/>
      <c r="CB354" s="1147"/>
      <c r="CC354" s="1147"/>
      <c r="CD354" s="1147"/>
      <c r="CE354" s="1147"/>
      <c r="CF354" s="1147"/>
      <c r="CG354" s="1147"/>
      <c r="CH354" s="1147"/>
      <c r="CI354" s="1147"/>
      <c r="CJ354" s="1147"/>
      <c r="CK354" s="1146"/>
    </row>
    <row r="355" spans="1:89" ht="15" x14ac:dyDescent="0.25">
      <c r="A355" s="1146"/>
      <c r="B355" s="1146"/>
      <c r="C355" s="1146"/>
      <c r="D355" s="1146"/>
      <c r="E355" s="1146"/>
      <c r="F355" s="1146"/>
      <c r="G355" s="1146"/>
      <c r="H355" s="1146"/>
      <c r="I355" s="1146"/>
      <c r="J355" s="1146"/>
      <c r="K355" s="1146"/>
      <c r="L355" s="1146"/>
      <c r="M355" s="1146"/>
      <c r="N355" s="1146"/>
      <c r="O355" s="1146"/>
      <c r="P355" s="1146"/>
      <c r="Q355" s="1146"/>
      <c r="R355" s="1146"/>
      <c r="S355" s="1146"/>
      <c r="T355" s="1147"/>
      <c r="U355" s="1147"/>
      <c r="V355" s="1147"/>
      <c r="W355" s="1147"/>
      <c r="X355" s="1147"/>
      <c r="Y355" s="1147"/>
      <c r="Z355" s="1147"/>
      <c r="AA355" s="1147"/>
      <c r="AB355" s="1147"/>
      <c r="AC355" s="1147"/>
      <c r="AD355" s="1147"/>
      <c r="AE355" s="1147"/>
      <c r="AF355" s="1147"/>
      <c r="AG355" s="1147"/>
      <c r="AH355" s="1147"/>
      <c r="AI355" s="1147"/>
      <c r="AJ355" s="1147"/>
      <c r="AK355" s="1147"/>
      <c r="AL355" s="1147"/>
      <c r="AM355" s="1147"/>
      <c r="AN355" s="1147"/>
      <c r="AO355" s="1147"/>
      <c r="AP355" s="1147"/>
      <c r="AQ355" s="1147"/>
      <c r="AR355" s="1147"/>
      <c r="AS355" s="1147"/>
      <c r="AT355" s="1147"/>
      <c r="AU355" s="1147"/>
      <c r="AV355" s="1147"/>
      <c r="AW355" s="1147"/>
      <c r="AX355" s="1147"/>
      <c r="AY355" s="1147"/>
      <c r="AZ355" s="1147"/>
      <c r="BA355" s="1147"/>
      <c r="BB355" s="1147"/>
      <c r="BC355" s="1147"/>
      <c r="BD355" s="1147"/>
      <c r="BE355" s="1147"/>
      <c r="BF355" s="1147"/>
      <c r="BG355" s="1147"/>
      <c r="BH355" s="1147"/>
      <c r="BI355" s="1147"/>
      <c r="BJ355" s="1147"/>
      <c r="BK355" s="1147"/>
      <c r="BL355" s="1147"/>
      <c r="BM355" s="1147"/>
      <c r="BN355" s="1147"/>
      <c r="BO355" s="1147"/>
      <c r="BP355" s="1147"/>
      <c r="BQ355" s="1147"/>
      <c r="BR355" s="1147"/>
      <c r="BS355" s="1147"/>
      <c r="BT355" s="1147"/>
      <c r="BU355" s="1147"/>
      <c r="BV355" s="1147"/>
      <c r="BW355" s="1147"/>
      <c r="BX355" s="1147"/>
      <c r="BY355" s="1147"/>
      <c r="BZ355" s="1147"/>
      <c r="CA355" s="1147"/>
      <c r="CB355" s="1147"/>
      <c r="CC355" s="1147"/>
      <c r="CD355" s="1147"/>
      <c r="CE355" s="1147"/>
      <c r="CF355" s="1147"/>
      <c r="CG355" s="1147"/>
      <c r="CH355" s="1147"/>
      <c r="CI355" s="1147"/>
      <c r="CJ355" s="1147"/>
      <c r="CK355" s="1146"/>
    </row>
    <row r="356" spans="1:89" ht="15" x14ac:dyDescent="0.25">
      <c r="A356" s="1146"/>
      <c r="B356" s="1146"/>
      <c r="C356" s="1146"/>
      <c r="D356" s="1146"/>
      <c r="E356" s="1146"/>
      <c r="F356" s="1146"/>
      <c r="G356" s="1146"/>
      <c r="H356" s="1146"/>
      <c r="I356" s="1146"/>
      <c r="J356" s="1146"/>
      <c r="K356" s="1146"/>
      <c r="L356" s="1146"/>
      <c r="M356" s="1146"/>
      <c r="N356" s="1146"/>
      <c r="O356" s="1146"/>
      <c r="P356" s="1146"/>
      <c r="Q356" s="1146"/>
      <c r="R356" s="1146"/>
      <c r="S356" s="1146"/>
      <c r="T356" s="1147"/>
      <c r="U356" s="1147"/>
      <c r="V356" s="1147"/>
      <c r="W356" s="1147"/>
      <c r="X356" s="1147"/>
      <c r="Y356" s="1147"/>
      <c r="Z356" s="1147"/>
      <c r="AA356" s="1147"/>
      <c r="AB356" s="1147"/>
      <c r="AC356" s="1147"/>
      <c r="AD356" s="1147"/>
      <c r="AE356" s="1147"/>
      <c r="AF356" s="1147"/>
      <c r="AG356" s="1147"/>
      <c r="AH356" s="1147"/>
      <c r="AI356" s="1147"/>
      <c r="AJ356" s="1147"/>
      <c r="AK356" s="1147"/>
      <c r="AL356" s="1147"/>
      <c r="AM356" s="1147"/>
      <c r="AN356" s="1147"/>
      <c r="AO356" s="1147"/>
      <c r="AP356" s="1147"/>
      <c r="AQ356" s="1147"/>
      <c r="AR356" s="1147"/>
      <c r="AS356" s="1147"/>
      <c r="AT356" s="1147"/>
      <c r="AU356" s="1147"/>
      <c r="AV356" s="1147"/>
      <c r="AW356" s="1147"/>
      <c r="AX356" s="1147"/>
      <c r="AY356" s="1147"/>
      <c r="AZ356" s="1147"/>
      <c r="BA356" s="1147"/>
      <c r="BB356" s="1147"/>
      <c r="BC356" s="1147"/>
      <c r="BD356" s="1147"/>
      <c r="BE356" s="1147"/>
      <c r="BF356" s="1147"/>
      <c r="BG356" s="1147"/>
      <c r="BH356" s="1147"/>
      <c r="BI356" s="1147"/>
      <c r="BJ356" s="1147"/>
      <c r="BK356" s="1147"/>
      <c r="BL356" s="1147"/>
      <c r="BM356" s="1147"/>
      <c r="BN356" s="1147"/>
      <c r="BO356" s="1147"/>
      <c r="BP356" s="1147"/>
      <c r="BQ356" s="1147"/>
      <c r="BR356" s="1147"/>
      <c r="BS356" s="1147"/>
      <c r="BT356" s="1147"/>
      <c r="BU356" s="1147"/>
      <c r="BV356" s="1147"/>
      <c r="BW356" s="1147"/>
      <c r="BX356" s="1147"/>
      <c r="BY356" s="1147"/>
      <c r="BZ356" s="1147"/>
      <c r="CA356" s="1147"/>
      <c r="CB356" s="1147"/>
      <c r="CC356" s="1147"/>
      <c r="CD356" s="1147"/>
      <c r="CE356" s="1147"/>
      <c r="CF356" s="1147"/>
      <c r="CG356" s="1147"/>
      <c r="CH356" s="1147"/>
      <c r="CI356" s="1147"/>
      <c r="CJ356" s="1147"/>
      <c r="CK356" s="1146"/>
    </row>
    <row r="357" spans="1:89" ht="15" x14ac:dyDescent="0.25">
      <c r="A357" s="1146"/>
      <c r="B357" s="1146"/>
      <c r="C357" s="1146"/>
      <c r="D357" s="1146"/>
      <c r="E357" s="1146"/>
      <c r="F357" s="1146"/>
      <c r="G357" s="1146"/>
      <c r="H357" s="1146"/>
      <c r="I357" s="1146"/>
      <c r="J357" s="1146"/>
      <c r="K357" s="1146"/>
      <c r="L357" s="1146"/>
      <c r="M357" s="1146"/>
      <c r="N357" s="1146"/>
      <c r="O357" s="1146"/>
      <c r="P357" s="1146"/>
      <c r="Q357" s="1146"/>
      <c r="R357" s="1146"/>
      <c r="S357" s="1146"/>
      <c r="T357" s="1147"/>
      <c r="U357" s="1147"/>
      <c r="V357" s="1147"/>
      <c r="W357" s="1147"/>
      <c r="X357" s="1147"/>
      <c r="Y357" s="1147"/>
      <c r="Z357" s="1147"/>
      <c r="AA357" s="1147"/>
      <c r="AB357" s="1147"/>
      <c r="AC357" s="1147"/>
      <c r="AD357" s="1147"/>
      <c r="AE357" s="1147"/>
      <c r="AF357" s="1147"/>
      <c r="AG357" s="1147"/>
      <c r="AH357" s="1147"/>
      <c r="AI357" s="1147"/>
      <c r="AJ357" s="1147"/>
      <c r="AK357" s="1147"/>
      <c r="AL357" s="1147"/>
      <c r="AM357" s="1147"/>
      <c r="AN357" s="1147"/>
      <c r="AO357" s="1147"/>
      <c r="AP357" s="1147"/>
      <c r="AQ357" s="1147"/>
      <c r="AR357" s="1147"/>
      <c r="AS357" s="1147"/>
      <c r="AT357" s="1147"/>
      <c r="AU357" s="1147"/>
      <c r="AV357" s="1147"/>
      <c r="AW357" s="1147"/>
      <c r="AX357" s="1147"/>
      <c r="AY357" s="1147"/>
      <c r="AZ357" s="1147"/>
      <c r="BA357" s="1147"/>
      <c r="BB357" s="1147"/>
      <c r="BC357" s="1147"/>
      <c r="BD357" s="1147"/>
      <c r="BE357" s="1147"/>
      <c r="BF357" s="1147"/>
      <c r="BG357" s="1147"/>
      <c r="BH357" s="1147"/>
      <c r="BI357" s="1147"/>
      <c r="BJ357" s="1147"/>
      <c r="BK357" s="1147"/>
      <c r="BL357" s="1147"/>
      <c r="BM357" s="1147"/>
      <c r="BN357" s="1147"/>
      <c r="BO357" s="1147"/>
      <c r="BP357" s="1147"/>
      <c r="BQ357" s="1147"/>
      <c r="BR357" s="1147"/>
      <c r="BS357" s="1147"/>
      <c r="BT357" s="1147"/>
      <c r="BU357" s="1147"/>
      <c r="BV357" s="1147"/>
      <c r="BW357" s="1147"/>
      <c r="BX357" s="1147"/>
      <c r="BY357" s="1147"/>
      <c r="BZ357" s="1147"/>
      <c r="CA357" s="1147"/>
      <c r="CB357" s="1147"/>
      <c r="CC357" s="1147"/>
      <c r="CD357" s="1147"/>
      <c r="CE357" s="1147"/>
      <c r="CF357" s="1147"/>
      <c r="CG357" s="1147"/>
      <c r="CH357" s="1147"/>
      <c r="CI357" s="1147"/>
      <c r="CJ357" s="1147"/>
      <c r="CK357" s="1146"/>
    </row>
    <row r="358" spans="1:89" ht="15" x14ac:dyDescent="0.25">
      <c r="A358" s="1146"/>
      <c r="B358" s="1146"/>
      <c r="C358" s="1146"/>
      <c r="D358" s="1146"/>
      <c r="E358" s="1146"/>
      <c r="F358" s="1146"/>
      <c r="G358" s="1146"/>
      <c r="H358" s="1146"/>
      <c r="I358" s="1146"/>
      <c r="J358" s="1146"/>
      <c r="K358" s="1146"/>
      <c r="L358" s="1146"/>
      <c r="M358" s="1146"/>
      <c r="N358" s="1146"/>
      <c r="O358" s="1146"/>
      <c r="P358" s="1146"/>
      <c r="Q358" s="1146"/>
      <c r="R358" s="1146"/>
      <c r="S358" s="1146"/>
      <c r="T358" s="1147"/>
      <c r="U358" s="1147"/>
      <c r="V358" s="1147"/>
      <c r="W358" s="1147"/>
      <c r="X358" s="1147"/>
      <c r="Y358" s="1147"/>
      <c r="Z358" s="1147"/>
      <c r="AA358" s="1147"/>
      <c r="AB358" s="1147"/>
      <c r="AC358" s="1147"/>
      <c r="AD358" s="1147"/>
      <c r="AE358" s="1147"/>
      <c r="AF358" s="1147"/>
      <c r="AG358" s="1147"/>
      <c r="AH358" s="1147"/>
      <c r="AI358" s="1147"/>
      <c r="AJ358" s="1147"/>
      <c r="AK358" s="1147"/>
      <c r="AL358" s="1147"/>
      <c r="AM358" s="1147"/>
      <c r="AN358" s="1147"/>
      <c r="AO358" s="1147"/>
      <c r="AP358" s="1147"/>
      <c r="AQ358" s="1147"/>
      <c r="AR358" s="1147"/>
      <c r="AS358" s="1147"/>
      <c r="AT358" s="1147"/>
      <c r="AU358" s="1147"/>
      <c r="AV358" s="1147"/>
      <c r="AW358" s="1147"/>
      <c r="AX358" s="1147"/>
      <c r="AY358" s="1147"/>
      <c r="AZ358" s="1147"/>
      <c r="BA358" s="1147"/>
      <c r="BB358" s="1147"/>
      <c r="BC358" s="1147"/>
      <c r="BD358" s="1147"/>
      <c r="BE358" s="1147"/>
      <c r="BF358" s="1147"/>
      <c r="BG358" s="1147"/>
      <c r="BH358" s="1147"/>
      <c r="BI358" s="1147"/>
      <c r="BJ358" s="1147"/>
      <c r="BK358" s="1147"/>
      <c r="BL358" s="1147"/>
      <c r="BM358" s="1147"/>
      <c r="BN358" s="1147"/>
      <c r="BO358" s="1147"/>
      <c r="BP358" s="1147"/>
      <c r="BQ358" s="1147"/>
      <c r="BR358" s="1147"/>
      <c r="BS358" s="1147"/>
      <c r="BT358" s="1147"/>
      <c r="BU358" s="1147"/>
      <c r="BV358" s="1147"/>
      <c r="BW358" s="1147"/>
      <c r="BX358" s="1147"/>
      <c r="BY358" s="1147"/>
      <c r="BZ358" s="1147"/>
      <c r="CA358" s="1147"/>
      <c r="CB358" s="1147"/>
      <c r="CC358" s="1147"/>
      <c r="CD358" s="1147"/>
      <c r="CE358" s="1147"/>
      <c r="CF358" s="1147"/>
      <c r="CG358" s="1147"/>
      <c r="CH358" s="1147"/>
      <c r="CI358" s="1147"/>
      <c r="CJ358" s="1147"/>
      <c r="CK358" s="1146"/>
    </row>
    <row r="359" spans="1:89" ht="15" x14ac:dyDescent="0.25">
      <c r="A359" s="1146"/>
      <c r="B359" s="1146"/>
      <c r="C359" s="1146"/>
      <c r="D359" s="1146"/>
      <c r="E359" s="1146"/>
      <c r="F359" s="1146"/>
      <c r="G359" s="1146"/>
      <c r="H359" s="1146"/>
      <c r="I359" s="1146"/>
      <c r="J359" s="1146"/>
      <c r="K359" s="1146"/>
      <c r="L359" s="1146"/>
      <c r="M359" s="1146"/>
      <c r="N359" s="1146"/>
      <c r="O359" s="1146"/>
      <c r="P359" s="1146"/>
      <c r="Q359" s="1146"/>
      <c r="R359" s="1146"/>
      <c r="S359" s="1146"/>
      <c r="T359" s="1147"/>
      <c r="U359" s="1147"/>
      <c r="V359" s="1147"/>
      <c r="W359" s="1147"/>
      <c r="X359" s="1147"/>
      <c r="Y359" s="1147"/>
      <c r="Z359" s="1147"/>
      <c r="AA359" s="1147"/>
      <c r="AB359" s="1147"/>
      <c r="AC359" s="1147"/>
      <c r="AD359" s="1147"/>
      <c r="AE359" s="1147"/>
      <c r="AF359" s="1147"/>
      <c r="AG359" s="1147"/>
      <c r="AH359" s="1147"/>
      <c r="AI359" s="1147"/>
      <c r="AJ359" s="1147"/>
      <c r="AK359" s="1147"/>
      <c r="AL359" s="1147"/>
      <c r="AM359" s="1147"/>
      <c r="AN359" s="1147"/>
      <c r="AO359" s="1147"/>
      <c r="AP359" s="1147"/>
      <c r="AQ359" s="1147"/>
      <c r="AR359" s="1147"/>
      <c r="AS359" s="1147"/>
      <c r="AT359" s="1147"/>
      <c r="AU359" s="1147"/>
      <c r="AV359" s="1147"/>
      <c r="AW359" s="1147"/>
      <c r="AX359" s="1147"/>
      <c r="AY359" s="1147"/>
      <c r="AZ359" s="1147"/>
      <c r="BA359" s="1147"/>
      <c r="BB359" s="1147"/>
      <c r="BC359" s="1147"/>
      <c r="BD359" s="1147"/>
      <c r="BE359" s="1147"/>
      <c r="BF359" s="1147"/>
      <c r="BG359" s="1147"/>
      <c r="BH359" s="1147"/>
      <c r="BI359" s="1147"/>
      <c r="BJ359" s="1147"/>
      <c r="BK359" s="1147"/>
      <c r="BL359" s="1147"/>
      <c r="BM359" s="1147"/>
      <c r="BN359" s="1147"/>
      <c r="BO359" s="1147"/>
      <c r="BP359" s="1147"/>
      <c r="BQ359" s="1147"/>
      <c r="BR359" s="1147"/>
      <c r="BS359" s="1147"/>
      <c r="BT359" s="1147"/>
      <c r="BU359" s="1147"/>
      <c r="BV359" s="1147"/>
      <c r="BW359" s="1147"/>
      <c r="BX359" s="1147"/>
      <c r="BY359" s="1147"/>
      <c r="BZ359" s="1147"/>
      <c r="CA359" s="1147"/>
      <c r="CB359" s="1147"/>
      <c r="CC359" s="1147"/>
      <c r="CD359" s="1147"/>
      <c r="CE359" s="1147"/>
      <c r="CF359" s="1147"/>
      <c r="CG359" s="1147"/>
      <c r="CH359" s="1147"/>
      <c r="CI359" s="1147"/>
      <c r="CJ359" s="1147"/>
      <c r="CK359" s="1146"/>
    </row>
    <row r="360" spans="1:89" ht="15" x14ac:dyDescent="0.25">
      <c r="A360" s="1146"/>
      <c r="B360" s="1146"/>
      <c r="C360" s="1146"/>
      <c r="D360" s="1146"/>
      <c r="E360" s="1146"/>
      <c r="F360" s="1146"/>
      <c r="G360" s="1146"/>
      <c r="H360" s="1146"/>
      <c r="I360" s="1146"/>
      <c r="J360" s="1146"/>
      <c r="K360" s="1146"/>
      <c r="L360" s="1146"/>
      <c r="M360" s="1146"/>
      <c r="N360" s="1146"/>
      <c r="O360" s="1146"/>
      <c r="P360" s="1146"/>
      <c r="Q360" s="1146"/>
      <c r="R360" s="1146"/>
      <c r="S360" s="1146"/>
      <c r="T360" s="1147"/>
      <c r="U360" s="1147"/>
      <c r="V360" s="1147"/>
      <c r="W360" s="1147"/>
      <c r="X360" s="1147"/>
      <c r="Y360" s="1147"/>
      <c r="Z360" s="1147"/>
      <c r="AA360" s="1147"/>
      <c r="AB360" s="1147"/>
      <c r="AC360" s="1147"/>
      <c r="AD360" s="1147"/>
      <c r="AE360" s="1147"/>
      <c r="AF360" s="1147"/>
      <c r="AG360" s="1147"/>
      <c r="AH360" s="1147"/>
      <c r="AI360" s="1147"/>
      <c r="AJ360" s="1147"/>
      <c r="AK360" s="1147"/>
      <c r="AL360" s="1147"/>
      <c r="AM360" s="1147"/>
      <c r="AN360" s="1147"/>
      <c r="AO360" s="1147"/>
      <c r="AP360" s="1147"/>
      <c r="AQ360" s="1147"/>
      <c r="AR360" s="1147"/>
      <c r="AS360" s="1147"/>
      <c r="AT360" s="1147"/>
      <c r="AU360" s="1147"/>
      <c r="AV360" s="1147"/>
      <c r="AW360" s="1147"/>
      <c r="AX360" s="1147"/>
      <c r="AY360" s="1147"/>
      <c r="AZ360" s="1147"/>
      <c r="BA360" s="1147"/>
      <c r="BB360" s="1147"/>
      <c r="BC360" s="1147"/>
      <c r="BD360" s="1147"/>
      <c r="BE360" s="1147"/>
      <c r="BF360" s="1147"/>
      <c r="BG360" s="1147"/>
      <c r="BH360" s="1147"/>
      <c r="BI360" s="1147"/>
      <c r="BJ360" s="1147"/>
      <c r="BK360" s="1147"/>
      <c r="BL360" s="1147"/>
      <c r="BM360" s="1147"/>
      <c r="BN360" s="1147"/>
      <c r="BO360" s="1147"/>
      <c r="BP360" s="1147"/>
      <c r="BQ360" s="1147"/>
      <c r="BR360" s="1147"/>
      <c r="BS360" s="1147"/>
      <c r="BT360" s="1147"/>
      <c r="BU360" s="1147"/>
      <c r="BV360" s="1147"/>
      <c r="BW360" s="1147"/>
      <c r="BX360" s="1147"/>
      <c r="BY360" s="1147"/>
      <c r="BZ360" s="1147"/>
      <c r="CA360" s="1147"/>
      <c r="CB360" s="1147"/>
      <c r="CC360" s="1147"/>
      <c r="CD360" s="1147"/>
      <c r="CE360" s="1147"/>
      <c r="CF360" s="1147"/>
      <c r="CG360" s="1147"/>
      <c r="CH360" s="1147"/>
      <c r="CI360" s="1147"/>
      <c r="CJ360" s="1147"/>
      <c r="CK360" s="1146"/>
    </row>
    <row r="361" spans="1:89" ht="15" x14ac:dyDescent="0.25">
      <c r="A361" s="1146"/>
      <c r="B361" s="1146"/>
      <c r="C361" s="1146"/>
      <c r="D361" s="1146"/>
      <c r="E361" s="1146"/>
      <c r="F361" s="1146"/>
      <c r="G361" s="1146"/>
      <c r="H361" s="1146"/>
      <c r="I361" s="1146"/>
      <c r="J361" s="1146"/>
      <c r="K361" s="1146"/>
      <c r="L361" s="1146"/>
      <c r="M361" s="1146"/>
      <c r="N361" s="1146"/>
      <c r="O361" s="1146"/>
      <c r="P361" s="1146"/>
      <c r="Q361" s="1146"/>
      <c r="R361" s="1146"/>
      <c r="S361" s="1146"/>
      <c r="T361" s="1147"/>
      <c r="U361" s="1147"/>
      <c r="V361" s="1147"/>
      <c r="W361" s="1147"/>
      <c r="X361" s="1147"/>
      <c r="Y361" s="1147"/>
      <c r="Z361" s="1147"/>
      <c r="AA361" s="1147"/>
      <c r="AB361" s="1147"/>
      <c r="AC361" s="1147"/>
      <c r="AD361" s="1147"/>
      <c r="AE361" s="1147"/>
      <c r="AF361" s="1147"/>
      <c r="AG361" s="1147"/>
      <c r="AH361" s="1147"/>
      <c r="AI361" s="1147"/>
      <c r="AJ361" s="1147"/>
      <c r="AK361" s="1147"/>
      <c r="AL361" s="1147"/>
      <c r="AM361" s="1147"/>
      <c r="AN361" s="1147"/>
      <c r="AO361" s="1147"/>
      <c r="AP361" s="1147"/>
      <c r="AQ361" s="1147"/>
      <c r="AR361" s="1147"/>
      <c r="AS361" s="1147"/>
      <c r="AT361" s="1147"/>
      <c r="AU361" s="1147"/>
      <c r="AV361" s="1147"/>
      <c r="AW361" s="1147"/>
      <c r="AX361" s="1147"/>
      <c r="AY361" s="1147"/>
      <c r="AZ361" s="1147"/>
      <c r="BA361" s="1147"/>
      <c r="BB361" s="1147"/>
      <c r="BC361" s="1147"/>
      <c r="BD361" s="1147"/>
      <c r="BE361" s="1147"/>
      <c r="BF361" s="1147"/>
      <c r="BG361" s="1147"/>
      <c r="BH361" s="1147"/>
      <c r="BI361" s="1147"/>
      <c r="BJ361" s="1147"/>
      <c r="BK361" s="1147"/>
      <c r="BL361" s="1147"/>
      <c r="BM361" s="1147"/>
      <c r="BN361" s="1147"/>
      <c r="BO361" s="1147"/>
      <c r="BP361" s="1147"/>
      <c r="BQ361" s="1147"/>
      <c r="BR361" s="1147"/>
      <c r="BS361" s="1147"/>
      <c r="BT361" s="1147"/>
      <c r="BU361" s="1147"/>
      <c r="BV361" s="1147"/>
      <c r="BW361" s="1147"/>
      <c r="BX361" s="1147"/>
      <c r="BY361" s="1147"/>
      <c r="BZ361" s="1147"/>
      <c r="CA361" s="1147"/>
      <c r="CB361" s="1147"/>
      <c r="CC361" s="1147"/>
      <c r="CD361" s="1147"/>
      <c r="CE361" s="1147"/>
      <c r="CF361" s="1147"/>
      <c r="CG361" s="1147"/>
      <c r="CH361" s="1147"/>
      <c r="CI361" s="1147"/>
      <c r="CJ361" s="1147"/>
      <c r="CK361" s="1146"/>
    </row>
    <row r="362" spans="1:89" ht="15" x14ac:dyDescent="0.25">
      <c r="A362" s="1146"/>
      <c r="B362" s="1146"/>
      <c r="C362" s="1146"/>
      <c r="D362" s="1146"/>
      <c r="E362" s="1146"/>
      <c r="F362" s="1146"/>
      <c r="G362" s="1146"/>
      <c r="H362" s="1146"/>
      <c r="I362" s="1146"/>
      <c r="J362" s="1146"/>
      <c r="K362" s="1146"/>
      <c r="L362" s="1146"/>
      <c r="M362" s="1146"/>
      <c r="N362" s="1146"/>
      <c r="O362" s="1146"/>
      <c r="P362" s="1146"/>
      <c r="Q362" s="1146"/>
      <c r="R362" s="1146"/>
      <c r="S362" s="1146"/>
      <c r="T362" s="1147"/>
      <c r="U362" s="1147"/>
      <c r="V362" s="1147"/>
      <c r="W362" s="1147"/>
      <c r="X362" s="1147"/>
      <c r="Y362" s="1147"/>
      <c r="Z362" s="1147"/>
      <c r="AA362" s="1147"/>
      <c r="AB362" s="1147"/>
      <c r="AC362" s="1147"/>
      <c r="AD362" s="1147"/>
      <c r="AE362" s="1147"/>
      <c r="AF362" s="1147"/>
      <c r="AG362" s="1147"/>
      <c r="AH362" s="1147"/>
      <c r="AI362" s="1147"/>
      <c r="AJ362" s="1147"/>
      <c r="AK362" s="1147"/>
      <c r="AL362" s="1147"/>
      <c r="AM362" s="1147"/>
      <c r="AN362" s="1147"/>
      <c r="AO362" s="1147"/>
      <c r="AP362" s="1147"/>
      <c r="AQ362" s="1147"/>
      <c r="AR362" s="1147"/>
      <c r="AS362" s="1147"/>
      <c r="AT362" s="1147"/>
      <c r="AU362" s="1147"/>
      <c r="AV362" s="1147"/>
      <c r="AW362" s="1147"/>
      <c r="AX362" s="1147"/>
      <c r="AY362" s="1147"/>
      <c r="AZ362" s="1147"/>
      <c r="BA362" s="1147"/>
      <c r="BB362" s="1147"/>
      <c r="BC362" s="1147"/>
      <c r="BD362" s="1147"/>
      <c r="BE362" s="1147"/>
      <c r="BF362" s="1147"/>
      <c r="BG362" s="1147"/>
      <c r="BH362" s="1147"/>
      <c r="BI362" s="1147"/>
      <c r="BJ362" s="1147"/>
      <c r="BK362" s="1147"/>
      <c r="BL362" s="1147"/>
      <c r="BM362" s="1147"/>
      <c r="BN362" s="1147"/>
      <c r="BO362" s="1147"/>
      <c r="BP362" s="1147"/>
      <c r="BQ362" s="1147"/>
      <c r="BR362" s="1147"/>
      <c r="BS362" s="1147"/>
      <c r="BT362" s="1147"/>
      <c r="BU362" s="1147"/>
      <c r="BV362" s="1147"/>
      <c r="BW362" s="1147"/>
      <c r="BX362" s="1147"/>
      <c r="BY362" s="1147"/>
      <c r="BZ362" s="1147"/>
      <c r="CA362" s="1147"/>
      <c r="CB362" s="1147"/>
      <c r="CC362" s="1147"/>
      <c r="CD362" s="1147"/>
      <c r="CE362" s="1147"/>
      <c r="CF362" s="1147"/>
      <c r="CG362" s="1147"/>
      <c r="CH362" s="1147"/>
      <c r="CI362" s="1147"/>
      <c r="CJ362" s="1147"/>
      <c r="CK362" s="1146"/>
    </row>
    <row r="363" spans="1:89" ht="15" x14ac:dyDescent="0.25">
      <c r="A363" s="1146"/>
      <c r="B363" s="1146"/>
      <c r="C363" s="1146"/>
      <c r="D363" s="1146"/>
      <c r="E363" s="1146"/>
      <c r="F363" s="1146"/>
      <c r="G363" s="1146"/>
      <c r="H363" s="1146"/>
      <c r="I363" s="1146"/>
      <c r="J363" s="1146"/>
      <c r="K363" s="1146"/>
      <c r="L363" s="1146"/>
      <c r="M363" s="1146"/>
      <c r="N363" s="1146"/>
      <c r="O363" s="1146"/>
      <c r="P363" s="1146"/>
      <c r="Q363" s="1146"/>
      <c r="R363" s="1146"/>
      <c r="S363" s="1146"/>
      <c r="T363" s="1147"/>
      <c r="U363" s="1147"/>
      <c r="V363" s="1147"/>
      <c r="W363" s="1147"/>
      <c r="X363" s="1147"/>
      <c r="Y363" s="1147"/>
      <c r="Z363" s="1147"/>
      <c r="AA363" s="1147"/>
      <c r="AB363" s="1147"/>
      <c r="AC363" s="1147"/>
      <c r="AD363" s="1147"/>
      <c r="AE363" s="1147"/>
      <c r="AF363" s="1147"/>
      <c r="AG363" s="1147"/>
      <c r="AH363" s="1147"/>
      <c r="AI363" s="1147"/>
      <c r="AJ363" s="1147"/>
      <c r="AK363" s="1147"/>
      <c r="AL363" s="1147"/>
      <c r="AM363" s="1147"/>
      <c r="AN363" s="1147"/>
      <c r="AO363" s="1147"/>
      <c r="AP363" s="1147"/>
      <c r="AQ363" s="1147"/>
      <c r="AR363" s="1147"/>
      <c r="AS363" s="1147"/>
      <c r="AT363" s="1147"/>
      <c r="AU363" s="1147"/>
      <c r="AV363" s="1147"/>
      <c r="AW363" s="1147"/>
      <c r="AX363" s="1147"/>
      <c r="AY363" s="1147"/>
      <c r="AZ363" s="1147"/>
      <c r="BA363" s="1147"/>
      <c r="BB363" s="1147"/>
      <c r="BC363" s="1147"/>
      <c r="BD363" s="1147"/>
      <c r="BE363" s="1147"/>
      <c r="BF363" s="1147"/>
      <c r="BG363" s="1147"/>
      <c r="BH363" s="1147"/>
      <c r="BI363" s="1147"/>
      <c r="BJ363" s="1147"/>
      <c r="BK363" s="1147"/>
      <c r="BL363" s="1147"/>
      <c r="BM363" s="1147"/>
      <c r="BN363" s="1147"/>
      <c r="BO363" s="1147"/>
      <c r="BP363" s="1147"/>
      <c r="BQ363" s="1147"/>
      <c r="BR363" s="1147"/>
      <c r="BS363" s="1147"/>
      <c r="BT363" s="1147"/>
      <c r="BU363" s="1147"/>
      <c r="BV363" s="1147"/>
      <c r="BW363" s="1147"/>
      <c r="BX363" s="1147"/>
      <c r="BY363" s="1147"/>
      <c r="BZ363" s="1147"/>
      <c r="CA363" s="1147"/>
      <c r="CB363" s="1147"/>
      <c r="CC363" s="1147"/>
      <c r="CD363" s="1147"/>
      <c r="CE363" s="1147"/>
      <c r="CF363" s="1147"/>
      <c r="CG363" s="1147"/>
      <c r="CH363" s="1147"/>
      <c r="CI363" s="1147"/>
      <c r="CJ363" s="1147"/>
      <c r="CK363" s="1146"/>
    </row>
    <row r="364" spans="1:89" ht="15" x14ac:dyDescent="0.25">
      <c r="A364" s="1146"/>
      <c r="B364" s="1146"/>
      <c r="C364" s="1146"/>
      <c r="D364" s="1146"/>
      <c r="E364" s="1146"/>
      <c r="F364" s="1146"/>
      <c r="G364" s="1146"/>
      <c r="H364" s="1146"/>
      <c r="I364" s="1146"/>
      <c r="J364" s="1146"/>
      <c r="K364" s="1146"/>
      <c r="L364" s="1146"/>
      <c r="M364" s="1146"/>
      <c r="N364" s="1146"/>
      <c r="O364" s="1146"/>
      <c r="P364" s="1146"/>
      <c r="Q364" s="1146"/>
      <c r="R364" s="1146"/>
      <c r="S364" s="1146"/>
      <c r="T364" s="1147"/>
      <c r="U364" s="1147"/>
      <c r="V364" s="1147"/>
      <c r="W364" s="1147"/>
      <c r="X364" s="1147"/>
      <c r="Y364" s="1147"/>
      <c r="Z364" s="1147"/>
      <c r="AA364" s="1147"/>
      <c r="AB364" s="1147"/>
      <c r="AC364" s="1147"/>
      <c r="AD364" s="1147"/>
      <c r="AE364" s="1147"/>
      <c r="AF364" s="1147"/>
      <c r="AG364" s="1147"/>
      <c r="AH364" s="1147"/>
      <c r="AI364" s="1147"/>
      <c r="AJ364" s="1147"/>
      <c r="AK364" s="1147"/>
      <c r="AL364" s="1147"/>
      <c r="AM364" s="1147"/>
      <c r="AN364" s="1147"/>
      <c r="AO364" s="1147"/>
      <c r="AP364" s="1147"/>
      <c r="AQ364" s="1147"/>
      <c r="AR364" s="1147"/>
      <c r="AS364" s="1147"/>
      <c r="AT364" s="1147"/>
      <c r="AU364" s="1147"/>
      <c r="AV364" s="1147"/>
      <c r="AW364" s="1147"/>
      <c r="AX364" s="1147"/>
      <c r="AY364" s="1147"/>
      <c r="AZ364" s="1147"/>
      <c r="BA364" s="1147"/>
      <c r="BB364" s="1147"/>
      <c r="BC364" s="1147"/>
      <c r="BD364" s="1147"/>
      <c r="BE364" s="1147"/>
      <c r="BF364" s="1147"/>
      <c r="BG364" s="1147"/>
      <c r="BH364" s="1147"/>
      <c r="BI364" s="1147"/>
      <c r="BJ364" s="1147"/>
      <c r="BK364" s="1147"/>
      <c r="BL364" s="1147"/>
      <c r="BM364" s="1147"/>
      <c r="BN364" s="1147"/>
      <c r="BO364" s="1147"/>
      <c r="BP364" s="1147"/>
      <c r="BQ364" s="1147"/>
      <c r="BR364" s="1147"/>
      <c r="BS364" s="1147"/>
      <c r="BT364" s="1147"/>
      <c r="BU364" s="1147"/>
      <c r="BV364" s="1147"/>
      <c r="BW364" s="1147"/>
      <c r="BX364" s="1147"/>
      <c r="BY364" s="1147"/>
      <c r="BZ364" s="1147"/>
      <c r="CA364" s="1147"/>
      <c r="CB364" s="1147"/>
      <c r="CC364" s="1147"/>
      <c r="CD364" s="1147"/>
      <c r="CE364" s="1147"/>
      <c r="CF364" s="1147"/>
      <c r="CG364" s="1147"/>
      <c r="CH364" s="1147"/>
      <c r="CI364" s="1147"/>
      <c r="CJ364" s="1147"/>
      <c r="CK364" s="1146"/>
    </row>
    <row r="365" spans="1:89" ht="15" x14ac:dyDescent="0.25">
      <c r="A365" s="1146"/>
      <c r="B365" s="1146"/>
      <c r="C365" s="1146"/>
      <c r="D365" s="1146"/>
      <c r="E365" s="1146"/>
      <c r="F365" s="1146"/>
      <c r="G365" s="1146"/>
      <c r="H365" s="1146"/>
      <c r="I365" s="1146"/>
      <c r="J365" s="1146"/>
      <c r="K365" s="1146"/>
      <c r="L365" s="1146"/>
      <c r="M365" s="1146"/>
      <c r="N365" s="1146"/>
      <c r="O365" s="1146"/>
      <c r="P365" s="1146"/>
      <c r="Q365" s="1146"/>
      <c r="R365" s="1146"/>
      <c r="S365" s="1146"/>
      <c r="T365" s="1147"/>
      <c r="U365" s="1147"/>
      <c r="V365" s="1147"/>
      <c r="W365" s="1147"/>
      <c r="X365" s="1147"/>
      <c r="Y365" s="1147"/>
      <c r="Z365" s="1147"/>
      <c r="AA365" s="1147"/>
      <c r="AB365" s="1147"/>
      <c r="AC365" s="1147"/>
      <c r="AD365" s="1147"/>
      <c r="AE365" s="1147"/>
      <c r="AF365" s="1147"/>
      <c r="AG365" s="1147"/>
      <c r="AH365" s="1147"/>
      <c r="AI365" s="1147"/>
      <c r="AJ365" s="1147"/>
      <c r="AK365" s="1147"/>
      <c r="AL365" s="1147"/>
      <c r="AM365" s="1147"/>
      <c r="AN365" s="1147"/>
      <c r="AO365" s="1147"/>
      <c r="AP365" s="1147"/>
      <c r="AQ365" s="1147"/>
      <c r="AR365" s="1147"/>
      <c r="AS365" s="1147"/>
      <c r="AT365" s="1147"/>
      <c r="AU365" s="1147"/>
      <c r="AV365" s="1147"/>
      <c r="AW365" s="1147"/>
      <c r="AX365" s="1147"/>
      <c r="AY365" s="1147"/>
      <c r="AZ365" s="1147"/>
      <c r="BA365" s="1147"/>
      <c r="BB365" s="1147"/>
      <c r="BC365" s="1147"/>
      <c r="BD365" s="1147"/>
      <c r="BE365" s="1147"/>
      <c r="BF365" s="1147"/>
      <c r="BG365" s="1147"/>
      <c r="BH365" s="1147"/>
      <c r="BI365" s="1147"/>
      <c r="BJ365" s="1147"/>
      <c r="BK365" s="1147"/>
      <c r="BL365" s="1147"/>
      <c r="BM365" s="1147"/>
      <c r="BN365" s="1147"/>
      <c r="BO365" s="1147"/>
      <c r="BP365" s="1147"/>
      <c r="BQ365" s="1147"/>
      <c r="BR365" s="1147"/>
      <c r="BS365" s="1147"/>
      <c r="BT365" s="1147"/>
      <c r="BU365" s="1147"/>
      <c r="BV365" s="1147"/>
      <c r="BW365" s="1147"/>
      <c r="BX365" s="1147"/>
      <c r="BY365" s="1147"/>
      <c r="BZ365" s="1147"/>
      <c r="CA365" s="1147"/>
      <c r="CB365" s="1147"/>
      <c r="CC365" s="1147"/>
      <c r="CD365" s="1147"/>
      <c r="CE365" s="1147"/>
      <c r="CF365" s="1147"/>
      <c r="CG365" s="1147"/>
      <c r="CH365" s="1147"/>
      <c r="CI365" s="1147"/>
      <c r="CJ365" s="1147"/>
      <c r="CK365" s="1146"/>
    </row>
    <row r="366" spans="1:89" ht="15" x14ac:dyDescent="0.25">
      <c r="A366" s="1146"/>
      <c r="B366" s="1146"/>
      <c r="C366" s="1146"/>
      <c r="D366" s="1146"/>
      <c r="E366" s="1146"/>
      <c r="F366" s="1146"/>
      <c r="G366" s="1146"/>
      <c r="H366" s="1146"/>
      <c r="I366" s="1146"/>
      <c r="J366" s="1146"/>
      <c r="K366" s="1146"/>
      <c r="L366" s="1146"/>
      <c r="M366" s="1146"/>
      <c r="N366" s="1146"/>
      <c r="O366" s="1146"/>
      <c r="P366" s="1146"/>
      <c r="Q366" s="1146"/>
      <c r="R366" s="1146"/>
      <c r="S366" s="1146"/>
      <c r="T366" s="1147"/>
      <c r="U366" s="1147"/>
      <c r="V366" s="1147"/>
      <c r="W366" s="1147"/>
      <c r="X366" s="1147"/>
      <c r="Y366" s="1147"/>
      <c r="Z366" s="1147"/>
      <c r="AA366" s="1147"/>
      <c r="AB366" s="1147"/>
      <c r="AC366" s="1147"/>
      <c r="AD366" s="1147"/>
      <c r="AE366" s="1147"/>
      <c r="AF366" s="1147"/>
      <c r="AG366" s="1147"/>
      <c r="AH366" s="1147"/>
      <c r="AI366" s="1147"/>
      <c r="AJ366" s="1147"/>
      <c r="AK366" s="1147"/>
      <c r="AL366" s="1147"/>
      <c r="AM366" s="1147"/>
      <c r="AN366" s="1147"/>
      <c r="AO366" s="1147"/>
      <c r="AP366" s="1147"/>
      <c r="AQ366" s="1147"/>
      <c r="AR366" s="1147"/>
      <c r="AS366" s="1147"/>
      <c r="AT366" s="1147"/>
      <c r="AU366" s="1147"/>
      <c r="AV366" s="1147"/>
      <c r="AW366" s="1147"/>
      <c r="AX366" s="1147"/>
      <c r="AY366" s="1147"/>
      <c r="AZ366" s="1147"/>
      <c r="BA366" s="1147"/>
      <c r="BB366" s="1147"/>
      <c r="BC366" s="1147"/>
      <c r="BD366" s="1147"/>
      <c r="BE366" s="1147"/>
      <c r="BF366" s="1147"/>
      <c r="BG366" s="1147"/>
      <c r="BH366" s="1147"/>
      <c r="BI366" s="1147"/>
      <c r="BJ366" s="1147"/>
      <c r="BK366" s="1147"/>
      <c r="BL366" s="1147"/>
      <c r="BM366" s="1147"/>
      <c r="BN366" s="1147"/>
      <c r="BO366" s="1147"/>
      <c r="BP366" s="1147"/>
      <c r="BQ366" s="1147"/>
      <c r="BR366" s="1147"/>
      <c r="BS366" s="1147"/>
      <c r="BT366" s="1147"/>
      <c r="BU366" s="1147"/>
      <c r="BV366" s="1147"/>
      <c r="BW366" s="1147"/>
      <c r="BX366" s="1147"/>
      <c r="BY366" s="1147"/>
      <c r="BZ366" s="1147"/>
      <c r="CA366" s="1147"/>
      <c r="CB366" s="1147"/>
      <c r="CC366" s="1147"/>
      <c r="CD366" s="1147"/>
      <c r="CE366" s="1147"/>
      <c r="CF366" s="1147"/>
      <c r="CG366" s="1147"/>
      <c r="CH366" s="1147"/>
      <c r="CI366" s="1147"/>
      <c r="CJ366" s="1147"/>
      <c r="CK366" s="1146"/>
    </row>
    <row r="367" spans="1:89" ht="15" x14ac:dyDescent="0.25">
      <c r="A367" s="1146"/>
      <c r="B367" s="1146"/>
      <c r="C367" s="1146"/>
      <c r="D367" s="1146"/>
      <c r="E367" s="1146"/>
      <c r="F367" s="1146"/>
      <c r="G367" s="1146"/>
      <c r="H367" s="1146"/>
      <c r="I367" s="1146"/>
      <c r="J367" s="1146"/>
      <c r="K367" s="1146"/>
      <c r="L367" s="1146"/>
      <c r="M367" s="1146"/>
      <c r="N367" s="1146"/>
      <c r="O367" s="1146"/>
      <c r="P367" s="1146"/>
      <c r="Q367" s="1146"/>
      <c r="R367" s="1146"/>
      <c r="S367" s="1146"/>
      <c r="T367" s="1147"/>
      <c r="U367" s="1147"/>
      <c r="V367" s="1147"/>
      <c r="W367" s="1147"/>
      <c r="X367" s="1147"/>
      <c r="Y367" s="1147"/>
      <c r="Z367" s="1147"/>
      <c r="AA367" s="1147"/>
      <c r="AB367" s="1147"/>
      <c r="AC367" s="1147"/>
      <c r="AD367" s="1147"/>
      <c r="AE367" s="1147"/>
      <c r="AF367" s="1147"/>
      <c r="AG367" s="1147"/>
      <c r="AH367" s="1147"/>
      <c r="AI367" s="1147"/>
      <c r="AJ367" s="1147"/>
      <c r="AK367" s="1147"/>
      <c r="AL367" s="1147"/>
      <c r="AM367" s="1147"/>
      <c r="AN367" s="1147"/>
      <c r="AO367" s="1147"/>
      <c r="AP367" s="1147"/>
      <c r="AQ367" s="1147"/>
      <c r="AR367" s="1147"/>
      <c r="AS367" s="1147"/>
      <c r="AT367" s="1147"/>
      <c r="AU367" s="1147"/>
      <c r="AV367" s="1147"/>
      <c r="AW367" s="1147"/>
      <c r="AX367" s="1147"/>
      <c r="AY367" s="1147"/>
      <c r="AZ367" s="1147"/>
      <c r="BA367" s="1147"/>
      <c r="BB367" s="1147"/>
      <c r="BC367" s="1147"/>
      <c r="BD367" s="1147"/>
      <c r="BE367" s="1147"/>
      <c r="BF367" s="1147"/>
      <c r="BG367" s="1147"/>
      <c r="BH367" s="1147"/>
      <c r="BI367" s="1147"/>
      <c r="BJ367" s="1147"/>
      <c r="BK367" s="1147"/>
      <c r="BL367" s="1147"/>
      <c r="BM367" s="1147"/>
      <c r="BN367" s="1147"/>
      <c r="BO367" s="1147"/>
      <c r="BP367" s="1147"/>
      <c r="BQ367" s="1147"/>
      <c r="BR367" s="1147"/>
      <c r="BS367" s="1147"/>
      <c r="BT367" s="1147"/>
      <c r="BU367" s="1147"/>
      <c r="BV367" s="1147"/>
      <c r="BW367" s="1147"/>
      <c r="BX367" s="1147"/>
      <c r="BY367" s="1147"/>
      <c r="BZ367" s="1147"/>
      <c r="CA367" s="1147"/>
      <c r="CB367" s="1147"/>
      <c r="CC367" s="1147"/>
      <c r="CD367" s="1147"/>
      <c r="CE367" s="1147"/>
      <c r="CF367" s="1147"/>
      <c r="CG367" s="1147"/>
      <c r="CH367" s="1147"/>
      <c r="CI367" s="1147"/>
      <c r="CJ367" s="1147"/>
      <c r="CK367" s="1146"/>
    </row>
    <row r="368" spans="1:89" ht="15" x14ac:dyDescent="0.25">
      <c r="A368" s="1146"/>
      <c r="B368" s="1146"/>
      <c r="C368" s="1146"/>
      <c r="D368" s="1146"/>
      <c r="E368" s="1146"/>
      <c r="F368" s="1146"/>
      <c r="G368" s="1146"/>
      <c r="H368" s="1146"/>
      <c r="I368" s="1146"/>
      <c r="J368" s="1146"/>
      <c r="K368" s="1146"/>
      <c r="L368" s="1146"/>
      <c r="M368" s="1146"/>
      <c r="N368" s="1146"/>
      <c r="O368" s="1146"/>
      <c r="P368" s="1146"/>
      <c r="Q368" s="1146"/>
      <c r="R368" s="1146"/>
      <c r="S368" s="1146"/>
      <c r="T368" s="1147"/>
      <c r="U368" s="1147"/>
      <c r="V368" s="1147"/>
      <c r="W368" s="1147"/>
      <c r="X368" s="1147"/>
      <c r="Y368" s="1147"/>
      <c r="Z368" s="1147"/>
      <c r="AA368" s="1147"/>
      <c r="AB368" s="1147"/>
      <c r="AC368" s="1147"/>
      <c r="AD368" s="1147"/>
      <c r="AE368" s="1147"/>
      <c r="AF368" s="1147"/>
      <c r="AG368" s="1147"/>
      <c r="AH368" s="1147"/>
      <c r="AI368" s="1147"/>
      <c r="AJ368" s="1147"/>
      <c r="AK368" s="1147"/>
      <c r="AL368" s="1147"/>
      <c r="AM368" s="1147"/>
      <c r="AN368" s="1147"/>
      <c r="AO368" s="1147"/>
      <c r="AP368" s="1147"/>
      <c r="AQ368" s="1147"/>
      <c r="AR368" s="1147"/>
      <c r="AS368" s="1147"/>
      <c r="AT368" s="1147"/>
      <c r="AU368" s="1147"/>
      <c r="AV368" s="1147"/>
      <c r="AW368" s="1147"/>
      <c r="AX368" s="1147"/>
      <c r="AY368" s="1147"/>
      <c r="AZ368" s="1147"/>
      <c r="BA368" s="1147"/>
      <c r="BB368" s="1147"/>
      <c r="BC368" s="1147"/>
      <c r="BD368" s="1147"/>
      <c r="BE368" s="1147"/>
      <c r="BF368" s="1147"/>
      <c r="BG368" s="1147"/>
      <c r="BH368" s="1147"/>
      <c r="BI368" s="1147"/>
      <c r="BJ368" s="1147"/>
      <c r="BK368" s="1147"/>
      <c r="BL368" s="1147"/>
      <c r="BM368" s="1147"/>
      <c r="BN368" s="1147"/>
      <c r="BO368" s="1147"/>
      <c r="BP368" s="1147"/>
      <c r="BQ368" s="1147"/>
      <c r="BR368" s="1147"/>
      <c r="BS368" s="1147"/>
      <c r="BT368" s="1147"/>
      <c r="BU368" s="1147"/>
      <c r="BV368" s="1147"/>
      <c r="BW368" s="1147"/>
      <c r="BX368" s="1147"/>
      <c r="BY368" s="1147"/>
      <c r="BZ368" s="1147"/>
      <c r="CA368" s="1147"/>
      <c r="CB368" s="1147"/>
      <c r="CC368" s="1147"/>
      <c r="CD368" s="1147"/>
      <c r="CE368" s="1147"/>
      <c r="CF368" s="1147"/>
      <c r="CG368" s="1147"/>
      <c r="CH368" s="1147"/>
      <c r="CI368" s="1147"/>
      <c r="CJ368" s="1147"/>
      <c r="CK368" s="1146"/>
    </row>
    <row r="369" spans="1:89" ht="15" x14ac:dyDescent="0.25">
      <c r="A369" s="1146"/>
      <c r="B369" s="1146"/>
      <c r="C369" s="1146"/>
      <c r="D369" s="1146"/>
      <c r="E369" s="1146"/>
      <c r="F369" s="1146"/>
      <c r="G369" s="1146"/>
      <c r="H369" s="1146"/>
      <c r="I369" s="1146"/>
      <c r="J369" s="1146"/>
      <c r="K369" s="1146"/>
      <c r="L369" s="1146"/>
      <c r="M369" s="1146"/>
      <c r="N369" s="1146"/>
      <c r="O369" s="1146"/>
      <c r="P369" s="1146"/>
      <c r="Q369" s="1146"/>
      <c r="R369" s="1146"/>
      <c r="S369" s="1146"/>
      <c r="T369" s="1147"/>
      <c r="U369" s="1147"/>
      <c r="V369" s="1147"/>
      <c r="W369" s="1147"/>
      <c r="X369" s="1147"/>
      <c r="Y369" s="1147"/>
      <c r="Z369" s="1147"/>
      <c r="AA369" s="1147"/>
      <c r="AB369" s="1147"/>
      <c r="AC369" s="1147"/>
      <c r="AD369" s="1147"/>
      <c r="AE369" s="1147"/>
      <c r="AF369" s="1147"/>
      <c r="AG369" s="1147"/>
      <c r="AH369" s="1147"/>
      <c r="AI369" s="1147"/>
      <c r="AJ369" s="1147"/>
      <c r="AK369" s="1147"/>
      <c r="AL369" s="1147"/>
      <c r="AM369" s="1147"/>
      <c r="AN369" s="1147"/>
      <c r="AO369" s="1147"/>
      <c r="AP369" s="1147"/>
      <c r="AQ369" s="1147"/>
      <c r="AR369" s="1147"/>
      <c r="AS369" s="1147"/>
      <c r="AT369" s="1147"/>
      <c r="AU369" s="1147"/>
      <c r="AV369" s="1147"/>
      <c r="AW369" s="1147"/>
      <c r="AX369" s="1147"/>
      <c r="AY369" s="1147"/>
      <c r="AZ369" s="1147"/>
      <c r="BA369" s="1147"/>
      <c r="BB369" s="1147"/>
      <c r="BC369" s="1147"/>
      <c r="BD369" s="1147"/>
      <c r="BE369" s="1147"/>
      <c r="BF369" s="1147"/>
      <c r="BG369" s="1147"/>
      <c r="BH369" s="1147"/>
      <c r="BI369" s="1147"/>
      <c r="BJ369" s="1147"/>
      <c r="BK369" s="1147"/>
      <c r="BL369" s="1147"/>
      <c r="BM369" s="1147"/>
      <c r="BN369" s="1147"/>
      <c r="BO369" s="1147"/>
      <c r="BP369" s="1147"/>
      <c r="BQ369" s="1147"/>
      <c r="BR369" s="1147"/>
      <c r="BS369" s="1147"/>
      <c r="BT369" s="1147"/>
      <c r="BU369" s="1147"/>
      <c r="BV369" s="1147"/>
      <c r="BW369" s="1147"/>
      <c r="BX369" s="1147"/>
      <c r="BY369" s="1147"/>
      <c r="BZ369" s="1147"/>
      <c r="CA369" s="1147"/>
      <c r="CB369" s="1147"/>
      <c r="CC369" s="1147"/>
      <c r="CD369" s="1147"/>
      <c r="CE369" s="1147"/>
      <c r="CF369" s="1147"/>
      <c r="CG369" s="1147"/>
      <c r="CH369" s="1147"/>
      <c r="CI369" s="1147"/>
      <c r="CJ369" s="1147"/>
      <c r="CK369" s="1146"/>
    </row>
    <row r="370" spans="1:89" ht="15" x14ac:dyDescent="0.25">
      <c r="A370" s="1146"/>
      <c r="B370" s="1146"/>
      <c r="C370" s="1146"/>
      <c r="D370" s="1146"/>
      <c r="E370" s="1146"/>
      <c r="F370" s="1146"/>
      <c r="G370" s="1146"/>
      <c r="H370" s="1146"/>
      <c r="I370" s="1146"/>
      <c r="J370" s="1146"/>
      <c r="K370" s="1146"/>
      <c r="L370" s="1146"/>
      <c r="M370" s="1146"/>
      <c r="N370" s="1146"/>
      <c r="O370" s="1146"/>
      <c r="P370" s="1146"/>
      <c r="Q370" s="1146"/>
      <c r="R370" s="1146"/>
      <c r="S370" s="1146"/>
      <c r="T370" s="1147"/>
      <c r="U370" s="1147"/>
      <c r="V370" s="1147"/>
      <c r="W370" s="1147"/>
      <c r="X370" s="1147"/>
      <c r="Y370" s="1147"/>
      <c r="Z370" s="1147"/>
      <c r="AA370" s="1147"/>
      <c r="AB370" s="1147"/>
      <c r="AC370" s="1147"/>
      <c r="AD370" s="1147"/>
      <c r="AE370" s="1147"/>
      <c r="AF370" s="1147"/>
      <c r="AG370" s="1147"/>
      <c r="AH370" s="1147"/>
      <c r="AI370" s="1147"/>
      <c r="AJ370" s="1147"/>
      <c r="AK370" s="1147"/>
      <c r="AL370" s="1147"/>
      <c r="AM370" s="1147"/>
      <c r="AN370" s="1147"/>
      <c r="AO370" s="1147"/>
      <c r="AP370" s="1147"/>
      <c r="AQ370" s="1147"/>
      <c r="AR370" s="1147"/>
      <c r="AS370" s="1147"/>
      <c r="AT370" s="1147"/>
      <c r="AU370" s="1147"/>
      <c r="AV370" s="1147"/>
      <c r="AW370" s="1147"/>
      <c r="AX370" s="1147"/>
      <c r="AY370" s="1147"/>
      <c r="AZ370" s="1147"/>
      <c r="BA370" s="1147"/>
      <c r="BB370" s="1147"/>
      <c r="BC370" s="1147"/>
      <c r="BD370" s="1147"/>
      <c r="BE370" s="1147"/>
      <c r="BF370" s="1147"/>
      <c r="BG370" s="1147"/>
      <c r="BH370" s="1147"/>
      <c r="BI370" s="1147"/>
      <c r="BJ370" s="1147"/>
      <c r="BK370" s="1147"/>
      <c r="BL370" s="1147"/>
      <c r="BM370" s="1147"/>
      <c r="BN370" s="1147"/>
      <c r="BO370" s="1147"/>
      <c r="BP370" s="1147"/>
      <c r="BQ370" s="1147"/>
      <c r="BR370" s="1147"/>
      <c r="BS370" s="1147"/>
      <c r="BT370" s="1147"/>
      <c r="BU370" s="1147"/>
      <c r="BV370" s="1147"/>
      <c r="BW370" s="1147"/>
      <c r="BX370" s="1147"/>
      <c r="BY370" s="1147"/>
      <c r="BZ370" s="1147"/>
      <c r="CA370" s="1147"/>
      <c r="CB370" s="1147"/>
      <c r="CC370" s="1147"/>
      <c r="CD370" s="1147"/>
      <c r="CE370" s="1147"/>
      <c r="CF370" s="1147"/>
      <c r="CG370" s="1147"/>
      <c r="CH370" s="1147"/>
      <c r="CI370" s="1147"/>
      <c r="CJ370" s="1147"/>
      <c r="CK370" s="1146"/>
    </row>
    <row r="371" spans="1:89" ht="15" x14ac:dyDescent="0.25">
      <c r="A371" s="1146"/>
      <c r="B371" s="1146"/>
      <c r="C371" s="1146"/>
      <c r="D371" s="1146"/>
      <c r="E371" s="1146"/>
      <c r="F371" s="1146"/>
      <c r="G371" s="1146"/>
      <c r="H371" s="1146"/>
      <c r="I371" s="1146"/>
      <c r="J371" s="1146"/>
      <c r="K371" s="1146"/>
      <c r="L371" s="1146"/>
      <c r="M371" s="1146"/>
      <c r="N371" s="1146"/>
      <c r="O371" s="1146"/>
      <c r="P371" s="1146"/>
      <c r="Q371" s="1146"/>
      <c r="R371" s="1146"/>
      <c r="S371" s="1146"/>
      <c r="T371" s="1147"/>
      <c r="U371" s="1147"/>
      <c r="V371" s="1147"/>
      <c r="W371" s="1147"/>
      <c r="X371" s="1147"/>
      <c r="Y371" s="1147"/>
      <c r="Z371" s="1147"/>
      <c r="AA371" s="1147"/>
      <c r="AB371" s="1147"/>
      <c r="AC371" s="1147"/>
      <c r="AD371" s="1147"/>
      <c r="AE371" s="1147"/>
      <c r="AF371" s="1147"/>
      <c r="AG371" s="1147"/>
      <c r="AH371" s="1147"/>
      <c r="AI371" s="1147"/>
      <c r="AJ371" s="1147"/>
      <c r="AK371" s="1147"/>
      <c r="AL371" s="1147"/>
      <c r="AM371" s="1147"/>
      <c r="AN371" s="1147"/>
      <c r="AO371" s="1147"/>
      <c r="AP371" s="1147"/>
      <c r="AQ371" s="1147"/>
      <c r="AR371" s="1147"/>
      <c r="AS371" s="1147"/>
      <c r="AT371" s="1147"/>
      <c r="AU371" s="1147"/>
      <c r="AV371" s="1147"/>
      <c r="AW371" s="1147"/>
      <c r="AX371" s="1147"/>
      <c r="AY371" s="1147"/>
      <c r="AZ371" s="1147"/>
      <c r="BA371" s="1147"/>
      <c r="BB371" s="1147"/>
      <c r="BC371" s="1147"/>
      <c r="BD371" s="1147"/>
      <c r="BE371" s="1147"/>
      <c r="BF371" s="1147"/>
      <c r="BG371" s="1147"/>
      <c r="BH371" s="1147"/>
      <c r="BI371" s="1147"/>
      <c r="BJ371" s="1147"/>
      <c r="BK371" s="1147"/>
      <c r="BL371" s="1147"/>
      <c r="BM371" s="1147"/>
      <c r="BN371" s="1147"/>
      <c r="BO371" s="1147"/>
      <c r="BP371" s="1147"/>
      <c r="BQ371" s="1147"/>
      <c r="BR371" s="1147"/>
      <c r="BS371" s="1147"/>
      <c r="BT371" s="1147"/>
      <c r="BU371" s="1147"/>
      <c r="BV371" s="1147"/>
      <c r="BW371" s="1147"/>
      <c r="BX371" s="1147"/>
      <c r="BY371" s="1147"/>
      <c r="BZ371" s="1147"/>
      <c r="CA371" s="1147"/>
      <c r="CB371" s="1147"/>
      <c r="CC371" s="1147"/>
      <c r="CD371" s="1147"/>
      <c r="CE371" s="1147"/>
      <c r="CF371" s="1147"/>
      <c r="CG371" s="1147"/>
      <c r="CH371" s="1147"/>
      <c r="CI371" s="1147"/>
      <c r="CJ371" s="1147"/>
      <c r="CK371" s="1146"/>
    </row>
    <row r="372" spans="1:89" ht="15" x14ac:dyDescent="0.25">
      <c r="A372" s="1146"/>
      <c r="B372" s="1146"/>
      <c r="C372" s="1146"/>
      <c r="D372" s="1146"/>
      <c r="E372" s="1146"/>
      <c r="F372" s="1146"/>
      <c r="G372" s="1146"/>
      <c r="H372" s="1146"/>
      <c r="I372" s="1146"/>
      <c r="J372" s="1146"/>
      <c r="K372" s="1146"/>
      <c r="L372" s="1146"/>
      <c r="M372" s="1146"/>
      <c r="N372" s="1146"/>
      <c r="O372" s="1146"/>
      <c r="P372" s="1146"/>
      <c r="Q372" s="1146"/>
      <c r="R372" s="1146"/>
      <c r="S372" s="1146"/>
      <c r="T372" s="1147"/>
      <c r="U372" s="1147"/>
      <c r="V372" s="1147"/>
      <c r="W372" s="1147"/>
      <c r="X372" s="1147"/>
      <c r="Y372" s="1147"/>
      <c r="Z372" s="1147"/>
      <c r="AA372" s="1147"/>
      <c r="AB372" s="1147"/>
      <c r="AC372" s="1147"/>
      <c r="AD372" s="1147"/>
      <c r="AE372" s="1147"/>
      <c r="AF372" s="1147"/>
      <c r="AG372" s="1147"/>
      <c r="AH372" s="1147"/>
      <c r="AI372" s="1147"/>
      <c r="AJ372" s="1147"/>
      <c r="AK372" s="1147"/>
      <c r="AL372" s="1147"/>
      <c r="AM372" s="1147"/>
      <c r="AN372" s="1147"/>
      <c r="AO372" s="1147"/>
      <c r="AP372" s="1147"/>
      <c r="AQ372" s="1147"/>
      <c r="AR372" s="1147"/>
      <c r="AS372" s="1147"/>
      <c r="AT372" s="1147"/>
      <c r="AU372" s="1147"/>
      <c r="AV372" s="1147"/>
      <c r="AW372" s="1147"/>
      <c r="AX372" s="1147"/>
      <c r="AY372" s="1147"/>
      <c r="AZ372" s="1147"/>
      <c r="BA372" s="1147"/>
      <c r="BB372" s="1147"/>
      <c r="BC372" s="1147"/>
      <c r="BD372" s="1147"/>
      <c r="BE372" s="1147"/>
      <c r="BF372" s="1147"/>
      <c r="BG372" s="1147"/>
      <c r="BH372" s="1147"/>
      <c r="BI372" s="1147"/>
      <c r="BJ372" s="1147"/>
      <c r="BK372" s="1147"/>
      <c r="BL372" s="1147"/>
      <c r="BM372" s="1147"/>
      <c r="BN372" s="1147"/>
      <c r="BO372" s="1147"/>
      <c r="BP372" s="1147"/>
      <c r="BQ372" s="1147"/>
      <c r="BR372" s="1147"/>
      <c r="BS372" s="1147"/>
      <c r="BT372" s="1147"/>
      <c r="BU372" s="1147"/>
      <c r="BV372" s="1147"/>
      <c r="BW372" s="1147"/>
      <c r="BX372" s="1147"/>
      <c r="BY372" s="1147"/>
      <c r="BZ372" s="1147"/>
      <c r="CA372" s="1147"/>
      <c r="CB372" s="1147"/>
      <c r="CC372" s="1147"/>
      <c r="CD372" s="1147"/>
      <c r="CE372" s="1147"/>
      <c r="CF372" s="1147"/>
      <c r="CG372" s="1147"/>
      <c r="CH372" s="1147"/>
      <c r="CI372" s="1147"/>
      <c r="CJ372" s="1147"/>
      <c r="CK372" s="1146"/>
    </row>
    <row r="373" spans="1:89" ht="15" x14ac:dyDescent="0.25">
      <c r="A373" s="1146"/>
      <c r="B373" s="1146"/>
      <c r="C373" s="1146"/>
      <c r="D373" s="1146"/>
      <c r="E373" s="1146"/>
      <c r="F373" s="1146"/>
      <c r="G373" s="1146"/>
      <c r="H373" s="1146"/>
      <c r="I373" s="1146"/>
      <c r="J373" s="1146"/>
      <c r="K373" s="1146"/>
      <c r="L373" s="1146"/>
      <c r="M373" s="1146"/>
      <c r="N373" s="1146"/>
      <c r="O373" s="1146"/>
      <c r="P373" s="1146"/>
      <c r="Q373" s="1146"/>
      <c r="R373" s="1146"/>
      <c r="S373" s="1146"/>
      <c r="T373" s="1147"/>
      <c r="U373" s="1147"/>
      <c r="V373" s="1147"/>
      <c r="W373" s="1147"/>
      <c r="X373" s="1147"/>
      <c r="Y373" s="1147"/>
      <c r="Z373" s="1147"/>
      <c r="AA373" s="1147"/>
      <c r="AB373" s="1147"/>
      <c r="AC373" s="1147"/>
      <c r="AD373" s="1147"/>
      <c r="AE373" s="1147"/>
      <c r="AF373" s="1147"/>
      <c r="AG373" s="1147"/>
      <c r="AH373" s="1147"/>
      <c r="AI373" s="1147"/>
      <c r="AJ373" s="1147"/>
      <c r="AK373" s="1147"/>
      <c r="AL373" s="1147"/>
      <c r="AM373" s="1147"/>
      <c r="AN373" s="1147"/>
      <c r="AO373" s="1147"/>
      <c r="AP373" s="1147"/>
      <c r="AQ373" s="1147"/>
      <c r="AR373" s="1147"/>
      <c r="AS373" s="1147"/>
      <c r="AT373" s="1147"/>
      <c r="AU373" s="1147"/>
      <c r="AV373" s="1147"/>
      <c r="AW373" s="1147"/>
      <c r="AX373" s="1147"/>
      <c r="AY373" s="1147"/>
      <c r="AZ373" s="1147"/>
      <c r="BA373" s="1147"/>
      <c r="BB373" s="1147"/>
      <c r="BC373" s="1147"/>
      <c r="BD373" s="1147"/>
      <c r="BE373" s="1147"/>
      <c r="BF373" s="1147"/>
      <c r="BG373" s="1147"/>
      <c r="BH373" s="1147"/>
      <c r="BI373" s="1147"/>
      <c r="BJ373" s="1147"/>
      <c r="BK373" s="1147"/>
      <c r="BL373" s="1147"/>
      <c r="BM373" s="1147"/>
      <c r="BN373" s="1147"/>
      <c r="BO373" s="1147"/>
      <c r="BP373" s="1147"/>
      <c r="BQ373" s="1147"/>
      <c r="BR373" s="1147"/>
      <c r="BS373" s="1147"/>
      <c r="BT373" s="1147"/>
      <c r="BU373" s="1147"/>
      <c r="BV373" s="1147"/>
      <c r="BW373" s="1147"/>
      <c r="BX373" s="1147"/>
      <c r="BY373" s="1147"/>
      <c r="BZ373" s="1147"/>
      <c r="CA373" s="1147"/>
      <c r="CB373" s="1147"/>
      <c r="CC373" s="1147"/>
      <c r="CD373" s="1147"/>
      <c r="CE373" s="1147"/>
      <c r="CF373" s="1147"/>
      <c r="CG373" s="1147"/>
      <c r="CH373" s="1147"/>
      <c r="CI373" s="1147"/>
      <c r="CJ373" s="1147"/>
      <c r="CK373" s="1146"/>
    </row>
    <row r="374" spans="1:89" ht="15" x14ac:dyDescent="0.25">
      <c r="A374" s="1146"/>
      <c r="B374" s="1146"/>
      <c r="C374" s="1146"/>
      <c r="D374" s="1146"/>
      <c r="E374" s="1146"/>
      <c r="F374" s="1146"/>
      <c r="G374" s="1146"/>
      <c r="H374" s="1146"/>
      <c r="I374" s="1146"/>
      <c r="J374" s="1146"/>
      <c r="K374" s="1146"/>
      <c r="L374" s="1146"/>
      <c r="M374" s="1146"/>
      <c r="N374" s="1146"/>
      <c r="O374" s="1146"/>
      <c r="P374" s="1146"/>
      <c r="Q374" s="1146"/>
      <c r="R374" s="1146"/>
      <c r="S374" s="1146"/>
      <c r="T374" s="1147"/>
      <c r="U374" s="1147"/>
      <c r="V374" s="1147"/>
      <c r="W374" s="1147"/>
      <c r="X374" s="1147"/>
      <c r="Y374" s="1147"/>
      <c r="Z374" s="1147"/>
      <c r="AA374" s="1147"/>
      <c r="AB374" s="1147"/>
      <c r="AC374" s="1147"/>
      <c r="AD374" s="1147"/>
      <c r="AE374" s="1147"/>
      <c r="AF374" s="1147"/>
      <c r="AG374" s="1147"/>
      <c r="AH374" s="1147"/>
      <c r="AI374" s="1147"/>
      <c r="AJ374" s="1147"/>
      <c r="AK374" s="1147"/>
      <c r="AL374" s="1147"/>
      <c r="AM374" s="1147"/>
      <c r="AN374" s="1147"/>
      <c r="AO374" s="1147"/>
      <c r="AP374" s="1147"/>
      <c r="AQ374" s="1147"/>
      <c r="AR374" s="1147"/>
      <c r="AS374" s="1147"/>
      <c r="AT374" s="1147"/>
      <c r="AU374" s="1147"/>
      <c r="AV374" s="1147"/>
      <c r="AW374" s="1147"/>
      <c r="AX374" s="1147"/>
      <c r="AY374" s="1147"/>
      <c r="AZ374" s="1147"/>
      <c r="BA374" s="1147"/>
      <c r="BB374" s="1147"/>
      <c r="BC374" s="1147"/>
      <c r="BD374" s="1147"/>
      <c r="BE374" s="1147"/>
      <c r="BF374" s="1147"/>
      <c r="BG374" s="1147"/>
      <c r="BH374" s="1147"/>
      <c r="BI374" s="1147"/>
      <c r="BJ374" s="1147"/>
      <c r="BK374" s="1147"/>
      <c r="BL374" s="1147"/>
      <c r="BM374" s="1147"/>
      <c r="BN374" s="1147"/>
      <c r="BO374" s="1147"/>
      <c r="BP374" s="1147"/>
      <c r="BQ374" s="1147"/>
      <c r="BR374" s="1147"/>
      <c r="BS374" s="1147"/>
      <c r="BT374" s="1147"/>
      <c r="BU374" s="1147"/>
      <c r="BV374" s="1147"/>
      <c r="BW374" s="1147"/>
      <c r="BX374" s="1147"/>
      <c r="BY374" s="1147"/>
      <c r="BZ374" s="1147"/>
      <c r="CA374" s="1147"/>
      <c r="CB374" s="1147"/>
      <c r="CC374" s="1147"/>
      <c r="CD374" s="1147"/>
      <c r="CE374" s="1147"/>
      <c r="CF374" s="1147"/>
      <c r="CG374" s="1147"/>
      <c r="CH374" s="1147"/>
      <c r="CI374" s="1147"/>
      <c r="CJ374" s="1147"/>
      <c r="CK374" s="1146"/>
    </row>
    <row r="375" spans="1:89" ht="15" x14ac:dyDescent="0.25">
      <c r="A375" s="1146"/>
      <c r="B375" s="1146"/>
      <c r="C375" s="1146"/>
      <c r="D375" s="1146"/>
      <c r="E375" s="1146"/>
      <c r="F375" s="1146"/>
      <c r="G375" s="1146"/>
      <c r="H375" s="1146"/>
      <c r="I375" s="1146"/>
      <c r="J375" s="1146"/>
      <c r="K375" s="1146"/>
      <c r="L375" s="1146"/>
      <c r="M375" s="1146"/>
      <c r="N375" s="1146"/>
      <c r="O375" s="1146"/>
      <c r="P375" s="1146"/>
      <c r="Q375" s="1146"/>
      <c r="R375" s="1146"/>
      <c r="S375" s="1146"/>
      <c r="T375" s="1147"/>
      <c r="U375" s="1147"/>
      <c r="V375" s="1147"/>
      <c r="W375" s="1147"/>
      <c r="X375" s="1147"/>
      <c r="Y375" s="1147"/>
      <c r="Z375" s="1147"/>
      <c r="AA375" s="1147"/>
      <c r="AB375" s="1147"/>
      <c r="AC375" s="1147"/>
      <c r="AD375" s="1147"/>
      <c r="AE375" s="1147"/>
      <c r="AF375" s="1147"/>
      <c r="AG375" s="1147"/>
      <c r="AH375" s="1147"/>
      <c r="AI375" s="1147"/>
      <c r="AJ375" s="1147"/>
      <c r="AK375" s="1147"/>
      <c r="AL375" s="1147"/>
      <c r="AM375" s="1147"/>
      <c r="AN375" s="1147"/>
      <c r="AO375" s="1147"/>
      <c r="AP375" s="1147"/>
      <c r="AQ375" s="1147"/>
      <c r="AR375" s="1147"/>
      <c r="AS375" s="1147"/>
      <c r="AT375" s="1147"/>
      <c r="AU375" s="1147"/>
      <c r="AV375" s="1147"/>
      <c r="AW375" s="1147"/>
      <c r="AX375" s="1147"/>
      <c r="AY375" s="1147"/>
      <c r="AZ375" s="1147"/>
      <c r="BA375" s="1147"/>
      <c r="BB375" s="1147"/>
      <c r="BC375" s="1147"/>
      <c r="BD375" s="1147"/>
      <c r="BE375" s="1147"/>
      <c r="BF375" s="1147"/>
      <c r="BG375" s="1147"/>
      <c r="BH375" s="1147"/>
      <c r="BI375" s="1147"/>
      <c r="BJ375" s="1147"/>
      <c r="BK375" s="1147"/>
      <c r="BL375" s="1147"/>
      <c r="BM375" s="1147"/>
      <c r="BN375" s="1147"/>
      <c r="BO375" s="1147"/>
      <c r="BP375" s="1147"/>
      <c r="BQ375" s="1147"/>
      <c r="BR375" s="1147"/>
      <c r="BS375" s="1147"/>
      <c r="BT375" s="1147"/>
      <c r="BU375" s="1147"/>
      <c r="BV375" s="1147"/>
      <c r="BW375" s="1147"/>
      <c r="BX375" s="1147"/>
      <c r="BY375" s="1147"/>
      <c r="BZ375" s="1147"/>
      <c r="CA375" s="1147"/>
      <c r="CB375" s="1147"/>
      <c r="CC375" s="1147"/>
      <c r="CD375" s="1147"/>
      <c r="CE375" s="1147"/>
      <c r="CF375" s="1147"/>
      <c r="CG375" s="1147"/>
      <c r="CH375" s="1147"/>
      <c r="CI375" s="1147"/>
      <c r="CJ375" s="1147"/>
      <c r="CK375" s="1146"/>
    </row>
    <row r="376" spans="1:89" ht="15" x14ac:dyDescent="0.25">
      <c r="A376" s="1146"/>
      <c r="B376" s="1146"/>
      <c r="C376" s="1146"/>
      <c r="D376" s="1146"/>
      <c r="E376" s="1146"/>
      <c r="F376" s="1146"/>
      <c r="G376" s="1146"/>
      <c r="H376" s="1146"/>
      <c r="I376" s="1146"/>
      <c r="J376" s="1146"/>
      <c r="K376" s="1146"/>
      <c r="L376" s="1146"/>
      <c r="M376" s="1146"/>
      <c r="N376" s="1146"/>
      <c r="O376" s="1146"/>
      <c r="P376" s="1146"/>
      <c r="Q376" s="1146"/>
      <c r="R376" s="1146"/>
      <c r="S376" s="1146"/>
      <c r="T376" s="1147"/>
      <c r="U376" s="1147"/>
      <c r="V376" s="1147"/>
      <c r="W376" s="1147"/>
      <c r="X376" s="1147"/>
      <c r="Y376" s="1147"/>
      <c r="Z376" s="1147"/>
      <c r="AA376" s="1147"/>
      <c r="AB376" s="1147"/>
      <c r="AC376" s="1147"/>
      <c r="AD376" s="1147"/>
      <c r="AE376" s="1147"/>
      <c r="AF376" s="1147"/>
      <c r="AG376" s="1147"/>
      <c r="AH376" s="1147"/>
      <c r="AI376" s="1147"/>
      <c r="AJ376" s="1147"/>
      <c r="AK376" s="1147"/>
      <c r="AL376" s="1147"/>
      <c r="AM376" s="1147"/>
      <c r="AN376" s="1147"/>
      <c r="AO376" s="1147"/>
      <c r="AP376" s="1147"/>
      <c r="AQ376" s="1147"/>
      <c r="AR376" s="1147"/>
      <c r="AS376" s="1147"/>
      <c r="AT376" s="1147"/>
      <c r="AU376" s="1147"/>
      <c r="AV376" s="1147"/>
      <c r="AW376" s="1147"/>
      <c r="AX376" s="1147"/>
      <c r="AY376" s="1147"/>
      <c r="AZ376" s="1147"/>
      <c r="BA376" s="1147"/>
      <c r="BB376" s="1147"/>
      <c r="BC376" s="1147"/>
      <c r="BD376" s="1147"/>
      <c r="BE376" s="1147"/>
      <c r="BF376" s="1147"/>
      <c r="BG376" s="1147"/>
      <c r="BH376" s="1147"/>
      <c r="BI376" s="1147"/>
      <c r="BJ376" s="1147"/>
      <c r="BK376" s="1147"/>
      <c r="BL376" s="1147"/>
      <c r="BM376" s="1147"/>
      <c r="BN376" s="1147"/>
      <c r="BO376" s="1147"/>
      <c r="BP376" s="1147"/>
      <c r="BQ376" s="1147"/>
      <c r="BR376" s="1147"/>
      <c r="BS376" s="1147"/>
      <c r="BT376" s="1147"/>
      <c r="BU376" s="1147"/>
      <c r="BV376" s="1147"/>
      <c r="BW376" s="1147"/>
      <c r="BX376" s="1147"/>
      <c r="BY376" s="1147"/>
      <c r="BZ376" s="1147"/>
      <c r="CA376" s="1147"/>
      <c r="CB376" s="1147"/>
      <c r="CC376" s="1147"/>
      <c r="CD376" s="1147"/>
      <c r="CE376" s="1147"/>
      <c r="CF376" s="1147"/>
      <c r="CG376" s="1147"/>
      <c r="CH376" s="1147"/>
      <c r="CI376" s="1147"/>
      <c r="CJ376" s="1147"/>
      <c r="CK376" s="1146"/>
    </row>
    <row r="377" spans="1:89" ht="15" x14ac:dyDescent="0.25">
      <c r="A377" s="1146"/>
      <c r="B377" s="1146"/>
      <c r="C377" s="1146"/>
      <c r="D377" s="1146"/>
      <c r="E377" s="1146"/>
      <c r="F377" s="1146"/>
      <c r="G377" s="1146"/>
      <c r="H377" s="1146"/>
      <c r="I377" s="1146"/>
      <c r="J377" s="1146"/>
      <c r="K377" s="1146"/>
      <c r="L377" s="1146"/>
      <c r="M377" s="1146"/>
      <c r="N377" s="1146"/>
      <c r="O377" s="1146"/>
      <c r="P377" s="1146"/>
      <c r="Q377" s="1146"/>
      <c r="R377" s="1146"/>
      <c r="S377" s="1146"/>
      <c r="T377" s="1147"/>
      <c r="U377" s="1147"/>
      <c r="V377" s="1147"/>
      <c r="W377" s="1147"/>
      <c r="X377" s="1147"/>
      <c r="Y377" s="1147"/>
      <c r="Z377" s="1147"/>
      <c r="AA377" s="1147"/>
      <c r="AB377" s="1147"/>
      <c r="AC377" s="1147"/>
      <c r="AD377" s="1147"/>
      <c r="AE377" s="1147"/>
      <c r="AF377" s="1147"/>
      <c r="AG377" s="1147"/>
      <c r="AH377" s="1147"/>
      <c r="AI377" s="1147"/>
      <c r="AJ377" s="1147"/>
      <c r="AK377" s="1147"/>
      <c r="AL377" s="1147"/>
      <c r="AM377" s="1147"/>
      <c r="AN377" s="1147"/>
      <c r="AO377" s="1147"/>
      <c r="AP377" s="1147"/>
      <c r="AQ377" s="1147"/>
      <c r="AR377" s="1147"/>
      <c r="AS377" s="1147"/>
      <c r="AT377" s="1147"/>
      <c r="AU377" s="1147"/>
      <c r="AV377" s="1147"/>
      <c r="AW377" s="1147"/>
      <c r="AX377" s="1147"/>
      <c r="AY377" s="1147"/>
      <c r="AZ377" s="1147"/>
      <c r="BA377" s="1147"/>
      <c r="BB377" s="1147"/>
      <c r="BC377" s="1147"/>
      <c r="BD377" s="1147"/>
      <c r="BE377" s="1147"/>
      <c r="BF377" s="1147"/>
      <c r="BG377" s="1147"/>
      <c r="BH377" s="1147"/>
      <c r="BI377" s="1147"/>
      <c r="BJ377" s="1147"/>
      <c r="BK377" s="1147"/>
      <c r="BL377" s="1147"/>
      <c r="BM377" s="1147"/>
      <c r="BN377" s="1147"/>
      <c r="BO377" s="1147"/>
      <c r="BP377" s="1147"/>
      <c r="BQ377" s="1147"/>
      <c r="BR377" s="1147"/>
      <c r="BS377" s="1147"/>
      <c r="BT377" s="1147"/>
      <c r="BU377" s="1147"/>
      <c r="BV377" s="1147"/>
      <c r="BW377" s="1147"/>
      <c r="BX377" s="1147"/>
      <c r="BY377" s="1147"/>
      <c r="BZ377" s="1147"/>
      <c r="CA377" s="1147"/>
      <c r="CB377" s="1147"/>
      <c r="CC377" s="1147"/>
      <c r="CD377" s="1147"/>
      <c r="CE377" s="1147"/>
      <c r="CF377" s="1147"/>
      <c r="CG377" s="1147"/>
      <c r="CH377" s="1147"/>
      <c r="CI377" s="1147"/>
      <c r="CJ377" s="1147"/>
      <c r="CK377" s="1146"/>
    </row>
    <row r="378" spans="1:89" ht="15" x14ac:dyDescent="0.25">
      <c r="A378" s="1146"/>
      <c r="B378" s="1146"/>
      <c r="C378" s="1146"/>
      <c r="D378" s="1146"/>
      <c r="E378" s="1146"/>
      <c r="F378" s="1146"/>
      <c r="G378" s="1146"/>
      <c r="H378" s="1146"/>
      <c r="I378" s="1146"/>
      <c r="J378" s="1146"/>
      <c r="K378" s="1146"/>
      <c r="L378" s="1146"/>
      <c r="M378" s="1146"/>
      <c r="N378" s="1146"/>
      <c r="O378" s="1146"/>
      <c r="P378" s="1146"/>
      <c r="Q378" s="1146"/>
      <c r="R378" s="1146"/>
      <c r="S378" s="1146"/>
      <c r="T378" s="1147"/>
      <c r="U378" s="1147"/>
      <c r="V378" s="1147"/>
      <c r="W378" s="1147"/>
      <c r="X378" s="1147"/>
      <c r="Y378" s="1147"/>
      <c r="Z378" s="1147"/>
      <c r="AA378" s="1147"/>
      <c r="AB378" s="1147"/>
      <c r="AC378" s="1147"/>
      <c r="AD378" s="1147"/>
      <c r="AE378" s="1147"/>
      <c r="AF378" s="1147"/>
      <c r="AG378" s="1147"/>
      <c r="AH378" s="1147"/>
      <c r="AI378" s="1147"/>
      <c r="AJ378" s="1147"/>
      <c r="AK378" s="1147"/>
      <c r="AL378" s="1147"/>
      <c r="AM378" s="1147"/>
      <c r="AN378" s="1147"/>
      <c r="AO378" s="1147"/>
      <c r="AP378" s="1147"/>
      <c r="AQ378" s="1147"/>
      <c r="AR378" s="1147"/>
      <c r="AS378" s="1147"/>
      <c r="AT378" s="1147"/>
      <c r="AU378" s="1147"/>
      <c r="AV378" s="1147"/>
      <c r="AW378" s="1147"/>
      <c r="AX378" s="1147"/>
      <c r="AY378" s="1147"/>
      <c r="AZ378" s="1147"/>
      <c r="BA378" s="1147"/>
      <c r="BB378" s="1147"/>
      <c r="BC378" s="1147"/>
      <c r="BD378" s="1147"/>
      <c r="BE378" s="1147"/>
      <c r="BF378" s="1147"/>
      <c r="BG378" s="1147"/>
      <c r="BH378" s="1147"/>
      <c r="BI378" s="1147"/>
      <c r="BJ378" s="1147"/>
      <c r="BK378" s="1147"/>
      <c r="BL378" s="1147"/>
      <c r="BM378" s="1147"/>
      <c r="BN378" s="1147"/>
      <c r="BO378" s="1147"/>
      <c r="BP378" s="1147"/>
      <c r="BQ378" s="1147"/>
      <c r="BR378" s="1147"/>
      <c r="BS378" s="1147"/>
      <c r="BT378" s="1147"/>
      <c r="BU378" s="1147"/>
      <c r="BV378" s="1147"/>
      <c r="BW378" s="1147"/>
      <c r="BX378" s="1147"/>
      <c r="BY378" s="1147"/>
      <c r="BZ378" s="1147"/>
      <c r="CA378" s="1147"/>
      <c r="CB378" s="1147"/>
      <c r="CC378" s="1147"/>
      <c r="CD378" s="1147"/>
      <c r="CE378" s="1147"/>
      <c r="CF378" s="1147"/>
      <c r="CG378" s="1147"/>
      <c r="CH378" s="1147"/>
      <c r="CI378" s="1147"/>
      <c r="CJ378" s="1147"/>
      <c r="CK378" s="1146"/>
    </row>
    <row r="379" spans="1:89" ht="15" x14ac:dyDescent="0.25">
      <c r="A379" s="1146"/>
      <c r="B379" s="1146"/>
      <c r="C379" s="1146"/>
      <c r="D379" s="1146"/>
      <c r="E379" s="1146"/>
      <c r="F379" s="1146"/>
      <c r="G379" s="1146"/>
      <c r="H379" s="1146"/>
      <c r="I379" s="1146"/>
      <c r="J379" s="1146"/>
      <c r="K379" s="1146"/>
      <c r="L379" s="1146"/>
      <c r="M379" s="1146"/>
      <c r="N379" s="1146"/>
      <c r="O379" s="1146"/>
      <c r="P379" s="1146"/>
      <c r="Q379" s="1146"/>
      <c r="R379" s="1146"/>
      <c r="S379" s="1146"/>
      <c r="T379" s="1147"/>
      <c r="U379" s="1147"/>
      <c r="V379" s="1147"/>
      <c r="W379" s="1147"/>
      <c r="X379" s="1147"/>
      <c r="Y379" s="1147"/>
      <c r="Z379" s="1147"/>
      <c r="AA379" s="1147"/>
      <c r="AB379" s="1147"/>
      <c r="AC379" s="1147"/>
      <c r="AD379" s="1147"/>
      <c r="AE379" s="1147"/>
      <c r="AF379" s="1147"/>
      <c r="AG379" s="1147"/>
      <c r="AH379" s="1147"/>
      <c r="AI379" s="1147"/>
      <c r="AJ379" s="1147"/>
      <c r="AK379" s="1147"/>
      <c r="AL379" s="1147"/>
      <c r="AM379" s="1147"/>
      <c r="AN379" s="1147"/>
      <c r="AO379" s="1147"/>
      <c r="AP379" s="1147"/>
      <c r="AQ379" s="1147"/>
      <c r="AR379" s="1147"/>
      <c r="AS379" s="1147"/>
      <c r="AT379" s="1147"/>
      <c r="AU379" s="1147"/>
      <c r="AV379" s="1147"/>
      <c r="AW379" s="1147"/>
      <c r="AX379" s="1147"/>
      <c r="AY379" s="1147"/>
      <c r="AZ379" s="1147"/>
      <c r="BA379" s="1147"/>
      <c r="BB379" s="1147"/>
      <c r="BC379" s="1147"/>
      <c r="BD379" s="1147"/>
      <c r="BE379" s="1147"/>
      <c r="BF379" s="1147"/>
      <c r="BG379" s="1147"/>
      <c r="BH379" s="1147"/>
      <c r="BI379" s="1147"/>
      <c r="BJ379" s="1147"/>
      <c r="BK379" s="1147"/>
      <c r="BL379" s="1147"/>
      <c r="BM379" s="1147"/>
      <c r="BN379" s="1147"/>
      <c r="BO379" s="1147"/>
      <c r="BP379" s="1147"/>
      <c r="BQ379" s="1147"/>
      <c r="BR379" s="1147"/>
      <c r="BS379" s="1147"/>
      <c r="BT379" s="1147"/>
      <c r="BU379" s="1147"/>
      <c r="BV379" s="1147"/>
      <c r="BW379" s="1147"/>
      <c r="BX379" s="1147"/>
      <c r="BY379" s="1147"/>
      <c r="BZ379" s="1147"/>
      <c r="CA379" s="1147"/>
      <c r="CB379" s="1147"/>
      <c r="CC379" s="1147"/>
      <c r="CD379" s="1147"/>
      <c r="CE379" s="1147"/>
      <c r="CF379" s="1147"/>
      <c r="CG379" s="1147"/>
      <c r="CH379" s="1147"/>
      <c r="CI379" s="1147"/>
      <c r="CJ379" s="1147"/>
      <c r="CK379" s="1146"/>
    </row>
    <row r="380" spans="1:89" ht="15" x14ac:dyDescent="0.25">
      <c r="A380" s="1146"/>
      <c r="B380" s="1146"/>
      <c r="C380" s="1146"/>
      <c r="D380" s="1146"/>
      <c r="E380" s="1146"/>
      <c r="F380" s="1146"/>
      <c r="G380" s="1146"/>
      <c r="H380" s="1146"/>
      <c r="I380" s="1146"/>
      <c r="J380" s="1146"/>
      <c r="K380" s="1146"/>
      <c r="L380" s="1146"/>
      <c r="M380" s="1146"/>
      <c r="N380" s="1146"/>
      <c r="O380" s="1146"/>
      <c r="P380" s="1146"/>
      <c r="Q380" s="1146"/>
      <c r="R380" s="1146"/>
      <c r="S380" s="1146"/>
      <c r="T380" s="1147"/>
      <c r="U380" s="1147"/>
      <c r="V380" s="1147"/>
      <c r="W380" s="1147"/>
      <c r="X380" s="1147"/>
      <c r="Y380" s="1147"/>
      <c r="Z380" s="1147"/>
      <c r="AA380" s="1147"/>
      <c r="AB380" s="1147"/>
      <c r="AC380" s="1147"/>
      <c r="AD380" s="1147"/>
      <c r="AE380" s="1147"/>
      <c r="AF380" s="1147"/>
      <c r="AG380" s="1147"/>
      <c r="AH380" s="1147"/>
      <c r="AI380" s="1147"/>
      <c r="AJ380" s="1147"/>
      <c r="AK380" s="1147"/>
      <c r="AL380" s="1147"/>
      <c r="AM380" s="1147"/>
      <c r="AN380" s="1147"/>
      <c r="AO380" s="1147"/>
      <c r="AP380" s="1147"/>
      <c r="AQ380" s="1147"/>
      <c r="AR380" s="1147"/>
      <c r="AS380" s="1147"/>
      <c r="AT380" s="1147"/>
      <c r="AU380" s="1147"/>
      <c r="AV380" s="1147"/>
      <c r="AW380" s="1147"/>
      <c r="AX380" s="1147"/>
      <c r="AY380" s="1147"/>
      <c r="AZ380" s="1147"/>
      <c r="BA380" s="1147"/>
      <c r="BB380" s="1147"/>
      <c r="BC380" s="1147"/>
      <c r="BD380" s="1147"/>
      <c r="BE380" s="1147"/>
      <c r="BF380" s="1147"/>
      <c r="BG380" s="1147"/>
      <c r="BH380" s="1147"/>
      <c r="BI380" s="1147"/>
      <c r="BJ380" s="1147"/>
      <c r="BK380" s="1147"/>
      <c r="BL380" s="1147"/>
      <c r="BM380" s="1147"/>
      <c r="BN380" s="1147"/>
      <c r="BO380" s="1147"/>
      <c r="BP380" s="1147"/>
      <c r="BQ380" s="1147"/>
      <c r="BR380" s="1147"/>
      <c r="BS380" s="1147"/>
      <c r="BT380" s="1147"/>
      <c r="BU380" s="1147"/>
      <c r="BV380" s="1147"/>
      <c r="BW380" s="1147"/>
      <c r="BX380" s="1147"/>
      <c r="BY380" s="1147"/>
      <c r="BZ380" s="1147"/>
      <c r="CA380" s="1147"/>
      <c r="CB380" s="1147"/>
      <c r="CC380" s="1147"/>
      <c r="CD380" s="1147"/>
      <c r="CE380" s="1147"/>
      <c r="CF380" s="1147"/>
      <c r="CG380" s="1147"/>
      <c r="CH380" s="1147"/>
      <c r="CI380" s="1147"/>
      <c r="CJ380" s="1147"/>
      <c r="CK380" s="1146"/>
    </row>
    <row r="381" spans="1:89" ht="15" x14ac:dyDescent="0.25">
      <c r="A381" s="1146"/>
      <c r="B381" s="1146"/>
      <c r="C381" s="1146"/>
      <c r="D381" s="1146"/>
      <c r="E381" s="1146"/>
      <c r="F381" s="1146"/>
      <c r="G381" s="1146"/>
      <c r="H381" s="1146"/>
      <c r="I381" s="1146"/>
      <c r="J381" s="1146"/>
      <c r="K381" s="1146"/>
      <c r="L381" s="1146"/>
      <c r="M381" s="1146"/>
      <c r="N381" s="1146"/>
      <c r="O381" s="1146"/>
      <c r="P381" s="1146"/>
      <c r="Q381" s="1146"/>
      <c r="R381" s="1146"/>
      <c r="S381" s="1146"/>
      <c r="T381" s="1147"/>
      <c r="U381" s="1147"/>
      <c r="V381" s="1147"/>
      <c r="W381" s="1147"/>
      <c r="X381" s="1147"/>
      <c r="Y381" s="1147"/>
      <c r="Z381" s="1147"/>
      <c r="AA381" s="1147"/>
      <c r="AB381" s="1147"/>
      <c r="AC381" s="1147"/>
      <c r="AD381" s="1147"/>
      <c r="AE381" s="1147"/>
      <c r="AF381" s="1147"/>
      <c r="AG381" s="1147"/>
      <c r="AH381" s="1147"/>
      <c r="AI381" s="1147"/>
      <c r="AJ381" s="1147"/>
      <c r="AK381" s="1147"/>
      <c r="AL381" s="1147"/>
      <c r="AM381" s="1147"/>
      <c r="AN381" s="1147"/>
      <c r="AO381" s="1147"/>
      <c r="AP381" s="1147"/>
      <c r="AQ381" s="1147"/>
      <c r="AR381" s="1147"/>
      <c r="AS381" s="1147"/>
      <c r="AT381" s="1147"/>
      <c r="AU381" s="1147"/>
      <c r="AV381" s="1147"/>
      <c r="AW381" s="1147"/>
      <c r="AX381" s="1147"/>
      <c r="AY381" s="1147"/>
      <c r="AZ381" s="1147"/>
      <c r="BA381" s="1147"/>
      <c r="BB381" s="1147"/>
      <c r="BC381" s="1147"/>
      <c r="BD381" s="1147"/>
      <c r="BE381" s="1147"/>
      <c r="BF381" s="1147"/>
      <c r="BG381" s="1147"/>
      <c r="BH381" s="1147"/>
      <c r="BI381" s="1147"/>
      <c r="BJ381" s="1147"/>
      <c r="BK381" s="1147"/>
      <c r="BL381" s="1147"/>
      <c r="BM381" s="1147"/>
      <c r="BN381" s="1147"/>
      <c r="BO381" s="1147"/>
      <c r="BP381" s="1147"/>
      <c r="BQ381" s="1147"/>
      <c r="BR381" s="1147"/>
      <c r="BS381" s="1147"/>
      <c r="BT381" s="1147"/>
      <c r="BU381" s="1147"/>
      <c r="BV381" s="1147"/>
      <c r="BW381" s="1147"/>
      <c r="BX381" s="1147"/>
      <c r="BY381" s="1147"/>
      <c r="BZ381" s="1147"/>
      <c r="CA381" s="1147"/>
      <c r="CB381" s="1147"/>
      <c r="CC381" s="1147"/>
      <c r="CD381" s="1147"/>
      <c r="CE381" s="1147"/>
      <c r="CF381" s="1147"/>
      <c r="CG381" s="1147"/>
      <c r="CH381" s="1147"/>
      <c r="CI381" s="1147"/>
      <c r="CJ381" s="1147"/>
      <c r="CK381" s="1146"/>
    </row>
    <row r="382" spans="1:89" ht="15" x14ac:dyDescent="0.25">
      <c r="A382" s="1146"/>
      <c r="B382" s="1146"/>
      <c r="C382" s="1146"/>
      <c r="D382" s="1146"/>
      <c r="E382" s="1146"/>
      <c r="F382" s="1146"/>
      <c r="G382" s="1146"/>
      <c r="H382" s="1146"/>
      <c r="I382" s="1146"/>
      <c r="J382" s="1146"/>
      <c r="K382" s="1146"/>
      <c r="L382" s="1146"/>
      <c r="M382" s="1146"/>
      <c r="N382" s="1146"/>
      <c r="O382" s="1146"/>
      <c r="P382" s="1146"/>
      <c r="Q382" s="1146"/>
      <c r="R382" s="1146"/>
      <c r="S382" s="1146"/>
      <c r="T382" s="1147"/>
      <c r="U382" s="1147"/>
      <c r="V382" s="1147"/>
      <c r="W382" s="1147"/>
      <c r="X382" s="1147"/>
      <c r="Y382" s="1147"/>
      <c r="Z382" s="1147"/>
      <c r="AA382" s="1147"/>
      <c r="AB382" s="1147"/>
      <c r="AC382" s="1147"/>
      <c r="AD382" s="1147"/>
      <c r="AE382" s="1147"/>
      <c r="AF382" s="1147"/>
      <c r="AG382" s="1147"/>
      <c r="AH382" s="1147"/>
      <c r="AI382" s="1147"/>
      <c r="AJ382" s="1147"/>
      <c r="AK382" s="1147"/>
      <c r="AL382" s="1147"/>
      <c r="AM382" s="1147"/>
      <c r="AN382" s="1147"/>
      <c r="AO382" s="1147"/>
      <c r="AP382" s="1147"/>
      <c r="AQ382" s="1147"/>
      <c r="AR382" s="1147"/>
      <c r="AS382" s="1147"/>
      <c r="AT382" s="1147"/>
      <c r="AU382" s="1147"/>
      <c r="AV382" s="1147"/>
      <c r="AW382" s="1147"/>
      <c r="AX382" s="1147"/>
      <c r="AY382" s="1147"/>
      <c r="AZ382" s="1147"/>
      <c r="BA382" s="1147"/>
      <c r="BB382" s="1147"/>
      <c r="BC382" s="1147"/>
      <c r="BD382" s="1147"/>
      <c r="BE382" s="1147"/>
      <c r="BF382" s="1147"/>
      <c r="BG382" s="1147"/>
      <c r="BH382" s="1147"/>
      <c r="BI382" s="1147"/>
      <c r="BJ382" s="1147"/>
      <c r="BK382" s="1147"/>
      <c r="BL382" s="1147"/>
      <c r="BM382" s="1147"/>
      <c r="BN382" s="1147"/>
      <c r="BO382" s="1147"/>
      <c r="BP382" s="1147"/>
      <c r="BQ382" s="1147"/>
      <c r="BR382" s="1147"/>
      <c r="BS382" s="1147"/>
      <c r="BT382" s="1147"/>
      <c r="BU382" s="1147"/>
      <c r="BV382" s="1147"/>
      <c r="BW382" s="1147"/>
      <c r="BX382" s="1147"/>
      <c r="BY382" s="1147"/>
      <c r="BZ382" s="1147"/>
      <c r="CA382" s="1147"/>
      <c r="CB382" s="1147"/>
      <c r="CC382" s="1147"/>
      <c r="CD382" s="1147"/>
      <c r="CE382" s="1147"/>
      <c r="CF382" s="1147"/>
      <c r="CG382" s="1147"/>
      <c r="CH382" s="1147"/>
      <c r="CI382" s="1147"/>
      <c r="CJ382" s="1147"/>
      <c r="CK382" s="1146"/>
    </row>
    <row r="383" spans="1:89" ht="15" x14ac:dyDescent="0.25">
      <c r="A383" s="1146"/>
      <c r="B383" s="1146"/>
      <c r="C383" s="1146"/>
      <c r="D383" s="1146"/>
      <c r="E383" s="1146"/>
      <c r="F383" s="1146"/>
      <c r="G383" s="1146"/>
      <c r="H383" s="1146"/>
      <c r="I383" s="1146"/>
      <c r="J383" s="1146"/>
      <c r="K383" s="1146"/>
      <c r="L383" s="1146"/>
      <c r="M383" s="1146"/>
      <c r="N383" s="1146"/>
      <c r="O383" s="1146"/>
      <c r="P383" s="1146"/>
      <c r="Q383" s="1146"/>
      <c r="R383" s="1146"/>
      <c r="S383" s="1146"/>
      <c r="T383" s="1147"/>
      <c r="U383" s="1147"/>
      <c r="V383" s="1147"/>
      <c r="W383" s="1147"/>
      <c r="X383" s="1147"/>
      <c r="Y383" s="1147"/>
      <c r="Z383" s="1147"/>
      <c r="AA383" s="1147"/>
      <c r="AB383" s="1147"/>
      <c r="AC383" s="1147"/>
      <c r="AD383" s="1147"/>
      <c r="AE383" s="1147"/>
      <c r="AF383" s="1147"/>
      <c r="AG383" s="1147"/>
      <c r="AH383" s="1147"/>
      <c r="AI383" s="1147"/>
      <c r="AJ383" s="1147"/>
      <c r="AK383" s="1147"/>
      <c r="AL383" s="1147"/>
      <c r="AM383" s="1147"/>
      <c r="AN383" s="1147"/>
      <c r="AO383" s="1147"/>
      <c r="AP383" s="1147"/>
      <c r="AQ383" s="1147"/>
      <c r="AR383" s="1147"/>
      <c r="AS383" s="1147"/>
      <c r="AT383" s="1147"/>
      <c r="AU383" s="1147"/>
      <c r="AV383" s="1147"/>
      <c r="AW383" s="1147"/>
      <c r="AX383" s="1147"/>
      <c r="AY383" s="1147"/>
      <c r="AZ383" s="1147"/>
      <c r="BA383" s="1147"/>
      <c r="BB383" s="1147"/>
      <c r="BC383" s="1147"/>
      <c r="BD383" s="1147"/>
      <c r="BE383" s="1147"/>
      <c r="BF383" s="1147"/>
      <c r="BG383" s="1147"/>
      <c r="BH383" s="1147"/>
      <c r="BI383" s="1147"/>
      <c r="BJ383" s="1147"/>
      <c r="BK383" s="1147"/>
      <c r="BL383" s="1147"/>
      <c r="BM383" s="1147"/>
      <c r="BN383" s="1147"/>
      <c r="BO383" s="1147"/>
      <c r="BP383" s="1147"/>
      <c r="BQ383" s="1147"/>
      <c r="BR383" s="1147"/>
      <c r="BS383" s="1147"/>
      <c r="BT383" s="1147"/>
      <c r="BU383" s="1147"/>
      <c r="BV383" s="1147"/>
      <c r="BW383" s="1147"/>
      <c r="BX383" s="1147"/>
      <c r="BY383" s="1147"/>
      <c r="BZ383" s="1147"/>
      <c r="CA383" s="1147"/>
      <c r="CB383" s="1147"/>
      <c r="CC383" s="1147"/>
      <c r="CD383" s="1147"/>
      <c r="CE383" s="1147"/>
      <c r="CF383" s="1147"/>
      <c r="CG383" s="1147"/>
      <c r="CH383" s="1147"/>
      <c r="CI383" s="1147"/>
      <c r="CJ383" s="1147"/>
      <c r="CK383" s="1146"/>
    </row>
    <row r="384" spans="1:89" ht="15" x14ac:dyDescent="0.25">
      <c r="A384" s="1146"/>
      <c r="B384" s="1146"/>
      <c r="C384" s="1146"/>
      <c r="D384" s="1146"/>
      <c r="E384" s="1146"/>
      <c r="F384" s="1146"/>
      <c r="G384" s="1146"/>
      <c r="H384" s="1146"/>
      <c r="I384" s="1146"/>
      <c r="J384" s="1146"/>
      <c r="K384" s="1146"/>
      <c r="L384" s="1146"/>
      <c r="M384" s="1146"/>
      <c r="N384" s="1146"/>
      <c r="O384" s="1146"/>
      <c r="P384" s="1146"/>
      <c r="Q384" s="1146"/>
      <c r="R384" s="1146"/>
      <c r="S384" s="1146"/>
      <c r="T384" s="1147"/>
      <c r="U384" s="1147"/>
      <c r="V384" s="1147"/>
      <c r="W384" s="1147"/>
      <c r="X384" s="1147"/>
      <c r="Y384" s="1147"/>
      <c r="Z384" s="1147"/>
      <c r="AA384" s="1147"/>
      <c r="AB384" s="1147"/>
      <c r="AC384" s="1147"/>
      <c r="AD384" s="1147"/>
      <c r="AE384" s="1147"/>
      <c r="AF384" s="1147"/>
      <c r="AG384" s="1147"/>
      <c r="AH384" s="1147"/>
      <c r="AI384" s="1147"/>
      <c r="AJ384" s="1147"/>
      <c r="AK384" s="1147"/>
      <c r="AL384" s="1147"/>
      <c r="AM384" s="1147"/>
      <c r="AN384" s="1147"/>
      <c r="AO384" s="1147"/>
      <c r="AP384" s="1147"/>
      <c r="AQ384" s="1147"/>
      <c r="AR384" s="1147"/>
      <c r="AS384" s="1147"/>
      <c r="AT384" s="1147"/>
      <c r="AU384" s="1147"/>
      <c r="AV384" s="1147"/>
      <c r="AW384" s="1147"/>
      <c r="AX384" s="1147"/>
      <c r="AY384" s="1147"/>
      <c r="AZ384" s="1147"/>
      <c r="BA384" s="1147"/>
      <c r="BB384" s="1147"/>
      <c r="BC384" s="1147"/>
      <c r="BD384" s="1147"/>
      <c r="BE384" s="1147"/>
      <c r="BF384" s="1147"/>
      <c r="BG384" s="1147"/>
      <c r="BH384" s="1147"/>
      <c r="BI384" s="1147"/>
      <c r="BJ384" s="1147"/>
      <c r="BK384" s="1147"/>
      <c r="BL384" s="1147"/>
      <c r="BM384" s="1147"/>
      <c r="BN384" s="1147"/>
      <c r="BO384" s="1147"/>
      <c r="BP384" s="1147"/>
      <c r="BQ384" s="1147"/>
      <c r="BR384" s="1147"/>
      <c r="BS384" s="1147"/>
      <c r="BT384" s="1147"/>
      <c r="BU384" s="1147"/>
      <c r="BV384" s="1147"/>
      <c r="BW384" s="1147"/>
      <c r="BX384" s="1147"/>
      <c r="BY384" s="1147"/>
      <c r="BZ384" s="1147"/>
      <c r="CA384" s="1147"/>
      <c r="CB384" s="1147"/>
      <c r="CC384" s="1147"/>
      <c r="CD384" s="1147"/>
      <c r="CE384" s="1147"/>
      <c r="CF384" s="1147"/>
      <c r="CG384" s="1147"/>
      <c r="CH384" s="1147"/>
      <c r="CI384" s="1147"/>
      <c r="CJ384" s="1147"/>
      <c r="CK384" s="1146"/>
    </row>
    <row r="385" spans="1:89" ht="15" x14ac:dyDescent="0.25">
      <c r="A385" s="1146"/>
      <c r="B385" s="1146"/>
      <c r="C385" s="1146"/>
      <c r="D385" s="1146"/>
      <c r="E385" s="1146"/>
      <c r="F385" s="1146"/>
      <c r="G385" s="1146"/>
      <c r="H385" s="1146"/>
      <c r="I385" s="1146"/>
      <c r="J385" s="1146"/>
      <c r="K385" s="1146"/>
      <c r="L385" s="1146"/>
      <c r="M385" s="1146"/>
      <c r="N385" s="1146"/>
      <c r="O385" s="1146"/>
      <c r="P385" s="1146"/>
      <c r="Q385" s="1146"/>
      <c r="R385" s="1146"/>
      <c r="S385" s="1146"/>
      <c r="T385" s="1147"/>
      <c r="U385" s="1147"/>
      <c r="V385" s="1147"/>
      <c r="W385" s="1147"/>
      <c r="X385" s="1147"/>
      <c r="Y385" s="1147"/>
      <c r="Z385" s="1147"/>
      <c r="AA385" s="1147"/>
      <c r="AB385" s="1147"/>
      <c r="AC385" s="1147"/>
      <c r="AD385" s="1147"/>
      <c r="AE385" s="1147"/>
      <c r="AF385" s="1147"/>
      <c r="AG385" s="1147"/>
      <c r="AH385" s="1147"/>
      <c r="AI385" s="1147"/>
      <c r="AJ385" s="1147"/>
      <c r="AK385" s="1147"/>
      <c r="AL385" s="1147"/>
      <c r="AM385" s="1147"/>
      <c r="AN385" s="1147"/>
      <c r="AO385" s="1147"/>
      <c r="AP385" s="1147"/>
      <c r="AQ385" s="1147"/>
      <c r="AR385" s="1147"/>
      <c r="AS385" s="1147"/>
      <c r="AT385" s="1147"/>
      <c r="AU385" s="1147"/>
      <c r="AV385" s="1147"/>
      <c r="AW385" s="1147"/>
      <c r="AX385" s="1147"/>
      <c r="AY385" s="1147"/>
      <c r="AZ385" s="1147"/>
      <c r="BA385" s="1147"/>
      <c r="BB385" s="1147"/>
      <c r="BC385" s="1147"/>
      <c r="BD385" s="1147"/>
      <c r="BE385" s="1147"/>
      <c r="BF385" s="1147"/>
      <c r="BG385" s="1147"/>
      <c r="BH385" s="1147"/>
      <c r="BI385" s="1147"/>
      <c r="BJ385" s="1147"/>
      <c r="BK385" s="1147"/>
      <c r="BL385" s="1147"/>
      <c r="BM385" s="1147"/>
      <c r="BN385" s="1147"/>
      <c r="BO385" s="1147"/>
      <c r="BP385" s="1147"/>
      <c r="BQ385" s="1147"/>
      <c r="BR385" s="1147"/>
      <c r="BS385" s="1147"/>
      <c r="BT385" s="1147"/>
      <c r="BU385" s="1147"/>
      <c r="BV385" s="1147"/>
      <c r="BW385" s="1147"/>
      <c r="BX385" s="1147"/>
      <c r="BY385" s="1147"/>
      <c r="BZ385" s="1147"/>
      <c r="CA385" s="1147"/>
      <c r="CB385" s="1147"/>
      <c r="CC385" s="1147"/>
      <c r="CD385" s="1147"/>
      <c r="CE385" s="1147"/>
      <c r="CF385" s="1147"/>
      <c r="CG385" s="1147"/>
      <c r="CH385" s="1147"/>
      <c r="CI385" s="1147"/>
      <c r="CJ385" s="1147"/>
      <c r="CK385" s="1146"/>
    </row>
    <row r="386" spans="1:89" ht="15" x14ac:dyDescent="0.25">
      <c r="A386" s="1146"/>
      <c r="B386" s="1146"/>
      <c r="C386" s="1146"/>
      <c r="D386" s="1146"/>
      <c r="E386" s="1146"/>
      <c r="F386" s="1146"/>
      <c r="G386" s="1146"/>
      <c r="H386" s="1146"/>
      <c r="I386" s="1146"/>
      <c r="J386" s="1146"/>
      <c r="K386" s="1146"/>
      <c r="L386" s="1146"/>
      <c r="M386" s="1146"/>
      <c r="N386" s="1146"/>
      <c r="O386" s="1146"/>
      <c r="P386" s="1146"/>
      <c r="Q386" s="1146"/>
      <c r="R386" s="1146"/>
      <c r="S386" s="1146"/>
      <c r="T386" s="1147"/>
      <c r="U386" s="1147"/>
      <c r="V386" s="1147"/>
      <c r="W386" s="1147"/>
      <c r="X386" s="1147"/>
      <c r="Y386" s="1147"/>
      <c r="Z386" s="1147"/>
      <c r="AA386" s="1147"/>
      <c r="AB386" s="1147"/>
      <c r="AC386" s="1147"/>
      <c r="AD386" s="1147"/>
      <c r="AE386" s="1147"/>
      <c r="AF386" s="1147"/>
      <c r="AG386" s="1147"/>
      <c r="AH386" s="1147"/>
      <c r="AI386" s="1147"/>
      <c r="AJ386" s="1147"/>
      <c r="AK386" s="1147"/>
      <c r="AL386" s="1147"/>
      <c r="AM386" s="1147"/>
      <c r="AN386" s="1147"/>
      <c r="AO386" s="1147"/>
      <c r="AP386" s="1147"/>
      <c r="AQ386" s="1147"/>
      <c r="AR386" s="1147"/>
      <c r="AS386" s="1147"/>
      <c r="AT386" s="1147"/>
      <c r="AU386" s="1147"/>
      <c r="AV386" s="1147"/>
      <c r="AW386" s="1147"/>
      <c r="AX386" s="1147"/>
      <c r="AY386" s="1147"/>
      <c r="AZ386" s="1147"/>
      <c r="BA386" s="1147"/>
      <c r="BB386" s="1147"/>
      <c r="BC386" s="1147"/>
      <c r="BD386" s="1147"/>
      <c r="BE386" s="1147"/>
      <c r="BF386" s="1147"/>
      <c r="BG386" s="1147"/>
      <c r="BH386" s="1147"/>
      <c r="BI386" s="1147"/>
      <c r="BJ386" s="1147"/>
      <c r="BK386" s="1147"/>
      <c r="BL386" s="1147"/>
      <c r="BM386" s="1147"/>
      <c r="BN386" s="1147"/>
      <c r="BO386" s="1147"/>
      <c r="BP386" s="1147"/>
      <c r="BQ386" s="1147"/>
      <c r="BR386" s="1147"/>
      <c r="BS386" s="1147"/>
      <c r="BT386" s="1147"/>
      <c r="BU386" s="1147"/>
      <c r="BV386" s="1147"/>
      <c r="BW386" s="1147"/>
      <c r="BX386" s="1147"/>
      <c r="BY386" s="1147"/>
      <c r="BZ386" s="1147"/>
      <c r="CA386" s="1147"/>
      <c r="CB386" s="1147"/>
      <c r="CC386" s="1147"/>
      <c r="CD386" s="1147"/>
      <c r="CE386" s="1147"/>
      <c r="CF386" s="1147"/>
      <c r="CG386" s="1147"/>
      <c r="CH386" s="1147"/>
      <c r="CI386" s="1147"/>
      <c r="CJ386" s="1147"/>
      <c r="CK386" s="1146"/>
    </row>
    <row r="387" spans="1:89" ht="15" x14ac:dyDescent="0.25">
      <c r="A387" s="1146"/>
      <c r="B387" s="1146"/>
      <c r="C387" s="1146"/>
      <c r="D387" s="1146"/>
      <c r="E387" s="1146"/>
      <c r="F387" s="1146"/>
      <c r="G387" s="1146"/>
      <c r="H387" s="1146"/>
      <c r="I387" s="1146"/>
      <c r="J387" s="1146"/>
      <c r="K387" s="1146"/>
      <c r="L387" s="1146"/>
      <c r="M387" s="1146"/>
      <c r="N387" s="1146"/>
      <c r="O387" s="1146"/>
      <c r="P387" s="1146"/>
      <c r="Q387" s="1146"/>
      <c r="R387" s="1146"/>
      <c r="S387" s="1146"/>
      <c r="T387" s="1147"/>
      <c r="U387" s="1147"/>
      <c r="V387" s="1147"/>
      <c r="W387" s="1147"/>
      <c r="X387" s="1147"/>
      <c r="Y387" s="1147"/>
      <c r="Z387" s="1147"/>
      <c r="AA387" s="1147"/>
      <c r="AB387" s="1147"/>
      <c r="AC387" s="1147"/>
      <c r="AD387" s="1147"/>
      <c r="AE387" s="1147"/>
      <c r="AF387" s="1147"/>
      <c r="AG387" s="1147"/>
      <c r="AH387" s="1147"/>
      <c r="AI387" s="1147"/>
      <c r="AJ387" s="1147"/>
      <c r="AK387" s="1147"/>
      <c r="AL387" s="1147"/>
      <c r="AM387" s="1147"/>
      <c r="AN387" s="1147"/>
      <c r="AO387" s="1147"/>
      <c r="AP387" s="1147"/>
      <c r="AQ387" s="1147"/>
      <c r="AR387" s="1147"/>
      <c r="AS387" s="1147"/>
      <c r="AT387" s="1147"/>
      <c r="AU387" s="1147"/>
      <c r="AV387" s="1147"/>
      <c r="AW387" s="1147"/>
      <c r="AX387" s="1147"/>
      <c r="AY387" s="1147"/>
      <c r="AZ387" s="1147"/>
      <c r="BA387" s="1147"/>
      <c r="BB387" s="1147"/>
      <c r="BC387" s="1147"/>
      <c r="BD387" s="1147"/>
      <c r="BE387" s="1147"/>
      <c r="BF387" s="1147"/>
      <c r="BG387" s="1147"/>
      <c r="BH387" s="1147"/>
      <c r="BI387" s="1147"/>
      <c r="BJ387" s="1147"/>
      <c r="BK387" s="1147"/>
      <c r="BL387" s="1147"/>
      <c r="BM387" s="1147"/>
      <c r="BN387" s="1147"/>
      <c r="BO387" s="1147"/>
      <c r="BP387" s="1147"/>
      <c r="BQ387" s="1147"/>
      <c r="BR387" s="1147"/>
      <c r="BS387" s="1147"/>
      <c r="BT387" s="1147"/>
      <c r="BU387" s="1147"/>
      <c r="BV387" s="1147"/>
      <c r="BW387" s="1147"/>
      <c r="BX387" s="1147"/>
      <c r="BY387" s="1147"/>
      <c r="BZ387" s="1147"/>
      <c r="CA387" s="1147"/>
      <c r="CB387" s="1147"/>
      <c r="CC387" s="1147"/>
      <c r="CD387" s="1147"/>
      <c r="CE387" s="1147"/>
      <c r="CF387" s="1147"/>
      <c r="CG387" s="1147"/>
      <c r="CH387" s="1147"/>
      <c r="CI387" s="1147"/>
      <c r="CJ387" s="1147"/>
      <c r="CK387" s="1146"/>
    </row>
    <row r="388" spans="1:89" ht="15" x14ac:dyDescent="0.25">
      <c r="A388" s="1146"/>
      <c r="B388" s="1146"/>
      <c r="C388" s="1146"/>
      <c r="D388" s="1146"/>
      <c r="E388" s="1146"/>
      <c r="F388" s="1146"/>
      <c r="G388" s="1146"/>
      <c r="H388" s="1146"/>
      <c r="I388" s="1146"/>
      <c r="J388" s="1146"/>
      <c r="K388" s="1146"/>
      <c r="L388" s="1146"/>
      <c r="M388" s="1146"/>
      <c r="N388" s="1146"/>
      <c r="O388" s="1146"/>
      <c r="P388" s="1146"/>
      <c r="Q388" s="1146"/>
      <c r="R388" s="1146"/>
      <c r="S388" s="1146"/>
      <c r="T388" s="1147"/>
      <c r="U388" s="1147"/>
      <c r="V388" s="1147"/>
      <c r="W388" s="1147"/>
      <c r="X388" s="1147"/>
      <c r="Y388" s="1147"/>
      <c r="Z388" s="1147"/>
      <c r="AA388" s="1147"/>
      <c r="AB388" s="1147"/>
      <c r="AC388" s="1147"/>
      <c r="AD388" s="1147"/>
      <c r="AE388" s="1147"/>
      <c r="AF388" s="1147"/>
      <c r="AG388" s="1147"/>
      <c r="AH388" s="1147"/>
      <c r="AI388" s="1147"/>
      <c r="AJ388" s="1147"/>
      <c r="AK388" s="1147"/>
      <c r="AL388" s="1147"/>
      <c r="AM388" s="1147"/>
      <c r="AN388" s="1147"/>
      <c r="AO388" s="1147"/>
      <c r="AP388" s="1147"/>
      <c r="AQ388" s="1147"/>
      <c r="AR388" s="1147"/>
      <c r="AS388" s="1147"/>
      <c r="AT388" s="1147"/>
      <c r="AU388" s="1147"/>
      <c r="AV388" s="1147"/>
      <c r="AW388" s="1147"/>
      <c r="AX388" s="1147"/>
      <c r="AY388" s="1147"/>
      <c r="AZ388" s="1147"/>
      <c r="BA388" s="1147"/>
      <c r="BB388" s="1147"/>
      <c r="BC388" s="1147"/>
      <c r="BD388" s="1147"/>
      <c r="BE388" s="1147"/>
      <c r="BF388" s="1147"/>
      <c r="BG388" s="1147"/>
      <c r="BH388" s="1147"/>
      <c r="BI388" s="1147"/>
      <c r="BJ388" s="1147"/>
      <c r="BK388" s="1147"/>
      <c r="BL388" s="1147"/>
      <c r="BM388" s="1147"/>
      <c r="BN388" s="1147"/>
      <c r="BO388" s="1147"/>
      <c r="BP388" s="1147"/>
      <c r="BQ388" s="1147"/>
      <c r="BR388" s="1147"/>
      <c r="BS388" s="1147"/>
      <c r="BT388" s="1147"/>
      <c r="BU388" s="1147"/>
      <c r="BV388" s="1147"/>
      <c r="BW388" s="1147"/>
      <c r="BX388" s="1147"/>
      <c r="BY388" s="1147"/>
      <c r="BZ388" s="1147"/>
      <c r="CA388" s="1147"/>
      <c r="CB388" s="1147"/>
      <c r="CC388" s="1147"/>
      <c r="CD388" s="1147"/>
      <c r="CE388" s="1147"/>
      <c r="CF388" s="1147"/>
      <c r="CG388" s="1147"/>
      <c r="CH388" s="1147"/>
      <c r="CI388" s="1147"/>
      <c r="CJ388" s="1147"/>
      <c r="CK388" s="1146"/>
    </row>
    <row r="389" spans="1:89" ht="15" x14ac:dyDescent="0.25">
      <c r="A389" s="1146"/>
      <c r="B389" s="1146"/>
      <c r="C389" s="1146"/>
      <c r="D389" s="1146"/>
      <c r="E389" s="1146"/>
      <c r="F389" s="1146"/>
      <c r="G389" s="1146"/>
      <c r="H389" s="1146"/>
      <c r="I389" s="1146"/>
      <c r="J389" s="1146"/>
      <c r="K389" s="1146"/>
      <c r="L389" s="1146"/>
      <c r="M389" s="1146"/>
      <c r="N389" s="1146"/>
      <c r="O389" s="1146"/>
      <c r="P389" s="1146"/>
      <c r="Q389" s="1146"/>
      <c r="R389" s="1146"/>
      <c r="S389" s="1146"/>
      <c r="T389" s="1147"/>
      <c r="U389" s="1147"/>
      <c r="V389" s="1147"/>
      <c r="W389" s="1147"/>
      <c r="X389" s="1147"/>
      <c r="Y389" s="1147"/>
      <c r="Z389" s="1147"/>
      <c r="AA389" s="1147"/>
      <c r="AB389" s="1147"/>
      <c r="AC389" s="1147"/>
      <c r="AD389" s="1147"/>
      <c r="AE389" s="1147"/>
      <c r="AF389" s="1147"/>
      <c r="AG389" s="1147"/>
      <c r="AH389" s="1147"/>
      <c r="AI389" s="1147"/>
      <c r="AJ389" s="1147"/>
      <c r="AK389" s="1147"/>
      <c r="AL389" s="1147"/>
      <c r="AM389" s="1147"/>
      <c r="AN389" s="1147"/>
      <c r="AO389" s="1147"/>
      <c r="AP389" s="1147"/>
      <c r="AQ389" s="1147"/>
      <c r="AR389" s="1147"/>
      <c r="AS389" s="1147"/>
      <c r="AT389" s="1147"/>
      <c r="AU389" s="1147"/>
      <c r="AV389" s="1147"/>
      <c r="AW389" s="1147"/>
      <c r="AX389" s="1147"/>
      <c r="AY389" s="1147"/>
      <c r="AZ389" s="1147"/>
      <c r="BA389" s="1147"/>
      <c r="BB389" s="1147"/>
      <c r="BC389" s="1147"/>
      <c r="BD389" s="1147"/>
      <c r="BE389" s="1147"/>
      <c r="BF389" s="1147"/>
      <c r="BG389" s="1147"/>
      <c r="BH389" s="1147"/>
      <c r="BI389" s="1147"/>
      <c r="BJ389" s="1147"/>
      <c r="BK389" s="1147"/>
      <c r="BL389" s="1147"/>
      <c r="BM389" s="1147"/>
      <c r="BN389" s="1147"/>
      <c r="BO389" s="1147"/>
      <c r="BP389" s="1147"/>
      <c r="BQ389" s="1147"/>
      <c r="BR389" s="1147"/>
      <c r="BS389" s="1147"/>
      <c r="BT389" s="1147"/>
      <c r="BU389" s="1147"/>
      <c r="BV389" s="1147"/>
      <c r="BW389" s="1147"/>
      <c r="BX389" s="1147"/>
      <c r="BY389" s="1147"/>
      <c r="BZ389" s="1147"/>
      <c r="CA389" s="1147"/>
      <c r="CB389" s="1147"/>
      <c r="CC389" s="1147"/>
      <c r="CD389" s="1147"/>
      <c r="CE389" s="1147"/>
      <c r="CF389" s="1147"/>
      <c r="CG389" s="1147"/>
      <c r="CH389" s="1147"/>
      <c r="CI389" s="1147"/>
      <c r="CJ389" s="1147"/>
      <c r="CK389" s="1146"/>
    </row>
    <row r="390" spans="1:89" ht="15" x14ac:dyDescent="0.25">
      <c r="A390" s="1146"/>
      <c r="B390" s="1146"/>
      <c r="C390" s="1146"/>
      <c r="D390" s="1146"/>
      <c r="E390" s="1146"/>
      <c r="F390" s="1146"/>
      <c r="G390" s="1146"/>
      <c r="H390" s="1146"/>
      <c r="I390" s="1146"/>
      <c r="J390" s="1146"/>
      <c r="K390" s="1146"/>
      <c r="L390" s="1146"/>
      <c r="M390" s="1146"/>
      <c r="N390" s="1146"/>
      <c r="O390" s="1146"/>
      <c r="P390" s="1146"/>
      <c r="Q390" s="1146"/>
      <c r="R390" s="1146"/>
      <c r="S390" s="1146"/>
      <c r="T390" s="1147"/>
      <c r="U390" s="1147"/>
      <c r="V390" s="1147"/>
      <c r="W390" s="1147"/>
      <c r="X390" s="1147"/>
      <c r="Y390" s="1147"/>
      <c r="Z390" s="1147"/>
      <c r="AA390" s="1147"/>
      <c r="AB390" s="1147"/>
      <c r="AC390" s="1147"/>
      <c r="AD390" s="1147"/>
      <c r="AE390" s="1147"/>
      <c r="AF390" s="1147"/>
      <c r="AG390" s="1147"/>
      <c r="AH390" s="1147"/>
      <c r="AI390" s="1147"/>
      <c r="AJ390" s="1147"/>
      <c r="AK390" s="1147"/>
      <c r="AL390" s="1147"/>
      <c r="AM390" s="1147"/>
      <c r="AN390" s="1147"/>
      <c r="AO390" s="1147"/>
      <c r="AP390" s="1147"/>
      <c r="AQ390" s="1147"/>
      <c r="AR390" s="1147"/>
      <c r="AS390" s="1147"/>
      <c r="AT390" s="1147"/>
      <c r="AU390" s="1147"/>
      <c r="AV390" s="1147"/>
      <c r="AW390" s="1147"/>
      <c r="AX390" s="1147"/>
      <c r="AY390" s="1147"/>
      <c r="AZ390" s="1147"/>
      <c r="BA390" s="1147"/>
      <c r="BB390" s="1147"/>
      <c r="BC390" s="1147"/>
      <c r="BD390" s="1147"/>
      <c r="BE390" s="1147"/>
      <c r="BF390" s="1147"/>
      <c r="BG390" s="1147"/>
      <c r="BH390" s="1147"/>
      <c r="BI390" s="1147"/>
      <c r="BJ390" s="1147"/>
      <c r="BK390" s="1147"/>
      <c r="BL390" s="1147"/>
      <c r="BM390" s="1147"/>
      <c r="BN390" s="1147"/>
      <c r="BO390" s="1147"/>
      <c r="BP390" s="1147"/>
      <c r="BQ390" s="1147"/>
      <c r="BR390" s="1147"/>
      <c r="BS390" s="1147"/>
      <c r="BT390" s="1147"/>
      <c r="BU390" s="1147"/>
      <c r="BV390" s="1147"/>
      <c r="BW390" s="1147"/>
      <c r="BX390" s="1147"/>
      <c r="BY390" s="1147"/>
      <c r="BZ390" s="1147"/>
      <c r="CA390" s="1147"/>
      <c r="CB390" s="1147"/>
      <c r="CC390" s="1147"/>
      <c r="CD390" s="1147"/>
      <c r="CE390" s="1147"/>
      <c r="CF390" s="1147"/>
      <c r="CG390" s="1147"/>
      <c r="CH390" s="1147"/>
      <c r="CI390" s="1147"/>
      <c r="CJ390" s="1147"/>
      <c r="CK390" s="1146"/>
    </row>
    <row r="391" spans="1:89" ht="15" x14ac:dyDescent="0.25">
      <c r="A391" s="1146"/>
      <c r="B391" s="1146"/>
      <c r="C391" s="1146"/>
      <c r="D391" s="1146"/>
      <c r="E391" s="1146"/>
      <c r="F391" s="1146"/>
      <c r="G391" s="1146"/>
      <c r="H391" s="1146"/>
      <c r="I391" s="1146"/>
      <c r="J391" s="1146"/>
      <c r="K391" s="1146"/>
      <c r="L391" s="1146"/>
      <c r="M391" s="1146"/>
      <c r="N391" s="1146"/>
      <c r="O391" s="1146"/>
      <c r="P391" s="1146"/>
      <c r="Q391" s="1146"/>
      <c r="R391" s="1146"/>
      <c r="S391" s="1146"/>
      <c r="T391" s="1147"/>
      <c r="U391" s="1147"/>
      <c r="V391" s="1147"/>
      <c r="W391" s="1147"/>
      <c r="X391" s="1147"/>
      <c r="Y391" s="1147"/>
      <c r="Z391" s="1147"/>
      <c r="AA391" s="1147"/>
      <c r="AB391" s="1147"/>
      <c r="AC391" s="1147"/>
      <c r="AD391" s="1147"/>
      <c r="AE391" s="1147"/>
      <c r="AF391" s="1147"/>
      <c r="AG391" s="1147"/>
      <c r="AH391" s="1147"/>
      <c r="AI391" s="1147"/>
      <c r="AJ391" s="1147"/>
      <c r="AK391" s="1147"/>
      <c r="AL391" s="1147"/>
      <c r="AM391" s="1147"/>
      <c r="AN391" s="1147"/>
      <c r="AO391" s="1147"/>
      <c r="AP391" s="1147"/>
      <c r="AQ391" s="1147"/>
      <c r="AR391" s="1147"/>
      <c r="AS391" s="1147"/>
      <c r="AT391" s="1147"/>
      <c r="AU391" s="1147"/>
      <c r="AV391" s="1147"/>
      <c r="AW391" s="1147"/>
      <c r="AX391" s="1147"/>
      <c r="AY391" s="1147"/>
      <c r="AZ391" s="1147"/>
      <c r="BA391" s="1147"/>
      <c r="BB391" s="1147"/>
      <c r="BC391" s="1147"/>
      <c r="BD391" s="1147"/>
      <c r="BE391" s="1147"/>
      <c r="BF391" s="1147"/>
      <c r="BG391" s="1147"/>
      <c r="BH391" s="1147"/>
      <c r="BI391" s="1147"/>
      <c r="BJ391" s="1147"/>
      <c r="BK391" s="1147"/>
      <c r="BL391" s="1147"/>
      <c r="BM391" s="1147"/>
      <c r="BN391" s="1147"/>
      <c r="BO391" s="1147"/>
      <c r="BP391" s="1147"/>
      <c r="BQ391" s="1147"/>
      <c r="BR391" s="1147"/>
      <c r="BS391" s="1147"/>
      <c r="BT391" s="1147"/>
      <c r="BU391" s="1147"/>
      <c r="BV391" s="1147"/>
      <c r="BW391" s="1147"/>
      <c r="BX391" s="1147"/>
      <c r="BY391" s="1147"/>
      <c r="BZ391" s="1147"/>
      <c r="CA391" s="1147"/>
      <c r="CB391" s="1147"/>
      <c r="CC391" s="1147"/>
      <c r="CD391" s="1147"/>
      <c r="CE391" s="1147"/>
      <c r="CF391" s="1147"/>
      <c r="CG391" s="1147"/>
      <c r="CH391" s="1147"/>
      <c r="CI391" s="1147"/>
      <c r="CJ391" s="1147"/>
      <c r="CK391" s="1146"/>
    </row>
    <row r="392" spans="1:89" ht="15" x14ac:dyDescent="0.25">
      <c r="A392" s="1146"/>
      <c r="B392" s="1146"/>
      <c r="C392" s="1146"/>
      <c r="D392" s="1146"/>
      <c r="E392" s="1146"/>
      <c r="F392" s="1146"/>
      <c r="G392" s="1146"/>
      <c r="H392" s="1146"/>
      <c r="I392" s="1146"/>
      <c r="J392" s="1146"/>
      <c r="K392" s="1146"/>
      <c r="L392" s="1146"/>
      <c r="M392" s="1146"/>
      <c r="N392" s="1146"/>
      <c r="O392" s="1146"/>
      <c r="P392" s="1146"/>
      <c r="Q392" s="1146"/>
      <c r="R392" s="1146"/>
      <c r="S392" s="1146"/>
      <c r="T392" s="1147"/>
      <c r="U392" s="1147"/>
      <c r="V392" s="1147"/>
      <c r="W392" s="1147"/>
      <c r="X392" s="1147"/>
      <c r="Y392" s="1147"/>
      <c r="Z392" s="1147"/>
      <c r="AA392" s="1147"/>
      <c r="AB392" s="1147"/>
      <c r="AC392" s="1147"/>
      <c r="AD392" s="1147"/>
      <c r="AE392" s="1147"/>
      <c r="AF392" s="1147"/>
      <c r="AG392" s="1147"/>
      <c r="AH392" s="1147"/>
      <c r="AI392" s="1147"/>
      <c r="AJ392" s="1147"/>
      <c r="AK392" s="1147"/>
      <c r="AL392" s="1147"/>
      <c r="AM392" s="1147"/>
      <c r="AN392" s="1147"/>
      <c r="AO392" s="1147"/>
      <c r="AP392" s="1147"/>
      <c r="AQ392" s="1147"/>
      <c r="AR392" s="1147"/>
      <c r="AS392" s="1147"/>
      <c r="AT392" s="1147"/>
      <c r="AU392" s="1147"/>
      <c r="AV392" s="1147"/>
      <c r="AW392" s="1147"/>
      <c r="AX392" s="1147"/>
      <c r="AY392" s="1147"/>
      <c r="AZ392" s="1147"/>
      <c r="BA392" s="1147"/>
      <c r="BB392" s="1147"/>
      <c r="BC392" s="1147"/>
      <c r="BD392" s="1147"/>
      <c r="BE392" s="1147"/>
      <c r="BF392" s="1147"/>
      <c r="BG392" s="1147"/>
      <c r="BH392" s="1147"/>
      <c r="BI392" s="1147"/>
      <c r="BJ392" s="1147"/>
      <c r="BK392" s="1147"/>
      <c r="BL392" s="1147"/>
      <c r="BM392" s="1147"/>
      <c r="BN392" s="1147"/>
      <c r="BO392" s="1147"/>
      <c r="BP392" s="1147"/>
      <c r="BQ392" s="1147"/>
      <c r="BR392" s="1147"/>
      <c r="BS392" s="1147"/>
      <c r="BT392" s="1147"/>
      <c r="BU392" s="1147"/>
      <c r="BV392" s="1147"/>
      <c r="BW392" s="1147"/>
      <c r="BX392" s="1147"/>
      <c r="BY392" s="1147"/>
      <c r="BZ392" s="1147"/>
      <c r="CA392" s="1147"/>
      <c r="CB392" s="1147"/>
      <c r="CC392" s="1147"/>
      <c r="CD392" s="1147"/>
      <c r="CE392" s="1147"/>
      <c r="CF392" s="1147"/>
      <c r="CG392" s="1147"/>
      <c r="CH392" s="1147"/>
      <c r="CI392" s="1147"/>
      <c r="CJ392" s="1147"/>
      <c r="CK392" s="1146"/>
    </row>
    <row r="393" spans="1:89" ht="15" x14ac:dyDescent="0.25">
      <c r="A393" s="1146"/>
      <c r="B393" s="1146"/>
      <c r="C393" s="1146"/>
      <c r="D393" s="1146"/>
      <c r="E393" s="1146"/>
      <c r="F393" s="1146"/>
      <c r="G393" s="1146"/>
      <c r="H393" s="1146"/>
      <c r="I393" s="1146"/>
      <c r="J393" s="1146"/>
      <c r="K393" s="1146"/>
      <c r="L393" s="1146"/>
      <c r="M393" s="1146"/>
      <c r="N393" s="1146"/>
      <c r="O393" s="1146"/>
      <c r="P393" s="1146"/>
      <c r="Q393" s="1146"/>
      <c r="R393" s="1146"/>
      <c r="S393" s="1146"/>
      <c r="T393" s="1147"/>
      <c r="U393" s="1147"/>
      <c r="V393" s="1147"/>
      <c r="W393" s="1147"/>
      <c r="X393" s="1147"/>
      <c r="Y393" s="1147"/>
      <c r="Z393" s="1147"/>
      <c r="AA393" s="1147"/>
      <c r="AB393" s="1147"/>
      <c r="AC393" s="1147"/>
      <c r="AD393" s="1147"/>
      <c r="AE393" s="1147"/>
      <c r="AF393" s="1147"/>
      <c r="AG393" s="1147"/>
      <c r="AH393" s="1147"/>
      <c r="AI393" s="1147"/>
      <c r="AJ393" s="1147"/>
      <c r="AK393" s="1147"/>
      <c r="AL393" s="1147"/>
      <c r="AM393" s="1147"/>
      <c r="AN393" s="1147"/>
      <c r="AO393" s="1147"/>
      <c r="AP393" s="1147"/>
      <c r="AQ393" s="1147"/>
      <c r="AR393" s="1147"/>
      <c r="AS393" s="1147"/>
      <c r="AT393" s="1147"/>
      <c r="AU393" s="1147"/>
      <c r="AV393" s="1147"/>
      <c r="AW393" s="1147"/>
      <c r="AX393" s="1147"/>
      <c r="AY393" s="1147"/>
      <c r="AZ393" s="1147"/>
      <c r="BA393" s="1147"/>
      <c r="BB393" s="1147"/>
      <c r="BC393" s="1147"/>
      <c r="BD393" s="1147"/>
      <c r="BE393" s="1147"/>
      <c r="BF393" s="1147"/>
      <c r="BG393" s="1147"/>
      <c r="BH393" s="1147"/>
      <c r="BI393" s="1147"/>
      <c r="BJ393" s="1147"/>
      <c r="BK393" s="1147"/>
      <c r="BL393" s="1147"/>
      <c r="BM393" s="1147"/>
      <c r="BN393" s="1147"/>
      <c r="BO393" s="1147"/>
      <c r="BP393" s="1147"/>
      <c r="BQ393" s="1147"/>
      <c r="BR393" s="1147"/>
      <c r="BS393" s="1147"/>
      <c r="BT393" s="1147"/>
      <c r="BU393" s="1147"/>
      <c r="BV393" s="1147"/>
      <c r="BW393" s="1147"/>
      <c r="BX393" s="1147"/>
      <c r="BY393" s="1147"/>
      <c r="BZ393" s="1147"/>
      <c r="CA393" s="1147"/>
      <c r="CB393" s="1147"/>
      <c r="CC393" s="1147"/>
      <c r="CD393" s="1147"/>
      <c r="CE393" s="1147"/>
      <c r="CF393" s="1147"/>
      <c r="CG393" s="1147"/>
      <c r="CH393" s="1147"/>
      <c r="CI393" s="1147"/>
      <c r="CJ393" s="1147"/>
      <c r="CK393" s="1146"/>
    </row>
    <row r="394" spans="1:89" ht="15" x14ac:dyDescent="0.25">
      <c r="A394" s="1146"/>
      <c r="B394" s="1146"/>
      <c r="C394" s="1146"/>
      <c r="D394" s="1146"/>
      <c r="E394" s="1146"/>
      <c r="F394" s="1146"/>
      <c r="G394" s="1146"/>
      <c r="H394" s="1146"/>
      <c r="I394" s="1146"/>
      <c r="J394" s="1146"/>
      <c r="K394" s="1146"/>
      <c r="L394" s="1146"/>
      <c r="M394" s="1146"/>
      <c r="N394" s="1146"/>
      <c r="O394" s="1146"/>
      <c r="P394" s="1146"/>
      <c r="Q394" s="1146"/>
      <c r="R394" s="1146"/>
      <c r="S394" s="1146"/>
      <c r="T394" s="1147"/>
      <c r="U394" s="1147"/>
      <c r="V394" s="1147"/>
      <c r="W394" s="1147"/>
      <c r="X394" s="1147"/>
      <c r="Y394" s="1147"/>
      <c r="Z394" s="1147"/>
      <c r="AA394" s="1147"/>
      <c r="AB394" s="1147"/>
      <c r="AC394" s="1147"/>
      <c r="AD394" s="1147"/>
      <c r="AE394" s="1147"/>
      <c r="AF394" s="1147"/>
      <c r="AG394" s="1147"/>
      <c r="AH394" s="1147"/>
      <c r="AI394" s="1147"/>
      <c r="AJ394" s="1147"/>
      <c r="AK394" s="1147"/>
      <c r="AL394" s="1147"/>
      <c r="AM394" s="1147"/>
      <c r="AN394" s="1147"/>
      <c r="AO394" s="1147"/>
      <c r="AP394" s="1147"/>
      <c r="AQ394" s="1147"/>
      <c r="AR394" s="1147"/>
      <c r="AS394" s="1147"/>
      <c r="AT394" s="1147"/>
      <c r="AU394" s="1147"/>
      <c r="AV394" s="1147"/>
      <c r="AW394" s="1147"/>
      <c r="AX394" s="1147"/>
      <c r="AY394" s="1147"/>
      <c r="AZ394" s="1147"/>
      <c r="BA394" s="1147"/>
      <c r="BB394" s="1147"/>
      <c r="BC394" s="1147"/>
      <c r="BD394" s="1147"/>
      <c r="BE394" s="1147"/>
      <c r="BF394" s="1147"/>
      <c r="BG394" s="1147"/>
      <c r="BH394" s="1147"/>
      <c r="BI394" s="1147"/>
      <c r="BJ394" s="1147"/>
      <c r="BK394" s="1147"/>
      <c r="BL394" s="1147"/>
      <c r="BM394" s="1147"/>
      <c r="BN394" s="1147"/>
      <c r="BO394" s="1147"/>
      <c r="BP394" s="1147"/>
      <c r="BQ394" s="1147"/>
      <c r="BR394" s="1147"/>
      <c r="BS394" s="1147"/>
      <c r="BT394" s="1147"/>
      <c r="BU394" s="1147"/>
      <c r="BV394" s="1147"/>
      <c r="BW394" s="1147"/>
      <c r="BX394" s="1147"/>
      <c r="BY394" s="1147"/>
      <c r="BZ394" s="1147"/>
      <c r="CA394" s="1147"/>
      <c r="CB394" s="1147"/>
      <c r="CC394" s="1147"/>
      <c r="CD394" s="1147"/>
      <c r="CE394" s="1147"/>
      <c r="CF394" s="1147"/>
      <c r="CG394" s="1147"/>
      <c r="CH394" s="1147"/>
      <c r="CI394" s="1147"/>
      <c r="CJ394" s="1147"/>
      <c r="CK394" s="1146"/>
    </row>
    <row r="395" spans="1:89" ht="15" x14ac:dyDescent="0.25">
      <c r="A395" s="1146"/>
      <c r="B395" s="1146"/>
      <c r="C395" s="1146"/>
      <c r="D395" s="1146"/>
      <c r="E395" s="1146"/>
      <c r="F395" s="1146"/>
      <c r="G395" s="1146"/>
      <c r="H395" s="1146"/>
      <c r="I395" s="1146"/>
      <c r="J395" s="1146"/>
      <c r="K395" s="1146"/>
      <c r="L395" s="1146"/>
      <c r="M395" s="1146"/>
      <c r="N395" s="1146"/>
      <c r="O395" s="1146"/>
      <c r="P395" s="1146"/>
      <c r="Q395" s="1146"/>
      <c r="R395" s="1146"/>
      <c r="S395" s="1146"/>
      <c r="T395" s="1147"/>
      <c r="U395" s="1147"/>
      <c r="V395" s="1147"/>
      <c r="W395" s="1147"/>
      <c r="X395" s="1147"/>
      <c r="Y395" s="1147"/>
      <c r="Z395" s="1147"/>
      <c r="AA395" s="1147"/>
      <c r="AB395" s="1147"/>
      <c r="AC395" s="1147"/>
      <c r="AD395" s="1147"/>
      <c r="AE395" s="1147"/>
      <c r="AF395" s="1147"/>
      <c r="AG395" s="1147"/>
      <c r="AH395" s="1147"/>
      <c r="AI395" s="1147"/>
      <c r="AJ395" s="1147"/>
      <c r="AK395" s="1147"/>
      <c r="AL395" s="1147"/>
      <c r="AM395" s="1147"/>
      <c r="AN395" s="1147"/>
      <c r="AO395" s="1147"/>
      <c r="AP395" s="1147"/>
      <c r="AQ395" s="1147"/>
      <c r="AR395" s="1147"/>
      <c r="AS395" s="1147"/>
      <c r="AT395" s="1147"/>
      <c r="AU395" s="1147"/>
      <c r="AV395" s="1147"/>
      <c r="AW395" s="1147"/>
      <c r="AX395" s="1147"/>
      <c r="AY395" s="1147"/>
      <c r="AZ395" s="1147"/>
      <c r="BA395" s="1147"/>
      <c r="BB395" s="1147"/>
      <c r="BC395" s="1147"/>
      <c r="BD395" s="1147"/>
      <c r="BE395" s="1147"/>
      <c r="BF395" s="1147"/>
      <c r="BG395" s="1147"/>
      <c r="BH395" s="1147"/>
      <c r="BI395" s="1147"/>
      <c r="BJ395" s="1147"/>
      <c r="BK395" s="1147"/>
      <c r="BL395" s="1147"/>
      <c r="BM395" s="1147"/>
      <c r="BN395" s="1147"/>
      <c r="BO395" s="1147"/>
      <c r="BP395" s="1147"/>
      <c r="BQ395" s="1147"/>
      <c r="BR395" s="1147"/>
      <c r="BS395" s="1147"/>
      <c r="BT395" s="1147"/>
      <c r="BU395" s="1147"/>
      <c r="BV395" s="1147"/>
      <c r="BW395" s="1147"/>
      <c r="BX395" s="1147"/>
      <c r="BY395" s="1147"/>
      <c r="BZ395" s="1147"/>
      <c r="CA395" s="1147"/>
      <c r="CB395" s="1147"/>
      <c r="CC395" s="1147"/>
      <c r="CD395" s="1147"/>
      <c r="CE395" s="1147"/>
      <c r="CF395" s="1147"/>
      <c r="CG395" s="1147"/>
      <c r="CH395" s="1147"/>
      <c r="CI395" s="1147"/>
      <c r="CJ395" s="1147"/>
      <c r="CK395" s="1146"/>
    </row>
    <row r="396" spans="1:89" ht="15" x14ac:dyDescent="0.25">
      <c r="A396" s="1146"/>
      <c r="B396" s="1146"/>
      <c r="C396" s="1146"/>
      <c r="D396" s="1146"/>
      <c r="E396" s="1146"/>
      <c r="F396" s="1146"/>
      <c r="G396" s="1146"/>
      <c r="H396" s="1146"/>
      <c r="I396" s="1146"/>
      <c r="J396" s="1146"/>
      <c r="K396" s="1146"/>
      <c r="L396" s="1146"/>
      <c r="M396" s="1146"/>
      <c r="N396" s="1146"/>
      <c r="O396" s="1146"/>
      <c r="P396" s="1146"/>
      <c r="Q396" s="1146"/>
      <c r="R396" s="1146"/>
      <c r="S396" s="1146"/>
      <c r="T396" s="1147"/>
      <c r="U396" s="1147"/>
      <c r="V396" s="1147"/>
      <c r="W396" s="1147"/>
      <c r="X396" s="1147"/>
      <c r="Y396" s="1147"/>
      <c r="Z396" s="1147"/>
      <c r="AA396" s="1147"/>
      <c r="AB396" s="1147"/>
      <c r="AC396" s="1147"/>
      <c r="AD396" s="1147"/>
      <c r="AE396" s="1147"/>
      <c r="AF396" s="1147"/>
      <c r="AG396" s="1147"/>
      <c r="AH396" s="1147"/>
      <c r="AI396" s="1147"/>
      <c r="AJ396" s="1147"/>
      <c r="AK396" s="1147"/>
      <c r="AL396" s="1147"/>
      <c r="AM396" s="1147"/>
      <c r="AN396" s="1147"/>
      <c r="AO396" s="1147"/>
      <c r="AP396" s="1147"/>
      <c r="AQ396" s="1147"/>
      <c r="AR396" s="1147"/>
      <c r="AS396" s="1147"/>
      <c r="AT396" s="1147"/>
      <c r="AU396" s="1147"/>
      <c r="AV396" s="1147"/>
      <c r="AW396" s="1147"/>
      <c r="AX396" s="1147"/>
      <c r="AY396" s="1147"/>
      <c r="AZ396" s="1147"/>
      <c r="BA396" s="1147"/>
      <c r="BB396" s="1147"/>
      <c r="BC396" s="1147"/>
      <c r="BD396" s="1147"/>
      <c r="BE396" s="1147"/>
      <c r="BF396" s="1147"/>
      <c r="BG396" s="1147"/>
      <c r="BH396" s="1147"/>
      <c r="BI396" s="1147"/>
      <c r="BJ396" s="1147"/>
      <c r="BK396" s="1147"/>
      <c r="BL396" s="1147"/>
      <c r="BM396" s="1147"/>
      <c r="BN396" s="1147"/>
      <c r="BO396" s="1147"/>
      <c r="BP396" s="1147"/>
      <c r="BQ396" s="1147"/>
      <c r="BR396" s="1147"/>
      <c r="BS396" s="1147"/>
      <c r="BT396" s="1147"/>
      <c r="BU396" s="1147"/>
      <c r="BV396" s="1147"/>
      <c r="BW396" s="1147"/>
      <c r="BX396" s="1147"/>
      <c r="BY396" s="1147"/>
      <c r="BZ396" s="1147"/>
      <c r="CA396" s="1147"/>
      <c r="CB396" s="1147"/>
      <c r="CC396" s="1147"/>
      <c r="CD396" s="1147"/>
      <c r="CE396" s="1147"/>
      <c r="CF396" s="1147"/>
      <c r="CG396" s="1147"/>
      <c r="CH396" s="1147"/>
      <c r="CI396" s="1147"/>
      <c r="CJ396" s="1147"/>
      <c r="CK396" s="1146"/>
    </row>
    <row r="397" spans="1:89" ht="15" x14ac:dyDescent="0.25">
      <c r="A397" s="1146"/>
      <c r="B397" s="1146"/>
      <c r="C397" s="1146"/>
      <c r="D397" s="1146"/>
      <c r="E397" s="1146"/>
      <c r="F397" s="1146"/>
      <c r="G397" s="1146"/>
      <c r="H397" s="1146"/>
      <c r="I397" s="1146"/>
      <c r="J397" s="1146"/>
      <c r="K397" s="1146"/>
      <c r="L397" s="1146"/>
      <c r="M397" s="1146"/>
      <c r="N397" s="1146"/>
      <c r="O397" s="1146"/>
      <c r="P397" s="1146"/>
      <c r="Q397" s="1146"/>
      <c r="R397" s="1146"/>
      <c r="S397" s="1146"/>
      <c r="T397" s="1147"/>
      <c r="U397" s="1147"/>
      <c r="V397" s="1147"/>
      <c r="W397" s="1147"/>
      <c r="X397" s="1147"/>
      <c r="Y397" s="1147"/>
      <c r="Z397" s="1147"/>
      <c r="AA397" s="1147"/>
      <c r="AB397" s="1147"/>
      <c r="AC397" s="1147"/>
      <c r="AD397" s="1147"/>
      <c r="AE397" s="1147"/>
      <c r="AF397" s="1147"/>
      <c r="AG397" s="1147"/>
      <c r="AH397" s="1147"/>
      <c r="AI397" s="1147"/>
      <c r="AJ397" s="1147"/>
      <c r="AK397" s="1147"/>
      <c r="AL397" s="1147"/>
      <c r="AM397" s="1147"/>
      <c r="AN397" s="1147"/>
      <c r="AO397" s="1147"/>
      <c r="AP397" s="1147"/>
      <c r="AQ397" s="1147"/>
      <c r="AR397" s="1147"/>
      <c r="AS397" s="1147"/>
      <c r="AT397" s="1147"/>
      <c r="AU397" s="1147"/>
      <c r="AV397" s="1147"/>
      <c r="AW397" s="1147"/>
      <c r="AX397" s="1147"/>
      <c r="AY397" s="1147"/>
      <c r="AZ397" s="1147"/>
      <c r="BA397" s="1147"/>
      <c r="BB397" s="1147"/>
      <c r="BC397" s="1147"/>
      <c r="BD397" s="1147"/>
      <c r="BE397" s="1147"/>
      <c r="BF397" s="1147"/>
      <c r="BG397" s="1147"/>
      <c r="BH397" s="1147"/>
      <c r="BI397" s="1147"/>
      <c r="BJ397" s="1147"/>
      <c r="BK397" s="1147"/>
      <c r="BL397" s="1147"/>
      <c r="BM397" s="1147"/>
      <c r="BN397" s="1147"/>
      <c r="BO397" s="1147"/>
      <c r="BP397" s="1147"/>
      <c r="BQ397" s="1147"/>
      <c r="BR397" s="1147"/>
      <c r="BS397" s="1147"/>
      <c r="BT397" s="1147"/>
      <c r="BU397" s="1147"/>
      <c r="BV397" s="1147"/>
      <c r="BW397" s="1147"/>
      <c r="BX397" s="1147"/>
      <c r="BY397" s="1147"/>
      <c r="BZ397" s="1147"/>
      <c r="CA397" s="1147"/>
      <c r="CB397" s="1147"/>
      <c r="CC397" s="1147"/>
      <c r="CD397" s="1147"/>
      <c r="CE397" s="1147"/>
      <c r="CF397" s="1147"/>
      <c r="CG397" s="1147"/>
      <c r="CH397" s="1147"/>
      <c r="CI397" s="1147"/>
      <c r="CJ397" s="1147"/>
      <c r="CK397" s="1146"/>
    </row>
    <row r="398" spans="1:89" ht="15" x14ac:dyDescent="0.25">
      <c r="A398" s="1146"/>
      <c r="B398" s="1146"/>
      <c r="C398" s="1146"/>
      <c r="D398" s="1146"/>
      <c r="E398" s="1146"/>
      <c r="F398" s="1146"/>
      <c r="G398" s="1146"/>
      <c r="H398" s="1146"/>
      <c r="I398" s="1146"/>
      <c r="J398" s="1146"/>
      <c r="K398" s="1146"/>
      <c r="L398" s="1146"/>
      <c r="M398" s="1146"/>
      <c r="N398" s="1146"/>
      <c r="O398" s="1146"/>
      <c r="P398" s="1146"/>
      <c r="Q398" s="1146"/>
      <c r="R398" s="1146"/>
      <c r="S398" s="1146"/>
      <c r="T398" s="1147"/>
      <c r="U398" s="1147"/>
      <c r="V398" s="1147"/>
      <c r="W398" s="1147"/>
      <c r="X398" s="1147"/>
      <c r="Y398" s="1147"/>
      <c r="Z398" s="1147"/>
      <c r="AA398" s="1147"/>
      <c r="AB398" s="1147"/>
      <c r="AC398" s="1147"/>
      <c r="AD398" s="1147"/>
      <c r="AE398" s="1147"/>
      <c r="AF398" s="1147"/>
      <c r="AG398" s="1147"/>
      <c r="AH398" s="1147"/>
      <c r="AI398" s="1147"/>
      <c r="AJ398" s="1147"/>
      <c r="AK398" s="1147"/>
      <c r="AL398" s="1147"/>
      <c r="AM398" s="1147"/>
      <c r="AN398" s="1147"/>
      <c r="AO398" s="1147"/>
      <c r="AP398" s="1147"/>
      <c r="AQ398" s="1147"/>
      <c r="AR398" s="1147"/>
      <c r="AS398" s="1147"/>
      <c r="AT398" s="1147"/>
      <c r="AU398" s="1147"/>
      <c r="AV398" s="1147"/>
      <c r="AW398" s="1147"/>
      <c r="AX398" s="1147"/>
      <c r="AY398" s="1147"/>
      <c r="AZ398" s="1147"/>
      <c r="BA398" s="1147"/>
      <c r="BB398" s="1147"/>
      <c r="BC398" s="1147"/>
      <c r="BD398" s="1147"/>
      <c r="BE398" s="1147"/>
      <c r="BF398" s="1147"/>
      <c r="BG398" s="1147"/>
      <c r="BH398" s="1147"/>
      <c r="BI398" s="1147"/>
      <c r="BJ398" s="1147"/>
      <c r="BK398" s="1147"/>
      <c r="BL398" s="1147"/>
      <c r="BM398" s="1147"/>
      <c r="BN398" s="1147"/>
      <c r="BO398" s="1147"/>
      <c r="BP398" s="1147"/>
      <c r="BQ398" s="1147"/>
      <c r="BR398" s="1147"/>
      <c r="BS398" s="1147"/>
      <c r="BT398" s="1147"/>
      <c r="BU398" s="1147"/>
      <c r="BV398" s="1147"/>
      <c r="BW398" s="1147"/>
      <c r="BX398" s="1147"/>
      <c r="BY398" s="1147"/>
      <c r="BZ398" s="1147"/>
      <c r="CA398" s="1147"/>
      <c r="CB398" s="1147"/>
      <c r="CC398" s="1147"/>
      <c r="CD398" s="1147"/>
      <c r="CE398" s="1147"/>
      <c r="CF398" s="1147"/>
      <c r="CG398" s="1147"/>
      <c r="CH398" s="1147"/>
      <c r="CI398" s="1147"/>
      <c r="CJ398" s="1147"/>
      <c r="CK398" s="1146"/>
    </row>
    <row r="399" spans="1:89" ht="15" x14ac:dyDescent="0.25">
      <c r="A399" s="1146"/>
      <c r="B399" s="1146"/>
      <c r="C399" s="1146"/>
      <c r="D399" s="1146"/>
      <c r="E399" s="1146"/>
      <c r="F399" s="1146"/>
      <c r="G399" s="1146"/>
      <c r="H399" s="1146"/>
      <c r="I399" s="1146"/>
      <c r="J399" s="1146"/>
      <c r="K399" s="1146"/>
      <c r="L399" s="1146"/>
      <c r="M399" s="1146"/>
      <c r="N399" s="1146"/>
      <c r="O399" s="1146"/>
      <c r="P399" s="1146"/>
      <c r="Q399" s="1146"/>
      <c r="R399" s="1146"/>
      <c r="S399" s="1146"/>
      <c r="T399" s="1147"/>
      <c r="U399" s="1147"/>
      <c r="V399" s="1147"/>
      <c r="W399" s="1147"/>
      <c r="X399" s="1147"/>
      <c r="Y399" s="1147"/>
      <c r="Z399" s="1147"/>
      <c r="AA399" s="1147"/>
      <c r="AB399" s="1147"/>
      <c r="AC399" s="1147"/>
      <c r="AD399" s="1147"/>
      <c r="AE399" s="1147"/>
      <c r="AF399" s="1147"/>
      <c r="AG399" s="1147"/>
      <c r="AH399" s="1147"/>
      <c r="AI399" s="1147"/>
      <c r="AJ399" s="1147"/>
      <c r="AK399" s="1147"/>
      <c r="AL399" s="1147"/>
      <c r="AM399" s="1147"/>
      <c r="AN399" s="1147"/>
      <c r="AO399" s="1147"/>
      <c r="AP399" s="1147"/>
      <c r="AQ399" s="1147"/>
      <c r="AR399" s="1147"/>
      <c r="AS399" s="1147"/>
      <c r="AT399" s="1147"/>
      <c r="AU399" s="1147"/>
      <c r="AV399" s="1147"/>
      <c r="AW399" s="1147"/>
      <c r="AX399" s="1147"/>
      <c r="AY399" s="1147"/>
      <c r="AZ399" s="1147"/>
      <c r="BA399" s="1147"/>
      <c r="BB399" s="1147"/>
      <c r="BC399" s="1147"/>
      <c r="BD399" s="1147"/>
      <c r="BE399" s="1147"/>
      <c r="BF399" s="1147"/>
      <c r="BG399" s="1147"/>
      <c r="BH399" s="1147"/>
      <c r="BI399" s="1147"/>
      <c r="BJ399" s="1147"/>
      <c r="BK399" s="1147"/>
      <c r="BL399" s="1147"/>
      <c r="BM399" s="1147"/>
      <c r="BN399" s="1147"/>
      <c r="BO399" s="1147"/>
      <c r="BP399" s="1147"/>
      <c r="BQ399" s="1147"/>
      <c r="BR399" s="1147"/>
      <c r="BS399" s="1147"/>
      <c r="BT399" s="1147"/>
      <c r="BU399" s="1147"/>
      <c r="BV399" s="1147"/>
      <c r="BW399" s="1147"/>
      <c r="BX399" s="1147"/>
      <c r="BY399" s="1147"/>
      <c r="BZ399" s="1147"/>
      <c r="CA399" s="1147"/>
      <c r="CB399" s="1147"/>
      <c r="CC399" s="1147"/>
      <c r="CD399" s="1147"/>
      <c r="CE399" s="1147"/>
      <c r="CF399" s="1147"/>
      <c r="CG399" s="1147"/>
      <c r="CH399" s="1147"/>
      <c r="CI399" s="1147"/>
      <c r="CJ399" s="1147"/>
      <c r="CK399" s="1146"/>
    </row>
    <row r="400" spans="1:89" ht="15" x14ac:dyDescent="0.25">
      <c r="A400" s="1146"/>
      <c r="B400" s="1146"/>
      <c r="C400" s="1146"/>
      <c r="D400" s="1146"/>
      <c r="E400" s="1146"/>
      <c r="F400" s="1146"/>
      <c r="G400" s="1146"/>
      <c r="H400" s="1146"/>
      <c r="I400" s="1146"/>
      <c r="J400" s="1146"/>
      <c r="K400" s="1146"/>
      <c r="L400" s="1146"/>
      <c r="M400" s="1146"/>
      <c r="N400" s="1146"/>
      <c r="O400" s="1146"/>
      <c r="P400" s="1146"/>
      <c r="Q400" s="1146"/>
      <c r="R400" s="1146"/>
      <c r="S400" s="1146"/>
      <c r="T400" s="1147"/>
      <c r="U400" s="1147"/>
      <c r="V400" s="1147"/>
      <c r="W400" s="1147"/>
      <c r="X400" s="1147"/>
      <c r="Y400" s="1147"/>
      <c r="Z400" s="1147"/>
      <c r="AA400" s="1147"/>
      <c r="AB400" s="1147"/>
      <c r="AC400" s="1147"/>
      <c r="AD400" s="1147"/>
      <c r="AE400" s="1147"/>
      <c r="AF400" s="1147"/>
      <c r="AG400" s="1147"/>
      <c r="AH400" s="1147"/>
      <c r="AI400" s="1147"/>
      <c r="AJ400" s="1147"/>
      <c r="AK400" s="1147"/>
      <c r="AL400" s="1147"/>
      <c r="AM400" s="1147"/>
      <c r="AN400" s="1147"/>
      <c r="AO400" s="1147"/>
      <c r="AP400" s="1147"/>
      <c r="AQ400" s="1147"/>
      <c r="AR400" s="1147"/>
      <c r="AS400" s="1147"/>
      <c r="AT400" s="1147"/>
      <c r="AU400" s="1147"/>
      <c r="AV400" s="1147"/>
      <c r="AW400" s="1147"/>
      <c r="AX400" s="1147"/>
      <c r="AY400" s="1147"/>
      <c r="AZ400" s="1147"/>
      <c r="BA400" s="1147"/>
      <c r="BB400" s="1147"/>
      <c r="BC400" s="1147"/>
      <c r="BD400" s="1147"/>
      <c r="BE400" s="1147"/>
      <c r="BF400" s="1147"/>
      <c r="BG400" s="1147"/>
      <c r="BH400" s="1147"/>
      <c r="BI400" s="1147"/>
      <c r="BJ400" s="1147"/>
      <c r="BK400" s="1147"/>
      <c r="BL400" s="1147"/>
      <c r="BM400" s="1147"/>
      <c r="BN400" s="1147"/>
      <c r="BO400" s="1147"/>
      <c r="BP400" s="1147"/>
      <c r="BQ400" s="1147"/>
      <c r="BR400" s="1147"/>
      <c r="BS400" s="1147"/>
      <c r="BT400" s="1147"/>
      <c r="BU400" s="1147"/>
      <c r="BV400" s="1147"/>
      <c r="BW400" s="1147"/>
      <c r="BX400" s="1147"/>
      <c r="BY400" s="1147"/>
      <c r="BZ400" s="1147"/>
      <c r="CA400" s="1147"/>
      <c r="CB400" s="1147"/>
      <c r="CC400" s="1147"/>
      <c r="CD400" s="1147"/>
      <c r="CE400" s="1147"/>
      <c r="CF400" s="1147"/>
      <c r="CG400" s="1147"/>
      <c r="CH400" s="1147"/>
      <c r="CI400" s="1147"/>
      <c r="CJ400" s="1147"/>
      <c r="CK400" s="1146"/>
    </row>
    <row r="401" spans="1:89" ht="15" x14ac:dyDescent="0.25">
      <c r="A401" s="1146"/>
      <c r="B401" s="1146"/>
      <c r="C401" s="1146"/>
      <c r="D401" s="1146"/>
      <c r="E401" s="1146"/>
      <c r="F401" s="1146"/>
      <c r="G401" s="1146"/>
      <c r="H401" s="1146"/>
      <c r="I401" s="1146"/>
      <c r="J401" s="1146"/>
      <c r="K401" s="1146"/>
      <c r="L401" s="1146"/>
      <c r="M401" s="1146"/>
      <c r="N401" s="1146"/>
      <c r="O401" s="1146"/>
      <c r="P401" s="1146"/>
      <c r="Q401" s="1146"/>
      <c r="R401" s="1146"/>
      <c r="S401" s="1146"/>
      <c r="T401" s="1147"/>
      <c r="U401" s="1147"/>
      <c r="V401" s="1147"/>
      <c r="W401" s="1147"/>
      <c r="X401" s="1147"/>
      <c r="Y401" s="1147"/>
      <c r="Z401" s="1147"/>
      <c r="AA401" s="1147"/>
      <c r="AB401" s="1147"/>
      <c r="AC401" s="1147"/>
      <c r="AD401" s="1147"/>
      <c r="AE401" s="1147"/>
      <c r="AF401" s="1147"/>
      <c r="AG401" s="1147"/>
      <c r="AH401" s="1147"/>
      <c r="AI401" s="1147"/>
      <c r="AJ401" s="1147"/>
      <c r="AK401" s="1147"/>
      <c r="AL401" s="1147"/>
      <c r="AM401" s="1147"/>
      <c r="AN401" s="1147"/>
      <c r="AO401" s="1147"/>
      <c r="AP401" s="1147"/>
      <c r="AQ401" s="1147"/>
      <c r="AR401" s="1147"/>
      <c r="AS401" s="1147"/>
      <c r="AT401" s="1147"/>
      <c r="AU401" s="1147"/>
      <c r="AV401" s="1147"/>
      <c r="AW401" s="1147"/>
      <c r="AX401" s="1147"/>
      <c r="AY401" s="1147"/>
      <c r="AZ401" s="1147"/>
      <c r="BA401" s="1147"/>
      <c r="BB401" s="1147"/>
      <c r="BC401" s="1147"/>
      <c r="BD401" s="1147"/>
      <c r="BE401" s="1147"/>
      <c r="BF401" s="1147"/>
      <c r="BG401" s="1147"/>
      <c r="BH401" s="1147"/>
      <c r="BI401" s="1147"/>
      <c r="BJ401" s="1147"/>
      <c r="BK401" s="1147"/>
      <c r="BL401" s="1147"/>
      <c r="BM401" s="1147"/>
      <c r="BN401" s="1147"/>
      <c r="BO401" s="1147"/>
      <c r="BP401" s="1147"/>
      <c r="BQ401" s="1147"/>
      <c r="BR401" s="1147"/>
      <c r="BS401" s="1147"/>
      <c r="BT401" s="1147"/>
      <c r="BU401" s="1147"/>
      <c r="BV401" s="1147"/>
      <c r="BW401" s="1147"/>
      <c r="BX401" s="1147"/>
      <c r="BY401" s="1147"/>
      <c r="BZ401" s="1147"/>
      <c r="CA401" s="1147"/>
      <c r="CB401" s="1147"/>
      <c r="CC401" s="1147"/>
      <c r="CD401" s="1147"/>
      <c r="CE401" s="1147"/>
      <c r="CF401" s="1147"/>
      <c r="CG401" s="1147"/>
      <c r="CH401" s="1147"/>
      <c r="CI401" s="1147"/>
      <c r="CJ401" s="1147"/>
      <c r="CK401" s="1146"/>
    </row>
    <row r="402" spans="1:89" ht="15" x14ac:dyDescent="0.25">
      <c r="A402" s="1146"/>
      <c r="B402" s="1146"/>
      <c r="C402" s="1146"/>
      <c r="D402" s="1146"/>
      <c r="E402" s="1146"/>
      <c r="F402" s="1146"/>
      <c r="G402" s="1146"/>
      <c r="H402" s="1146"/>
      <c r="I402" s="1146"/>
      <c r="J402" s="1146"/>
      <c r="K402" s="1146"/>
      <c r="L402" s="1146"/>
      <c r="M402" s="1146"/>
      <c r="N402" s="1146"/>
      <c r="O402" s="1146"/>
      <c r="P402" s="1146"/>
      <c r="Q402" s="1146"/>
      <c r="R402" s="1146"/>
      <c r="S402" s="1146"/>
      <c r="T402" s="1147"/>
      <c r="U402" s="1147"/>
      <c r="V402" s="1147"/>
      <c r="W402" s="1147"/>
      <c r="X402" s="1147"/>
      <c r="Y402" s="1147"/>
      <c r="Z402" s="1147"/>
      <c r="AA402" s="1147"/>
      <c r="AB402" s="1147"/>
      <c r="AC402" s="1147"/>
      <c r="AD402" s="1147"/>
      <c r="AE402" s="1147"/>
      <c r="AF402" s="1147"/>
      <c r="AG402" s="1147"/>
      <c r="AH402" s="1147"/>
      <c r="AI402" s="1147"/>
      <c r="AJ402" s="1147"/>
      <c r="AK402" s="1147"/>
      <c r="AL402" s="1147"/>
      <c r="AM402" s="1147"/>
      <c r="AN402" s="1147"/>
      <c r="AO402" s="1147"/>
      <c r="AP402" s="1147"/>
      <c r="AQ402" s="1147"/>
      <c r="AR402" s="1147"/>
      <c r="AS402" s="1147"/>
      <c r="AT402" s="1147"/>
      <c r="AU402" s="1147"/>
      <c r="AV402" s="1147"/>
      <c r="AW402" s="1147"/>
      <c r="AX402" s="1147"/>
      <c r="AY402" s="1147"/>
      <c r="AZ402" s="1147"/>
      <c r="BA402" s="1147"/>
      <c r="BB402" s="1147"/>
      <c r="BC402" s="1147"/>
      <c r="BD402" s="1147"/>
      <c r="BE402" s="1147"/>
      <c r="BF402" s="1147"/>
      <c r="BG402" s="1147"/>
      <c r="BH402" s="1147"/>
      <c r="BI402" s="1147"/>
      <c r="BJ402" s="1147"/>
      <c r="BK402" s="1147"/>
      <c r="BL402" s="1147"/>
      <c r="BM402" s="1147"/>
      <c r="BN402" s="1147"/>
      <c r="BO402" s="1147"/>
      <c r="BP402" s="1147"/>
      <c r="BQ402" s="1147"/>
      <c r="BR402" s="1147"/>
      <c r="BS402" s="1147"/>
      <c r="BT402" s="1147"/>
      <c r="BU402" s="1147"/>
      <c r="BV402" s="1147"/>
      <c r="BW402" s="1147"/>
      <c r="BX402" s="1147"/>
      <c r="BY402" s="1147"/>
      <c r="BZ402" s="1147"/>
      <c r="CA402" s="1147"/>
      <c r="CB402" s="1147"/>
      <c r="CC402" s="1147"/>
      <c r="CD402" s="1147"/>
      <c r="CE402" s="1147"/>
      <c r="CF402" s="1147"/>
      <c r="CG402" s="1147"/>
      <c r="CH402" s="1147"/>
      <c r="CI402" s="1147"/>
      <c r="CJ402" s="1147"/>
      <c r="CK402" s="1146"/>
    </row>
    <row r="403" spans="1:89" ht="15" x14ac:dyDescent="0.25">
      <c r="A403" s="1146"/>
      <c r="B403" s="1146"/>
      <c r="C403" s="1146"/>
      <c r="D403" s="1146"/>
      <c r="E403" s="1146"/>
      <c r="F403" s="1146"/>
      <c r="G403" s="1146"/>
      <c r="H403" s="1146"/>
      <c r="I403" s="1146"/>
      <c r="J403" s="1146"/>
      <c r="K403" s="1146"/>
      <c r="L403" s="1146"/>
      <c r="M403" s="1146"/>
      <c r="N403" s="1146"/>
      <c r="O403" s="1146"/>
      <c r="P403" s="1146"/>
      <c r="Q403" s="1146"/>
      <c r="R403" s="1146"/>
      <c r="S403" s="1146"/>
      <c r="T403" s="1147"/>
      <c r="U403" s="1147"/>
      <c r="V403" s="1147"/>
      <c r="W403" s="1147"/>
      <c r="X403" s="1147"/>
      <c r="Y403" s="1147"/>
      <c r="Z403" s="1147"/>
      <c r="AA403" s="1147"/>
      <c r="AB403" s="1147"/>
      <c r="AC403" s="1147"/>
      <c r="AD403" s="1147"/>
      <c r="AE403" s="1147"/>
      <c r="AF403" s="1147"/>
      <c r="AG403" s="1147"/>
      <c r="AH403" s="1147"/>
      <c r="AI403" s="1147"/>
      <c r="AJ403" s="1147"/>
      <c r="AK403" s="1147"/>
      <c r="AL403" s="1147"/>
      <c r="AM403" s="1147"/>
      <c r="AN403" s="1147"/>
      <c r="AO403" s="1147"/>
      <c r="AP403" s="1147"/>
      <c r="AQ403" s="1147"/>
      <c r="AR403" s="1147"/>
      <c r="AS403" s="1147"/>
      <c r="AT403" s="1147"/>
      <c r="AU403" s="1147"/>
      <c r="AV403" s="1147"/>
      <c r="AW403" s="1147"/>
      <c r="AX403" s="1147"/>
      <c r="AY403" s="1147"/>
      <c r="AZ403" s="1147"/>
      <c r="BA403" s="1147"/>
      <c r="BB403" s="1147"/>
      <c r="BC403" s="1147"/>
      <c r="BD403" s="1147"/>
      <c r="BE403" s="1147"/>
      <c r="BF403" s="1147"/>
      <c r="BG403" s="1147"/>
      <c r="BH403" s="1147"/>
      <c r="BI403" s="1147"/>
      <c r="BJ403" s="1147"/>
      <c r="BK403" s="1147"/>
      <c r="BL403" s="1147"/>
      <c r="BM403" s="1147"/>
      <c r="BN403" s="1147"/>
      <c r="BO403" s="1147"/>
      <c r="BP403" s="1147"/>
      <c r="BQ403" s="1147"/>
      <c r="BR403" s="1147"/>
      <c r="BS403" s="1147"/>
      <c r="BT403" s="1147"/>
      <c r="BU403" s="1147"/>
      <c r="BV403" s="1147"/>
      <c r="BW403" s="1147"/>
      <c r="BX403" s="1147"/>
      <c r="BY403" s="1147"/>
      <c r="BZ403" s="1147"/>
      <c r="CA403" s="1147"/>
      <c r="CB403" s="1147"/>
      <c r="CC403" s="1147"/>
      <c r="CD403" s="1147"/>
      <c r="CE403" s="1147"/>
      <c r="CF403" s="1147"/>
      <c r="CG403" s="1147"/>
      <c r="CH403" s="1147"/>
      <c r="CI403" s="1147"/>
      <c r="CJ403" s="1147"/>
      <c r="CK403" s="1146"/>
    </row>
    <row r="404" spans="1:89" ht="15" x14ac:dyDescent="0.25">
      <c r="A404" s="1146"/>
      <c r="B404" s="1146"/>
      <c r="C404" s="1146"/>
      <c r="D404" s="1146"/>
      <c r="E404" s="1146"/>
      <c r="F404" s="1146"/>
      <c r="G404" s="1146"/>
      <c r="H404" s="1146"/>
      <c r="I404" s="1146"/>
      <c r="J404" s="1146"/>
      <c r="K404" s="1146"/>
      <c r="L404" s="1146"/>
      <c r="M404" s="1146"/>
      <c r="N404" s="1146"/>
      <c r="O404" s="1146"/>
      <c r="P404" s="1146"/>
      <c r="Q404" s="1146"/>
      <c r="R404" s="1146"/>
      <c r="S404" s="1146"/>
      <c r="T404" s="1147"/>
      <c r="U404" s="1147"/>
      <c r="V404" s="1147"/>
      <c r="W404" s="1147"/>
      <c r="X404" s="1147"/>
      <c r="Y404" s="1147"/>
      <c r="Z404" s="1147"/>
      <c r="AA404" s="1147"/>
      <c r="AB404" s="1147"/>
      <c r="AC404" s="1147"/>
      <c r="AD404" s="1147"/>
      <c r="AE404" s="1147"/>
      <c r="AF404" s="1147"/>
      <c r="AG404" s="1147"/>
      <c r="AH404" s="1147"/>
      <c r="AI404" s="1147"/>
      <c r="AJ404" s="1147"/>
      <c r="AK404" s="1147"/>
      <c r="AL404" s="1147"/>
      <c r="AM404" s="1147"/>
      <c r="AN404" s="1147"/>
      <c r="AO404" s="1147"/>
      <c r="AP404" s="1147"/>
      <c r="AQ404" s="1147"/>
      <c r="AR404" s="1147"/>
      <c r="AS404" s="1147"/>
      <c r="AT404" s="1147"/>
      <c r="AU404" s="1147"/>
      <c r="AV404" s="1147"/>
      <c r="AW404" s="1147"/>
      <c r="AX404" s="1147"/>
      <c r="AY404" s="1147"/>
      <c r="AZ404" s="1147"/>
      <c r="BA404" s="1147"/>
      <c r="BB404" s="1147"/>
      <c r="BC404" s="1147"/>
      <c r="BD404" s="1147"/>
      <c r="BE404" s="1147"/>
      <c r="BF404" s="1147"/>
      <c r="BG404" s="1147"/>
      <c r="BH404" s="1147"/>
      <c r="BI404" s="1147"/>
      <c r="BJ404" s="1147"/>
      <c r="BK404" s="1147"/>
      <c r="BL404" s="1147"/>
      <c r="BM404" s="1147"/>
      <c r="BN404" s="1147"/>
      <c r="BO404" s="1147"/>
      <c r="BP404" s="1147"/>
      <c r="BQ404" s="1147"/>
      <c r="BR404" s="1147"/>
      <c r="BS404" s="1147"/>
      <c r="BT404" s="1147"/>
      <c r="BU404" s="1147"/>
      <c r="BV404" s="1147"/>
      <c r="BW404" s="1147"/>
      <c r="BX404" s="1147"/>
      <c r="BY404" s="1147"/>
      <c r="BZ404" s="1147"/>
      <c r="CA404" s="1147"/>
      <c r="CB404" s="1147"/>
      <c r="CC404" s="1147"/>
      <c r="CD404" s="1147"/>
      <c r="CE404" s="1147"/>
      <c r="CF404" s="1147"/>
      <c r="CG404" s="1147"/>
      <c r="CH404" s="1147"/>
      <c r="CI404" s="1147"/>
      <c r="CJ404" s="1147"/>
      <c r="CK404" s="1146"/>
    </row>
    <row r="405" spans="1:89" ht="15" x14ac:dyDescent="0.25">
      <c r="A405" s="1146"/>
      <c r="B405" s="1146"/>
      <c r="C405" s="1146"/>
      <c r="D405" s="1146"/>
      <c r="E405" s="1146"/>
      <c r="F405" s="1146"/>
      <c r="G405" s="1146"/>
      <c r="H405" s="1146"/>
      <c r="I405" s="1146"/>
      <c r="J405" s="1146"/>
      <c r="K405" s="1146"/>
      <c r="L405" s="1146"/>
      <c r="M405" s="1146"/>
      <c r="N405" s="1146"/>
      <c r="O405" s="1146"/>
      <c r="P405" s="1146"/>
      <c r="Q405" s="1146"/>
      <c r="R405" s="1146"/>
      <c r="S405" s="1146"/>
      <c r="T405" s="1147"/>
      <c r="U405" s="1147"/>
      <c r="V405" s="1147"/>
      <c r="W405" s="1147"/>
      <c r="X405" s="1147"/>
      <c r="Y405" s="1147"/>
      <c r="Z405" s="1147"/>
      <c r="AA405" s="1147"/>
      <c r="AB405" s="1147"/>
      <c r="AC405" s="1147"/>
      <c r="AD405" s="1147"/>
      <c r="AE405" s="1147"/>
      <c r="AF405" s="1147"/>
      <c r="AG405" s="1147"/>
      <c r="AH405" s="1147"/>
      <c r="AI405" s="1147"/>
      <c r="AJ405" s="1147"/>
      <c r="AK405" s="1147"/>
      <c r="AL405" s="1147"/>
      <c r="AM405" s="1147"/>
      <c r="AN405" s="1147"/>
      <c r="AO405" s="1147"/>
      <c r="AP405" s="1147"/>
      <c r="AQ405" s="1147"/>
      <c r="AR405" s="1147"/>
      <c r="AS405" s="1147"/>
      <c r="AT405" s="1147"/>
      <c r="AU405" s="1147"/>
      <c r="AV405" s="1147"/>
      <c r="AW405" s="1147"/>
      <c r="AX405" s="1147"/>
      <c r="AY405" s="1147"/>
      <c r="AZ405" s="1147"/>
      <c r="BA405" s="1147"/>
      <c r="BB405" s="1147"/>
      <c r="BC405" s="1147"/>
      <c r="BD405" s="1147"/>
      <c r="BE405" s="1147"/>
      <c r="BF405" s="1147"/>
      <c r="BG405" s="1147"/>
      <c r="BH405" s="1147"/>
      <c r="BI405" s="1147"/>
      <c r="BJ405" s="1147"/>
      <c r="BK405" s="1147"/>
      <c r="BL405" s="1147"/>
      <c r="BM405" s="1147"/>
      <c r="BN405" s="1147"/>
      <c r="BO405" s="1147"/>
      <c r="BP405" s="1147"/>
      <c r="BQ405" s="1147"/>
      <c r="BR405" s="1147"/>
      <c r="BS405" s="1147"/>
      <c r="BT405" s="1147"/>
      <c r="BU405" s="1147"/>
      <c r="BV405" s="1147"/>
      <c r="BW405" s="1147"/>
      <c r="BX405" s="1147"/>
      <c r="BY405" s="1147"/>
      <c r="BZ405" s="1147"/>
      <c r="CA405" s="1147"/>
      <c r="CB405" s="1147"/>
      <c r="CC405" s="1147"/>
      <c r="CD405" s="1147"/>
      <c r="CE405" s="1147"/>
      <c r="CF405" s="1147"/>
      <c r="CG405" s="1147"/>
      <c r="CH405" s="1147"/>
      <c r="CI405" s="1147"/>
      <c r="CJ405" s="1147"/>
      <c r="CK405" s="1146"/>
    </row>
    <row r="406" spans="1:89" ht="15" x14ac:dyDescent="0.25">
      <c r="A406" s="1146"/>
      <c r="B406" s="1146"/>
      <c r="C406" s="1146"/>
      <c r="D406" s="1146"/>
      <c r="E406" s="1146"/>
      <c r="F406" s="1146"/>
      <c r="G406" s="1146"/>
      <c r="H406" s="1146"/>
      <c r="I406" s="1146"/>
      <c r="J406" s="1146"/>
      <c r="K406" s="1146"/>
      <c r="L406" s="1146"/>
      <c r="M406" s="1146"/>
      <c r="N406" s="1146"/>
      <c r="O406" s="1146"/>
      <c r="P406" s="1146"/>
      <c r="Q406" s="1146"/>
      <c r="R406" s="1146"/>
      <c r="S406" s="1146"/>
      <c r="T406" s="1147"/>
      <c r="U406" s="1147"/>
      <c r="V406" s="1147"/>
      <c r="W406" s="1147"/>
      <c r="X406" s="1147"/>
      <c r="Y406" s="1147"/>
      <c r="Z406" s="1147"/>
      <c r="AA406" s="1147"/>
      <c r="AB406" s="1147"/>
      <c r="AC406" s="1147"/>
      <c r="AD406" s="1147"/>
      <c r="AE406" s="1147"/>
      <c r="AF406" s="1147"/>
      <c r="AG406" s="1147"/>
      <c r="AH406" s="1147"/>
      <c r="AI406" s="1147"/>
      <c r="AJ406" s="1147"/>
      <c r="AK406" s="1147"/>
      <c r="AL406" s="1147"/>
      <c r="AM406" s="1147"/>
      <c r="AN406" s="1147"/>
      <c r="AO406" s="1147"/>
      <c r="AP406" s="1147"/>
      <c r="AQ406" s="1147"/>
      <c r="AR406" s="1147"/>
      <c r="AS406" s="1147"/>
      <c r="AT406" s="1147"/>
      <c r="AU406" s="1147"/>
      <c r="AV406" s="1147"/>
      <c r="AW406" s="1147"/>
      <c r="AX406" s="1147"/>
      <c r="AY406" s="1147"/>
      <c r="AZ406" s="1147"/>
      <c r="BA406" s="1147"/>
      <c r="BB406" s="1147"/>
      <c r="BC406" s="1147"/>
      <c r="BD406" s="1147"/>
      <c r="BE406" s="1147"/>
      <c r="BF406" s="1147"/>
      <c r="BG406" s="1147"/>
      <c r="BH406" s="1147"/>
      <c r="BI406" s="1147"/>
      <c r="BJ406" s="1147"/>
      <c r="BK406" s="1147"/>
      <c r="BL406" s="1147"/>
      <c r="BM406" s="1147"/>
      <c r="BN406" s="1147"/>
      <c r="BO406" s="1147"/>
      <c r="BP406" s="1147"/>
      <c r="BQ406" s="1147"/>
      <c r="BR406" s="1147"/>
      <c r="BS406" s="1147"/>
      <c r="BT406" s="1147"/>
      <c r="BU406" s="1147"/>
      <c r="BV406" s="1147"/>
      <c r="BW406" s="1147"/>
      <c r="BX406" s="1147"/>
      <c r="BY406" s="1147"/>
      <c r="BZ406" s="1147"/>
      <c r="CA406" s="1147"/>
      <c r="CB406" s="1147"/>
      <c r="CC406" s="1147"/>
      <c r="CD406" s="1147"/>
      <c r="CE406" s="1147"/>
      <c r="CF406" s="1147"/>
      <c r="CG406" s="1147"/>
      <c r="CH406" s="1147"/>
      <c r="CI406" s="1147"/>
      <c r="CJ406" s="1147"/>
      <c r="CK406" s="1146"/>
    </row>
    <row r="407" spans="1:89" ht="15" x14ac:dyDescent="0.25">
      <c r="A407" s="1146"/>
      <c r="B407" s="1146"/>
      <c r="C407" s="1146"/>
      <c r="D407" s="1146"/>
      <c r="E407" s="1146"/>
      <c r="F407" s="1146"/>
      <c r="G407" s="1146"/>
      <c r="H407" s="1146"/>
      <c r="I407" s="1146"/>
      <c r="J407" s="1146"/>
      <c r="K407" s="1146"/>
      <c r="L407" s="1146"/>
      <c r="M407" s="1146"/>
      <c r="N407" s="1146"/>
      <c r="O407" s="1146"/>
      <c r="P407" s="1146"/>
      <c r="Q407" s="1146"/>
      <c r="R407" s="1146"/>
      <c r="S407" s="1146"/>
      <c r="T407" s="1147"/>
      <c r="U407" s="1147"/>
      <c r="V407" s="1147"/>
      <c r="W407" s="1147"/>
      <c r="X407" s="1147"/>
      <c r="Y407" s="1147"/>
      <c r="Z407" s="1147"/>
      <c r="AA407" s="1147"/>
      <c r="AB407" s="1147"/>
      <c r="AC407" s="1147"/>
      <c r="AD407" s="1147"/>
      <c r="AE407" s="1147"/>
      <c r="AF407" s="1147"/>
      <c r="AG407" s="1147"/>
      <c r="AH407" s="1147"/>
      <c r="AI407" s="1147"/>
      <c r="AJ407" s="1147"/>
      <c r="AK407" s="1147"/>
      <c r="AL407" s="1147"/>
      <c r="AM407" s="1147"/>
      <c r="AN407" s="1147"/>
      <c r="AO407" s="1147"/>
      <c r="AP407" s="1147"/>
      <c r="AQ407" s="1147"/>
      <c r="AR407" s="1147"/>
      <c r="AS407" s="1147"/>
      <c r="AT407" s="1147"/>
      <c r="AU407" s="1147"/>
      <c r="AV407" s="1147"/>
      <c r="AW407" s="1147"/>
      <c r="AX407" s="1147"/>
      <c r="AY407" s="1147"/>
      <c r="AZ407" s="1147"/>
      <c r="BA407" s="1147"/>
      <c r="BB407" s="1147"/>
      <c r="BC407" s="1147"/>
      <c r="BD407" s="1147"/>
      <c r="BE407" s="1147"/>
      <c r="BF407" s="1147"/>
      <c r="BG407" s="1147"/>
      <c r="BH407" s="1147"/>
      <c r="BI407" s="1147"/>
      <c r="BJ407" s="1147"/>
      <c r="BK407" s="1147"/>
      <c r="BL407" s="1147"/>
      <c r="BM407" s="1147"/>
      <c r="BN407" s="1147"/>
      <c r="BO407" s="1147"/>
      <c r="BP407" s="1147"/>
      <c r="BQ407" s="1147"/>
      <c r="BR407" s="1147"/>
      <c r="BS407" s="1147"/>
      <c r="BT407" s="1147"/>
      <c r="BU407" s="1147"/>
      <c r="BV407" s="1147"/>
      <c r="BW407" s="1147"/>
      <c r="BX407" s="1147"/>
      <c r="BY407" s="1147"/>
      <c r="BZ407" s="1147"/>
      <c r="CA407" s="1147"/>
      <c r="CB407" s="1147"/>
      <c r="CC407" s="1147"/>
      <c r="CD407" s="1147"/>
      <c r="CE407" s="1147"/>
      <c r="CF407" s="1147"/>
      <c r="CG407" s="1147"/>
      <c r="CH407" s="1147"/>
      <c r="CI407" s="1147"/>
      <c r="CJ407" s="1147"/>
      <c r="CK407" s="1146"/>
    </row>
    <row r="408" spans="1:89" ht="15" x14ac:dyDescent="0.25">
      <c r="A408" s="1146"/>
      <c r="B408" s="1146"/>
      <c r="C408" s="1146"/>
      <c r="D408" s="1146"/>
      <c r="E408" s="1146"/>
      <c r="F408" s="1146"/>
      <c r="G408" s="1146"/>
      <c r="H408" s="1146"/>
      <c r="I408" s="1146"/>
      <c r="J408" s="1146"/>
      <c r="K408" s="1146"/>
      <c r="L408" s="1146"/>
      <c r="M408" s="1146"/>
      <c r="N408" s="1146"/>
      <c r="O408" s="1146"/>
      <c r="P408" s="1146"/>
      <c r="Q408" s="1146"/>
      <c r="R408" s="1146"/>
      <c r="S408" s="1146"/>
      <c r="T408" s="1147"/>
      <c r="U408" s="1147"/>
      <c r="V408" s="1147"/>
      <c r="W408" s="1147"/>
      <c r="X408" s="1147"/>
      <c r="Y408" s="1147"/>
      <c r="Z408" s="1147"/>
      <c r="AA408" s="1147"/>
      <c r="AB408" s="1147"/>
      <c r="AC408" s="1147"/>
      <c r="AD408" s="1147"/>
      <c r="AE408" s="1147"/>
      <c r="AF408" s="1147"/>
      <c r="AG408" s="1147"/>
      <c r="AH408" s="1147"/>
      <c r="AI408" s="1147"/>
      <c r="AJ408" s="1147"/>
      <c r="AK408" s="1147"/>
      <c r="AL408" s="1147"/>
      <c r="AM408" s="1147"/>
      <c r="AN408" s="1147"/>
      <c r="AO408" s="1147"/>
      <c r="AP408" s="1147"/>
      <c r="AQ408" s="1147"/>
      <c r="AR408" s="1147"/>
      <c r="AS408" s="1147"/>
      <c r="AT408" s="1147"/>
      <c r="AU408" s="1147"/>
      <c r="AV408" s="1147"/>
      <c r="AW408" s="1147"/>
      <c r="AX408" s="1147"/>
      <c r="AY408" s="1147"/>
      <c r="AZ408" s="1147"/>
      <c r="BA408" s="1147"/>
      <c r="BB408" s="1147"/>
      <c r="BC408" s="1147"/>
      <c r="BD408" s="1147"/>
      <c r="BE408" s="1147"/>
      <c r="BF408" s="1147"/>
      <c r="BG408" s="1147"/>
      <c r="BH408" s="1147"/>
      <c r="BI408" s="1147"/>
      <c r="BJ408" s="1147"/>
      <c r="BK408" s="1147"/>
      <c r="BL408" s="1147"/>
      <c r="BM408" s="1147"/>
      <c r="BN408" s="1147"/>
      <c r="BO408" s="1147"/>
      <c r="BP408" s="1147"/>
      <c r="BQ408" s="1147"/>
      <c r="BR408" s="1147"/>
      <c r="BS408" s="1147"/>
      <c r="BT408" s="1147"/>
      <c r="BU408" s="1147"/>
      <c r="BV408" s="1147"/>
      <c r="BW408" s="1147"/>
      <c r="BX408" s="1147"/>
      <c r="BY408" s="1147"/>
      <c r="BZ408" s="1147"/>
      <c r="CA408" s="1147"/>
      <c r="CB408" s="1147"/>
      <c r="CC408" s="1147"/>
      <c r="CD408" s="1147"/>
      <c r="CE408" s="1147"/>
      <c r="CF408" s="1147"/>
      <c r="CG408" s="1147"/>
      <c r="CH408" s="1147"/>
      <c r="CI408" s="1147"/>
      <c r="CJ408" s="1147"/>
      <c r="CK408" s="1146"/>
    </row>
    <row r="409" spans="1:89" ht="15" x14ac:dyDescent="0.25">
      <c r="A409" s="1146"/>
      <c r="B409" s="1146"/>
      <c r="C409" s="1146"/>
      <c r="D409" s="1146"/>
      <c r="E409" s="1146"/>
      <c r="F409" s="1146"/>
      <c r="G409" s="1146"/>
      <c r="H409" s="1146"/>
      <c r="I409" s="1146"/>
      <c r="J409" s="1146"/>
      <c r="K409" s="1146"/>
      <c r="L409" s="1146"/>
      <c r="M409" s="1146"/>
      <c r="N409" s="1146"/>
      <c r="O409" s="1146"/>
      <c r="P409" s="1146"/>
      <c r="Q409" s="1146"/>
      <c r="R409" s="1146"/>
      <c r="S409" s="1146"/>
      <c r="T409" s="1147"/>
      <c r="U409" s="1147"/>
      <c r="V409" s="1147"/>
      <c r="W409" s="1147"/>
      <c r="X409" s="1147"/>
      <c r="Y409" s="1147"/>
      <c r="Z409" s="1147"/>
      <c r="AA409" s="1147"/>
      <c r="AB409" s="1147"/>
      <c r="AC409" s="1147"/>
      <c r="AD409" s="1147"/>
      <c r="AE409" s="1147"/>
      <c r="AF409" s="1147"/>
      <c r="AG409" s="1147"/>
      <c r="AH409" s="1147"/>
      <c r="AI409" s="1147"/>
      <c r="AJ409" s="1147"/>
      <c r="AK409" s="1147"/>
      <c r="AL409" s="1147"/>
      <c r="AM409" s="1147"/>
      <c r="AN409" s="1147"/>
      <c r="AO409" s="1147"/>
      <c r="AP409" s="1147"/>
      <c r="AQ409" s="1147"/>
      <c r="AR409" s="1147"/>
      <c r="AS409" s="1147"/>
      <c r="AT409" s="1147"/>
      <c r="AU409" s="1147"/>
      <c r="AV409" s="1147"/>
      <c r="AW409" s="1147"/>
      <c r="AX409" s="1147"/>
      <c r="AY409" s="1147"/>
      <c r="AZ409" s="1147"/>
      <c r="BA409" s="1147"/>
      <c r="BB409" s="1147"/>
      <c r="BC409" s="1147"/>
      <c r="BD409" s="1147"/>
      <c r="BE409" s="1147"/>
      <c r="BF409" s="1147"/>
      <c r="BG409" s="1147"/>
      <c r="BH409" s="1147"/>
      <c r="BI409" s="1147"/>
      <c r="BJ409" s="1147"/>
      <c r="BK409" s="1147"/>
      <c r="BL409" s="1147"/>
      <c r="BM409" s="1147"/>
      <c r="BN409" s="1147"/>
      <c r="BO409" s="1147"/>
      <c r="BP409" s="1147"/>
      <c r="BQ409" s="1147"/>
      <c r="BR409" s="1147"/>
      <c r="BS409" s="1147"/>
      <c r="BT409" s="1147"/>
      <c r="BU409" s="1147"/>
      <c r="BV409" s="1147"/>
      <c r="BW409" s="1147"/>
      <c r="BX409" s="1147"/>
      <c r="BY409" s="1147"/>
      <c r="BZ409" s="1147"/>
      <c r="CA409" s="1147"/>
      <c r="CB409" s="1147"/>
      <c r="CC409" s="1147"/>
      <c r="CD409" s="1147"/>
      <c r="CE409" s="1147"/>
      <c r="CF409" s="1147"/>
      <c r="CG409" s="1147"/>
      <c r="CH409" s="1147"/>
      <c r="CI409" s="1147"/>
      <c r="CJ409" s="1147"/>
      <c r="CK409" s="1146"/>
    </row>
    <row r="410" spans="1:89" ht="15" x14ac:dyDescent="0.25">
      <c r="A410" s="1146"/>
      <c r="B410" s="1146"/>
      <c r="C410" s="1146"/>
      <c r="D410" s="1146"/>
      <c r="E410" s="1146"/>
      <c r="F410" s="1146"/>
      <c r="G410" s="1146"/>
      <c r="H410" s="1146"/>
      <c r="I410" s="1146"/>
      <c r="J410" s="1146"/>
      <c r="K410" s="1146"/>
      <c r="L410" s="1146"/>
      <c r="M410" s="1146"/>
      <c r="N410" s="1146"/>
      <c r="O410" s="1146"/>
      <c r="P410" s="1146"/>
      <c r="Q410" s="1146"/>
      <c r="R410" s="1146"/>
      <c r="S410" s="1146"/>
      <c r="T410" s="1147"/>
      <c r="U410" s="1147"/>
      <c r="V410" s="1147"/>
      <c r="W410" s="1147"/>
      <c r="X410" s="1147"/>
      <c r="Y410" s="1147"/>
      <c r="Z410" s="1147"/>
      <c r="AA410" s="1147"/>
      <c r="AB410" s="1147"/>
      <c r="AC410" s="1147"/>
      <c r="AD410" s="1147"/>
      <c r="AE410" s="1147"/>
      <c r="AF410" s="1147"/>
      <c r="AG410" s="1147"/>
      <c r="AH410" s="1147"/>
      <c r="AI410" s="1147"/>
      <c r="AJ410" s="1147"/>
      <c r="AK410" s="1147"/>
      <c r="AL410" s="1147"/>
      <c r="AM410" s="1147"/>
      <c r="AN410" s="1147"/>
      <c r="AO410" s="1147"/>
      <c r="AP410" s="1147"/>
      <c r="AQ410" s="1147"/>
      <c r="AR410" s="1147"/>
      <c r="AS410" s="1147"/>
      <c r="AT410" s="1147"/>
      <c r="AU410" s="1147"/>
      <c r="AV410" s="1147"/>
      <c r="AW410" s="1147"/>
      <c r="AX410" s="1147"/>
      <c r="AY410" s="1147"/>
      <c r="AZ410" s="1147"/>
      <c r="BA410" s="1147"/>
      <c r="BB410" s="1147"/>
      <c r="BC410" s="1147"/>
      <c r="BD410" s="1147"/>
      <c r="BE410" s="1147"/>
      <c r="BF410" s="1147"/>
      <c r="BG410" s="1147"/>
      <c r="BH410" s="1147"/>
      <c r="BI410" s="1147"/>
      <c r="BJ410" s="1147"/>
      <c r="BK410" s="1147"/>
      <c r="BL410" s="1147"/>
      <c r="BM410" s="1147"/>
      <c r="BN410" s="1147"/>
      <c r="BO410" s="1147"/>
      <c r="BP410" s="1147"/>
      <c r="BQ410" s="1147"/>
      <c r="BR410" s="1147"/>
      <c r="BS410" s="1147"/>
      <c r="BT410" s="1147"/>
      <c r="BU410" s="1147"/>
      <c r="BV410" s="1147"/>
      <c r="BW410" s="1147"/>
      <c r="BX410" s="1147"/>
      <c r="BY410" s="1147"/>
      <c r="BZ410" s="1147"/>
      <c r="CA410" s="1147"/>
      <c r="CB410" s="1147"/>
      <c r="CC410" s="1147"/>
      <c r="CD410" s="1147"/>
      <c r="CE410" s="1147"/>
      <c r="CF410" s="1147"/>
      <c r="CG410" s="1147"/>
      <c r="CH410" s="1147"/>
      <c r="CI410" s="1147"/>
      <c r="CJ410" s="1147"/>
      <c r="CK410" s="1146"/>
    </row>
    <row r="411" spans="1:89" ht="15" x14ac:dyDescent="0.25">
      <c r="A411" s="1146"/>
      <c r="B411" s="1146"/>
      <c r="C411" s="1146"/>
      <c r="D411" s="1146"/>
      <c r="E411" s="1146"/>
      <c r="F411" s="1146"/>
      <c r="G411" s="1146"/>
      <c r="H411" s="1146"/>
      <c r="I411" s="1146"/>
      <c r="J411" s="1146"/>
      <c r="K411" s="1146"/>
      <c r="L411" s="1146"/>
      <c r="M411" s="1146"/>
      <c r="N411" s="1146"/>
      <c r="O411" s="1146"/>
      <c r="P411" s="1146"/>
      <c r="Q411" s="1146"/>
      <c r="R411" s="1146"/>
      <c r="S411" s="1146"/>
      <c r="T411" s="1147"/>
      <c r="U411" s="1147"/>
      <c r="V411" s="1147"/>
      <c r="W411" s="1147"/>
      <c r="X411" s="1147"/>
      <c r="Y411" s="1147"/>
      <c r="Z411" s="1147"/>
      <c r="AA411" s="1147"/>
      <c r="AB411" s="1147"/>
      <c r="AC411" s="1147"/>
      <c r="AD411" s="1147"/>
      <c r="AE411" s="1147"/>
      <c r="AF411" s="1147"/>
      <c r="AG411" s="1147"/>
      <c r="AH411" s="1147"/>
      <c r="AI411" s="1147"/>
      <c r="AJ411" s="1147"/>
      <c r="AK411" s="1147"/>
      <c r="AL411" s="1147"/>
      <c r="AM411" s="1147"/>
      <c r="AN411" s="1147"/>
      <c r="AO411" s="1147"/>
      <c r="AP411" s="1147"/>
      <c r="AQ411" s="1147"/>
      <c r="AR411" s="1147"/>
      <c r="AS411" s="1147"/>
      <c r="AT411" s="1147"/>
      <c r="AU411" s="1147"/>
      <c r="AV411" s="1147"/>
      <c r="AW411" s="1147"/>
      <c r="AX411" s="1147"/>
      <c r="AY411" s="1147"/>
      <c r="AZ411" s="1147"/>
      <c r="BA411" s="1147"/>
      <c r="BB411" s="1147"/>
      <c r="BC411" s="1147"/>
      <c r="BD411" s="1147"/>
      <c r="BE411" s="1147"/>
      <c r="BF411" s="1147"/>
      <c r="BG411" s="1147"/>
      <c r="BH411" s="1147"/>
      <c r="BI411" s="1147"/>
      <c r="BJ411" s="1147"/>
      <c r="BK411" s="1147"/>
      <c r="BL411" s="1147"/>
      <c r="BM411" s="1147"/>
      <c r="BN411" s="1147"/>
      <c r="BO411" s="1147"/>
      <c r="BP411" s="1147"/>
      <c r="BQ411" s="1147"/>
      <c r="BR411" s="1147"/>
      <c r="BS411" s="1147"/>
      <c r="BT411" s="1147"/>
      <c r="BU411" s="1147"/>
      <c r="BV411" s="1147"/>
      <c r="BW411" s="1147"/>
      <c r="BX411" s="1147"/>
      <c r="BY411" s="1147"/>
      <c r="BZ411" s="1147"/>
      <c r="CA411" s="1147"/>
      <c r="CB411" s="1147"/>
      <c r="CC411" s="1147"/>
      <c r="CD411" s="1147"/>
      <c r="CE411" s="1147"/>
      <c r="CF411" s="1147"/>
      <c r="CG411" s="1147"/>
      <c r="CH411" s="1147"/>
      <c r="CI411" s="1147"/>
      <c r="CJ411" s="1147"/>
      <c r="CK411" s="1146"/>
    </row>
    <row r="412" spans="1:89" ht="15" x14ac:dyDescent="0.25">
      <c r="A412" s="1146"/>
      <c r="B412" s="1146"/>
      <c r="C412" s="1146"/>
      <c r="D412" s="1146"/>
      <c r="E412" s="1146"/>
      <c r="F412" s="1146"/>
      <c r="G412" s="1146"/>
      <c r="H412" s="1146"/>
      <c r="I412" s="1146"/>
      <c r="J412" s="1146"/>
      <c r="K412" s="1146"/>
      <c r="L412" s="1146"/>
      <c r="M412" s="1146"/>
      <c r="N412" s="1146"/>
      <c r="O412" s="1146"/>
      <c r="P412" s="1146"/>
      <c r="Q412" s="1146"/>
      <c r="R412" s="1146"/>
      <c r="S412" s="1146"/>
      <c r="T412" s="1147"/>
      <c r="U412" s="1147"/>
      <c r="V412" s="1147"/>
      <c r="W412" s="1147"/>
      <c r="X412" s="1147"/>
      <c r="Y412" s="1147"/>
      <c r="Z412" s="1147"/>
      <c r="AA412" s="1147"/>
      <c r="AB412" s="1147"/>
      <c r="AC412" s="1147"/>
      <c r="AD412" s="1147"/>
      <c r="AE412" s="1147"/>
      <c r="AF412" s="1147"/>
      <c r="AG412" s="1147"/>
      <c r="AH412" s="1147"/>
      <c r="AI412" s="1147"/>
      <c r="AJ412" s="1147"/>
      <c r="AK412" s="1147"/>
      <c r="AL412" s="1147"/>
      <c r="AM412" s="1147"/>
      <c r="AN412" s="1147"/>
      <c r="AO412" s="1147"/>
      <c r="AP412" s="1147"/>
      <c r="AQ412" s="1147"/>
      <c r="AR412" s="1147"/>
      <c r="AS412" s="1147"/>
      <c r="AT412" s="1147"/>
      <c r="AU412" s="1147"/>
      <c r="AV412" s="1147"/>
      <c r="AW412" s="1147"/>
      <c r="AX412" s="1147"/>
      <c r="AY412" s="1147"/>
      <c r="AZ412" s="1147"/>
      <c r="BA412" s="1147"/>
      <c r="BB412" s="1147"/>
      <c r="BC412" s="1147"/>
      <c r="BD412" s="1147"/>
      <c r="BE412" s="1147"/>
      <c r="BF412" s="1147"/>
      <c r="BG412" s="1147"/>
      <c r="BH412" s="1147"/>
      <c r="BI412" s="1147"/>
      <c r="BJ412" s="1147"/>
      <c r="BK412" s="1147"/>
      <c r="BL412" s="1147"/>
      <c r="BM412" s="1147"/>
      <c r="BN412" s="1147"/>
      <c r="BO412" s="1147"/>
      <c r="BP412" s="1147"/>
      <c r="BQ412" s="1147"/>
      <c r="BR412" s="1147"/>
      <c r="BS412" s="1147"/>
      <c r="BT412" s="1147"/>
      <c r="BU412" s="1147"/>
      <c r="BV412" s="1147"/>
      <c r="BW412" s="1147"/>
      <c r="BX412" s="1147"/>
      <c r="BY412" s="1147"/>
      <c r="BZ412" s="1147"/>
      <c r="CA412" s="1147"/>
      <c r="CB412" s="1147"/>
      <c r="CC412" s="1147"/>
      <c r="CD412" s="1147"/>
      <c r="CE412" s="1147"/>
      <c r="CF412" s="1147"/>
      <c r="CG412" s="1147"/>
      <c r="CH412" s="1147"/>
      <c r="CI412" s="1147"/>
      <c r="CJ412" s="1147"/>
      <c r="CK412" s="1146"/>
    </row>
    <row r="413" spans="1:89" ht="15" x14ac:dyDescent="0.25">
      <c r="A413" s="1146"/>
      <c r="B413" s="1146"/>
      <c r="C413" s="1146"/>
      <c r="D413" s="1146"/>
      <c r="E413" s="1146"/>
      <c r="F413" s="1146"/>
      <c r="G413" s="1146"/>
      <c r="H413" s="1146"/>
      <c r="I413" s="1146"/>
      <c r="J413" s="1146"/>
      <c r="K413" s="1146"/>
      <c r="L413" s="1146"/>
      <c r="M413" s="1146"/>
      <c r="N413" s="1146"/>
      <c r="O413" s="1146"/>
      <c r="P413" s="1146"/>
      <c r="Q413" s="1146"/>
      <c r="R413" s="1146"/>
      <c r="S413" s="1146"/>
      <c r="T413" s="1147"/>
      <c r="U413" s="1147"/>
      <c r="V413" s="1147"/>
      <c r="W413" s="1147"/>
      <c r="X413" s="1147"/>
      <c r="Y413" s="1147"/>
      <c r="Z413" s="1147"/>
      <c r="AA413" s="1147"/>
      <c r="AB413" s="1147"/>
      <c r="AC413" s="1147"/>
      <c r="AD413" s="1147"/>
      <c r="AE413" s="1147"/>
      <c r="AF413" s="1147"/>
      <c r="AG413" s="1147"/>
      <c r="AH413" s="1147"/>
      <c r="AI413" s="1147"/>
      <c r="AJ413" s="1147"/>
      <c r="AK413" s="1147"/>
      <c r="AL413" s="1147"/>
      <c r="AM413" s="1147"/>
      <c r="AN413" s="1147"/>
      <c r="AO413" s="1147"/>
      <c r="AP413" s="1147"/>
      <c r="AQ413" s="1147"/>
      <c r="AR413" s="1147"/>
      <c r="AS413" s="1147"/>
      <c r="AT413" s="1147"/>
      <c r="AU413" s="1147"/>
      <c r="AV413" s="1147"/>
      <c r="AW413" s="1147"/>
      <c r="AX413" s="1147"/>
      <c r="AY413" s="1147"/>
      <c r="AZ413" s="1147"/>
      <c r="BA413" s="1147"/>
      <c r="BB413" s="1147"/>
      <c r="BC413" s="1147"/>
      <c r="BD413" s="1147"/>
      <c r="BE413" s="1147"/>
      <c r="BF413" s="1147"/>
      <c r="BG413" s="1147"/>
      <c r="BH413" s="1147"/>
      <c r="BI413" s="1147"/>
      <c r="BJ413" s="1147"/>
      <c r="BK413" s="1147"/>
      <c r="BL413" s="1147"/>
      <c r="BM413" s="1147"/>
      <c r="BN413" s="1147"/>
      <c r="BO413" s="1147"/>
      <c r="BP413" s="1147"/>
      <c r="BQ413" s="1147"/>
      <c r="BR413" s="1147"/>
      <c r="BS413" s="1147"/>
      <c r="BT413" s="1147"/>
      <c r="BU413" s="1147"/>
      <c r="BV413" s="1147"/>
      <c r="BW413" s="1147"/>
      <c r="BX413" s="1147"/>
      <c r="BY413" s="1147"/>
      <c r="BZ413" s="1147"/>
      <c r="CA413" s="1147"/>
      <c r="CB413" s="1147"/>
      <c r="CC413" s="1147"/>
      <c r="CD413" s="1147"/>
      <c r="CE413" s="1147"/>
      <c r="CF413" s="1147"/>
      <c r="CG413" s="1147"/>
      <c r="CH413" s="1147"/>
      <c r="CI413" s="1147"/>
      <c r="CJ413" s="1147"/>
      <c r="CK413" s="1146"/>
    </row>
    <row r="414" spans="1:89" ht="15" x14ac:dyDescent="0.25">
      <c r="A414" s="1146"/>
      <c r="B414" s="1146"/>
      <c r="C414" s="1146"/>
      <c r="D414" s="1146"/>
      <c r="E414" s="1146"/>
      <c r="F414" s="1146"/>
      <c r="G414" s="1146"/>
      <c r="H414" s="1146"/>
      <c r="I414" s="1146"/>
      <c r="J414" s="1146"/>
      <c r="K414" s="1146"/>
      <c r="L414" s="1146"/>
      <c r="M414" s="1146"/>
      <c r="N414" s="1146"/>
      <c r="O414" s="1146"/>
      <c r="P414" s="1146"/>
      <c r="Q414" s="1146"/>
      <c r="R414" s="1146"/>
      <c r="S414" s="1146"/>
      <c r="T414" s="1147"/>
      <c r="U414" s="1147"/>
      <c r="V414" s="1147"/>
      <c r="W414" s="1147"/>
      <c r="X414" s="1147"/>
      <c r="Y414" s="1147"/>
      <c r="Z414" s="1147"/>
      <c r="AA414" s="1147"/>
      <c r="AB414" s="1147"/>
      <c r="AC414" s="1147"/>
      <c r="AD414" s="1147"/>
      <c r="AE414" s="1147"/>
      <c r="AF414" s="1147"/>
      <c r="AG414" s="1147"/>
      <c r="AH414" s="1147"/>
      <c r="AI414" s="1147"/>
      <c r="AJ414" s="1147"/>
      <c r="AK414" s="1147"/>
      <c r="AL414" s="1147"/>
      <c r="AM414" s="1147"/>
      <c r="AN414" s="1147"/>
      <c r="AO414" s="1147"/>
      <c r="AP414" s="1147"/>
      <c r="AQ414" s="1147"/>
      <c r="AR414" s="1147"/>
      <c r="AS414" s="1147"/>
      <c r="AT414" s="1147"/>
      <c r="AU414" s="1147"/>
      <c r="AV414" s="1147"/>
      <c r="AW414" s="1147"/>
      <c r="AX414" s="1147"/>
      <c r="AY414" s="1147"/>
      <c r="AZ414" s="1147"/>
      <c r="BA414" s="1147"/>
      <c r="BB414" s="1147"/>
      <c r="BC414" s="1147"/>
      <c r="BD414" s="1147"/>
      <c r="BE414" s="1147"/>
      <c r="BF414" s="1147"/>
      <c r="BG414" s="1147"/>
      <c r="BH414" s="1147"/>
      <c r="BI414" s="1147"/>
      <c r="BJ414" s="1147"/>
      <c r="BK414" s="1147"/>
      <c r="BL414" s="1147"/>
      <c r="BM414" s="1147"/>
      <c r="BN414" s="1147"/>
      <c r="BO414" s="1147"/>
      <c r="BP414" s="1147"/>
      <c r="BQ414" s="1147"/>
      <c r="BR414" s="1147"/>
      <c r="BS414" s="1147"/>
      <c r="BT414" s="1147"/>
      <c r="BU414" s="1147"/>
      <c r="BV414" s="1147"/>
      <c r="BW414" s="1147"/>
      <c r="BX414" s="1147"/>
      <c r="BY414" s="1147"/>
      <c r="BZ414" s="1147"/>
      <c r="CA414" s="1147"/>
      <c r="CB414" s="1147"/>
      <c r="CC414" s="1147"/>
      <c r="CD414" s="1147"/>
      <c r="CE414" s="1147"/>
      <c r="CF414" s="1147"/>
      <c r="CG414" s="1147"/>
      <c r="CH414" s="1147"/>
      <c r="CI414" s="1147"/>
      <c r="CJ414" s="1147"/>
      <c r="CK414" s="1146"/>
    </row>
    <row r="415" spans="1:89" ht="15" x14ac:dyDescent="0.25">
      <c r="A415" s="1146"/>
      <c r="B415" s="1146"/>
      <c r="C415" s="1146"/>
      <c r="D415" s="1146"/>
      <c r="E415" s="1146"/>
      <c r="F415" s="1146"/>
      <c r="G415" s="1146"/>
      <c r="H415" s="1146"/>
      <c r="I415" s="1146"/>
      <c r="J415" s="1146"/>
      <c r="K415" s="1146"/>
      <c r="L415" s="1146"/>
      <c r="M415" s="1146"/>
      <c r="N415" s="1146"/>
      <c r="O415" s="1146"/>
      <c r="P415" s="1146"/>
      <c r="Q415" s="1146"/>
      <c r="R415" s="1146"/>
      <c r="S415" s="1146"/>
      <c r="T415" s="1147"/>
      <c r="U415" s="1147"/>
      <c r="V415" s="1147"/>
      <c r="W415" s="1147"/>
      <c r="X415" s="1147"/>
      <c r="Y415" s="1147"/>
      <c r="Z415" s="1147"/>
      <c r="AA415" s="1147"/>
      <c r="AB415" s="1147"/>
      <c r="AC415" s="1147"/>
      <c r="AD415" s="1147"/>
      <c r="AE415" s="1147"/>
      <c r="AF415" s="1147"/>
      <c r="AG415" s="1147"/>
      <c r="AH415" s="1147"/>
      <c r="AI415" s="1147"/>
      <c r="AJ415" s="1147"/>
      <c r="AK415" s="1147"/>
      <c r="AL415" s="1147"/>
      <c r="AM415" s="1147"/>
      <c r="AN415" s="1147"/>
      <c r="AO415" s="1147"/>
      <c r="AP415" s="1147"/>
      <c r="AQ415" s="1147"/>
      <c r="AR415" s="1147"/>
      <c r="AS415" s="1147"/>
      <c r="AT415" s="1147"/>
      <c r="AU415" s="1147"/>
      <c r="AV415" s="1147"/>
      <c r="AW415" s="1147"/>
      <c r="AX415" s="1147"/>
      <c r="AY415" s="1147"/>
      <c r="AZ415" s="1147"/>
      <c r="BA415" s="1147"/>
      <c r="BB415" s="1147"/>
      <c r="BC415" s="1147"/>
      <c r="BD415" s="1147"/>
      <c r="BE415" s="1147"/>
      <c r="BF415" s="1147"/>
      <c r="BG415" s="1147"/>
      <c r="BH415" s="1147"/>
      <c r="BI415" s="1147"/>
      <c r="BJ415" s="1147"/>
      <c r="BK415" s="1147"/>
      <c r="BL415" s="1147"/>
      <c r="BM415" s="1147"/>
      <c r="BN415" s="1147"/>
      <c r="BO415" s="1147"/>
      <c r="BP415" s="1147"/>
      <c r="BQ415" s="1147"/>
      <c r="BR415" s="1147"/>
      <c r="BS415" s="1147"/>
      <c r="BT415" s="1147"/>
      <c r="BU415" s="1147"/>
      <c r="BV415" s="1147"/>
      <c r="BW415" s="1147"/>
      <c r="BX415" s="1147"/>
      <c r="BY415" s="1147"/>
      <c r="BZ415" s="1147"/>
      <c r="CA415" s="1147"/>
      <c r="CB415" s="1147"/>
      <c r="CC415" s="1147"/>
      <c r="CD415" s="1147"/>
      <c r="CE415" s="1147"/>
      <c r="CF415" s="1147"/>
      <c r="CG415" s="1147"/>
      <c r="CH415" s="1147"/>
      <c r="CI415" s="1147"/>
      <c r="CJ415" s="1147"/>
      <c r="CK415" s="1146"/>
    </row>
    <row r="416" spans="1:89" ht="15" x14ac:dyDescent="0.25">
      <c r="A416" s="1146"/>
      <c r="B416" s="1146"/>
      <c r="C416" s="1146"/>
      <c r="D416" s="1146"/>
      <c r="E416" s="1146"/>
      <c r="F416" s="1146"/>
      <c r="G416" s="1146"/>
      <c r="H416" s="1146"/>
      <c r="I416" s="1146"/>
      <c r="J416" s="1146"/>
      <c r="K416" s="1146"/>
      <c r="L416" s="1146"/>
      <c r="M416" s="1146"/>
      <c r="N416" s="1146"/>
      <c r="O416" s="1146"/>
      <c r="P416" s="1146"/>
      <c r="Q416" s="1146"/>
      <c r="R416" s="1146"/>
      <c r="S416" s="1146"/>
      <c r="T416" s="1147"/>
      <c r="U416" s="1147"/>
      <c r="V416" s="1147"/>
      <c r="W416" s="1147"/>
      <c r="X416" s="1147"/>
      <c r="Y416" s="1147"/>
      <c r="Z416" s="1147"/>
      <c r="AA416" s="1147"/>
      <c r="AB416" s="1147"/>
      <c r="AC416" s="1147"/>
      <c r="AD416" s="1147"/>
      <c r="AE416" s="1147"/>
      <c r="AF416" s="1147"/>
      <c r="AG416" s="1147"/>
      <c r="AH416" s="1147"/>
      <c r="AI416" s="1147"/>
      <c r="AJ416" s="1147"/>
      <c r="AK416" s="1147"/>
      <c r="AL416" s="1147"/>
      <c r="AM416" s="1147"/>
      <c r="AN416" s="1147"/>
      <c r="AO416" s="1147"/>
      <c r="AP416" s="1147"/>
      <c r="AQ416" s="1147"/>
      <c r="AR416" s="1147"/>
      <c r="AS416" s="1147"/>
      <c r="AT416" s="1147"/>
      <c r="AU416" s="1147"/>
      <c r="AV416" s="1147"/>
      <c r="AW416" s="1147"/>
      <c r="AX416" s="1147"/>
      <c r="AY416" s="1147"/>
      <c r="AZ416" s="1147"/>
      <c r="BA416" s="1147"/>
      <c r="BB416" s="1147"/>
      <c r="BC416" s="1147"/>
      <c r="BD416" s="1147"/>
      <c r="BE416" s="1147"/>
      <c r="BF416" s="1147"/>
      <c r="BG416" s="1147"/>
      <c r="BH416" s="1147"/>
      <c r="BI416" s="1147"/>
      <c r="BJ416" s="1147"/>
      <c r="BK416" s="1147"/>
      <c r="BL416" s="1147"/>
      <c r="BM416" s="1147"/>
      <c r="BN416" s="1147"/>
      <c r="BO416" s="1147"/>
      <c r="BP416" s="1147"/>
      <c r="BQ416" s="1147"/>
      <c r="BR416" s="1147"/>
      <c r="BS416" s="1147"/>
      <c r="BT416" s="1147"/>
      <c r="BU416" s="1147"/>
      <c r="BV416" s="1147"/>
      <c r="BW416" s="1147"/>
      <c r="BX416" s="1147"/>
      <c r="BY416" s="1147"/>
      <c r="BZ416" s="1147"/>
      <c r="CA416" s="1147"/>
      <c r="CB416" s="1147"/>
      <c r="CC416" s="1147"/>
      <c r="CD416" s="1147"/>
      <c r="CE416" s="1147"/>
      <c r="CF416" s="1147"/>
      <c r="CG416" s="1147"/>
      <c r="CH416" s="1147"/>
      <c r="CI416" s="1147"/>
      <c r="CJ416" s="1147"/>
      <c r="CK416" s="1146"/>
    </row>
    <row r="417" spans="1:89" ht="15" x14ac:dyDescent="0.25">
      <c r="A417" s="1146"/>
      <c r="B417" s="1146"/>
      <c r="C417" s="1146"/>
      <c r="D417" s="1146"/>
      <c r="E417" s="1146"/>
      <c r="F417" s="1146"/>
      <c r="G417" s="1146"/>
      <c r="H417" s="1146"/>
      <c r="I417" s="1146"/>
      <c r="J417" s="1146"/>
      <c r="K417" s="1146"/>
      <c r="L417" s="1146"/>
      <c r="M417" s="1146"/>
      <c r="N417" s="1146"/>
      <c r="O417" s="1146"/>
      <c r="P417" s="1146"/>
      <c r="Q417" s="1146"/>
      <c r="R417" s="1146"/>
      <c r="S417" s="1146"/>
      <c r="T417" s="1147"/>
      <c r="U417" s="1147"/>
      <c r="V417" s="1147"/>
      <c r="W417" s="1147"/>
      <c r="X417" s="1147"/>
      <c r="Y417" s="1147"/>
      <c r="Z417" s="1147"/>
      <c r="AA417" s="1147"/>
      <c r="AB417" s="1147"/>
      <c r="AC417" s="1147"/>
      <c r="AD417" s="1147"/>
      <c r="AE417" s="1147"/>
      <c r="AF417" s="1147"/>
      <c r="AG417" s="1147"/>
      <c r="AH417" s="1147"/>
      <c r="AI417" s="1147"/>
      <c r="AJ417" s="1147"/>
      <c r="AK417" s="1147"/>
      <c r="AL417" s="1147"/>
      <c r="AM417" s="1147"/>
      <c r="AN417" s="1147"/>
      <c r="AO417" s="1147"/>
      <c r="AP417" s="1147"/>
      <c r="AQ417" s="1147"/>
      <c r="AR417" s="1147"/>
      <c r="AS417" s="1147"/>
      <c r="AT417" s="1147"/>
      <c r="AU417" s="1147"/>
      <c r="AV417" s="1147"/>
      <c r="AW417" s="1147"/>
      <c r="AX417" s="1147"/>
      <c r="AY417" s="1147"/>
      <c r="AZ417" s="1147"/>
      <c r="BA417" s="1147"/>
      <c r="BB417" s="1147"/>
      <c r="BC417" s="1147"/>
      <c r="BD417" s="1147"/>
      <c r="BE417" s="1147"/>
      <c r="BF417" s="1147"/>
      <c r="BG417" s="1147"/>
      <c r="BH417" s="1147"/>
      <c r="BI417" s="1147"/>
      <c r="BJ417" s="1147"/>
      <c r="BK417" s="1147"/>
      <c r="BL417" s="1147"/>
      <c r="BM417" s="1147"/>
      <c r="BN417" s="1147"/>
      <c r="BO417" s="1147"/>
      <c r="BP417" s="1147"/>
      <c r="BQ417" s="1147"/>
      <c r="BR417" s="1147"/>
      <c r="BS417" s="1147"/>
      <c r="BT417" s="1147"/>
      <c r="BU417" s="1147"/>
      <c r="BV417" s="1147"/>
      <c r="BW417" s="1147"/>
      <c r="BX417" s="1147"/>
      <c r="BY417" s="1147"/>
      <c r="BZ417" s="1147"/>
      <c r="CA417" s="1147"/>
      <c r="CB417" s="1147"/>
      <c r="CC417" s="1147"/>
      <c r="CD417" s="1147"/>
      <c r="CE417" s="1147"/>
      <c r="CF417" s="1147"/>
      <c r="CG417" s="1147"/>
      <c r="CH417" s="1147"/>
      <c r="CI417" s="1147"/>
      <c r="CJ417" s="1147"/>
      <c r="CK417" s="1146"/>
    </row>
    <row r="418" spans="1:89" ht="15" x14ac:dyDescent="0.25">
      <c r="A418" s="1146"/>
      <c r="B418" s="1146"/>
      <c r="C418" s="1146"/>
      <c r="D418" s="1146"/>
      <c r="E418" s="1146"/>
      <c r="F418" s="1146"/>
      <c r="G418" s="1146"/>
      <c r="H418" s="1146"/>
      <c r="I418" s="1146"/>
      <c r="J418" s="1146"/>
      <c r="K418" s="1146"/>
      <c r="L418" s="1146"/>
      <c r="M418" s="1146"/>
      <c r="N418" s="1146"/>
      <c r="O418" s="1146"/>
      <c r="P418" s="1146"/>
      <c r="Q418" s="1146"/>
      <c r="R418" s="1146"/>
      <c r="S418" s="1146"/>
      <c r="T418" s="1147"/>
      <c r="U418" s="1147"/>
      <c r="V418" s="1147"/>
      <c r="W418" s="1147"/>
      <c r="X418" s="1147"/>
      <c r="Y418" s="1147"/>
      <c r="Z418" s="1147"/>
      <c r="AA418" s="1147"/>
      <c r="AB418" s="1147"/>
      <c r="AC418" s="1147"/>
      <c r="AD418" s="1147"/>
      <c r="AE418" s="1147"/>
      <c r="AF418" s="1147"/>
      <c r="AG418" s="1147"/>
      <c r="AH418" s="1147"/>
      <c r="AI418" s="1147"/>
      <c r="AJ418" s="1147"/>
      <c r="AK418" s="1147"/>
      <c r="AL418" s="1147"/>
      <c r="AM418" s="1147"/>
      <c r="AN418" s="1147"/>
      <c r="AO418" s="1147"/>
      <c r="AP418" s="1147"/>
      <c r="AQ418" s="1147"/>
      <c r="AR418" s="1147"/>
      <c r="AS418" s="1147"/>
      <c r="AT418" s="1147"/>
      <c r="AU418" s="1147"/>
      <c r="AV418" s="1147"/>
      <c r="AW418" s="1147"/>
      <c r="AX418" s="1147"/>
      <c r="AY418" s="1147"/>
      <c r="AZ418" s="1147"/>
      <c r="BA418" s="1147"/>
      <c r="BB418" s="1147"/>
      <c r="BC418" s="1147"/>
      <c r="BD418" s="1147"/>
      <c r="BE418" s="1147"/>
      <c r="BF418" s="1147"/>
      <c r="BG418" s="1147"/>
      <c r="BH418" s="1147"/>
      <c r="BI418" s="1147"/>
      <c r="BJ418" s="1147"/>
      <c r="BK418" s="1147"/>
      <c r="BL418" s="1147"/>
      <c r="BM418" s="1147"/>
      <c r="BN418" s="1147"/>
      <c r="BO418" s="1147"/>
      <c r="BP418" s="1147"/>
      <c r="BQ418" s="1147"/>
      <c r="BR418" s="1147"/>
      <c r="BS418" s="1147"/>
      <c r="BT418" s="1147"/>
      <c r="BU418" s="1147"/>
      <c r="BV418" s="1147"/>
      <c r="BW418" s="1147"/>
      <c r="BX418" s="1147"/>
      <c r="BY418" s="1147"/>
      <c r="BZ418" s="1147"/>
      <c r="CA418" s="1147"/>
      <c r="CB418" s="1147"/>
      <c r="CC418" s="1147"/>
      <c r="CD418" s="1147"/>
      <c r="CE418" s="1147"/>
      <c r="CF418" s="1147"/>
      <c r="CG418" s="1147"/>
      <c r="CH418" s="1147"/>
      <c r="CI418" s="1147"/>
      <c r="CJ418" s="1147"/>
      <c r="CK418" s="1146"/>
    </row>
    <row r="419" spans="1:89" ht="15" x14ac:dyDescent="0.25">
      <c r="A419" s="1146"/>
      <c r="B419" s="1146"/>
      <c r="C419" s="1146"/>
      <c r="D419" s="1146"/>
      <c r="E419" s="1146"/>
      <c r="F419" s="1146"/>
      <c r="G419" s="1146"/>
      <c r="H419" s="1146"/>
      <c r="I419" s="1146"/>
      <c r="J419" s="1146"/>
      <c r="K419" s="1146"/>
      <c r="L419" s="1146"/>
      <c r="M419" s="1146"/>
      <c r="N419" s="1146"/>
      <c r="O419" s="1146"/>
      <c r="P419" s="1146"/>
      <c r="Q419" s="1146"/>
      <c r="R419" s="1146"/>
      <c r="S419" s="1146"/>
      <c r="T419" s="1147"/>
      <c r="U419" s="1147"/>
      <c r="V419" s="1147"/>
      <c r="W419" s="1147"/>
      <c r="X419" s="1147"/>
      <c r="Y419" s="1147"/>
      <c r="Z419" s="1147"/>
      <c r="AA419" s="1147"/>
      <c r="AB419" s="1147"/>
      <c r="AC419" s="1147"/>
      <c r="AD419" s="1147"/>
      <c r="AE419" s="1147"/>
      <c r="AF419" s="1147"/>
      <c r="AG419" s="1147"/>
      <c r="AH419" s="1147"/>
      <c r="AI419" s="1147"/>
      <c r="AJ419" s="1147"/>
      <c r="AK419" s="1147"/>
      <c r="AL419" s="1147"/>
      <c r="AM419" s="1147"/>
      <c r="AN419" s="1147"/>
      <c r="AO419" s="1147"/>
      <c r="AP419" s="1147"/>
      <c r="AQ419" s="1147"/>
      <c r="AR419" s="1147"/>
      <c r="AS419" s="1147"/>
      <c r="AT419" s="1147"/>
      <c r="AU419" s="1147"/>
      <c r="AV419" s="1147"/>
      <c r="AW419" s="1147"/>
      <c r="AX419" s="1147"/>
      <c r="AY419" s="1147"/>
      <c r="AZ419" s="1147"/>
      <c r="BA419" s="1147"/>
      <c r="BB419" s="1147"/>
      <c r="BC419" s="1147"/>
      <c r="BD419" s="1147"/>
      <c r="BE419" s="1147"/>
      <c r="BF419" s="1147"/>
      <c r="BG419" s="1147"/>
      <c r="BH419" s="1147"/>
      <c r="BI419" s="1147"/>
      <c r="BJ419" s="1147"/>
      <c r="BK419" s="1147"/>
      <c r="BL419" s="1147"/>
      <c r="BM419" s="1147"/>
      <c r="BN419" s="1147"/>
      <c r="BO419" s="1147"/>
      <c r="BP419" s="1147"/>
      <c r="BQ419" s="1147"/>
      <c r="BR419" s="1147"/>
      <c r="BS419" s="1147"/>
      <c r="BT419" s="1147"/>
      <c r="BU419" s="1147"/>
      <c r="BV419" s="1147"/>
      <c r="BW419" s="1147"/>
      <c r="BX419" s="1147"/>
      <c r="BY419" s="1147"/>
      <c r="BZ419" s="1147"/>
      <c r="CA419" s="1147"/>
      <c r="CB419" s="1147"/>
      <c r="CC419" s="1147"/>
      <c r="CD419" s="1147"/>
      <c r="CE419" s="1147"/>
      <c r="CF419" s="1147"/>
      <c r="CG419" s="1147"/>
      <c r="CH419" s="1147"/>
      <c r="CI419" s="1147"/>
      <c r="CJ419" s="1147"/>
      <c r="CK419" s="1146"/>
    </row>
    <row r="420" spans="1:89" ht="15" x14ac:dyDescent="0.25">
      <c r="A420" s="1146"/>
      <c r="B420" s="1146"/>
      <c r="C420" s="1146"/>
      <c r="D420" s="1146"/>
      <c r="E420" s="1146"/>
      <c r="F420" s="1146"/>
      <c r="G420" s="1146"/>
      <c r="H420" s="1146"/>
      <c r="I420" s="1146"/>
      <c r="J420" s="1146"/>
      <c r="K420" s="1146"/>
      <c r="L420" s="1146"/>
      <c r="M420" s="1146"/>
      <c r="N420" s="1146"/>
      <c r="O420" s="1146"/>
      <c r="P420" s="1146"/>
      <c r="Q420" s="1146"/>
      <c r="R420" s="1146"/>
      <c r="S420" s="1146"/>
      <c r="T420" s="1147"/>
      <c r="U420" s="1147"/>
      <c r="V420" s="1147"/>
      <c r="W420" s="1147"/>
      <c r="X420" s="1147"/>
      <c r="Y420" s="1147"/>
      <c r="Z420" s="1147"/>
      <c r="AA420" s="1147"/>
      <c r="AB420" s="1147"/>
      <c r="AC420" s="1147"/>
      <c r="AD420" s="1147"/>
      <c r="AE420" s="1147"/>
      <c r="AF420" s="1147"/>
      <c r="AG420" s="1147"/>
      <c r="AH420" s="1147"/>
      <c r="AI420" s="1147"/>
      <c r="AJ420" s="1147"/>
      <c r="AK420" s="1147"/>
      <c r="AL420" s="1147"/>
      <c r="AM420" s="1147"/>
      <c r="AN420" s="1147"/>
      <c r="AO420" s="1147"/>
      <c r="AP420" s="1147"/>
      <c r="AQ420" s="1147"/>
      <c r="AR420" s="1147"/>
      <c r="AS420" s="1147"/>
      <c r="AT420" s="1147"/>
      <c r="AU420" s="1147"/>
      <c r="AV420" s="1147"/>
      <c r="AW420" s="1147"/>
      <c r="AX420" s="1147"/>
      <c r="AY420" s="1147"/>
      <c r="AZ420" s="1147"/>
      <c r="BA420" s="1147"/>
      <c r="BB420" s="1147"/>
      <c r="BC420" s="1147"/>
      <c r="BD420" s="1147"/>
      <c r="BE420" s="1147"/>
      <c r="BF420" s="1147"/>
      <c r="BG420" s="1147"/>
      <c r="BH420" s="1147"/>
      <c r="BI420" s="1147"/>
      <c r="BJ420" s="1147"/>
      <c r="BK420" s="1147"/>
      <c r="BL420" s="1147"/>
      <c r="BM420" s="1147"/>
      <c r="BN420" s="1147"/>
      <c r="BO420" s="1147"/>
      <c r="BP420" s="1147"/>
      <c r="BQ420" s="1147"/>
      <c r="BR420" s="1147"/>
      <c r="BS420" s="1147"/>
      <c r="BT420" s="1147"/>
      <c r="BU420" s="1147"/>
      <c r="BV420" s="1147"/>
      <c r="BW420" s="1147"/>
      <c r="BX420" s="1147"/>
      <c r="BY420" s="1147"/>
      <c r="BZ420" s="1147"/>
      <c r="CA420" s="1147"/>
      <c r="CB420" s="1147"/>
      <c r="CC420" s="1147"/>
      <c r="CD420" s="1147"/>
      <c r="CE420" s="1147"/>
      <c r="CF420" s="1147"/>
      <c r="CG420" s="1147"/>
      <c r="CH420" s="1147"/>
      <c r="CI420" s="1147"/>
      <c r="CJ420" s="1147"/>
      <c r="CK420" s="1146"/>
    </row>
    <row r="421" spans="1:89" ht="15" x14ac:dyDescent="0.25">
      <c r="A421" s="1146"/>
      <c r="B421" s="1146"/>
      <c r="C421" s="1146"/>
      <c r="D421" s="1146"/>
      <c r="E421" s="1146"/>
      <c r="F421" s="1146"/>
      <c r="G421" s="1146"/>
      <c r="H421" s="1146"/>
      <c r="I421" s="1146"/>
      <c r="J421" s="1146"/>
      <c r="K421" s="1146"/>
      <c r="L421" s="1146"/>
      <c r="M421" s="1146"/>
      <c r="N421" s="1146"/>
      <c r="O421" s="1146"/>
      <c r="P421" s="1146"/>
      <c r="Q421" s="1146"/>
      <c r="R421" s="1146"/>
      <c r="S421" s="1146"/>
      <c r="T421" s="1147"/>
      <c r="U421" s="1147"/>
      <c r="V421" s="1147"/>
      <c r="W421" s="1147"/>
      <c r="X421" s="1147"/>
      <c r="Y421" s="1147"/>
      <c r="Z421" s="1147"/>
      <c r="AA421" s="1147"/>
      <c r="AB421" s="1147"/>
      <c r="AC421" s="1147"/>
      <c r="AD421" s="1147"/>
      <c r="AE421" s="1147"/>
      <c r="AF421" s="1147"/>
      <c r="AG421" s="1147"/>
      <c r="AH421" s="1147"/>
      <c r="AI421" s="1147"/>
      <c r="AJ421" s="1147"/>
      <c r="AK421" s="1147"/>
      <c r="AL421" s="1147"/>
      <c r="AM421" s="1147"/>
      <c r="AN421" s="1147"/>
      <c r="AO421" s="1147"/>
      <c r="AP421" s="1147"/>
      <c r="AQ421" s="1147"/>
      <c r="AR421" s="1147"/>
      <c r="AS421" s="1147"/>
      <c r="AT421" s="1147"/>
      <c r="AU421" s="1147"/>
      <c r="AV421" s="1147"/>
      <c r="AW421" s="1147"/>
      <c r="AX421" s="1147"/>
      <c r="AY421" s="1147"/>
      <c r="AZ421" s="1147"/>
      <c r="BA421" s="1147"/>
      <c r="BB421" s="1147"/>
      <c r="BC421" s="1147"/>
      <c r="BD421" s="1147"/>
      <c r="BE421" s="1147"/>
      <c r="BF421" s="1147"/>
      <c r="BG421" s="1147"/>
      <c r="BH421" s="1147"/>
      <c r="BI421" s="1147"/>
      <c r="BJ421" s="1147"/>
      <c r="BK421" s="1147"/>
      <c r="BL421" s="1147"/>
      <c r="BM421" s="1147"/>
      <c r="BN421" s="1147"/>
      <c r="BO421" s="1147"/>
      <c r="BP421" s="1147"/>
      <c r="BQ421" s="1147"/>
      <c r="BR421" s="1147"/>
      <c r="BS421" s="1147"/>
      <c r="BT421" s="1147"/>
      <c r="BU421" s="1147"/>
      <c r="BV421" s="1147"/>
      <c r="BW421" s="1147"/>
      <c r="BX421" s="1147"/>
      <c r="BY421" s="1147"/>
      <c r="BZ421" s="1147"/>
      <c r="CA421" s="1147"/>
      <c r="CB421" s="1147"/>
      <c r="CC421" s="1147"/>
      <c r="CD421" s="1147"/>
      <c r="CE421" s="1147"/>
      <c r="CF421" s="1147"/>
      <c r="CG421" s="1147"/>
      <c r="CH421" s="1147"/>
      <c r="CI421" s="1147"/>
      <c r="CJ421" s="1147"/>
      <c r="CK421" s="1146"/>
    </row>
    <row r="422" spans="1:89" ht="15" x14ac:dyDescent="0.25">
      <c r="A422" s="1146"/>
      <c r="B422" s="1146"/>
      <c r="C422" s="1146"/>
      <c r="D422" s="1146"/>
      <c r="E422" s="1146"/>
      <c r="F422" s="1146"/>
      <c r="G422" s="1146"/>
      <c r="H422" s="1146"/>
      <c r="I422" s="1146"/>
      <c r="J422" s="1146"/>
      <c r="K422" s="1146"/>
      <c r="L422" s="1146"/>
      <c r="M422" s="1146"/>
      <c r="N422" s="1146"/>
      <c r="O422" s="1146"/>
      <c r="P422" s="1146"/>
      <c r="Q422" s="1146"/>
      <c r="R422" s="1146"/>
      <c r="S422" s="1146"/>
      <c r="T422" s="1147"/>
      <c r="U422" s="1147"/>
      <c r="V422" s="1147"/>
      <c r="W422" s="1147"/>
      <c r="X422" s="1147"/>
      <c r="Y422" s="1147"/>
      <c r="Z422" s="1147"/>
      <c r="AA422" s="1147"/>
      <c r="AB422" s="1147"/>
      <c r="AC422" s="1147"/>
      <c r="AD422" s="1147"/>
      <c r="AE422" s="1147"/>
      <c r="AF422" s="1147"/>
      <c r="AG422" s="1147"/>
      <c r="AH422" s="1147"/>
      <c r="AI422" s="1147"/>
      <c r="AJ422" s="1147"/>
      <c r="AK422" s="1147"/>
      <c r="AL422" s="1147"/>
      <c r="AM422" s="1147"/>
      <c r="AN422" s="1147"/>
      <c r="AO422" s="1147"/>
      <c r="AP422" s="1147"/>
      <c r="AQ422" s="1147"/>
      <c r="AR422" s="1147"/>
      <c r="AS422" s="1147"/>
      <c r="AT422" s="1147"/>
      <c r="AU422" s="1147"/>
      <c r="AV422" s="1147"/>
      <c r="AW422" s="1147"/>
      <c r="AX422" s="1147"/>
      <c r="AY422" s="1147"/>
      <c r="AZ422" s="1147"/>
      <c r="BA422" s="1147"/>
      <c r="BB422" s="1147"/>
      <c r="BC422" s="1147"/>
      <c r="BD422" s="1147"/>
      <c r="BE422" s="1147"/>
      <c r="BF422" s="1147"/>
      <c r="BG422" s="1147"/>
      <c r="BH422" s="1147"/>
      <c r="BI422" s="1147"/>
      <c r="BJ422" s="1147"/>
      <c r="BK422" s="1147"/>
      <c r="BL422" s="1147"/>
      <c r="BM422" s="1147"/>
      <c r="BN422" s="1147"/>
      <c r="BO422" s="1147"/>
      <c r="BP422" s="1147"/>
      <c r="BQ422" s="1147"/>
      <c r="BR422" s="1147"/>
      <c r="BS422" s="1147"/>
      <c r="BT422" s="1147"/>
      <c r="BU422" s="1147"/>
      <c r="BV422" s="1147"/>
      <c r="BW422" s="1147"/>
      <c r="BX422" s="1147"/>
      <c r="BY422" s="1147"/>
      <c r="BZ422" s="1147"/>
      <c r="CA422" s="1147"/>
      <c r="CB422" s="1147"/>
      <c r="CC422" s="1147"/>
      <c r="CD422" s="1147"/>
      <c r="CE422" s="1147"/>
      <c r="CF422" s="1147"/>
      <c r="CG422" s="1147"/>
      <c r="CH422" s="1147"/>
      <c r="CI422" s="1147"/>
      <c r="CJ422" s="1147"/>
      <c r="CK422" s="1146"/>
    </row>
    <row r="423" spans="1:89" ht="15" x14ac:dyDescent="0.25">
      <c r="A423" s="1146"/>
      <c r="B423" s="1146"/>
      <c r="C423" s="1146"/>
      <c r="D423" s="1146"/>
      <c r="E423" s="1146"/>
      <c r="F423" s="1146"/>
      <c r="G423" s="1146"/>
      <c r="H423" s="1146"/>
      <c r="I423" s="1146"/>
      <c r="J423" s="1146"/>
      <c r="K423" s="1146"/>
      <c r="L423" s="1146"/>
      <c r="M423" s="1146"/>
      <c r="N423" s="1146"/>
      <c r="O423" s="1146"/>
      <c r="P423" s="1146"/>
      <c r="Q423" s="1146"/>
      <c r="R423" s="1146"/>
      <c r="S423" s="1146"/>
      <c r="T423" s="1147"/>
      <c r="U423" s="1147"/>
      <c r="V423" s="1147"/>
      <c r="W423" s="1147"/>
      <c r="X423" s="1147"/>
      <c r="Y423" s="1147"/>
      <c r="Z423" s="1147"/>
      <c r="AA423" s="1147"/>
      <c r="AB423" s="1147"/>
      <c r="AC423" s="1147"/>
      <c r="AD423" s="1147"/>
      <c r="AE423" s="1147"/>
      <c r="AF423" s="1147"/>
      <c r="AG423" s="1147"/>
      <c r="AH423" s="1147"/>
      <c r="AI423" s="1147"/>
      <c r="AJ423" s="1147"/>
      <c r="AK423" s="1147"/>
      <c r="AL423" s="1147"/>
      <c r="AM423" s="1147"/>
      <c r="AN423" s="1147"/>
      <c r="AO423" s="1147"/>
      <c r="AP423" s="1147"/>
      <c r="AQ423" s="1147"/>
      <c r="AR423" s="1147"/>
      <c r="AS423" s="1147"/>
      <c r="AT423" s="1147"/>
      <c r="AU423" s="1147"/>
      <c r="AV423" s="1147"/>
      <c r="AW423" s="1147"/>
      <c r="AX423" s="1147"/>
      <c r="AY423" s="1147"/>
      <c r="AZ423" s="1147"/>
      <c r="BA423" s="1147"/>
      <c r="BB423" s="1147"/>
      <c r="BC423" s="1147"/>
      <c r="BD423" s="1147"/>
      <c r="BE423" s="1147"/>
      <c r="BF423" s="1147"/>
      <c r="BG423" s="1147"/>
      <c r="BH423" s="1147"/>
      <c r="BI423" s="1147"/>
      <c r="BJ423" s="1147"/>
      <c r="BK423" s="1147"/>
      <c r="BL423" s="1147"/>
      <c r="BM423" s="1147"/>
      <c r="BN423" s="1147"/>
      <c r="BO423" s="1147"/>
      <c r="BP423" s="1147"/>
      <c r="BQ423" s="1147"/>
      <c r="BR423" s="1147"/>
      <c r="BS423" s="1147"/>
      <c r="BT423" s="1147"/>
      <c r="BU423" s="1147"/>
      <c r="BV423" s="1147"/>
      <c r="BW423" s="1147"/>
      <c r="BX423" s="1147"/>
      <c r="BY423" s="1147"/>
      <c r="BZ423" s="1147"/>
      <c r="CA423" s="1147"/>
      <c r="CB423" s="1147"/>
      <c r="CC423" s="1147"/>
      <c r="CD423" s="1147"/>
      <c r="CE423" s="1147"/>
      <c r="CF423" s="1147"/>
      <c r="CG423" s="1147"/>
      <c r="CH423" s="1147"/>
      <c r="CI423" s="1147"/>
      <c r="CJ423" s="1147"/>
      <c r="CK423" s="1146"/>
    </row>
    <row r="424" spans="1:89" ht="15" x14ac:dyDescent="0.25">
      <c r="A424" s="1146"/>
      <c r="B424" s="1146"/>
      <c r="C424" s="1146"/>
      <c r="D424" s="1146"/>
      <c r="E424" s="1146"/>
      <c r="F424" s="1146"/>
      <c r="G424" s="1146"/>
      <c r="H424" s="1146"/>
      <c r="I424" s="1146"/>
      <c r="J424" s="1146"/>
      <c r="K424" s="1146"/>
      <c r="L424" s="1146"/>
      <c r="M424" s="1146"/>
      <c r="N424" s="1146"/>
      <c r="O424" s="1146"/>
      <c r="P424" s="1146"/>
      <c r="Q424" s="1146"/>
      <c r="R424" s="1146"/>
      <c r="S424" s="1146"/>
      <c r="T424" s="1147"/>
      <c r="U424" s="1147"/>
      <c r="V424" s="1147"/>
      <c r="W424" s="1147"/>
      <c r="X424" s="1147"/>
      <c r="Y424" s="1147"/>
      <c r="Z424" s="1147"/>
      <c r="AA424" s="1147"/>
      <c r="AB424" s="1147"/>
      <c r="AC424" s="1147"/>
      <c r="AD424" s="1147"/>
      <c r="AE424" s="1147"/>
      <c r="AF424" s="1147"/>
      <c r="AG424" s="1147"/>
      <c r="AH424" s="1147"/>
      <c r="AI424" s="1147"/>
      <c r="AJ424" s="1147"/>
      <c r="AK424" s="1147"/>
      <c r="AL424" s="1147"/>
      <c r="AM424" s="1147"/>
      <c r="AN424" s="1147"/>
      <c r="AO424" s="1147"/>
      <c r="AP424" s="1147"/>
      <c r="AQ424" s="1147"/>
      <c r="AR424" s="1147"/>
      <c r="AS424" s="1147"/>
      <c r="AT424" s="1147"/>
      <c r="AU424" s="1147"/>
      <c r="AV424" s="1147"/>
      <c r="AW424" s="1147"/>
      <c r="AX424" s="1147"/>
      <c r="AY424" s="1147"/>
      <c r="AZ424" s="1147"/>
      <c r="BA424" s="1147"/>
      <c r="BB424" s="1147"/>
      <c r="BC424" s="1147"/>
      <c r="BD424" s="1147"/>
      <c r="BE424" s="1147"/>
      <c r="BF424" s="1147"/>
      <c r="BG424" s="1147"/>
      <c r="BH424" s="1147"/>
      <c r="BI424" s="1147"/>
      <c r="BJ424" s="1147"/>
      <c r="BK424" s="1147"/>
      <c r="BL424" s="1147"/>
      <c r="BM424" s="1147"/>
      <c r="BN424" s="1147"/>
      <c r="BO424" s="1147"/>
      <c r="BP424" s="1147"/>
      <c r="BQ424" s="1147"/>
      <c r="BR424" s="1147"/>
      <c r="BS424" s="1147"/>
      <c r="BT424" s="1147"/>
      <c r="BU424" s="1147"/>
      <c r="BV424" s="1147"/>
      <c r="BW424" s="1147"/>
      <c r="BX424" s="1147"/>
      <c r="BY424" s="1147"/>
      <c r="BZ424" s="1147"/>
      <c r="CA424" s="1147"/>
      <c r="CB424" s="1147"/>
      <c r="CC424" s="1147"/>
      <c r="CD424" s="1147"/>
      <c r="CE424" s="1147"/>
      <c r="CF424" s="1147"/>
      <c r="CG424" s="1147"/>
      <c r="CH424" s="1147"/>
      <c r="CI424" s="1147"/>
      <c r="CJ424" s="1147"/>
      <c r="CK424" s="1146"/>
    </row>
    <row r="425" spans="1:89" ht="15" x14ac:dyDescent="0.25">
      <c r="A425" s="1146"/>
      <c r="B425" s="1146"/>
      <c r="C425" s="1146"/>
      <c r="D425" s="1146"/>
      <c r="E425" s="1146"/>
      <c r="F425" s="1146"/>
      <c r="G425" s="1146"/>
      <c r="H425" s="1146"/>
      <c r="I425" s="1146"/>
      <c r="J425" s="1146"/>
      <c r="K425" s="1146"/>
      <c r="L425" s="1146"/>
      <c r="M425" s="1146"/>
      <c r="N425" s="1146"/>
      <c r="O425" s="1146"/>
      <c r="P425" s="1146"/>
      <c r="Q425" s="1146"/>
      <c r="R425" s="1146"/>
      <c r="S425" s="1146"/>
      <c r="T425" s="1147"/>
      <c r="U425" s="1147"/>
      <c r="V425" s="1147"/>
      <c r="W425" s="1147"/>
      <c r="X425" s="1147"/>
      <c r="Y425" s="1147"/>
      <c r="Z425" s="1147"/>
      <c r="AA425" s="1147"/>
      <c r="AB425" s="1147"/>
      <c r="AC425" s="1147"/>
      <c r="AD425" s="1147"/>
      <c r="AE425" s="1147"/>
      <c r="AF425" s="1147"/>
      <c r="AG425" s="1147"/>
      <c r="AH425" s="1147"/>
      <c r="AI425" s="1147"/>
      <c r="AJ425" s="1147"/>
      <c r="AK425" s="1147"/>
      <c r="AL425" s="1147"/>
      <c r="AM425" s="1147"/>
      <c r="AN425" s="1147"/>
      <c r="AO425" s="1147"/>
      <c r="AP425" s="1147"/>
      <c r="AQ425" s="1147"/>
      <c r="AR425" s="1147"/>
      <c r="AS425" s="1147"/>
      <c r="AT425" s="1147"/>
      <c r="AU425" s="1147"/>
      <c r="AV425" s="1147"/>
      <c r="AW425" s="1147"/>
      <c r="AX425" s="1147"/>
      <c r="AY425" s="1147"/>
      <c r="AZ425" s="1147"/>
      <c r="BA425" s="1147"/>
      <c r="BB425" s="1147"/>
      <c r="BC425" s="1147"/>
      <c r="BD425" s="1147"/>
      <c r="BE425" s="1147"/>
      <c r="BF425" s="1147"/>
      <c r="BG425" s="1147"/>
      <c r="BH425" s="1147"/>
      <c r="BI425" s="1147"/>
      <c r="BJ425" s="1147"/>
      <c r="BK425" s="1147"/>
      <c r="BL425" s="1147"/>
      <c r="BM425" s="1147"/>
      <c r="BN425" s="1147"/>
      <c r="BO425" s="1147"/>
      <c r="BP425" s="1147"/>
      <c r="BQ425" s="1147"/>
      <c r="BR425" s="1147"/>
      <c r="BS425" s="1147"/>
      <c r="BT425" s="1147"/>
      <c r="BU425" s="1147"/>
      <c r="BV425" s="1147"/>
      <c r="BW425" s="1147"/>
      <c r="BX425" s="1147"/>
      <c r="BY425" s="1147"/>
      <c r="BZ425" s="1147"/>
      <c r="CA425" s="1147"/>
      <c r="CB425" s="1147"/>
      <c r="CC425" s="1147"/>
      <c r="CD425" s="1147"/>
      <c r="CE425" s="1147"/>
      <c r="CF425" s="1147"/>
      <c r="CG425" s="1147"/>
      <c r="CH425" s="1147"/>
      <c r="CI425" s="1147"/>
      <c r="CJ425" s="1147"/>
      <c r="CK425" s="1146"/>
    </row>
    <row r="426" spans="1:89" ht="15" x14ac:dyDescent="0.25">
      <c r="A426" s="1146"/>
      <c r="B426" s="1146"/>
      <c r="C426" s="1146"/>
      <c r="D426" s="1146"/>
      <c r="E426" s="1146"/>
      <c r="F426" s="1146"/>
      <c r="G426" s="1146"/>
      <c r="H426" s="1146"/>
      <c r="I426" s="1146"/>
      <c r="J426" s="1146"/>
      <c r="K426" s="1146"/>
      <c r="L426" s="1146"/>
      <c r="M426" s="1146"/>
      <c r="N426" s="1146"/>
      <c r="O426" s="1146"/>
      <c r="P426" s="1146"/>
      <c r="Q426" s="1146"/>
      <c r="R426" s="1146"/>
      <c r="S426" s="1146"/>
      <c r="T426" s="1147"/>
      <c r="U426" s="1147"/>
      <c r="V426" s="1147"/>
      <c r="W426" s="1147"/>
      <c r="X426" s="1147"/>
      <c r="Y426" s="1147"/>
      <c r="Z426" s="1147"/>
      <c r="AA426" s="1147"/>
      <c r="AB426" s="1147"/>
      <c r="AC426" s="1147"/>
      <c r="AD426" s="1147"/>
      <c r="AE426" s="1147"/>
      <c r="AF426" s="1147"/>
      <c r="AG426" s="1147"/>
      <c r="AH426" s="1147"/>
      <c r="AI426" s="1147"/>
      <c r="AJ426" s="1147"/>
      <c r="AK426" s="1147"/>
      <c r="AL426" s="1147"/>
      <c r="AM426" s="1147"/>
      <c r="AN426" s="1147"/>
      <c r="AO426" s="1147"/>
      <c r="AP426" s="1147"/>
      <c r="AQ426" s="1147"/>
      <c r="AR426" s="1147"/>
      <c r="AS426" s="1147"/>
      <c r="AT426" s="1147"/>
      <c r="AU426" s="1147"/>
      <c r="AV426" s="1147"/>
      <c r="AW426" s="1147"/>
      <c r="AX426" s="1147"/>
      <c r="AY426" s="1147"/>
      <c r="AZ426" s="1147"/>
      <c r="BA426" s="1147"/>
      <c r="BB426" s="1147"/>
      <c r="BC426" s="1147"/>
      <c r="BD426" s="1147"/>
      <c r="BE426" s="1147"/>
      <c r="BF426" s="1147"/>
      <c r="BG426" s="1147"/>
      <c r="BH426" s="1147"/>
      <c r="BI426" s="1147"/>
      <c r="BJ426" s="1147"/>
      <c r="BK426" s="1147"/>
      <c r="BL426" s="1147"/>
      <c r="BM426" s="1147"/>
      <c r="BN426" s="1147"/>
      <c r="BO426" s="1147"/>
      <c r="BP426" s="1147"/>
      <c r="BQ426" s="1147"/>
      <c r="BR426" s="1147"/>
      <c r="BS426" s="1147"/>
      <c r="BT426" s="1147"/>
      <c r="BU426" s="1147"/>
      <c r="BV426" s="1147"/>
      <c r="BW426" s="1147"/>
      <c r="BX426" s="1147"/>
      <c r="BY426" s="1147"/>
      <c r="BZ426" s="1147"/>
      <c r="CA426" s="1147"/>
      <c r="CB426" s="1147"/>
      <c r="CC426" s="1147"/>
      <c r="CD426" s="1147"/>
      <c r="CE426" s="1147"/>
      <c r="CF426" s="1147"/>
      <c r="CG426" s="1147"/>
      <c r="CH426" s="1147"/>
      <c r="CI426" s="1147"/>
      <c r="CJ426" s="1147"/>
      <c r="CK426" s="1146"/>
    </row>
    <row r="427" spans="1:89" ht="15" x14ac:dyDescent="0.25">
      <c r="A427" s="1146"/>
      <c r="B427" s="1146"/>
      <c r="C427" s="1146"/>
      <c r="D427" s="1146"/>
      <c r="E427" s="1146"/>
      <c r="F427" s="1146"/>
      <c r="G427" s="1146"/>
      <c r="H427" s="1146"/>
      <c r="I427" s="1146"/>
      <c r="J427" s="1146"/>
      <c r="K427" s="1146"/>
      <c r="L427" s="1146"/>
      <c r="M427" s="1146"/>
      <c r="N427" s="1146"/>
      <c r="O427" s="1146"/>
      <c r="P427" s="1146"/>
      <c r="Q427" s="1146"/>
      <c r="R427" s="1146"/>
      <c r="S427" s="1146"/>
      <c r="T427" s="1147"/>
      <c r="U427" s="1147"/>
      <c r="V427" s="1147"/>
      <c r="W427" s="1147"/>
      <c r="X427" s="1147"/>
      <c r="Y427" s="1147"/>
      <c r="Z427" s="1147"/>
      <c r="AA427" s="1147"/>
      <c r="AB427" s="1147"/>
      <c r="AC427" s="1147"/>
      <c r="AD427" s="1147"/>
      <c r="AE427" s="1147"/>
      <c r="AF427" s="1147"/>
      <c r="AG427" s="1147"/>
      <c r="AH427" s="1147"/>
      <c r="AI427" s="1147"/>
      <c r="AJ427" s="1147"/>
      <c r="AK427" s="1147"/>
      <c r="AL427" s="1147"/>
      <c r="AM427" s="1147"/>
      <c r="AN427" s="1147"/>
      <c r="AO427" s="1147"/>
      <c r="AP427" s="1147"/>
      <c r="AQ427" s="1147"/>
      <c r="AR427" s="1147"/>
      <c r="AS427" s="1147"/>
      <c r="AT427" s="1147"/>
      <c r="AU427" s="1147"/>
      <c r="AV427" s="1147"/>
      <c r="AW427" s="1147"/>
      <c r="AX427" s="1147"/>
      <c r="AY427" s="1147"/>
      <c r="AZ427" s="1147"/>
      <c r="BA427" s="1147"/>
      <c r="BB427" s="1147"/>
      <c r="BC427" s="1147"/>
      <c r="BD427" s="1147"/>
      <c r="BE427" s="1147"/>
      <c r="BF427" s="1147"/>
      <c r="BG427" s="1147"/>
      <c r="BH427" s="1147"/>
      <c r="BI427" s="1147"/>
      <c r="BJ427" s="1147"/>
      <c r="BK427" s="1147"/>
      <c r="BL427" s="1147"/>
      <c r="BM427" s="1147"/>
      <c r="BN427" s="1147"/>
      <c r="BO427" s="1147"/>
      <c r="BP427" s="1147"/>
      <c r="BQ427" s="1147"/>
      <c r="BR427" s="1147"/>
      <c r="BS427" s="1147"/>
      <c r="BT427" s="1147"/>
      <c r="BU427" s="1147"/>
      <c r="BV427" s="1147"/>
      <c r="BW427" s="1147"/>
      <c r="BX427" s="1147"/>
      <c r="BY427" s="1147"/>
      <c r="BZ427" s="1147"/>
      <c r="CA427" s="1147"/>
      <c r="CB427" s="1147"/>
      <c r="CC427" s="1147"/>
      <c r="CD427" s="1147"/>
      <c r="CE427" s="1147"/>
      <c r="CF427" s="1147"/>
      <c r="CG427" s="1147"/>
      <c r="CH427" s="1147"/>
      <c r="CI427" s="1147"/>
      <c r="CJ427" s="1147"/>
      <c r="CK427" s="1146"/>
    </row>
    <row r="428" spans="1:89" ht="15" x14ac:dyDescent="0.25">
      <c r="A428" s="1146"/>
      <c r="B428" s="1146"/>
      <c r="C428" s="1146"/>
      <c r="D428" s="1146"/>
      <c r="E428" s="1146"/>
      <c r="F428" s="1146"/>
      <c r="G428" s="1146"/>
      <c r="H428" s="1146"/>
      <c r="I428" s="1146"/>
      <c r="J428" s="1146"/>
      <c r="K428" s="1146"/>
      <c r="L428" s="1146"/>
      <c r="M428" s="1146"/>
      <c r="N428" s="1146"/>
      <c r="O428" s="1146"/>
      <c r="P428" s="1146"/>
      <c r="Q428" s="1146"/>
      <c r="R428" s="1146"/>
      <c r="S428" s="1146"/>
      <c r="T428" s="1147"/>
      <c r="U428" s="1147"/>
      <c r="V428" s="1147"/>
      <c r="W428" s="1147"/>
      <c r="X428" s="1147"/>
      <c r="Y428" s="1147"/>
      <c r="Z428" s="1147"/>
      <c r="AA428" s="1147"/>
      <c r="AB428" s="1147"/>
      <c r="AC428" s="1147"/>
      <c r="AD428" s="1147"/>
      <c r="AE428" s="1147"/>
      <c r="AF428" s="1147"/>
      <c r="AG428" s="1147"/>
      <c r="AH428" s="1147"/>
      <c r="AI428" s="1147"/>
      <c r="AJ428" s="1147"/>
      <c r="AK428" s="1147"/>
      <c r="AL428" s="1147"/>
      <c r="AM428" s="1147"/>
      <c r="AN428" s="1147"/>
      <c r="AO428" s="1147"/>
      <c r="AP428" s="1147"/>
      <c r="AQ428" s="1147"/>
      <c r="AR428" s="1147"/>
      <c r="AS428" s="1147"/>
      <c r="AT428" s="1147"/>
      <c r="AU428" s="1147"/>
      <c r="AV428" s="1147"/>
      <c r="AW428" s="1147"/>
      <c r="AX428" s="1147"/>
      <c r="AY428" s="1147"/>
      <c r="AZ428" s="1147"/>
      <c r="BA428" s="1147"/>
      <c r="BB428" s="1147"/>
      <c r="BC428" s="1147"/>
      <c r="BD428" s="1147"/>
      <c r="BE428" s="1147"/>
      <c r="BF428" s="1147"/>
      <c r="BG428" s="1147"/>
      <c r="BH428" s="1147"/>
      <c r="BI428" s="1147"/>
      <c r="BJ428" s="1147"/>
      <c r="BK428" s="1147"/>
      <c r="BL428" s="1147"/>
      <c r="BM428" s="1147"/>
      <c r="BN428" s="1147"/>
      <c r="BO428" s="1147"/>
      <c r="BP428" s="1147"/>
      <c r="BQ428" s="1147"/>
      <c r="BR428" s="1147"/>
      <c r="BS428" s="1147"/>
      <c r="BT428" s="1147"/>
      <c r="BU428" s="1147"/>
      <c r="BV428" s="1147"/>
      <c r="BW428" s="1147"/>
      <c r="BX428" s="1147"/>
      <c r="BY428" s="1147"/>
      <c r="BZ428" s="1147"/>
      <c r="CA428" s="1147"/>
      <c r="CB428" s="1147"/>
      <c r="CC428" s="1147"/>
      <c r="CD428" s="1147"/>
      <c r="CE428" s="1147"/>
      <c r="CF428" s="1147"/>
      <c r="CG428" s="1147"/>
      <c r="CH428" s="1147"/>
      <c r="CI428" s="1147"/>
      <c r="CJ428" s="1147"/>
      <c r="CK428" s="1146"/>
    </row>
    <row r="429" spans="1:89" ht="15" x14ac:dyDescent="0.25">
      <c r="A429" s="1146"/>
      <c r="B429" s="1146"/>
      <c r="C429" s="1146"/>
      <c r="D429" s="1146"/>
      <c r="E429" s="1146"/>
      <c r="F429" s="1146"/>
      <c r="G429" s="1146"/>
      <c r="H429" s="1146"/>
      <c r="I429" s="1146"/>
      <c r="J429" s="1146"/>
      <c r="K429" s="1146"/>
      <c r="L429" s="1146"/>
      <c r="M429" s="1146"/>
      <c r="N429" s="1146"/>
      <c r="O429" s="1146"/>
      <c r="P429" s="1146"/>
      <c r="Q429" s="1146"/>
      <c r="R429" s="1146"/>
      <c r="S429" s="1146"/>
      <c r="T429" s="1147"/>
      <c r="U429" s="1147"/>
      <c r="V429" s="1147"/>
      <c r="W429" s="1147"/>
      <c r="X429" s="1147"/>
      <c r="Y429" s="1147"/>
      <c r="Z429" s="1147"/>
      <c r="AA429" s="1147"/>
      <c r="AB429" s="1147"/>
      <c r="AC429" s="1147"/>
      <c r="AD429" s="1147"/>
      <c r="AE429" s="1147"/>
      <c r="AF429" s="1147"/>
      <c r="AG429" s="1147"/>
      <c r="AH429" s="1147"/>
      <c r="AI429" s="1147"/>
      <c r="AJ429" s="1147"/>
      <c r="AK429" s="1147"/>
      <c r="AL429" s="1147"/>
      <c r="AM429" s="1147"/>
      <c r="AN429" s="1147"/>
      <c r="AO429" s="1147"/>
      <c r="AP429" s="1147"/>
      <c r="AQ429" s="1147"/>
      <c r="AR429" s="1147"/>
      <c r="AS429" s="1147"/>
      <c r="AT429" s="1147"/>
      <c r="AU429" s="1147"/>
      <c r="AV429" s="1147"/>
      <c r="AW429" s="1147"/>
      <c r="AX429" s="1147"/>
      <c r="AY429" s="1147"/>
      <c r="AZ429" s="1147"/>
      <c r="BA429" s="1147"/>
      <c r="BB429" s="1147"/>
      <c r="BC429" s="1147"/>
      <c r="BD429" s="1147"/>
      <c r="BE429" s="1147"/>
      <c r="BF429" s="1147"/>
      <c r="BG429" s="1147"/>
      <c r="BH429" s="1147"/>
      <c r="BI429" s="1147"/>
      <c r="BJ429" s="1147"/>
      <c r="BK429" s="1147"/>
      <c r="BL429" s="1147"/>
      <c r="BM429" s="1147"/>
      <c r="BN429" s="1147"/>
      <c r="BO429" s="1147"/>
      <c r="BP429" s="1147"/>
      <c r="BQ429" s="1147"/>
      <c r="BR429" s="1147"/>
      <c r="BS429" s="1147"/>
      <c r="BT429" s="1147"/>
      <c r="BU429" s="1147"/>
      <c r="BV429" s="1147"/>
      <c r="BW429" s="1147"/>
      <c r="BX429" s="1147"/>
      <c r="BY429" s="1147"/>
      <c r="BZ429" s="1147"/>
      <c r="CA429" s="1147"/>
      <c r="CB429" s="1147"/>
      <c r="CC429" s="1147"/>
      <c r="CD429" s="1147"/>
      <c r="CE429" s="1147"/>
      <c r="CF429" s="1147"/>
      <c r="CG429" s="1147"/>
      <c r="CH429" s="1147"/>
      <c r="CI429" s="1147"/>
      <c r="CJ429" s="1147"/>
      <c r="CK429" s="1146"/>
    </row>
    <row r="430" spans="1:89" ht="15" x14ac:dyDescent="0.25">
      <c r="A430" s="1146"/>
      <c r="B430" s="1146"/>
      <c r="C430" s="1146"/>
      <c r="D430" s="1146"/>
      <c r="E430" s="1146"/>
      <c r="F430" s="1146"/>
      <c r="G430" s="1146"/>
      <c r="H430" s="1146"/>
      <c r="I430" s="1146"/>
      <c r="J430" s="1146"/>
      <c r="K430" s="1146"/>
      <c r="L430" s="1146"/>
      <c r="M430" s="1146"/>
      <c r="N430" s="1146"/>
      <c r="O430" s="1146"/>
      <c r="P430" s="1146"/>
      <c r="Q430" s="1146"/>
      <c r="R430" s="1146"/>
      <c r="S430" s="1146"/>
      <c r="T430" s="1147"/>
      <c r="U430" s="1147"/>
      <c r="V430" s="1147"/>
      <c r="W430" s="1147"/>
      <c r="X430" s="1147"/>
      <c r="Y430" s="1147"/>
      <c r="Z430" s="1147"/>
      <c r="AA430" s="1147"/>
      <c r="AB430" s="1147"/>
      <c r="AC430" s="1147"/>
      <c r="AD430" s="1147"/>
      <c r="AE430" s="1147"/>
      <c r="AF430" s="1147"/>
      <c r="AG430" s="1147"/>
      <c r="AH430" s="1147"/>
      <c r="AI430" s="1147"/>
      <c r="AJ430" s="1147"/>
      <c r="AK430" s="1147"/>
      <c r="AL430" s="1147"/>
      <c r="AM430" s="1147"/>
      <c r="AN430" s="1147"/>
      <c r="AO430" s="1147"/>
      <c r="AP430" s="1147"/>
      <c r="AQ430" s="1147"/>
      <c r="AR430" s="1147"/>
      <c r="AS430" s="1147"/>
      <c r="AT430" s="1147"/>
      <c r="AU430" s="1147"/>
      <c r="AV430" s="1147"/>
      <c r="AW430" s="1147"/>
      <c r="AX430" s="1147"/>
      <c r="AY430" s="1147"/>
      <c r="AZ430" s="1147"/>
      <c r="BA430" s="1147"/>
      <c r="BB430" s="1147"/>
      <c r="BC430" s="1147"/>
      <c r="BD430" s="1147"/>
      <c r="BE430" s="1147"/>
      <c r="BF430" s="1147"/>
      <c r="BG430" s="1147"/>
      <c r="BH430" s="1147"/>
      <c r="BI430" s="1147"/>
      <c r="BJ430" s="1147"/>
      <c r="BK430" s="1147"/>
      <c r="BL430" s="1147"/>
      <c r="BM430" s="1147"/>
      <c r="BN430" s="1147"/>
      <c r="BO430" s="1147"/>
      <c r="BP430" s="1147"/>
      <c r="BQ430" s="1147"/>
      <c r="BR430" s="1147"/>
      <c r="BS430" s="1147"/>
      <c r="BT430" s="1147"/>
      <c r="BU430" s="1147"/>
      <c r="BV430" s="1147"/>
      <c r="BW430" s="1147"/>
      <c r="BX430" s="1147"/>
      <c r="BY430" s="1147"/>
      <c r="BZ430" s="1147"/>
      <c r="CA430" s="1147"/>
      <c r="CB430" s="1147"/>
      <c r="CC430" s="1147"/>
      <c r="CD430" s="1147"/>
      <c r="CE430" s="1147"/>
      <c r="CF430" s="1147"/>
      <c r="CG430" s="1147"/>
      <c r="CH430" s="1147"/>
      <c r="CI430" s="1147"/>
      <c r="CJ430" s="1147"/>
      <c r="CK430" s="1146"/>
    </row>
    <row r="431" spans="1:89" ht="15" x14ac:dyDescent="0.25">
      <c r="A431" s="1146"/>
      <c r="B431" s="1146"/>
      <c r="C431" s="1146"/>
      <c r="D431" s="1146"/>
      <c r="E431" s="1146"/>
      <c r="F431" s="1146"/>
      <c r="G431" s="1146"/>
      <c r="H431" s="1146"/>
      <c r="I431" s="1146"/>
      <c r="J431" s="1146"/>
      <c r="K431" s="1146"/>
      <c r="L431" s="1146"/>
      <c r="M431" s="1146"/>
      <c r="N431" s="1146"/>
      <c r="O431" s="1146"/>
      <c r="P431" s="1146"/>
      <c r="Q431" s="1146"/>
      <c r="R431" s="1146"/>
      <c r="S431" s="1146"/>
      <c r="T431" s="1147"/>
      <c r="U431" s="1147"/>
      <c r="V431" s="1147"/>
      <c r="W431" s="1147"/>
      <c r="X431" s="1147"/>
      <c r="Y431" s="1147"/>
      <c r="Z431" s="1147"/>
      <c r="AA431" s="1147"/>
      <c r="AB431" s="1147"/>
      <c r="AC431" s="1147"/>
      <c r="AD431" s="1147"/>
      <c r="AE431" s="1147"/>
      <c r="AF431" s="1147"/>
      <c r="AG431" s="1147"/>
      <c r="AH431" s="1147"/>
      <c r="AI431" s="1147"/>
      <c r="AJ431" s="1147"/>
      <c r="AK431" s="1147"/>
      <c r="AL431" s="1147"/>
      <c r="AM431" s="1147"/>
      <c r="AN431" s="1147"/>
      <c r="AO431" s="1147"/>
      <c r="AP431" s="1147"/>
      <c r="AQ431" s="1147"/>
      <c r="AR431" s="1147"/>
      <c r="AS431" s="1147"/>
      <c r="AT431" s="1147"/>
      <c r="AU431" s="1147"/>
      <c r="AV431" s="1147"/>
      <c r="AW431" s="1147"/>
      <c r="AX431" s="1147"/>
      <c r="AY431" s="1147"/>
      <c r="AZ431" s="1147"/>
      <c r="BA431" s="1147"/>
      <c r="BB431" s="1147"/>
      <c r="BC431" s="1147"/>
      <c r="BD431" s="1147"/>
      <c r="BE431" s="1147"/>
      <c r="BF431" s="1147"/>
      <c r="BG431" s="1147"/>
      <c r="BH431" s="1147"/>
      <c r="BI431" s="1147"/>
      <c r="BJ431" s="1147"/>
      <c r="BK431" s="1147"/>
      <c r="BL431" s="1147"/>
      <c r="BM431" s="1147"/>
      <c r="BN431" s="1147"/>
      <c r="BO431" s="1147"/>
      <c r="BP431" s="1147"/>
      <c r="BQ431" s="1147"/>
      <c r="BR431" s="1147"/>
      <c r="BS431" s="1147"/>
      <c r="BT431" s="1147"/>
      <c r="BU431" s="1147"/>
      <c r="BV431" s="1147"/>
      <c r="BW431" s="1147"/>
      <c r="BX431" s="1147"/>
      <c r="BY431" s="1147"/>
      <c r="BZ431" s="1147"/>
      <c r="CA431" s="1147"/>
      <c r="CB431" s="1147"/>
      <c r="CC431" s="1147"/>
      <c r="CD431" s="1147"/>
      <c r="CE431" s="1147"/>
      <c r="CF431" s="1147"/>
      <c r="CG431" s="1147"/>
      <c r="CH431" s="1147"/>
      <c r="CI431" s="1147"/>
      <c r="CJ431" s="1147"/>
      <c r="CK431" s="1146"/>
    </row>
    <row r="432" spans="1:89" ht="15" x14ac:dyDescent="0.25">
      <c r="A432" s="1146"/>
      <c r="B432" s="1146"/>
      <c r="C432" s="1146"/>
      <c r="D432" s="1146"/>
      <c r="E432" s="1146"/>
      <c r="F432" s="1146"/>
      <c r="G432" s="1146"/>
      <c r="H432" s="1146"/>
      <c r="I432" s="1146"/>
      <c r="J432" s="1146"/>
      <c r="K432" s="1146"/>
      <c r="L432" s="1146"/>
      <c r="M432" s="1146"/>
      <c r="N432" s="1146"/>
      <c r="O432" s="1146"/>
      <c r="P432" s="1146"/>
      <c r="Q432" s="1146"/>
      <c r="R432" s="1146"/>
      <c r="S432" s="1146"/>
      <c r="T432" s="1147"/>
      <c r="U432" s="1147"/>
      <c r="V432" s="1147"/>
      <c r="W432" s="1147"/>
      <c r="X432" s="1147"/>
      <c r="Y432" s="1147"/>
      <c r="Z432" s="1147"/>
      <c r="AA432" s="1147"/>
      <c r="AB432" s="1147"/>
      <c r="AC432" s="1147"/>
      <c r="AD432" s="1147"/>
      <c r="AE432" s="1147"/>
      <c r="AF432" s="1147"/>
      <c r="AG432" s="1147"/>
      <c r="AH432" s="1147"/>
      <c r="AI432" s="1147"/>
      <c r="AJ432" s="1147"/>
      <c r="AK432" s="1147"/>
      <c r="AL432" s="1147"/>
      <c r="AM432" s="1147"/>
      <c r="AN432" s="1147"/>
      <c r="AO432" s="1147"/>
      <c r="AP432" s="1147"/>
      <c r="AQ432" s="1147"/>
      <c r="AR432" s="1147"/>
      <c r="AS432" s="1147"/>
      <c r="AT432" s="1147"/>
      <c r="AU432" s="1147"/>
      <c r="AV432" s="1147"/>
      <c r="AW432" s="1147"/>
      <c r="AX432" s="1147"/>
      <c r="AY432" s="1147"/>
      <c r="AZ432" s="1147"/>
      <c r="BA432" s="1147"/>
      <c r="BB432" s="1147"/>
      <c r="BC432" s="1147"/>
      <c r="BD432" s="1147"/>
      <c r="BE432" s="1147"/>
      <c r="BF432" s="1147"/>
      <c r="BG432" s="1147"/>
      <c r="BH432" s="1147"/>
      <c r="BI432" s="1147"/>
      <c r="BJ432" s="1147"/>
      <c r="BK432" s="1147"/>
      <c r="BL432" s="1147"/>
      <c r="BM432" s="1147"/>
      <c r="BN432" s="1147"/>
      <c r="BO432" s="1147"/>
      <c r="BP432" s="1147"/>
      <c r="BQ432" s="1147"/>
      <c r="BR432" s="1147"/>
      <c r="BS432" s="1147"/>
      <c r="BT432" s="1147"/>
      <c r="BU432" s="1147"/>
      <c r="BV432" s="1147"/>
      <c r="BW432" s="1147"/>
      <c r="BX432" s="1147"/>
      <c r="BY432" s="1147"/>
      <c r="BZ432" s="1147"/>
      <c r="CA432" s="1147"/>
      <c r="CB432" s="1147"/>
      <c r="CC432" s="1147"/>
      <c r="CD432" s="1147"/>
      <c r="CE432" s="1147"/>
      <c r="CF432" s="1147"/>
      <c r="CG432" s="1147"/>
      <c r="CH432" s="1147"/>
      <c r="CI432" s="1147"/>
      <c r="CJ432" s="1147"/>
      <c r="CK432" s="1146"/>
    </row>
    <row r="433" spans="1:89" ht="15" x14ac:dyDescent="0.25">
      <c r="A433" s="1146"/>
      <c r="B433" s="1146"/>
      <c r="C433" s="1146"/>
      <c r="D433" s="1146"/>
      <c r="E433" s="1146"/>
      <c r="F433" s="1146"/>
      <c r="G433" s="1146"/>
      <c r="H433" s="1146"/>
      <c r="I433" s="1146"/>
      <c r="J433" s="1146"/>
      <c r="K433" s="1146"/>
      <c r="L433" s="1146"/>
      <c r="M433" s="1146"/>
      <c r="N433" s="1146"/>
      <c r="O433" s="1146"/>
      <c r="P433" s="1146"/>
      <c r="Q433" s="1146"/>
      <c r="R433" s="1146"/>
      <c r="S433" s="1146"/>
      <c r="T433" s="1147"/>
      <c r="U433" s="1147"/>
      <c r="V433" s="1147"/>
      <c r="W433" s="1147"/>
      <c r="X433" s="1147"/>
      <c r="Y433" s="1147"/>
      <c r="Z433" s="1147"/>
      <c r="AA433" s="1147"/>
      <c r="AB433" s="1147"/>
      <c r="AC433" s="1147"/>
      <c r="AD433" s="1147"/>
      <c r="AE433" s="1147"/>
      <c r="AF433" s="1147"/>
      <c r="AG433" s="1147"/>
      <c r="AH433" s="1147"/>
      <c r="AI433" s="1147"/>
      <c r="AJ433" s="1147"/>
      <c r="AK433" s="1147"/>
      <c r="AL433" s="1147"/>
      <c r="AM433" s="1147"/>
      <c r="AN433" s="1147"/>
      <c r="AO433" s="1147"/>
      <c r="AP433" s="1147"/>
      <c r="AQ433" s="1147"/>
      <c r="AR433" s="1147"/>
      <c r="AS433" s="1147"/>
      <c r="AT433" s="1147"/>
      <c r="AU433" s="1147"/>
      <c r="AV433" s="1147"/>
      <c r="AW433" s="1147"/>
      <c r="AX433" s="1147"/>
      <c r="AY433" s="1147"/>
      <c r="AZ433" s="1147"/>
      <c r="BA433" s="1147"/>
      <c r="BB433" s="1147"/>
      <c r="BC433" s="1147"/>
      <c r="BD433" s="1147"/>
      <c r="BE433" s="1147"/>
      <c r="BF433" s="1147"/>
      <c r="BG433" s="1147"/>
      <c r="BH433" s="1147"/>
      <c r="BI433" s="1147"/>
      <c r="BJ433" s="1147"/>
      <c r="BK433" s="1147"/>
      <c r="BL433" s="1147"/>
      <c r="BM433" s="1147"/>
      <c r="BN433" s="1147"/>
      <c r="BO433" s="1147"/>
      <c r="BP433" s="1147"/>
      <c r="BQ433" s="1147"/>
      <c r="BR433" s="1147"/>
      <c r="BS433" s="1147"/>
      <c r="BT433" s="1147"/>
      <c r="BU433" s="1147"/>
      <c r="BV433" s="1147"/>
      <c r="BW433" s="1147"/>
      <c r="BX433" s="1147"/>
      <c r="BY433" s="1147"/>
      <c r="BZ433" s="1147"/>
      <c r="CA433" s="1147"/>
      <c r="CB433" s="1147"/>
      <c r="CC433" s="1147"/>
      <c r="CD433" s="1147"/>
      <c r="CE433" s="1147"/>
      <c r="CF433" s="1147"/>
      <c r="CG433" s="1147"/>
      <c r="CH433" s="1147"/>
      <c r="CI433" s="1147"/>
      <c r="CJ433" s="1147"/>
      <c r="CK433" s="1146"/>
    </row>
    <row r="434" spans="1:89" ht="15" x14ac:dyDescent="0.25">
      <c r="A434" s="1146"/>
      <c r="B434" s="1146"/>
      <c r="C434" s="1146"/>
      <c r="D434" s="1146"/>
      <c r="E434" s="1146"/>
      <c r="F434" s="1146"/>
      <c r="G434" s="1146"/>
      <c r="H434" s="1146"/>
      <c r="I434" s="1146"/>
      <c r="J434" s="1146"/>
      <c r="K434" s="1146"/>
      <c r="L434" s="1146"/>
      <c r="M434" s="1146"/>
      <c r="N434" s="1146"/>
      <c r="O434" s="1146"/>
      <c r="P434" s="1146"/>
      <c r="Q434" s="1146"/>
      <c r="R434" s="1146"/>
      <c r="S434" s="1146"/>
      <c r="T434" s="1147"/>
      <c r="U434" s="1147"/>
      <c r="V434" s="1147"/>
      <c r="W434" s="1147"/>
      <c r="X434" s="1147"/>
      <c r="Y434" s="1147"/>
      <c r="Z434" s="1147"/>
      <c r="AA434" s="1147"/>
      <c r="AB434" s="1147"/>
      <c r="AC434" s="1147"/>
      <c r="AD434" s="1147"/>
      <c r="AE434" s="1147"/>
      <c r="AF434" s="1147"/>
      <c r="AG434" s="1147"/>
      <c r="AH434" s="1147"/>
      <c r="AI434" s="1147"/>
      <c r="AJ434" s="1147"/>
      <c r="AK434" s="1147"/>
      <c r="AL434" s="1147"/>
      <c r="AM434" s="1147"/>
      <c r="AN434" s="1147"/>
      <c r="AO434" s="1147"/>
      <c r="AP434" s="1147"/>
      <c r="AQ434" s="1147"/>
      <c r="AR434" s="1147"/>
      <c r="AS434" s="1147"/>
      <c r="AT434" s="1147"/>
      <c r="AU434" s="1147"/>
      <c r="AV434" s="1147"/>
      <c r="AW434" s="1147"/>
      <c r="AX434" s="1147"/>
      <c r="AY434" s="1147"/>
      <c r="AZ434" s="1147"/>
      <c r="BA434" s="1147"/>
      <c r="BB434" s="1147"/>
      <c r="BC434" s="1147"/>
      <c r="BD434" s="1147"/>
      <c r="BE434" s="1147"/>
      <c r="BF434" s="1147"/>
      <c r="BG434" s="1147"/>
      <c r="BH434" s="1147"/>
      <c r="BI434" s="1147"/>
      <c r="BJ434" s="1147"/>
      <c r="BK434" s="1147"/>
      <c r="BL434" s="1147"/>
      <c r="BM434" s="1147"/>
      <c r="BN434" s="1147"/>
      <c r="BO434" s="1147"/>
      <c r="BP434" s="1147"/>
      <c r="BQ434" s="1147"/>
      <c r="BR434" s="1147"/>
      <c r="BS434" s="1147"/>
      <c r="BT434" s="1147"/>
      <c r="BU434" s="1147"/>
      <c r="BV434" s="1147"/>
      <c r="BW434" s="1147"/>
      <c r="BX434" s="1147"/>
      <c r="BY434" s="1147"/>
      <c r="BZ434" s="1147"/>
      <c r="CA434" s="1147"/>
      <c r="CB434" s="1147"/>
      <c r="CC434" s="1147"/>
      <c r="CD434" s="1147"/>
      <c r="CE434" s="1147"/>
      <c r="CF434" s="1147"/>
      <c r="CG434" s="1147"/>
      <c r="CH434" s="1147"/>
      <c r="CI434" s="1147"/>
      <c r="CJ434" s="1147"/>
      <c r="CK434" s="1146"/>
    </row>
    <row r="435" spans="1:89" ht="15" x14ac:dyDescent="0.25">
      <c r="A435" s="1146"/>
      <c r="B435" s="1146"/>
      <c r="C435" s="1146"/>
      <c r="D435" s="1146"/>
      <c r="E435" s="1146"/>
      <c r="F435" s="1146"/>
      <c r="G435" s="1146"/>
      <c r="H435" s="1146"/>
      <c r="I435" s="1146"/>
      <c r="J435" s="1146"/>
      <c r="K435" s="1146"/>
      <c r="L435" s="1146"/>
      <c r="M435" s="1146"/>
      <c r="N435" s="1146"/>
      <c r="O435" s="1146"/>
      <c r="P435" s="1146"/>
      <c r="Q435" s="1146"/>
      <c r="R435" s="1146"/>
      <c r="S435" s="1146"/>
      <c r="T435" s="1147"/>
      <c r="U435" s="1147"/>
      <c r="V435" s="1147"/>
      <c r="W435" s="1147"/>
      <c r="X435" s="1147"/>
      <c r="Y435" s="1147"/>
      <c r="Z435" s="1147"/>
      <c r="AA435" s="1147"/>
      <c r="AB435" s="1147"/>
      <c r="AC435" s="1147"/>
      <c r="AD435" s="1147"/>
      <c r="AE435" s="1147"/>
      <c r="AF435" s="1147"/>
      <c r="AG435" s="1147"/>
      <c r="AH435" s="1147"/>
      <c r="AI435" s="1147"/>
      <c r="AJ435" s="1147"/>
      <c r="AK435" s="1147"/>
      <c r="AL435" s="1147"/>
      <c r="AM435" s="1147"/>
      <c r="AN435" s="1147"/>
      <c r="AO435" s="1147"/>
      <c r="AP435" s="1147"/>
      <c r="AQ435" s="1147"/>
      <c r="AR435" s="1147"/>
      <c r="AS435" s="1147"/>
      <c r="AT435" s="1147"/>
      <c r="AU435" s="1147"/>
      <c r="AV435" s="1147"/>
      <c r="AW435" s="1147"/>
      <c r="AX435" s="1147"/>
      <c r="AY435" s="1147"/>
      <c r="AZ435" s="1147"/>
      <c r="BA435" s="1147"/>
      <c r="BB435" s="1147"/>
      <c r="BC435" s="1147"/>
      <c r="BD435" s="1147"/>
      <c r="BE435" s="1147"/>
      <c r="BF435" s="1147"/>
      <c r="BG435" s="1147"/>
      <c r="BH435" s="1147"/>
      <c r="BI435" s="1147"/>
      <c r="BJ435" s="1147"/>
      <c r="BK435" s="1147"/>
      <c r="BL435" s="1147"/>
      <c r="BM435" s="1147"/>
      <c r="BN435" s="1147"/>
      <c r="BO435" s="1147"/>
      <c r="BP435" s="1147"/>
      <c r="BQ435" s="1147"/>
      <c r="BR435" s="1147"/>
      <c r="BS435" s="1147"/>
      <c r="BT435" s="1147"/>
      <c r="BU435" s="1147"/>
      <c r="BV435" s="1147"/>
      <c r="BW435" s="1147"/>
      <c r="BX435" s="1147"/>
      <c r="BY435" s="1147"/>
      <c r="BZ435" s="1147"/>
      <c r="CA435" s="1147"/>
      <c r="CB435" s="1147"/>
      <c r="CC435" s="1147"/>
      <c r="CD435" s="1147"/>
      <c r="CE435" s="1147"/>
      <c r="CF435" s="1147"/>
      <c r="CG435" s="1147"/>
      <c r="CH435" s="1147"/>
      <c r="CI435" s="1147"/>
      <c r="CJ435" s="1147"/>
      <c r="CK435" s="1146"/>
    </row>
    <row r="436" spans="1:89" ht="15" x14ac:dyDescent="0.25">
      <c r="A436" s="1146"/>
      <c r="B436" s="1146"/>
      <c r="C436" s="1146"/>
      <c r="D436" s="1146"/>
      <c r="E436" s="1146"/>
      <c r="F436" s="1146"/>
      <c r="G436" s="1146"/>
      <c r="H436" s="1146"/>
      <c r="I436" s="1146"/>
      <c r="J436" s="1146"/>
      <c r="K436" s="1146"/>
      <c r="L436" s="1146"/>
      <c r="M436" s="1146"/>
      <c r="N436" s="1146"/>
      <c r="O436" s="1146"/>
      <c r="P436" s="1146"/>
      <c r="Q436" s="1146"/>
      <c r="R436" s="1146"/>
      <c r="S436" s="1146"/>
      <c r="T436" s="1147"/>
      <c r="U436" s="1147"/>
      <c r="V436" s="1147"/>
      <c r="W436" s="1147"/>
      <c r="X436" s="1147"/>
      <c r="Y436" s="1147"/>
      <c r="Z436" s="1147"/>
      <c r="AA436" s="1147"/>
      <c r="AB436" s="1147"/>
      <c r="AC436" s="1147"/>
      <c r="AD436" s="1147"/>
      <c r="AE436" s="1147"/>
      <c r="AF436" s="1147"/>
      <c r="AG436" s="1147"/>
      <c r="AH436" s="1147"/>
      <c r="AI436" s="1147"/>
      <c r="AJ436" s="1147"/>
      <c r="AK436" s="1147"/>
      <c r="AL436" s="1147"/>
      <c r="AM436" s="1147"/>
      <c r="AN436" s="1147"/>
      <c r="AO436" s="1147"/>
      <c r="AP436" s="1147"/>
      <c r="AQ436" s="1147"/>
      <c r="AR436" s="1147"/>
      <c r="AS436" s="1147"/>
      <c r="AT436" s="1147"/>
      <c r="AU436" s="1147"/>
      <c r="AV436" s="1147"/>
      <c r="AW436" s="1147"/>
      <c r="AX436" s="1147"/>
      <c r="AY436" s="1147"/>
      <c r="AZ436" s="1147"/>
      <c r="BA436" s="1147"/>
      <c r="BB436" s="1147"/>
      <c r="BC436" s="1147"/>
      <c r="BD436" s="1147"/>
      <c r="BE436" s="1147"/>
      <c r="BF436" s="1147"/>
      <c r="BG436" s="1147"/>
      <c r="BH436" s="1147"/>
      <c r="BI436" s="1147"/>
      <c r="BJ436" s="1147"/>
      <c r="BK436" s="1147"/>
      <c r="BL436" s="1147"/>
      <c r="BM436" s="1147"/>
      <c r="BN436" s="1147"/>
      <c r="BO436" s="1147"/>
      <c r="BP436" s="1147"/>
      <c r="BQ436" s="1147"/>
      <c r="BR436" s="1147"/>
      <c r="BS436" s="1147"/>
      <c r="BT436" s="1147"/>
      <c r="BU436" s="1147"/>
      <c r="BV436" s="1147"/>
      <c r="BW436" s="1147"/>
      <c r="BX436" s="1147"/>
      <c r="BY436" s="1147"/>
      <c r="BZ436" s="1147"/>
      <c r="CA436" s="1147"/>
      <c r="CB436" s="1147"/>
      <c r="CC436" s="1147"/>
      <c r="CD436" s="1147"/>
      <c r="CE436" s="1147"/>
      <c r="CF436" s="1147"/>
      <c r="CG436" s="1147"/>
      <c r="CH436" s="1147"/>
      <c r="CI436" s="1147"/>
      <c r="CJ436" s="1147"/>
      <c r="CK436" s="1146"/>
    </row>
    <row r="437" spans="1:89" ht="15" x14ac:dyDescent="0.25">
      <c r="A437" s="1146"/>
      <c r="B437" s="1146"/>
      <c r="C437" s="1146"/>
      <c r="D437" s="1146"/>
      <c r="E437" s="1146"/>
      <c r="F437" s="1146"/>
      <c r="G437" s="1146"/>
      <c r="H437" s="1146"/>
      <c r="I437" s="1146"/>
      <c r="J437" s="1146"/>
      <c r="K437" s="1146"/>
      <c r="L437" s="1146"/>
      <c r="M437" s="1146"/>
      <c r="N437" s="1146"/>
      <c r="O437" s="1146"/>
      <c r="P437" s="1146"/>
      <c r="Q437" s="1146"/>
      <c r="R437" s="1146"/>
      <c r="S437" s="1146"/>
      <c r="T437" s="1147"/>
      <c r="U437" s="1147"/>
      <c r="V437" s="1147"/>
      <c r="W437" s="1147"/>
      <c r="X437" s="1147"/>
      <c r="Y437" s="1147"/>
      <c r="Z437" s="1147"/>
      <c r="AA437" s="1147"/>
      <c r="AB437" s="1147"/>
      <c r="AC437" s="1147"/>
      <c r="AD437" s="1147"/>
      <c r="AE437" s="1147"/>
      <c r="AF437" s="1147"/>
      <c r="AG437" s="1147"/>
      <c r="AH437" s="1147"/>
      <c r="AI437" s="1147"/>
      <c r="AJ437" s="1147"/>
      <c r="AK437" s="1147"/>
      <c r="AL437" s="1147"/>
      <c r="AM437" s="1147"/>
      <c r="AN437" s="1147"/>
      <c r="AO437" s="1147"/>
      <c r="AP437" s="1147"/>
      <c r="AQ437" s="1147"/>
      <c r="AR437" s="1147"/>
      <c r="AS437" s="1147"/>
      <c r="AT437" s="1147"/>
      <c r="AU437" s="1147"/>
      <c r="AV437" s="1147"/>
      <c r="AW437" s="1147"/>
      <c r="AX437" s="1147"/>
      <c r="AY437" s="1147"/>
      <c r="AZ437" s="1147"/>
      <c r="BA437" s="1147"/>
      <c r="BB437" s="1147"/>
      <c r="BC437" s="1147"/>
      <c r="BD437" s="1147"/>
      <c r="BE437" s="1147"/>
      <c r="BF437" s="1147"/>
      <c r="BG437" s="1147"/>
      <c r="BH437" s="1147"/>
      <c r="BI437" s="1147"/>
      <c r="BJ437" s="1147"/>
      <c r="BK437" s="1147"/>
      <c r="BL437" s="1147"/>
      <c r="BM437" s="1147"/>
      <c r="BN437" s="1147"/>
      <c r="BO437" s="1147"/>
      <c r="BP437" s="1147"/>
      <c r="BQ437" s="1147"/>
      <c r="BR437" s="1147"/>
      <c r="BS437" s="1147"/>
      <c r="BT437" s="1147"/>
      <c r="BU437" s="1147"/>
      <c r="BV437" s="1147"/>
      <c r="BW437" s="1147"/>
      <c r="BX437" s="1147"/>
      <c r="BY437" s="1147"/>
      <c r="BZ437" s="1147"/>
      <c r="CA437" s="1147"/>
      <c r="CB437" s="1147"/>
      <c r="CC437" s="1147"/>
      <c r="CD437" s="1147"/>
      <c r="CE437" s="1147"/>
      <c r="CF437" s="1147"/>
      <c r="CG437" s="1147"/>
      <c r="CH437" s="1147"/>
      <c r="CI437" s="1147"/>
      <c r="CJ437" s="1147"/>
      <c r="CK437" s="1146"/>
    </row>
    <row r="438" spans="1:89" ht="15" x14ac:dyDescent="0.25">
      <c r="A438" s="1146"/>
      <c r="B438" s="1146"/>
      <c r="C438" s="1146"/>
      <c r="D438" s="1146"/>
      <c r="E438" s="1146"/>
      <c r="F438" s="1146"/>
      <c r="G438" s="1146"/>
      <c r="H438" s="1146"/>
      <c r="I438" s="1146"/>
      <c r="J438" s="1146"/>
      <c r="K438" s="1146"/>
      <c r="L438" s="1146"/>
      <c r="M438" s="1146"/>
      <c r="N438" s="1146"/>
      <c r="O438" s="1146"/>
      <c r="P438" s="1146"/>
      <c r="Q438" s="1146"/>
      <c r="R438" s="1146"/>
      <c r="S438" s="1146"/>
      <c r="T438" s="1147"/>
      <c r="U438" s="1147"/>
      <c r="V438" s="1147"/>
      <c r="W438" s="1147"/>
      <c r="X438" s="1147"/>
      <c r="Y438" s="1147"/>
      <c r="Z438" s="1147"/>
      <c r="AA438" s="1147"/>
      <c r="AB438" s="1147"/>
      <c r="AC438" s="1147"/>
      <c r="AD438" s="1147"/>
      <c r="AE438" s="1147"/>
      <c r="AF438" s="1147"/>
      <c r="AG438" s="1147"/>
      <c r="AH438" s="1147"/>
      <c r="AI438" s="1147"/>
      <c r="AJ438" s="1147"/>
      <c r="AK438" s="1147"/>
      <c r="AL438" s="1147"/>
      <c r="AM438" s="1147"/>
      <c r="AN438" s="1147"/>
      <c r="AO438" s="1147"/>
      <c r="AP438" s="1147"/>
      <c r="AQ438" s="1147"/>
      <c r="AR438" s="1147"/>
      <c r="AS438" s="1147"/>
      <c r="AT438" s="1147"/>
      <c r="AU438" s="1147"/>
      <c r="AV438" s="1147"/>
      <c r="AW438" s="1147"/>
      <c r="AX438" s="1147"/>
      <c r="AY438" s="1147"/>
      <c r="AZ438" s="1147"/>
      <c r="BA438" s="1147"/>
      <c r="BB438" s="1147"/>
      <c r="BC438" s="1147"/>
      <c r="BD438" s="1147"/>
      <c r="BE438" s="1147"/>
      <c r="BF438" s="1147"/>
      <c r="BG438" s="1147"/>
      <c r="BH438" s="1147"/>
      <c r="BI438" s="1147"/>
      <c r="BJ438" s="1147"/>
      <c r="BK438" s="1147"/>
      <c r="BL438" s="1147"/>
      <c r="BM438" s="1147"/>
      <c r="BN438" s="1147"/>
      <c r="BO438" s="1147"/>
      <c r="BP438" s="1147"/>
      <c r="BQ438" s="1147"/>
      <c r="BR438" s="1147"/>
      <c r="BS438" s="1147"/>
      <c r="BT438" s="1147"/>
      <c r="BU438" s="1147"/>
      <c r="BV438" s="1147"/>
      <c r="BW438" s="1147"/>
      <c r="BX438" s="1147"/>
      <c r="BY438" s="1147"/>
      <c r="BZ438" s="1147"/>
      <c r="CA438" s="1147"/>
      <c r="CB438" s="1147"/>
      <c r="CC438" s="1147"/>
      <c r="CD438" s="1147"/>
      <c r="CE438" s="1147"/>
      <c r="CF438" s="1147"/>
      <c r="CG438" s="1147"/>
      <c r="CH438" s="1147"/>
      <c r="CI438" s="1147"/>
      <c r="CJ438" s="1147"/>
      <c r="CK438" s="1146"/>
    </row>
    <row r="439" spans="1:89" ht="15" x14ac:dyDescent="0.25">
      <c r="A439" s="1146"/>
      <c r="B439" s="1146"/>
      <c r="C439" s="1146"/>
      <c r="D439" s="1146"/>
      <c r="E439" s="1146"/>
      <c r="F439" s="1146"/>
      <c r="G439" s="1146"/>
      <c r="H439" s="1146"/>
      <c r="I439" s="1146"/>
      <c r="J439" s="1146"/>
      <c r="K439" s="1146"/>
      <c r="L439" s="1146"/>
      <c r="M439" s="1146"/>
      <c r="N439" s="1146"/>
      <c r="O439" s="1146"/>
      <c r="P439" s="1146"/>
      <c r="Q439" s="1146"/>
      <c r="R439" s="1146"/>
      <c r="S439" s="1146"/>
      <c r="T439" s="1147"/>
      <c r="U439" s="1147"/>
      <c r="V439" s="1147"/>
      <c r="W439" s="1147"/>
      <c r="X439" s="1147"/>
      <c r="Y439" s="1147"/>
      <c r="Z439" s="1147"/>
      <c r="AA439" s="1147"/>
      <c r="AB439" s="1147"/>
      <c r="AC439" s="1147"/>
      <c r="AD439" s="1147"/>
      <c r="AE439" s="1147"/>
      <c r="AF439" s="1147"/>
      <c r="AG439" s="1147"/>
      <c r="AH439" s="1147"/>
      <c r="AI439" s="1147"/>
      <c r="AJ439" s="1147"/>
      <c r="AK439" s="1147"/>
      <c r="AL439" s="1147"/>
      <c r="AM439" s="1147"/>
      <c r="AN439" s="1147"/>
      <c r="AO439" s="1147"/>
      <c r="AP439" s="1147"/>
      <c r="AQ439" s="1147"/>
      <c r="AR439" s="1147"/>
      <c r="AS439" s="1147"/>
      <c r="AT439" s="1147"/>
      <c r="AU439" s="1147"/>
      <c r="AV439" s="1147"/>
      <c r="AW439" s="1147"/>
      <c r="AX439" s="1147"/>
      <c r="AY439" s="1147"/>
      <c r="AZ439" s="1147"/>
      <c r="BA439" s="1147"/>
      <c r="BB439" s="1147"/>
      <c r="BC439" s="1147"/>
      <c r="BD439" s="1147"/>
      <c r="BE439" s="1147"/>
      <c r="BF439" s="1147"/>
      <c r="BG439" s="1147"/>
      <c r="BH439" s="1147"/>
      <c r="BI439" s="1147"/>
      <c r="BJ439" s="1147"/>
      <c r="BK439" s="1147"/>
      <c r="BL439" s="1147"/>
      <c r="BM439" s="1147"/>
      <c r="BN439" s="1147"/>
      <c r="BO439" s="1147"/>
      <c r="BP439" s="1147"/>
      <c r="BQ439" s="1147"/>
      <c r="BR439" s="1147"/>
      <c r="BS439" s="1147"/>
      <c r="BT439" s="1147"/>
      <c r="BU439" s="1147"/>
      <c r="BV439" s="1147"/>
      <c r="BW439" s="1147"/>
      <c r="BX439" s="1147"/>
      <c r="BY439" s="1147"/>
      <c r="BZ439" s="1147"/>
      <c r="CA439" s="1147"/>
      <c r="CB439" s="1147"/>
      <c r="CC439" s="1147"/>
      <c r="CD439" s="1147"/>
      <c r="CE439" s="1147"/>
      <c r="CF439" s="1147"/>
      <c r="CG439" s="1147"/>
      <c r="CH439" s="1147"/>
      <c r="CI439" s="1147"/>
      <c r="CJ439" s="1147"/>
      <c r="CK439" s="1146"/>
    </row>
    <row r="440" spans="1:89" ht="15" x14ac:dyDescent="0.25">
      <c r="A440" s="1146"/>
      <c r="B440" s="1146"/>
      <c r="C440" s="1146"/>
      <c r="D440" s="1146"/>
      <c r="E440" s="1146"/>
      <c r="F440" s="1146"/>
      <c r="G440" s="1146"/>
      <c r="H440" s="1146"/>
      <c r="I440" s="1146"/>
      <c r="J440" s="1146"/>
      <c r="K440" s="1146"/>
      <c r="L440" s="1146"/>
      <c r="M440" s="1146"/>
      <c r="N440" s="1146"/>
      <c r="O440" s="1146"/>
      <c r="P440" s="1146"/>
      <c r="Q440" s="1146"/>
      <c r="R440" s="1146"/>
      <c r="S440" s="1146"/>
      <c r="T440" s="1147"/>
      <c r="U440" s="1147"/>
      <c r="V440" s="1147"/>
      <c r="W440" s="1147"/>
      <c r="X440" s="1147"/>
      <c r="Y440" s="1147"/>
      <c r="Z440" s="1147"/>
      <c r="AA440" s="1147"/>
      <c r="AB440" s="1147"/>
      <c r="AC440" s="1147"/>
      <c r="AD440" s="1147"/>
      <c r="AE440" s="1147"/>
      <c r="AF440" s="1147"/>
      <c r="AG440" s="1147"/>
      <c r="AH440" s="1147"/>
      <c r="AI440" s="1147"/>
      <c r="AJ440" s="1147"/>
      <c r="AK440" s="1147"/>
      <c r="AL440" s="1147"/>
      <c r="AM440" s="1147"/>
      <c r="AN440" s="1147"/>
      <c r="AO440" s="1147"/>
      <c r="AP440" s="1147"/>
      <c r="AQ440" s="1147"/>
      <c r="AR440" s="1147"/>
      <c r="AS440" s="1147"/>
      <c r="AT440" s="1147"/>
      <c r="AU440" s="1147"/>
      <c r="AV440" s="1147"/>
      <c r="AW440" s="1147"/>
      <c r="AX440" s="1147"/>
      <c r="AY440" s="1147"/>
      <c r="AZ440" s="1147"/>
      <c r="BA440" s="1147"/>
      <c r="BB440" s="1147"/>
      <c r="BC440" s="1147"/>
      <c r="BD440" s="1147"/>
      <c r="BE440" s="1147"/>
      <c r="BF440" s="1147"/>
      <c r="BG440" s="1147"/>
      <c r="BH440" s="1147"/>
      <c r="BI440" s="1147"/>
      <c r="BJ440" s="1147"/>
      <c r="BK440" s="1147"/>
      <c r="BL440" s="1147"/>
      <c r="BM440" s="1147"/>
      <c r="BN440" s="1147"/>
      <c r="BO440" s="1147"/>
      <c r="BP440" s="1147"/>
      <c r="BQ440" s="1147"/>
      <c r="BR440" s="1147"/>
      <c r="BS440" s="1147"/>
      <c r="BT440" s="1147"/>
      <c r="BU440" s="1147"/>
      <c r="BV440" s="1147"/>
      <c r="BW440" s="1147"/>
      <c r="BX440" s="1147"/>
      <c r="BY440" s="1147"/>
      <c r="BZ440" s="1147"/>
      <c r="CA440" s="1147"/>
      <c r="CB440" s="1147"/>
      <c r="CC440" s="1147"/>
      <c r="CD440" s="1147"/>
      <c r="CE440" s="1147"/>
      <c r="CF440" s="1147"/>
      <c r="CG440" s="1147"/>
      <c r="CH440" s="1147"/>
      <c r="CI440" s="1147"/>
      <c r="CJ440" s="1147"/>
      <c r="CK440" s="1146"/>
    </row>
    <row r="441" spans="1:89" ht="15" x14ac:dyDescent="0.25">
      <c r="A441" s="1146"/>
      <c r="B441" s="1146"/>
      <c r="C441" s="1146"/>
      <c r="D441" s="1146"/>
      <c r="E441" s="1146"/>
      <c r="F441" s="1146"/>
      <c r="G441" s="1146"/>
      <c r="H441" s="1146"/>
      <c r="I441" s="1146"/>
      <c r="J441" s="1146"/>
      <c r="K441" s="1146"/>
      <c r="L441" s="1146"/>
      <c r="M441" s="1146"/>
      <c r="N441" s="1146"/>
      <c r="O441" s="1146"/>
      <c r="P441" s="1146"/>
      <c r="Q441" s="1146"/>
      <c r="R441" s="1146"/>
      <c r="S441" s="1146"/>
      <c r="T441" s="1147"/>
      <c r="U441" s="1147"/>
      <c r="V441" s="1147"/>
      <c r="W441" s="1147"/>
      <c r="X441" s="1147"/>
      <c r="Y441" s="1147"/>
      <c r="Z441" s="1147"/>
      <c r="AA441" s="1147"/>
      <c r="AB441" s="1147"/>
      <c r="AC441" s="1147"/>
      <c r="AD441" s="1147"/>
      <c r="AE441" s="1147"/>
      <c r="AF441" s="1147"/>
      <c r="AG441" s="1147"/>
      <c r="AH441" s="1147"/>
      <c r="AI441" s="1147"/>
      <c r="AJ441" s="1147"/>
      <c r="AK441" s="1147"/>
      <c r="AL441" s="1147"/>
      <c r="AM441" s="1147"/>
      <c r="AN441" s="1147"/>
      <c r="AO441" s="1147"/>
      <c r="AP441" s="1147"/>
      <c r="AQ441" s="1147"/>
      <c r="AR441" s="1147"/>
      <c r="AS441" s="1147"/>
      <c r="AT441" s="1147"/>
      <c r="AU441" s="1147"/>
      <c r="AV441" s="1147"/>
      <c r="AW441" s="1147"/>
      <c r="AX441" s="1147"/>
      <c r="AY441" s="1147"/>
      <c r="AZ441" s="1147"/>
      <c r="BA441" s="1147"/>
      <c r="BB441" s="1147"/>
      <c r="BC441" s="1147"/>
      <c r="BD441" s="1147"/>
      <c r="BE441" s="1147"/>
      <c r="BF441" s="1147"/>
      <c r="BG441" s="1147"/>
      <c r="BH441" s="1147"/>
      <c r="BI441" s="1147"/>
      <c r="BJ441" s="1147"/>
      <c r="BK441" s="1147"/>
      <c r="BL441" s="1147"/>
      <c r="BM441" s="1147"/>
      <c r="BN441" s="1147"/>
      <c r="BO441" s="1147"/>
      <c r="BP441" s="1147"/>
      <c r="BQ441" s="1147"/>
      <c r="BR441" s="1147"/>
      <c r="BS441" s="1147"/>
      <c r="BT441" s="1147"/>
      <c r="BU441" s="1147"/>
      <c r="BV441" s="1147"/>
      <c r="BW441" s="1147"/>
      <c r="BX441" s="1147"/>
      <c r="BY441" s="1147"/>
      <c r="BZ441" s="1147"/>
      <c r="CA441" s="1147"/>
      <c r="CB441" s="1147"/>
      <c r="CC441" s="1147"/>
      <c r="CD441" s="1147"/>
      <c r="CE441" s="1147"/>
      <c r="CF441" s="1147"/>
      <c r="CG441" s="1147"/>
      <c r="CH441" s="1147"/>
      <c r="CI441" s="1147"/>
      <c r="CJ441" s="1147"/>
      <c r="CK441" s="1146"/>
    </row>
    <row r="442" spans="1:89" ht="15" x14ac:dyDescent="0.25">
      <c r="A442" s="1146"/>
      <c r="B442" s="1146"/>
      <c r="C442" s="1146"/>
      <c r="D442" s="1146"/>
      <c r="E442" s="1146"/>
      <c r="F442" s="1146"/>
      <c r="G442" s="1146"/>
      <c r="H442" s="1146"/>
      <c r="I442" s="1146"/>
      <c r="J442" s="1146"/>
      <c r="K442" s="1146"/>
      <c r="L442" s="1146"/>
      <c r="M442" s="1146"/>
      <c r="N442" s="1146"/>
      <c r="O442" s="1146"/>
      <c r="P442" s="1146"/>
      <c r="Q442" s="1146"/>
      <c r="R442" s="1146"/>
      <c r="S442" s="1146"/>
      <c r="T442" s="1147"/>
      <c r="U442" s="1147"/>
      <c r="V442" s="1147"/>
      <c r="W442" s="1147"/>
      <c r="X442" s="1147"/>
      <c r="Y442" s="1147"/>
      <c r="Z442" s="1147"/>
      <c r="AA442" s="1147"/>
      <c r="AB442" s="1147"/>
      <c r="AC442" s="1147"/>
      <c r="AD442" s="1147"/>
      <c r="AE442" s="1147"/>
      <c r="AF442" s="1147"/>
      <c r="AG442" s="1147"/>
      <c r="AH442" s="1147"/>
      <c r="AI442" s="1147"/>
      <c r="AJ442" s="1147"/>
      <c r="AK442" s="1147"/>
      <c r="AL442" s="1147"/>
      <c r="AM442" s="1147"/>
      <c r="AN442" s="1147"/>
      <c r="AO442" s="1147"/>
      <c r="AP442" s="1147"/>
      <c r="AQ442" s="1147"/>
      <c r="AR442" s="1147"/>
      <c r="AS442" s="1147"/>
      <c r="AT442" s="1147"/>
      <c r="AU442" s="1147"/>
      <c r="AV442" s="1147"/>
      <c r="AW442" s="1147"/>
      <c r="AX442" s="1147"/>
      <c r="AY442" s="1147"/>
      <c r="AZ442" s="1147"/>
      <c r="BA442" s="1147"/>
      <c r="BB442" s="1147"/>
      <c r="BC442" s="1147"/>
      <c r="BD442" s="1147"/>
      <c r="BE442" s="1147"/>
      <c r="BF442" s="1147"/>
      <c r="BG442" s="1147"/>
      <c r="BH442" s="1147"/>
      <c r="BI442" s="1147"/>
      <c r="BJ442" s="1147"/>
      <c r="BK442" s="1147"/>
      <c r="BL442" s="1147"/>
      <c r="BM442" s="1147"/>
      <c r="BN442" s="1147"/>
      <c r="BO442" s="1147"/>
      <c r="BP442" s="1147"/>
      <c r="BQ442" s="1147"/>
      <c r="BR442" s="1147"/>
      <c r="BS442" s="1147"/>
      <c r="BT442" s="1147"/>
      <c r="BU442" s="1147"/>
      <c r="BV442" s="1147"/>
      <c r="BW442" s="1147"/>
      <c r="BX442" s="1147"/>
      <c r="BY442" s="1147"/>
      <c r="BZ442" s="1147"/>
      <c r="CA442" s="1147"/>
      <c r="CB442" s="1147"/>
      <c r="CC442" s="1147"/>
      <c r="CD442" s="1147"/>
      <c r="CE442" s="1147"/>
      <c r="CF442" s="1147"/>
      <c r="CG442" s="1147"/>
      <c r="CH442" s="1147"/>
      <c r="CI442" s="1147"/>
      <c r="CJ442" s="1147"/>
      <c r="CK442" s="1146"/>
    </row>
    <row r="443" spans="1:89" ht="15" x14ac:dyDescent="0.25">
      <c r="A443" s="1146"/>
      <c r="B443" s="1146"/>
      <c r="C443" s="1146"/>
      <c r="D443" s="1146"/>
      <c r="E443" s="1146"/>
      <c r="F443" s="1146"/>
      <c r="G443" s="1146"/>
      <c r="H443" s="1146"/>
      <c r="I443" s="1146"/>
      <c r="J443" s="1146"/>
      <c r="K443" s="1146"/>
      <c r="L443" s="1146"/>
      <c r="M443" s="1146"/>
      <c r="N443" s="1146"/>
      <c r="O443" s="1146"/>
      <c r="P443" s="1146"/>
      <c r="Q443" s="1146"/>
      <c r="R443" s="1146"/>
      <c r="S443" s="1146"/>
      <c r="T443" s="1147"/>
      <c r="U443" s="1147"/>
      <c r="V443" s="1147"/>
      <c r="W443" s="1147"/>
      <c r="X443" s="1147"/>
      <c r="Y443" s="1147"/>
      <c r="Z443" s="1147"/>
      <c r="AA443" s="1147"/>
      <c r="AB443" s="1147"/>
      <c r="AC443" s="1147"/>
      <c r="AD443" s="1147"/>
      <c r="AE443" s="1147"/>
      <c r="AF443" s="1147"/>
      <c r="AG443" s="1147"/>
      <c r="AH443" s="1147"/>
      <c r="AI443" s="1147"/>
      <c r="AJ443" s="1147"/>
      <c r="AK443" s="1147"/>
      <c r="AL443" s="1147"/>
      <c r="AM443" s="1147"/>
      <c r="AN443" s="1147"/>
      <c r="AO443" s="1147"/>
      <c r="AP443" s="1147"/>
      <c r="AQ443" s="1147"/>
      <c r="AR443" s="1147"/>
      <c r="AS443" s="1147"/>
      <c r="AT443" s="1147"/>
      <c r="AU443" s="1147"/>
      <c r="AV443" s="1147"/>
      <c r="AW443" s="1147"/>
      <c r="AX443" s="1147"/>
      <c r="AY443" s="1147"/>
      <c r="AZ443" s="1147"/>
      <c r="BA443" s="1147"/>
      <c r="BB443" s="1147"/>
      <c r="BC443" s="1147"/>
      <c r="BD443" s="1147"/>
      <c r="BE443" s="1147"/>
      <c r="BF443" s="1147"/>
      <c r="BG443" s="1147"/>
      <c r="BH443" s="1147"/>
      <c r="BI443" s="1147"/>
      <c r="BJ443" s="1147"/>
      <c r="BK443" s="1147"/>
      <c r="BL443" s="1147"/>
      <c r="BM443" s="1147"/>
      <c r="BN443" s="1147"/>
      <c r="BO443" s="1147"/>
      <c r="BP443" s="1147"/>
      <c r="BQ443" s="1147"/>
      <c r="BR443" s="1147"/>
      <c r="BS443" s="1147"/>
      <c r="BT443" s="1147"/>
      <c r="BU443" s="1147"/>
      <c r="BV443" s="1147"/>
      <c r="BW443" s="1147"/>
      <c r="BX443" s="1147"/>
      <c r="BY443" s="1147"/>
      <c r="BZ443" s="1147"/>
      <c r="CA443" s="1147"/>
      <c r="CB443" s="1147"/>
      <c r="CC443" s="1147"/>
      <c r="CD443" s="1147"/>
      <c r="CE443" s="1147"/>
      <c r="CF443" s="1147"/>
      <c r="CG443" s="1147"/>
      <c r="CH443" s="1147"/>
      <c r="CI443" s="1147"/>
      <c r="CJ443" s="1147"/>
      <c r="CK443" s="1146"/>
    </row>
    <row r="444" spans="1:89" ht="15" x14ac:dyDescent="0.25">
      <c r="A444" s="1146"/>
      <c r="B444" s="1146"/>
      <c r="C444" s="1146"/>
      <c r="D444" s="1146"/>
      <c r="E444" s="1146"/>
      <c r="F444" s="1146"/>
      <c r="G444" s="1146"/>
      <c r="H444" s="1146"/>
      <c r="I444" s="1146"/>
      <c r="J444" s="1146"/>
      <c r="K444" s="1146"/>
      <c r="L444" s="1146"/>
      <c r="M444" s="1146"/>
      <c r="N444" s="1146"/>
      <c r="O444" s="1146"/>
      <c r="P444" s="1146"/>
      <c r="Q444" s="1146"/>
      <c r="R444" s="1146"/>
      <c r="S444" s="1146"/>
      <c r="T444" s="1147"/>
      <c r="U444" s="1147"/>
      <c r="V444" s="1147"/>
      <c r="W444" s="1147"/>
      <c r="X444" s="1147"/>
      <c r="Y444" s="1147"/>
      <c r="Z444" s="1147"/>
      <c r="AA444" s="1147"/>
      <c r="AB444" s="1147"/>
      <c r="AC444" s="1147"/>
      <c r="AD444" s="1147"/>
      <c r="AE444" s="1147"/>
      <c r="AF444" s="1147"/>
      <c r="AG444" s="1147"/>
      <c r="AH444" s="1147"/>
      <c r="AI444" s="1147"/>
      <c r="AJ444" s="1147"/>
      <c r="AK444" s="1147"/>
      <c r="AL444" s="1147"/>
      <c r="AM444" s="1147"/>
      <c r="AN444" s="1147"/>
      <c r="AO444" s="1147"/>
      <c r="AP444" s="1147"/>
      <c r="AQ444" s="1147"/>
      <c r="AR444" s="1147"/>
      <c r="AS444" s="1147"/>
      <c r="AT444" s="1147"/>
      <c r="AU444" s="1147"/>
      <c r="AV444" s="1147"/>
      <c r="AW444" s="1147"/>
      <c r="AX444" s="1147"/>
      <c r="AY444" s="1147"/>
      <c r="AZ444" s="1147"/>
      <c r="BA444" s="1147"/>
      <c r="BB444" s="1147"/>
      <c r="BC444" s="1147"/>
      <c r="BD444" s="1147"/>
      <c r="BE444" s="1147"/>
      <c r="BF444" s="1147"/>
      <c r="BG444" s="1147"/>
      <c r="BH444" s="1147"/>
      <c r="BI444" s="1147"/>
      <c r="BJ444" s="1147"/>
      <c r="BK444" s="1147"/>
      <c r="BL444" s="1147"/>
      <c r="BM444" s="1147"/>
      <c r="BN444" s="1147"/>
      <c r="BO444" s="1147"/>
      <c r="BP444" s="1147"/>
      <c r="BQ444" s="1147"/>
      <c r="BR444" s="1147"/>
      <c r="BS444" s="1147"/>
      <c r="BT444" s="1147"/>
      <c r="BU444" s="1147"/>
      <c r="BV444" s="1147"/>
      <c r="BW444" s="1147"/>
      <c r="BX444" s="1147"/>
      <c r="BY444" s="1147"/>
      <c r="BZ444" s="1147"/>
      <c r="CA444" s="1147"/>
      <c r="CB444" s="1147"/>
      <c r="CC444" s="1147"/>
      <c r="CD444" s="1147"/>
      <c r="CE444" s="1147"/>
      <c r="CF444" s="1147"/>
      <c r="CG444" s="1147"/>
      <c r="CH444" s="1147"/>
      <c r="CI444" s="1147"/>
      <c r="CJ444" s="1147"/>
      <c r="CK444" s="1146"/>
    </row>
    <row r="445" spans="1:89" ht="15" x14ac:dyDescent="0.25">
      <c r="A445" s="1146"/>
      <c r="B445" s="1146"/>
      <c r="C445" s="1146"/>
      <c r="D445" s="1146"/>
      <c r="E445" s="1146"/>
      <c r="F445" s="1146"/>
      <c r="G445" s="1146"/>
      <c r="H445" s="1146"/>
      <c r="I445" s="1146"/>
      <c r="J445" s="1146"/>
      <c r="K445" s="1146"/>
      <c r="L445" s="1146"/>
      <c r="M445" s="1146"/>
      <c r="N445" s="1146"/>
      <c r="O445" s="1146"/>
      <c r="P445" s="1146"/>
      <c r="Q445" s="1146"/>
      <c r="R445" s="1146"/>
      <c r="S445" s="1146"/>
      <c r="T445" s="1147"/>
      <c r="U445" s="1147"/>
      <c r="V445" s="1147"/>
      <c r="W445" s="1147"/>
      <c r="X445" s="1147"/>
      <c r="Y445" s="1147"/>
      <c r="Z445" s="1147"/>
      <c r="AA445" s="1147"/>
      <c r="AB445" s="1147"/>
      <c r="AC445" s="1147"/>
      <c r="AD445" s="1147"/>
      <c r="AE445" s="1147"/>
      <c r="AF445" s="1147"/>
      <c r="AG445" s="1147"/>
      <c r="AH445" s="1147"/>
      <c r="AI445" s="1147"/>
      <c r="AJ445" s="1147"/>
      <c r="AK445" s="1147"/>
      <c r="AL445" s="1147"/>
      <c r="AM445" s="1147"/>
      <c r="AN445" s="1147"/>
      <c r="AO445" s="1147"/>
      <c r="AP445" s="1147"/>
      <c r="AQ445" s="1147"/>
      <c r="AR445" s="1147"/>
      <c r="AS445" s="1147"/>
      <c r="AT445" s="1147"/>
      <c r="AU445" s="1147"/>
      <c r="AV445" s="1147"/>
      <c r="AW445" s="1147"/>
      <c r="AX445" s="1147"/>
      <c r="AY445" s="1147"/>
      <c r="AZ445" s="1147"/>
      <c r="BA445" s="1147"/>
      <c r="BB445" s="1147"/>
      <c r="BC445" s="1147"/>
      <c r="BD445" s="1147"/>
      <c r="BE445" s="1147"/>
      <c r="BF445" s="1147"/>
      <c r="BG445" s="1147"/>
      <c r="BH445" s="1147"/>
      <c r="BI445" s="1147"/>
      <c r="BJ445" s="1147"/>
      <c r="BK445" s="1147"/>
      <c r="BL445" s="1147"/>
      <c r="BM445" s="1147"/>
      <c r="BN445" s="1147"/>
      <c r="BO445" s="1147"/>
      <c r="BP445" s="1147"/>
      <c r="BQ445" s="1147"/>
      <c r="BR445" s="1147"/>
      <c r="BS445" s="1147"/>
      <c r="BT445" s="1147"/>
      <c r="BU445" s="1147"/>
      <c r="BV445" s="1147"/>
      <c r="BW445" s="1147"/>
      <c r="BX445" s="1147"/>
      <c r="BY445" s="1147"/>
      <c r="BZ445" s="1147"/>
      <c r="CA445" s="1147"/>
      <c r="CB445" s="1147"/>
      <c r="CC445" s="1147"/>
      <c r="CD445" s="1147"/>
      <c r="CE445" s="1147"/>
      <c r="CF445" s="1147"/>
      <c r="CG445" s="1147"/>
      <c r="CH445" s="1147"/>
      <c r="CI445" s="1147"/>
      <c r="CJ445" s="1147"/>
      <c r="CK445" s="1146"/>
    </row>
    <row r="446" spans="1:89" ht="15" x14ac:dyDescent="0.25">
      <c r="A446" s="1146"/>
      <c r="B446" s="1146"/>
      <c r="C446" s="1146"/>
      <c r="D446" s="1146"/>
      <c r="E446" s="1146"/>
      <c r="F446" s="1146"/>
      <c r="G446" s="1146"/>
      <c r="H446" s="1146"/>
      <c r="I446" s="1146"/>
      <c r="J446" s="1146"/>
      <c r="K446" s="1146"/>
      <c r="L446" s="1146"/>
      <c r="M446" s="1146"/>
      <c r="N446" s="1146"/>
      <c r="O446" s="1146"/>
      <c r="P446" s="1146"/>
      <c r="Q446" s="1146"/>
      <c r="R446" s="1146"/>
      <c r="S446" s="1146"/>
      <c r="T446" s="1147"/>
      <c r="U446" s="1147"/>
      <c r="V446" s="1147"/>
      <c r="W446" s="1147"/>
      <c r="X446" s="1147"/>
      <c r="Y446" s="1147"/>
      <c r="Z446" s="1147"/>
      <c r="AA446" s="1147"/>
      <c r="AB446" s="1147"/>
      <c r="AC446" s="1147"/>
      <c r="AD446" s="1147"/>
      <c r="AE446" s="1147"/>
      <c r="AF446" s="1147"/>
      <c r="AG446" s="1147"/>
      <c r="AH446" s="1147"/>
      <c r="AI446" s="1147"/>
      <c r="AJ446" s="1147"/>
      <c r="AK446" s="1147"/>
      <c r="AL446" s="1147"/>
      <c r="AM446" s="1147"/>
      <c r="AN446" s="1147"/>
      <c r="AO446" s="1147"/>
      <c r="AP446" s="1147"/>
      <c r="AQ446" s="1147"/>
      <c r="AR446" s="1147"/>
      <c r="AS446" s="1147"/>
      <c r="AT446" s="1147"/>
      <c r="AU446" s="1147"/>
      <c r="AV446" s="1147"/>
      <c r="AW446" s="1147"/>
      <c r="AX446" s="1147"/>
      <c r="AY446" s="1147"/>
      <c r="AZ446" s="1147"/>
      <c r="BA446" s="1147"/>
      <c r="BB446" s="1147"/>
      <c r="BC446" s="1147"/>
      <c r="BD446" s="1147"/>
      <c r="BE446" s="1147"/>
      <c r="BF446" s="1147"/>
      <c r="BG446" s="1147"/>
      <c r="BH446" s="1147"/>
      <c r="BI446" s="1147"/>
      <c r="BJ446" s="1147"/>
      <c r="BK446" s="1147"/>
      <c r="BL446" s="1147"/>
      <c r="BM446" s="1147"/>
      <c r="BN446" s="1147"/>
      <c r="BO446" s="1147"/>
      <c r="BP446" s="1147"/>
      <c r="BQ446" s="1147"/>
      <c r="BR446" s="1147"/>
      <c r="BS446" s="1147"/>
      <c r="BT446" s="1147"/>
      <c r="BU446" s="1147"/>
      <c r="BV446" s="1147"/>
      <c r="BW446" s="1147"/>
      <c r="BX446" s="1147"/>
      <c r="BY446" s="1147"/>
      <c r="BZ446" s="1147"/>
      <c r="CA446" s="1147"/>
      <c r="CB446" s="1147"/>
      <c r="CC446" s="1147"/>
      <c r="CD446" s="1147"/>
      <c r="CE446" s="1147"/>
      <c r="CF446" s="1147"/>
      <c r="CG446" s="1147"/>
      <c r="CH446" s="1147"/>
      <c r="CI446" s="1147"/>
      <c r="CJ446" s="1147"/>
      <c r="CK446" s="1146"/>
    </row>
    <row r="447" spans="1:89" ht="15" x14ac:dyDescent="0.25">
      <c r="A447" s="1146"/>
      <c r="B447" s="1146"/>
      <c r="C447" s="1146"/>
      <c r="D447" s="1146"/>
      <c r="E447" s="1146"/>
      <c r="F447" s="1146"/>
      <c r="G447" s="1146"/>
      <c r="H447" s="1146"/>
      <c r="I447" s="1146"/>
      <c r="J447" s="1146"/>
      <c r="K447" s="1146"/>
      <c r="L447" s="1146"/>
      <c r="M447" s="1146"/>
      <c r="N447" s="1146"/>
      <c r="O447" s="1146"/>
      <c r="P447" s="1146"/>
      <c r="Q447" s="1146"/>
      <c r="R447" s="1146"/>
      <c r="S447" s="1146"/>
      <c r="T447" s="1147"/>
      <c r="U447" s="1147"/>
      <c r="V447" s="1147"/>
      <c r="W447" s="1147"/>
      <c r="X447" s="1147"/>
      <c r="Y447" s="1147"/>
      <c r="Z447" s="1147"/>
      <c r="AA447" s="1147"/>
      <c r="AB447" s="1147"/>
      <c r="AC447" s="1147"/>
      <c r="AD447" s="1147"/>
      <c r="AE447" s="1147"/>
      <c r="AF447" s="1147"/>
      <c r="AG447" s="1147"/>
      <c r="AH447" s="1147"/>
      <c r="AI447" s="1147"/>
      <c r="AJ447" s="1147"/>
      <c r="AK447" s="1147"/>
      <c r="AL447" s="1147"/>
      <c r="AM447" s="1147"/>
      <c r="AN447" s="1147"/>
      <c r="AO447" s="1147"/>
      <c r="AP447" s="1147"/>
      <c r="AQ447" s="1147"/>
      <c r="AR447" s="1147"/>
      <c r="AS447" s="1147"/>
      <c r="AT447" s="1147"/>
      <c r="AU447" s="1147"/>
      <c r="AV447" s="1147"/>
      <c r="AW447" s="1147"/>
      <c r="AX447" s="1147"/>
      <c r="AY447" s="1147"/>
      <c r="AZ447" s="1147"/>
      <c r="BA447" s="1147"/>
      <c r="BB447" s="1147"/>
      <c r="BC447" s="1147"/>
      <c r="BD447" s="1147"/>
      <c r="BE447" s="1147"/>
      <c r="BF447" s="1147"/>
      <c r="BG447" s="1147"/>
      <c r="BH447" s="1147"/>
      <c r="BI447" s="1147"/>
      <c r="BJ447" s="1147"/>
      <c r="BK447" s="1147"/>
      <c r="BL447" s="1147"/>
      <c r="BM447" s="1147"/>
      <c r="BN447" s="1147"/>
      <c r="BO447" s="1147"/>
      <c r="BP447" s="1147"/>
      <c r="BQ447" s="1147"/>
      <c r="BR447" s="1147"/>
      <c r="BS447" s="1147"/>
      <c r="BT447" s="1147"/>
      <c r="BU447" s="1147"/>
      <c r="BV447" s="1147"/>
      <c r="BW447" s="1147"/>
      <c r="BX447" s="1147"/>
      <c r="BY447" s="1147"/>
      <c r="BZ447" s="1147"/>
      <c r="CA447" s="1147"/>
      <c r="CB447" s="1147"/>
      <c r="CC447" s="1147"/>
      <c r="CD447" s="1147"/>
      <c r="CE447" s="1147"/>
      <c r="CF447" s="1147"/>
      <c r="CG447" s="1147"/>
      <c r="CH447" s="1147"/>
      <c r="CI447" s="1147"/>
      <c r="CJ447" s="1147"/>
      <c r="CK447" s="1146"/>
    </row>
    <row r="448" spans="1:89" ht="15" x14ac:dyDescent="0.25">
      <c r="A448" s="1146"/>
      <c r="B448" s="1146"/>
      <c r="C448" s="1146"/>
      <c r="D448" s="1146"/>
      <c r="E448" s="1146"/>
      <c r="F448" s="1146"/>
      <c r="G448" s="1146"/>
      <c r="H448" s="1146"/>
      <c r="I448" s="1146"/>
      <c r="J448" s="1146"/>
      <c r="K448" s="1146"/>
      <c r="L448" s="1146"/>
      <c r="M448" s="1146"/>
      <c r="N448" s="1146"/>
      <c r="O448" s="1146"/>
      <c r="P448" s="1146"/>
      <c r="Q448" s="1146"/>
      <c r="R448" s="1146"/>
      <c r="S448" s="1146"/>
      <c r="T448" s="1147"/>
      <c r="U448" s="1147"/>
      <c r="V448" s="1147"/>
      <c r="W448" s="1147"/>
      <c r="X448" s="1147"/>
      <c r="Y448" s="1147"/>
      <c r="Z448" s="1147"/>
      <c r="AA448" s="1147"/>
      <c r="AB448" s="1147"/>
      <c r="AC448" s="1147"/>
      <c r="AD448" s="1147"/>
      <c r="AE448" s="1147"/>
      <c r="AF448" s="1147"/>
      <c r="AG448" s="1147"/>
      <c r="AH448" s="1147"/>
      <c r="AI448" s="1147"/>
      <c r="AJ448" s="1147"/>
      <c r="AK448" s="1147"/>
      <c r="AL448" s="1147"/>
      <c r="AM448" s="1147"/>
      <c r="AN448" s="1147"/>
      <c r="AO448" s="1147"/>
      <c r="AP448" s="1147"/>
      <c r="AQ448" s="1147"/>
      <c r="AR448" s="1147"/>
      <c r="AS448" s="1147"/>
      <c r="AT448" s="1147"/>
      <c r="AU448" s="1147"/>
      <c r="AV448" s="1147"/>
      <c r="AW448" s="1147"/>
      <c r="AX448" s="1147"/>
      <c r="AY448" s="1147"/>
      <c r="AZ448" s="1147"/>
      <c r="BA448" s="1147"/>
      <c r="BB448" s="1147"/>
      <c r="BC448" s="1147"/>
      <c r="BD448" s="1147"/>
      <c r="BE448" s="1147"/>
      <c r="BF448" s="1147"/>
      <c r="BG448" s="1147"/>
      <c r="BH448" s="1147"/>
      <c r="BI448" s="1147"/>
      <c r="BJ448" s="1147"/>
      <c r="BK448" s="1147"/>
      <c r="BL448" s="1147"/>
      <c r="BM448" s="1147"/>
      <c r="BN448" s="1147"/>
      <c r="BO448" s="1147"/>
      <c r="BP448" s="1147"/>
      <c r="BQ448" s="1147"/>
      <c r="BR448" s="1147"/>
      <c r="BS448" s="1147"/>
      <c r="BT448" s="1147"/>
      <c r="BU448" s="1147"/>
      <c r="BV448" s="1147"/>
      <c r="BW448" s="1147"/>
      <c r="BX448" s="1147"/>
      <c r="BY448" s="1147"/>
      <c r="BZ448" s="1147"/>
      <c r="CA448" s="1147"/>
      <c r="CB448" s="1147"/>
      <c r="CC448" s="1147"/>
      <c r="CD448" s="1147"/>
      <c r="CE448" s="1147"/>
      <c r="CF448" s="1147"/>
      <c r="CG448" s="1147"/>
      <c r="CH448" s="1147"/>
      <c r="CI448" s="1147"/>
      <c r="CJ448" s="1147"/>
      <c r="CK448" s="1146"/>
    </row>
    <row r="449" spans="1:89" ht="15" x14ac:dyDescent="0.25">
      <c r="A449" s="1146"/>
      <c r="B449" s="1146"/>
      <c r="C449" s="1146"/>
      <c r="D449" s="1146"/>
      <c r="E449" s="1146"/>
      <c r="F449" s="1146"/>
      <c r="G449" s="1146"/>
      <c r="H449" s="1146"/>
      <c r="I449" s="1146"/>
      <c r="J449" s="1146"/>
      <c r="K449" s="1146"/>
      <c r="L449" s="1146"/>
      <c r="M449" s="1146"/>
      <c r="N449" s="1146"/>
      <c r="O449" s="1146"/>
      <c r="P449" s="1146"/>
      <c r="Q449" s="1146"/>
      <c r="R449" s="1146"/>
      <c r="S449" s="1146"/>
      <c r="T449" s="1147"/>
      <c r="U449" s="1147"/>
      <c r="V449" s="1147"/>
      <c r="W449" s="1147"/>
      <c r="X449" s="1147"/>
      <c r="Y449" s="1147"/>
      <c r="Z449" s="1147"/>
      <c r="AA449" s="1147"/>
      <c r="AB449" s="1147"/>
      <c r="AC449" s="1147"/>
      <c r="AD449" s="1147"/>
      <c r="AE449" s="1147"/>
      <c r="AF449" s="1147"/>
      <c r="AG449" s="1147"/>
      <c r="AH449" s="1147"/>
      <c r="AI449" s="1147"/>
      <c r="AJ449" s="1147"/>
      <c r="AK449" s="1147"/>
      <c r="AL449" s="1147"/>
      <c r="AM449" s="1147"/>
      <c r="AN449" s="1147"/>
      <c r="AO449" s="1147"/>
      <c r="AP449" s="1147"/>
      <c r="AQ449" s="1147"/>
      <c r="AR449" s="1147"/>
      <c r="AS449" s="1147"/>
      <c r="AT449" s="1147"/>
      <c r="AU449" s="1147"/>
      <c r="AV449" s="1147"/>
      <c r="AW449" s="1147"/>
      <c r="AX449" s="1147"/>
      <c r="AY449" s="1147"/>
      <c r="AZ449" s="1147"/>
      <c r="BA449" s="1147"/>
      <c r="BB449" s="1147"/>
      <c r="BC449" s="1147"/>
      <c r="BD449" s="1147"/>
      <c r="BE449" s="1147"/>
      <c r="BF449" s="1147"/>
      <c r="BG449" s="1147"/>
      <c r="BH449" s="1147"/>
      <c r="BI449" s="1147"/>
      <c r="BJ449" s="1147"/>
      <c r="BK449" s="1147"/>
      <c r="BL449" s="1147"/>
      <c r="BM449" s="1147"/>
      <c r="BN449" s="1147"/>
      <c r="BO449" s="1147"/>
      <c r="BP449" s="1147"/>
      <c r="BQ449" s="1147"/>
      <c r="BR449" s="1147"/>
      <c r="BS449" s="1147"/>
      <c r="BT449" s="1147"/>
      <c r="BU449" s="1147"/>
      <c r="BV449" s="1147"/>
      <c r="BW449" s="1147"/>
      <c r="BX449" s="1147"/>
      <c r="BY449" s="1147"/>
      <c r="BZ449" s="1147"/>
      <c r="CA449" s="1147"/>
      <c r="CB449" s="1147"/>
      <c r="CC449" s="1147"/>
      <c r="CD449" s="1147"/>
      <c r="CE449" s="1147"/>
      <c r="CF449" s="1147"/>
      <c r="CG449" s="1147"/>
      <c r="CH449" s="1147"/>
      <c r="CI449" s="1147"/>
      <c r="CJ449" s="1147"/>
      <c r="CK449" s="1146"/>
    </row>
    <row r="450" spans="1:89" ht="15" x14ac:dyDescent="0.25">
      <c r="A450" s="1146"/>
      <c r="B450" s="1146"/>
      <c r="C450" s="1146"/>
      <c r="D450" s="1146"/>
      <c r="E450" s="1146"/>
      <c r="F450" s="1146"/>
      <c r="G450" s="1146"/>
      <c r="H450" s="1146"/>
      <c r="I450" s="1146"/>
      <c r="J450" s="1146"/>
      <c r="K450" s="1146"/>
      <c r="L450" s="1146"/>
      <c r="M450" s="1146"/>
      <c r="N450" s="1146"/>
      <c r="O450" s="1146"/>
      <c r="P450" s="1146"/>
      <c r="Q450" s="1146"/>
      <c r="R450" s="1146"/>
      <c r="S450" s="1146"/>
      <c r="T450" s="1147"/>
      <c r="U450" s="1147"/>
      <c r="V450" s="1147"/>
      <c r="W450" s="1147"/>
      <c r="X450" s="1147"/>
      <c r="Y450" s="1147"/>
      <c r="Z450" s="1147"/>
      <c r="AA450" s="1147"/>
      <c r="AB450" s="1147"/>
      <c r="AC450" s="1147"/>
      <c r="AD450" s="1147"/>
      <c r="AE450" s="1147"/>
      <c r="AF450" s="1147"/>
      <c r="AG450" s="1147"/>
      <c r="AH450" s="1147"/>
      <c r="AI450" s="1147"/>
      <c r="AJ450" s="1147"/>
      <c r="AK450" s="1147"/>
      <c r="AL450" s="1147"/>
      <c r="AM450" s="1147"/>
      <c r="AN450" s="1147"/>
      <c r="AO450" s="1147"/>
      <c r="AP450" s="1147"/>
      <c r="AQ450" s="1147"/>
      <c r="AR450" s="1147"/>
      <c r="AS450" s="1147"/>
      <c r="AT450" s="1147"/>
      <c r="AU450" s="1147"/>
      <c r="AV450" s="1147"/>
      <c r="AW450" s="1147"/>
      <c r="AX450" s="1147"/>
      <c r="AY450" s="1147"/>
      <c r="AZ450" s="1147"/>
      <c r="BA450" s="1147"/>
      <c r="BB450" s="1147"/>
      <c r="BC450" s="1147"/>
      <c r="BD450" s="1147"/>
      <c r="BE450" s="1147"/>
      <c r="BF450" s="1147"/>
      <c r="BG450" s="1147"/>
      <c r="BH450" s="1147"/>
      <c r="BI450" s="1147"/>
      <c r="BJ450" s="1147"/>
      <c r="BK450" s="1147"/>
      <c r="BL450" s="1147"/>
      <c r="BM450" s="1147"/>
      <c r="BN450" s="1147"/>
      <c r="BO450" s="1147"/>
      <c r="BP450" s="1147"/>
      <c r="BQ450" s="1147"/>
      <c r="BR450" s="1147"/>
      <c r="BS450" s="1147"/>
      <c r="BT450" s="1147"/>
      <c r="BU450" s="1147"/>
      <c r="BV450" s="1147"/>
      <c r="BW450" s="1147"/>
      <c r="BX450" s="1147"/>
      <c r="BY450" s="1147"/>
      <c r="BZ450" s="1147"/>
      <c r="CA450" s="1147"/>
      <c r="CB450" s="1147"/>
      <c r="CC450" s="1147"/>
      <c r="CD450" s="1147"/>
      <c r="CE450" s="1147"/>
      <c r="CF450" s="1147"/>
      <c r="CG450" s="1147"/>
      <c r="CH450" s="1147"/>
      <c r="CI450" s="1147"/>
      <c r="CJ450" s="1147"/>
      <c r="CK450" s="1146"/>
    </row>
    <row r="451" spans="1:89" ht="15" x14ac:dyDescent="0.25">
      <c r="A451" s="1146"/>
      <c r="B451" s="1146"/>
      <c r="C451" s="1146"/>
      <c r="D451" s="1146"/>
      <c r="E451" s="1146"/>
      <c r="F451" s="1146"/>
      <c r="G451" s="1146"/>
      <c r="H451" s="1146"/>
      <c r="I451" s="1146"/>
      <c r="J451" s="1146"/>
      <c r="K451" s="1146"/>
      <c r="L451" s="1146"/>
      <c r="M451" s="1146"/>
      <c r="N451" s="1146"/>
      <c r="O451" s="1146"/>
      <c r="P451" s="1146"/>
      <c r="Q451" s="1146"/>
      <c r="R451" s="1146"/>
      <c r="S451" s="1146"/>
      <c r="T451" s="1147"/>
      <c r="U451" s="1147"/>
      <c r="V451" s="1147"/>
      <c r="W451" s="1147"/>
      <c r="X451" s="1147"/>
      <c r="Y451" s="1147"/>
      <c r="Z451" s="1147"/>
      <c r="AA451" s="1147"/>
      <c r="AB451" s="1147"/>
      <c r="AC451" s="1147"/>
      <c r="AD451" s="1147"/>
      <c r="AE451" s="1147"/>
      <c r="AF451" s="1147"/>
      <c r="AG451" s="1147"/>
      <c r="AH451" s="1147"/>
      <c r="AI451" s="1147"/>
      <c r="AJ451" s="1147"/>
      <c r="AK451" s="1147"/>
      <c r="AL451" s="1147"/>
      <c r="AM451" s="1147"/>
      <c r="AN451" s="1147"/>
      <c r="AO451" s="1147"/>
      <c r="AP451" s="1147"/>
      <c r="AQ451" s="1147"/>
      <c r="AR451" s="1147"/>
      <c r="AS451" s="1147"/>
      <c r="AT451" s="1147"/>
      <c r="AU451" s="1147"/>
      <c r="AV451" s="1147"/>
      <c r="AW451" s="1147"/>
      <c r="AX451" s="1147"/>
      <c r="AY451" s="1147"/>
      <c r="AZ451" s="1147"/>
      <c r="BA451" s="1147"/>
      <c r="BB451" s="1147"/>
      <c r="BC451" s="1147"/>
      <c r="BD451" s="1147"/>
      <c r="BE451" s="1147"/>
      <c r="BF451" s="1147"/>
      <c r="BG451" s="1147"/>
      <c r="BH451" s="1147"/>
      <c r="BI451" s="1147"/>
      <c r="BJ451" s="1147"/>
      <c r="BK451" s="1147"/>
      <c r="BL451" s="1147"/>
      <c r="BM451" s="1147"/>
      <c r="BN451" s="1147"/>
      <c r="BO451" s="1147"/>
      <c r="BP451" s="1147"/>
      <c r="BQ451" s="1147"/>
      <c r="BR451" s="1147"/>
      <c r="BS451" s="1147"/>
      <c r="BT451" s="1147"/>
      <c r="BU451" s="1147"/>
      <c r="BV451" s="1147"/>
      <c r="BW451" s="1147"/>
      <c r="BX451" s="1147"/>
      <c r="BY451" s="1147"/>
      <c r="BZ451" s="1147"/>
      <c r="CA451" s="1147"/>
      <c r="CB451" s="1147"/>
      <c r="CC451" s="1147"/>
      <c r="CD451" s="1147"/>
      <c r="CE451" s="1147"/>
      <c r="CF451" s="1147"/>
      <c r="CG451" s="1147"/>
      <c r="CH451" s="1147"/>
      <c r="CI451" s="1147"/>
      <c r="CJ451" s="1147"/>
      <c r="CK451" s="1146"/>
    </row>
    <row r="452" spans="1:89" ht="15" x14ac:dyDescent="0.25">
      <c r="A452" s="1146"/>
      <c r="B452" s="1146"/>
      <c r="C452" s="1146"/>
      <c r="D452" s="1146"/>
      <c r="E452" s="1146"/>
      <c r="F452" s="1146"/>
      <c r="G452" s="1146"/>
      <c r="H452" s="1146"/>
      <c r="I452" s="1146"/>
      <c r="J452" s="1146"/>
      <c r="K452" s="1146"/>
      <c r="L452" s="1146"/>
      <c r="M452" s="1146"/>
      <c r="N452" s="1146"/>
      <c r="O452" s="1146"/>
      <c r="P452" s="1146"/>
      <c r="Q452" s="1146"/>
      <c r="R452" s="1146"/>
      <c r="S452" s="1146"/>
      <c r="T452" s="1147"/>
      <c r="U452" s="1147"/>
      <c r="V452" s="1147"/>
      <c r="W452" s="1147"/>
      <c r="X452" s="1147"/>
      <c r="Y452" s="1147"/>
      <c r="Z452" s="1147"/>
      <c r="AA452" s="1147"/>
      <c r="AB452" s="1147"/>
      <c r="AC452" s="1147"/>
      <c r="AD452" s="1147"/>
      <c r="AE452" s="1147"/>
      <c r="AF452" s="1147"/>
      <c r="AG452" s="1147"/>
      <c r="AH452" s="1147"/>
      <c r="AI452" s="1147"/>
      <c r="AJ452" s="1147"/>
      <c r="AK452" s="1147"/>
      <c r="AL452" s="1147"/>
      <c r="AM452" s="1147"/>
      <c r="AN452" s="1147"/>
      <c r="AO452" s="1147"/>
      <c r="AP452" s="1147"/>
      <c r="AQ452" s="1147"/>
      <c r="AR452" s="1147"/>
      <c r="AS452" s="1147"/>
      <c r="AT452" s="1147"/>
      <c r="AU452" s="1147"/>
      <c r="AV452" s="1147"/>
      <c r="AW452" s="1147"/>
      <c r="AX452" s="1147"/>
      <c r="AY452" s="1147"/>
      <c r="AZ452" s="1147"/>
      <c r="BA452" s="1147"/>
      <c r="BB452" s="1147"/>
      <c r="BC452" s="1147"/>
      <c r="BD452" s="1147"/>
      <c r="BE452" s="1147"/>
      <c r="BF452" s="1147"/>
      <c r="BG452" s="1147"/>
      <c r="BH452" s="1147"/>
      <c r="BI452" s="1147"/>
      <c r="BJ452" s="1147"/>
      <c r="BK452" s="1147"/>
      <c r="BL452" s="1147"/>
      <c r="BM452" s="1147"/>
      <c r="BN452" s="1147"/>
      <c r="BO452" s="1147"/>
      <c r="BP452" s="1147"/>
      <c r="BQ452" s="1147"/>
      <c r="BR452" s="1147"/>
      <c r="BS452" s="1147"/>
      <c r="BT452" s="1147"/>
      <c r="BU452" s="1147"/>
      <c r="BV452" s="1147"/>
      <c r="BW452" s="1147"/>
      <c r="BX452" s="1147"/>
      <c r="BY452" s="1147"/>
      <c r="BZ452" s="1147"/>
      <c r="CA452" s="1147"/>
      <c r="CB452" s="1147"/>
      <c r="CC452" s="1147"/>
      <c r="CD452" s="1147"/>
      <c r="CE452" s="1147"/>
      <c r="CF452" s="1147"/>
      <c r="CG452" s="1147"/>
      <c r="CH452" s="1147"/>
      <c r="CI452" s="1147"/>
      <c r="CJ452" s="1147"/>
      <c r="CK452" s="1146"/>
    </row>
    <row r="453" spans="1:89" ht="15" x14ac:dyDescent="0.25">
      <c r="A453" s="1146"/>
      <c r="B453" s="1146"/>
      <c r="C453" s="1146"/>
      <c r="D453" s="1146"/>
      <c r="E453" s="1146"/>
      <c r="F453" s="1146"/>
      <c r="G453" s="1146"/>
      <c r="H453" s="1146"/>
      <c r="I453" s="1146"/>
      <c r="J453" s="1146"/>
      <c r="K453" s="1146"/>
      <c r="L453" s="1146"/>
      <c r="M453" s="1146"/>
      <c r="N453" s="1146"/>
      <c r="O453" s="1146"/>
      <c r="P453" s="1146"/>
      <c r="Q453" s="1146"/>
      <c r="R453" s="1146"/>
      <c r="S453" s="1146"/>
      <c r="T453" s="1147"/>
      <c r="U453" s="1147"/>
      <c r="V453" s="1147"/>
      <c r="W453" s="1147"/>
      <c r="X453" s="1147"/>
      <c r="Y453" s="1147"/>
      <c r="Z453" s="1147"/>
      <c r="AA453" s="1147"/>
      <c r="AB453" s="1147"/>
      <c r="AC453" s="1147"/>
      <c r="AD453" s="1147"/>
      <c r="AE453" s="1147"/>
      <c r="AF453" s="1147"/>
      <c r="AG453" s="1147"/>
      <c r="AH453" s="1147"/>
      <c r="AI453" s="1147"/>
      <c r="AJ453" s="1147"/>
      <c r="AK453" s="1147"/>
      <c r="AL453" s="1147"/>
      <c r="AM453" s="1147"/>
      <c r="AN453" s="1147"/>
      <c r="AO453" s="1147"/>
      <c r="AP453" s="1147"/>
      <c r="AQ453" s="1147"/>
      <c r="AR453" s="1147"/>
      <c r="AS453" s="1147"/>
      <c r="AT453" s="1147"/>
      <c r="AU453" s="1147"/>
      <c r="AV453" s="1147"/>
      <c r="AW453" s="1147"/>
      <c r="AX453" s="1147"/>
      <c r="AY453" s="1147"/>
      <c r="AZ453" s="1147"/>
      <c r="BA453" s="1147"/>
      <c r="BB453" s="1147"/>
      <c r="BC453" s="1147"/>
      <c r="BD453" s="1147"/>
      <c r="BE453" s="1147"/>
      <c r="BF453" s="1147"/>
      <c r="BG453" s="1147"/>
      <c r="BH453" s="1147"/>
      <c r="BI453" s="1147"/>
      <c r="BJ453" s="1147"/>
      <c r="BK453" s="1147"/>
      <c r="BL453" s="1147"/>
      <c r="BM453" s="1147"/>
      <c r="BN453" s="1147"/>
      <c r="BO453" s="1147"/>
      <c r="BP453" s="1147"/>
      <c r="BQ453" s="1147"/>
      <c r="BR453" s="1147"/>
      <c r="BS453" s="1147"/>
      <c r="BT453" s="1147"/>
      <c r="BU453" s="1147"/>
      <c r="BV453" s="1147"/>
      <c r="BW453" s="1147"/>
      <c r="BX453" s="1147"/>
      <c r="BY453" s="1147"/>
      <c r="BZ453" s="1147"/>
      <c r="CA453" s="1147"/>
      <c r="CB453" s="1147"/>
      <c r="CC453" s="1147"/>
      <c r="CD453" s="1147"/>
      <c r="CE453" s="1147"/>
      <c r="CF453" s="1147"/>
      <c r="CG453" s="1147"/>
      <c r="CH453" s="1147"/>
      <c r="CI453" s="1147"/>
      <c r="CJ453" s="1147"/>
      <c r="CK453" s="1146"/>
    </row>
    <row r="454" spans="1:89" ht="15" x14ac:dyDescent="0.25">
      <c r="A454" s="1146"/>
      <c r="B454" s="1146"/>
      <c r="C454" s="1146"/>
      <c r="D454" s="1146"/>
      <c r="E454" s="1146"/>
      <c r="F454" s="1146"/>
      <c r="G454" s="1146"/>
      <c r="H454" s="1146"/>
      <c r="I454" s="1146"/>
      <c r="J454" s="1146"/>
      <c r="K454" s="1146"/>
      <c r="L454" s="1146"/>
      <c r="M454" s="1146"/>
      <c r="N454" s="1146"/>
      <c r="O454" s="1146"/>
      <c r="P454" s="1146"/>
      <c r="Q454" s="1146"/>
      <c r="R454" s="1146"/>
      <c r="S454" s="1146"/>
      <c r="T454" s="1147"/>
      <c r="U454" s="1147"/>
      <c r="V454" s="1147"/>
      <c r="W454" s="1147"/>
      <c r="X454" s="1147"/>
      <c r="Y454" s="1147"/>
      <c r="Z454" s="1147"/>
      <c r="AA454" s="1147"/>
      <c r="AB454" s="1147"/>
      <c r="AC454" s="1147"/>
      <c r="AD454" s="1147"/>
      <c r="AE454" s="1147"/>
      <c r="AF454" s="1147"/>
      <c r="AG454" s="1147"/>
      <c r="AH454" s="1147"/>
      <c r="AI454" s="1147"/>
      <c r="AJ454" s="1147"/>
      <c r="AK454" s="1147"/>
      <c r="AL454" s="1147"/>
      <c r="AM454" s="1147"/>
      <c r="AN454" s="1147"/>
      <c r="AO454" s="1147"/>
      <c r="AP454" s="1147"/>
      <c r="AQ454" s="1147"/>
      <c r="AR454" s="1147"/>
      <c r="AS454" s="1147"/>
      <c r="AT454" s="1147"/>
      <c r="AU454" s="1147"/>
      <c r="AV454" s="1147"/>
      <c r="AW454" s="1147"/>
      <c r="AX454" s="1147"/>
      <c r="AY454" s="1147"/>
      <c r="AZ454" s="1147"/>
      <c r="BA454" s="1147"/>
      <c r="BB454" s="1147"/>
      <c r="BC454" s="1147"/>
      <c r="BD454" s="1147"/>
      <c r="BE454" s="1147"/>
      <c r="BF454" s="1147"/>
      <c r="BG454" s="1147"/>
      <c r="BH454" s="1147"/>
      <c r="BI454" s="1147"/>
      <c r="BJ454" s="1147"/>
      <c r="BK454" s="1147"/>
      <c r="BL454" s="1147"/>
      <c r="BM454" s="1147"/>
      <c r="BN454" s="1147"/>
      <c r="BO454" s="1147"/>
      <c r="BP454" s="1147"/>
      <c r="BQ454" s="1147"/>
      <c r="BR454" s="1147"/>
      <c r="BS454" s="1147"/>
      <c r="BT454" s="1147"/>
      <c r="BU454" s="1147"/>
      <c r="BV454" s="1147"/>
      <c r="BW454" s="1147"/>
      <c r="BX454" s="1147"/>
      <c r="BY454" s="1147"/>
      <c r="BZ454" s="1147"/>
      <c r="CA454" s="1147"/>
      <c r="CB454" s="1147"/>
      <c r="CC454" s="1147"/>
      <c r="CD454" s="1147"/>
      <c r="CE454" s="1147"/>
      <c r="CF454" s="1147"/>
      <c r="CG454" s="1147"/>
      <c r="CH454" s="1147"/>
      <c r="CI454" s="1147"/>
      <c r="CJ454" s="1147"/>
      <c r="CK454" s="1146"/>
    </row>
    <row r="455" spans="1:89" ht="15" x14ac:dyDescent="0.25">
      <c r="A455" s="1146"/>
      <c r="B455" s="1146"/>
      <c r="C455" s="1146"/>
      <c r="D455" s="1146"/>
      <c r="E455" s="1146"/>
      <c r="F455" s="1146"/>
      <c r="G455" s="1146"/>
      <c r="H455" s="1146"/>
      <c r="I455" s="1146"/>
      <c r="J455" s="1146"/>
      <c r="K455" s="1146"/>
      <c r="L455" s="1146"/>
      <c r="M455" s="1146"/>
      <c r="N455" s="1146"/>
      <c r="O455" s="1146"/>
      <c r="P455" s="1146"/>
      <c r="Q455" s="1146"/>
      <c r="R455" s="1146"/>
      <c r="S455" s="1146"/>
      <c r="T455" s="1147"/>
      <c r="U455" s="1147"/>
      <c r="V455" s="1147"/>
      <c r="W455" s="1147"/>
      <c r="X455" s="1147"/>
      <c r="Y455" s="1147"/>
      <c r="Z455" s="1147"/>
      <c r="AA455" s="1147"/>
      <c r="AB455" s="1147"/>
      <c r="AC455" s="1147"/>
      <c r="AD455" s="1147"/>
      <c r="AE455" s="1147"/>
      <c r="AF455" s="1147"/>
      <c r="AG455" s="1147"/>
      <c r="AH455" s="1147"/>
      <c r="AI455" s="1147"/>
      <c r="AJ455" s="1147"/>
      <c r="AK455" s="1147"/>
      <c r="AL455" s="1147"/>
      <c r="AM455" s="1147"/>
      <c r="AN455" s="1147"/>
      <c r="AO455" s="1147"/>
      <c r="AP455" s="1147"/>
      <c r="AQ455" s="1147"/>
      <c r="AR455" s="1147"/>
      <c r="AS455" s="1147"/>
      <c r="AT455" s="1147"/>
      <c r="AU455" s="1147"/>
      <c r="AV455" s="1147"/>
      <c r="AW455" s="1147"/>
      <c r="AX455" s="1147"/>
      <c r="AY455" s="1147"/>
      <c r="AZ455" s="1147"/>
      <c r="BA455" s="1147"/>
      <c r="BB455" s="1147"/>
      <c r="BC455" s="1147"/>
      <c r="BD455" s="1147"/>
      <c r="BE455" s="1147"/>
      <c r="BF455" s="1147"/>
      <c r="BG455" s="1147"/>
      <c r="BH455" s="1147"/>
      <c r="BI455" s="1147"/>
      <c r="BJ455" s="1147"/>
      <c r="BK455" s="1147"/>
      <c r="BL455" s="1147"/>
      <c r="BM455" s="1147"/>
      <c r="BN455" s="1147"/>
      <c r="BO455" s="1147"/>
      <c r="BP455" s="1147"/>
      <c r="BQ455" s="1147"/>
      <c r="BR455" s="1147"/>
      <c r="BS455" s="1147"/>
      <c r="BT455" s="1147"/>
      <c r="BU455" s="1147"/>
      <c r="BV455" s="1147"/>
      <c r="BW455" s="1147"/>
      <c r="BX455" s="1147"/>
      <c r="BY455" s="1147"/>
      <c r="BZ455" s="1147"/>
      <c r="CA455" s="1147"/>
      <c r="CB455" s="1147"/>
      <c r="CC455" s="1147"/>
      <c r="CD455" s="1147"/>
      <c r="CE455" s="1147"/>
      <c r="CF455" s="1147"/>
      <c r="CG455" s="1147"/>
      <c r="CH455" s="1147"/>
      <c r="CI455" s="1147"/>
      <c r="CJ455" s="1147"/>
      <c r="CK455" s="1146"/>
    </row>
    <row r="456" spans="1:89" ht="15" x14ac:dyDescent="0.25">
      <c r="A456" s="1146"/>
      <c r="B456" s="1146"/>
      <c r="C456" s="1146"/>
      <c r="D456" s="1146"/>
      <c r="E456" s="1146"/>
      <c r="F456" s="1146"/>
      <c r="G456" s="1146"/>
      <c r="H456" s="1146"/>
      <c r="I456" s="1146"/>
      <c r="J456" s="1146"/>
      <c r="K456" s="1146"/>
      <c r="L456" s="1146"/>
      <c r="M456" s="1146"/>
      <c r="N456" s="1146"/>
      <c r="O456" s="1146"/>
      <c r="P456" s="1146"/>
      <c r="Q456" s="1146"/>
      <c r="R456" s="1146"/>
      <c r="S456" s="1146"/>
      <c r="T456" s="1147"/>
      <c r="U456" s="1147"/>
      <c r="V456" s="1147"/>
      <c r="W456" s="1147"/>
      <c r="X456" s="1147"/>
      <c r="Y456" s="1147"/>
      <c r="Z456" s="1147"/>
      <c r="AA456" s="1147"/>
      <c r="AB456" s="1147"/>
      <c r="AC456" s="1147"/>
      <c r="AD456" s="1147"/>
      <c r="AE456" s="1147"/>
      <c r="AF456" s="1147"/>
      <c r="AG456" s="1147"/>
      <c r="AH456" s="1147"/>
      <c r="AI456" s="1147"/>
      <c r="AJ456" s="1147"/>
      <c r="AK456" s="1147"/>
      <c r="AL456" s="1147"/>
      <c r="AM456" s="1147"/>
      <c r="AN456" s="1147"/>
      <c r="AO456" s="1147"/>
      <c r="AP456" s="1147"/>
      <c r="AQ456" s="1147"/>
      <c r="AR456" s="1147"/>
      <c r="AS456" s="1147"/>
      <c r="AT456" s="1147"/>
      <c r="AU456" s="1147"/>
      <c r="AV456" s="1147"/>
      <c r="AW456" s="1147"/>
      <c r="AX456" s="1147"/>
      <c r="AY456" s="1147"/>
      <c r="AZ456" s="1147"/>
      <c r="BA456" s="1147"/>
      <c r="BB456" s="1147"/>
      <c r="BC456" s="1147"/>
      <c r="BD456" s="1147"/>
      <c r="BE456" s="1147"/>
      <c r="BF456" s="1147"/>
      <c r="BG456" s="1147"/>
      <c r="BH456" s="1147"/>
      <c r="BI456" s="1147"/>
      <c r="BJ456" s="1147"/>
      <c r="BK456" s="1147"/>
      <c r="BL456" s="1147"/>
      <c r="BM456" s="1147"/>
      <c r="BN456" s="1147"/>
      <c r="BO456" s="1147"/>
      <c r="BP456" s="1147"/>
      <c r="BQ456" s="1147"/>
      <c r="BR456" s="1147"/>
      <c r="BS456" s="1147"/>
      <c r="BT456" s="1147"/>
      <c r="BU456" s="1147"/>
      <c r="BV456" s="1147"/>
      <c r="BW456" s="1147"/>
      <c r="BX456" s="1147"/>
      <c r="BY456" s="1147"/>
      <c r="BZ456" s="1147"/>
      <c r="CA456" s="1147"/>
      <c r="CB456" s="1147"/>
      <c r="CC456" s="1147"/>
      <c r="CD456" s="1147"/>
      <c r="CE456" s="1147"/>
      <c r="CF456" s="1147"/>
      <c r="CG456" s="1147"/>
      <c r="CH456" s="1147"/>
      <c r="CI456" s="1147"/>
      <c r="CJ456" s="1147"/>
      <c r="CK456" s="1146"/>
    </row>
    <row r="457" spans="1:89" ht="15" x14ac:dyDescent="0.25">
      <c r="A457" s="1146"/>
      <c r="B457" s="1146"/>
      <c r="C457" s="1146"/>
      <c r="D457" s="1146"/>
      <c r="E457" s="1146"/>
      <c r="F457" s="1146"/>
      <c r="G457" s="1146"/>
      <c r="H457" s="1146"/>
      <c r="I457" s="1146"/>
      <c r="J457" s="1146"/>
      <c r="K457" s="1146"/>
      <c r="L457" s="1146"/>
      <c r="M457" s="1146"/>
      <c r="N457" s="1146"/>
      <c r="O457" s="1146"/>
      <c r="P457" s="1146"/>
      <c r="Q457" s="1146"/>
      <c r="R457" s="1146"/>
      <c r="S457" s="1146"/>
      <c r="T457" s="1147"/>
      <c r="U457" s="1147"/>
      <c r="V457" s="1147"/>
      <c r="W457" s="1147"/>
      <c r="X457" s="1147"/>
      <c r="Y457" s="1147"/>
      <c r="Z457" s="1147"/>
      <c r="AA457" s="1147"/>
      <c r="AB457" s="1147"/>
      <c r="AC457" s="1147"/>
      <c r="AD457" s="1147"/>
      <c r="AE457" s="1147"/>
      <c r="AF457" s="1147"/>
      <c r="AG457" s="1147"/>
      <c r="AH457" s="1147"/>
      <c r="AI457" s="1147"/>
      <c r="AJ457" s="1147"/>
      <c r="AK457" s="1147"/>
      <c r="AL457" s="1147"/>
      <c r="AM457" s="1147"/>
      <c r="AN457" s="1147"/>
      <c r="AO457" s="1147"/>
      <c r="AP457" s="1147"/>
      <c r="AQ457" s="1147"/>
      <c r="AR457" s="1147"/>
      <c r="AS457" s="1147"/>
      <c r="AT457" s="1147"/>
      <c r="AU457" s="1147"/>
      <c r="AV457" s="1147"/>
      <c r="AW457" s="1147"/>
      <c r="AX457" s="1147"/>
      <c r="AY457" s="1147"/>
      <c r="AZ457" s="1147"/>
      <c r="BA457" s="1147"/>
      <c r="BB457" s="1147"/>
      <c r="BC457" s="1147"/>
      <c r="BD457" s="1147"/>
      <c r="BE457" s="1147"/>
      <c r="BF457" s="1147"/>
      <c r="BG457" s="1147"/>
      <c r="BH457" s="1147"/>
      <c r="BI457" s="1147"/>
      <c r="BJ457" s="1147"/>
      <c r="BK457" s="1147"/>
      <c r="BL457" s="1147"/>
      <c r="BM457" s="1147"/>
      <c r="BN457" s="1147"/>
      <c r="BO457" s="1147"/>
      <c r="BP457" s="1147"/>
      <c r="BQ457" s="1147"/>
      <c r="BR457" s="1147"/>
      <c r="BS457" s="1147"/>
      <c r="BT457" s="1147"/>
      <c r="BU457" s="1147"/>
      <c r="BV457" s="1147"/>
      <c r="BW457" s="1147"/>
      <c r="BX457" s="1147"/>
      <c r="BY457" s="1147"/>
      <c r="BZ457" s="1147"/>
      <c r="CA457" s="1147"/>
      <c r="CB457" s="1147"/>
      <c r="CC457" s="1147"/>
      <c r="CD457" s="1147"/>
      <c r="CE457" s="1147"/>
      <c r="CF457" s="1147"/>
      <c r="CG457" s="1147"/>
      <c r="CH457" s="1147"/>
      <c r="CI457" s="1147"/>
      <c r="CJ457" s="1147"/>
      <c r="CK457" s="1146"/>
    </row>
    <row r="458" spans="1:89" ht="15" x14ac:dyDescent="0.25">
      <c r="A458" s="1146"/>
      <c r="B458" s="1146"/>
      <c r="C458" s="1146"/>
      <c r="D458" s="1146"/>
      <c r="E458" s="1146"/>
      <c r="F458" s="1146"/>
      <c r="G458" s="1146"/>
      <c r="H458" s="1146"/>
      <c r="I458" s="1146"/>
      <c r="J458" s="1146"/>
      <c r="K458" s="1146"/>
      <c r="L458" s="1146"/>
      <c r="M458" s="1146"/>
      <c r="N458" s="1146"/>
      <c r="O458" s="1146"/>
      <c r="P458" s="1146"/>
      <c r="Q458" s="1146"/>
      <c r="R458" s="1146"/>
      <c r="S458" s="1146"/>
      <c r="T458" s="1147"/>
      <c r="U458" s="1147"/>
      <c r="V458" s="1147"/>
      <c r="W458" s="1147"/>
      <c r="X458" s="1147"/>
      <c r="Y458" s="1147"/>
      <c r="Z458" s="1147"/>
      <c r="AA458" s="1147"/>
      <c r="AB458" s="1147"/>
      <c r="AC458" s="1147"/>
      <c r="AD458" s="1147"/>
      <c r="AE458" s="1147"/>
      <c r="AF458" s="1147"/>
      <c r="AG458" s="1147"/>
      <c r="AH458" s="1147"/>
      <c r="AI458" s="1147"/>
      <c r="AJ458" s="1147"/>
      <c r="AK458" s="1147"/>
      <c r="AL458" s="1147"/>
      <c r="AM458" s="1147"/>
      <c r="AN458" s="1147"/>
      <c r="AO458" s="1147"/>
      <c r="AP458" s="1147"/>
      <c r="AQ458" s="1147"/>
      <c r="AR458" s="1147"/>
      <c r="AS458" s="1147"/>
      <c r="AT458" s="1147"/>
      <c r="AU458" s="1147"/>
      <c r="AV458" s="1147"/>
      <c r="AW458" s="1147"/>
      <c r="AX458" s="1147"/>
      <c r="AY458" s="1147"/>
      <c r="AZ458" s="1147"/>
      <c r="BA458" s="1147"/>
      <c r="BB458" s="1147"/>
      <c r="BC458" s="1147"/>
      <c r="BD458" s="1147"/>
      <c r="BE458" s="1147"/>
      <c r="BF458" s="1147"/>
      <c r="BG458" s="1147"/>
      <c r="BH458" s="1147"/>
      <c r="BI458" s="1147"/>
      <c r="BJ458" s="1147"/>
      <c r="BK458" s="1147"/>
      <c r="BL458" s="1147"/>
      <c r="BM458" s="1147"/>
      <c r="BN458" s="1147"/>
      <c r="BO458" s="1147"/>
      <c r="BP458" s="1147"/>
      <c r="BQ458" s="1147"/>
      <c r="BR458" s="1147"/>
      <c r="BS458" s="1147"/>
      <c r="BT458" s="1147"/>
      <c r="BU458" s="1147"/>
      <c r="BV458" s="1147"/>
      <c r="BW458" s="1147"/>
      <c r="BX458" s="1147"/>
      <c r="BY458" s="1147"/>
      <c r="BZ458" s="1147"/>
      <c r="CA458" s="1147"/>
      <c r="CB458" s="1147"/>
      <c r="CC458" s="1147"/>
      <c r="CD458" s="1147"/>
      <c r="CE458" s="1147"/>
      <c r="CF458" s="1147"/>
      <c r="CG458" s="1147"/>
      <c r="CH458" s="1147"/>
      <c r="CI458" s="1147"/>
      <c r="CJ458" s="1147"/>
      <c r="CK458" s="1146"/>
    </row>
    <row r="459" spans="1:89" ht="15" x14ac:dyDescent="0.25">
      <c r="A459" s="1146"/>
      <c r="B459" s="1146"/>
      <c r="C459" s="1146"/>
      <c r="D459" s="1146"/>
      <c r="E459" s="1146"/>
      <c r="F459" s="1146"/>
      <c r="G459" s="1146"/>
      <c r="H459" s="1146"/>
      <c r="I459" s="1146"/>
      <c r="J459" s="1146"/>
      <c r="K459" s="1146"/>
      <c r="L459" s="1146"/>
      <c r="M459" s="1146"/>
      <c r="N459" s="1146"/>
      <c r="O459" s="1146"/>
      <c r="P459" s="1146"/>
      <c r="Q459" s="1146"/>
      <c r="R459" s="1146"/>
      <c r="S459" s="1146"/>
      <c r="T459" s="1147"/>
      <c r="U459" s="1147"/>
      <c r="V459" s="1147"/>
      <c r="W459" s="1147"/>
      <c r="X459" s="1147"/>
      <c r="Y459" s="1147"/>
      <c r="Z459" s="1147"/>
      <c r="AA459" s="1147"/>
      <c r="AB459" s="1147"/>
      <c r="AC459" s="1147"/>
      <c r="AD459" s="1147"/>
      <c r="AE459" s="1147"/>
      <c r="AF459" s="1147"/>
      <c r="AG459" s="1147"/>
      <c r="AH459" s="1147"/>
      <c r="AI459" s="1147"/>
      <c r="AJ459" s="1147"/>
      <c r="AK459" s="1147"/>
      <c r="AL459" s="1147"/>
      <c r="AM459" s="1147"/>
      <c r="AN459" s="1147"/>
      <c r="AO459" s="1147"/>
      <c r="AP459" s="1147"/>
      <c r="AQ459" s="1147"/>
      <c r="AR459" s="1147"/>
      <c r="AS459" s="1147"/>
      <c r="AT459" s="1147"/>
      <c r="AU459" s="1147"/>
      <c r="AV459" s="1147"/>
      <c r="AW459" s="1147"/>
      <c r="AX459" s="1147"/>
      <c r="AY459" s="1147"/>
      <c r="AZ459" s="1147"/>
      <c r="BA459" s="1147"/>
      <c r="BB459" s="1147"/>
      <c r="BC459" s="1147"/>
      <c r="BD459" s="1147"/>
      <c r="BE459" s="1147"/>
      <c r="BF459" s="1147"/>
      <c r="BG459" s="1147"/>
      <c r="BH459" s="1147"/>
      <c r="BI459" s="1147"/>
      <c r="BJ459" s="1147"/>
      <c r="BK459" s="1147"/>
      <c r="BL459" s="1147"/>
      <c r="BM459" s="1147"/>
      <c r="BN459" s="1147"/>
      <c r="BO459" s="1147"/>
      <c r="BP459" s="1147"/>
      <c r="BQ459" s="1147"/>
      <c r="BR459" s="1147"/>
      <c r="BS459" s="1147"/>
      <c r="BT459" s="1147"/>
      <c r="BU459" s="1147"/>
      <c r="BV459" s="1147"/>
      <c r="BW459" s="1147"/>
      <c r="BX459" s="1147"/>
      <c r="BY459" s="1147"/>
      <c r="BZ459" s="1147"/>
      <c r="CA459" s="1147"/>
      <c r="CB459" s="1147"/>
      <c r="CC459" s="1147"/>
      <c r="CD459" s="1147"/>
      <c r="CE459" s="1147"/>
      <c r="CF459" s="1147"/>
      <c r="CG459" s="1147"/>
      <c r="CH459" s="1147"/>
      <c r="CI459" s="1147"/>
      <c r="CJ459" s="1147"/>
      <c r="CK459" s="1146"/>
    </row>
    <row r="460" spans="1:89" ht="15" x14ac:dyDescent="0.25">
      <c r="A460" s="1146"/>
      <c r="B460" s="1146"/>
      <c r="C460" s="1146"/>
      <c r="D460" s="1146"/>
      <c r="E460" s="1146"/>
      <c r="F460" s="1146"/>
      <c r="G460" s="1146"/>
      <c r="H460" s="1146"/>
      <c r="I460" s="1146"/>
      <c r="J460" s="1146"/>
      <c r="K460" s="1146"/>
      <c r="L460" s="1146"/>
      <c r="M460" s="1146"/>
      <c r="N460" s="1146"/>
      <c r="O460" s="1146"/>
      <c r="P460" s="1146"/>
      <c r="Q460" s="1146"/>
      <c r="R460" s="1146"/>
      <c r="S460" s="1146"/>
      <c r="T460" s="1147"/>
      <c r="U460" s="1147"/>
      <c r="V460" s="1147"/>
      <c r="W460" s="1147"/>
      <c r="X460" s="1147"/>
      <c r="Y460" s="1147"/>
      <c r="Z460" s="1147"/>
      <c r="AA460" s="1147"/>
      <c r="AB460" s="1147"/>
      <c r="AC460" s="1147"/>
      <c r="AD460" s="1147"/>
      <c r="AE460" s="1147"/>
      <c r="AF460" s="1147"/>
      <c r="AG460" s="1147"/>
      <c r="AH460" s="1147"/>
      <c r="AI460" s="1147"/>
      <c r="AJ460" s="1147"/>
      <c r="AK460" s="1147"/>
      <c r="AL460" s="1147"/>
      <c r="AM460" s="1147"/>
      <c r="AN460" s="1147"/>
      <c r="AO460" s="1147"/>
      <c r="AP460" s="1147"/>
      <c r="AQ460" s="1147"/>
      <c r="AR460" s="1147"/>
      <c r="AS460" s="1147"/>
      <c r="AT460" s="1147"/>
      <c r="AU460" s="1147"/>
      <c r="AV460" s="1147"/>
      <c r="AW460" s="1147"/>
      <c r="AX460" s="1147"/>
      <c r="AY460" s="1147"/>
      <c r="AZ460" s="1147"/>
      <c r="BA460" s="1147"/>
      <c r="BB460" s="1147"/>
      <c r="BC460" s="1147"/>
      <c r="BD460" s="1147"/>
      <c r="BE460" s="1147"/>
      <c r="BF460" s="1147"/>
      <c r="BG460" s="1147"/>
      <c r="BH460" s="1147"/>
      <c r="BI460" s="1147"/>
      <c r="BJ460" s="1147"/>
      <c r="BK460" s="1147"/>
      <c r="BL460" s="1147"/>
      <c r="BM460" s="1147"/>
      <c r="BN460" s="1147"/>
      <c r="BO460" s="1147"/>
      <c r="BP460" s="1147"/>
      <c r="BQ460" s="1147"/>
      <c r="BR460" s="1147"/>
      <c r="BS460" s="1147"/>
      <c r="BT460" s="1147"/>
      <c r="BU460" s="1147"/>
      <c r="BV460" s="1147"/>
      <c r="BW460" s="1147"/>
      <c r="BX460" s="1147"/>
      <c r="BY460" s="1147"/>
      <c r="BZ460" s="1147"/>
      <c r="CA460" s="1147"/>
      <c r="CB460" s="1147"/>
      <c r="CC460" s="1147"/>
      <c r="CD460" s="1147"/>
      <c r="CE460" s="1147"/>
      <c r="CF460" s="1147"/>
      <c r="CG460" s="1147"/>
      <c r="CH460" s="1147"/>
      <c r="CI460" s="1147"/>
      <c r="CJ460" s="1147"/>
      <c r="CK460" s="1146"/>
    </row>
    <row r="461" spans="1:89" ht="15" x14ac:dyDescent="0.25">
      <c r="A461" s="1146"/>
      <c r="B461" s="1146"/>
      <c r="C461" s="1146"/>
      <c r="D461" s="1146"/>
      <c r="E461" s="1146"/>
      <c r="F461" s="1146"/>
      <c r="G461" s="1146"/>
      <c r="H461" s="1146"/>
      <c r="I461" s="1146"/>
      <c r="J461" s="1146"/>
      <c r="K461" s="1146"/>
      <c r="L461" s="1146"/>
      <c r="M461" s="1146"/>
      <c r="N461" s="1146"/>
      <c r="O461" s="1146"/>
      <c r="P461" s="1146"/>
      <c r="Q461" s="1146"/>
      <c r="R461" s="1146"/>
      <c r="S461" s="1146"/>
      <c r="T461" s="1147"/>
      <c r="U461" s="1147"/>
      <c r="V461" s="1147"/>
      <c r="W461" s="1147"/>
      <c r="X461" s="1147"/>
      <c r="Y461" s="1147"/>
      <c r="Z461" s="1147"/>
      <c r="AA461" s="1147"/>
      <c r="AB461" s="1147"/>
      <c r="AC461" s="1147"/>
      <c r="AD461" s="1147"/>
      <c r="AE461" s="1147"/>
      <c r="AF461" s="1147"/>
      <c r="AG461" s="1147"/>
      <c r="AH461" s="1147"/>
      <c r="AI461" s="1147"/>
      <c r="AJ461" s="1147"/>
      <c r="AK461" s="1147"/>
      <c r="AL461" s="1147"/>
      <c r="AM461" s="1147"/>
      <c r="AN461" s="1147"/>
      <c r="AO461" s="1147"/>
      <c r="AP461" s="1147"/>
      <c r="AQ461" s="1147"/>
      <c r="AR461" s="1147"/>
      <c r="AS461" s="1147"/>
      <c r="AT461" s="1147"/>
      <c r="AU461" s="1147"/>
      <c r="AV461" s="1147"/>
      <c r="AW461" s="1147"/>
      <c r="AX461" s="1147"/>
      <c r="AY461" s="1147"/>
      <c r="AZ461" s="1147"/>
      <c r="BA461" s="1147"/>
      <c r="BB461" s="1147"/>
      <c r="BC461" s="1147"/>
      <c r="BD461" s="1147"/>
      <c r="BE461" s="1147"/>
      <c r="BF461" s="1147"/>
      <c r="BG461" s="1147"/>
      <c r="BH461" s="1147"/>
      <c r="BI461" s="1147"/>
      <c r="BJ461" s="1147"/>
      <c r="BK461" s="1147"/>
      <c r="BL461" s="1147"/>
      <c r="BM461" s="1147"/>
      <c r="BN461" s="1147"/>
      <c r="BO461" s="1147"/>
      <c r="BP461" s="1147"/>
      <c r="BQ461" s="1147"/>
      <c r="BR461" s="1147"/>
      <c r="BS461" s="1147"/>
      <c r="BT461" s="1147"/>
      <c r="BU461" s="1147"/>
      <c r="BV461" s="1147"/>
      <c r="BW461" s="1147"/>
      <c r="BX461" s="1147"/>
      <c r="BY461" s="1147"/>
      <c r="BZ461" s="1147"/>
      <c r="CA461" s="1147"/>
      <c r="CB461" s="1147"/>
      <c r="CC461" s="1147"/>
      <c r="CD461" s="1147"/>
      <c r="CE461" s="1147"/>
      <c r="CF461" s="1147"/>
      <c r="CG461" s="1147"/>
      <c r="CH461" s="1147"/>
      <c r="CI461" s="1147"/>
      <c r="CJ461" s="1147"/>
      <c r="CK461" s="1146"/>
    </row>
    <row r="462" spans="1:89" ht="15" x14ac:dyDescent="0.25">
      <c r="A462" s="1146"/>
      <c r="B462" s="1146"/>
      <c r="C462" s="1146"/>
      <c r="D462" s="1146"/>
      <c r="E462" s="1146"/>
      <c r="F462" s="1146"/>
      <c r="G462" s="1146"/>
      <c r="H462" s="1146"/>
      <c r="I462" s="1146"/>
      <c r="J462" s="1146"/>
      <c r="K462" s="1146"/>
      <c r="L462" s="1146"/>
      <c r="M462" s="1146"/>
      <c r="N462" s="1146"/>
      <c r="O462" s="1146"/>
      <c r="P462" s="1146"/>
      <c r="Q462" s="1146"/>
      <c r="R462" s="1146"/>
      <c r="S462" s="1146"/>
      <c r="T462" s="1147"/>
      <c r="U462" s="1147"/>
      <c r="V462" s="1147"/>
      <c r="W462" s="1147"/>
      <c r="X462" s="1147"/>
      <c r="Y462" s="1147"/>
      <c r="Z462" s="1147"/>
      <c r="AA462" s="1147"/>
      <c r="AB462" s="1147"/>
      <c r="AC462" s="1147"/>
      <c r="AD462" s="1147"/>
      <c r="AE462" s="1147"/>
      <c r="AF462" s="1147"/>
      <c r="AG462" s="1147"/>
      <c r="AH462" s="1147"/>
      <c r="AI462" s="1147"/>
      <c r="AJ462" s="1147"/>
      <c r="AK462" s="1147"/>
      <c r="AL462" s="1147"/>
      <c r="AM462" s="1147"/>
      <c r="AN462" s="1147"/>
      <c r="AO462" s="1147"/>
      <c r="AP462" s="1147"/>
      <c r="AQ462" s="1147"/>
      <c r="AR462" s="1147"/>
      <c r="AS462" s="1147"/>
      <c r="AT462" s="1147"/>
      <c r="AU462" s="1147"/>
      <c r="AV462" s="1147"/>
      <c r="AW462" s="1147"/>
      <c r="AX462" s="1147"/>
      <c r="AY462" s="1147"/>
      <c r="AZ462" s="1147"/>
      <c r="BA462" s="1147"/>
      <c r="BB462" s="1147"/>
      <c r="BC462" s="1147"/>
      <c r="BD462" s="1147"/>
      <c r="BE462" s="1147"/>
      <c r="BF462" s="1147"/>
      <c r="BG462" s="1147"/>
      <c r="BH462" s="1147"/>
      <c r="BI462" s="1147"/>
      <c r="BJ462" s="1147"/>
      <c r="BK462" s="1147"/>
      <c r="BL462" s="1147"/>
      <c r="BM462" s="1147"/>
      <c r="BN462" s="1147"/>
      <c r="BO462" s="1147"/>
      <c r="BP462" s="1147"/>
      <c r="BQ462" s="1147"/>
      <c r="BR462" s="1147"/>
      <c r="BS462" s="1147"/>
      <c r="BT462" s="1147"/>
      <c r="BU462" s="1147"/>
      <c r="BV462" s="1147"/>
      <c r="BW462" s="1147"/>
      <c r="BX462" s="1147"/>
      <c r="BY462" s="1147"/>
      <c r="BZ462" s="1147"/>
      <c r="CA462" s="1147"/>
      <c r="CB462" s="1147"/>
      <c r="CC462" s="1147"/>
      <c r="CD462" s="1147"/>
      <c r="CE462" s="1147"/>
      <c r="CF462" s="1147"/>
      <c r="CG462" s="1147"/>
      <c r="CH462" s="1147"/>
      <c r="CI462" s="1147"/>
      <c r="CJ462" s="1147"/>
      <c r="CK462" s="1146"/>
    </row>
    <row r="463" spans="1:89" ht="15" x14ac:dyDescent="0.25">
      <c r="A463" s="1146"/>
      <c r="B463" s="1146"/>
      <c r="C463" s="1146"/>
      <c r="D463" s="1146"/>
      <c r="E463" s="1146"/>
      <c r="F463" s="1146"/>
      <c r="G463" s="1146"/>
      <c r="H463" s="1146"/>
      <c r="I463" s="1146"/>
      <c r="J463" s="1146"/>
      <c r="K463" s="1146"/>
      <c r="L463" s="1146"/>
      <c r="M463" s="1146"/>
      <c r="N463" s="1146"/>
      <c r="O463" s="1146"/>
      <c r="P463" s="1146"/>
      <c r="Q463" s="1146"/>
      <c r="R463" s="1146"/>
      <c r="S463" s="1146"/>
      <c r="T463" s="1147"/>
      <c r="U463" s="1147"/>
      <c r="V463" s="1147"/>
      <c r="W463" s="1147"/>
      <c r="X463" s="1147"/>
      <c r="Y463" s="1147"/>
      <c r="Z463" s="1147"/>
      <c r="AA463" s="1147"/>
      <c r="AB463" s="1147"/>
      <c r="AC463" s="1147"/>
      <c r="AD463" s="1147"/>
      <c r="AE463" s="1147"/>
      <c r="AF463" s="1147"/>
      <c r="AG463" s="1147"/>
      <c r="AH463" s="1147"/>
      <c r="AI463" s="1147"/>
      <c r="AJ463" s="1147"/>
      <c r="AK463" s="1147"/>
      <c r="AL463" s="1147"/>
      <c r="AM463" s="1147"/>
      <c r="AN463" s="1147"/>
      <c r="AO463" s="1147"/>
      <c r="AP463" s="1147"/>
      <c r="AQ463" s="1147"/>
      <c r="AR463" s="1147"/>
      <c r="AS463" s="1147"/>
      <c r="AT463" s="1147"/>
      <c r="AU463" s="1147"/>
      <c r="AV463" s="1147"/>
      <c r="AW463" s="1147"/>
      <c r="AX463" s="1147"/>
      <c r="AY463" s="1147"/>
      <c r="AZ463" s="1147"/>
      <c r="BA463" s="1147"/>
      <c r="BB463" s="1147"/>
      <c r="BC463" s="1147"/>
      <c r="BD463" s="1147"/>
      <c r="BE463" s="1147"/>
      <c r="BF463" s="1147"/>
      <c r="BG463" s="1147"/>
      <c r="BH463" s="1147"/>
      <c r="BI463" s="1147"/>
      <c r="BJ463" s="1147"/>
      <c r="BK463" s="1147"/>
      <c r="BL463" s="1147"/>
      <c r="BM463" s="1147"/>
      <c r="BN463" s="1147"/>
      <c r="BO463" s="1147"/>
      <c r="BP463" s="1147"/>
      <c r="BQ463" s="1147"/>
      <c r="BR463" s="1147"/>
      <c r="BS463" s="1147"/>
      <c r="BT463" s="1147"/>
      <c r="BU463" s="1147"/>
      <c r="BV463" s="1147"/>
      <c r="BW463" s="1147"/>
      <c r="BX463" s="1147"/>
      <c r="BY463" s="1147"/>
      <c r="BZ463" s="1147"/>
      <c r="CA463" s="1147"/>
      <c r="CB463" s="1147"/>
      <c r="CC463" s="1147"/>
      <c r="CD463" s="1147"/>
      <c r="CE463" s="1147"/>
      <c r="CF463" s="1147"/>
      <c r="CG463" s="1147"/>
      <c r="CH463" s="1147"/>
      <c r="CI463" s="1147"/>
      <c r="CJ463" s="1147"/>
      <c r="CK463" s="1146"/>
    </row>
    <row r="464" spans="1:89" ht="15" x14ac:dyDescent="0.25">
      <c r="A464" s="1146"/>
      <c r="B464" s="1146"/>
      <c r="C464" s="1146"/>
      <c r="D464" s="1146"/>
      <c r="E464" s="1146"/>
      <c r="F464" s="1146"/>
      <c r="G464" s="1146"/>
      <c r="H464" s="1146"/>
      <c r="I464" s="1146"/>
      <c r="J464" s="1146"/>
      <c r="K464" s="1146"/>
      <c r="L464" s="1146"/>
      <c r="M464" s="1146"/>
      <c r="N464" s="1146"/>
      <c r="O464" s="1146"/>
      <c r="P464" s="1146"/>
      <c r="Q464" s="1146"/>
      <c r="R464" s="1146"/>
      <c r="S464" s="1146"/>
      <c r="T464" s="1147"/>
      <c r="U464" s="1147"/>
      <c r="V464" s="1147"/>
      <c r="W464" s="1147"/>
      <c r="X464" s="1147"/>
      <c r="Y464" s="1147"/>
      <c r="Z464" s="1147"/>
      <c r="AA464" s="1147"/>
      <c r="AB464" s="1147"/>
      <c r="AC464" s="1147"/>
      <c r="AD464" s="1147"/>
      <c r="AE464" s="1147"/>
      <c r="AF464" s="1147"/>
      <c r="AG464" s="1147"/>
      <c r="AH464" s="1147"/>
      <c r="AI464" s="1147"/>
      <c r="AJ464" s="1147"/>
      <c r="AK464" s="1147"/>
      <c r="AL464" s="1147"/>
      <c r="AM464" s="1147"/>
      <c r="AN464" s="1147"/>
      <c r="AO464" s="1147"/>
      <c r="AP464" s="1147"/>
      <c r="AQ464" s="1147"/>
      <c r="AR464" s="1147"/>
      <c r="AS464" s="1147"/>
      <c r="AT464" s="1147"/>
      <c r="AU464" s="1147"/>
      <c r="AV464" s="1147"/>
      <c r="AW464" s="1147"/>
      <c r="AX464" s="1147"/>
      <c r="AY464" s="1147"/>
      <c r="AZ464" s="1147"/>
      <c r="BA464" s="1147"/>
      <c r="BB464" s="1147"/>
      <c r="BC464" s="1147"/>
      <c r="BD464" s="1147"/>
      <c r="BE464" s="1147"/>
      <c r="BF464" s="1147"/>
      <c r="BG464" s="1147"/>
      <c r="BH464" s="1147"/>
      <c r="BI464" s="1147"/>
      <c r="BJ464" s="1147"/>
      <c r="BK464" s="1147"/>
      <c r="BL464" s="1147"/>
      <c r="BM464" s="1147"/>
      <c r="BN464" s="1147"/>
      <c r="BO464" s="1147"/>
      <c r="BP464" s="1147"/>
      <c r="BQ464" s="1147"/>
      <c r="BR464" s="1147"/>
      <c r="BS464" s="1147"/>
      <c r="BT464" s="1147"/>
      <c r="BU464" s="1147"/>
      <c r="BV464" s="1147"/>
      <c r="BW464" s="1147"/>
      <c r="BX464" s="1147"/>
      <c r="BY464" s="1147"/>
      <c r="BZ464" s="1147"/>
      <c r="CA464" s="1147"/>
      <c r="CB464" s="1147"/>
      <c r="CC464" s="1147"/>
      <c r="CD464" s="1147"/>
      <c r="CE464" s="1147"/>
      <c r="CF464" s="1147"/>
      <c r="CG464" s="1147"/>
      <c r="CH464" s="1147"/>
      <c r="CI464" s="1147"/>
      <c r="CJ464" s="1147"/>
      <c r="CK464" s="1146"/>
    </row>
    <row r="465" spans="1:89" ht="15" x14ac:dyDescent="0.25">
      <c r="A465" s="1146"/>
      <c r="B465" s="1146"/>
      <c r="C465" s="1146"/>
      <c r="D465" s="1146"/>
      <c r="E465" s="1146"/>
      <c r="F465" s="1146"/>
      <c r="G465" s="1146"/>
      <c r="H465" s="1146"/>
      <c r="I465" s="1146"/>
      <c r="J465" s="1146"/>
      <c r="K465" s="1146"/>
      <c r="L465" s="1146"/>
      <c r="M465" s="1146"/>
      <c r="N465" s="1146"/>
      <c r="O465" s="1146"/>
      <c r="P465" s="1146"/>
      <c r="Q465" s="1146"/>
      <c r="R465" s="1146"/>
      <c r="S465" s="1146"/>
      <c r="T465" s="1147"/>
      <c r="U465" s="1147"/>
      <c r="V465" s="1147"/>
      <c r="W465" s="1147"/>
      <c r="X465" s="1147"/>
      <c r="Y465" s="1147"/>
      <c r="Z465" s="1147"/>
      <c r="AA465" s="1147"/>
      <c r="AB465" s="1147"/>
      <c r="AC465" s="1147"/>
      <c r="AD465" s="1147"/>
      <c r="AE465" s="1147"/>
      <c r="AF465" s="1147"/>
      <c r="AG465" s="1147"/>
      <c r="AH465" s="1147"/>
      <c r="AI465" s="1147"/>
      <c r="AJ465" s="1147"/>
      <c r="AK465" s="1147"/>
      <c r="AL465" s="1147"/>
      <c r="AM465" s="1147"/>
      <c r="AN465" s="1147"/>
      <c r="AO465" s="1147"/>
      <c r="AP465" s="1147"/>
      <c r="AQ465" s="1147"/>
      <c r="AR465" s="1147"/>
      <c r="AS465" s="1147"/>
      <c r="AT465" s="1147"/>
      <c r="AU465" s="1147"/>
      <c r="AV465" s="1147"/>
      <c r="AW465" s="1147"/>
      <c r="AX465" s="1147"/>
      <c r="AY465" s="1147"/>
      <c r="AZ465" s="1147"/>
      <c r="BA465" s="1147"/>
      <c r="BB465" s="1147"/>
      <c r="BC465" s="1147"/>
      <c r="BD465" s="1147"/>
      <c r="BE465" s="1147"/>
      <c r="BF465" s="1147"/>
      <c r="BG465" s="1147"/>
      <c r="BH465" s="1147"/>
      <c r="BI465" s="1147"/>
      <c r="BJ465" s="1147"/>
      <c r="BK465" s="1147"/>
      <c r="BL465" s="1147"/>
      <c r="BM465" s="1147"/>
      <c r="BN465" s="1147"/>
      <c r="BO465" s="1147"/>
      <c r="BP465" s="1147"/>
      <c r="BQ465" s="1147"/>
      <c r="BR465" s="1147"/>
      <c r="BS465" s="1147"/>
      <c r="BT465" s="1147"/>
      <c r="BU465" s="1147"/>
      <c r="BV465" s="1147"/>
      <c r="BW465" s="1147"/>
      <c r="BX465" s="1147"/>
      <c r="BY465" s="1147"/>
      <c r="BZ465" s="1147"/>
      <c r="CA465" s="1147"/>
      <c r="CB465" s="1147"/>
      <c r="CC465" s="1147"/>
      <c r="CD465" s="1147"/>
      <c r="CE465" s="1147"/>
      <c r="CF465" s="1147"/>
      <c r="CG465" s="1147"/>
      <c r="CH465" s="1147"/>
      <c r="CI465" s="1147"/>
      <c r="CJ465" s="1147"/>
      <c r="CK465" s="1146"/>
    </row>
    <row r="466" spans="1:89" ht="15" x14ac:dyDescent="0.25">
      <c r="A466" s="1146"/>
      <c r="B466" s="1146"/>
      <c r="C466" s="1146"/>
      <c r="D466" s="1146"/>
      <c r="E466" s="1146"/>
      <c r="F466" s="1146"/>
      <c r="G466" s="1146"/>
      <c r="H466" s="1146"/>
      <c r="I466" s="1146"/>
      <c r="J466" s="1146"/>
      <c r="K466" s="1146"/>
      <c r="L466" s="1146"/>
      <c r="M466" s="1146"/>
      <c r="N466" s="1146"/>
      <c r="O466" s="1146"/>
      <c r="P466" s="1146"/>
      <c r="Q466" s="1146"/>
      <c r="R466" s="1146"/>
      <c r="S466" s="1146"/>
      <c r="T466" s="1147"/>
      <c r="U466" s="1147"/>
      <c r="V466" s="1147"/>
      <c r="W466" s="1147"/>
      <c r="X466" s="1147"/>
      <c r="Y466" s="1147"/>
      <c r="Z466" s="1147"/>
      <c r="AA466" s="1147"/>
      <c r="AB466" s="1147"/>
      <c r="AC466" s="1147"/>
      <c r="AD466" s="1147"/>
      <c r="AE466" s="1147"/>
      <c r="AF466" s="1147"/>
      <c r="AG466" s="1147"/>
      <c r="AH466" s="1147"/>
      <c r="AI466" s="1147"/>
      <c r="AJ466" s="1147"/>
      <c r="AK466" s="1147"/>
      <c r="AL466" s="1147"/>
      <c r="AM466" s="1147"/>
      <c r="AN466" s="1147"/>
      <c r="AO466" s="1147"/>
      <c r="AP466" s="1147"/>
      <c r="AQ466" s="1147"/>
      <c r="AR466" s="1147"/>
      <c r="AS466" s="1147"/>
      <c r="AT466" s="1147"/>
      <c r="AU466" s="1147"/>
      <c r="AV466" s="1147"/>
      <c r="AW466" s="1147"/>
      <c r="AX466" s="1147"/>
      <c r="AY466" s="1147"/>
      <c r="AZ466" s="1147"/>
      <c r="BA466" s="1147"/>
      <c r="BB466" s="1147"/>
      <c r="BC466" s="1147"/>
      <c r="BD466" s="1147"/>
      <c r="BE466" s="1147"/>
      <c r="BF466" s="1147"/>
      <c r="BG466" s="1147"/>
      <c r="BH466" s="1147"/>
      <c r="BI466" s="1147"/>
      <c r="BJ466" s="1147"/>
      <c r="BK466" s="1147"/>
      <c r="BL466" s="1147"/>
      <c r="BM466" s="1147"/>
      <c r="BN466" s="1147"/>
      <c r="BO466" s="1147"/>
      <c r="BP466" s="1147"/>
      <c r="BQ466" s="1147"/>
      <c r="BR466" s="1147"/>
      <c r="BS466" s="1147"/>
      <c r="BT466" s="1147"/>
      <c r="BU466" s="1147"/>
      <c r="BV466" s="1147"/>
      <c r="BW466" s="1147"/>
      <c r="BX466" s="1147"/>
      <c r="BY466" s="1147"/>
      <c r="BZ466" s="1147"/>
      <c r="CA466" s="1147"/>
      <c r="CB466" s="1147"/>
      <c r="CC466" s="1147"/>
      <c r="CD466" s="1147"/>
      <c r="CE466" s="1147"/>
      <c r="CF466" s="1147"/>
      <c r="CG466" s="1147"/>
      <c r="CH466" s="1147"/>
      <c r="CI466" s="1147"/>
      <c r="CJ466" s="1147"/>
      <c r="CK466" s="1146"/>
    </row>
    <row r="467" spans="1:89" ht="15" x14ac:dyDescent="0.25">
      <c r="A467" s="1146"/>
      <c r="B467" s="1146"/>
      <c r="C467" s="1146"/>
      <c r="D467" s="1146"/>
      <c r="E467" s="1146"/>
      <c r="F467" s="1146"/>
      <c r="G467" s="1146"/>
      <c r="H467" s="1146"/>
      <c r="I467" s="1146"/>
      <c r="J467" s="1146"/>
      <c r="K467" s="1146"/>
      <c r="L467" s="1146"/>
      <c r="M467" s="1146"/>
      <c r="N467" s="1146"/>
      <c r="O467" s="1146"/>
      <c r="P467" s="1146"/>
      <c r="Q467" s="1146"/>
      <c r="R467" s="1146"/>
      <c r="S467" s="1146"/>
      <c r="T467" s="1147"/>
      <c r="U467" s="1147"/>
      <c r="V467" s="1147"/>
      <c r="W467" s="1147"/>
      <c r="X467" s="1147"/>
      <c r="Y467" s="1147"/>
      <c r="Z467" s="1147"/>
      <c r="AA467" s="1147"/>
      <c r="AB467" s="1147"/>
      <c r="AC467" s="1147"/>
      <c r="AD467" s="1147"/>
      <c r="AE467" s="1147"/>
      <c r="AF467" s="1147"/>
      <c r="AG467" s="1147"/>
      <c r="AH467" s="1147"/>
      <c r="AI467" s="1147"/>
      <c r="AJ467" s="1147"/>
      <c r="AK467" s="1147"/>
      <c r="AL467" s="1147"/>
      <c r="AM467" s="1147"/>
      <c r="AN467" s="1147"/>
      <c r="AO467" s="1147"/>
      <c r="AP467" s="1147"/>
      <c r="AQ467" s="1147"/>
      <c r="AR467" s="1147"/>
      <c r="AS467" s="1147"/>
      <c r="AT467" s="1147"/>
      <c r="AU467" s="1147"/>
      <c r="AV467" s="1147"/>
      <c r="AW467" s="1147"/>
      <c r="AX467" s="1147"/>
      <c r="AY467" s="1147"/>
      <c r="AZ467" s="1147"/>
      <c r="BA467" s="1147"/>
      <c r="BB467" s="1147"/>
      <c r="BC467" s="1147"/>
      <c r="BD467" s="1147"/>
      <c r="BE467" s="1147"/>
      <c r="BF467" s="1147"/>
      <c r="BG467" s="1147"/>
      <c r="BH467" s="1147"/>
      <c r="BI467" s="1147"/>
      <c r="BJ467" s="1147"/>
      <c r="BK467" s="1147"/>
      <c r="BL467" s="1147"/>
      <c r="BM467" s="1147"/>
      <c r="BN467" s="1147"/>
      <c r="BO467" s="1147"/>
      <c r="BP467" s="1147"/>
      <c r="BQ467" s="1147"/>
      <c r="BR467" s="1147"/>
      <c r="BS467" s="1147"/>
      <c r="BT467" s="1147"/>
      <c r="BU467" s="1147"/>
      <c r="BV467" s="1147"/>
      <c r="BW467" s="1147"/>
      <c r="BX467" s="1147"/>
      <c r="BY467" s="1147"/>
      <c r="BZ467" s="1147"/>
      <c r="CA467" s="1147"/>
      <c r="CB467" s="1147"/>
      <c r="CC467" s="1147"/>
      <c r="CD467" s="1147"/>
      <c r="CE467" s="1147"/>
      <c r="CF467" s="1147"/>
      <c r="CG467" s="1147"/>
      <c r="CH467" s="1147"/>
      <c r="CI467" s="1147"/>
      <c r="CJ467" s="1147"/>
      <c r="CK467" s="1146"/>
    </row>
    <row r="468" spans="1:89" ht="15" x14ac:dyDescent="0.25">
      <c r="A468" s="1146"/>
      <c r="B468" s="1146"/>
      <c r="C468" s="1146"/>
      <c r="D468" s="1146"/>
      <c r="E468" s="1146"/>
      <c r="F468" s="1146"/>
      <c r="G468" s="1146"/>
      <c r="H468" s="1146"/>
      <c r="I468" s="1146"/>
      <c r="J468" s="1146"/>
      <c r="K468" s="1146"/>
      <c r="L468" s="1146"/>
      <c r="M468" s="1146"/>
      <c r="N468" s="1146"/>
      <c r="O468" s="1146"/>
      <c r="P468" s="1146"/>
      <c r="Q468" s="1146"/>
      <c r="R468" s="1146"/>
      <c r="S468" s="1146"/>
      <c r="T468" s="1147"/>
      <c r="U468" s="1147"/>
      <c r="V468" s="1147"/>
      <c r="W468" s="1147"/>
      <c r="X468" s="1147"/>
      <c r="Y468" s="1147"/>
      <c r="Z468" s="1147"/>
      <c r="AA468" s="1147"/>
      <c r="AB468" s="1147"/>
      <c r="AC468" s="1147"/>
      <c r="AD468" s="1147"/>
      <c r="AE468" s="1147"/>
      <c r="AF468" s="1147"/>
      <c r="AG468" s="1147"/>
      <c r="AH468" s="1147"/>
      <c r="AI468" s="1147"/>
      <c r="AJ468" s="1147"/>
      <c r="AK468" s="1147"/>
      <c r="AL468" s="1147"/>
      <c r="AM468" s="1147"/>
      <c r="AN468" s="1147"/>
      <c r="AO468" s="1147"/>
      <c r="AP468" s="1147"/>
      <c r="AQ468" s="1147"/>
      <c r="AR468" s="1147"/>
      <c r="AS468" s="1147"/>
      <c r="AT468" s="1147"/>
      <c r="AU468" s="1147"/>
      <c r="AV468" s="1147"/>
      <c r="AW468" s="1147"/>
      <c r="AX468" s="1147"/>
      <c r="AY468" s="1147"/>
      <c r="AZ468" s="1147"/>
      <c r="BA468" s="1147"/>
      <c r="BB468" s="1147"/>
      <c r="BC468" s="1147"/>
      <c r="BD468" s="1147"/>
      <c r="BE468" s="1147"/>
      <c r="BF468" s="1147"/>
      <c r="BG468" s="1147"/>
      <c r="BH468" s="1147"/>
      <c r="BI468" s="1147"/>
      <c r="BJ468" s="1147"/>
      <c r="BK468" s="1147"/>
      <c r="BL468" s="1147"/>
      <c r="BM468" s="1147"/>
      <c r="BN468" s="1147"/>
      <c r="BO468" s="1147"/>
      <c r="BP468" s="1147"/>
      <c r="BQ468" s="1147"/>
      <c r="BR468" s="1147"/>
      <c r="BS468" s="1147"/>
      <c r="BT468" s="1147"/>
      <c r="BU468" s="1147"/>
      <c r="BV468" s="1147"/>
      <c r="BW468" s="1147"/>
      <c r="BX468" s="1147"/>
      <c r="BY468" s="1147"/>
      <c r="BZ468" s="1147"/>
      <c r="CA468" s="1147"/>
      <c r="CB468" s="1147"/>
      <c r="CC468" s="1147"/>
      <c r="CD468" s="1147"/>
      <c r="CE468" s="1147"/>
      <c r="CF468" s="1147"/>
      <c r="CG468" s="1147"/>
      <c r="CH468" s="1147"/>
      <c r="CI468" s="1147"/>
      <c r="CJ468" s="1147"/>
      <c r="CK468" s="1146"/>
    </row>
    <row r="469" spans="1:89" ht="15" x14ac:dyDescent="0.25">
      <c r="A469" s="1146"/>
      <c r="B469" s="1146"/>
      <c r="C469" s="1146"/>
      <c r="D469" s="1146"/>
      <c r="E469" s="1146"/>
      <c r="F469" s="1146"/>
      <c r="G469" s="1146"/>
      <c r="H469" s="1146"/>
      <c r="I469" s="1146"/>
      <c r="J469" s="1146"/>
      <c r="K469" s="1146"/>
      <c r="L469" s="1146"/>
      <c r="M469" s="1146"/>
      <c r="N469" s="1146"/>
      <c r="O469" s="1146"/>
      <c r="P469" s="1146"/>
      <c r="Q469" s="1146"/>
      <c r="R469" s="1146"/>
      <c r="S469" s="1146"/>
      <c r="T469" s="1147"/>
      <c r="U469" s="1147"/>
      <c r="V469" s="1147"/>
      <c r="W469" s="1147"/>
      <c r="X469" s="1147"/>
      <c r="Y469" s="1147"/>
      <c r="Z469" s="1147"/>
      <c r="AA469" s="1147"/>
      <c r="AB469" s="1147"/>
      <c r="AC469" s="1147"/>
      <c r="AD469" s="1147"/>
      <c r="AE469" s="1147"/>
      <c r="AF469" s="1147"/>
      <c r="AG469" s="1147"/>
      <c r="AH469" s="1147"/>
      <c r="AI469" s="1147"/>
      <c r="AJ469" s="1147"/>
      <c r="AK469" s="1147"/>
      <c r="AL469" s="1147"/>
      <c r="AM469" s="1147"/>
      <c r="AN469" s="1147"/>
      <c r="AO469" s="1147"/>
      <c r="AP469" s="1147"/>
      <c r="AQ469" s="1147"/>
      <c r="AR469" s="1147"/>
      <c r="AS469" s="1147"/>
      <c r="AT469" s="1147"/>
      <c r="AU469" s="1147"/>
      <c r="AV469" s="1147"/>
      <c r="AW469" s="1147"/>
      <c r="AX469" s="1147"/>
      <c r="AY469" s="1147"/>
      <c r="AZ469" s="1147"/>
      <c r="BA469" s="1147"/>
      <c r="BB469" s="1147"/>
      <c r="BC469" s="1147"/>
      <c r="BD469" s="1147"/>
      <c r="BE469" s="1147"/>
      <c r="BF469" s="1147"/>
      <c r="BG469" s="1147"/>
      <c r="BH469" s="1147"/>
      <c r="BI469" s="1147"/>
      <c r="BJ469" s="1147"/>
      <c r="BK469" s="1147"/>
      <c r="BL469" s="1147"/>
      <c r="BM469" s="1147"/>
      <c r="BN469" s="1147"/>
      <c r="BO469" s="1147"/>
      <c r="BP469" s="1147"/>
      <c r="BQ469" s="1147"/>
      <c r="BR469" s="1147"/>
      <c r="BS469" s="1147"/>
      <c r="BT469" s="1147"/>
      <c r="BU469" s="1147"/>
      <c r="BV469" s="1147"/>
      <c r="BW469" s="1147"/>
      <c r="BX469" s="1147"/>
      <c r="BY469" s="1147"/>
      <c r="BZ469" s="1147"/>
      <c r="CA469" s="1147"/>
      <c r="CB469" s="1147"/>
      <c r="CC469" s="1147"/>
      <c r="CD469" s="1147"/>
      <c r="CE469" s="1147"/>
      <c r="CF469" s="1147"/>
      <c r="CG469" s="1147"/>
      <c r="CH469" s="1147"/>
      <c r="CI469" s="1147"/>
      <c r="CJ469" s="1147"/>
      <c r="CK469" s="1146"/>
    </row>
    <row r="470" spans="1:89" ht="15" x14ac:dyDescent="0.25">
      <c r="A470" s="1146"/>
      <c r="B470" s="1146"/>
      <c r="C470" s="1146"/>
      <c r="D470" s="1146"/>
      <c r="E470" s="1146"/>
      <c r="F470" s="1146"/>
      <c r="G470" s="1146"/>
      <c r="H470" s="1146"/>
      <c r="I470" s="1146"/>
      <c r="J470" s="1146"/>
      <c r="K470" s="1146"/>
      <c r="L470" s="1146"/>
      <c r="M470" s="1146"/>
      <c r="N470" s="1146"/>
      <c r="O470" s="1146"/>
      <c r="P470" s="1146"/>
      <c r="Q470" s="1146"/>
      <c r="R470" s="1146"/>
      <c r="S470" s="1146"/>
      <c r="T470" s="1147"/>
      <c r="U470" s="1147"/>
      <c r="V470" s="1147"/>
      <c r="W470" s="1147"/>
      <c r="X470" s="1147"/>
      <c r="Y470" s="1147"/>
      <c r="Z470" s="1147"/>
      <c r="AA470" s="1147"/>
      <c r="AB470" s="1147"/>
      <c r="AC470" s="1147"/>
      <c r="AD470" s="1147"/>
      <c r="AE470" s="1147"/>
      <c r="AF470" s="1147"/>
      <c r="AG470" s="1147"/>
      <c r="AH470" s="1147"/>
      <c r="AI470" s="1147"/>
      <c r="AJ470" s="1147"/>
      <c r="AK470" s="1147"/>
      <c r="AL470" s="1147"/>
      <c r="AM470" s="1147"/>
      <c r="AN470" s="1147"/>
      <c r="AO470" s="1147"/>
      <c r="AP470" s="1147"/>
      <c r="AQ470" s="1147"/>
      <c r="AR470" s="1147"/>
      <c r="AS470" s="1147"/>
      <c r="AT470" s="1147"/>
      <c r="AU470" s="1147"/>
      <c r="AV470" s="1147"/>
      <c r="AW470" s="1147"/>
      <c r="AX470" s="1147"/>
      <c r="AY470" s="1147"/>
      <c r="AZ470" s="1147"/>
      <c r="BA470" s="1147"/>
      <c r="BB470" s="1147"/>
      <c r="BC470" s="1147"/>
      <c r="BD470" s="1147"/>
      <c r="BE470" s="1147"/>
      <c r="BF470" s="1147"/>
      <c r="BG470" s="1147"/>
      <c r="BH470" s="1147"/>
      <c r="BI470" s="1147"/>
      <c r="BJ470" s="1147"/>
      <c r="BK470" s="1147"/>
      <c r="BL470" s="1147"/>
      <c r="BM470" s="1147"/>
      <c r="BN470" s="1147"/>
      <c r="BO470" s="1147"/>
      <c r="BP470" s="1147"/>
      <c r="BQ470" s="1147"/>
      <c r="BR470" s="1147"/>
      <c r="BS470" s="1147"/>
      <c r="BT470" s="1147"/>
      <c r="BU470" s="1147"/>
      <c r="BV470" s="1147"/>
      <c r="BW470" s="1147"/>
      <c r="BX470" s="1147"/>
      <c r="BY470" s="1147"/>
      <c r="BZ470" s="1147"/>
      <c r="CA470" s="1147"/>
      <c r="CB470" s="1147"/>
      <c r="CC470" s="1147"/>
      <c r="CD470" s="1147"/>
      <c r="CE470" s="1147"/>
      <c r="CF470" s="1147"/>
      <c r="CG470" s="1147"/>
      <c r="CH470" s="1147"/>
      <c r="CI470" s="1147"/>
      <c r="CJ470" s="1147"/>
      <c r="CK470" s="1146"/>
    </row>
    <row r="471" spans="1:89" ht="15" x14ac:dyDescent="0.25">
      <c r="A471" s="1146"/>
      <c r="B471" s="1146"/>
      <c r="C471" s="1146"/>
      <c r="D471" s="1146"/>
      <c r="E471" s="1146"/>
      <c r="F471" s="1146"/>
      <c r="G471" s="1146"/>
      <c r="H471" s="1146"/>
      <c r="I471" s="1146"/>
      <c r="J471" s="1146"/>
      <c r="K471" s="1146"/>
      <c r="L471" s="1146"/>
      <c r="M471" s="1146"/>
      <c r="N471" s="1146"/>
      <c r="O471" s="1146"/>
      <c r="P471" s="1146"/>
      <c r="Q471" s="1146"/>
      <c r="R471" s="1146"/>
      <c r="S471" s="1146"/>
      <c r="T471" s="1147"/>
      <c r="U471" s="1147"/>
      <c r="V471" s="1147"/>
      <c r="W471" s="1147"/>
      <c r="X471" s="1147"/>
      <c r="Y471" s="1147"/>
      <c r="Z471" s="1147"/>
      <c r="AA471" s="1147"/>
      <c r="AB471" s="1147"/>
      <c r="AC471" s="1147"/>
      <c r="AD471" s="1147"/>
      <c r="AE471" s="1147"/>
      <c r="AF471" s="1147"/>
      <c r="AG471" s="1147"/>
      <c r="AH471" s="1147"/>
      <c r="AI471" s="1147"/>
      <c r="AJ471" s="1147"/>
      <c r="AK471" s="1147"/>
      <c r="AL471" s="1147"/>
      <c r="AM471" s="1147"/>
      <c r="AN471" s="1147"/>
      <c r="AO471" s="1147"/>
      <c r="AP471" s="1147"/>
      <c r="AQ471" s="1147"/>
      <c r="AR471" s="1147"/>
      <c r="AS471" s="1147"/>
      <c r="AT471" s="1147"/>
      <c r="AU471" s="1147"/>
      <c r="AV471" s="1147"/>
      <c r="AW471" s="1147"/>
      <c r="AX471" s="1147"/>
      <c r="AY471" s="1147"/>
      <c r="AZ471" s="1147"/>
      <c r="BA471" s="1147"/>
      <c r="BB471" s="1147"/>
      <c r="BC471" s="1147"/>
      <c r="BD471" s="1147"/>
      <c r="BE471" s="1147"/>
      <c r="BF471" s="1147"/>
      <c r="BG471" s="1147"/>
      <c r="BH471" s="1147"/>
      <c r="BI471" s="1147"/>
      <c r="BJ471" s="1147"/>
      <c r="BK471" s="1147"/>
      <c r="BL471" s="1147"/>
      <c r="BM471" s="1147"/>
      <c r="BN471" s="1147"/>
      <c r="BO471" s="1147"/>
      <c r="BP471" s="1147"/>
      <c r="BQ471" s="1147"/>
      <c r="BR471" s="1147"/>
      <c r="BS471" s="1147"/>
      <c r="BT471" s="1147"/>
      <c r="BU471" s="1147"/>
      <c r="BV471" s="1147"/>
      <c r="BW471" s="1147"/>
      <c r="BX471" s="1147"/>
      <c r="BY471" s="1147"/>
      <c r="BZ471" s="1147"/>
      <c r="CA471" s="1147"/>
      <c r="CB471" s="1147"/>
      <c r="CC471" s="1147"/>
      <c r="CD471" s="1147"/>
      <c r="CE471" s="1147"/>
      <c r="CF471" s="1147"/>
      <c r="CG471" s="1147"/>
      <c r="CH471" s="1147"/>
      <c r="CI471" s="1147"/>
      <c r="CJ471" s="1147"/>
      <c r="CK471" s="1146"/>
    </row>
    <row r="472" spans="1:89" ht="15" x14ac:dyDescent="0.25">
      <c r="A472" s="1146"/>
      <c r="B472" s="1146"/>
      <c r="C472" s="1146"/>
      <c r="D472" s="1146"/>
      <c r="E472" s="1146"/>
      <c r="F472" s="1146"/>
      <c r="G472" s="1146"/>
      <c r="H472" s="1146"/>
      <c r="I472" s="1146"/>
      <c r="J472" s="1146"/>
      <c r="K472" s="1146"/>
      <c r="L472" s="1146"/>
      <c r="M472" s="1146"/>
      <c r="N472" s="1146"/>
      <c r="O472" s="1146"/>
      <c r="P472" s="1146"/>
      <c r="Q472" s="1146"/>
      <c r="R472" s="1146"/>
      <c r="S472" s="1146"/>
      <c r="T472" s="1147"/>
      <c r="U472" s="1147"/>
      <c r="V472" s="1147"/>
      <c r="W472" s="1147"/>
      <c r="X472" s="1147"/>
      <c r="Y472" s="1147"/>
      <c r="Z472" s="1147"/>
      <c r="AA472" s="1147"/>
      <c r="AB472" s="1147"/>
      <c r="AC472" s="1147"/>
      <c r="AD472" s="1147"/>
      <c r="AE472" s="1147"/>
      <c r="AF472" s="1147"/>
      <c r="AG472" s="1147"/>
      <c r="AH472" s="1147"/>
      <c r="AI472" s="1147"/>
      <c r="AJ472" s="1147"/>
      <c r="AK472" s="1147"/>
      <c r="AL472" s="1147"/>
      <c r="AM472" s="1147"/>
      <c r="AN472" s="1147"/>
      <c r="AO472" s="1147"/>
      <c r="AP472" s="1147"/>
      <c r="AQ472" s="1147"/>
      <c r="AR472" s="1147"/>
      <c r="AS472" s="1147"/>
      <c r="AT472" s="1147"/>
      <c r="AU472" s="1147"/>
      <c r="AV472" s="1147"/>
      <c r="AW472" s="1147"/>
      <c r="AX472" s="1147"/>
      <c r="AY472" s="1147"/>
      <c r="AZ472" s="1147"/>
      <c r="BA472" s="1147"/>
      <c r="BB472" s="1147"/>
      <c r="BC472" s="1147"/>
      <c r="BD472" s="1147"/>
      <c r="BE472" s="1147"/>
      <c r="BF472" s="1147"/>
      <c r="BG472" s="1147"/>
      <c r="BH472" s="1147"/>
      <c r="BI472" s="1147"/>
      <c r="BJ472" s="1147"/>
      <c r="BK472" s="1147"/>
      <c r="BL472" s="1147"/>
      <c r="BM472" s="1147"/>
      <c r="BN472" s="1147"/>
      <c r="BO472" s="1147"/>
      <c r="BP472" s="1147"/>
      <c r="BQ472" s="1147"/>
      <c r="BR472" s="1147"/>
      <c r="BS472" s="1147"/>
      <c r="BT472" s="1147"/>
      <c r="BU472" s="1147"/>
      <c r="BV472" s="1147"/>
      <c r="BW472" s="1147"/>
      <c r="BX472" s="1147"/>
      <c r="BY472" s="1147"/>
      <c r="BZ472" s="1147"/>
      <c r="CA472" s="1147"/>
      <c r="CB472" s="1147"/>
      <c r="CC472" s="1147"/>
      <c r="CD472" s="1147"/>
      <c r="CE472" s="1147"/>
      <c r="CF472" s="1147"/>
      <c r="CG472" s="1147"/>
      <c r="CH472" s="1147"/>
      <c r="CI472" s="1147"/>
      <c r="CJ472" s="1147"/>
      <c r="CK472" s="1146"/>
    </row>
    <row r="473" spans="1:89" ht="15" x14ac:dyDescent="0.25">
      <c r="A473" s="1146"/>
      <c r="B473" s="1146"/>
      <c r="C473" s="1146"/>
      <c r="D473" s="1146"/>
      <c r="E473" s="1146"/>
      <c r="F473" s="1146"/>
      <c r="G473" s="1146"/>
      <c r="H473" s="1146"/>
      <c r="I473" s="1146"/>
      <c r="J473" s="1146"/>
      <c r="K473" s="1146"/>
      <c r="L473" s="1146"/>
      <c r="M473" s="1146"/>
      <c r="N473" s="1146"/>
      <c r="O473" s="1146"/>
      <c r="P473" s="1146"/>
      <c r="Q473" s="1146"/>
      <c r="R473" s="1146"/>
      <c r="S473" s="1146"/>
      <c r="T473" s="1147"/>
      <c r="U473" s="1147"/>
      <c r="V473" s="1147"/>
      <c r="W473" s="1147"/>
      <c r="X473" s="1147"/>
      <c r="Y473" s="1147"/>
      <c r="Z473" s="1147"/>
      <c r="AA473" s="1147"/>
      <c r="AB473" s="1147"/>
      <c r="AC473" s="1147"/>
      <c r="AD473" s="1147"/>
      <c r="AE473" s="1147"/>
      <c r="AF473" s="1147"/>
      <c r="AG473" s="1147"/>
      <c r="AH473" s="1147"/>
      <c r="AI473" s="1147"/>
      <c r="AJ473" s="1147"/>
      <c r="AK473" s="1147"/>
      <c r="AL473" s="1147"/>
      <c r="AM473" s="1147"/>
      <c r="AN473" s="1147"/>
      <c r="AO473" s="1147"/>
      <c r="AP473" s="1147"/>
      <c r="AQ473" s="1147"/>
      <c r="AR473" s="1147"/>
      <c r="AS473" s="1147"/>
      <c r="AT473" s="1147"/>
      <c r="AU473" s="1147"/>
      <c r="AV473" s="1147"/>
      <c r="AW473" s="1147"/>
      <c r="AX473" s="1147"/>
      <c r="AY473" s="1147"/>
      <c r="AZ473" s="1147"/>
      <c r="BA473" s="1147"/>
      <c r="BB473" s="1147"/>
      <c r="BC473" s="1147"/>
      <c r="BD473" s="1147"/>
      <c r="BE473" s="1147"/>
      <c r="BF473" s="1147"/>
      <c r="BG473" s="1147"/>
      <c r="BH473" s="1147"/>
      <c r="BI473" s="1147"/>
      <c r="BJ473" s="1147"/>
      <c r="BK473" s="1147"/>
      <c r="BL473" s="1147"/>
      <c r="BM473" s="1147"/>
      <c r="BN473" s="1147"/>
      <c r="BO473" s="1147"/>
      <c r="BP473" s="1147"/>
      <c r="BQ473" s="1147"/>
      <c r="BR473" s="1147"/>
      <c r="BS473" s="1147"/>
      <c r="BT473" s="1147"/>
      <c r="BU473" s="1147"/>
      <c r="BV473" s="1147"/>
      <c r="BW473" s="1147"/>
      <c r="BX473" s="1147"/>
      <c r="BY473" s="1147"/>
      <c r="BZ473" s="1147"/>
      <c r="CA473" s="1147"/>
      <c r="CB473" s="1147"/>
      <c r="CC473" s="1147"/>
      <c r="CD473" s="1147"/>
      <c r="CE473" s="1147"/>
      <c r="CF473" s="1147"/>
      <c r="CG473" s="1147"/>
      <c r="CH473" s="1147"/>
      <c r="CI473" s="1147"/>
      <c r="CJ473" s="1147"/>
      <c r="CK473" s="1146"/>
    </row>
    <row r="474" spans="1:89" ht="15" x14ac:dyDescent="0.25">
      <c r="A474" s="1146"/>
      <c r="B474" s="1146"/>
      <c r="C474" s="1146"/>
      <c r="D474" s="1146"/>
      <c r="E474" s="1146"/>
      <c r="F474" s="1146"/>
      <c r="G474" s="1146"/>
      <c r="H474" s="1146"/>
      <c r="I474" s="1146"/>
      <c r="J474" s="1146"/>
      <c r="K474" s="1146"/>
      <c r="L474" s="1146"/>
      <c r="M474" s="1146"/>
      <c r="N474" s="1146"/>
      <c r="O474" s="1146"/>
      <c r="P474" s="1146"/>
      <c r="Q474" s="1146"/>
      <c r="R474" s="1146"/>
      <c r="S474" s="1146"/>
      <c r="T474" s="1147"/>
      <c r="U474" s="1147"/>
      <c r="V474" s="1147"/>
      <c r="W474" s="1147"/>
      <c r="X474" s="1147"/>
      <c r="Y474" s="1147"/>
      <c r="Z474" s="1147"/>
      <c r="AA474" s="1147"/>
      <c r="AB474" s="1147"/>
      <c r="AC474" s="1147"/>
      <c r="AD474" s="1147"/>
      <c r="AE474" s="1147"/>
      <c r="AF474" s="1147"/>
      <c r="AG474" s="1147"/>
      <c r="AH474" s="1147"/>
      <c r="AI474" s="1147"/>
      <c r="AJ474" s="1147"/>
      <c r="AK474" s="1147"/>
      <c r="AL474" s="1147"/>
      <c r="AM474" s="1147"/>
      <c r="AN474" s="1147"/>
      <c r="AO474" s="1147"/>
      <c r="AP474" s="1147"/>
      <c r="AQ474" s="1147"/>
      <c r="AR474" s="1147"/>
      <c r="AS474" s="1147"/>
      <c r="AT474" s="1147"/>
      <c r="AU474" s="1147"/>
      <c r="AV474" s="1147"/>
      <c r="AW474" s="1147"/>
      <c r="AX474" s="1147"/>
      <c r="AY474" s="1147"/>
      <c r="AZ474" s="1147"/>
      <c r="BA474" s="1147"/>
      <c r="BB474" s="1147"/>
      <c r="BC474" s="1147"/>
      <c r="BD474" s="1147"/>
      <c r="BE474" s="1147"/>
      <c r="BF474" s="1147"/>
      <c r="BG474" s="1147"/>
      <c r="BH474" s="1147"/>
      <c r="BI474" s="1147"/>
      <c r="BJ474" s="1147"/>
      <c r="BK474" s="1147"/>
      <c r="BL474" s="1147"/>
      <c r="BM474" s="1147"/>
      <c r="BN474" s="1147"/>
      <c r="BO474" s="1147"/>
      <c r="BP474" s="1147"/>
      <c r="BQ474" s="1147"/>
      <c r="BR474" s="1147"/>
      <c r="BS474" s="1147"/>
      <c r="BT474" s="1147"/>
      <c r="BU474" s="1147"/>
      <c r="BV474" s="1147"/>
      <c r="BW474" s="1147"/>
      <c r="BX474" s="1147"/>
      <c r="BY474" s="1147"/>
      <c r="BZ474" s="1147"/>
      <c r="CA474" s="1147"/>
      <c r="CB474" s="1147"/>
      <c r="CC474" s="1147"/>
      <c r="CD474" s="1147"/>
      <c r="CE474" s="1147"/>
      <c r="CF474" s="1147"/>
      <c r="CG474" s="1147"/>
      <c r="CH474" s="1147"/>
      <c r="CI474" s="1147"/>
      <c r="CJ474" s="1147"/>
      <c r="CK474" s="1146"/>
    </row>
    <row r="475" spans="1:89" ht="15" x14ac:dyDescent="0.25">
      <c r="A475" s="1146"/>
      <c r="B475" s="1146"/>
      <c r="C475" s="1146"/>
      <c r="D475" s="1146"/>
      <c r="E475" s="1146"/>
      <c r="F475" s="1146"/>
      <c r="G475" s="1146"/>
      <c r="H475" s="1146"/>
      <c r="I475" s="1146"/>
      <c r="J475" s="1146"/>
      <c r="K475" s="1146"/>
      <c r="L475" s="1146"/>
      <c r="M475" s="1146"/>
      <c r="N475" s="1146"/>
      <c r="O475" s="1146"/>
      <c r="P475" s="1146"/>
      <c r="Q475" s="1146"/>
      <c r="R475" s="1146"/>
      <c r="S475" s="1146"/>
      <c r="T475" s="1147"/>
      <c r="U475" s="1147"/>
      <c r="V475" s="1147"/>
      <c r="W475" s="1147"/>
      <c r="X475" s="1147"/>
      <c r="Y475" s="1147"/>
      <c r="Z475" s="1147"/>
      <c r="AA475" s="1147"/>
      <c r="AB475" s="1147"/>
      <c r="AC475" s="1147"/>
      <c r="AD475" s="1147"/>
      <c r="AE475" s="1147"/>
      <c r="AF475" s="1147"/>
      <c r="AG475" s="1147"/>
      <c r="AH475" s="1147"/>
      <c r="AI475" s="1147"/>
      <c r="AJ475" s="1147"/>
      <c r="AK475" s="1147"/>
      <c r="AL475" s="1147"/>
      <c r="AM475" s="1147"/>
      <c r="AN475" s="1147"/>
      <c r="AO475" s="1147"/>
      <c r="AP475" s="1147"/>
      <c r="AQ475" s="1147"/>
      <c r="AR475" s="1147"/>
      <c r="AS475" s="1147"/>
      <c r="AT475" s="1147"/>
      <c r="AU475" s="1147"/>
      <c r="AV475" s="1147"/>
      <c r="AW475" s="1147"/>
      <c r="AX475" s="1147"/>
      <c r="AY475" s="1147"/>
      <c r="AZ475" s="1147"/>
      <c r="BA475" s="1147"/>
      <c r="BB475" s="1147"/>
      <c r="BC475" s="1147"/>
      <c r="BD475" s="1147"/>
      <c r="BE475" s="1147"/>
      <c r="BF475" s="1147"/>
      <c r="BG475" s="1147"/>
      <c r="BH475" s="1147"/>
      <c r="BI475" s="1147"/>
      <c r="BJ475" s="1147"/>
      <c r="BK475" s="1147"/>
      <c r="BL475" s="1147"/>
      <c r="BM475" s="1147"/>
      <c r="BN475" s="1147"/>
      <c r="BO475" s="1147"/>
      <c r="BP475" s="1147"/>
      <c r="BQ475" s="1147"/>
      <c r="BR475" s="1147"/>
      <c r="BS475" s="1147"/>
      <c r="BT475" s="1147"/>
      <c r="BU475" s="1147"/>
      <c r="BV475" s="1147"/>
      <c r="BW475" s="1147"/>
      <c r="BX475" s="1147"/>
      <c r="BY475" s="1147"/>
      <c r="BZ475" s="1147"/>
      <c r="CA475" s="1147"/>
      <c r="CB475" s="1147"/>
      <c r="CC475" s="1147"/>
      <c r="CD475" s="1147"/>
      <c r="CE475" s="1147"/>
      <c r="CF475" s="1147"/>
      <c r="CG475" s="1147"/>
      <c r="CH475" s="1147"/>
      <c r="CI475" s="1147"/>
      <c r="CJ475" s="1147"/>
      <c r="CK475" s="1146"/>
    </row>
    <row r="476" spans="1:89" ht="15" x14ac:dyDescent="0.25">
      <c r="A476" s="1146"/>
      <c r="B476" s="1146"/>
      <c r="C476" s="1146"/>
      <c r="D476" s="1146"/>
      <c r="E476" s="1146"/>
      <c r="F476" s="1146"/>
      <c r="G476" s="1146"/>
      <c r="H476" s="1146"/>
      <c r="I476" s="1146"/>
      <c r="J476" s="1146"/>
      <c r="K476" s="1146"/>
      <c r="L476" s="1146"/>
      <c r="M476" s="1146"/>
      <c r="N476" s="1146"/>
      <c r="O476" s="1146"/>
      <c r="P476" s="1146"/>
      <c r="Q476" s="1146"/>
      <c r="R476" s="1146"/>
      <c r="S476" s="1146"/>
      <c r="T476" s="1147"/>
      <c r="U476" s="1147"/>
      <c r="V476" s="1147"/>
      <c r="W476" s="1147"/>
      <c r="X476" s="1147"/>
      <c r="Y476" s="1147"/>
      <c r="Z476" s="1147"/>
      <c r="AA476" s="1147"/>
      <c r="AB476" s="1147"/>
      <c r="AC476" s="1147"/>
      <c r="AD476" s="1147"/>
      <c r="AE476" s="1147"/>
      <c r="AF476" s="1147"/>
      <c r="AG476" s="1147"/>
      <c r="AH476" s="1147"/>
      <c r="AI476" s="1147"/>
      <c r="AJ476" s="1147"/>
      <c r="AK476" s="1147"/>
      <c r="AL476" s="1147"/>
      <c r="AM476" s="1147"/>
      <c r="AN476" s="1147"/>
      <c r="AO476" s="1147"/>
      <c r="AP476" s="1147"/>
      <c r="AQ476" s="1147"/>
      <c r="AR476" s="1147"/>
      <c r="AS476" s="1147"/>
      <c r="AT476" s="1147"/>
      <c r="AU476" s="1147"/>
      <c r="AV476" s="1147"/>
      <c r="AW476" s="1147"/>
      <c r="AX476" s="1147"/>
      <c r="AY476" s="1147"/>
      <c r="AZ476" s="1147"/>
      <c r="BA476" s="1147"/>
      <c r="BB476" s="1147"/>
      <c r="BC476" s="1147"/>
      <c r="BD476" s="1147"/>
      <c r="BE476" s="1147"/>
      <c r="BF476" s="1147"/>
      <c r="BG476" s="1147"/>
      <c r="BH476" s="1147"/>
      <c r="BI476" s="1147"/>
      <c r="BJ476" s="1147"/>
      <c r="BK476" s="1147"/>
      <c r="BL476" s="1147"/>
      <c r="BM476" s="1147"/>
      <c r="BN476" s="1147"/>
      <c r="BO476" s="1147"/>
      <c r="BP476" s="1147"/>
      <c r="BQ476" s="1147"/>
      <c r="BR476" s="1147"/>
      <c r="BS476" s="1147"/>
      <c r="BT476" s="1147"/>
      <c r="BU476" s="1147"/>
      <c r="BV476" s="1147"/>
      <c r="BW476" s="1147"/>
      <c r="BX476" s="1147"/>
      <c r="BY476" s="1147"/>
      <c r="BZ476" s="1147"/>
      <c r="CA476" s="1147"/>
      <c r="CB476" s="1147"/>
      <c r="CC476" s="1147"/>
      <c r="CD476" s="1147"/>
      <c r="CE476" s="1147"/>
      <c r="CF476" s="1147"/>
      <c r="CG476" s="1147"/>
      <c r="CH476" s="1147"/>
      <c r="CI476" s="1147"/>
      <c r="CJ476" s="1147"/>
      <c r="CK476" s="1146"/>
    </row>
    <row r="477" spans="1:89" ht="15" x14ac:dyDescent="0.25">
      <c r="A477" s="1146"/>
      <c r="B477" s="1146"/>
      <c r="C477" s="1146"/>
      <c r="D477" s="1146"/>
      <c r="E477" s="1146"/>
      <c r="F477" s="1146"/>
      <c r="G477" s="1146"/>
      <c r="H477" s="1146"/>
      <c r="I477" s="1146"/>
      <c r="J477" s="1146"/>
      <c r="K477" s="1146"/>
      <c r="L477" s="1146"/>
      <c r="M477" s="1146"/>
      <c r="N477" s="1146"/>
      <c r="O477" s="1146"/>
      <c r="P477" s="1146"/>
      <c r="Q477" s="1146"/>
      <c r="R477" s="1146"/>
      <c r="S477" s="1146"/>
      <c r="T477" s="1147"/>
      <c r="U477" s="1147"/>
      <c r="V477" s="1147"/>
      <c r="W477" s="1147"/>
      <c r="X477" s="1147"/>
      <c r="Y477" s="1147"/>
      <c r="Z477" s="1147"/>
      <c r="AA477" s="1147"/>
      <c r="AB477" s="1147"/>
      <c r="AC477" s="1147"/>
      <c r="AD477" s="1147"/>
      <c r="AE477" s="1147"/>
      <c r="AF477" s="1147"/>
      <c r="AG477" s="1147"/>
      <c r="AH477" s="1147"/>
      <c r="AI477" s="1147"/>
      <c r="AJ477" s="1147"/>
      <c r="AK477" s="1147"/>
      <c r="AL477" s="1147"/>
      <c r="AM477" s="1147"/>
      <c r="AN477" s="1147"/>
      <c r="AO477" s="1147"/>
      <c r="AP477" s="1147"/>
      <c r="AQ477" s="1147"/>
      <c r="AR477" s="1147"/>
      <c r="AS477" s="1147"/>
      <c r="AT477" s="1147"/>
      <c r="AU477" s="1147"/>
      <c r="AV477" s="1147"/>
      <c r="AW477" s="1147"/>
      <c r="AX477" s="1147"/>
      <c r="AY477" s="1147"/>
      <c r="AZ477" s="1147"/>
      <c r="BA477" s="1147"/>
      <c r="BB477" s="1147"/>
      <c r="BC477" s="1147"/>
      <c r="BD477" s="1147"/>
      <c r="BE477" s="1147"/>
      <c r="BF477" s="1147"/>
      <c r="BG477" s="1147"/>
      <c r="BH477" s="1147"/>
      <c r="BI477" s="1147"/>
      <c r="BJ477" s="1147"/>
      <c r="BK477" s="1147"/>
      <c r="BL477" s="1147"/>
      <c r="BM477" s="1147"/>
      <c r="BN477" s="1147"/>
      <c r="BO477" s="1147"/>
      <c r="BP477" s="1147"/>
      <c r="BQ477" s="1147"/>
      <c r="BR477" s="1147"/>
      <c r="BS477" s="1147"/>
      <c r="BT477" s="1147"/>
      <c r="BU477" s="1147"/>
      <c r="BV477" s="1147"/>
      <c r="BW477" s="1147"/>
      <c r="BX477" s="1147"/>
      <c r="BY477" s="1147"/>
      <c r="BZ477" s="1147"/>
      <c r="CA477" s="1147"/>
      <c r="CB477" s="1147"/>
      <c r="CC477" s="1147"/>
      <c r="CD477" s="1147"/>
      <c r="CE477" s="1147"/>
      <c r="CF477" s="1147"/>
      <c r="CG477" s="1147"/>
      <c r="CH477" s="1147"/>
      <c r="CI477" s="1147"/>
      <c r="CJ477" s="1147"/>
      <c r="CK477" s="1146"/>
    </row>
    <row r="478" spans="1:89" ht="15" x14ac:dyDescent="0.25">
      <c r="A478" s="1146"/>
      <c r="B478" s="1146"/>
      <c r="C478" s="1146"/>
      <c r="D478" s="1146"/>
      <c r="E478" s="1146"/>
      <c r="F478" s="1146"/>
      <c r="G478" s="1146"/>
      <c r="H478" s="1146"/>
      <c r="I478" s="1146"/>
      <c r="J478" s="1146"/>
      <c r="K478" s="1146"/>
      <c r="L478" s="1146"/>
      <c r="M478" s="1146"/>
      <c r="N478" s="1146"/>
      <c r="O478" s="1146"/>
      <c r="P478" s="1146"/>
      <c r="Q478" s="1146"/>
      <c r="R478" s="1146"/>
      <c r="S478" s="1146"/>
      <c r="T478" s="1147"/>
      <c r="U478" s="1147"/>
      <c r="V478" s="1147"/>
      <c r="W478" s="1147"/>
      <c r="X478" s="1147"/>
      <c r="Y478" s="1147"/>
      <c r="Z478" s="1147"/>
      <c r="AA478" s="1147"/>
      <c r="AB478" s="1147"/>
      <c r="AC478" s="1147"/>
      <c r="AD478" s="1147"/>
      <c r="AE478" s="1147"/>
      <c r="AF478" s="1147"/>
      <c r="AG478" s="1147"/>
      <c r="AH478" s="1147"/>
      <c r="AI478" s="1147"/>
      <c r="AJ478" s="1147"/>
      <c r="AK478" s="1147"/>
      <c r="AL478" s="1147"/>
      <c r="AM478" s="1147"/>
      <c r="AN478" s="1147"/>
      <c r="AO478" s="1147"/>
      <c r="AP478" s="1147"/>
      <c r="AQ478" s="1147"/>
      <c r="AR478" s="1147"/>
      <c r="AS478" s="1147"/>
      <c r="AT478" s="1147"/>
      <c r="AU478" s="1147"/>
      <c r="AV478" s="1147"/>
      <c r="AW478" s="1147"/>
      <c r="AX478" s="1147"/>
      <c r="AY478" s="1147"/>
      <c r="AZ478" s="1147"/>
      <c r="BA478" s="1147"/>
      <c r="BB478" s="1147"/>
      <c r="BC478" s="1147"/>
      <c r="BD478" s="1147"/>
      <c r="BE478" s="1147"/>
      <c r="BF478" s="1147"/>
      <c r="BG478" s="1147"/>
      <c r="BH478" s="1147"/>
      <c r="BI478" s="1147"/>
      <c r="BJ478" s="1147"/>
      <c r="BK478" s="1147"/>
      <c r="BL478" s="1147"/>
      <c r="BM478" s="1147"/>
      <c r="BN478" s="1147"/>
      <c r="BO478" s="1147"/>
      <c r="BP478" s="1147"/>
      <c r="BQ478" s="1147"/>
      <c r="BR478" s="1147"/>
      <c r="BS478" s="1147"/>
      <c r="BT478" s="1147"/>
      <c r="BU478" s="1147"/>
      <c r="BV478" s="1147"/>
      <c r="BW478" s="1147"/>
      <c r="BX478" s="1147"/>
      <c r="BY478" s="1147"/>
      <c r="BZ478" s="1147"/>
      <c r="CA478" s="1147"/>
      <c r="CB478" s="1147"/>
      <c r="CC478" s="1147"/>
      <c r="CD478" s="1147"/>
      <c r="CE478" s="1147"/>
      <c r="CF478" s="1147"/>
      <c r="CG478" s="1147"/>
      <c r="CH478" s="1147"/>
      <c r="CI478" s="1147"/>
      <c r="CJ478" s="1147"/>
      <c r="CK478" s="1146"/>
    </row>
    <row r="479" spans="1:89" ht="15" x14ac:dyDescent="0.25">
      <c r="A479" s="1146"/>
      <c r="B479" s="1146"/>
      <c r="C479" s="1146"/>
      <c r="D479" s="1146"/>
      <c r="E479" s="1146"/>
      <c r="F479" s="1146"/>
      <c r="G479" s="1146"/>
      <c r="H479" s="1146"/>
      <c r="I479" s="1146"/>
      <c r="J479" s="1146"/>
      <c r="K479" s="1146"/>
      <c r="L479" s="1146"/>
      <c r="M479" s="1146"/>
      <c r="N479" s="1146"/>
      <c r="O479" s="1146"/>
      <c r="P479" s="1146"/>
      <c r="Q479" s="1146"/>
      <c r="R479" s="1146"/>
      <c r="S479" s="1146"/>
      <c r="T479" s="1147"/>
      <c r="U479" s="1147"/>
      <c r="V479" s="1147"/>
      <c r="W479" s="1147"/>
      <c r="X479" s="1147"/>
      <c r="Y479" s="1147"/>
      <c r="Z479" s="1147"/>
      <c r="AA479" s="1147"/>
      <c r="AB479" s="1147"/>
      <c r="AC479" s="1147"/>
      <c r="AD479" s="1147"/>
      <c r="AE479" s="1147"/>
      <c r="AF479" s="1147"/>
      <c r="AG479" s="1147"/>
      <c r="AH479" s="1147"/>
      <c r="AI479" s="1147"/>
      <c r="AJ479" s="1147"/>
      <c r="AK479" s="1147"/>
      <c r="AL479" s="1147"/>
      <c r="AM479" s="1147"/>
      <c r="AN479" s="1147"/>
      <c r="AO479" s="1147"/>
      <c r="AP479" s="1147"/>
      <c r="AQ479" s="1147"/>
      <c r="AR479" s="1147"/>
      <c r="AS479" s="1147"/>
      <c r="AT479" s="1147"/>
      <c r="AU479" s="1147"/>
      <c r="AV479" s="1147"/>
      <c r="AW479" s="1147"/>
      <c r="AX479" s="1147"/>
      <c r="AY479" s="1147"/>
      <c r="AZ479" s="1147"/>
      <c r="BA479" s="1147"/>
      <c r="BB479" s="1147"/>
      <c r="BC479" s="1147"/>
      <c r="BD479" s="1147"/>
      <c r="BE479" s="1147"/>
      <c r="BF479" s="1147"/>
      <c r="BG479" s="1147"/>
      <c r="BH479" s="1147"/>
      <c r="BI479" s="1147"/>
      <c r="BJ479" s="1147"/>
      <c r="BK479" s="1147"/>
      <c r="BL479" s="1147"/>
      <c r="BM479" s="1147"/>
      <c r="BN479" s="1147"/>
      <c r="BO479" s="1147"/>
      <c r="BP479" s="1147"/>
      <c r="BQ479" s="1147"/>
      <c r="BR479" s="1147"/>
      <c r="BS479" s="1147"/>
      <c r="BT479" s="1147"/>
      <c r="BU479" s="1147"/>
      <c r="BV479" s="1147"/>
      <c r="BW479" s="1147"/>
      <c r="BX479" s="1147"/>
      <c r="BY479" s="1147"/>
      <c r="BZ479" s="1147"/>
      <c r="CA479" s="1147"/>
      <c r="CB479" s="1147"/>
      <c r="CC479" s="1147"/>
      <c r="CD479" s="1147"/>
      <c r="CE479" s="1147"/>
      <c r="CF479" s="1147"/>
      <c r="CG479" s="1147"/>
      <c r="CH479" s="1147"/>
      <c r="CI479" s="1147"/>
      <c r="CJ479" s="1147"/>
      <c r="CK479" s="1146"/>
    </row>
    <row r="480" spans="1:89" ht="15" x14ac:dyDescent="0.25">
      <c r="A480" s="1146"/>
      <c r="B480" s="1146"/>
      <c r="C480" s="1146"/>
      <c r="D480" s="1146"/>
      <c r="E480" s="1146"/>
      <c r="F480" s="1146"/>
      <c r="G480" s="1146"/>
      <c r="H480" s="1146"/>
      <c r="I480" s="1146"/>
      <c r="J480" s="1146"/>
      <c r="K480" s="1146"/>
      <c r="L480" s="1146"/>
      <c r="M480" s="1146"/>
      <c r="N480" s="1146"/>
      <c r="O480" s="1146"/>
      <c r="P480" s="1146"/>
      <c r="Q480" s="1146"/>
      <c r="R480" s="1146"/>
      <c r="S480" s="1146"/>
      <c r="T480" s="1147"/>
      <c r="U480" s="1147"/>
      <c r="V480" s="1147"/>
      <c r="W480" s="1147"/>
      <c r="X480" s="1147"/>
      <c r="Y480" s="1147"/>
      <c r="Z480" s="1147"/>
      <c r="AA480" s="1147"/>
      <c r="AB480" s="1147"/>
      <c r="AC480" s="1147"/>
      <c r="AD480" s="1147"/>
      <c r="AE480" s="1147"/>
      <c r="AF480" s="1147"/>
      <c r="AG480" s="1147"/>
      <c r="AH480" s="1147"/>
      <c r="AI480" s="1147"/>
      <c r="AJ480" s="1147"/>
      <c r="AK480" s="1147"/>
      <c r="AL480" s="1147"/>
      <c r="AM480" s="1147"/>
      <c r="AN480" s="1147"/>
      <c r="AO480" s="1147"/>
      <c r="AP480" s="1147"/>
      <c r="AQ480" s="1147"/>
      <c r="AR480" s="1147"/>
      <c r="AS480" s="1147"/>
      <c r="AT480" s="1147"/>
      <c r="AU480" s="1147"/>
      <c r="AV480" s="1147"/>
      <c r="AW480" s="1147"/>
      <c r="AX480" s="1147"/>
      <c r="AY480" s="1147"/>
      <c r="AZ480" s="1147"/>
      <c r="BA480" s="1147"/>
      <c r="BB480" s="1147"/>
      <c r="BC480" s="1147"/>
      <c r="BD480" s="1147"/>
      <c r="BE480" s="1147"/>
      <c r="BF480" s="1147"/>
      <c r="BG480" s="1147"/>
      <c r="BH480" s="1147"/>
      <c r="BI480" s="1147"/>
      <c r="BJ480" s="1147"/>
      <c r="BK480" s="1147"/>
      <c r="BL480" s="1147"/>
      <c r="BM480" s="1147"/>
      <c r="BN480" s="1147"/>
      <c r="BO480" s="1147"/>
      <c r="BP480" s="1147"/>
      <c r="BQ480" s="1147"/>
      <c r="BR480" s="1147"/>
      <c r="BS480" s="1147"/>
      <c r="BT480" s="1147"/>
      <c r="BU480" s="1147"/>
      <c r="BV480" s="1147"/>
      <c r="BW480" s="1147"/>
      <c r="BX480" s="1147"/>
      <c r="BY480" s="1147"/>
      <c r="BZ480" s="1147"/>
      <c r="CA480" s="1147"/>
      <c r="CB480" s="1147"/>
      <c r="CC480" s="1147"/>
      <c r="CD480" s="1147"/>
      <c r="CE480" s="1147"/>
      <c r="CF480" s="1147"/>
      <c r="CG480" s="1147"/>
      <c r="CH480" s="1147"/>
      <c r="CI480" s="1147"/>
      <c r="CJ480" s="1147"/>
      <c r="CK480" s="1146"/>
    </row>
    <row r="481" spans="1:89" ht="15" x14ac:dyDescent="0.25">
      <c r="A481" s="1146"/>
      <c r="B481" s="1146"/>
      <c r="C481" s="1146"/>
      <c r="D481" s="1146"/>
      <c r="E481" s="1146"/>
      <c r="F481" s="1146"/>
      <c r="G481" s="1146"/>
      <c r="H481" s="1146"/>
      <c r="I481" s="1146"/>
      <c r="J481" s="1146"/>
      <c r="K481" s="1146"/>
      <c r="L481" s="1146"/>
      <c r="M481" s="1146"/>
      <c r="N481" s="1146"/>
      <c r="O481" s="1146"/>
      <c r="P481" s="1146"/>
      <c r="Q481" s="1146"/>
      <c r="R481" s="1146"/>
      <c r="S481" s="1146"/>
      <c r="T481" s="1147"/>
      <c r="U481" s="1147"/>
      <c r="V481" s="1147"/>
      <c r="W481" s="1147"/>
      <c r="X481" s="1147"/>
      <c r="Y481" s="1147"/>
      <c r="Z481" s="1147"/>
      <c r="AA481" s="1147"/>
      <c r="AB481" s="1147"/>
      <c r="AC481" s="1147"/>
      <c r="AD481" s="1147"/>
      <c r="AE481" s="1147"/>
      <c r="AF481" s="1147"/>
      <c r="AG481" s="1147"/>
      <c r="AH481" s="1147"/>
      <c r="AI481" s="1147"/>
      <c r="AJ481" s="1147"/>
      <c r="AK481" s="1147"/>
      <c r="AL481" s="1147"/>
      <c r="AM481" s="1147"/>
      <c r="AN481" s="1147"/>
      <c r="AO481" s="1147"/>
      <c r="AP481" s="1147"/>
      <c r="AQ481" s="1147"/>
      <c r="AR481" s="1147"/>
      <c r="AS481" s="1147"/>
      <c r="AT481" s="1147"/>
      <c r="AU481" s="1147"/>
      <c r="AV481" s="1147"/>
      <c r="AW481" s="1147"/>
      <c r="AX481" s="1147"/>
      <c r="AY481" s="1147"/>
      <c r="AZ481" s="1147"/>
      <c r="BA481" s="1147"/>
      <c r="BB481" s="1147"/>
      <c r="BC481" s="1147"/>
      <c r="BD481" s="1147"/>
      <c r="BE481" s="1147"/>
      <c r="BF481" s="1147"/>
      <c r="BG481" s="1147"/>
      <c r="BH481" s="1147"/>
      <c r="BI481" s="1147"/>
      <c r="BJ481" s="1147"/>
      <c r="BK481" s="1147"/>
      <c r="BL481" s="1147"/>
      <c r="BM481" s="1147"/>
      <c r="BN481" s="1147"/>
      <c r="BO481" s="1147"/>
      <c r="BP481" s="1147"/>
      <c r="BQ481" s="1147"/>
      <c r="BR481" s="1147"/>
      <c r="BS481" s="1147"/>
      <c r="BT481" s="1147"/>
      <c r="BU481" s="1147"/>
      <c r="BV481" s="1147"/>
      <c r="BW481" s="1147"/>
      <c r="BX481" s="1147"/>
      <c r="BY481" s="1147"/>
      <c r="BZ481" s="1147"/>
      <c r="CA481" s="1147"/>
      <c r="CB481" s="1147"/>
      <c r="CC481" s="1147"/>
      <c r="CD481" s="1147"/>
      <c r="CE481" s="1147"/>
      <c r="CF481" s="1147"/>
      <c r="CG481" s="1147"/>
      <c r="CH481" s="1147"/>
      <c r="CI481" s="1147"/>
      <c r="CJ481" s="1147"/>
      <c r="CK481" s="1146"/>
    </row>
    <row r="482" spans="1:89" ht="15" x14ac:dyDescent="0.25">
      <c r="A482" s="1146"/>
      <c r="B482" s="1146"/>
      <c r="C482" s="1146"/>
      <c r="D482" s="1146"/>
      <c r="E482" s="1146"/>
      <c r="F482" s="1146"/>
      <c r="G482" s="1146"/>
      <c r="H482" s="1146"/>
      <c r="I482" s="1146"/>
      <c r="J482" s="1146"/>
      <c r="K482" s="1146"/>
      <c r="L482" s="1146"/>
      <c r="M482" s="1146"/>
      <c r="N482" s="1146"/>
      <c r="O482" s="1146"/>
      <c r="P482" s="1146"/>
      <c r="Q482" s="1146"/>
      <c r="R482" s="1146"/>
      <c r="S482" s="1146"/>
      <c r="T482" s="1147"/>
      <c r="U482" s="1147"/>
      <c r="V482" s="1147"/>
      <c r="W482" s="1147"/>
      <c r="X482" s="1147"/>
      <c r="Y482" s="1147"/>
      <c r="Z482" s="1147"/>
      <c r="AA482" s="1147"/>
      <c r="AB482" s="1147"/>
      <c r="AC482" s="1147"/>
      <c r="AD482" s="1147"/>
      <c r="AE482" s="1147"/>
      <c r="AF482" s="1147"/>
      <c r="AG482" s="1147"/>
      <c r="AH482" s="1147"/>
      <c r="AI482" s="1147"/>
      <c r="AJ482" s="1147"/>
      <c r="AK482" s="1147"/>
      <c r="AL482" s="1147"/>
      <c r="AM482" s="1147"/>
      <c r="AN482" s="1147"/>
      <c r="AO482" s="1147"/>
      <c r="AP482" s="1147"/>
      <c r="AQ482" s="1147"/>
      <c r="AR482" s="1147"/>
      <c r="AS482" s="1147"/>
      <c r="AT482" s="1147"/>
      <c r="AU482" s="1147"/>
      <c r="AV482" s="1147"/>
      <c r="AW482" s="1147"/>
      <c r="AX482" s="1147"/>
      <c r="AY482" s="1147"/>
      <c r="AZ482" s="1147"/>
      <c r="BA482" s="1147"/>
      <c r="BB482" s="1147"/>
      <c r="BC482" s="1147"/>
      <c r="BD482" s="1147"/>
      <c r="BE482" s="1147"/>
      <c r="BF482" s="1147"/>
      <c r="BG482" s="1147"/>
      <c r="BH482" s="1147"/>
      <c r="BI482" s="1147"/>
      <c r="BJ482" s="1147"/>
      <c r="BK482" s="1147"/>
      <c r="BL482" s="1147"/>
      <c r="BM482" s="1147"/>
      <c r="BN482" s="1147"/>
      <c r="BO482" s="1147"/>
      <c r="BP482" s="1147"/>
      <c r="BQ482" s="1147"/>
      <c r="BR482" s="1147"/>
      <c r="BS482" s="1147"/>
      <c r="BT482" s="1147"/>
      <c r="BU482" s="1147"/>
      <c r="BV482" s="1147"/>
      <c r="BW482" s="1147"/>
      <c r="BX482" s="1147"/>
      <c r="BY482" s="1147"/>
      <c r="BZ482" s="1147"/>
      <c r="CA482" s="1147"/>
      <c r="CB482" s="1147"/>
      <c r="CC482" s="1147"/>
      <c r="CD482" s="1147"/>
      <c r="CE482" s="1147"/>
      <c r="CF482" s="1147"/>
      <c r="CG482" s="1147"/>
      <c r="CH482" s="1147"/>
      <c r="CI482" s="1147"/>
      <c r="CJ482" s="1147"/>
      <c r="CK482" s="1146"/>
    </row>
    <row r="483" spans="1:89" ht="15" x14ac:dyDescent="0.25">
      <c r="A483" s="1146"/>
      <c r="B483" s="1146"/>
      <c r="C483" s="1146"/>
      <c r="D483" s="1146"/>
      <c r="E483" s="1146"/>
      <c r="F483" s="1146"/>
      <c r="G483" s="1146"/>
      <c r="H483" s="1146"/>
      <c r="I483" s="1146"/>
      <c r="J483" s="1146"/>
      <c r="K483" s="1146"/>
      <c r="L483" s="1146"/>
      <c r="M483" s="1146"/>
      <c r="N483" s="1146"/>
      <c r="O483" s="1146"/>
      <c r="P483" s="1146"/>
      <c r="Q483" s="1146"/>
      <c r="R483" s="1146"/>
      <c r="S483" s="1146"/>
      <c r="T483" s="1147"/>
      <c r="U483" s="1147"/>
      <c r="V483" s="1147"/>
      <c r="W483" s="1147"/>
      <c r="X483" s="1147"/>
      <c r="Y483" s="1147"/>
      <c r="Z483" s="1147"/>
      <c r="AA483" s="1147"/>
      <c r="AB483" s="1147"/>
      <c r="AC483" s="1147"/>
      <c r="AD483" s="1147"/>
      <c r="AE483" s="1147"/>
      <c r="AF483" s="1147"/>
      <c r="AG483" s="1147"/>
      <c r="AH483" s="1147"/>
      <c r="AI483" s="1147"/>
      <c r="AJ483" s="1147"/>
      <c r="AK483" s="1147"/>
      <c r="AL483" s="1147"/>
      <c r="AM483" s="1147"/>
      <c r="AN483" s="1147"/>
      <c r="AO483" s="1147"/>
      <c r="AP483" s="1147"/>
      <c r="AQ483" s="1147"/>
      <c r="AR483" s="1147"/>
      <c r="AS483" s="1147"/>
      <c r="AT483" s="1147"/>
      <c r="AU483" s="1147"/>
      <c r="AV483" s="1147"/>
      <c r="AW483" s="1147"/>
      <c r="AX483" s="1147"/>
      <c r="AY483" s="1147"/>
      <c r="AZ483" s="1147"/>
      <c r="BA483" s="1147"/>
      <c r="BB483" s="1147"/>
      <c r="BC483" s="1147"/>
      <c r="BD483" s="1147"/>
      <c r="BE483" s="1147"/>
      <c r="BF483" s="1147"/>
      <c r="BG483" s="1147"/>
      <c r="BH483" s="1147"/>
      <c r="BI483" s="1147"/>
      <c r="BJ483" s="1147"/>
      <c r="BK483" s="1147"/>
      <c r="BL483" s="1147"/>
      <c r="BM483" s="1147"/>
      <c r="BN483" s="1147"/>
      <c r="BO483" s="1147"/>
      <c r="BP483" s="1147"/>
      <c r="BQ483" s="1147"/>
      <c r="BR483" s="1147"/>
      <c r="BS483" s="1147"/>
      <c r="BT483" s="1147"/>
      <c r="BU483" s="1147"/>
      <c r="BV483" s="1147"/>
      <c r="BW483" s="1147"/>
      <c r="BX483" s="1147"/>
      <c r="BY483" s="1147"/>
      <c r="BZ483" s="1147"/>
      <c r="CA483" s="1147"/>
      <c r="CB483" s="1147"/>
      <c r="CC483" s="1147"/>
      <c r="CD483" s="1147"/>
      <c r="CE483" s="1147"/>
      <c r="CF483" s="1147"/>
      <c r="CG483" s="1147"/>
      <c r="CH483" s="1147"/>
      <c r="CI483" s="1147"/>
      <c r="CJ483" s="1147"/>
      <c r="CK483" s="1146"/>
    </row>
    <row r="484" spans="1:89" ht="15" x14ac:dyDescent="0.25">
      <c r="A484" s="1146"/>
      <c r="B484" s="1146"/>
      <c r="C484" s="1146"/>
      <c r="D484" s="1146"/>
      <c r="E484" s="1146"/>
      <c r="F484" s="1146"/>
      <c r="G484" s="1146"/>
      <c r="H484" s="1146"/>
      <c r="I484" s="1146"/>
      <c r="J484" s="1146"/>
      <c r="K484" s="1146"/>
      <c r="L484" s="1146"/>
      <c r="M484" s="1146"/>
      <c r="N484" s="1146"/>
      <c r="O484" s="1146"/>
      <c r="P484" s="1146"/>
      <c r="Q484" s="1146"/>
      <c r="R484" s="1146"/>
      <c r="S484" s="1146"/>
      <c r="T484" s="1147"/>
      <c r="U484" s="1147"/>
      <c r="V484" s="1147"/>
      <c r="W484" s="1147"/>
      <c r="X484" s="1147"/>
      <c r="Y484" s="1147"/>
      <c r="Z484" s="1147"/>
      <c r="AA484" s="1147"/>
      <c r="AB484" s="1147"/>
      <c r="AC484" s="1147"/>
      <c r="AD484" s="1147"/>
      <c r="AE484" s="1147"/>
      <c r="AF484" s="1147"/>
      <c r="AG484" s="1147"/>
      <c r="AH484" s="1147"/>
      <c r="AI484" s="1147"/>
      <c r="AJ484" s="1147"/>
      <c r="AK484" s="1147"/>
      <c r="AL484" s="1147"/>
      <c r="AM484" s="1147"/>
      <c r="AN484" s="1147"/>
      <c r="AO484" s="1147"/>
      <c r="AP484" s="1147"/>
      <c r="AQ484" s="1147"/>
      <c r="AR484" s="1147"/>
      <c r="AS484" s="1147"/>
      <c r="AT484" s="1147"/>
      <c r="AU484" s="1147"/>
      <c r="AV484" s="1147"/>
      <c r="AW484" s="1147"/>
      <c r="AX484" s="1147"/>
      <c r="AY484" s="1147"/>
      <c r="AZ484" s="1147"/>
      <c r="BA484" s="1147"/>
      <c r="BB484" s="1147"/>
      <c r="BC484" s="1147"/>
      <c r="BD484" s="1147"/>
      <c r="BE484" s="1147"/>
      <c r="BF484" s="1147"/>
      <c r="BG484" s="1147"/>
      <c r="BH484" s="1147"/>
      <c r="BI484" s="1147"/>
      <c r="BJ484" s="1147"/>
      <c r="BK484" s="1147"/>
      <c r="BL484" s="1147"/>
      <c r="BM484" s="1147"/>
      <c r="BN484" s="1147"/>
      <c r="BO484" s="1147"/>
      <c r="BP484" s="1147"/>
      <c r="BQ484" s="1147"/>
      <c r="BR484" s="1147"/>
      <c r="BS484" s="1147"/>
      <c r="BT484" s="1147"/>
      <c r="BU484" s="1147"/>
      <c r="BV484" s="1147"/>
      <c r="BW484" s="1147"/>
      <c r="BX484" s="1147"/>
      <c r="BY484" s="1147"/>
      <c r="BZ484" s="1147"/>
      <c r="CA484" s="1147"/>
      <c r="CB484" s="1147"/>
      <c r="CC484" s="1147"/>
      <c r="CD484" s="1147"/>
      <c r="CE484" s="1147"/>
      <c r="CF484" s="1147"/>
      <c r="CG484" s="1147"/>
      <c r="CH484" s="1147"/>
      <c r="CI484" s="1147"/>
      <c r="CJ484" s="1147"/>
      <c r="CK484" s="1146"/>
    </row>
    <row r="485" spans="1:89" ht="15" x14ac:dyDescent="0.25">
      <c r="A485" s="1146"/>
      <c r="B485" s="1146"/>
      <c r="C485" s="1146"/>
      <c r="D485" s="1146"/>
      <c r="E485" s="1146"/>
      <c r="F485" s="1146"/>
      <c r="G485" s="1146"/>
      <c r="H485" s="1146"/>
      <c r="I485" s="1146"/>
      <c r="J485" s="1146"/>
      <c r="K485" s="1146"/>
      <c r="L485" s="1146"/>
      <c r="M485" s="1146"/>
      <c r="N485" s="1146"/>
      <c r="O485" s="1146"/>
      <c r="P485" s="1146"/>
      <c r="Q485" s="1146"/>
      <c r="R485" s="1146"/>
      <c r="S485" s="1146"/>
      <c r="T485" s="1146"/>
      <c r="U485" s="1146"/>
      <c r="V485" s="1146"/>
      <c r="W485" s="1146"/>
      <c r="X485" s="1146"/>
      <c r="Y485" s="1146"/>
      <c r="Z485" s="1146"/>
      <c r="AA485" s="1146"/>
      <c r="AB485" s="1146"/>
      <c r="AC485" s="1146"/>
      <c r="AD485" s="1146"/>
      <c r="AE485" s="1146"/>
      <c r="AF485" s="1146"/>
      <c r="AG485" s="1146"/>
      <c r="AH485" s="1146"/>
      <c r="AI485" s="1146"/>
      <c r="AJ485" s="1146"/>
      <c r="AK485" s="1146"/>
      <c r="AL485" s="1146"/>
      <c r="AM485" s="1146"/>
      <c r="AN485" s="1146"/>
      <c r="AO485" s="1146"/>
      <c r="AP485" s="1146"/>
      <c r="AQ485" s="1146"/>
      <c r="AR485" s="1146"/>
      <c r="AS485" s="1146"/>
      <c r="AT485" s="1146"/>
      <c r="AU485" s="1146"/>
      <c r="AV485" s="1146"/>
      <c r="AW485" s="1146"/>
      <c r="AX485" s="1146"/>
      <c r="AY485" s="1146"/>
      <c r="AZ485" s="1146"/>
      <c r="BA485" s="1146"/>
      <c r="BB485" s="1146"/>
      <c r="BC485" s="1146"/>
      <c r="BD485" s="1146"/>
      <c r="BE485" s="1146"/>
      <c r="BF485" s="1146"/>
      <c r="BG485" s="1146"/>
      <c r="BH485" s="1146"/>
      <c r="BI485" s="1146"/>
      <c r="BJ485" s="1146"/>
      <c r="BK485" s="1146"/>
      <c r="BL485" s="1146"/>
      <c r="BM485" s="1146"/>
      <c r="BN485" s="1146"/>
      <c r="BO485" s="1146"/>
      <c r="BP485" s="1146"/>
      <c r="BQ485" s="1146"/>
      <c r="BR485" s="1146"/>
      <c r="BS485" s="1146"/>
      <c r="BT485" s="1146"/>
      <c r="BU485" s="1146"/>
      <c r="BV485" s="1146"/>
      <c r="BW485" s="1146"/>
      <c r="BX485" s="1146"/>
      <c r="BY485" s="1146"/>
      <c r="BZ485" s="1146"/>
      <c r="CA485" s="1146"/>
      <c r="CB485" s="1146"/>
      <c r="CC485" s="1146"/>
      <c r="CD485" s="1146"/>
      <c r="CE485" s="1146"/>
      <c r="CF485" s="1146"/>
      <c r="CG485" s="1146"/>
      <c r="CH485" s="1146"/>
      <c r="CI485" s="1146"/>
      <c r="CJ485" s="1146"/>
      <c r="CK485" s="1146"/>
    </row>
  </sheetData>
  <mergeCells count="2">
    <mergeCell ref="A1:B1"/>
    <mergeCell ref="E1:G2"/>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82F65-26AA-4EF4-B9E5-B72339EDA7BC}">
  <sheetPr>
    <tabColor theme="9" tint="0.59999389629810485"/>
  </sheetPr>
  <dimension ref="A2:BX218"/>
  <sheetViews>
    <sheetView showGridLines="0" topLeftCell="A25" zoomScale="85" zoomScaleNormal="85" workbookViewId="0">
      <selection activeCell="L22" sqref="L22"/>
    </sheetView>
  </sheetViews>
  <sheetFormatPr defaultColWidth="11.625" defaultRowHeight="21.95" customHeight="1" x14ac:dyDescent="0.2"/>
  <cols>
    <col min="1" max="1" width="3.375" customWidth="1"/>
    <col min="2" max="2" width="14.25" customWidth="1"/>
    <col min="3" max="3" width="14.5" customWidth="1"/>
    <col min="4" max="4" width="16.625" bestFit="1" customWidth="1"/>
    <col min="5" max="5" width="16.125" bestFit="1" customWidth="1"/>
    <col min="6" max="13" width="11.75" style="2" customWidth="1"/>
    <col min="14" max="14" width="12.75" style="2" customWidth="1"/>
    <col min="15" max="17" width="11.75" style="2" customWidth="1"/>
    <col min="18" max="18" width="16.375" style="2" customWidth="1"/>
    <col min="19" max="20" width="11.75" customWidth="1"/>
    <col min="21" max="21" width="13.5" customWidth="1"/>
    <col min="22" max="23" width="11.75" customWidth="1"/>
    <col min="24" max="24" width="13" customWidth="1"/>
    <col min="25" max="25" width="13.5" customWidth="1"/>
    <col min="26" max="26" width="14.75" customWidth="1"/>
    <col min="27" max="27" width="14.375" bestFit="1" customWidth="1"/>
    <col min="28" max="28" width="14.75" bestFit="1" customWidth="1"/>
    <col min="30" max="31" width="14.75" bestFit="1" customWidth="1"/>
    <col min="32" max="32" width="13.5" bestFit="1" customWidth="1"/>
    <col min="33" max="33" width="14.75" bestFit="1" customWidth="1"/>
    <col min="35" max="35" width="14.75" customWidth="1"/>
  </cols>
  <sheetData>
    <row r="2" spans="2:22" ht="23.25" x14ac:dyDescent="0.2">
      <c r="B2" s="394" t="s">
        <v>149</v>
      </c>
      <c r="C2" s="10"/>
      <c r="D2" s="10"/>
      <c r="E2" s="10"/>
    </row>
    <row r="3" spans="2:22" ht="21.95" customHeight="1" x14ac:dyDescent="0.2">
      <c r="B3" t="s">
        <v>728</v>
      </c>
      <c r="F3"/>
      <c r="G3"/>
      <c r="H3"/>
      <c r="I3"/>
      <c r="J3"/>
      <c r="K3"/>
      <c r="L3"/>
      <c r="M3"/>
      <c r="N3"/>
      <c r="O3"/>
      <c r="P3"/>
      <c r="Q3"/>
    </row>
    <row r="4" spans="2:22" ht="21.95" customHeight="1" x14ac:dyDescent="0.2">
      <c r="I4" s="520"/>
      <c r="J4" s="520"/>
    </row>
    <row r="5" spans="2:22" ht="21.95" customHeight="1" x14ac:dyDescent="0.2">
      <c r="J5" s="563" t="s">
        <v>150</v>
      </c>
      <c r="K5" s="31"/>
      <c r="L5" s="31"/>
      <c r="M5" s="31"/>
      <c r="N5" s="31"/>
      <c r="Q5"/>
      <c r="S5" s="2"/>
      <c r="T5" s="2"/>
      <c r="U5" s="2"/>
      <c r="V5" s="2"/>
    </row>
    <row r="6" spans="2:22" ht="21.95" customHeight="1" x14ac:dyDescent="0.2">
      <c r="J6" s="9" t="s">
        <v>151</v>
      </c>
      <c r="K6"/>
      <c r="L6"/>
      <c r="M6"/>
      <c r="Q6"/>
      <c r="R6"/>
    </row>
    <row r="7" spans="2:22" ht="21.95" customHeight="1" x14ac:dyDescent="0.2">
      <c r="J7" s="9" t="s">
        <v>152</v>
      </c>
      <c r="K7"/>
      <c r="L7"/>
      <c r="M7"/>
      <c r="Q7"/>
      <c r="R7"/>
    </row>
    <row r="8" spans="2:22" ht="21.95" customHeight="1" x14ac:dyDescent="0.2">
      <c r="J8"/>
      <c r="K8"/>
      <c r="L8"/>
      <c r="M8"/>
      <c r="Q8"/>
      <c r="R8"/>
    </row>
    <row r="9" spans="2:22" ht="21.95" customHeight="1" x14ac:dyDescent="0.2">
      <c r="J9"/>
      <c r="K9"/>
      <c r="L9"/>
      <c r="M9"/>
      <c r="Q9"/>
      <c r="R9"/>
    </row>
    <row r="10" spans="2:22" ht="21.95" customHeight="1" x14ac:dyDescent="0.2">
      <c r="J10"/>
      <c r="K10"/>
      <c r="L10"/>
      <c r="M10"/>
      <c r="Q10"/>
      <c r="R10"/>
    </row>
    <row r="11" spans="2:22" ht="21.95" customHeight="1" x14ac:dyDescent="0.2">
      <c r="J11"/>
      <c r="K11"/>
      <c r="L11"/>
      <c r="M11"/>
      <c r="R11"/>
    </row>
    <row r="12" spans="2:22" ht="21.95" customHeight="1" x14ac:dyDescent="0.2">
      <c r="J12"/>
      <c r="K12"/>
      <c r="L12"/>
      <c r="M12"/>
      <c r="R12"/>
    </row>
    <row r="13" spans="2:22" ht="21.95" customHeight="1" x14ac:dyDescent="0.2">
      <c r="J13"/>
      <c r="K13"/>
      <c r="L13"/>
      <c r="M13"/>
    </row>
    <row r="16" spans="2:22" ht="21.95" customHeight="1" x14ac:dyDescent="0.2">
      <c r="K16" s="369" t="s">
        <v>389</v>
      </c>
      <c r="L16" s="369"/>
      <c r="M16" s="370"/>
      <c r="N16" s="370" t="s">
        <v>714</v>
      </c>
      <c r="O16" s="370" t="s">
        <v>631</v>
      </c>
    </row>
    <row r="17" spans="2:32" ht="21.95" customHeight="1" x14ac:dyDescent="0.2">
      <c r="K17" s="369" t="s">
        <v>127</v>
      </c>
      <c r="L17" s="369" t="s">
        <v>390</v>
      </c>
      <c r="M17" s="369" t="s">
        <v>391</v>
      </c>
      <c r="N17" s="369" t="s">
        <v>393</v>
      </c>
      <c r="O17" s="369" t="s">
        <v>393</v>
      </c>
      <c r="Z17" s="367"/>
      <c r="AA17" s="367"/>
      <c r="AB17" s="367"/>
      <c r="AC17" s="367"/>
    </row>
    <row r="18" spans="2:32" ht="21.95" customHeight="1" x14ac:dyDescent="0.2">
      <c r="K18" s="369">
        <v>75</v>
      </c>
      <c r="L18" s="369">
        <v>2400</v>
      </c>
      <c r="M18" s="369" t="s">
        <v>392</v>
      </c>
      <c r="N18" s="369" t="s">
        <v>392</v>
      </c>
      <c r="O18" s="369" t="s">
        <v>392</v>
      </c>
      <c r="AC18" s="7"/>
    </row>
    <row r="19" spans="2:32" ht="21.95" customHeight="1" x14ac:dyDescent="0.2">
      <c r="K19" s="369">
        <v>70</v>
      </c>
      <c r="L19" s="369">
        <v>2400</v>
      </c>
      <c r="M19" s="369">
        <v>2300</v>
      </c>
      <c r="N19" s="369" t="s">
        <v>392</v>
      </c>
      <c r="O19" s="369" t="s">
        <v>392</v>
      </c>
    </row>
    <row r="20" spans="2:32" ht="21.95" customHeight="1" x14ac:dyDescent="0.2">
      <c r="K20" s="369">
        <v>65</v>
      </c>
      <c r="L20" s="369">
        <v>2350</v>
      </c>
      <c r="M20" s="369">
        <v>2300</v>
      </c>
      <c r="N20" s="369">
        <f>$G$32</f>
        <v>800</v>
      </c>
      <c r="O20" s="369">
        <f>$G$32</f>
        <v>800</v>
      </c>
    </row>
    <row r="21" spans="2:32" ht="21.95" customHeight="1" x14ac:dyDescent="0.2">
      <c r="K21" s="369">
        <v>60</v>
      </c>
      <c r="L21" s="369">
        <v>2300</v>
      </c>
      <c r="M21" s="369">
        <v>2200</v>
      </c>
      <c r="N21" s="369">
        <f t="shared" ref="N21:O30" si="0">$G$32</f>
        <v>800</v>
      </c>
      <c r="O21" s="369">
        <f t="shared" si="0"/>
        <v>800</v>
      </c>
    </row>
    <row r="22" spans="2:32" ht="21.95" customHeight="1" x14ac:dyDescent="0.2">
      <c r="K22" s="369">
        <v>55</v>
      </c>
      <c r="L22" s="369">
        <v>2250</v>
      </c>
      <c r="M22" s="369">
        <v>2100</v>
      </c>
      <c r="N22" s="369">
        <f t="shared" si="0"/>
        <v>800</v>
      </c>
      <c r="O22" s="369">
        <f t="shared" si="0"/>
        <v>800</v>
      </c>
      <c r="AF22" s="1"/>
    </row>
    <row r="23" spans="2:32" ht="21.95" customHeight="1" x14ac:dyDescent="0.2">
      <c r="K23" s="369">
        <v>50</v>
      </c>
      <c r="L23" s="369" t="s">
        <v>392</v>
      </c>
      <c r="M23" s="369">
        <v>2000</v>
      </c>
      <c r="N23" s="369">
        <f t="shared" si="0"/>
        <v>800</v>
      </c>
      <c r="O23" s="369">
        <f t="shared" si="0"/>
        <v>800</v>
      </c>
    </row>
    <row r="24" spans="2:32" ht="21.95" customHeight="1" x14ac:dyDescent="0.2">
      <c r="K24" s="369">
        <v>45</v>
      </c>
      <c r="L24" s="369" t="s">
        <v>392</v>
      </c>
      <c r="M24" s="369">
        <v>1900</v>
      </c>
      <c r="N24" s="369">
        <f t="shared" si="0"/>
        <v>800</v>
      </c>
      <c r="O24" s="369">
        <f t="shared" si="0"/>
        <v>800</v>
      </c>
    </row>
    <row r="25" spans="2:32" ht="21.95" customHeight="1" x14ac:dyDescent="0.2">
      <c r="K25" s="369">
        <v>40</v>
      </c>
      <c r="L25" s="369" t="s">
        <v>392</v>
      </c>
      <c r="M25" s="369">
        <v>1850</v>
      </c>
      <c r="N25" s="369">
        <f t="shared" si="0"/>
        <v>800</v>
      </c>
      <c r="O25" s="369">
        <f t="shared" si="0"/>
        <v>800</v>
      </c>
    </row>
    <row r="26" spans="2:32" ht="21.95" customHeight="1" x14ac:dyDescent="0.2">
      <c r="B26" s="563"/>
      <c r="C26" s="31"/>
      <c r="D26" s="31"/>
      <c r="E26" s="31"/>
      <c r="F26" s="31"/>
      <c r="G26" s="31"/>
      <c r="H26" s="31"/>
      <c r="I26" s="31"/>
      <c r="J26" s="31"/>
      <c r="K26" s="369">
        <v>35</v>
      </c>
      <c r="L26" s="369" t="s">
        <v>392</v>
      </c>
      <c r="M26" s="369">
        <v>1800</v>
      </c>
      <c r="N26" s="369">
        <f t="shared" si="0"/>
        <v>800</v>
      </c>
      <c r="O26" s="369">
        <f t="shared" si="0"/>
        <v>800</v>
      </c>
    </row>
    <row r="27" spans="2:32" ht="21.95" customHeight="1" x14ac:dyDescent="0.2">
      <c r="B27" s="9"/>
      <c r="K27" s="369">
        <v>30</v>
      </c>
      <c r="L27" s="369" t="s">
        <v>392</v>
      </c>
      <c r="M27" s="369">
        <v>1750</v>
      </c>
      <c r="N27" s="369">
        <f t="shared" si="0"/>
        <v>800</v>
      </c>
      <c r="O27" s="369">
        <f t="shared" si="0"/>
        <v>800</v>
      </c>
    </row>
    <row r="28" spans="2:32" ht="21.95" customHeight="1" x14ac:dyDescent="0.2">
      <c r="B28" s="9"/>
      <c r="K28" s="369">
        <v>25</v>
      </c>
      <c r="L28" s="369" t="s">
        <v>392</v>
      </c>
      <c r="M28" s="369">
        <v>1700</v>
      </c>
      <c r="N28" s="369">
        <f t="shared" si="0"/>
        <v>800</v>
      </c>
      <c r="O28" s="369">
        <f t="shared" si="0"/>
        <v>800</v>
      </c>
    </row>
    <row r="29" spans="2:32" ht="21.95" customHeight="1" x14ac:dyDescent="0.2">
      <c r="C29" s="1443" t="s">
        <v>720</v>
      </c>
      <c r="D29" s="1444"/>
      <c r="E29" s="1232" t="s">
        <v>452</v>
      </c>
      <c r="F29" s="1232" t="s">
        <v>456</v>
      </c>
      <c r="G29" s="1232" t="s">
        <v>719</v>
      </c>
      <c r="K29" s="369">
        <v>20</v>
      </c>
      <c r="L29" s="369" t="s">
        <v>392</v>
      </c>
      <c r="M29" s="369">
        <v>1650</v>
      </c>
      <c r="N29" s="369">
        <f t="shared" si="0"/>
        <v>800</v>
      </c>
      <c r="O29" s="369">
        <f t="shared" si="0"/>
        <v>800</v>
      </c>
    </row>
    <row r="30" spans="2:32" ht="21.95" customHeight="1" x14ac:dyDescent="0.2">
      <c r="C30" s="1332" t="s">
        <v>716</v>
      </c>
      <c r="D30" s="1334"/>
      <c r="E30" s="1233">
        <v>0.2</v>
      </c>
      <c r="F30" s="1117">
        <v>10</v>
      </c>
      <c r="G30" s="1117" t="s">
        <v>721</v>
      </c>
      <c r="K30" s="369">
        <v>15</v>
      </c>
      <c r="L30" s="369" t="s">
        <v>392</v>
      </c>
      <c r="M30" s="369">
        <v>1600</v>
      </c>
      <c r="N30" s="369">
        <f t="shared" si="0"/>
        <v>800</v>
      </c>
      <c r="O30" s="369">
        <f t="shared" si="0"/>
        <v>800</v>
      </c>
      <c r="AD30" s="279"/>
    </row>
    <row r="31" spans="2:32" ht="21.95" customHeight="1" x14ac:dyDescent="0.2">
      <c r="C31" s="1332" t="s">
        <v>717</v>
      </c>
      <c r="D31" s="1334"/>
      <c r="E31" s="1233">
        <v>0.2</v>
      </c>
      <c r="F31" s="1117">
        <v>10</v>
      </c>
      <c r="G31" s="1117" t="s">
        <v>721</v>
      </c>
      <c r="I31"/>
      <c r="K31" s="9" t="s">
        <v>715</v>
      </c>
      <c r="R31"/>
    </row>
    <row r="32" spans="2:32" ht="21.95" customHeight="1" x14ac:dyDescent="0.2">
      <c r="C32" s="1332" t="s">
        <v>723</v>
      </c>
      <c r="D32" s="1334"/>
      <c r="E32" s="1117">
        <v>0.05</v>
      </c>
      <c r="F32" s="1117">
        <v>10</v>
      </c>
      <c r="G32" s="1117">
        <v>800</v>
      </c>
      <c r="R32"/>
    </row>
    <row r="33" spans="1:21" ht="21.95" customHeight="1" x14ac:dyDescent="0.2">
      <c r="C33" s="1332" t="s">
        <v>718</v>
      </c>
      <c r="D33" s="1334"/>
      <c r="E33" s="1117">
        <v>0.55000000000000004</v>
      </c>
      <c r="F33" s="1117">
        <v>8</v>
      </c>
      <c r="G33" s="1117">
        <v>1600</v>
      </c>
      <c r="R33" s="73"/>
    </row>
    <row r="34" spans="1:21" ht="21.95" customHeight="1" x14ac:dyDescent="0.2">
      <c r="C34" t="s">
        <v>722</v>
      </c>
    </row>
    <row r="35" spans="1:21" ht="21.95" customHeight="1" thickBot="1" x14ac:dyDescent="0.25">
      <c r="C35" t="s">
        <v>724</v>
      </c>
    </row>
    <row r="36" spans="1:21" ht="21.95" customHeight="1" x14ac:dyDescent="0.2">
      <c r="A36" s="1234"/>
      <c r="B36" s="1235"/>
      <c r="C36" s="1235"/>
      <c r="D36" s="1235"/>
      <c r="E36" s="1235"/>
      <c r="F36" s="1236"/>
      <c r="G36" s="1236"/>
      <c r="H36" s="1236"/>
      <c r="I36" s="1236"/>
      <c r="J36" s="1236"/>
      <c r="K36" s="1236"/>
      <c r="L36" s="1236"/>
      <c r="M36" s="1236"/>
      <c r="N36" s="1236"/>
      <c r="O36" s="1236"/>
      <c r="P36" s="1236"/>
      <c r="Q36" s="1236"/>
      <c r="R36" s="1236"/>
      <c r="S36" s="1235"/>
      <c r="T36" s="1235"/>
      <c r="U36" s="1237"/>
    </row>
    <row r="37" spans="1:21" ht="21.95" customHeight="1" x14ac:dyDescent="0.2">
      <c r="A37" s="1440" t="s">
        <v>725</v>
      </c>
      <c r="B37" s="1441"/>
      <c r="U37" s="209"/>
    </row>
    <row r="38" spans="1:21" ht="21.95" customHeight="1" x14ac:dyDescent="0.2">
      <c r="A38" s="1440"/>
      <c r="B38" s="1441"/>
      <c r="U38" s="209"/>
    </row>
    <row r="39" spans="1:21" ht="21.95" customHeight="1" x14ac:dyDescent="0.2">
      <c r="A39" s="1440"/>
      <c r="B39" s="1441"/>
      <c r="U39" s="209"/>
    </row>
    <row r="40" spans="1:21" ht="21.95" customHeight="1" x14ac:dyDescent="0.2">
      <c r="A40" s="1440"/>
      <c r="B40" s="1441"/>
      <c r="U40" s="209"/>
    </row>
    <row r="41" spans="1:21" ht="21.95" customHeight="1" x14ac:dyDescent="0.2">
      <c r="A41" s="1440"/>
      <c r="B41" s="1441"/>
      <c r="U41" s="209"/>
    </row>
    <row r="42" spans="1:21" ht="21.95" customHeight="1" x14ac:dyDescent="0.2">
      <c r="A42" s="1440"/>
      <c r="B42" s="1441"/>
      <c r="U42" s="209"/>
    </row>
    <row r="43" spans="1:21" ht="21.95" customHeight="1" x14ac:dyDescent="0.2">
      <c r="A43" s="1440"/>
      <c r="B43" s="1441"/>
      <c r="U43" s="209"/>
    </row>
    <row r="44" spans="1:21" ht="21.95" customHeight="1" x14ac:dyDescent="0.2">
      <c r="A44" s="1440"/>
      <c r="B44" s="1441"/>
      <c r="U44" s="209"/>
    </row>
    <row r="45" spans="1:21" ht="21.95" customHeight="1" x14ac:dyDescent="0.2">
      <c r="A45" s="1440"/>
      <c r="B45" s="1441"/>
      <c r="U45" s="209"/>
    </row>
    <row r="46" spans="1:21" ht="21.95" customHeight="1" x14ac:dyDescent="0.2">
      <c r="A46" s="197"/>
      <c r="U46" s="209"/>
    </row>
    <row r="47" spans="1:21" ht="21.95" customHeight="1" x14ac:dyDescent="0.2">
      <c r="A47" s="197"/>
      <c r="U47" s="209"/>
    </row>
    <row r="48" spans="1:21" ht="21.95" customHeight="1" thickBot="1" x14ac:dyDescent="0.25">
      <c r="A48" s="201"/>
      <c r="B48" s="202"/>
      <c r="C48" s="202"/>
      <c r="D48" s="202"/>
      <c r="E48" s="202"/>
      <c r="F48" s="1238"/>
      <c r="G48" s="1238"/>
      <c r="H48" s="1238"/>
      <c r="I48" s="1238"/>
      <c r="J48" s="1238"/>
      <c r="K48" s="1238"/>
      <c r="L48" s="1238"/>
      <c r="M48" s="1238"/>
      <c r="N48" s="1238"/>
      <c r="O48" s="1238"/>
      <c r="P48" s="1238"/>
      <c r="Q48" s="1238"/>
      <c r="R48" s="1238"/>
      <c r="S48" s="202"/>
      <c r="T48" s="202"/>
      <c r="U48" s="210"/>
    </row>
    <row r="49" spans="1:21" ht="21.95" customHeight="1" x14ac:dyDescent="0.2">
      <c r="A49" s="1234"/>
      <c r="B49" s="1235"/>
      <c r="C49" s="1235"/>
      <c r="D49" s="1235"/>
      <c r="E49" s="1235"/>
      <c r="F49" s="1236"/>
      <c r="G49" s="1236"/>
      <c r="H49" s="1236"/>
      <c r="I49" s="1236"/>
      <c r="J49" s="1236"/>
      <c r="K49" s="1236"/>
      <c r="L49" s="1236"/>
      <c r="M49" s="1236"/>
      <c r="N49" s="1236"/>
      <c r="O49" s="1236"/>
      <c r="P49" s="1236"/>
      <c r="Q49" s="1236"/>
      <c r="R49" s="1236"/>
      <c r="S49" s="1235"/>
      <c r="T49" s="1235"/>
      <c r="U49" s="1237"/>
    </row>
    <row r="50" spans="1:21" ht="21.95" customHeight="1" x14ac:dyDescent="0.2">
      <c r="A50" s="197"/>
      <c r="U50" s="209"/>
    </row>
    <row r="51" spans="1:21" ht="21.95" customHeight="1" x14ac:dyDescent="0.2">
      <c r="A51" s="197"/>
      <c r="U51" s="209"/>
    </row>
    <row r="52" spans="1:21" ht="21.95" customHeight="1" x14ac:dyDescent="0.2">
      <c r="A52" s="197"/>
      <c r="U52" s="209"/>
    </row>
    <row r="53" spans="1:21" ht="21.95" customHeight="1" x14ac:dyDescent="0.2">
      <c r="A53" s="197"/>
      <c r="B53" s="1442" t="s">
        <v>726</v>
      </c>
      <c r="C53" s="1442"/>
      <c r="U53" s="209"/>
    </row>
    <row r="54" spans="1:21" ht="21.95" customHeight="1" x14ac:dyDescent="0.2">
      <c r="A54" s="197"/>
      <c r="B54" s="1442"/>
      <c r="C54" s="1442"/>
      <c r="U54" s="209"/>
    </row>
    <row r="55" spans="1:21" ht="21.95" customHeight="1" x14ac:dyDescent="0.2">
      <c r="A55" s="197"/>
      <c r="B55" s="1442"/>
      <c r="C55" s="1442"/>
      <c r="U55" s="209"/>
    </row>
    <row r="56" spans="1:21" ht="21.95" customHeight="1" x14ac:dyDescent="0.2">
      <c r="A56" s="197"/>
      <c r="B56" s="1442"/>
      <c r="C56" s="1442"/>
      <c r="U56" s="209"/>
    </row>
    <row r="57" spans="1:21" ht="21.95" customHeight="1" x14ac:dyDescent="0.2">
      <c r="A57" s="197"/>
      <c r="U57" s="209"/>
    </row>
    <row r="58" spans="1:21" ht="21.95" customHeight="1" x14ac:dyDescent="0.2">
      <c r="A58" s="197"/>
      <c r="U58" s="209"/>
    </row>
    <row r="59" spans="1:21" ht="21.95" customHeight="1" x14ac:dyDescent="0.2">
      <c r="A59" s="197"/>
      <c r="U59" s="209"/>
    </row>
    <row r="60" spans="1:21" ht="21.95" customHeight="1" x14ac:dyDescent="0.2">
      <c r="A60" s="197"/>
      <c r="U60" s="209"/>
    </row>
    <row r="61" spans="1:21" ht="21.95" customHeight="1" x14ac:dyDescent="0.2">
      <c r="A61" s="197"/>
      <c r="U61" s="209"/>
    </row>
    <row r="62" spans="1:21" ht="21.95" customHeight="1" x14ac:dyDescent="0.2">
      <c r="A62" s="197"/>
      <c r="U62" s="209"/>
    </row>
    <row r="63" spans="1:21" ht="21.95" customHeight="1" x14ac:dyDescent="0.2">
      <c r="A63" s="197"/>
      <c r="U63" s="209"/>
    </row>
    <row r="64" spans="1:21" ht="21.95" customHeight="1" x14ac:dyDescent="0.2">
      <c r="A64" s="197"/>
      <c r="U64" s="209"/>
    </row>
    <row r="65" spans="1:21" ht="21.95" customHeight="1" x14ac:dyDescent="0.2">
      <c r="A65" s="197"/>
      <c r="U65" s="209"/>
    </row>
    <row r="66" spans="1:21" ht="21.95" customHeight="1" x14ac:dyDescent="0.2">
      <c r="A66" s="197"/>
      <c r="U66" s="209"/>
    </row>
    <row r="67" spans="1:21" ht="21.95" customHeight="1" thickBot="1" x14ac:dyDescent="0.25">
      <c r="A67" s="201"/>
      <c r="B67" s="202"/>
      <c r="C67" s="202"/>
      <c r="D67" s="202"/>
      <c r="E67" s="202"/>
      <c r="F67" s="1238"/>
      <c r="G67" s="1238"/>
      <c r="H67" s="1238"/>
      <c r="I67" s="1238"/>
      <c r="J67" s="1238"/>
      <c r="K67" s="1238"/>
      <c r="L67" s="1238"/>
      <c r="M67" s="1238"/>
      <c r="N67" s="1238"/>
      <c r="O67" s="1238"/>
      <c r="P67" s="1238"/>
      <c r="Q67" s="1238"/>
      <c r="R67" s="1238"/>
      <c r="S67" s="202"/>
      <c r="T67" s="202"/>
      <c r="U67" s="210"/>
    </row>
    <row r="68" spans="1:21" ht="21.95" customHeight="1" x14ac:dyDescent="0.2">
      <c r="A68" s="1234"/>
      <c r="B68" s="1235"/>
      <c r="C68" s="1235"/>
      <c r="D68" s="1235"/>
      <c r="E68" s="1235"/>
      <c r="F68" s="1236"/>
      <c r="G68" s="1236"/>
      <c r="H68" s="1236"/>
      <c r="I68" s="1236"/>
      <c r="J68" s="1236"/>
      <c r="K68" s="1236"/>
      <c r="L68" s="1236"/>
      <c r="M68" s="1236"/>
      <c r="N68" s="1236"/>
      <c r="O68" s="1236"/>
      <c r="P68" s="1236"/>
      <c r="Q68" s="1236"/>
      <c r="R68" s="1236"/>
      <c r="S68" s="1235"/>
      <c r="T68" s="1235"/>
      <c r="U68" s="1237"/>
    </row>
    <row r="69" spans="1:21" ht="21.95" customHeight="1" x14ac:dyDescent="0.2">
      <c r="A69" s="197"/>
      <c r="U69" s="209"/>
    </row>
    <row r="70" spans="1:21" ht="21.95" customHeight="1" x14ac:dyDescent="0.2">
      <c r="A70" s="197"/>
      <c r="U70" s="209"/>
    </row>
    <row r="71" spans="1:21" ht="21.95" customHeight="1" x14ac:dyDescent="0.2">
      <c r="A71" s="197"/>
      <c r="U71" s="209"/>
    </row>
    <row r="72" spans="1:21" ht="21.95" customHeight="1" x14ac:dyDescent="0.2">
      <c r="A72" s="197"/>
      <c r="U72" s="209"/>
    </row>
    <row r="73" spans="1:21" ht="21.95" customHeight="1" x14ac:dyDescent="0.2">
      <c r="A73" s="197"/>
      <c r="B73" s="1239" t="s">
        <v>727</v>
      </c>
      <c r="U73" s="209"/>
    </row>
    <row r="74" spans="1:21" ht="21.95" customHeight="1" x14ac:dyDescent="0.2">
      <c r="A74" s="197"/>
      <c r="U74" s="209"/>
    </row>
    <row r="75" spans="1:21" ht="21.95" customHeight="1" x14ac:dyDescent="0.2">
      <c r="A75" s="197"/>
      <c r="U75" s="209"/>
    </row>
    <row r="76" spans="1:21" ht="21.95" customHeight="1" x14ac:dyDescent="0.2">
      <c r="A76" s="197"/>
      <c r="U76" s="209"/>
    </row>
    <row r="77" spans="1:21" ht="21.95" customHeight="1" x14ac:dyDescent="0.2">
      <c r="A77" s="197"/>
      <c r="U77" s="209"/>
    </row>
    <row r="78" spans="1:21" ht="21.95" customHeight="1" x14ac:dyDescent="0.2">
      <c r="A78" s="197"/>
      <c r="U78" s="209"/>
    </row>
    <row r="79" spans="1:21" ht="21.95" customHeight="1" x14ac:dyDescent="0.2">
      <c r="A79" s="197"/>
      <c r="U79" s="209"/>
    </row>
    <row r="80" spans="1:21" ht="21.95" customHeight="1" x14ac:dyDescent="0.2">
      <c r="A80" s="197"/>
      <c r="U80" s="209"/>
    </row>
    <row r="81" spans="1:76" ht="21.95" customHeight="1" thickBot="1" x14ac:dyDescent="0.25">
      <c r="A81" s="201"/>
      <c r="B81" s="202"/>
      <c r="C81" s="202"/>
      <c r="D81" s="202"/>
      <c r="E81" s="202"/>
      <c r="F81" s="1238"/>
      <c r="G81" s="1238"/>
      <c r="H81" s="1238"/>
      <c r="I81" s="1238"/>
      <c r="J81" s="1238"/>
      <c r="K81" s="1238"/>
      <c r="L81" s="1238"/>
      <c r="M81" s="1238"/>
      <c r="N81" s="1238"/>
      <c r="O81" s="1238"/>
      <c r="P81" s="1238"/>
      <c r="Q81" s="1238"/>
      <c r="R81" s="1238"/>
      <c r="S81" s="202"/>
      <c r="T81" s="202"/>
      <c r="U81" s="210"/>
    </row>
    <row r="83" spans="1:76" ht="21.95" customHeight="1" x14ac:dyDescent="0.2">
      <c r="AC83" s="1" t="s">
        <v>396</v>
      </c>
    </row>
    <row r="84" spans="1:76" ht="21.95" customHeight="1" x14ac:dyDescent="0.2">
      <c r="B84" s="563" t="s">
        <v>216</v>
      </c>
      <c r="X84" s="73"/>
      <c r="Y84" s="73"/>
      <c r="Z84" s="73"/>
      <c r="AA84" s="73"/>
      <c r="AB84" s="73"/>
      <c r="AC84" s="382" t="s">
        <v>411</v>
      </c>
      <c r="AD84" s="73"/>
      <c r="AE84" s="73"/>
      <c r="AF84" s="73"/>
    </row>
    <row r="85" spans="1:76" ht="21.95" customHeight="1" thickBot="1" x14ac:dyDescent="0.25">
      <c r="B85" t="s">
        <v>242</v>
      </c>
      <c r="AX85" s="643"/>
      <c r="AY85" s="643"/>
      <c r="AZ85" s="643"/>
      <c r="BA85" s="643"/>
      <c r="BB85" s="643"/>
      <c r="BC85" s="643"/>
      <c r="BD85" s="643"/>
      <c r="BE85" s="643"/>
      <c r="BF85" s="643"/>
      <c r="BG85" s="643"/>
      <c r="BH85" s="643"/>
      <c r="BI85" s="643"/>
      <c r="BJ85" s="643"/>
      <c r="BK85" s="643"/>
      <c r="BL85" s="643"/>
      <c r="BM85" s="643"/>
      <c r="BN85" s="643"/>
      <c r="BO85" s="643"/>
      <c r="BP85" s="643"/>
      <c r="BQ85" s="643"/>
      <c r="BR85" s="643"/>
      <c r="BS85" s="643"/>
      <c r="BT85" s="643"/>
      <c r="BU85" s="643"/>
      <c r="BV85" s="643"/>
      <c r="BW85" s="643"/>
    </row>
    <row r="86" spans="1:76" ht="21.95" customHeight="1" thickTop="1" x14ac:dyDescent="0.2">
      <c r="B86" s="1376" t="s">
        <v>27</v>
      </c>
      <c r="C86" s="1341" t="s">
        <v>328</v>
      </c>
      <c r="D86" s="1341" t="s">
        <v>18</v>
      </c>
      <c r="E86" s="1341"/>
      <c r="F86" s="1341" t="s">
        <v>250</v>
      </c>
      <c r="G86" s="1341" t="s">
        <v>251</v>
      </c>
      <c r="H86" s="1378" t="s">
        <v>412</v>
      </c>
      <c r="I86" s="1378" t="s">
        <v>351</v>
      </c>
      <c r="J86" s="1378" t="s">
        <v>417</v>
      </c>
      <c r="K86" s="1378" t="s">
        <v>425</v>
      </c>
      <c r="L86" s="1341" t="s">
        <v>418</v>
      </c>
      <c r="M86" s="1341" t="s">
        <v>419</v>
      </c>
      <c r="N86" s="1341" t="s">
        <v>420</v>
      </c>
      <c r="O86" s="1341" t="s">
        <v>421</v>
      </c>
      <c r="P86" s="1341" t="s">
        <v>422</v>
      </c>
      <c r="Q86" s="1341" t="s">
        <v>423</v>
      </c>
      <c r="R86" s="1378" t="s">
        <v>424</v>
      </c>
      <c r="S86" s="1378" t="s">
        <v>426</v>
      </c>
      <c r="T86" s="1378" t="s">
        <v>381</v>
      </c>
      <c r="U86" s="1378" t="s">
        <v>466</v>
      </c>
      <c r="V86" s="1378" t="s">
        <v>452</v>
      </c>
      <c r="W86" s="1455" t="s">
        <v>456</v>
      </c>
      <c r="X86" s="1451" t="s">
        <v>394</v>
      </c>
      <c r="Y86" s="1451"/>
      <c r="Z86" s="1451"/>
      <c r="AA86" s="1451"/>
      <c r="AB86" s="1451"/>
      <c r="AC86" s="1451"/>
      <c r="AD86" s="1451"/>
      <c r="AE86" s="1451"/>
      <c r="AF86" s="1451"/>
      <c r="AG86" s="1451"/>
      <c r="AH86" s="1451"/>
      <c r="AI86" s="1451"/>
      <c r="AJ86" s="1451"/>
      <c r="AK86" s="1451"/>
      <c r="AL86" s="1451"/>
      <c r="AM86" s="1451"/>
      <c r="AN86" s="1451"/>
      <c r="AO86" s="1451"/>
      <c r="AP86" s="1451"/>
      <c r="AQ86" s="1451"/>
      <c r="AR86" s="1451"/>
      <c r="AS86" s="1451"/>
      <c r="AT86" s="1451"/>
      <c r="AU86" s="1451"/>
      <c r="AV86" s="1451"/>
      <c r="AW86" s="1452"/>
      <c r="AX86" s="1453" t="s">
        <v>395</v>
      </c>
      <c r="AY86" s="1453"/>
      <c r="AZ86" s="1453"/>
      <c r="BA86" s="1453"/>
      <c r="BB86" s="1453"/>
      <c r="BC86" s="1453"/>
      <c r="BD86" s="1453"/>
      <c r="BE86" s="1453"/>
      <c r="BF86" s="1453"/>
      <c r="BG86" s="1453"/>
      <c r="BH86" s="1453"/>
      <c r="BI86" s="1453"/>
      <c r="BJ86" s="1453"/>
      <c r="BK86" s="1453"/>
      <c r="BL86" s="1453"/>
      <c r="BM86" s="1453"/>
      <c r="BN86" s="1453"/>
      <c r="BO86" s="1453"/>
      <c r="BP86" s="1453"/>
      <c r="BQ86" s="1453"/>
      <c r="BR86" s="1453"/>
      <c r="BS86" s="1453"/>
      <c r="BT86" s="1453"/>
      <c r="BU86" s="1453"/>
      <c r="BV86" s="1453"/>
      <c r="BW86" s="1453"/>
      <c r="BX86" s="243"/>
    </row>
    <row r="87" spans="1:76" ht="21.95" customHeight="1" thickBot="1" x14ac:dyDescent="0.25">
      <c r="B87" s="1448"/>
      <c r="C87" s="1447"/>
      <c r="D87" s="674" t="s">
        <v>329</v>
      </c>
      <c r="E87" s="674" t="s">
        <v>330</v>
      </c>
      <c r="F87" s="1447"/>
      <c r="G87" s="1447"/>
      <c r="H87" s="1446"/>
      <c r="I87" s="1454"/>
      <c r="J87" s="1446"/>
      <c r="K87" s="1446"/>
      <c r="L87" s="1447"/>
      <c r="M87" s="1447"/>
      <c r="N87" s="1447"/>
      <c r="O87" s="1447"/>
      <c r="P87" s="1447"/>
      <c r="Q87" s="1447"/>
      <c r="R87" s="1447"/>
      <c r="S87" s="1446"/>
      <c r="T87" s="1446"/>
      <c r="U87" s="1446"/>
      <c r="V87" s="1447"/>
      <c r="W87" s="1456"/>
      <c r="X87" s="644">
        <v>2023</v>
      </c>
      <c r="Y87" s="371">
        <f t="shared" ref="Y87:AW87" si="1">X87+1</f>
        <v>2024</v>
      </c>
      <c r="Z87" s="371">
        <f t="shared" si="1"/>
        <v>2025</v>
      </c>
      <c r="AA87" s="371">
        <f t="shared" si="1"/>
        <v>2026</v>
      </c>
      <c r="AB87" s="371">
        <f t="shared" si="1"/>
        <v>2027</v>
      </c>
      <c r="AC87" s="371">
        <f t="shared" si="1"/>
        <v>2028</v>
      </c>
      <c r="AD87" s="371">
        <f t="shared" si="1"/>
        <v>2029</v>
      </c>
      <c r="AE87" s="371">
        <f t="shared" si="1"/>
        <v>2030</v>
      </c>
      <c r="AF87" s="371">
        <f t="shared" si="1"/>
        <v>2031</v>
      </c>
      <c r="AG87" s="371">
        <f t="shared" si="1"/>
        <v>2032</v>
      </c>
      <c r="AH87" s="371">
        <f t="shared" si="1"/>
        <v>2033</v>
      </c>
      <c r="AI87" s="371">
        <f t="shared" si="1"/>
        <v>2034</v>
      </c>
      <c r="AJ87" s="371">
        <f t="shared" si="1"/>
        <v>2035</v>
      </c>
      <c r="AK87" s="371">
        <f t="shared" si="1"/>
        <v>2036</v>
      </c>
      <c r="AL87" s="371">
        <f t="shared" si="1"/>
        <v>2037</v>
      </c>
      <c r="AM87" s="371">
        <f t="shared" si="1"/>
        <v>2038</v>
      </c>
      <c r="AN87" s="371">
        <f t="shared" si="1"/>
        <v>2039</v>
      </c>
      <c r="AO87" s="371">
        <f t="shared" si="1"/>
        <v>2040</v>
      </c>
      <c r="AP87" s="371">
        <f t="shared" si="1"/>
        <v>2041</v>
      </c>
      <c r="AQ87" s="371">
        <f t="shared" si="1"/>
        <v>2042</v>
      </c>
      <c r="AR87" s="371">
        <f t="shared" si="1"/>
        <v>2043</v>
      </c>
      <c r="AS87" s="371">
        <f t="shared" si="1"/>
        <v>2044</v>
      </c>
      <c r="AT87" s="371">
        <f t="shared" si="1"/>
        <v>2045</v>
      </c>
      <c r="AU87" s="371">
        <f t="shared" si="1"/>
        <v>2046</v>
      </c>
      <c r="AV87" s="371">
        <f t="shared" si="1"/>
        <v>2047</v>
      </c>
      <c r="AW87" s="644">
        <f t="shared" si="1"/>
        <v>2048</v>
      </c>
      <c r="AX87" s="671">
        <v>2023</v>
      </c>
      <c r="AY87" s="672">
        <f t="shared" ref="AY87:BV87" si="2">AX87+1</f>
        <v>2024</v>
      </c>
      <c r="AZ87" s="672">
        <f t="shared" si="2"/>
        <v>2025</v>
      </c>
      <c r="BA87" s="672">
        <f t="shared" si="2"/>
        <v>2026</v>
      </c>
      <c r="BB87" s="672">
        <f t="shared" si="2"/>
        <v>2027</v>
      </c>
      <c r="BC87" s="672">
        <f t="shared" si="2"/>
        <v>2028</v>
      </c>
      <c r="BD87" s="672">
        <f t="shared" si="2"/>
        <v>2029</v>
      </c>
      <c r="BE87" s="672">
        <f t="shared" si="2"/>
        <v>2030</v>
      </c>
      <c r="BF87" s="672">
        <f t="shared" si="2"/>
        <v>2031</v>
      </c>
      <c r="BG87" s="672">
        <f t="shared" si="2"/>
        <v>2032</v>
      </c>
      <c r="BH87" s="672">
        <f t="shared" si="2"/>
        <v>2033</v>
      </c>
      <c r="BI87" s="672">
        <f t="shared" si="2"/>
        <v>2034</v>
      </c>
      <c r="BJ87" s="672">
        <f t="shared" si="2"/>
        <v>2035</v>
      </c>
      <c r="BK87" s="672">
        <f t="shared" si="2"/>
        <v>2036</v>
      </c>
      <c r="BL87" s="672">
        <f t="shared" si="2"/>
        <v>2037</v>
      </c>
      <c r="BM87" s="672">
        <f t="shared" si="2"/>
        <v>2038</v>
      </c>
      <c r="BN87" s="672">
        <f t="shared" si="2"/>
        <v>2039</v>
      </c>
      <c r="BO87" s="672">
        <f t="shared" si="2"/>
        <v>2040</v>
      </c>
      <c r="BP87" s="672">
        <f t="shared" si="2"/>
        <v>2041</v>
      </c>
      <c r="BQ87" s="672">
        <f t="shared" si="2"/>
        <v>2042</v>
      </c>
      <c r="BR87" s="672">
        <f t="shared" si="2"/>
        <v>2043</v>
      </c>
      <c r="BS87" s="672">
        <f t="shared" si="2"/>
        <v>2044</v>
      </c>
      <c r="BT87" s="672">
        <f t="shared" si="2"/>
        <v>2045</v>
      </c>
      <c r="BU87" s="672">
        <f t="shared" si="2"/>
        <v>2046</v>
      </c>
      <c r="BV87" s="672">
        <f t="shared" si="2"/>
        <v>2047</v>
      </c>
      <c r="BW87" s="673">
        <v>2048</v>
      </c>
    </row>
    <row r="88" spans="1:76" ht="21.95" customHeight="1" x14ac:dyDescent="0.2">
      <c r="A88" s="642"/>
      <c r="B88" s="116" t="s">
        <v>9</v>
      </c>
      <c r="C88" s="1449" t="s">
        <v>331</v>
      </c>
      <c r="D88" s="116" t="s">
        <v>332</v>
      </c>
      <c r="E88" s="116" t="s">
        <v>282</v>
      </c>
      <c r="F88" s="575">
        <f>'Traffic Data'!CM7</f>
        <v>0.81967213114754101</v>
      </c>
      <c r="G88" s="575">
        <f>'Traffic Data'!CN7</f>
        <v>0.9</v>
      </c>
      <c r="H88" s="146">
        <f>'Traffic Data'!G7</f>
        <v>70</v>
      </c>
      <c r="I88" s="146">
        <v>4</v>
      </c>
      <c r="J88" s="146">
        <f>H88+5</f>
        <v>75</v>
      </c>
      <c r="K88" s="146">
        <v>0</v>
      </c>
      <c r="L88" s="146">
        <v>0</v>
      </c>
      <c r="M88" s="146">
        <v>0</v>
      </c>
      <c r="N88" s="146">
        <v>0</v>
      </c>
      <c r="O88" s="146">
        <v>0</v>
      </c>
      <c r="P88" s="146">
        <v>0</v>
      </c>
      <c r="Q88" s="146">
        <f>3.22*(1)^(0.84)</f>
        <v>3.22</v>
      </c>
      <c r="R88" s="174">
        <f>J88-K88-L88-M88-N88-O88-P88-Q88</f>
        <v>71.78</v>
      </c>
      <c r="S88" s="576">
        <f>L$19*F88*G88</f>
        <v>1770.4918032786886</v>
      </c>
      <c r="T88" s="577">
        <v>0.12</v>
      </c>
      <c r="U88" s="578">
        <v>0.65</v>
      </c>
      <c r="V88" s="579">
        <f>E31</f>
        <v>0.2</v>
      </c>
      <c r="W88" s="228">
        <v>10</v>
      </c>
      <c r="X88" s="411">
        <f>$R88/(1+($V88*(('Traffic Data'!$J7*$T88*$U88)/(($I88/2)*$S88))^$W88))</f>
        <v>71.779575441467983</v>
      </c>
      <c r="Y88" s="412">
        <f>$R88/(1+($V88*(('Traffic Data'!K7*$T88*$U88)/(($I88/2)*$S88))^$W88))</f>
        <v>71.779334299460473</v>
      </c>
      <c r="Z88" s="412">
        <f>$R88/(1+($V88*(('Traffic Data'!L7*$T88*$U88)/(($I88/2)*$S88))^$W88))</f>
        <v>71.778787878486114</v>
      </c>
      <c r="AA88" s="412">
        <f>$R88/(1+($V88*(('Traffic Data'!M7*$T88*$U88)/(($I88/2)*$S88))^$W88))</f>
        <v>71.777251043765986</v>
      </c>
      <c r="AB88" s="412">
        <f>$R88/(1+($V88*(('Traffic Data'!N7*$T88*$U88)/(($I88/2)*$S88))^$W88))</f>
        <v>71.774139096862498</v>
      </c>
      <c r="AC88" s="412">
        <f>$R88/(1+($V88*(('Traffic Data'!O7*$T88*$U88)/(($I88/2)*$S88))^$W88))</f>
        <v>71.768153206844218</v>
      </c>
      <c r="AD88" s="412">
        <f>$R88/(1+($V88*(('Traffic Data'!P7*$T88*$U88)/(($I88/2)*$S88))^$W88))</f>
        <v>71.757144515248598</v>
      </c>
      <c r="AE88" s="412">
        <f>$R88/(1+($V88*(('Traffic Data'!Q7*$T88*$U88)/(($I88/2)*$S88))^$W88))</f>
        <v>71.737644035831721</v>
      </c>
      <c r="AF88" s="412">
        <f>$R88/(1+($V88*(('Traffic Data'!R7*$T88*$U88)/(($I88/2)*$S88))^$W88))</f>
        <v>71.704789610609467</v>
      </c>
      <c r="AG88" s="412">
        <f>$R88/(1+($V88*(('Traffic Data'!S7*$T88*$U88)/(($I88/2)*$S88))^$W88))</f>
        <v>71.650582585878709</v>
      </c>
      <c r="AH88" s="412">
        <f>$R88/(1+($V88*(('Traffic Data'!T7*$T88*$U88)/(($I88/2)*$S88))^$W88))</f>
        <v>71.563581595553117</v>
      </c>
      <c r="AI88" s="412">
        <f>$R88/(1+($V88*(('Traffic Data'!U7*$T88*$U88)/(($I88/2)*$S88))^$W88))</f>
        <v>71.427366744949822</v>
      </c>
      <c r="AJ88" s="412">
        <f>$R88/(1+($V88*(('Traffic Data'!V7*$T88*$U88)/(($I88/2)*$S88))^$W88))</f>
        <v>71.21879507004229</v>
      </c>
      <c r="AK88" s="412">
        <f>$R88/(1+($V88*(('Traffic Data'!W7*$T88*$U88)/(($I88/2)*$S88))^$W88))</f>
        <v>71.021030182520875</v>
      </c>
      <c r="AL88" s="412">
        <f>$R88/(1+($V88*(('Traffic Data'!X7*$T88*$U88)/(($I88/2)*$S88))^$W88))</f>
        <v>70.841357698792024</v>
      </c>
      <c r="AM88" s="412">
        <f>$R88/(1+($V88*(('Traffic Data'!Y7*$T88*$U88)/(($I88/2)*$S88))^$W88))</f>
        <v>70.625000035421792</v>
      </c>
      <c r="AN88" s="412">
        <f>$R88/(1+($V88*(('Traffic Data'!Z7*$T88*$U88)/(($I88/2)*$S88))^$W88))</f>
        <v>70.365799481356788</v>
      </c>
      <c r="AO88" s="412">
        <f>$R88/(1+($V88*(('Traffic Data'!AA7*$T88*$U88)/(($I88/2)*$S88))^$W88))</f>
        <v>70.056734390169765</v>
      </c>
      <c r="AP88" s="412">
        <f>$R88/(1+($V88*(('Traffic Data'!AB7*$T88*$U88)/(($I88/2)*$S88))^$W88))</f>
        <v>69.690435805982844</v>
      </c>
      <c r="AQ88" s="412">
        <f>$R88/(1+($V88*(('Traffic Data'!AC7*$T88*$U88)/(($I88/2)*$S88))^$W88))</f>
        <v>69.25826657278931</v>
      </c>
      <c r="AR88" s="412">
        <f>$R88/(1+($V88*(('Traffic Data'!AD7*$T88*$U88)/(($I88/2)*$S88))^$W88))</f>
        <v>68.751587689021846</v>
      </c>
      <c r="AS88" s="412">
        <f>$R88/(1+($V88*(('Traffic Data'!AE7*$T88*$U88)/(($I88/2)*$S88))^$W88))</f>
        <v>68.160693295998897</v>
      </c>
      <c r="AT88" s="412">
        <f>$R88/(1+($V88*(('Traffic Data'!AF7*$T88*$U88)/(($I88/2)*$S88))^$W88))</f>
        <v>67.475339819335559</v>
      </c>
      <c r="AU88" s="412">
        <f>$R88/(1+($V88*(('Traffic Data'!AG7*$T88*$U88)/(($I88/2)*$S88))^$W88))</f>
        <v>66.685957113298798</v>
      </c>
      <c r="AV88" s="412">
        <f>$R88/(1+($V88*(('Traffic Data'!AH7*$T88*$U88)/(($I88/2)*$S88))^$W88))</f>
        <v>65.782268161745847</v>
      </c>
      <c r="AW88" s="413">
        <f>$R88/(1+($V88*(('Traffic Data'!AI7*$T88*$U88)/(($I88/2)*$S88))^$W88))</f>
        <v>64.754279024804021</v>
      </c>
      <c r="AX88" s="401">
        <f>$R88/(1+($V88*(('Traffic Data'!J7*(0.67/14))/(($I88)*$S88))^$W88))</f>
        <v>71.779999996865541</v>
      </c>
      <c r="AY88" s="401">
        <f>$R88/(1+($V88*(('Traffic Data'!J7*(0.67/14))/(($I88)*$S88))^$W88))</f>
        <v>71.779999996865541</v>
      </c>
      <c r="AZ88" s="401">
        <f>$R88/(1+($V88*(('Traffic Data'!K7*(0.67/14))/(($I88)*$S88))^$W88))</f>
        <v>71.77999999508522</v>
      </c>
      <c r="BA88" s="401">
        <f>$R88/(1+($V88*(('Traffic Data'!L7*(0.67/14))/(($I88)*$S88))^$W88))</f>
        <v>71.779999991051</v>
      </c>
      <c r="BB88" s="401">
        <f>$R88/(1+($V88*(('Traffic Data'!M7*(0.67/14))/(($I88)*$S88))^$W88))</f>
        <v>71.779999979704201</v>
      </c>
      <c r="BC88" s="401">
        <f>$R88/(1+($V88*(('Traffic Data'!N7*(0.67/14))/(($I88)*$S88))^$W88))</f>
        <v>71.779999956726542</v>
      </c>
      <c r="BD88" s="401">
        <f>$R88/(1+($V88*(('Traffic Data'!O7*(0.67/14))/(($I88)*$S88))^$W88))</f>
        <v>71.779999912522939</v>
      </c>
      <c r="BE88" s="401">
        <f>$R88/(1+($V88*(('Traffic Data'!P7*(0.67/14))/(($I88)*$S88))^$W88))</f>
        <v>71.779999831208556</v>
      </c>
      <c r="BF88" s="401">
        <f>$R88/(1+($V88*(('Traffic Data'!Q7*(0.67/14))/(($I88)*$S88))^$W88))</f>
        <v>71.779999687109338</v>
      </c>
      <c r="BG88" s="401">
        <f>$R88/(1+($V88*(('Traffic Data'!R7*(0.67/14))/(($I88)*$S88))^$W88))</f>
        <v>71.779999444153589</v>
      </c>
      <c r="BH88" s="401">
        <f>$R88/(1+($V88*(('Traffic Data'!S7*(0.67/14))/(($I88)*$S88))^$W88))</f>
        <v>71.779999042810061</v>
      </c>
      <c r="BI88" s="401">
        <f>$R88/(1+($V88*(('Traffic Data'!T7*(0.67/14))/(($I88)*$S88))^$W88))</f>
        <v>71.779998397392205</v>
      </c>
      <c r="BJ88" s="401">
        <f>$R88/(1+($V88*(('Traffic Data'!U7*(0.67/14))/(($I88)*$S88))^$W88))</f>
        <v>71.779997383722829</v>
      </c>
      <c r="BK88" s="401">
        <f>$R88/(1+($V88*(('Traffic Data'!V7*(0.67/14))/(($I88)*$S88))^$W88))</f>
        <v>71.779995824081922</v>
      </c>
      <c r="BL88" s="401">
        <f>$R88/(1+($V88*(('Traffic Data'!W7*(0.67/14))/(($I88)*$S88))^$W88))</f>
        <v>71.779994336790281</v>
      </c>
      <c r="BM88" s="401">
        <f>$R88/(1+($V88*(('Traffic Data'!X7*(0.67/14))/(($I88)*$S88))^$W88))</f>
        <v>71.779992978363467</v>
      </c>
      <c r="BN88" s="401">
        <f>$R88/(1+($V88*(('Traffic Data'!Y7*(0.67/14))/(($I88)*$S88))^$W88))</f>
        <v>71.779991333403089</v>
      </c>
      <c r="BO88" s="401">
        <f>$R88/(1+($V88*(('Traffic Data'!Z7*(0.67/14))/(($I88)*$S88))^$W88))</f>
        <v>71.779989349390988</v>
      </c>
      <c r="BP88" s="401">
        <f>$R88/(1+($V88*(('Traffic Data'!AA7*(0.67/14))/(($I88)*$S88))^$W88))</f>
        <v>71.779986964509021</v>
      </c>
      <c r="BQ88" s="401">
        <f>$R88/(1+($V88*(('Traffic Data'!AB7*(0.67/14))/(($I88)*$S88))^$W88))</f>
        <v>71.779984110596928</v>
      </c>
      <c r="BR88" s="401">
        <f>$R88/(1+($V88*(('Traffic Data'!AC7*(0.67/14))/(($I88)*$S88))^$W88))</f>
        <v>71.779980704653511</v>
      </c>
      <c r="BS88" s="401">
        <f>$R88/(1+($V88*(('Traffic Data'!AD7*(0.67/14))/(($I88)*$S88))^$W88))</f>
        <v>71.779976656967719</v>
      </c>
      <c r="BT88" s="401">
        <f>$R88/(1+($V88*(('Traffic Data'!AE7*(0.67/14))/(($I88)*$S88))^$W88))</f>
        <v>71.779971860501163</v>
      </c>
      <c r="BU88" s="401">
        <f>$R88/(1+($V88*(('Traffic Data'!AF7*(0.67/14))/(($I88)*$S88))^$W88))</f>
        <v>71.779966192058453</v>
      </c>
      <c r="BV88" s="401">
        <f>$R88/(1+($V88*(('Traffic Data'!AG7*(0.67/14))/(($I88)*$S88))^$W88))</f>
        <v>71.779959518825549</v>
      </c>
      <c r="BW88" s="645">
        <f>$R88/(1+($V88*(('Traffic Data'!AH7*(0.67/14))/(($I88)*$S88))^$W88))</f>
        <v>71.779951682656474</v>
      </c>
    </row>
    <row r="89" spans="1:76" ht="21.95" customHeight="1" x14ac:dyDescent="0.2">
      <c r="A89" s="642"/>
      <c r="C89" s="1449"/>
      <c r="D89" s="116" t="s">
        <v>282</v>
      </c>
      <c r="E89" s="116" t="s">
        <v>280</v>
      </c>
      <c r="F89" s="575">
        <f>'Traffic Data'!CM7</f>
        <v>0.81967213114754101</v>
      </c>
      <c r="G89" s="575">
        <f>'Traffic Data'!CN7</f>
        <v>0.9</v>
      </c>
      <c r="H89" s="146">
        <f>'Traffic Data'!G8</f>
        <v>70</v>
      </c>
      <c r="I89" s="146">
        <v>4</v>
      </c>
      <c r="J89" s="146">
        <f t="shared" ref="J89:J90" si="3">H89+5</f>
        <v>75</v>
      </c>
      <c r="K89" s="146">
        <v>0</v>
      </c>
      <c r="L89" s="146">
        <v>0</v>
      </c>
      <c r="M89" s="146">
        <v>0</v>
      </c>
      <c r="N89" s="146">
        <v>0</v>
      </c>
      <c r="O89" s="146">
        <v>0</v>
      </c>
      <c r="P89" s="146">
        <v>0</v>
      </c>
      <c r="Q89" s="146">
        <f>3.22*(1)^(0.84)</f>
        <v>3.22</v>
      </c>
      <c r="R89" s="174">
        <f t="shared" ref="R89:R152" si="4">J89-K89-L89-M89-N89-O89-P89-Q89</f>
        <v>71.78</v>
      </c>
      <c r="S89" s="576">
        <f>L$19*F89*G89</f>
        <v>1770.4918032786886</v>
      </c>
      <c r="T89" s="577">
        <v>0.12</v>
      </c>
      <c r="U89" s="578">
        <v>0.65</v>
      </c>
      <c r="V89" s="579">
        <f t="shared" ref="V89:V99" si="5">$E$31</f>
        <v>0.2</v>
      </c>
      <c r="W89" s="228">
        <v>10</v>
      </c>
      <c r="X89" s="400">
        <f>$R89/(1+($V89*(('Traffic Data'!J8*$T89*$U89)/(($I89/2)*$S89))^$W89))</f>
        <v>71.779922361429513</v>
      </c>
      <c r="Y89" s="401">
        <f>$R89/(1+($V89*(('Traffic Data'!K8*$T89*$U89)/(($I89/2)*$S89))^$W89))</f>
        <v>71.779866883205102</v>
      </c>
      <c r="Z89" s="401">
        <f>$R89/(1+($V89*(('Traffic Data'!L8*$T89*$U89)/(($I89/2)*$S89))^$W89))</f>
        <v>71.779759647242699</v>
      </c>
      <c r="AA89" s="401">
        <f>$R89/(1+($V89*(('Traffic Data'!M8*$T89*$U89)/(($I89/2)*$S89))^$W89))</f>
        <v>71.779335392490808</v>
      </c>
      <c r="AB89" s="401">
        <f>$R89/(1+($V89*(('Traffic Data'!N8*$T89*$U89)/(($I89/2)*$S89))^$W89))</f>
        <v>71.778326554685776</v>
      </c>
      <c r="AC89" s="401">
        <f>$R89/(1+($V89*(('Traffic Data'!O8*$T89*$U89)/(($I89/2)*$S89))^$W89))</f>
        <v>71.776102456590195</v>
      </c>
      <c r="AD89" s="401">
        <f>$R89/(1+($V89*(('Traffic Data'!P8*$T89*$U89)/(($I89/2)*$S89))^$W89))</f>
        <v>71.771505557553269</v>
      </c>
      <c r="AE89" s="401">
        <f>$R89/(1+($V89*(('Traffic Data'!Q8*$T89*$U89)/(($I89/2)*$S89))^$W89))</f>
        <v>71.762490509958596</v>
      </c>
      <c r="AF89" s="401">
        <f>$R89/(1+($V89*(('Traffic Data'!R8*$T89*$U89)/(($I89/2)*$S89))^$W89))</f>
        <v>71.741243527950729</v>
      </c>
      <c r="AG89" s="401">
        <f>$R89/(1+($V89*(('Traffic Data'!S8*$T89*$U89)/(($I89/2)*$S89))^$W89))</f>
        <v>71.699100219370493</v>
      </c>
      <c r="AH89" s="401">
        <f>$R89/(1+($V89*(('Traffic Data'!T8*$T89*$U89)/(($I89/2)*$S89))^$W89))</f>
        <v>71.619568003512242</v>
      </c>
      <c r="AI89" s="401">
        <f>$R89/(1+($V89*(('Traffic Data'!U8*$T89*$U89)/(($I89/2)*$S89))^$W89))</f>
        <v>71.475824433778442</v>
      </c>
      <c r="AJ89" s="401">
        <f>$R89/(1+($V89*(('Traffic Data'!V8*$T89*$U89)/(($I89/2)*$S89))^$W89))</f>
        <v>71.225697387641787</v>
      </c>
      <c r="AK89" s="401">
        <f>$R89/(1+($V89*(('Traffic Data'!W8*$T89*$U89)/(($I89/2)*$S89))^$W89))</f>
        <v>70.996085113341579</v>
      </c>
      <c r="AL89" s="401">
        <f>$R89/(1+($V89*(('Traffic Data'!X8*$T89*$U89)/(($I89/2)*$S89))^$W89))</f>
        <v>70.808012315796518</v>
      </c>
      <c r="AM89" s="401">
        <f>$R89/(1+($V89*(('Traffic Data'!Y8*$T89*$U89)/(($I89/2)*$S89))^$W89))</f>
        <v>70.581063979868489</v>
      </c>
      <c r="AN89" s="401">
        <f>$R89/(1+($V89*(('Traffic Data'!Z8*$T89*$U89)/(($I89/2)*$S89))^$W89))</f>
        <v>70.30865108524344</v>
      </c>
      <c r="AO89" s="401">
        <f>$R89/(1+($V89*(('Traffic Data'!AA8*$T89*$U89)/(($I89/2)*$S89))^$W89))</f>
        <v>69.983170356830627</v>
      </c>
      <c r="AP89" s="401">
        <f>$R89/(1+($V89*(('Traffic Data'!AB8*$T89*$U89)/(($I89/2)*$S89))^$W89))</f>
        <v>69.596906083650012</v>
      </c>
      <c r="AQ89" s="401">
        <f>$R89/(1+($V89*(('Traffic Data'!AC8*$T89*$U89)/(($I89/2)*$S89))^$W89))</f>
        <v>69.140432544411851</v>
      </c>
      <c r="AR89" s="401">
        <f>$R89/(1+($V89*(('Traffic Data'!AD8*$T89*$U89)/(($I89/2)*$S89))^$W89))</f>
        <v>68.604778676433313</v>
      </c>
      <c r="AS89" s="401">
        <f>$R89/(1+($V89*(('Traffic Data'!AE8*$T89*$U89)/(($I89/2)*$S89))^$W89))</f>
        <v>67.97953153806732</v>
      </c>
      <c r="AT89" s="401">
        <f>$R89/(1+($V89*(('Traffic Data'!AF8*$T89*$U89)/(($I89/2)*$S89))^$W89))</f>
        <v>67.253666556062626</v>
      </c>
      <c r="AU89" s="401">
        <f>$R89/(1+($V89*(('Traffic Data'!AG8*$T89*$U89)/(($I89/2)*$S89))^$W89))</f>
        <v>66.417529330754277</v>
      </c>
      <c r="AV89" s="401">
        <f>$R89/(1+($V89*(('Traffic Data'!AH8*$T89*$U89)/(($I89/2)*$S89))^$W89))</f>
        <v>65.460271583763813</v>
      </c>
      <c r="AW89" s="372">
        <f>$R89/(1+($V89*(('Traffic Data'!AI8*$T89*$U89)/(($I89/2)*$S89))^$W89))</f>
        <v>64.371357524430437</v>
      </c>
      <c r="AX89" s="401">
        <f>$R89/(1+($V89*(('Traffic Data'!J8*(0.67/14))/(($I89)*$S89))^$W89))</f>
        <v>71.779999999426806</v>
      </c>
      <c r="AY89" s="401">
        <f>$R89/(1+($V89*(('Traffic Data'!J8*(0.67/14))/(($I89)*$S89))^$W89))</f>
        <v>71.779999999426806</v>
      </c>
      <c r="AZ89" s="401">
        <f>$R89/(1+($V89*(('Traffic Data'!K8*(0.67/14))/(($I89)*$S89))^$W89))</f>
        <v>71.779999999017221</v>
      </c>
      <c r="BA89" s="401">
        <f>$R89/(1+($V89*(('Traffic Data'!L8*(0.67/14))/(($I89)*$S89))^$W89))</f>
        <v>71.77999999822552</v>
      </c>
      <c r="BB89" s="401">
        <f>$R89/(1+($V89*(('Traffic Data'!M8*(0.67/14))/(($I89)*$S89))^$W89))</f>
        <v>71.779999995093277</v>
      </c>
      <c r="BC89" s="401">
        <f>$R89/(1+($V89*(('Traffic Data'!N8*(0.67/14))/(($I89)*$S89))^$W89))</f>
        <v>71.779999987644985</v>
      </c>
      <c r="BD89" s="401">
        <f>$R89/(1+($V89*(('Traffic Data'!O8*(0.67/14))/(($I89)*$S89))^$W89))</f>
        <v>71.779999971223617</v>
      </c>
      <c r="BE89" s="401">
        <f>$R89/(1+($V89*(('Traffic Data'!P8*(0.67/14))/(($I89)*$S89))^$W89))</f>
        <v>71.779999937279726</v>
      </c>
      <c r="BF89" s="401">
        <f>$R89/(1+($V89*(('Traffic Data'!Q8*(0.67/14))/(($I89)*$S89))^$W89))</f>
        <v>71.779999870699228</v>
      </c>
      <c r="BG89" s="401">
        <f>$R89/(1+($V89*(('Traffic Data'!R8*(0.67/14))/(($I89)*$S89))^$W89))</f>
        <v>71.779999713713764</v>
      </c>
      <c r="BH89" s="401">
        <f>$R89/(1+($V89*(('Traffic Data'!S8*(0.67/14))/(($I89)*$S89))^$W89))</f>
        <v>71.779999402058394</v>
      </c>
      <c r="BI89" s="401">
        <f>$R89/(1+($V89*(('Traffic Data'!T8*(0.67/14))/(($I89)*$S89))^$W89))</f>
        <v>71.779998812907877</v>
      </c>
      <c r="BJ89" s="401">
        <f>$R89/(1+($V89*(('Traffic Data'!U8*(0.67/14))/(($I89)*$S89))^$W89))</f>
        <v>71.779997744772913</v>
      </c>
      <c r="BK89" s="401">
        <f>$R89/(1+($V89*(('Traffic Data'!V8*(0.67/14))/(($I89)*$S89))^$W89))</f>
        <v>71.779995875841664</v>
      </c>
      <c r="BL89" s="401">
        <f>$R89/(1+($V89*(('Traffic Data'!W8*(0.67/14))/(($I89)*$S89))^$W89))</f>
        <v>71.779994148602313</v>
      </c>
      <c r="BM89" s="401">
        <f>$R89/(1+($V89*(('Traffic Data'!X8*(0.67/14))/(($I89)*$S89))^$W89))</f>
        <v>71.77999272549485</v>
      </c>
      <c r="BN89" s="401">
        <f>$R89/(1+($V89*(('Traffic Data'!Y8*(0.67/14))/(($I89)*$S89))^$W89))</f>
        <v>71.779990998126749</v>
      </c>
      <c r="BO89" s="401">
        <f>$R89/(1+($V89*(('Traffic Data'!Z8*(0.67/14))/(($I89)*$S89))^$W89))</f>
        <v>71.779988909988901</v>
      </c>
      <c r="BP89" s="401">
        <f>$R89/(1+($V89*(('Traffic Data'!AA8*(0.67/14))/(($I89)*$S89))^$W89))</f>
        <v>71.779986393753035</v>
      </c>
      <c r="BQ89" s="401">
        <f>$R89/(1+($V89*(('Traffic Data'!AB8*(0.67/14))/(($I89)*$S89))^$W89))</f>
        <v>71.779983377071929</v>
      </c>
      <c r="BR89" s="401">
        <f>$R89/(1+($V89*(('Traffic Data'!AC8*(0.67/14))/(($I89)*$S89))^$W89))</f>
        <v>71.77997976861144</v>
      </c>
      <c r="BS89" s="401">
        <f>$R89/(1+($V89*(('Traffic Data'!AD8*(0.67/14))/(($I89)*$S89))^$W89))</f>
        <v>71.779975472988923</v>
      </c>
      <c r="BT89" s="401">
        <f>$R89/(1+($V89*(('Traffic Data'!AE8*(0.67/14))/(($I89)*$S89))^$W89))</f>
        <v>71.77997037325585</v>
      </c>
      <c r="BU89" s="401">
        <f>$R89/(1+($V89*(('Traffic Data'!AF8*(0.67/14))/(($I89)*$S89))^$W89))</f>
        <v>71.779964333909859</v>
      </c>
      <c r="BV89" s="401">
        <f>$R89/(1+($V89*(('Traffic Data'!AG8*(0.67/14))/(($I89)*$S89))^$W89))</f>
        <v>71.779957213467156</v>
      </c>
      <c r="BW89" s="645">
        <f>$R89/(1+($V89*(('Traffic Data'!AH8*(0.67/14))/(($I89)*$S89))^$W89))</f>
        <v>71.779948838243811</v>
      </c>
    </row>
    <row r="90" spans="1:76" ht="21.95" customHeight="1" x14ac:dyDescent="0.2">
      <c r="A90" s="642"/>
      <c r="C90" s="1450"/>
      <c r="D90" s="254" t="s">
        <v>280</v>
      </c>
      <c r="E90" s="254" t="s">
        <v>333</v>
      </c>
      <c r="F90" s="580">
        <f>'Traffic Data'!CM7</f>
        <v>0.81967213114754101</v>
      </c>
      <c r="G90" s="580">
        <f>'Traffic Data'!CN7</f>
        <v>0.9</v>
      </c>
      <c r="H90" s="581">
        <f>'Traffic Data'!G9</f>
        <v>70</v>
      </c>
      <c r="I90" s="581">
        <v>4</v>
      </c>
      <c r="J90" s="581">
        <f t="shared" si="3"/>
        <v>75</v>
      </c>
      <c r="K90" s="581">
        <v>0</v>
      </c>
      <c r="L90" s="581">
        <v>0</v>
      </c>
      <c r="M90" s="581">
        <v>0</v>
      </c>
      <c r="N90" s="581">
        <v>0</v>
      </c>
      <c r="O90" s="581">
        <v>0</v>
      </c>
      <c r="P90" s="581">
        <v>0</v>
      </c>
      <c r="Q90" s="581">
        <f>3.22*(1)^(0.84)</f>
        <v>3.22</v>
      </c>
      <c r="R90" s="253">
        <f t="shared" si="4"/>
        <v>71.78</v>
      </c>
      <c r="S90" s="576">
        <f>L$19*F90*G90</f>
        <v>1770.4918032786886</v>
      </c>
      <c r="T90" s="577">
        <v>0.12</v>
      </c>
      <c r="U90" s="578">
        <v>0.65</v>
      </c>
      <c r="V90" s="579">
        <f t="shared" si="5"/>
        <v>0.2</v>
      </c>
      <c r="W90" s="230">
        <v>10</v>
      </c>
      <c r="X90" s="404">
        <f>$R90/(1+($V90*(('Traffic Data'!J9*$T90*$U90)/(($I90/2)*$S90))^$W90))</f>
        <v>71.77997609148342</v>
      </c>
      <c r="Y90" s="373">
        <f>$R90/(1+($V90*(('Traffic Data'!K9*$T90*$U90)/(($I90/2)*$S90))^$W90))</f>
        <v>71.779964006640029</v>
      </c>
      <c r="Z90" s="373">
        <f>$R90/(1+($V90*(('Traffic Data'!L9*$T90*$U90)/(($I90/2)*$S90))^$W90))</f>
        <v>71.779941587120831</v>
      </c>
      <c r="AA90" s="373">
        <f>$R90/(1+($V90*(('Traffic Data'!M9*$T90*$U90)/(($I90/2)*$S90))^$W90))</f>
        <v>71.779891746331302</v>
      </c>
      <c r="AB90" s="373">
        <f>$R90/(1+($V90*(('Traffic Data'!N9*$T90*$U90)/(($I90/2)*$S90))^$W90))</f>
        <v>71.779806406539308</v>
      </c>
      <c r="AC90" s="373">
        <f>$R90/(1+($V90*(('Traffic Data'!O9*$T90*$U90)/(($I90/2)*$S90))^$W90))</f>
        <v>71.779664695929995</v>
      </c>
      <c r="AD90" s="373">
        <f>$R90/(1+($V90*(('Traffic Data'!P9*$T90*$U90)/(($I90/2)*$S90))^$W90))</f>
        <v>71.779435699921265</v>
      </c>
      <c r="AE90" s="373">
        <f>$R90/(1+($V90*(('Traffic Data'!Q9*$T90*$U90)/(($I90/2)*$S90))^$W90))</f>
        <v>71.779074144952205</v>
      </c>
      <c r="AF90" s="373">
        <f>$R90/(1+($V90*(('Traffic Data'!R9*$T90*$U90)/(($I90/2)*$S90))^$W90))</f>
        <v>71.778537161168515</v>
      </c>
      <c r="AG90" s="373">
        <f>$R90/(1+($V90*(('Traffic Data'!S9*$T90*$U90)/(($I90/2)*$S90))^$W90))</f>
        <v>71.777734175406351</v>
      </c>
      <c r="AH90" s="373">
        <f>$R90/(1+($V90*(('Traffic Data'!T9*$T90*$U90)/(($I90/2)*$S90))^$W90))</f>
        <v>71.776554757167034</v>
      </c>
      <c r="AI90" s="373">
        <f>$R90/(1+($V90*(('Traffic Data'!U9*$T90*$U90)/(($I90/2)*$S90))^$W90))</f>
        <v>71.774849031981802</v>
      </c>
      <c r="AJ90" s="373">
        <f>$R90/(1+($V90*(('Traffic Data'!V9*$T90*$U90)/(($I90/2)*$S90))^$W90))</f>
        <v>71.772415612541664</v>
      </c>
      <c r="AK90" s="373">
        <f>$R90/(1+($V90*(('Traffic Data'!W9*$T90*$U90)/(($I90/2)*$S90))^$W90))</f>
        <v>71.770018300188895</v>
      </c>
      <c r="AL90" s="373">
        <f>$R90/(1+($V90*(('Traffic Data'!X9*$T90*$U90)/(($I90/2)*$S90))^$W90))</f>
        <v>71.767489898122705</v>
      </c>
      <c r="AM90" s="373">
        <f>$R90/(1+($V90*(('Traffic Data'!Y9*$T90*$U90)/(($I90/2)*$S90))^$W90))</f>
        <v>71.764399160622403</v>
      </c>
      <c r="AN90" s="373">
        <f>$R90/(1+($V90*(('Traffic Data'!Z9*$T90*$U90)/(($I90/2)*$S90))^$W90))</f>
        <v>71.760637617205063</v>
      </c>
      <c r="AO90" s="373">
        <f>$R90/(1+($V90*(('Traffic Data'!AA9*$T90*$U90)/(($I90/2)*$S90))^$W90))</f>
        <v>71.756076952093565</v>
      </c>
      <c r="AP90" s="373">
        <f>$R90/(1+($V90*(('Traffic Data'!AB9*$T90*$U90)/(($I90/2)*$S90))^$W90))</f>
        <v>71.750574141488244</v>
      </c>
      <c r="AQ90" s="373">
        <f>$R90/(1+($V90*(('Traffic Data'!AC9*$T90*$U90)/(($I90/2)*$S90))^$W90))</f>
        <v>71.743955026283516</v>
      </c>
      <c r="AR90" s="373">
        <f>$R90/(1+($V90*(('Traffic Data'!AD9*$T90*$U90)/(($I90/2)*$S90))^$W90))</f>
        <v>71.736029202085291</v>
      </c>
      <c r="AS90" s="373">
        <f>$R90/(1+($V90*(('Traffic Data'!AE9*$T90*$U90)/(($I90/2)*$S90))^$W90))</f>
        <v>71.726569339588096</v>
      </c>
      <c r="AT90" s="373">
        <f>$R90/(1+($V90*(('Traffic Data'!AF9*$T90*$U90)/(($I90/2)*$S90))^$W90))</f>
        <v>71.715312708256533</v>
      </c>
      <c r="AU90" s="373">
        <f>$R90/(1+($V90*(('Traffic Data'!AG9*$T90*$U90)/(($I90/2)*$S90))^$W90))</f>
        <v>71.70197345015616</v>
      </c>
      <c r="AV90" s="373">
        <f>$R90/(1+($V90*(('Traffic Data'!AH9*$T90*$U90)/(($I90/2)*$S90))^$W90))</f>
        <v>71.686211478832135</v>
      </c>
      <c r="AW90" s="374">
        <f>$R90/(1+($V90*(('Traffic Data'!AI9*$T90*$U90)/(($I90/2)*$S90))^$W90))</f>
        <v>71.667636866876236</v>
      </c>
      <c r="AX90" s="401">
        <f>$R90/(1+($V90*(('Traffic Data'!J9*(0.67/14))/(($I90)*$S90))^$W90))</f>
        <v>71.779999999823488</v>
      </c>
      <c r="AY90" s="401">
        <f>$R90/(1+($V90*(('Traffic Data'!J9*(0.67/14))/(($I90)*$S90))^$W90))</f>
        <v>71.779999999823488</v>
      </c>
      <c r="AZ90" s="401">
        <f>$R90/(1+($V90*(('Traffic Data'!K9*(0.67/14))/(($I90)*$S90))^$W90))</f>
        <v>71.779999999734272</v>
      </c>
      <c r="BA90" s="401">
        <f>$R90/(1+($V90*(('Traffic Data'!L9*(0.67/14))/(($I90)*$S90))^$W90))</f>
        <v>71.779999999568759</v>
      </c>
      <c r="BB90" s="401">
        <f>$R90/(1+($V90*(('Traffic Data'!M9*(0.67/14))/(($I90)*$S90))^$W90))</f>
        <v>71.779999999200783</v>
      </c>
      <c r="BC90" s="401">
        <f>$R90/(1+($V90*(('Traffic Data'!N9*(0.67/14))/(($I90)*$S90))^$W90))</f>
        <v>71.77999999857073</v>
      </c>
      <c r="BD90" s="401">
        <f>$R90/(1+($V90*(('Traffic Data'!O9*(0.67/14))/(($I90)*$S90))^$W90))</f>
        <v>71.779999997524499</v>
      </c>
      <c r="BE90" s="401">
        <f>$R90/(1+($V90*(('Traffic Data'!P9*(0.67/14))/(($I90)*$S90))^$W90))</f>
        <v>71.779999995833847</v>
      </c>
      <c r="BF90" s="401">
        <f>$R90/(1+($V90*(('Traffic Data'!Q9*(0.67/14))/(($I90)*$S90))^$W90))</f>
        <v>71.779999993164495</v>
      </c>
      <c r="BG90" s="401">
        <f>$R90/(1+($V90*(('Traffic Data'!R9*(0.67/14))/(($I90)*$S90))^$W90))</f>
        <v>71.779999989199908</v>
      </c>
      <c r="BH90" s="401">
        <f>$R90/(1+($V90*(('Traffic Data'!S9*(0.67/14))/(($I90)*$S90))^$W90))</f>
        <v>71.779999983271324</v>
      </c>
      <c r="BI90" s="401">
        <f>$R90/(1+($V90*(('Traffic Data'!T9*(0.67/14))/(($I90)*$S90))^$W90))</f>
        <v>71.779999974563211</v>
      </c>
      <c r="BJ90" s="401">
        <f>$R90/(1+($V90*(('Traffic Data'!U9*(0.67/14))/(($I90)*$S90))^$W90))</f>
        <v>71.779999961968642</v>
      </c>
      <c r="BK90" s="401">
        <f>$R90/(1+($V90*(('Traffic Data'!V9*(0.67/14))/(($I90)*$S90))^$W90))</f>
        <v>71.779999943999997</v>
      </c>
      <c r="BL90" s="401">
        <f>$R90/(1+($V90*(('Traffic Data'!W9*(0.67/14))/(($I90)*$S90))^$W90))</f>
        <v>71.779999926296767</v>
      </c>
      <c r="BM90" s="401">
        <f>$R90/(1+($V90*(('Traffic Data'!X9*(0.67/14))/(($I90)*$S90))^$W90))</f>
        <v>71.779999907624202</v>
      </c>
      <c r="BN90" s="401">
        <f>$R90/(1+($V90*(('Traffic Data'!Y9*(0.67/14))/(($I90)*$S90))^$W90))</f>
        <v>71.779999884796936</v>
      </c>
      <c r="BO90" s="401">
        <f>$R90/(1+($V90*(('Traffic Data'!Z9*(0.67/14))/(($I90)*$S90))^$W90))</f>
        <v>71.779999857012641</v>
      </c>
      <c r="BP90" s="401">
        <f>$R90/(1+($V90*(('Traffic Data'!AA9*(0.67/14))/(($I90)*$S90))^$W90))</f>
        <v>71.779999823321802</v>
      </c>
      <c r="BQ90" s="401">
        <f>$R90/(1+($V90*(('Traffic Data'!AB9*(0.67/14))/(($I90)*$S90))^$W90))</f>
        <v>71.779999782665399</v>
      </c>
      <c r="BR90" s="401">
        <f>$R90/(1+($V90*(('Traffic Data'!AC9*(0.67/14))/(($I90)*$S90))^$W90))</f>
        <v>71.779999733753115</v>
      </c>
      <c r="BS90" s="401">
        <f>$R90/(1+($V90*(('Traffic Data'!AD9*(0.67/14))/(($I90)*$S90))^$W90))</f>
        <v>71.779999675172974</v>
      </c>
      <c r="BT90" s="401">
        <f>$R90/(1+($V90*(('Traffic Data'!AE9*(0.67/14))/(($I90)*$S90))^$W90))</f>
        <v>71.779999605237748</v>
      </c>
      <c r="BU90" s="401">
        <f>$R90/(1+($V90*(('Traffic Data'!AF9*(0.67/14))/(($I90)*$S90))^$W90))</f>
        <v>71.779999521995265</v>
      </c>
      <c r="BV90" s="401">
        <f>$R90/(1+($V90*(('Traffic Data'!AG9*(0.67/14))/(($I90)*$S90))^$W90))</f>
        <v>71.779999423317946</v>
      </c>
      <c r="BW90" s="645">
        <f>$R90/(1+($V90*(('Traffic Data'!AH9*(0.67/14))/(($I90)*$S90))^$W90))</f>
        <v>71.779999306671286</v>
      </c>
    </row>
    <row r="91" spans="1:76" ht="21.95" customHeight="1" x14ac:dyDescent="0.2">
      <c r="A91" s="642"/>
      <c r="C91" s="1339" t="s">
        <v>280</v>
      </c>
      <c r="D91" s="116" t="s">
        <v>281</v>
      </c>
      <c r="E91" s="116" t="s">
        <v>335</v>
      </c>
      <c r="F91" s="575">
        <f>'Traffic Data'!CM10</f>
        <v>0.83333333333333337</v>
      </c>
      <c r="G91" s="575">
        <f>'Traffic Data'!CN10</f>
        <v>0.9</v>
      </c>
      <c r="H91" s="146">
        <f>'Traffic Data'!G10</f>
        <v>55</v>
      </c>
      <c r="I91" s="146">
        <v>2</v>
      </c>
      <c r="J91" s="146">
        <f>H91+7</f>
        <v>62</v>
      </c>
      <c r="K91" s="146">
        <v>0</v>
      </c>
      <c r="L91" s="146">
        <v>2.5</v>
      </c>
      <c r="M91" s="146">
        <v>0</v>
      </c>
      <c r="N91" s="146">
        <v>0</v>
      </c>
      <c r="O91" s="146">
        <v>0</v>
      </c>
      <c r="P91" s="146">
        <v>0</v>
      </c>
      <c r="Q91" s="146">
        <v>0</v>
      </c>
      <c r="R91" s="174">
        <f t="shared" si="4"/>
        <v>59.5</v>
      </c>
      <c r="S91" s="582">
        <f>N$21*F91*G91</f>
        <v>600.00000000000011</v>
      </c>
      <c r="T91" s="583">
        <v>0.12</v>
      </c>
      <c r="U91" s="584">
        <v>0.65</v>
      </c>
      <c r="V91" s="585">
        <f t="shared" si="5"/>
        <v>0.2</v>
      </c>
      <c r="W91" s="228">
        <v>10</v>
      </c>
      <c r="X91" s="400">
        <f>MAX(10,$R91/(1+($V91*(('Traffic Data'!J10*$T91*$U91)/(($I91/2)*$S91))^$W91)))</f>
        <v>59.482802914245177</v>
      </c>
      <c r="Y91" s="528">
        <f>MAX(10,$R91/(1+($V91*(('Traffic Data'!K10*$T91*$U91)/(($I91/2)*$S91))^$W91)))</f>
        <v>59.451584673323097</v>
      </c>
      <c r="Z91" s="528">
        <f>MAX(10,$R91/(1+($V91*(('Traffic Data'!L10*$T91*$U91)/(($I91/2)*$S91))^$W91)))</f>
        <v>59.370082037474731</v>
      </c>
      <c r="AA91" s="528">
        <f>MAX(10,$R91/(1+($V91*(('Traffic Data'!M10*$T91*$U91)/(($I91/2)*$S91))^$W91)))</f>
        <v>57.867356676127315</v>
      </c>
      <c r="AB91" s="528">
        <f>MAX(10,$R91/(1+($V91*(('Traffic Data'!N10*$T91*$U91)/(($I91/2)*$S91))^$W91)))</f>
        <v>48.932904278577311</v>
      </c>
      <c r="AC91" s="528">
        <f>MAX(10,$R91/(1+($V91*(('Traffic Data'!O10*$T91*$U91)/(($I91/2)*$S91))^$W91)))</f>
        <v>27.405198644518649</v>
      </c>
      <c r="AD91" s="528">
        <f>MAX(10,$R91/(1+($V91*(('Traffic Data'!P10*$T91*$U91)/(($I91/2)*$S91))^$W91)))</f>
        <v>10</v>
      </c>
      <c r="AE91" s="528">
        <f>MAX(10,$R91/(1+($V91*(('Traffic Data'!Q10*$T91*$U91)/(($I91/2)*$S91))^$W91)))</f>
        <v>10</v>
      </c>
      <c r="AF91" s="528">
        <f>MAX(10,$R91/(1+($V91*(('Traffic Data'!R10*$T91*$U91)/(($I91/2)*$S91))^$W91)))</f>
        <v>10</v>
      </c>
      <c r="AG91" s="528">
        <f>MAX(10,$R91/(1+($V91*(('Traffic Data'!S10*$T91*$U91)/(($I91/2)*$S91))^$W91)))</f>
        <v>10</v>
      </c>
      <c r="AH91" s="528">
        <f>MAX(10,$R91/(1+($V91*(('Traffic Data'!T10*$T91*$U91)/(($I91/2)*$S91))^$W91)))</f>
        <v>10</v>
      </c>
      <c r="AI91" s="528">
        <f>MAX(10,$R91/(1+($V91*(('Traffic Data'!U10*$T91*$U91)/(($I91/2)*$S91))^$W91)))</f>
        <v>10</v>
      </c>
      <c r="AJ91" s="528">
        <f>MAX(10,$R91/(1+($V91*(('Traffic Data'!V10*$T91*$U91)/(($I91/2)*$S91))^$W91)))</f>
        <v>10</v>
      </c>
      <c r="AK91" s="528">
        <f>MAX(10,$R91/(1+($V91*(('Traffic Data'!W10*$T91*$U91)/(($I91/2)*$S91))^$W91)))</f>
        <v>10</v>
      </c>
      <c r="AL91" s="528">
        <f>MAX(10,$R91/(1+($V91*(('Traffic Data'!X10*$T91*$U91)/(($I91/2)*$S91))^$W91)))</f>
        <v>10</v>
      </c>
      <c r="AM91" s="528">
        <f>MAX(10,$R91/(1+($V91*(('Traffic Data'!Y10*$T91*$U91)/(($I91/2)*$S91))^$W91)))</f>
        <v>10</v>
      </c>
      <c r="AN91" s="528">
        <f>MAX(10,$R91/(1+($V91*(('Traffic Data'!Z10*$T91*$U91)/(($I91/2)*$S91))^$W91)))</f>
        <v>10</v>
      </c>
      <c r="AO91" s="528">
        <f>MAX(10,$R91/(1+($V91*(('Traffic Data'!AA10*$T91*$U91)/(($I91/2)*$S91))^$W91)))</f>
        <v>10</v>
      </c>
      <c r="AP91" s="528">
        <f>MAX(10,$R91/(1+($V91*(('Traffic Data'!AB10*$T91*$U91)/(($I91/2)*$S91))^$W91)))</f>
        <v>10</v>
      </c>
      <c r="AQ91" s="528">
        <f>MAX(10,$R91/(1+($V91*(('Traffic Data'!AC10*$T91*$U91)/(($I91/2)*$S91))^$W91)))</f>
        <v>10</v>
      </c>
      <c r="AR91" s="528">
        <f>MAX(10,$R91/(1+($V91*(('Traffic Data'!AD10*$T91*$U91)/(($I91/2)*$S91))^$W91)))</f>
        <v>10</v>
      </c>
      <c r="AS91" s="528">
        <f>MAX(10,$R91/(1+($V91*(('Traffic Data'!AE10*$T91*$U91)/(($I91/2)*$S91))^$W91)))</f>
        <v>10</v>
      </c>
      <c r="AT91" s="528">
        <f>MAX(10,$R91/(1+($V91*(('Traffic Data'!AF10*$T91*$U91)/(($I91/2)*$S91))^$W91)))</f>
        <v>10</v>
      </c>
      <c r="AU91" s="528">
        <f>MAX(10,$R91/(1+($V91*(('Traffic Data'!AG10*$T91*$U91)/(($I91/2)*$S91))^$W91)))</f>
        <v>10</v>
      </c>
      <c r="AV91" s="528">
        <f>MAX(10,$R91/(1+($V91*(('Traffic Data'!AH10*$T91*$U91)/(($I91/2)*$S91))^$W91)))</f>
        <v>10</v>
      </c>
      <c r="AW91" s="527">
        <f>MAX(10,$R91/(1+($V91*(('Traffic Data'!AI10*$T91*$U91)/(($I91/2)*$S91))^$W91)))</f>
        <v>10</v>
      </c>
      <c r="AX91" s="377">
        <f>$R91/(1+($V91*(('Traffic Data'!J10*(0.67/14))/(($I91)*$S91))^$W91))</f>
        <v>59.499999873000476</v>
      </c>
      <c r="AY91" s="377">
        <f>$R91/(1+($V91*(('Traffic Data'!J10*(0.67/14))/(($I91)*$S91))^$W91))</f>
        <v>59.499999873000476</v>
      </c>
      <c r="AZ91" s="377">
        <f>$R91/(1+($V91*(('Traffic Data'!K10*(0.67/14))/(($I91)*$S91))^$W91))</f>
        <v>59.49999964226776</v>
      </c>
      <c r="BA91" s="377">
        <f>$R91/(1+($V91*(('Traffic Data'!L10*(0.67/14))/(($I91)*$S91))^$W91))</f>
        <v>59.499999038741485</v>
      </c>
      <c r="BB91" s="377">
        <f>$R91/(1+($V91*(('Traffic Data'!M10*(0.67/14))/(($I91)*$S91))^$W91))</f>
        <v>59.499987606435418</v>
      </c>
      <c r="BC91" s="377">
        <f>$R91/(1+($V91*(('Traffic Data'!N10*(0.67/14))/(($I91)*$S91))^$W91))</f>
        <v>59.49990513792752</v>
      </c>
      <c r="BD91" s="377">
        <f>$R91/(1+($V91*(('Traffic Data'!O10*(0.67/14))/(($I91)*$S91))^$W91))</f>
        <v>59.49948555774278</v>
      </c>
      <c r="BE91" s="377">
        <f>$R91/(1+($V91*(('Traffic Data'!P10*(0.67/14))/(($I91)*$S91))^$W91))</f>
        <v>59.497818518103678</v>
      </c>
      <c r="BF91" s="377">
        <f>$R91/(1+($V91*(('Traffic Data'!Q10*(0.67/14))/(($I91)*$S91))^$W91))</f>
        <v>59.492281341629493</v>
      </c>
      <c r="BG91" s="377">
        <f>$R91/(1+($V91*(('Traffic Data'!R10*(0.67/14))/(($I91)*$S91))^$W91))</f>
        <v>59.466168125491599</v>
      </c>
      <c r="BH91" s="377">
        <f>$R91/(1+($V91*(('Traffic Data'!S10*(0.67/14))/(($I91)*$S91))^$W91))</f>
        <v>59.377511414125067</v>
      </c>
      <c r="BI91" s="377">
        <f>$R91/(1+($V91*(('Traffic Data'!T10*(0.67/14))/(($I91)*$S91))^$W91))</f>
        <v>59.118493852078899</v>
      </c>
      <c r="BJ91" s="377">
        <f>$R91/(1+($V91*(('Traffic Data'!U10*(0.67/14))/(($I91)*$S91))^$W91))</f>
        <v>58.450170986783746</v>
      </c>
      <c r="BK91" s="377">
        <f>$R91/(1+($V91*(('Traffic Data'!V10*(0.67/14))/(($I91)*$S91))^$W91))</f>
        <v>56.910179693932385</v>
      </c>
      <c r="BL91" s="377">
        <f>$R91/(1+($V91*(('Traffic Data'!W10*(0.67/14))/(($I91)*$S91))^$W91))</f>
        <v>55.609704730983857</v>
      </c>
      <c r="BM91" s="377">
        <f>$R91/(1+($V91*(('Traffic Data'!X10*(0.67/14))/(($I91)*$S91))^$W91))</f>
        <v>54.852758976037464</v>
      </c>
      <c r="BN91" s="377">
        <f>$R91/(1+($V91*(('Traffic Data'!Y10*(0.67/14))/(($I91)*$S91))^$W91))</f>
        <v>53.981238415286349</v>
      </c>
      <c r="BO91" s="377">
        <f>$R91/(1+($V91*(('Traffic Data'!Z10*(0.67/14))/(($I91)*$S91))^$W91))</f>
        <v>52.985877041502413</v>
      </c>
      <c r="BP91" s="377">
        <f>$R91/(1+($V91*(('Traffic Data'!AA10*(0.67/14))/(($I91)*$S91))^$W91))</f>
        <v>51.856833281409628</v>
      </c>
      <c r="BQ91" s="377">
        <f>$R91/(1+($V91*(('Traffic Data'!AB10*(0.67/14))/(($I91)*$S91))^$W91))</f>
        <v>50.59174927342967</v>
      </c>
      <c r="BR91" s="377">
        <f>$R91/(1+($V91*(('Traffic Data'!AC10*(0.67/14))/(($I91)*$S91))^$W91))</f>
        <v>49.183187727463952</v>
      </c>
      <c r="BS91" s="377">
        <f>$R91/(1+($V91*(('Traffic Data'!AD10*(0.67/14))/(($I91)*$S91))^$W91))</f>
        <v>47.635500619307336</v>
      </c>
      <c r="BT91" s="377">
        <f>$R91/(1+($V91*(('Traffic Data'!AE10*(0.67/14))/(($I91)*$S91))^$W91))</f>
        <v>45.950114226766104</v>
      </c>
      <c r="BU91" s="377">
        <f>$R91/(1+($V91*(('Traffic Data'!AF10*(0.67/14))/(($I91)*$S91))^$W91))</f>
        <v>44.131666528992497</v>
      </c>
      <c r="BV91" s="377">
        <f>$R91/(1+($V91*(('Traffic Data'!AG10*(0.67/14))/(($I91)*$S91))^$W91))</f>
        <v>42.19785905879651</v>
      </c>
      <c r="BW91" s="646">
        <f>$R91/(1+($V91*(('Traffic Data'!AH10*(0.67/14))/(($I91)*$S91))^$W91))</f>
        <v>40.161812588670877</v>
      </c>
    </row>
    <row r="92" spans="1:76" ht="21.95" customHeight="1" x14ac:dyDescent="0.2">
      <c r="A92" s="642"/>
      <c r="C92" s="1339"/>
      <c r="D92" s="116" t="s">
        <v>335</v>
      </c>
      <c r="E92" s="116" t="s">
        <v>323</v>
      </c>
      <c r="F92" s="575">
        <f>'Traffic Data'!CM10</f>
        <v>0.83333333333333337</v>
      </c>
      <c r="G92" s="575">
        <f>'Traffic Data'!CN10</f>
        <v>0.9</v>
      </c>
      <c r="H92" s="146">
        <f>'Traffic Data'!G11</f>
        <v>45</v>
      </c>
      <c r="I92" s="146">
        <v>2</v>
      </c>
      <c r="J92" s="146">
        <f t="shared" ref="J92:J116" si="6">H92+7</f>
        <v>52</v>
      </c>
      <c r="K92" s="146">
        <v>0</v>
      </c>
      <c r="L92" s="146">
        <v>2.5</v>
      </c>
      <c r="M92" s="146">
        <v>0</v>
      </c>
      <c r="N92" s="146">
        <v>0</v>
      </c>
      <c r="O92" s="146">
        <v>0</v>
      </c>
      <c r="P92" s="146">
        <v>0</v>
      </c>
      <c r="Q92" s="146">
        <v>0</v>
      </c>
      <c r="R92" s="174">
        <f t="shared" si="4"/>
        <v>49.5</v>
      </c>
      <c r="S92" s="576">
        <f>N$24*F92*G92</f>
        <v>600.00000000000011</v>
      </c>
      <c r="T92" s="577">
        <v>0.12</v>
      </c>
      <c r="U92" s="578">
        <v>0.65</v>
      </c>
      <c r="V92" s="579">
        <f t="shared" si="5"/>
        <v>0.2</v>
      </c>
      <c r="W92" s="228">
        <v>10</v>
      </c>
      <c r="X92" s="529">
        <f>MAX(10,$R92/(1+($V92*(('Traffic Data'!J11*$T92*$U92)/(($I92/2)*$S92))^$W92)))</f>
        <v>49.499913467275938</v>
      </c>
      <c r="Y92" s="528">
        <f>MAX(10,$R92/(1+($V92*(('Traffic Data'!K11*$T92*$U92)/(($I92/2)*$S92))^$W92)))</f>
        <v>49.499698678328905</v>
      </c>
      <c r="Z92" s="528">
        <f>MAX(10,$R92/(1+($V92*(('Traffic Data'!L11*$T92*$U92)/(($I92/2)*$S92))^$W92)))</f>
        <v>49.499085896074206</v>
      </c>
      <c r="AA92" s="528">
        <f>MAX(10,$R92/(1+($V92*(('Traffic Data'!M11*$T92*$U92)/(($I92/2)*$S92))^$W92)))</f>
        <v>49.480878972327758</v>
      </c>
      <c r="AB92" s="528">
        <f>MAX(10,$R92/(1+($V92*(('Traffic Data'!N11*$T92*$U92)/(($I92/2)*$S92))^$W92)))</f>
        <v>49.304358526535687</v>
      </c>
      <c r="AC92" s="528">
        <f>MAX(10,$R92/(1+($V92*(('Traffic Data'!O11*$T92*$U92)/(($I92/2)*$S92))^$W92)))</f>
        <v>48.233928748720977</v>
      </c>
      <c r="AD92" s="528">
        <f>MAX(10,$R92/(1+($V92*(('Traffic Data'!P11*$T92*$U92)/(($I92/2)*$S92))^$W92)))</f>
        <v>43.870904494080158</v>
      </c>
      <c r="AE92" s="528">
        <f>MAX(10,$R92/(1+($V92*(('Traffic Data'!Q11*$T92*$U92)/(($I92/2)*$S92))^$W92)))</f>
        <v>32.887235062065436</v>
      </c>
      <c r="AF92" s="528">
        <f>MAX(10,$R92/(1+($V92*(('Traffic Data'!R11*$T92*$U92)/(($I92/2)*$S92))^$W92)))</f>
        <v>12.249107915850917</v>
      </c>
      <c r="AG92" s="528">
        <f>MAX(10,$R92/(1+($V92*(('Traffic Data'!S11*$T92*$U92)/(($I92/2)*$S92))^$W92)))</f>
        <v>10</v>
      </c>
      <c r="AH92" s="528">
        <f>MAX(10,$R92/(1+($V92*(('Traffic Data'!T11*$T92*$U92)/(($I92/2)*$S92))^$W92)))</f>
        <v>10</v>
      </c>
      <c r="AI92" s="528">
        <f>MAX(10,$R92/(1+($V92*(('Traffic Data'!U11*$T92*$U92)/(($I92/2)*$S92))^$W92)))</f>
        <v>10</v>
      </c>
      <c r="AJ92" s="528">
        <f>MAX(10,$R92/(1+($V92*(('Traffic Data'!V11*$T92*$U92)/(($I92/2)*$S92))^$W92)))</f>
        <v>10</v>
      </c>
      <c r="AK92" s="528">
        <f>MAX(10,$R92/(1+($V92*(('Traffic Data'!W11*$T92*$U92)/(($I92/2)*$S92))^$W92)))</f>
        <v>10</v>
      </c>
      <c r="AL92" s="528">
        <f>MAX(10,$R92/(1+($V92*(('Traffic Data'!X11*$T92*$U92)/(($I92/2)*$S92))^$W92)))</f>
        <v>10</v>
      </c>
      <c r="AM92" s="528">
        <f>MAX(10,$R92/(1+($V92*(('Traffic Data'!Y11*$T92*$U92)/(($I92/2)*$S92))^$W92)))</f>
        <v>10</v>
      </c>
      <c r="AN92" s="528">
        <f>MAX(10,$R92/(1+($V92*(('Traffic Data'!Z11*$T92*$U92)/(($I92/2)*$S92))^$W92)))</f>
        <v>10</v>
      </c>
      <c r="AO92" s="528">
        <f>MAX(10,$R92/(1+($V92*(('Traffic Data'!AA11*$T92*$U92)/(($I92/2)*$S92))^$W92)))</f>
        <v>10</v>
      </c>
      <c r="AP92" s="528">
        <f>MAX(10,$R92/(1+($V92*(('Traffic Data'!AB11*$T92*$U92)/(($I92/2)*$S92))^$W92)))</f>
        <v>10</v>
      </c>
      <c r="AQ92" s="528">
        <f>MAX(10,$R92/(1+($V92*(('Traffic Data'!AC11*$T92*$U92)/(($I92/2)*$S92))^$W92)))</f>
        <v>10</v>
      </c>
      <c r="AR92" s="528">
        <f>MAX(10,$R92/(1+($V92*(('Traffic Data'!AD11*$T92*$U92)/(($I92/2)*$S92))^$W92)))</f>
        <v>10</v>
      </c>
      <c r="AS92" s="528">
        <f>MAX(10,$R92/(1+($V92*(('Traffic Data'!AE11*$T92*$U92)/(($I92/2)*$S92))^$W92)))</f>
        <v>10</v>
      </c>
      <c r="AT92" s="528">
        <f>MAX(10,$R92/(1+($V92*(('Traffic Data'!AF11*$T92*$U92)/(($I92/2)*$S92))^$W92)))</f>
        <v>10</v>
      </c>
      <c r="AU92" s="528">
        <f>MAX(10,$R92/(1+($V92*(('Traffic Data'!AG11*$T92*$U92)/(($I92/2)*$S92))^$W92)))</f>
        <v>10</v>
      </c>
      <c r="AV92" s="528">
        <f>MAX(10,$R92/(1+($V92*(('Traffic Data'!AH11*$T92*$U92)/(($I92/2)*$S92))^$W92)))</f>
        <v>10</v>
      </c>
      <c r="AW92" s="527">
        <f>MAX(10,$R92/(1+($V92*(('Traffic Data'!AI11*$T92*$U92)/(($I92/2)*$S92))^$W92)))</f>
        <v>10</v>
      </c>
      <c r="AX92" s="528">
        <f>$R92/(1+($V92*(('Traffic Data'!J11*(0.67/14))/(($I92)*$S92))^$W92))</f>
        <v>49.499999999361144</v>
      </c>
      <c r="AY92" s="528">
        <f>$R92/(1+($V92*(('Traffic Data'!J11*(0.67/14))/(($I92)*$S92))^$W92))</f>
        <v>49.499999999361144</v>
      </c>
      <c r="AZ92" s="528">
        <f>$R92/(1+($V92*(('Traffic Data'!K11*(0.67/14))/(($I92)*$S92))^$W92))</f>
        <v>49.49999999777539</v>
      </c>
      <c r="BA92" s="528">
        <f>$R92/(1+($V92*(('Traffic Data'!L11*(0.67/14))/(($I92)*$S92))^$W92))</f>
        <v>49.499999993251222</v>
      </c>
      <c r="BB92" s="528">
        <f>$R92/(1+($V92*(('Traffic Data'!M11*(0.67/14))/(($I92)*$S92))^$W92))</f>
        <v>49.49999985877853</v>
      </c>
      <c r="BC92" s="528">
        <f>$R92/(1+($V92*(('Traffic Data'!N11*(0.67/14))/(($I92)*$S92))^$W92))</f>
        <v>49.499998549884872</v>
      </c>
      <c r="BD92" s="528">
        <f>$R92/(1+($V92*(('Traffic Data'!O11*(0.67/14))/(($I92)*$S92))^$W92))</f>
        <v>49.499990407488873</v>
      </c>
      <c r="BE92" s="528">
        <f>$R92/(1+($V92*(('Traffic Data'!P11*(0.67/14))/(($I92)*$S92))^$W92))</f>
        <v>49.499953109107075</v>
      </c>
      <c r="BF92" s="528">
        <f>$R92/(1+($V92*(('Traffic Data'!Q11*(0.67/14))/(($I92)*$S92))^$W92))</f>
        <v>49.499815396545571</v>
      </c>
      <c r="BG92" s="528">
        <f>$R92/(1+($V92*(('Traffic Data'!R11*(0.67/14))/(($I92)*$S92))^$W92))</f>
        <v>49.498888653843622</v>
      </c>
      <c r="BH92" s="528">
        <f>$R92/(1+($V92*(('Traffic Data'!S11*(0.67/14))/(($I92)*$S92))^$W92))</f>
        <v>49.494912735808761</v>
      </c>
      <c r="BI92" s="528">
        <f>$R92/(1+($V92*(('Traffic Data'!T11*(0.67/14))/(($I92)*$S92))^$W92))</f>
        <v>49.480957550393988</v>
      </c>
      <c r="BJ92" s="528">
        <f>$R92/(1+($V92*(('Traffic Data'!U11*(0.67/14))/(($I92)*$S92))^$W92))</f>
        <v>49.438937168999267</v>
      </c>
      <c r="BK92" s="528">
        <f>$R92/(1+($V92*(('Traffic Data'!V11*(0.67/14))/(($I92)*$S92))^$W92))</f>
        <v>49.326739540117337</v>
      </c>
      <c r="BL92" s="528">
        <f>$R92/(1+($V92*(('Traffic Data'!W11*(0.67/14))/(($I92)*$S92))^$W92))</f>
        <v>49.208507225056294</v>
      </c>
      <c r="BM92" s="528">
        <f>$R92/(1+($V92*(('Traffic Data'!X11*(0.67/14))/(($I92)*$S92))^$W92))</f>
        <v>49.151693417975473</v>
      </c>
      <c r="BN92" s="528">
        <f>$R92/(1+($V92*(('Traffic Data'!Y11*(0.67/14))/(($I92)*$S92))^$W92))</f>
        <v>49.08519986895972</v>
      </c>
      <c r="BO92" s="528">
        <f>$R92/(1+($V92*(('Traffic Data'!Z11*(0.67/14))/(($I92)*$S92))^$W92))</f>
        <v>49.007627169302346</v>
      </c>
      <c r="BP92" s="528">
        <f>$R92/(1+($V92*(('Traffic Data'!AA11*(0.67/14))/(($I92)*$S92))^$W92))</f>
        <v>48.91735589406246</v>
      </c>
      <c r="BQ92" s="528">
        <f>$R92/(1+($V92*(('Traffic Data'!AB11*(0.67/14))/(($I92)*$S92))^$W92))</f>
        <v>48.812770425268134</v>
      </c>
      <c r="BR92" s="528">
        <f>$R92/(1+($V92*(('Traffic Data'!AC11*(0.67/14))/(($I92)*$S92))^$W92))</f>
        <v>48.691830798739112</v>
      </c>
      <c r="BS92" s="528">
        <f>$R92/(1+($V92*(('Traffic Data'!AD11*(0.67/14))/(($I92)*$S92))^$W92))</f>
        <v>48.552595703074807</v>
      </c>
      <c r="BT92" s="528">
        <f>$R92/(1+($V92*(('Traffic Data'!AE11*(0.67/14))/(($I92)*$S92))^$W92))</f>
        <v>48.392712369543631</v>
      </c>
      <c r="BU92" s="528">
        <f>$R92/(1+($V92*(('Traffic Data'!AF11*(0.67/14))/(($I92)*$S92))^$W92))</f>
        <v>48.209583889994498</v>
      </c>
      <c r="BV92" s="528">
        <f>$R92/(1+($V92*(('Traffic Data'!AG11*(0.67/14))/(($I92)*$S92))^$W92))</f>
        <v>48.00077447414651</v>
      </c>
      <c r="BW92" s="647">
        <f>$R92/(1+($V92*(('Traffic Data'!AH11*(0.67/14))/(($I92)*$S92))^$W92))</f>
        <v>47.763331045094297</v>
      </c>
    </row>
    <row r="93" spans="1:76" ht="21.95" customHeight="1" x14ac:dyDescent="0.2">
      <c r="A93" s="642"/>
      <c r="C93" s="1353"/>
      <c r="D93" s="254" t="s">
        <v>323</v>
      </c>
      <c r="E93" s="254" t="s">
        <v>338</v>
      </c>
      <c r="F93" s="580">
        <f>'Traffic Data'!CM10</f>
        <v>0.83333333333333337</v>
      </c>
      <c r="G93" s="575">
        <f>'Traffic Data'!CN10</f>
        <v>0.9</v>
      </c>
      <c r="H93" s="581">
        <f>'Traffic Data'!G12</f>
        <v>45</v>
      </c>
      <c r="I93" s="146">
        <v>2</v>
      </c>
      <c r="J93" s="581">
        <f t="shared" si="6"/>
        <v>52</v>
      </c>
      <c r="K93" s="146">
        <v>0</v>
      </c>
      <c r="L93" s="146">
        <v>5</v>
      </c>
      <c r="M93" s="146">
        <v>0</v>
      </c>
      <c r="N93" s="146">
        <v>0</v>
      </c>
      <c r="O93" s="146">
        <v>0</v>
      </c>
      <c r="P93" s="146">
        <v>0</v>
      </c>
      <c r="Q93" s="146">
        <v>0</v>
      </c>
      <c r="R93" s="253">
        <f t="shared" si="4"/>
        <v>47</v>
      </c>
      <c r="S93" s="586">
        <f>N$24*F93*G93</f>
        <v>600.00000000000011</v>
      </c>
      <c r="T93" s="587">
        <v>0.12</v>
      </c>
      <c r="U93" s="588">
        <v>0.65</v>
      </c>
      <c r="V93" s="589">
        <f t="shared" si="5"/>
        <v>0.2</v>
      </c>
      <c r="W93" s="228">
        <v>10</v>
      </c>
      <c r="X93" s="529">
        <f>MAX(10,$R93/(1+($V93*(('Traffic Data'!J12*$T93*$U93)/(($I93/2)*$S93))^$W93)))</f>
        <v>46.22928606898175</v>
      </c>
      <c r="Y93" s="528">
        <f>MAX(10,$R93/(1+($V93*(('Traffic Data'!K12*$T93*$U93)/(($I93/2)*$S93))^$W93)))</f>
        <v>45.898630025140719</v>
      </c>
      <c r="Z93" s="528">
        <f>MAX(10,$R93/(1+($V93*(('Traffic Data'!L12*$T93*$U93)/(($I93/2)*$S93))^$W93)))</f>
        <v>45.449897519349484</v>
      </c>
      <c r="AA93" s="528">
        <f>MAX(10,$R93/(1+($V93*(('Traffic Data'!M12*$T93*$U93)/(($I93/2)*$S93))^$W93)))</f>
        <v>44.119410951142108</v>
      </c>
      <c r="AB93" s="528">
        <f>MAX(10,$R93/(1+($V93*(('Traffic Data'!N12*$T93*$U93)/(($I93/2)*$S93))^$W93)))</f>
        <v>41.957653868858038</v>
      </c>
      <c r="AC93" s="528">
        <f>MAX(10,$R93/(1+($V93*(('Traffic Data'!O12*$T93*$U93)/(($I93/2)*$S93))^$W93)))</f>
        <v>38.729516810869946</v>
      </c>
      <c r="AD93" s="528">
        <f>MAX(10,$R93/(1+($V93*(('Traffic Data'!P12*$T93*$U93)/(($I93/2)*$S93))^$W93)))</f>
        <v>34.364001943170187</v>
      </c>
      <c r="AE93" s="528">
        <f>MAX(10,$R93/(1+($V93*(('Traffic Data'!Q12*$T93*$U93)/(($I93/2)*$S93))^$W93)))</f>
        <v>29.083997757787802</v>
      </c>
      <c r="AF93" s="528">
        <f>MAX(10,$R93/(1+($V93*(('Traffic Data'!R12*$T93*$U93)/(($I93/2)*$S93))^$W93)))</f>
        <v>21.27313861925975</v>
      </c>
      <c r="AG93" s="528">
        <f>MAX(10,$R93/(1+($V93*(('Traffic Data'!S12*$T93*$U93)/(($I93/2)*$S93))^$W93)))</f>
        <v>14.347395945200246</v>
      </c>
      <c r="AH93" s="528">
        <f>MAX(10,$R93/(1+($V93*(('Traffic Data'!T12*$T93*$U93)/(($I93/2)*$S93))^$W93)))</f>
        <v>10</v>
      </c>
      <c r="AI93" s="528">
        <f>MAX(10,$R93/(1+($V93*(('Traffic Data'!U12*$T93*$U93)/(($I93/2)*$S93))^$W93)))</f>
        <v>10</v>
      </c>
      <c r="AJ93" s="528">
        <f>MAX(10,$R93/(1+($V93*(('Traffic Data'!V12*$T93*$U93)/(($I93/2)*$S93))^$W93)))</f>
        <v>10</v>
      </c>
      <c r="AK93" s="528">
        <f>MAX(10,$R93/(1+($V93*(('Traffic Data'!W12*$T93*$U93)/(($I93/2)*$S93))^$W93)))</f>
        <v>10</v>
      </c>
      <c r="AL93" s="528">
        <f>MAX(10,$R93/(1+($V93*(('Traffic Data'!X12*$T93*$U93)/(($I93/2)*$S93))^$W93)))</f>
        <v>10</v>
      </c>
      <c r="AM93" s="528">
        <f>MAX(10,$R93/(1+($V93*(('Traffic Data'!Y12*$T93*$U93)/(($I93/2)*$S93))^$W93)))</f>
        <v>10</v>
      </c>
      <c r="AN93" s="528">
        <f>MAX(10,$R93/(1+($V93*(('Traffic Data'!Z12*$T93*$U93)/(($I93/2)*$S93))^$W93)))</f>
        <v>10</v>
      </c>
      <c r="AO93" s="528">
        <f>MAX(10,$R93/(1+($V93*(('Traffic Data'!AA12*$T93*$U93)/(($I93/2)*$S93))^$W93)))</f>
        <v>10</v>
      </c>
      <c r="AP93" s="528">
        <f>MAX(10,$R93/(1+($V93*(('Traffic Data'!AB12*$T93*$U93)/(($I93/2)*$S93))^$W93)))</f>
        <v>10</v>
      </c>
      <c r="AQ93" s="528">
        <f>MAX(10,$R93/(1+($V93*(('Traffic Data'!AC12*$T93*$U93)/(($I93/2)*$S93))^$W93)))</f>
        <v>10</v>
      </c>
      <c r="AR93" s="528">
        <f>MAX(10,$R93/(1+($V93*(('Traffic Data'!AD12*$T93*$U93)/(($I93/2)*$S93))^$W93)))</f>
        <v>10</v>
      </c>
      <c r="AS93" s="528">
        <f>MAX(10,$R93/(1+($V93*(('Traffic Data'!AE12*$T93*$U93)/(($I93/2)*$S93))^$W93)))</f>
        <v>10</v>
      </c>
      <c r="AT93" s="528">
        <f>MAX(10,$R93/(1+($V93*(('Traffic Data'!AF12*$T93*$U93)/(($I93/2)*$S93))^$W93)))</f>
        <v>10</v>
      </c>
      <c r="AU93" s="528">
        <f>MAX(10,$R93/(1+($V93*(('Traffic Data'!AG12*$T93*$U93)/(($I93/2)*$S93))^$W93)))</f>
        <v>10</v>
      </c>
      <c r="AV93" s="528">
        <f>MAX(10,$R93/(1+($V93*(('Traffic Data'!AH12*$T93*$U93)/(($I93/2)*$S93))^$W93)))</f>
        <v>10</v>
      </c>
      <c r="AW93" s="527">
        <f>MAX(10,$R93/(1+($V93*(('Traffic Data'!AI12*$T93*$U93)/(($I93/2)*$S93))^$W93)))</f>
        <v>10</v>
      </c>
      <c r="AX93" s="373">
        <f>$R93/(1+($V93*(('Traffic Data'!J12*(0.67/14))/(($I93)*$S93))^$W93))</f>
        <v>46.99999421510455</v>
      </c>
      <c r="AY93" s="373">
        <f>$R93/(1+($V93*(('Traffic Data'!J12*(0.67/14))/(($I93)*$S93))^$W93))</f>
        <v>46.99999421510455</v>
      </c>
      <c r="AZ93" s="373">
        <f>$R93/(1+($V93*(('Traffic Data'!K12*(0.67/14))/(($I93)*$S93))^$W93))</f>
        <v>46.99999167368231</v>
      </c>
      <c r="BA93" s="373">
        <f>$R93/(1+($V93*(('Traffic Data'!L12*(0.67/14))/(($I93)*$S93))^$W93))</f>
        <v>46.999988165581087</v>
      </c>
      <c r="BB93" s="373">
        <f>$R93/(1+($V93*(('Traffic Data'!M12*(0.67/14))/(($I93)*$S93))^$W93))</f>
        <v>46.9999773446417</v>
      </c>
      <c r="BC93" s="373">
        <f>$R93/(1+($V93*(('Traffic Data'!N12*(0.67/14))/(($I93)*$S93))^$W93))</f>
        <v>46.999958299561882</v>
      </c>
      <c r="BD93" s="373">
        <f>$R93/(1+($V93*(('Traffic Data'!O12*(0.67/14))/(($I93)*$S93))^$W93))</f>
        <v>46.999925901798946</v>
      </c>
      <c r="BE93" s="373">
        <f>$R93/(1+($V93*(('Traffic Data'!P12*(0.67/14))/(($I93)*$S93))^$W93))</f>
        <v>46.999872407783734</v>
      </c>
      <c r="BF93" s="373">
        <f>$R93/(1+($V93*(('Traffic Data'!Q12*(0.67/14))/(($I93)*$S93))^$W93))</f>
        <v>46.999786250762021</v>
      </c>
      <c r="BG93" s="373">
        <f>$R93/(1+($V93*(('Traffic Data'!R12*(0.67/14))/(($I93)*$S93))^$W93))</f>
        <v>46.999580365773198</v>
      </c>
      <c r="BH93" s="373">
        <f>$R93/(1+($V93*(('Traffic Data'!S12*(0.67/14))/(($I93)*$S93))^$W93))</f>
        <v>46.999210309368159</v>
      </c>
      <c r="BI93" s="373">
        <f>$R93/(1+($V93*(('Traffic Data'!T12*(0.67/14))/(($I93)*$S93))^$W93))</f>
        <v>46.998569369612831</v>
      </c>
      <c r="BJ93" s="373">
        <f>$R93/(1+($V93*(('Traffic Data'!U12*(0.67/14))/(($I93)*$S93))^$W93))</f>
        <v>46.997492980686296</v>
      </c>
      <c r="BK93" s="373">
        <f>$R93/(1+($V93*(('Traffic Data'!V12*(0.67/14))/(($I93)*$S93))^$W93))</f>
        <v>46.995733865239238</v>
      </c>
      <c r="BL93" s="373">
        <f>$R93/(1+($V93*(('Traffic Data'!W12*(0.67/14))/(($I93)*$S93))^$W93))</f>
        <v>46.994061003367463</v>
      </c>
      <c r="BM93" s="373">
        <f>$R93/(1+($V93*(('Traffic Data'!X12*(0.67/14))/(($I93)*$S93))^$W93))</f>
        <v>46.99286359763483</v>
      </c>
      <c r="BN93" s="373">
        <f>$R93/(1+($V93*(('Traffic Data'!Y12*(0.67/14))/(($I93)*$S93))^$W93))</f>
        <v>46.99145318030326</v>
      </c>
      <c r="BO93" s="373">
        <f>$R93/(1+($V93*(('Traffic Data'!Z12*(0.67/14))/(($I93)*$S93))^$W93))</f>
        <v>46.989796729191383</v>
      </c>
      <c r="BP93" s="373">
        <f>$R93/(1+($V93*(('Traffic Data'!AA12*(0.67/14))/(($I93)*$S93))^$W93))</f>
        <v>46.987855515748649</v>
      </c>
      <c r="BQ93" s="373">
        <f>$R93/(1+($V93*(('Traffic Data'!AB12*(0.67/14))/(($I93)*$S93))^$W93))</f>
        <v>46.985589670856733</v>
      </c>
      <c r="BR93" s="373">
        <f>$R93/(1+($V93*(('Traffic Data'!AC12*(0.67/14))/(($I93)*$S93))^$W93))</f>
        <v>46.982948581088799</v>
      </c>
      <c r="BS93" s="373">
        <f>$R93/(1+($V93*(('Traffic Data'!AD12*(0.67/14))/(($I93)*$S93))^$W93))</f>
        <v>46.979881854590012</v>
      </c>
      <c r="BT93" s="373">
        <f>$R93/(1+($V93*(('Traffic Data'!AE12*(0.67/14))/(($I93)*$S93))^$W93))</f>
        <v>46.976327654265354</v>
      </c>
      <c r="BU93" s="373">
        <f>$R93/(1+($V93*(('Traffic Data'!AF12*(0.67/14))/(($I93)*$S93))^$W93))</f>
        <v>46.972215614085755</v>
      </c>
      <c r="BV93" s="373">
        <f>$R93/(1+($V93*(('Traffic Data'!AG12*(0.67/14))/(($I93)*$S93))^$W93))</f>
        <v>46.967475247116958</v>
      </c>
      <c r="BW93" s="648">
        <f>$R93/(1+($V93*(('Traffic Data'!AH12*(0.67/14))/(($I93)*$S93))^$W93))</f>
        <v>46.962019713279702</v>
      </c>
    </row>
    <row r="94" spans="1:76" ht="21.95" customHeight="1" x14ac:dyDescent="0.2">
      <c r="A94" s="642"/>
      <c r="C94" s="116" t="s">
        <v>339</v>
      </c>
      <c r="D94" s="116" t="s">
        <v>335</v>
      </c>
      <c r="E94" s="116" t="s">
        <v>323</v>
      </c>
      <c r="F94" s="580">
        <f>'Traffic Data'!CM13</f>
        <v>0.83333333333333337</v>
      </c>
      <c r="G94" s="590">
        <f>'Traffic Data'!CN13</f>
        <v>0.88</v>
      </c>
      <c r="H94" s="591">
        <v>20</v>
      </c>
      <c r="I94" s="591">
        <v>2</v>
      </c>
      <c r="J94" s="591">
        <f t="shared" si="6"/>
        <v>27</v>
      </c>
      <c r="K94" s="591">
        <v>4.2</v>
      </c>
      <c r="L94" s="591">
        <v>2.5</v>
      </c>
      <c r="M94" s="591">
        <v>0</v>
      </c>
      <c r="N94" s="591">
        <v>0</v>
      </c>
      <c r="O94" s="591">
        <v>0</v>
      </c>
      <c r="P94" s="591">
        <v>0</v>
      </c>
      <c r="Q94" s="591">
        <v>0</v>
      </c>
      <c r="R94" s="255">
        <f t="shared" si="4"/>
        <v>20.3</v>
      </c>
      <c r="S94" s="592">
        <f>N29*F94*G94</f>
        <v>586.66666666666674</v>
      </c>
      <c r="T94" s="593">
        <v>0.12</v>
      </c>
      <c r="U94" s="594">
        <v>0.65</v>
      </c>
      <c r="V94" s="579">
        <f t="shared" si="5"/>
        <v>0.2</v>
      </c>
      <c r="W94" s="595">
        <v>10</v>
      </c>
      <c r="X94" s="405">
        <f>$R94/(1+($V94*(('Traffic Data'!J13*$T94*$U94)/(($I94/2)*$S94))^$W94))</f>
        <v>20.3</v>
      </c>
      <c r="Y94" s="375">
        <f>$R94/(1+($V94*(('Traffic Data'!K13*$T94*$U94)/(($I94/2)*$S94))^$W94))</f>
        <v>20.3</v>
      </c>
      <c r="Z94" s="375">
        <f>$R94/(1+($V94*(('Traffic Data'!L13*$T94*$U94)/(($I94/2)*$S94))^$W94))</f>
        <v>20.3</v>
      </c>
      <c r="AA94" s="375">
        <f>$R94/(1+($V94*(('Traffic Data'!M13*$T94*$U94)/(($I94/2)*$S94))^$W94))</f>
        <v>20.3</v>
      </c>
      <c r="AB94" s="375">
        <f>$R94/(1+($V94*(('Traffic Data'!N13*$T94*$U94)/(($I94/2)*$S94))^$W94))</f>
        <v>20.299999999999962</v>
      </c>
      <c r="AC94" s="375">
        <f>$R94/(1+($V94*(('Traffic Data'!O13*$T94*$U94)/(($I94/2)*$S94))^$W94))</f>
        <v>20.299999999999244</v>
      </c>
      <c r="AD94" s="375">
        <f>$R94/(1+($V94*(('Traffic Data'!P13*$T94*$U94)/(($I94/2)*$S94))^$W94))</f>
        <v>20.299999999992551</v>
      </c>
      <c r="AE94" s="375">
        <f>$R94/(1+($V94*(('Traffic Data'!Q13*$T94*$U94)/(($I94/2)*$S94))^$W94))</f>
        <v>20.299999999952135</v>
      </c>
      <c r="AF94" s="375">
        <f>$R94/(1+($V94*(('Traffic Data'!R13*$T94*$U94)/(($I94/2)*$S94))^$W94))</f>
        <v>20.299999999885451</v>
      </c>
      <c r="AG94" s="375">
        <f>$R94/(1+($V94*(('Traffic Data'!S13*$T94*$U94)/(($I94/2)*$S94))^$W94))</f>
        <v>20.299999999744138</v>
      </c>
      <c r="AH94" s="375">
        <f>$R94/(1+($V94*(('Traffic Data'!T13*$T94*$U94)/(($I94/2)*$S94))^$W94))</f>
        <v>20.299999999462074</v>
      </c>
      <c r="AI94" s="375">
        <f>$R94/(1+($V94*(('Traffic Data'!U13*$T94*$U94)/(($I94/2)*$S94))^$W94))</f>
        <v>20.299999998926015</v>
      </c>
      <c r="AJ94" s="375">
        <f>$R94/(1+($V94*(('Traffic Data'!V13*$T94*$U94)/(($I94/2)*$S94))^$W94))</f>
        <v>20.299999997946305</v>
      </c>
      <c r="AK94" s="375">
        <f>$R94/(1+($V94*(('Traffic Data'!W13*$T94*$U94)/(($I94/2)*$S94))^$W94))</f>
        <v>20.299999997640061</v>
      </c>
      <c r="AL94" s="375">
        <f>$R94/(1+($V94*(('Traffic Data'!X13*$T94*$U94)/(($I94/2)*$S94))^$W94))</f>
        <v>20.299999997293305</v>
      </c>
      <c r="AM94" s="375">
        <f>$R94/(1+($V94*(('Traffic Data'!Y13*$T94*$U94)/(($I94/2)*$S94))^$W94))</f>
        <v>20.299999996901363</v>
      </c>
      <c r="AN94" s="375">
        <f>$R94/(1+($V94*(('Traffic Data'!Z13*$T94*$U94)/(($I94/2)*$S94))^$W94))</f>
        <v>20.299999996459054</v>
      </c>
      <c r="AO94" s="375">
        <f>$R94/(1+($V94*(('Traffic Data'!AA13*$T94*$U94)/(($I94/2)*$S94))^$W94))</f>
        <v>20.299999995958146</v>
      </c>
      <c r="AP94" s="375">
        <f>$R94/(1+($V94*(('Traffic Data'!AB13*$T94*$U94)/(($I94/2)*$S94))^$W94))</f>
        <v>20.299999995397229</v>
      </c>
      <c r="AQ94" s="375">
        <f>$R94/(1+($V94*(('Traffic Data'!AC13*$T94*$U94)/(($I94/2)*$S94))^$W94))</f>
        <v>20.299999994763969</v>
      </c>
      <c r="AR94" s="375">
        <f>$R94/(1+($V94*(('Traffic Data'!AD13*$T94*$U94)/(($I94/2)*$S94))^$W94))</f>
        <v>20.299999994056968</v>
      </c>
      <c r="AS94" s="375">
        <f>$R94/(1+($V94*(('Traffic Data'!AE13*$T94*$U94)/(($I94/2)*$S94))^$W94))</f>
        <v>20.299999993265182</v>
      </c>
      <c r="AT94" s="375">
        <f>$R94/(1+($V94*(('Traffic Data'!AF13*$T94*$U94)/(($I94/2)*$S94))^$W94))</f>
        <v>20.29999999237516</v>
      </c>
      <c r="AU94" s="375">
        <f>$R94/(1+($V94*(('Traffic Data'!AG13*$T94*$U94)/(($I94/2)*$S94))^$W94))</f>
        <v>20.299999991385704</v>
      </c>
      <c r="AV94" s="375">
        <f>$R94/(1+($V94*(('Traffic Data'!AH13*$T94*$U94)/(($I94/2)*$S94))^$W94))</f>
        <v>20.299999990282153</v>
      </c>
      <c r="AW94" s="376">
        <f>$R94/(1+($V94*(('Traffic Data'!AI13*$T94*$U94)/(($I94/2)*$S94))^$W94))</f>
        <v>20.299999989046675</v>
      </c>
      <c r="AX94" s="401">
        <f>$R94/(1+($V94*(('Traffic Data'!J13*(0.67/14))/(($I94)*$S94))^$W94))</f>
        <v>20.3</v>
      </c>
      <c r="AY94" s="401">
        <f>$R94/(1+($V94*(('Traffic Data'!J13*(0.67/14))/(($I94)*$S94))^$W94))</f>
        <v>20.3</v>
      </c>
      <c r="AZ94" s="401">
        <f>$R94/(1+($V94*(('Traffic Data'!K13*(0.67/14))/(($I94)*$S94))^$W94))</f>
        <v>20.3</v>
      </c>
      <c r="BA94" s="401">
        <f>$R94/(1+($V94*(('Traffic Data'!L13*(0.67/14))/(($I94)*$S94))^$W94))</f>
        <v>20.3</v>
      </c>
      <c r="BB94" s="401">
        <f>$R94/(1+($V94*(('Traffic Data'!M13*(0.67/14))/(($I94)*$S94))^$W94))</f>
        <v>20.3</v>
      </c>
      <c r="BC94" s="401">
        <f>$R94/(1+($V94*(('Traffic Data'!N13*(0.67/14))/(($I94)*$S94))^$W94))</f>
        <v>20.3</v>
      </c>
      <c r="BD94" s="401">
        <f>$R94/(1+($V94*(('Traffic Data'!O13*(0.67/14))/(($I94)*$S94))^$W94))</f>
        <v>20.3</v>
      </c>
      <c r="BE94" s="401">
        <f>$R94/(1+($V94*(('Traffic Data'!P13*(0.67/14))/(($I94)*$S94))^$W94))</f>
        <v>20.3</v>
      </c>
      <c r="BF94" s="401">
        <f>$R94/(1+($V94*(('Traffic Data'!Q13*(0.67/14))/(($I94)*$S94))^$W94))</f>
        <v>20.3</v>
      </c>
      <c r="BG94" s="401">
        <f>$R94/(1+($V94*(('Traffic Data'!R13*(0.67/14))/(($I94)*$S94))^$W94))</f>
        <v>20.3</v>
      </c>
      <c r="BH94" s="401">
        <f>$R94/(1+($V94*(('Traffic Data'!S13*(0.67/14))/(($I94)*$S94))^$W94))</f>
        <v>20.3</v>
      </c>
      <c r="BI94" s="401">
        <f>$R94/(1+($V94*(('Traffic Data'!T13*(0.67/14))/(($I94)*$S94))^$W94))</f>
        <v>20.299999999999997</v>
      </c>
      <c r="BJ94" s="401">
        <f>$R94/(1+($V94*(('Traffic Data'!U13*(0.67/14))/(($I94)*$S94))^$W94))</f>
        <v>20.29999999999999</v>
      </c>
      <c r="BK94" s="401">
        <f>$R94/(1+($V94*(('Traffic Data'!V13*(0.67/14))/(($I94)*$S94))^$W94))</f>
        <v>20.299999999999986</v>
      </c>
      <c r="BL94" s="401">
        <f>$R94/(1+($V94*(('Traffic Data'!W13*(0.67/14))/(($I94)*$S94))^$W94))</f>
        <v>20.299999999999983</v>
      </c>
      <c r="BM94" s="401">
        <f>$R94/(1+($V94*(('Traffic Data'!X13*(0.67/14))/(($I94)*$S94))^$W94))</f>
        <v>20.299999999999983</v>
      </c>
      <c r="BN94" s="401">
        <f>$R94/(1+($V94*(('Traffic Data'!Y13*(0.67/14))/(($I94)*$S94))^$W94))</f>
        <v>20.299999999999979</v>
      </c>
      <c r="BO94" s="401">
        <f>$R94/(1+($V94*(('Traffic Data'!Z13*(0.67/14))/(($I94)*$S94))^$W94))</f>
        <v>20.299999999999972</v>
      </c>
      <c r="BP94" s="401">
        <f>$R94/(1+($V94*(('Traffic Data'!AA13*(0.67/14))/(($I94)*$S94))^$W94))</f>
        <v>20.299999999999969</v>
      </c>
      <c r="BQ94" s="401">
        <f>$R94/(1+($V94*(('Traffic Data'!AB13*(0.67/14))/(($I94)*$S94))^$W94))</f>
        <v>20.299999999999965</v>
      </c>
      <c r="BR94" s="401">
        <f>$R94/(1+($V94*(('Traffic Data'!AC13*(0.67/14))/(($I94)*$S94))^$W94))</f>
        <v>20.299999999999962</v>
      </c>
      <c r="BS94" s="401">
        <f>$R94/(1+($V94*(('Traffic Data'!AD13*(0.67/14))/(($I94)*$S94))^$W94))</f>
        <v>20.299999999999955</v>
      </c>
      <c r="BT94" s="401">
        <f>$R94/(1+($V94*(('Traffic Data'!AE13*(0.67/14))/(($I94)*$S94))^$W94))</f>
        <v>20.299999999999951</v>
      </c>
      <c r="BU94" s="401">
        <f>$R94/(1+($V94*(('Traffic Data'!AF13*(0.67/14))/(($I94)*$S94))^$W94))</f>
        <v>20.299999999999947</v>
      </c>
      <c r="BV94" s="401">
        <f>$R94/(1+($V94*(('Traffic Data'!AG13*(0.67/14))/(($I94)*$S94))^$W94))</f>
        <v>20.299999999999937</v>
      </c>
      <c r="BW94" s="645">
        <f>$R94/(1+($V94*(('Traffic Data'!AH13*(0.67/14))/(($I94)*$S94))^$W94))</f>
        <v>20.29999999999993</v>
      </c>
    </row>
    <row r="95" spans="1:76" ht="21.95" customHeight="1" x14ac:dyDescent="0.2">
      <c r="A95" s="642"/>
      <c r="C95" s="1340" t="s">
        <v>323</v>
      </c>
      <c r="D95" s="220" t="s">
        <v>282</v>
      </c>
      <c r="E95" s="220" t="s">
        <v>339</v>
      </c>
      <c r="F95" s="575">
        <f>'Traffic Data'!CM14</f>
        <v>0.83333333333333337</v>
      </c>
      <c r="G95" s="575">
        <f>'Traffic Data'!CN14</f>
        <v>0.88</v>
      </c>
      <c r="H95" s="146">
        <v>20</v>
      </c>
      <c r="I95" s="146">
        <v>2</v>
      </c>
      <c r="J95" s="146">
        <f t="shared" si="6"/>
        <v>27</v>
      </c>
      <c r="K95" s="146">
        <v>4.2</v>
      </c>
      <c r="L95" s="146">
        <v>2.5</v>
      </c>
      <c r="M95" s="146">
        <v>0</v>
      </c>
      <c r="N95" s="146">
        <v>0</v>
      </c>
      <c r="O95" s="146">
        <v>0</v>
      </c>
      <c r="P95" s="146">
        <v>0</v>
      </c>
      <c r="Q95" s="146">
        <v>0</v>
      </c>
      <c r="R95" s="174">
        <f t="shared" si="4"/>
        <v>20.3</v>
      </c>
      <c r="S95" s="576">
        <f>N29*F95*G95</f>
        <v>586.66666666666674</v>
      </c>
      <c r="T95" s="577">
        <v>0.12</v>
      </c>
      <c r="U95" s="578">
        <v>0.65</v>
      </c>
      <c r="V95" s="585">
        <f t="shared" si="5"/>
        <v>0.2</v>
      </c>
      <c r="W95" s="228">
        <v>10</v>
      </c>
      <c r="X95" s="400">
        <f>MAX(5,$R95/(1+($V95*(('Traffic Data'!J14*$T95*$U95)/(($I95/2)*$S95))^$W95)))</f>
        <v>20.3</v>
      </c>
      <c r="Y95" s="528">
        <f>MAX(5,$R95/(1+($V95*(('Traffic Data'!K14*$T95*$U95)/(($I95/2)*$S95))^$W95)))</f>
        <v>20.3</v>
      </c>
      <c r="Z95" s="528">
        <f>MAX(5,$R95/(1+($V95*(('Traffic Data'!L14*$T95*$U95)/(($I95/2)*$S95))^$W95)))</f>
        <v>20.29999996628775</v>
      </c>
      <c r="AA95" s="528">
        <f>MAX(5,$R95/(1+($V95*(('Traffic Data'!M14*$T95*$U95)/(($I95/2)*$S95))^$W95)))</f>
        <v>20.299977693810813</v>
      </c>
      <c r="AB95" s="528">
        <f>MAX(5,$R95/(1+($V95*(('Traffic Data'!N14*$T95*$U95)/(($I95/2)*$S95))^$W95)))</f>
        <v>20.298889833004008</v>
      </c>
      <c r="AC95" s="528">
        <f>MAX(5,$R95/(1+($V95*(('Traffic Data'!O14*$T95*$U95)/(($I95/2)*$S95))^$W95)))</f>
        <v>20.28175275549475</v>
      </c>
      <c r="AD95" s="528">
        <f>MAX(5,$R95/(1+($V95*(('Traffic Data'!P14*$T95*$U95)/(($I95/2)*$S95))^$W95)))</f>
        <v>20.13886960198743</v>
      </c>
      <c r="AE95" s="528">
        <f>MAX(5,$R95/(1+($V95*(('Traffic Data'!Q14*$T95*$U95)/(($I95/2)*$S95))^$W95)))</f>
        <v>19.368399077816957</v>
      </c>
      <c r="AF95" s="528">
        <f>MAX(5,$R95/(1+($V95*(('Traffic Data'!R14*$T95*$U95)/(($I95/2)*$S95))^$W95)))</f>
        <v>19.368399077816957</v>
      </c>
      <c r="AG95" s="528">
        <f>MAX(5,$R95/(1+($V95*(('Traffic Data'!S14*$T95*$U95)/(($I95/2)*$S95))^$W95)))</f>
        <v>19.368399077816957</v>
      </c>
      <c r="AH95" s="528">
        <f>MAX(5,$R95/(1+($V95*(('Traffic Data'!T14*$T95*$U95)/(($I95/2)*$S95))^$W95)))</f>
        <v>19.368399077816957</v>
      </c>
      <c r="AI95" s="528">
        <f>MAX(5,$R95/(1+($V95*(('Traffic Data'!U14*$T95*$U95)/(($I95/2)*$S95))^$W95)))</f>
        <v>19.368399077816957</v>
      </c>
      <c r="AJ95" s="528">
        <f>MAX(5,$R95/(1+($V95*(('Traffic Data'!V14*$T95*$U95)/(($I95/2)*$S95))^$W95)))</f>
        <v>19.368399077816957</v>
      </c>
      <c r="AK95" s="528">
        <f>MAX(5,$R95/(1+($V95*(('Traffic Data'!W14*$T95*$U95)/(($I95/2)*$S95))^$W95)))</f>
        <v>19.368399077816957</v>
      </c>
      <c r="AL95" s="528">
        <f>MAX(5,$R95/(1+($V95*(('Traffic Data'!X14*$T95*$U95)/(($I95/2)*$S95))^$W95)))</f>
        <v>19.368399077816957</v>
      </c>
      <c r="AM95" s="528">
        <f>MAX(5,$R95/(1+($V95*(('Traffic Data'!Y14*$T95*$U95)/(($I95/2)*$S95))^$W95)))</f>
        <v>19.368399077816957</v>
      </c>
      <c r="AN95" s="528">
        <f>MAX(5,$R95/(1+($V95*(('Traffic Data'!Z14*$T95*$U95)/(($I95/2)*$S95))^$W95)))</f>
        <v>19.368399077816957</v>
      </c>
      <c r="AO95" s="528">
        <f>MAX(5,$R95/(1+($V95*(('Traffic Data'!AA14*$T95*$U95)/(($I95/2)*$S95))^$W95)))</f>
        <v>19.368399077816957</v>
      </c>
      <c r="AP95" s="528">
        <f>MAX(5,$R95/(1+($V95*(('Traffic Data'!AB14*$T95*$U95)/(($I95/2)*$S95))^$W95)))</f>
        <v>19.368399077816957</v>
      </c>
      <c r="AQ95" s="528">
        <f>MAX(5,$R95/(1+($V95*(('Traffic Data'!AC14*$T95*$U95)/(($I95/2)*$S95))^$W95)))</f>
        <v>19.368399077816957</v>
      </c>
      <c r="AR95" s="528">
        <f>MAX(5,$R95/(1+($V95*(('Traffic Data'!AD14*$T95*$U95)/(($I95/2)*$S95))^$W95)))</f>
        <v>19.368399077816957</v>
      </c>
      <c r="AS95" s="528">
        <f>MAX(5,$R95/(1+($V95*(('Traffic Data'!AE14*$T95*$U95)/(($I95/2)*$S95))^$W95)))</f>
        <v>19.368399077816957</v>
      </c>
      <c r="AT95" s="528">
        <f>MAX(5,$R95/(1+($V95*(('Traffic Data'!AF14*$T95*$U95)/(($I95/2)*$S95))^$W95)))</f>
        <v>19.368399077816957</v>
      </c>
      <c r="AU95" s="528">
        <f>MAX(5,$R95/(1+($V95*(('Traffic Data'!AG14*$T95*$U95)/(($I95/2)*$S95))^$W95)))</f>
        <v>19.368399077816957</v>
      </c>
      <c r="AV95" s="528">
        <f>MAX(5,$R95/(1+($V95*(('Traffic Data'!AH14*$T95*$U95)/(($I95/2)*$S95))^$W95)))</f>
        <v>19.368399077816957</v>
      </c>
      <c r="AW95" s="527">
        <f>MAX(5,$R95/(1+($V95*(('Traffic Data'!AI14*$T95*$U95)/(($I95/2)*$S95))^$W95)))</f>
        <v>19.368399077816957</v>
      </c>
      <c r="AX95" s="377">
        <f>$R95/(1+($V95*(('Traffic Data'!J14*(0.67/14))/(($I95)*$S95))^$W95))</f>
        <v>20.3</v>
      </c>
      <c r="AY95" s="377">
        <f>$R95/(1+($V95*(('Traffic Data'!J14*(0.67/14))/(($I95)*$S95))^$W95))</f>
        <v>20.3</v>
      </c>
      <c r="AZ95" s="377">
        <f>$R95/(1+($V95*(('Traffic Data'!K14*(0.67/14))/(($I95)*$S95))^$W95))</f>
        <v>20.3</v>
      </c>
      <c r="BA95" s="377">
        <f>$R95/(1+($V95*(('Traffic Data'!L14*(0.67/14))/(($I95)*$S95))^$W95))</f>
        <v>20.299999999999752</v>
      </c>
      <c r="BB95" s="377">
        <f>$R95/(1+($V95*(('Traffic Data'!M14*(0.67/14))/(($I95)*$S95))^$W95))</f>
        <v>20.299999999835318</v>
      </c>
      <c r="BC95" s="377">
        <f>$R95/(1+($V95*(('Traffic Data'!N14*(0.67/14))/(($I95)*$S95))^$W95))</f>
        <v>20.2999999918034</v>
      </c>
      <c r="BD95" s="377">
        <f>$R95/(1+($V95*(('Traffic Data'!O14*(0.67/14))/(($I95)*$S95))^$W95))</f>
        <v>20.29999986516286</v>
      </c>
      <c r="BE95" s="377">
        <f>$R95/(1+($V95*(('Traffic Data'!P14*(0.67/14))/(($I95)*$S95))^$W95))</f>
        <v>20.299998800887064</v>
      </c>
      <c r="BF95" s="377">
        <f>$R95/(1+($V95*(('Traffic Data'!Q14*(0.67/14))/(($I95)*$S95))^$W95))</f>
        <v>20.299992791353066</v>
      </c>
      <c r="BG95" s="377">
        <f>$R95/(1+($V95*(('Traffic Data'!R14*(0.67/14))/(($I95)*$S95))^$W95))</f>
        <v>20.299992791353066</v>
      </c>
      <c r="BH95" s="377">
        <f>$R95/(1+($V95*(('Traffic Data'!S14*(0.67/14))/(($I95)*$S95))^$W95))</f>
        <v>20.299992791353066</v>
      </c>
      <c r="BI95" s="377">
        <f>$R95/(1+($V95*(('Traffic Data'!T14*(0.67/14))/(($I95)*$S95))^$W95))</f>
        <v>20.299992791353066</v>
      </c>
      <c r="BJ95" s="377">
        <f>$R95/(1+($V95*(('Traffic Data'!U14*(0.67/14))/(($I95)*$S95))^$W95))</f>
        <v>20.299992791353066</v>
      </c>
      <c r="BK95" s="377">
        <f>$R95/(1+($V95*(('Traffic Data'!V14*(0.67/14))/(($I95)*$S95))^$W95))</f>
        <v>20.299992791353066</v>
      </c>
      <c r="BL95" s="377">
        <f>$R95/(1+($V95*(('Traffic Data'!W14*(0.67/14))/(($I95)*$S95))^$W95))</f>
        <v>20.299992791353066</v>
      </c>
      <c r="BM95" s="377">
        <f>$R95/(1+($V95*(('Traffic Data'!X14*(0.67/14))/(($I95)*$S95))^$W95))</f>
        <v>20.299992791353066</v>
      </c>
      <c r="BN95" s="377">
        <f>$R95/(1+($V95*(('Traffic Data'!Y14*(0.67/14))/(($I95)*$S95))^$W95))</f>
        <v>20.299992791353066</v>
      </c>
      <c r="BO95" s="377">
        <f>$R95/(1+($V95*(('Traffic Data'!Z14*(0.67/14))/(($I95)*$S95))^$W95))</f>
        <v>20.299992791353066</v>
      </c>
      <c r="BP95" s="377">
        <f>$R95/(1+($V95*(('Traffic Data'!AA14*(0.67/14))/(($I95)*$S95))^$W95))</f>
        <v>20.299992791353066</v>
      </c>
      <c r="BQ95" s="377">
        <f>$R95/(1+($V95*(('Traffic Data'!AB14*(0.67/14))/(($I95)*$S95))^$W95))</f>
        <v>20.299992791353066</v>
      </c>
      <c r="BR95" s="377">
        <f>$R95/(1+($V95*(('Traffic Data'!AC14*(0.67/14))/(($I95)*$S95))^$W95))</f>
        <v>20.299992791353066</v>
      </c>
      <c r="BS95" s="377">
        <f>$R95/(1+($V95*(('Traffic Data'!AD14*(0.67/14))/(($I95)*$S95))^$W95))</f>
        <v>20.299992791353066</v>
      </c>
      <c r="BT95" s="377">
        <f>$R95/(1+($V95*(('Traffic Data'!AE14*(0.67/14))/(($I95)*$S95))^$W95))</f>
        <v>20.299992791353066</v>
      </c>
      <c r="BU95" s="377">
        <f>$R95/(1+($V95*(('Traffic Data'!AF14*(0.67/14))/(($I95)*$S95))^$W95))</f>
        <v>20.299992791353066</v>
      </c>
      <c r="BV95" s="377">
        <f>$R95/(1+($V95*(('Traffic Data'!AG14*(0.67/14))/(($I95)*$S95))^$W95))</f>
        <v>20.299992791353066</v>
      </c>
      <c r="BW95" s="646">
        <f>$R95/(1+($V95*(('Traffic Data'!AH14*(0.67/14))/(($I95)*$S95))^$W95))</f>
        <v>20.299992791353066</v>
      </c>
    </row>
    <row r="96" spans="1:76" ht="21.95" customHeight="1" x14ac:dyDescent="0.2">
      <c r="A96" s="642"/>
      <c r="C96" s="1339"/>
      <c r="D96" s="116" t="s">
        <v>339</v>
      </c>
      <c r="E96" s="116" t="s">
        <v>288</v>
      </c>
      <c r="F96" s="575">
        <f>'Traffic Data'!CM14</f>
        <v>0.83333333333333337</v>
      </c>
      <c r="G96" s="575">
        <f>'Traffic Data'!CN14</f>
        <v>0.88</v>
      </c>
      <c r="H96" s="146">
        <v>35</v>
      </c>
      <c r="I96" s="146">
        <v>2</v>
      </c>
      <c r="J96" s="146">
        <f t="shared" si="6"/>
        <v>42</v>
      </c>
      <c r="K96" s="146">
        <v>2.6</v>
      </c>
      <c r="L96" s="146">
        <v>2.5</v>
      </c>
      <c r="M96" s="146">
        <v>0</v>
      </c>
      <c r="N96" s="146">
        <v>0</v>
      </c>
      <c r="O96" s="146">
        <v>0</v>
      </c>
      <c r="P96" s="146">
        <v>0</v>
      </c>
      <c r="Q96" s="146">
        <v>0</v>
      </c>
      <c r="R96" s="174">
        <f t="shared" si="4"/>
        <v>36.9</v>
      </c>
      <c r="S96" s="576">
        <f>N26*F96*G96</f>
        <v>586.66666666666674</v>
      </c>
      <c r="T96" s="577">
        <v>0.12</v>
      </c>
      <c r="U96" s="578">
        <v>0.65</v>
      </c>
      <c r="V96" s="579">
        <f t="shared" si="5"/>
        <v>0.2</v>
      </c>
      <c r="W96" s="228">
        <v>10</v>
      </c>
      <c r="X96" s="529">
        <f>MAX(5,$R96/(1+($V96*(('Traffic Data'!J15*$T96*$U96)/(($I96/2)*$S96))^$W96)))</f>
        <v>36.9</v>
      </c>
      <c r="Y96" s="528">
        <f>MAX(5,$R96/(1+($V96*(('Traffic Data'!K15*$T96*$U96)/(($I96/2)*$S96))^$W96)))</f>
        <v>36.899999999997924</v>
      </c>
      <c r="Z96" s="528">
        <f>MAX(5,$R96/(1+($V96*(('Traffic Data'!L15*$T96*$U96)/(($I96/2)*$S96))^$W96)))</f>
        <v>36.899999999899791</v>
      </c>
      <c r="AA96" s="528">
        <f>MAX(5,$R96/(1+($V96*(('Traffic Data'!M15*$T96*$U96)/(($I96/2)*$S96))^$W96)))</f>
        <v>36.8999997622414</v>
      </c>
      <c r="AB96" s="528">
        <f>MAX(5,$R96/(1+($V96*(('Traffic Data'!N15*$T96*$U96)/(($I96/2)*$S96))^$W96)))</f>
        <v>36.899982213916445</v>
      </c>
      <c r="AC96" s="528">
        <f>MAX(5,$R96/(1+($V96*(('Traffic Data'!O15*$T96*$U96)/(($I96/2)*$S96))^$W96)))</f>
        <v>36.899638580402183</v>
      </c>
      <c r="AD96" s="528">
        <f>MAX(5,$R96/(1+($V96*(('Traffic Data'!P15*$T96*$U96)/(($I96/2)*$S96))^$W96)))</f>
        <v>36.896364279094513</v>
      </c>
      <c r="AE96" s="528">
        <f>MAX(5,$R96/(1+($V96*(('Traffic Data'!Q15*$T96*$U96)/(($I96/2)*$S96))^$W96)))</f>
        <v>36.876320692947189</v>
      </c>
      <c r="AF96" s="528">
        <f>MAX(5,$R96/(1+($V96*(('Traffic Data'!R15*$T96*$U96)/(($I96/2)*$S96))^$W96)))</f>
        <v>36.583029730418161</v>
      </c>
      <c r="AG96" s="528">
        <f>MAX(5,$R96/(1+($V96*(('Traffic Data'!S15*$T96*$U96)/(($I96/2)*$S96))^$W96)))</f>
        <v>34.547924031080704</v>
      </c>
      <c r="AH96" s="528">
        <f>MAX(5,$R96/(1+($V96*(('Traffic Data'!T15*$T96*$U96)/(($I96/2)*$S96))^$W96)))</f>
        <v>26.821223847269618</v>
      </c>
      <c r="AI96" s="528">
        <f>MAX(5,$R96/(1+($V96*(('Traffic Data'!U15*$T96*$U96)/(($I96/2)*$S96))^$W96)))</f>
        <v>14.097121445868714</v>
      </c>
      <c r="AJ96" s="528">
        <f>MAX(5,$R96/(1+($V96*(('Traffic Data'!V15*$T96*$U96)/(($I96/2)*$S96))^$W96)))</f>
        <v>5.4424211466399983</v>
      </c>
      <c r="AK96" s="528">
        <f>MAX(5,$R96/(1+($V96*(('Traffic Data'!W15*$T96*$U96)/(($I96/2)*$S96))^$W96)))</f>
        <v>5</v>
      </c>
      <c r="AL96" s="528">
        <f>MAX(5,$R96/(1+($V96*(('Traffic Data'!X15*$T96*$U96)/(($I96/2)*$S96))^$W96)))</f>
        <v>5</v>
      </c>
      <c r="AM96" s="528">
        <f>MAX(5,$R96/(1+($V96*(('Traffic Data'!Y15*$T96*$U96)/(($I96/2)*$S96))^$W96)))</f>
        <v>5</v>
      </c>
      <c r="AN96" s="528">
        <f>MAX(5,$R96/(1+($V96*(('Traffic Data'!Z15*$T96*$U96)/(($I96/2)*$S96))^$W96)))</f>
        <v>5</v>
      </c>
      <c r="AO96" s="528">
        <f>MAX(5,$R96/(1+($V96*(('Traffic Data'!AA15*$T96*$U96)/(($I96/2)*$S96))^$W96)))</f>
        <v>5</v>
      </c>
      <c r="AP96" s="528">
        <f>MAX(5,$R96/(1+($V96*(('Traffic Data'!AB15*$T96*$U96)/(($I96/2)*$S96))^$W96)))</f>
        <v>5</v>
      </c>
      <c r="AQ96" s="528">
        <f>MAX(5,$R96/(1+($V96*(('Traffic Data'!AC15*$T96*$U96)/(($I96/2)*$S96))^$W96)))</f>
        <v>5</v>
      </c>
      <c r="AR96" s="528">
        <f>MAX(5,$R96/(1+($V96*(('Traffic Data'!AD15*$T96*$U96)/(($I96/2)*$S96))^$W96)))</f>
        <v>5</v>
      </c>
      <c r="AS96" s="528">
        <f>MAX(5,$R96/(1+($V96*(('Traffic Data'!AE15*$T96*$U96)/(($I96/2)*$S96))^$W96)))</f>
        <v>5</v>
      </c>
      <c r="AT96" s="528">
        <f>MAX(5,$R96/(1+($V96*(('Traffic Data'!AF15*$T96*$U96)/(($I96/2)*$S96))^$W96)))</f>
        <v>5</v>
      </c>
      <c r="AU96" s="528">
        <f>MAX(5,$R96/(1+($V96*(('Traffic Data'!AG15*$T96*$U96)/(($I96/2)*$S96))^$W96)))</f>
        <v>5</v>
      </c>
      <c r="AV96" s="528">
        <f>MAX(5,$R96/(1+($V96*(('Traffic Data'!AH15*$T96*$U96)/(($I96/2)*$S96))^$W96)))</f>
        <v>5</v>
      </c>
      <c r="AW96" s="527">
        <f>MAX(5,$R96/(1+($V96*(('Traffic Data'!AI15*$T96*$U96)/(($I96/2)*$S96))^$W96)))</f>
        <v>5</v>
      </c>
      <c r="AX96" s="401">
        <f>$R96/(1+($V96*(('Traffic Data'!J15*(0.67/14))/(($I96)*$S96))^$W96))</f>
        <v>36.9</v>
      </c>
      <c r="AY96" s="401">
        <f>$R96/(1+($V96*(('Traffic Data'!J15*(0.67/14))/(($I96)*$S96))^$W96))</f>
        <v>36.9</v>
      </c>
      <c r="AZ96" s="401">
        <f>$R96/(1+($V96*(('Traffic Data'!K15*(0.67/14))/(($I96)*$S96))^$W96))</f>
        <v>36.9</v>
      </c>
      <c r="BA96" s="401">
        <f>$R96/(1+($V96*(('Traffic Data'!L15*(0.67/14))/(($I96)*$S96))^$W96))</f>
        <v>36.9</v>
      </c>
      <c r="BB96" s="401">
        <f>$R96/(1+($V96*(('Traffic Data'!M15*(0.67/14))/(($I96)*$S96))^$W96))</f>
        <v>36.899999999998244</v>
      </c>
      <c r="BC96" s="401">
        <f>$R96/(1+($V96*(('Traffic Data'!N15*(0.67/14))/(($I96)*$S96))^$W96))</f>
        <v>36.89999999986869</v>
      </c>
      <c r="BD96" s="401">
        <f>$R96/(1+($V96*(('Traffic Data'!O15*(0.67/14))/(($I96)*$S96))^$W96))</f>
        <v>36.899999997331683</v>
      </c>
      <c r="BE96" s="401">
        <f>$R96/(1+($V96*(('Traffic Data'!P15*(0.67/14))/(($I96)*$S96))^$W96))</f>
        <v>36.899999973155516</v>
      </c>
      <c r="BF96" s="401">
        <f>$R96/(1+($V96*(('Traffic Data'!Q15*(0.67/14))/(($I96)*$S96))^$W96))</f>
        <v>36.899999825067923</v>
      </c>
      <c r="BG96" s="401">
        <f>$R96/(1+($V96*(('Traffic Data'!R15*(0.67/14))/(($I96)*$S96))^$W96))</f>
        <v>36.899997639593053</v>
      </c>
      <c r="BH96" s="401">
        <f>$R96/(1+($V96*(('Traffic Data'!S15*(0.67/14))/(($I96)*$S96))^$W96))</f>
        <v>36.89998145284833</v>
      </c>
      <c r="BI96" s="401">
        <f>$R96/(1+($V96*(('Traffic Data'!T15*(0.67/14))/(($I96)*$S96))^$W96))</f>
        <v>36.899897629209484</v>
      </c>
      <c r="BJ96" s="401">
        <f>$R96/(1+($V96*(('Traffic Data'!U15*(0.67/14))/(($I96)*$S96))^$W96))</f>
        <v>36.899559341552994</v>
      </c>
      <c r="BK96" s="401">
        <f>$R96/(1+($V96*(('Traffic Data'!V15*(0.67/14))/(($I96)*$S96))^$W96))</f>
        <v>36.898425427475303</v>
      </c>
      <c r="BL96" s="401">
        <f>$R96/(1+($V96*(('Traffic Data'!W15*(0.67/14))/(($I96)*$S96))^$W96))</f>
        <v>36.896913766013206</v>
      </c>
      <c r="BM96" s="401">
        <f>$R96/(1+($V96*(('Traffic Data'!X15*(0.67/14))/(($I96)*$S96))^$W96))</f>
        <v>36.896329426407796</v>
      </c>
      <c r="BN96" s="401">
        <f>$R96/(1+($V96*(('Traffic Data'!Y15*(0.67/14))/(($I96)*$S96))^$W96))</f>
        <v>36.895643611191915</v>
      </c>
      <c r="BO96" s="401">
        <f>$R96/(1+($V96*(('Traffic Data'!Z15*(0.67/14))/(($I96)*$S96))^$W96))</f>
        <v>36.894844570568239</v>
      </c>
      <c r="BP96" s="401">
        <f>$R96/(1+($V96*(('Traffic Data'!AA15*(0.67/14))/(($I96)*$S96))^$W96))</f>
        <v>36.893915990291077</v>
      </c>
      <c r="BQ96" s="401">
        <f>$R96/(1+($V96*(('Traffic Data'!AB15*(0.67/14))/(($I96)*$S96))^$W96))</f>
        <v>36.892839537743342</v>
      </c>
      <c r="BR96" s="401">
        <f>$R96/(1+($V96*(('Traffic Data'!AC15*(0.67/14))/(($I96)*$S96))^$W96))</f>
        <v>36.89159465244569</v>
      </c>
      <c r="BS96" s="401">
        <f>$R96/(1+($V96*(('Traffic Data'!AD15*(0.67/14))/(($I96)*$S96))^$W96))</f>
        <v>36.890158319025318</v>
      </c>
      <c r="BT96" s="401">
        <f>$R96/(1+($V96*(('Traffic Data'!AE15*(0.67/14))/(($I96)*$S96))^$W96))</f>
        <v>36.888504821567807</v>
      </c>
      <c r="BU96" s="401">
        <f>$R96/(1+($V96*(('Traffic Data'!AF15*(0.67/14))/(($I96)*$S96))^$W96))</f>
        <v>36.886615740492161</v>
      </c>
      <c r="BV96" s="401">
        <f>$R96/(1+($V96*(('Traffic Data'!AG15*(0.67/14))/(($I96)*$S96))^$W96))</f>
        <v>36.884440106334743</v>
      </c>
      <c r="BW96" s="645">
        <f>$R96/(1+($V96*(('Traffic Data'!AH15*(0.67/14))/(($I96)*$S96))^$W96))</f>
        <v>36.881951386831375</v>
      </c>
    </row>
    <row r="97" spans="1:75" ht="21.95" customHeight="1" x14ac:dyDescent="0.2">
      <c r="A97" s="642"/>
      <c r="C97" s="1339"/>
      <c r="D97" s="116" t="s">
        <v>288</v>
      </c>
      <c r="E97" s="116" t="s">
        <v>340</v>
      </c>
      <c r="F97" s="575">
        <f>'Traffic Data'!CM14</f>
        <v>0.83333333333333337</v>
      </c>
      <c r="G97" s="575">
        <f>'Traffic Data'!CN14</f>
        <v>0.88</v>
      </c>
      <c r="H97" s="146">
        <f>'Traffic Data'!G16</f>
        <v>40</v>
      </c>
      <c r="I97" s="146">
        <v>4</v>
      </c>
      <c r="J97" s="146">
        <f t="shared" si="6"/>
        <v>47</v>
      </c>
      <c r="K97" s="146">
        <v>0</v>
      </c>
      <c r="L97" s="146">
        <v>2.5</v>
      </c>
      <c r="M97" s="146">
        <v>0</v>
      </c>
      <c r="N97" s="146">
        <v>1.8</v>
      </c>
      <c r="O97" s="146">
        <v>1.6</v>
      </c>
      <c r="P97" s="146">
        <v>0</v>
      </c>
      <c r="Q97" s="146">
        <v>0</v>
      </c>
      <c r="R97" s="174">
        <f t="shared" si="4"/>
        <v>41.1</v>
      </c>
      <c r="S97" s="576">
        <f>M25*F97*G97</f>
        <v>1356.6666666666667</v>
      </c>
      <c r="T97" s="577">
        <v>0.12</v>
      </c>
      <c r="U97" s="578">
        <v>0.65</v>
      </c>
      <c r="V97" s="579">
        <f t="shared" si="5"/>
        <v>0.2</v>
      </c>
      <c r="W97" s="228">
        <v>10</v>
      </c>
      <c r="X97" s="529">
        <f>MAX(5,$R97/(1+($V97*(('Traffic Data'!J16*$T97*$U97)/(($I97/2)*$S97))^$W97)))</f>
        <v>41.1</v>
      </c>
      <c r="Y97" s="528">
        <f>MAX(5,$R97/(1+($V97*(('Traffic Data'!K16*$T97*$U97)/(($I97/2)*$S97))^$W97)))</f>
        <v>41.1</v>
      </c>
      <c r="Z97" s="528">
        <f>MAX(5,$R97/(1+($V97*(('Traffic Data'!L16*$T97*$U97)/(($I97/2)*$S97))^$W97)))</f>
        <v>41.1</v>
      </c>
      <c r="AA97" s="528">
        <f>MAX(5,$R97/(1+($V97*(('Traffic Data'!M16*$T97*$U97)/(($I97/2)*$S97))^$W97)))</f>
        <v>41.099999999998687</v>
      </c>
      <c r="AB97" s="528">
        <f>MAX(5,$R97/(1+($V97*(('Traffic Data'!N16*$T97*$U97)/(($I97/2)*$S97))^$W97)))</f>
        <v>41.099999999901492</v>
      </c>
      <c r="AC97" s="528">
        <f>MAX(5,$R97/(1+($V97*(('Traffic Data'!O16*$T97*$U97)/(($I97/2)*$S97))^$W97)))</f>
        <v>41.099999998001088</v>
      </c>
      <c r="AD97" s="528">
        <f>MAX(5,$R97/(1+($V97*(('Traffic Data'!P16*$T97*$U97)/(($I97/2)*$S97))^$W97)))</f>
        <v>41.099999979903664</v>
      </c>
      <c r="AE97" s="528">
        <f>MAX(5,$R97/(1+($V97*(('Traffic Data'!Q16*$T97*$U97)/(($I97/2)*$S97))^$W97)))</f>
        <v>41.099999868964495</v>
      </c>
      <c r="AF97" s="528">
        <f>MAX(5,$R97/(1+($V97*(('Traffic Data'!R16*$T97*$U97)/(($I97/2)*$S97))^$W97)))</f>
        <v>41.099998233248122</v>
      </c>
      <c r="AG97" s="528">
        <f>MAX(5,$R97/(1+($V97*(('Traffic Data'!S16*$T97*$U97)/(($I97/2)*$S97))^$W97)))</f>
        <v>41.099986114185413</v>
      </c>
      <c r="AH97" s="528">
        <f>MAX(5,$R97/(1+($V97*(('Traffic Data'!T16*$T97*$U97)/(($I97/2)*$S97))^$W97)))</f>
        <v>41.099923304581964</v>
      </c>
      <c r="AI97" s="528">
        <f>MAX(5,$R97/(1+($V97*(('Traffic Data'!U16*$T97*$U97)/(($I97/2)*$S97))^$W97)))</f>
        <v>41.099670017685632</v>
      </c>
      <c r="AJ97" s="528">
        <f>MAX(5,$R97/(1+($V97*(('Traffic Data'!V16*$T97*$U97)/(($I97/2)*$S97))^$W97)))</f>
        <v>41.098820285584843</v>
      </c>
      <c r="AK97" s="528">
        <f>MAX(5,$R97/(1+($V97*(('Traffic Data'!W16*$T97*$U97)/(($I97/2)*$S97))^$W97)))</f>
        <v>41.097689464483068</v>
      </c>
      <c r="AL97" s="528">
        <f>MAX(5,$R97/(1+($V97*(('Traffic Data'!X16*$T97*$U97)/(($I97/2)*$S97))^$W97)))</f>
        <v>41.097249788421735</v>
      </c>
      <c r="AM97" s="528">
        <f>MAX(5,$R97/(1+($V97*(('Traffic Data'!Y16*$T97*$U97)/(($I97/2)*$S97))^$W97)))</f>
        <v>41.096736201902331</v>
      </c>
      <c r="AN97" s="528">
        <f>MAX(5,$R97/(1+($V97*(('Traffic Data'!Z16*$T97*$U97)/(($I97/2)*$S97))^$W97)))</f>
        <v>41.096137862863728</v>
      </c>
      <c r="AO97" s="528">
        <f>MAX(5,$R97/(1+($V97*(('Traffic Data'!AA16*$T97*$U97)/(($I97/2)*$S97))^$W97)))</f>
        <v>41.095442812800208</v>
      </c>
      <c r="AP97" s="528">
        <f>MAX(5,$R97/(1+($V97*(('Traffic Data'!AB16*$T97*$U97)/(($I97/2)*$S97))^$W97)))</f>
        <v>41.094636873462768</v>
      </c>
      <c r="AQ97" s="528">
        <f>MAX(5,$R97/(1+($V97*(('Traffic Data'!AC16*$T97*$U97)/(($I97/2)*$S97))^$W97)))</f>
        <v>41.093705207940218</v>
      </c>
      <c r="AR97" s="528">
        <f>MAX(5,$R97/(1+($V97*(('Traffic Data'!AD16*$T97*$U97)/(($I97/2)*$S97))^$W97)))</f>
        <v>41.092629976360833</v>
      </c>
      <c r="AS97" s="528">
        <f>MAX(5,$R97/(1+($V97*(('Traffic Data'!AE16*$T97*$U97)/(($I97/2)*$S97))^$W97)))</f>
        <v>41.09139222283779</v>
      </c>
      <c r="AT97" s="528">
        <f>MAX(5,$R97/(1+($V97*(('Traffic Data'!AF16*$T97*$U97)/(($I97/2)*$S97))^$W97)))</f>
        <v>41.08997098868771</v>
      </c>
      <c r="AU97" s="528">
        <f>MAX(5,$R97/(1+($V97*(('Traffic Data'!AG16*$T97*$U97)/(($I97/2)*$S97))^$W97)))</f>
        <v>41.088341430242401</v>
      </c>
      <c r="AV97" s="528">
        <f>MAX(5,$R97/(1+($V97*(('Traffic Data'!AH16*$T97*$U97)/(($I97/2)*$S97))^$W97)))</f>
        <v>41.086477419898806</v>
      </c>
      <c r="AW97" s="527">
        <f>MAX(5,$R97/(1+($V97*(('Traffic Data'!AI16*$T97*$U97)/(($I97/2)*$S97))^$W97)))</f>
        <v>41.084350227359607</v>
      </c>
      <c r="AX97" s="401">
        <f>$R97/(1+($V97*(('Traffic Data'!J16*(0.67/14))/(($I97)*$S97))^$W97))</f>
        <v>41.1</v>
      </c>
      <c r="AY97" s="401">
        <f>$R97/(1+($V97*(('Traffic Data'!J16*(0.67/14))/(($I97)*$S97))^$W97))</f>
        <v>41.1</v>
      </c>
      <c r="AZ97" s="401">
        <f>$R97/(1+($V97*(('Traffic Data'!K16*(0.67/14))/(($I97)*$S97))^$W97))</f>
        <v>41.1</v>
      </c>
      <c r="BA97" s="401">
        <f>$R97/(1+($V97*(('Traffic Data'!L16*(0.67/14))/(($I97)*$S97))^$W97))</f>
        <v>41.1</v>
      </c>
      <c r="BB97" s="401">
        <f>$R97/(1+($V97*(('Traffic Data'!M16*(0.67/14))/(($I97)*$S97))^$W97))</f>
        <v>41.1</v>
      </c>
      <c r="BC97" s="401">
        <f>$R97/(1+($V97*(('Traffic Data'!N16*(0.67/14))/(($I97)*$S97))^$W97))</f>
        <v>41.1</v>
      </c>
      <c r="BD97" s="401">
        <f>$R97/(1+($V97*(('Traffic Data'!O16*(0.67/14))/(($I97)*$S97))^$W97))</f>
        <v>41.09999999999998</v>
      </c>
      <c r="BE97" s="401">
        <f>$R97/(1+($V97*(('Traffic Data'!P16*(0.67/14))/(($I97)*$S97))^$W97))</f>
        <v>41.099999999999852</v>
      </c>
      <c r="BF97" s="401">
        <f>$R97/(1+($V97*(('Traffic Data'!Q16*(0.67/14))/(($I97)*$S97))^$W97))</f>
        <v>41.099999999999035</v>
      </c>
      <c r="BG97" s="401">
        <f>$R97/(1+($V97*(('Traffic Data'!R16*(0.67/14))/(($I97)*$S97))^$W97))</f>
        <v>41.099999999986963</v>
      </c>
      <c r="BH97" s="401">
        <f>$R97/(1+($V97*(('Traffic Data'!S16*(0.67/14))/(($I97)*$S97))^$W97))</f>
        <v>41.099999999897491</v>
      </c>
      <c r="BI97" s="401">
        <f>$R97/(1+($V97*(('Traffic Data'!T16*(0.67/14))/(($I97)*$S97))^$W97))</f>
        <v>41.099999999433777</v>
      </c>
      <c r="BJ97" s="401">
        <f>$R97/(1+($V97*(('Traffic Data'!U16*(0.67/14))/(($I97)*$S97))^$W97))</f>
        <v>41.099999997563792</v>
      </c>
      <c r="BK97" s="401">
        <f>$R97/(1+($V97*(('Traffic Data'!V16*(0.67/14))/(($I97)*$S97))^$W97))</f>
        <v>41.09999999129014</v>
      </c>
      <c r="BL97" s="401">
        <f>$R97/(1+($V97*(('Traffic Data'!W16*(0.67/14))/(($I97)*$S97))^$W97))</f>
        <v>41.099999982940801</v>
      </c>
      <c r="BM97" s="401">
        <f>$R97/(1+($V97*(('Traffic Data'!X16*(0.67/14))/(($I97)*$S97))^$W97))</f>
        <v>41.099999979694353</v>
      </c>
      <c r="BN97" s="401">
        <f>$R97/(1+($V97*(('Traffic Data'!Y16*(0.67/14))/(($I97)*$S97))^$W97))</f>
        <v>41.099999975902087</v>
      </c>
      <c r="BO97" s="401">
        <f>$R97/(1+($V97*(('Traffic Data'!Z16*(0.67/14))/(($I97)*$S97))^$W97))</f>
        <v>41.099999971483896</v>
      </c>
      <c r="BP97" s="401">
        <f>$R97/(1+($V97*(('Traffic Data'!AA16*(0.67/14))/(($I97)*$S97))^$W97))</f>
        <v>41.099999966351426</v>
      </c>
      <c r="BQ97" s="401">
        <f>$R97/(1+($V97*(('Traffic Data'!AB16*(0.67/14))/(($I97)*$S97))^$W97))</f>
        <v>41.099999960399892</v>
      </c>
      <c r="BR97" s="401">
        <f>$R97/(1+($V97*(('Traffic Data'!AC16*(0.67/14))/(($I97)*$S97))^$W97))</f>
        <v>41.099999953519628</v>
      </c>
      <c r="BS97" s="401">
        <f>$R97/(1+($V97*(('Traffic Data'!AD16*(0.67/14))/(($I97)*$S97))^$W97))</f>
        <v>41.099999945578752</v>
      </c>
      <c r="BT97" s="401">
        <f>$R97/(1+($V97*(('Traffic Data'!AE16*(0.67/14))/(($I97)*$S97))^$W97))</f>
        <v>41.099999936437108</v>
      </c>
      <c r="BU97" s="401">
        <f>$R97/(1+($V97*(('Traffic Data'!AF16*(0.67/14))/(($I97)*$S97))^$W97))</f>
        <v>41.099999925939649</v>
      </c>
      <c r="BV97" s="401">
        <f>$R97/(1+($V97*(('Traffic Data'!AG16*(0.67/14))/(($I97)*$S97))^$W97))</f>
        <v>41.099999913902579</v>
      </c>
      <c r="BW97" s="645">
        <f>$R97/(1+($V97*(('Traffic Data'!AH16*(0.67/14))/(($I97)*$S97))^$W97))</f>
        <v>41.099999900132502</v>
      </c>
    </row>
    <row r="98" spans="1:75" ht="21.95" customHeight="1" x14ac:dyDescent="0.2">
      <c r="A98" s="642"/>
      <c r="C98" s="1339"/>
      <c r="D98" s="116" t="s">
        <v>340</v>
      </c>
      <c r="E98" s="116" t="s">
        <v>280</v>
      </c>
      <c r="F98" s="575">
        <f>'Traffic Data'!CM14</f>
        <v>0.83333333333333337</v>
      </c>
      <c r="G98" s="575">
        <f>'Traffic Data'!CN14</f>
        <v>0.88</v>
      </c>
      <c r="H98" s="581">
        <f>'Traffic Data'!G17</f>
        <v>40</v>
      </c>
      <c r="I98" s="581">
        <v>4</v>
      </c>
      <c r="J98" s="581">
        <f t="shared" si="6"/>
        <v>47</v>
      </c>
      <c r="K98" s="146">
        <v>0</v>
      </c>
      <c r="L98" s="146">
        <v>2.5</v>
      </c>
      <c r="M98" s="146">
        <v>0</v>
      </c>
      <c r="N98" s="146">
        <v>1.8</v>
      </c>
      <c r="O98" s="146">
        <v>1.6</v>
      </c>
      <c r="P98" s="146">
        <v>0</v>
      </c>
      <c r="Q98" s="146">
        <v>0</v>
      </c>
      <c r="R98" s="253">
        <f t="shared" si="4"/>
        <v>41.1</v>
      </c>
      <c r="S98" s="586">
        <f>M25*F98*G98</f>
        <v>1356.6666666666667</v>
      </c>
      <c r="T98" s="587">
        <v>0.12</v>
      </c>
      <c r="U98" s="588">
        <v>0.65</v>
      </c>
      <c r="V98" s="589">
        <f t="shared" si="5"/>
        <v>0.2</v>
      </c>
      <c r="W98" s="228">
        <v>10</v>
      </c>
      <c r="X98" s="530">
        <f>MAX(5,$R98/(1+($V98*(('Traffic Data'!J17*$T98*$U98)/(($I98/2)*$S98))^$W98)))</f>
        <v>41.1</v>
      </c>
      <c r="Y98" s="531">
        <f>MAX(5,$R98/(1+($V98*(('Traffic Data'!K17*$T98*$U98)/(($I98/2)*$S98))^$W98)))</f>
        <v>41.1</v>
      </c>
      <c r="Z98" s="531">
        <f>MAX(5,$R98/(1+($V98*(('Traffic Data'!L17*$T98*$U98)/(($I98/2)*$S98))^$W98)))</f>
        <v>41.1</v>
      </c>
      <c r="AA98" s="531">
        <f>MAX(5,$R98/(1+($V98*(('Traffic Data'!M17*$T98*$U98)/(($I98/2)*$S98))^$W98)))</f>
        <v>41.099999999998687</v>
      </c>
      <c r="AB98" s="531">
        <f>MAX(5,$R98/(1+($V98*(('Traffic Data'!N17*$T98*$U98)/(($I98/2)*$S98))^$W98)))</f>
        <v>41.099999999901492</v>
      </c>
      <c r="AC98" s="531">
        <f>MAX(5,$R98/(1+($V98*(('Traffic Data'!O17*$T98*$U98)/(($I98/2)*$S98))^$W98)))</f>
        <v>41.099999998001088</v>
      </c>
      <c r="AD98" s="531">
        <f>MAX(5,$R98/(1+($V98*(('Traffic Data'!P17*$T98*$U98)/(($I98/2)*$S98))^$W98)))</f>
        <v>41.099999979903664</v>
      </c>
      <c r="AE98" s="531">
        <f>MAX(5,$R98/(1+($V98*(('Traffic Data'!Q17*$T98*$U98)/(($I98/2)*$S98))^$W98)))</f>
        <v>41.099999868964495</v>
      </c>
      <c r="AF98" s="531">
        <f>MAX(5,$R98/(1+($V98*(('Traffic Data'!R17*$T98*$U98)/(($I98/2)*$S98))^$W98)))</f>
        <v>41.099998233248122</v>
      </c>
      <c r="AG98" s="531">
        <f>MAX(5,$R98/(1+($V98*(('Traffic Data'!S17*$T98*$U98)/(($I98/2)*$S98))^$W98)))</f>
        <v>41.099986114185413</v>
      </c>
      <c r="AH98" s="531">
        <f>MAX(5,$R98/(1+($V98*(('Traffic Data'!T17*$T98*$U98)/(($I98/2)*$S98))^$W98)))</f>
        <v>41.099923304581964</v>
      </c>
      <c r="AI98" s="531">
        <f>MAX(5,$R98/(1+($V98*(('Traffic Data'!U17*$T98*$U98)/(($I98/2)*$S98))^$W98)))</f>
        <v>41.099670017685632</v>
      </c>
      <c r="AJ98" s="531">
        <f>MAX(5,$R98/(1+($V98*(('Traffic Data'!V17*$T98*$U98)/(($I98/2)*$S98))^$W98)))</f>
        <v>41.098820285584843</v>
      </c>
      <c r="AK98" s="531">
        <f>MAX(5,$R98/(1+($V98*(('Traffic Data'!W17*$T98*$U98)/(($I98/2)*$S98))^$W98)))</f>
        <v>41.097689464483068</v>
      </c>
      <c r="AL98" s="531">
        <f>MAX(5,$R98/(1+($V98*(('Traffic Data'!X17*$T98*$U98)/(($I98/2)*$S98))^$W98)))</f>
        <v>41.097249788421735</v>
      </c>
      <c r="AM98" s="531">
        <f>MAX(5,$R98/(1+($V98*(('Traffic Data'!Y17*$T98*$U98)/(($I98/2)*$S98))^$W98)))</f>
        <v>41.096736201902331</v>
      </c>
      <c r="AN98" s="531">
        <f>MAX(5,$R98/(1+($V98*(('Traffic Data'!Z17*$T98*$U98)/(($I98/2)*$S98))^$W98)))</f>
        <v>41.096137862863728</v>
      </c>
      <c r="AO98" s="531">
        <f>MAX(5,$R98/(1+($V98*(('Traffic Data'!AA17*$T98*$U98)/(($I98/2)*$S98))^$W98)))</f>
        <v>41.095442812800208</v>
      </c>
      <c r="AP98" s="531">
        <f>MAX(5,$R98/(1+($V98*(('Traffic Data'!AB17*$T98*$U98)/(($I98/2)*$S98))^$W98)))</f>
        <v>41.094636873462768</v>
      </c>
      <c r="AQ98" s="531">
        <f>MAX(5,$R98/(1+($V98*(('Traffic Data'!AC17*$T98*$U98)/(($I98/2)*$S98))^$W98)))</f>
        <v>41.093705207940218</v>
      </c>
      <c r="AR98" s="531">
        <f>MAX(5,$R98/(1+($V98*(('Traffic Data'!AD17*$T98*$U98)/(($I98/2)*$S98))^$W98)))</f>
        <v>41.092629976360833</v>
      </c>
      <c r="AS98" s="531">
        <f>MAX(5,$R98/(1+($V98*(('Traffic Data'!AE17*$T98*$U98)/(($I98/2)*$S98))^$W98)))</f>
        <v>41.09139222283779</v>
      </c>
      <c r="AT98" s="531">
        <f>MAX(5,$R98/(1+($V98*(('Traffic Data'!AF17*$T98*$U98)/(($I98/2)*$S98))^$W98)))</f>
        <v>41.08997098868771</v>
      </c>
      <c r="AU98" s="531">
        <f>MAX(5,$R98/(1+($V98*(('Traffic Data'!AG17*$T98*$U98)/(($I98/2)*$S98))^$W98)))</f>
        <v>41.088341430242401</v>
      </c>
      <c r="AV98" s="531">
        <f>MAX(5,$R98/(1+($V98*(('Traffic Data'!AH17*$T98*$U98)/(($I98/2)*$S98))^$W98)))</f>
        <v>41.086477419898806</v>
      </c>
      <c r="AW98" s="532">
        <f>MAX(5,$R98/(1+($V98*(('Traffic Data'!AI17*$T98*$U98)/(($I98/2)*$S98))^$W98)))</f>
        <v>41.084350227359607</v>
      </c>
      <c r="AX98" s="373">
        <f>$R98/(1+($V98*(('Traffic Data'!J17*(0.67/14))/(($I98)*$S98))^$W98))</f>
        <v>41.1</v>
      </c>
      <c r="AY98" s="373">
        <f>$R98/(1+($V98*(('Traffic Data'!J17*(0.67/14))/(($I98)*$S98))^$W98))</f>
        <v>41.1</v>
      </c>
      <c r="AZ98" s="373">
        <f>$R98/(1+($V98*(('Traffic Data'!K17*(0.67/14))/(($I98)*$S98))^$W98))</f>
        <v>41.1</v>
      </c>
      <c r="BA98" s="373">
        <f>$R98/(1+($V98*(('Traffic Data'!L17*(0.67/14))/(($I98)*$S98))^$W98))</f>
        <v>41.1</v>
      </c>
      <c r="BB98" s="373">
        <f>$R98/(1+($V98*(('Traffic Data'!M17*(0.67/14))/(($I98)*$S98))^$W98))</f>
        <v>41.1</v>
      </c>
      <c r="BC98" s="373">
        <f>$R98/(1+($V98*(('Traffic Data'!N17*(0.67/14))/(($I98)*$S98))^$W98))</f>
        <v>41.1</v>
      </c>
      <c r="BD98" s="373">
        <f>$R98/(1+($V98*(('Traffic Data'!O17*(0.67/14))/(($I98)*$S98))^$W98))</f>
        <v>41.09999999999998</v>
      </c>
      <c r="BE98" s="373">
        <f>$R98/(1+($V98*(('Traffic Data'!P17*(0.67/14))/(($I98)*$S98))^$W98))</f>
        <v>41.099999999999852</v>
      </c>
      <c r="BF98" s="373">
        <f>$R98/(1+($V98*(('Traffic Data'!Q17*(0.67/14))/(($I98)*$S98))^$W98))</f>
        <v>41.099999999999035</v>
      </c>
      <c r="BG98" s="373">
        <f>$R98/(1+($V98*(('Traffic Data'!R17*(0.67/14))/(($I98)*$S98))^$W98))</f>
        <v>41.099999999986963</v>
      </c>
      <c r="BH98" s="373">
        <f>$R98/(1+($V98*(('Traffic Data'!S17*(0.67/14))/(($I98)*$S98))^$W98))</f>
        <v>41.099999999897491</v>
      </c>
      <c r="BI98" s="373">
        <f>$R98/(1+($V98*(('Traffic Data'!T17*(0.67/14))/(($I98)*$S98))^$W98))</f>
        <v>41.099999999433777</v>
      </c>
      <c r="BJ98" s="373">
        <f>$R98/(1+($V98*(('Traffic Data'!U17*(0.67/14))/(($I98)*$S98))^$W98))</f>
        <v>41.099999997563792</v>
      </c>
      <c r="BK98" s="373">
        <f>$R98/(1+($V98*(('Traffic Data'!V17*(0.67/14))/(($I98)*$S98))^$W98))</f>
        <v>41.09999999129014</v>
      </c>
      <c r="BL98" s="373">
        <f>$R98/(1+($V98*(('Traffic Data'!W17*(0.67/14))/(($I98)*$S98))^$W98))</f>
        <v>41.099999982940801</v>
      </c>
      <c r="BM98" s="373">
        <f>$R98/(1+($V98*(('Traffic Data'!X17*(0.67/14))/(($I98)*$S98))^$W98))</f>
        <v>41.099999979694353</v>
      </c>
      <c r="BN98" s="373">
        <f>$R98/(1+($V98*(('Traffic Data'!Y17*(0.67/14))/(($I98)*$S98))^$W98))</f>
        <v>41.099999975902087</v>
      </c>
      <c r="BO98" s="373">
        <f>$R98/(1+($V98*(('Traffic Data'!Z17*(0.67/14))/(($I98)*$S98))^$W98))</f>
        <v>41.099999971483896</v>
      </c>
      <c r="BP98" s="373">
        <f>$R98/(1+($V98*(('Traffic Data'!AA17*(0.67/14))/(($I98)*$S98))^$W98))</f>
        <v>41.099999966351426</v>
      </c>
      <c r="BQ98" s="373">
        <f>$R98/(1+($V98*(('Traffic Data'!AB17*(0.67/14))/(($I98)*$S98))^$W98))</f>
        <v>41.099999960399892</v>
      </c>
      <c r="BR98" s="373">
        <f>$R98/(1+($V98*(('Traffic Data'!AC17*(0.67/14))/(($I98)*$S98))^$W98))</f>
        <v>41.099999953519628</v>
      </c>
      <c r="BS98" s="373">
        <f>$R98/(1+($V98*(('Traffic Data'!AD17*(0.67/14))/(($I98)*$S98))^$W98))</f>
        <v>41.099999945578752</v>
      </c>
      <c r="BT98" s="373">
        <f>$R98/(1+($V98*(('Traffic Data'!AE17*(0.67/14))/(($I98)*$S98))^$W98))</f>
        <v>41.099999936437108</v>
      </c>
      <c r="BU98" s="373">
        <f>$R98/(1+($V98*(('Traffic Data'!AF17*(0.67/14))/(($I98)*$S98))^$W98))</f>
        <v>41.099999925939649</v>
      </c>
      <c r="BV98" s="373">
        <f>$R98/(1+($V98*(('Traffic Data'!AG17*(0.67/14))/(($I98)*$S98))^$W98))</f>
        <v>41.099999913902579</v>
      </c>
      <c r="BW98" s="648">
        <f>$R98/(1+($V98*(('Traffic Data'!AH17*(0.67/14))/(($I98)*$S98))^$W98))</f>
        <v>41.099999900132502</v>
      </c>
    </row>
    <row r="99" spans="1:75" ht="21.95" customHeight="1" x14ac:dyDescent="0.2">
      <c r="A99" s="642"/>
      <c r="C99" s="1340" t="s">
        <v>334</v>
      </c>
      <c r="D99" s="220" t="s">
        <v>336</v>
      </c>
      <c r="E99" s="220" t="s">
        <v>337</v>
      </c>
      <c r="F99" s="596">
        <f>'Traffic Data'!CM18</f>
        <v>0.78125</v>
      </c>
      <c r="G99" s="596">
        <f>'Traffic Data'!CN18</f>
        <v>0.9</v>
      </c>
      <c r="H99" s="146">
        <f>'Traffic Data'!G18</f>
        <v>50</v>
      </c>
      <c r="I99" s="146">
        <v>4</v>
      </c>
      <c r="J99" s="146">
        <f t="shared" si="6"/>
        <v>57</v>
      </c>
      <c r="K99" s="597">
        <v>0</v>
      </c>
      <c r="L99" s="597">
        <v>2.5</v>
      </c>
      <c r="M99" s="597">
        <v>0</v>
      </c>
      <c r="N99" s="597">
        <v>3.6</v>
      </c>
      <c r="O99" s="597">
        <v>0</v>
      </c>
      <c r="P99" s="597">
        <v>0</v>
      </c>
      <c r="Q99" s="597">
        <v>0</v>
      </c>
      <c r="R99" s="174">
        <f t="shared" si="4"/>
        <v>50.9</v>
      </c>
      <c r="S99" s="576">
        <f>M23*F99*G99</f>
        <v>1406.25</v>
      </c>
      <c r="T99" s="577">
        <v>0.12</v>
      </c>
      <c r="U99" s="578">
        <v>0.65</v>
      </c>
      <c r="V99" s="579">
        <f t="shared" si="5"/>
        <v>0.2</v>
      </c>
      <c r="W99" s="229">
        <v>10</v>
      </c>
      <c r="X99" s="400">
        <f>$R99/(1+($V99*(('Traffic Data'!J18*$T99*$U99)/(($I99/2)*$S99))^$W99))</f>
        <v>50.899207421863686</v>
      </c>
      <c r="Y99" s="401">
        <f>$R99/(1+($V99*(('Traffic Data'!K18*$T99*$U99)/(($I99/2)*$S99))^$W99))</f>
        <v>50.898964566995787</v>
      </c>
      <c r="Z99" s="401">
        <f>$R99/(1+($V99*(('Traffic Data'!L18*$T99*$U99)/(($I99/2)*$S99))^$W99))</f>
        <v>50.89842364451561</v>
      </c>
      <c r="AA99" s="401">
        <f>$R99/(1+($V99*(('Traffic Data'!M18*$T99*$U99)/(($I99/2)*$S99))^$W99))</f>
        <v>50.897202241582328</v>
      </c>
      <c r="AB99" s="401">
        <f>$R99/(1+($V99*(('Traffic Data'!N18*$T99*$U99)/(($I99/2)*$S99))^$W99))</f>
        <v>50.895185623316621</v>
      </c>
      <c r="AC99" s="401">
        <f>$R99/(1+($V99*(('Traffic Data'!O18*$T99*$U99)/(($I99/2)*$S99))^$W99))</f>
        <v>50.891944470770007</v>
      </c>
      <c r="AD99" s="401">
        <f>$R99/(1+($V99*(('Traffic Data'!P18*$T99*$U99)/(($I99/2)*$S99))^$W99))</f>
        <v>50.886859463177409</v>
      </c>
      <c r="AE99" s="401">
        <f>$R99/(1+($V99*(('Traffic Data'!Q18*$T99*$U99)/(($I99/2)*$S99))^$W99))</f>
        <v>50.87904168282607</v>
      </c>
      <c r="AF99" s="401">
        <f>$R99/(1+($V99*(('Traffic Data'!R18*$T99*$U99)/(($I99/2)*$S99))^$W99))</f>
        <v>50.868813942035182</v>
      </c>
      <c r="AG99" s="401">
        <f>$R99/(1+($V99*(('Traffic Data'!S18*$T99*$U99)/(($I99/2)*$S99))^$W99))</f>
        <v>50.854293860405043</v>
      </c>
      <c r="AH99" s="401">
        <f>$R99/(1+($V99*(('Traffic Data'!T18*$T99*$U99)/(($I99/2)*$S99))^$W99))</f>
        <v>50.833966085478387</v>
      </c>
      <c r="AI99" s="401">
        <f>$R99/(1+($V99*(('Traffic Data'!U18*$T99*$U99)/(($I99/2)*$S99))^$W99))</f>
        <v>50.805852341701915</v>
      </c>
      <c r="AJ99" s="401">
        <f>$R99/(1+($V99*(('Traffic Data'!V18*$T99*$U99)/(($I99/2)*$S99))^$W99))</f>
        <v>50.767382749193061</v>
      </c>
      <c r="AK99" s="401">
        <f>$R99/(1+($V99*(('Traffic Data'!W18*$T99*$U99)/(($I99/2)*$S99))^$W99))</f>
        <v>50.734883051203873</v>
      </c>
      <c r="AL99" s="401">
        <f>$R99/(1+($V99*(('Traffic Data'!X18*$T99*$U99)/(($I99/2)*$S99))^$W99))</f>
        <v>50.706818836274948</v>
      </c>
      <c r="AM99" s="401">
        <f>$R99/(1+($V99*(('Traffic Data'!Y18*$T99*$U99)/(($I99/2)*$S99))^$W99))</f>
        <v>50.674554916726294</v>
      </c>
      <c r="AN99" s="401">
        <f>$R99/(1+($V99*(('Traffic Data'!Z18*$T99*$U99)/(($I99/2)*$S99))^$W99))</f>
        <v>50.63754955206317</v>
      </c>
      <c r="AO99" s="401">
        <f>$R99/(1+($V99*(('Traffic Data'!AA18*$T99*$U99)/(($I99/2)*$S99))^$W99))</f>
        <v>50.595179530930807</v>
      </c>
      <c r="AP99" s="401">
        <f>$R99/(1+($V99*(('Traffic Data'!AB18*$T99*$U99)/(($I99/2)*$S99))^$W99))</f>
        <v>50.546827841917207</v>
      </c>
      <c r="AQ99" s="401">
        <f>$R99/(1+($V99*(('Traffic Data'!AC18*$T99*$U99)/(($I99/2)*$S99))^$W99))</f>
        <v>50.49171479304573</v>
      </c>
      <c r="AR99" s="401">
        <f>$R99/(1+($V99*(('Traffic Data'!AD18*$T99*$U99)/(($I99/2)*$S99))^$W99))</f>
        <v>50.429099352276609</v>
      </c>
      <c r="AS99" s="401">
        <f>$R99/(1+($V99*(('Traffic Data'!AE18*$T99*$U99)/(($I99/2)*$S99))^$W99))</f>
        <v>50.358080269537638</v>
      </c>
      <c r="AT99" s="401">
        <f>$R99/(1+($V99*(('Traffic Data'!AF18*$T99*$U99)/(($I99/2)*$S99))^$W99))</f>
        <v>50.277659064937787</v>
      </c>
      <c r="AU99" s="401">
        <f>$R99/(1+($V99*(('Traffic Data'!AG18*$T99*$U99)/(($I99/2)*$S99))^$W99))</f>
        <v>50.186883336497175</v>
      </c>
      <c r="AV99" s="401">
        <f>$R99/(1+($V99*(('Traffic Data'!AH18*$T99*$U99)/(($I99/2)*$S99))^$W99))</f>
        <v>50.084589844482046</v>
      </c>
      <c r="AW99" s="372">
        <f>$R99/(1+($V99*(('Traffic Data'!AI18*$T99*$U99)/(($I99/2)*$S99))^$W99))</f>
        <v>49.969501486613538</v>
      </c>
      <c r="AX99" s="401">
        <f>$R99/(1+($V99*(('Traffic Data'!J18*(0.67/14))/(($I99)*$S99))^$W99))</f>
        <v>50.899999994148452</v>
      </c>
      <c r="AY99" s="401">
        <f>$R99/(1+($V99*(('Traffic Data'!J18*(0.67/14))/(($I99)*$S99))^$W99))</f>
        <v>50.899999994148452</v>
      </c>
      <c r="AZ99" s="401">
        <f>$R99/(1+($V99*(('Traffic Data'!K18*(0.67/14))/(($I99)*$S99))^$W99))</f>
        <v>50.89999999235544</v>
      </c>
      <c r="BA99" s="401">
        <f>$R99/(1+($V99*(('Traffic Data'!L18*(0.67/14))/(($I99)*$S99))^$W99))</f>
        <v>50.899999988361699</v>
      </c>
      <c r="BB99" s="401">
        <f>$R99/(1+($V99*(('Traffic Data'!M18*(0.67/14))/(($I99)*$S99))^$W99))</f>
        <v>50.899999979343541</v>
      </c>
      <c r="BC99" s="401">
        <f>$R99/(1+($V99*(('Traffic Data'!N18*(0.67/14))/(($I99)*$S99))^$W99))</f>
        <v>50.899999964453009</v>
      </c>
      <c r="BD99" s="401">
        <f>$R99/(1+($V99*(('Traffic Data'!O18*(0.67/14))/(($I99)*$S99))^$W99))</f>
        <v>50.899999940518143</v>
      </c>
      <c r="BE99" s="401">
        <f>$R99/(1+($V99*(('Traffic Data'!P18*(0.67/14))/(($I99)*$S99))^$W99))</f>
        <v>50.899999902960865</v>
      </c>
      <c r="BF99" s="401">
        <f>$R99/(1+($V99*(('Traffic Data'!Q18*(0.67/14))/(($I99)*$S99))^$W99))</f>
        <v>50.899999845204988</v>
      </c>
      <c r="BG99" s="401">
        <f>$R99/(1+($V99*(('Traffic Data'!R18*(0.67/14))/(($I99)*$S99))^$W99))</f>
        <v>50.899999769618113</v>
      </c>
      <c r="BH99" s="401">
        <f>$R99/(1+($V99*(('Traffic Data'!S18*(0.67/14))/(($I99)*$S99))^$W99))</f>
        <v>50.899999662256974</v>
      </c>
      <c r="BI99" s="401">
        <f>$R99/(1+($V99*(('Traffic Data'!T18*(0.67/14))/(($I99)*$S99))^$W99))</f>
        <v>50.899999511850879</v>
      </c>
      <c r="BJ99" s="401">
        <f>$R99/(1+($V99*(('Traffic Data'!U18*(0.67/14))/(($I99)*$S99))^$W99))</f>
        <v>50.899999303637713</v>
      </c>
      <c r="BK99" s="401">
        <f>$R99/(1+($V99*(('Traffic Data'!V18*(0.67/14))/(($I99)*$S99))^$W99))</f>
        <v>50.899999018354436</v>
      </c>
      <c r="BL99" s="401">
        <f>$R99/(1+($V99*(('Traffic Data'!W18*(0.67/14))/(($I99)*$S99))^$W99))</f>
        <v>50.899998777005649</v>
      </c>
      <c r="BM99" s="401">
        <f>$R99/(1+($V99*(('Traffic Data'!X18*(0.67/14))/(($I99)*$S99))^$W99))</f>
        <v>50.899998568346668</v>
      </c>
      <c r="BN99" s="401">
        <f>$R99/(1+($V99*(('Traffic Data'!Y18*(0.67/14))/(($I99)*$S99))^$W99))</f>
        <v>50.899998328177062</v>
      </c>
      <c r="BO99" s="401">
        <f>$R99/(1+($V99*(('Traffic Data'!Z18*(0.67/14))/(($I99)*$S99))^$W99))</f>
        <v>50.899998052335768</v>
      </c>
      <c r="BP99" s="401">
        <f>$R99/(1+($V99*(('Traffic Data'!AA18*(0.67/14))/(($I99)*$S99))^$W99))</f>
        <v>50.899997736010363</v>
      </c>
      <c r="BQ99" s="401">
        <f>$R99/(1+($V99*(('Traffic Data'!AB18*(0.67/14))/(($I99)*$S99))^$W99))</f>
        <v>50.899997374379225</v>
      </c>
      <c r="BR99" s="401">
        <f>$R99/(1+($V99*(('Traffic Data'!AC18*(0.67/14))/(($I99)*$S99))^$W99))</f>
        <v>50.89999696133399</v>
      </c>
      <c r="BS99" s="401">
        <f>$R99/(1+($V99*(('Traffic Data'!AD18*(0.67/14))/(($I99)*$S99))^$W99))</f>
        <v>50.899996490966494</v>
      </c>
      <c r="BT99" s="401">
        <f>$R99/(1+($V99*(('Traffic Data'!AE18*(0.67/14))/(($I99)*$S99))^$W99))</f>
        <v>50.899995956055079</v>
      </c>
      <c r="BU99" s="401">
        <f>$R99/(1+($V99*(('Traffic Data'!AF18*(0.67/14))/(($I99)*$S99))^$W99))</f>
        <v>50.899995348502962</v>
      </c>
      <c r="BV99" s="401">
        <f>$R99/(1+($V99*(('Traffic Data'!AG18*(0.67/14))/(($I99)*$S99))^$W99))</f>
        <v>50.899994660386994</v>
      </c>
      <c r="BW99" s="645">
        <f>$R99/(1+($V99*(('Traffic Data'!AH18*(0.67/14))/(($I99)*$S99))^$W99))</f>
        <v>50.899993881972691</v>
      </c>
    </row>
    <row r="100" spans="1:75" ht="21.95" customHeight="1" x14ac:dyDescent="0.2">
      <c r="A100" s="642"/>
      <c r="C100" s="1339"/>
      <c r="D100" s="116" t="s">
        <v>337</v>
      </c>
      <c r="E100" s="116" t="s">
        <v>342</v>
      </c>
      <c r="F100" s="575">
        <f>'Traffic Data'!CM18</f>
        <v>0.78125</v>
      </c>
      <c r="G100" s="575">
        <f>'Traffic Data'!CN18</f>
        <v>0.9</v>
      </c>
      <c r="H100" s="146">
        <f>'Traffic Data'!G19</f>
        <v>50</v>
      </c>
      <c r="I100" s="146">
        <v>4</v>
      </c>
      <c r="J100" s="146">
        <f t="shared" si="6"/>
        <v>57</v>
      </c>
      <c r="K100" s="146">
        <v>0</v>
      </c>
      <c r="L100" s="146">
        <v>5</v>
      </c>
      <c r="M100" s="146">
        <v>0</v>
      </c>
      <c r="N100" s="146">
        <v>3.6</v>
      </c>
      <c r="O100" s="146">
        <v>0</v>
      </c>
      <c r="P100" s="146">
        <v>0</v>
      </c>
      <c r="Q100" s="146">
        <v>0</v>
      </c>
      <c r="R100" s="174">
        <f t="shared" si="4"/>
        <v>48.4</v>
      </c>
      <c r="S100" s="576">
        <f>M24*F100*G100</f>
        <v>1335.9375</v>
      </c>
      <c r="T100" s="577">
        <v>0.12</v>
      </c>
      <c r="U100" s="578">
        <v>0.65</v>
      </c>
      <c r="V100" s="579">
        <f t="shared" ref="V100:V107" si="7">$E$32</f>
        <v>0.05</v>
      </c>
      <c r="W100" s="228">
        <v>10</v>
      </c>
      <c r="X100" s="400">
        <f>$R100/(1+($V100*(('Traffic Data'!J19*$T100*$U100)/(($I100/2)*$S100))^$W100))</f>
        <v>48.371121965139949</v>
      </c>
      <c r="Y100" s="401">
        <f>$R100/(1+($V100*(('Traffic Data'!K19*$T100*$U100)/(($I100/2)*$S100))^$W100))</f>
        <v>48.364535072664765</v>
      </c>
      <c r="Z100" s="401">
        <f>$R100/(1+($V100*(('Traffic Data'!L19*$T100*$U100)/(($I100/2)*$S100))^$W100))</f>
        <v>48.34320120192114</v>
      </c>
      <c r="AA100" s="401">
        <f>$R100/(1+($V100*(('Traffic Data'!M19*$T100*$U100)/(($I100/2)*$S100))^$W100))</f>
        <v>48.30713938975358</v>
      </c>
      <c r="AB100" s="401">
        <f>$R100/(1+($V100*(('Traffic Data'!N19*$T100*$U100)/(($I100/2)*$S100))^$W100))</f>
        <v>48.251594923458448</v>
      </c>
      <c r="AC100" s="401">
        <f>$R100/(1+($V100*(('Traffic Data'!O19*$T100*$U100)/(($I100/2)*$S100))^$W100))</f>
        <v>48.167999964834074</v>
      </c>
      <c r="AD100" s="401">
        <f>$R100/(1+($V100*(('Traffic Data'!P19*$T100*$U100)/(($I100/2)*$S100))^$W100))</f>
        <v>48.044654995590548</v>
      </c>
      <c r="AE100" s="401">
        <f>$R100/(1+($V100*(('Traffic Data'!Q19*$T100*$U100)/(($I100/2)*$S100))^$W100))</f>
        <v>47.8655143991827</v>
      </c>
      <c r="AF100" s="401">
        <f>$R100/(1+($V100*(('Traffic Data'!R19*$T100*$U100)/(($I100/2)*$S100))^$W100))</f>
        <v>47.7359861533103</v>
      </c>
      <c r="AG100" s="401">
        <f>$R100/(1+($V100*(('Traffic Data'!S19*$T100*$U100)/(($I100/2)*$S100))^$W100))</f>
        <v>47.579165469662577</v>
      </c>
      <c r="AH100" s="401">
        <f>$R100/(1+($V100*(('Traffic Data'!T19*$T100*$U100)/(($I100/2)*$S100))^$W100))</f>
        <v>47.390904351369834</v>
      </c>
      <c r="AI100" s="401">
        <f>$R100/(1+($V100*(('Traffic Data'!U19*$T100*$U100)/(($I100/2)*$S100))^$W100))</f>
        <v>47.165443050380752</v>
      </c>
      <c r="AJ100" s="401">
        <f>$R100/(1+($V100*(('Traffic Data'!V19*$T100*$U100)/(($I100/2)*$S100))^$W100))</f>
        <v>46.897746380467972</v>
      </c>
      <c r="AK100" s="401">
        <f>$R100/(1+($V100*(('Traffic Data'!W19*$T100*$U100)/(($I100/2)*$S100))^$W100))</f>
        <v>46.635040127027501</v>
      </c>
      <c r="AL100" s="401">
        <f>$R100/(1+($V100*(('Traffic Data'!X19*$T100*$U100)/(($I100/2)*$S100))^$W100))</f>
        <v>46.377252820259699</v>
      </c>
      <c r="AM100" s="401">
        <f>$R100/(1+($V100*(('Traffic Data'!Y19*$T100*$U100)/(($I100/2)*$S100))^$W100))</f>
        <v>46.087414198072722</v>
      </c>
      <c r="AN100" s="401">
        <f>$R100/(1+($V100*(('Traffic Data'!Z19*$T100*$U100)/(($I100/2)*$S100))^$W100))</f>
        <v>45.763245777879462</v>
      </c>
      <c r="AO100" s="401">
        <f>$R100/(1+($V100*(('Traffic Data'!AA19*$T100*$U100)/(($I100/2)*$S100))^$W100))</f>
        <v>45.401903858524207</v>
      </c>
      <c r="AP100" s="401">
        <f>$R100/(1+($V100*(('Traffic Data'!AB19*$T100*$U100)/(($I100/2)*$S100))^$W100))</f>
        <v>45.00053047244797</v>
      </c>
      <c r="AQ100" s="401">
        <f>$R100/(1+($V100*(('Traffic Data'!AC19*$T100*$U100)/(($I100/2)*$S100))^$W100))</f>
        <v>44.556302438104353</v>
      </c>
      <c r="AR100" s="401">
        <f>$R100/(1+($V100*(('Traffic Data'!AD19*$T100*$U100)/(($I100/2)*$S100))^$W100))</f>
        <v>44.066489070471917</v>
      </c>
      <c r="AS100" s="401">
        <f>$R100/(1+($V100*(('Traffic Data'!AE19*$T100*$U100)/(($I100/2)*$S100))^$W100))</f>
        <v>43.528518293801866</v>
      </c>
      <c r="AT100" s="401">
        <f>$R100/(1+($V100*(('Traffic Data'!AF19*$T100*$U100)/(($I100/2)*$S100))^$W100))</f>
        <v>42.940050396806534</v>
      </c>
      <c r="AU100" s="401">
        <f>$R100/(1+($V100*(('Traffic Data'!AG19*$T100*$U100)/(($I100/2)*$S100))^$W100))</f>
        <v>42.29905807341062</v>
      </c>
      <c r="AV100" s="401">
        <f>$R100/(1+($V100*(('Traffic Data'!AH19*$T100*$U100)/(($I100/2)*$S100))^$W100))</f>
        <v>41.605425596846402</v>
      </c>
      <c r="AW100" s="372">
        <f>$R100/(1+($V100*(('Traffic Data'!AI19*$T100*$U100)/(($I100/2)*$S100))^$W100))</f>
        <v>40.855091930303637</v>
      </c>
      <c r="AX100" s="401">
        <f>$R100/(1+($V100*(('Traffic Data'!J19*(0.67/14))/(($I100)*$S100))^$W100))</f>
        <v>48.399999786671671</v>
      </c>
      <c r="AY100" s="401">
        <f>$R100/(1+($V100*(('Traffic Data'!J19*(0.67/14))/(($I100)*$S100))^$W100))</f>
        <v>48.399999786671671</v>
      </c>
      <c r="AZ100" s="401">
        <f>$R100/(1+($V100*(('Traffic Data'!K19*(0.67/14))/(($I100)*$S100))^$W100))</f>
        <v>48.39999973797719</v>
      </c>
      <c r="BA100" s="401">
        <f>$R100/(1+($V100*(('Traffic Data'!L19*(0.67/14))/(($I100)*$S100))^$W100))</f>
        <v>48.39999958017259</v>
      </c>
      <c r="BB100" s="401">
        <f>$R100/(1+($V100*(('Traffic Data'!M19*(0.67/14))/(($I100)*$S100))^$W100))</f>
        <v>48.399999313109902</v>
      </c>
      <c r="BC100" s="401">
        <f>$R100/(1+($V100*(('Traffic Data'!N19*(0.67/14))/(($I100)*$S100))^$W100))</f>
        <v>48.399998900983725</v>
      </c>
      <c r="BD100" s="401">
        <f>$R100/(1+($V100*(('Traffic Data'!O19*(0.67/14))/(($I100)*$S100))^$W100))</f>
        <v>48.399998278938185</v>
      </c>
      <c r="BE100" s="401">
        <f>$R100/(1+($V100*(('Traffic Data'!P19*(0.67/14))/(($I100)*$S100))^$W100))</f>
        <v>48.399997357152152</v>
      </c>
      <c r="BF100" s="401">
        <f>$R100/(1+($V100*(('Traffic Data'!Q19*(0.67/14))/(($I100)*$S100))^$W100))</f>
        <v>48.399996009932046</v>
      </c>
      <c r="BG100" s="401">
        <f>$R100/(1+($V100*(('Traffic Data'!R19*(0.67/14))/(($I100)*$S100))^$W100))</f>
        <v>48.399995029521023</v>
      </c>
      <c r="BH100" s="401">
        <f>$R100/(1+($V100*(('Traffic Data'!S19*(0.67/14))/(($I100)*$S100))^$W100))</f>
        <v>48.399993835387384</v>
      </c>
      <c r="BI100" s="401">
        <f>$R100/(1+($V100*(('Traffic Data'!T19*(0.67/14))/(($I100)*$S100))^$W100))</f>
        <v>48.399992391407636</v>
      </c>
      <c r="BJ100" s="401">
        <f>$R100/(1+($V100*(('Traffic Data'!U19*(0.67/14))/(($I100)*$S100))^$W100))</f>
        <v>48.399990646930213</v>
      </c>
      <c r="BK100" s="401">
        <f>$R100/(1+($V100*(('Traffic Data'!V19*(0.67/14))/(($I100)*$S100))^$W100))</f>
        <v>48.399988553881677</v>
      </c>
      <c r="BL100" s="401">
        <f>$R100/(1+($V100*(('Traffic Data'!W19*(0.67/14))/(($I100)*$S100))^$W100))</f>
        <v>48.399986476490568</v>
      </c>
      <c r="BM100" s="401">
        <f>$R100/(1+($V100*(('Traffic Data'!X19*(0.67/14))/(($I100)*$S100))^$W100))</f>
        <v>48.399984415118894</v>
      </c>
      <c r="BN100" s="401">
        <f>$R100/(1+($V100*(('Traffic Data'!Y19*(0.67/14))/(($I100)*$S100))^$W100))</f>
        <v>48.399982069912852</v>
      </c>
      <c r="BO100" s="401">
        <f>$R100/(1+($V100*(('Traffic Data'!Z19*(0.67/14))/(($I100)*$S100))^$W100))</f>
        <v>48.399979411737625</v>
      </c>
      <c r="BP100" s="401">
        <f>$R100/(1+($V100*(('Traffic Data'!AA19*(0.67/14))/(($I100)*$S100))^$W100))</f>
        <v>48.399976404003269</v>
      </c>
      <c r="BQ100" s="401">
        <f>$R100/(1+($V100*(('Traffic Data'!AB19*(0.67/14))/(($I100)*$S100))^$W100))</f>
        <v>48.399973006430002</v>
      </c>
      <c r="BR100" s="401">
        <f>$R100/(1+($V100*(('Traffic Data'!AC19*(0.67/14))/(($I100)*$S100))^$W100))</f>
        <v>48.39996917473372</v>
      </c>
      <c r="BS100" s="401">
        <f>$R100/(1+($V100*(('Traffic Data'!AD19*(0.67/14))/(($I100)*$S100))^$W100))</f>
        <v>48.399964860289508</v>
      </c>
      <c r="BT100" s="401">
        <f>$R100/(1+($V100*(('Traffic Data'!AE19*(0.67/14))/(($I100)*$S100))^$W100))</f>
        <v>48.399960009771895</v>
      </c>
      <c r="BU100" s="401">
        <f>$R100/(1+($V100*(('Traffic Data'!AF19*(0.67/14))/(($I100)*$S100))^$W100))</f>
        <v>48.399954564770631</v>
      </c>
      <c r="BV100" s="401">
        <f>$R100/(1+($V100*(('Traffic Data'!AG19*(0.67/14))/(($I100)*$S100))^$W100))</f>
        <v>48.399948461380617</v>
      </c>
      <c r="BW100" s="645">
        <f>$R100/(1+($V100*(('Traffic Data'!AH19*(0.67/14))/(($I100)*$S100))^$W100))</f>
        <v>48.39994164490043</v>
      </c>
    </row>
    <row r="101" spans="1:75" ht="21.95" customHeight="1" x14ac:dyDescent="0.2">
      <c r="A101" s="642"/>
      <c r="C101" s="1339"/>
      <c r="D101" s="116" t="s">
        <v>342</v>
      </c>
      <c r="E101" s="116" t="s">
        <v>341</v>
      </c>
      <c r="F101" s="575">
        <f>'Traffic Data'!CM18</f>
        <v>0.78125</v>
      </c>
      <c r="G101" s="575">
        <f>'Traffic Data'!CN18</f>
        <v>0.9</v>
      </c>
      <c r="H101" s="146">
        <f>'Traffic Data'!G20</f>
        <v>45</v>
      </c>
      <c r="I101" s="146">
        <v>4</v>
      </c>
      <c r="J101" s="146">
        <f t="shared" si="6"/>
        <v>52</v>
      </c>
      <c r="K101" s="146">
        <v>0</v>
      </c>
      <c r="L101" s="146">
        <v>5</v>
      </c>
      <c r="M101" s="146">
        <v>0</v>
      </c>
      <c r="N101" s="146">
        <v>3.6</v>
      </c>
      <c r="O101" s="146">
        <v>0</v>
      </c>
      <c r="P101" s="146">
        <v>0</v>
      </c>
      <c r="Q101" s="146">
        <v>0</v>
      </c>
      <c r="R101" s="174">
        <f t="shared" si="4"/>
        <v>43.4</v>
      </c>
      <c r="S101" s="576">
        <f>M25*F101*G101</f>
        <v>1300.78125</v>
      </c>
      <c r="T101" s="577">
        <v>0.12</v>
      </c>
      <c r="U101" s="578">
        <v>0.65</v>
      </c>
      <c r="V101" s="579">
        <f t="shared" si="7"/>
        <v>0.05</v>
      </c>
      <c r="W101" s="228">
        <v>10</v>
      </c>
      <c r="X101" s="400">
        <f>$R101/(1+($V101*(('Traffic Data'!J20*$T101*$U101)/(($I101/2)*$S101))^$W101))</f>
        <v>43.366197288242411</v>
      </c>
      <c r="Y101" s="401">
        <f>$R101/(1+($V101*(('Traffic Data'!K20*$T101*$U101)/(($I101/2)*$S101))^$W101))</f>
        <v>43.358488835182733</v>
      </c>
      <c r="Z101" s="401">
        <f>$R101/(1+($V101*(('Traffic Data'!L20*$T101*$U101)/(($I101/2)*$S101))^$W101))</f>
        <v>43.333526812775951</v>
      </c>
      <c r="AA101" s="401">
        <f>$R101/(1+($V101*(('Traffic Data'!M20*$T101*$U101)/(($I101/2)*$S101))^$W101))</f>
        <v>43.291347420444872</v>
      </c>
      <c r="AB101" s="401">
        <f>$R101/(1+($V101*(('Traffic Data'!N20*$T101*$U101)/(($I101/2)*$S101))^$W101))</f>
        <v>43.226417852573348</v>
      </c>
      <c r="AC101" s="401">
        <f>$R101/(1+($V101*(('Traffic Data'!O20*$T101*$U101)/(($I101/2)*$S101))^$W101))</f>
        <v>43.128783956961072</v>
      </c>
      <c r="AD101" s="401">
        <f>$R101/(1+($V101*(('Traffic Data'!P20*$T101*$U101)/(($I101/2)*$S101))^$W101))</f>
        <v>42.984912260903485</v>
      </c>
      <c r="AE101" s="401">
        <f>$R101/(1+($V101*(('Traffic Data'!Q20*$T101*$U101)/(($I101/2)*$S101))^$W101))</f>
        <v>42.776357356318861</v>
      </c>
      <c r="AF101" s="401">
        <f>$R101/(1+($V101*(('Traffic Data'!R20*$T101*$U101)/(($I101/2)*$S101))^$W101))</f>
        <v>42.625853682423276</v>
      </c>
      <c r="AG101" s="401">
        <f>$R101/(1+($V101*(('Traffic Data'!S20*$T101*$U101)/(($I101/2)*$S101))^$W101))</f>
        <v>42.443965691496608</v>
      </c>
      <c r="AH101" s="401">
        <f>$R101/(1+($V101*(('Traffic Data'!T20*$T101*$U101)/(($I101/2)*$S101))^$W101))</f>
        <v>42.226084399786615</v>
      </c>
      <c r="AI101" s="401">
        <f>$R101/(1+($V101*(('Traffic Data'!U20*$T101*$U101)/(($I101/2)*$S101))^$W101))</f>
        <v>41.965826426730061</v>
      </c>
      <c r="AJ101" s="401">
        <f>$R101/(1+($V101*(('Traffic Data'!V20*$T101*$U101)/(($I101/2)*$S101))^$W101))</f>
        <v>41.657767916787712</v>
      </c>
      <c r="AK101" s="401">
        <f>$R101/(1+($V101*(('Traffic Data'!W20*$T101*$U101)/(($I101/2)*$S101))^$W101))</f>
        <v>41.356453628433549</v>
      </c>
      <c r="AL101" s="401">
        <f>$R101/(1+($V101*(('Traffic Data'!X20*$T101*$U101)/(($I101/2)*$S101))^$W101))</f>
        <v>41.061740719322401</v>
      </c>
      <c r="AM101" s="401">
        <f>$R101/(1+($V101*(('Traffic Data'!Y20*$T101*$U101)/(($I101/2)*$S101))^$W101))</f>
        <v>40.731514790302739</v>
      </c>
      <c r="AN101" s="401">
        <f>$R101/(1+($V101*(('Traffic Data'!Z20*$T101*$U101)/(($I101/2)*$S101))^$W101))</f>
        <v>40.363583957559435</v>
      </c>
      <c r="AO101" s="401">
        <f>$R101/(1+($V101*(('Traffic Data'!AA20*$T101*$U101)/(($I101/2)*$S101))^$W101))</f>
        <v>39.955203558392334</v>
      </c>
      <c r="AP101" s="401">
        <f>$R101/(1+($V101*(('Traffic Data'!AB20*$T101*$U101)/(($I101/2)*$S101))^$W101))</f>
        <v>39.503719347828245</v>
      </c>
      <c r="AQ101" s="401">
        <f>$R101/(1+($V101*(('Traffic Data'!AC20*$T101*$U101)/(($I101/2)*$S101))^$W101))</f>
        <v>39.006635080230723</v>
      </c>
      <c r="AR101" s="401">
        <f>$R101/(1+($V101*(('Traffic Data'!AD20*$T101*$U101)/(($I101/2)*$S101))^$W101))</f>
        <v>38.461688129134615</v>
      </c>
      <c r="AS101" s="401">
        <f>$R101/(1+($V101*(('Traffic Data'!AE20*$T101*$U101)/(($I101/2)*$S101))^$W101))</f>
        <v>37.866931671343806</v>
      </c>
      <c r="AT101" s="401">
        <f>$R101/(1+($V101*(('Traffic Data'!AF20*$T101*$U101)/(($I101/2)*$S101))^$W101))</f>
        <v>37.220821219919053</v>
      </c>
      <c r="AU101" s="401">
        <f>$R101/(1+($V101*(('Traffic Data'!AG20*$T101*$U101)/(($I101/2)*$S101))^$W101))</f>
        <v>36.522302515112216</v>
      </c>
      <c r="AV101" s="401">
        <f>$R101/(1+($V101*(('Traffic Data'!AH20*$T101*$U101)/(($I101/2)*$S101))^$W101))</f>
        <v>35.772527630820065</v>
      </c>
      <c r="AW101" s="372">
        <f>$R101/(1+($V101*(('Traffic Data'!AI20*$T101*$U101)/(($I101/2)*$S101))^$W101))</f>
        <v>34.968521196833727</v>
      </c>
      <c r="AX101" s="401">
        <f>$R101/(1+($V101*(('Traffic Data'!J20*(0.67/14))/(($I101)*$S101))^$W101))</f>
        <v>43.399999750246479</v>
      </c>
      <c r="AY101" s="401">
        <f>$R101/(1+($V101*(('Traffic Data'!J20*(0.67/14))/(($I101)*$S101))^$W101))</f>
        <v>43.399999750246479</v>
      </c>
      <c r="AZ101" s="401">
        <f>$R101/(1+($V101*(('Traffic Data'!K20*(0.67/14))/(($I101)*$S101))^$W101))</f>
        <v>43.399999693237547</v>
      </c>
      <c r="BA101" s="401">
        <f>$R101/(1+($V101*(('Traffic Data'!L20*(0.67/14))/(($I101)*$S101))^$W101))</f>
        <v>43.399999508488278</v>
      </c>
      <c r="BB101" s="401">
        <f>$R101/(1+($V101*(('Traffic Data'!M20*(0.67/14))/(($I101)*$S101))^$W101))</f>
        <v>43.399999195825409</v>
      </c>
      <c r="BC101" s="401">
        <f>$R101/(1+($V101*(('Traffic Data'!N20*(0.67/14))/(($I101)*$S101))^$W101))</f>
        <v>43.399998713329886</v>
      </c>
      <c r="BD101" s="401">
        <f>$R101/(1+($V101*(('Traffic Data'!O20*(0.67/14))/(($I101)*$S101))^$W101))</f>
        <v>43.399997985071877</v>
      </c>
      <c r="BE101" s="401">
        <f>$R101/(1+($V101*(('Traffic Data'!P20*(0.67/14))/(($I101)*$S101))^$W101))</f>
        <v>43.39999690589358</v>
      </c>
      <c r="BF101" s="401">
        <f>$R101/(1+($V101*(('Traffic Data'!Q20*(0.67/14))/(($I101)*$S101))^$W101))</f>
        <v>43.399995328639605</v>
      </c>
      <c r="BG101" s="401">
        <f>$R101/(1+($V101*(('Traffic Data'!R20*(0.67/14))/(($I101)*$S101))^$W101))</f>
        <v>43.399994180826305</v>
      </c>
      <c r="BH101" s="401">
        <f>$R101/(1+($V101*(('Traffic Data'!S20*(0.67/14))/(($I101)*$S101))^$W101))</f>
        <v>43.399992782797902</v>
      </c>
      <c r="BI101" s="401">
        <f>$R101/(1+($V101*(('Traffic Data'!T20*(0.67/14))/(($I101)*$S101))^$W101))</f>
        <v>43.399991092262923</v>
      </c>
      <c r="BJ101" s="401">
        <f>$R101/(1+($V101*(('Traffic Data'!U20*(0.67/14))/(($I101)*$S101))^$W101))</f>
        <v>43.399989049921253</v>
      </c>
      <c r="BK101" s="401">
        <f>$R101/(1+($V101*(('Traffic Data'!V20*(0.67/14))/(($I101)*$S101))^$W101))</f>
        <v>43.399986599491051</v>
      </c>
      <c r="BL101" s="401">
        <f>$R101/(1+($V101*(('Traffic Data'!W20*(0.67/14))/(($I101)*$S101))^$W101))</f>
        <v>43.399984167391807</v>
      </c>
      <c r="BM101" s="401">
        <f>$R101/(1+($V101*(('Traffic Data'!X20*(0.67/14))/(($I101)*$S101))^$W101))</f>
        <v>43.399981754047325</v>
      </c>
      <c r="BN101" s="401">
        <f>$R101/(1+($V101*(('Traffic Data'!Y20*(0.67/14))/(($I101)*$S101))^$W101))</f>
        <v>43.399979008404721</v>
      </c>
      <c r="BO101" s="401">
        <f>$R101/(1+($V101*(('Traffic Data'!Z20*(0.67/14))/(($I101)*$S101))^$W101))</f>
        <v>43.399975896354505</v>
      </c>
      <c r="BP101" s="401">
        <f>$R101/(1+($V101*(('Traffic Data'!AA20*(0.67/14))/(($I101)*$S101))^$W101))</f>
        <v>43.3999723750592</v>
      </c>
      <c r="BQ101" s="401">
        <f>$R101/(1+($V101*(('Traffic Data'!AB20*(0.67/14))/(($I101)*$S101))^$W101))</f>
        <v>43.399968397361398</v>
      </c>
      <c r="BR101" s="401">
        <f>$R101/(1+($V101*(('Traffic Data'!AC20*(0.67/14))/(($I101)*$S101))^$W101))</f>
        <v>43.399963911415703</v>
      </c>
      <c r="BS101" s="401">
        <f>$R101/(1+($V101*(('Traffic Data'!AD20*(0.67/14))/(($I101)*$S101))^$W101))</f>
        <v>43.399958860294717</v>
      </c>
      <c r="BT101" s="401">
        <f>$R101/(1+($V101*(('Traffic Data'!AE20*(0.67/14))/(($I101)*$S101))^$W101))</f>
        <v>43.399953181567952</v>
      </c>
      <c r="BU101" s="401">
        <f>$R101/(1+($V101*(('Traffic Data'!AF20*(0.67/14))/(($I101)*$S101))^$W101))</f>
        <v>43.399946806851901</v>
      </c>
      <c r="BV101" s="401">
        <f>$R101/(1+($V101*(('Traffic Data'!AG20*(0.67/14))/(($I101)*$S101))^$W101))</f>
        <v>43.399939661330095</v>
      </c>
      <c r="BW101" s="645">
        <f>$R101/(1+($V101*(('Traffic Data'!AH20*(0.67/14))/(($I101)*$S101))^$W101))</f>
        <v>43.399931680961153</v>
      </c>
    </row>
    <row r="102" spans="1:75" ht="21.95" customHeight="1" x14ac:dyDescent="0.2">
      <c r="A102" s="642"/>
      <c r="C102" s="1339"/>
      <c r="D102" s="116" t="s">
        <v>341</v>
      </c>
      <c r="E102" s="116" t="s">
        <v>344</v>
      </c>
      <c r="F102" s="575">
        <f>'Traffic Data'!CM18</f>
        <v>0.78125</v>
      </c>
      <c r="G102" s="575">
        <f>'Traffic Data'!CN18</f>
        <v>0.9</v>
      </c>
      <c r="H102" s="146">
        <f>'Traffic Data'!G21</f>
        <v>45</v>
      </c>
      <c r="I102" s="146">
        <v>4</v>
      </c>
      <c r="J102" s="146">
        <f t="shared" si="6"/>
        <v>52</v>
      </c>
      <c r="K102" s="146">
        <v>0</v>
      </c>
      <c r="L102" s="146">
        <v>5</v>
      </c>
      <c r="M102" s="146">
        <v>0</v>
      </c>
      <c r="N102" s="146">
        <v>0.4</v>
      </c>
      <c r="O102" s="146">
        <v>0</v>
      </c>
      <c r="P102" s="146">
        <v>0</v>
      </c>
      <c r="Q102" s="146">
        <v>0</v>
      </c>
      <c r="R102" s="174">
        <f t="shared" si="4"/>
        <v>46.6</v>
      </c>
      <c r="S102" s="576">
        <f>M24*F102*G102</f>
        <v>1335.9375</v>
      </c>
      <c r="T102" s="577">
        <v>0.12</v>
      </c>
      <c r="U102" s="578">
        <v>0.65</v>
      </c>
      <c r="V102" s="579">
        <f t="shared" si="7"/>
        <v>0.05</v>
      </c>
      <c r="W102" s="228">
        <v>10</v>
      </c>
      <c r="X102" s="400">
        <f>$R102/(1+($V102*(('Traffic Data'!J21*$T102*$U102)/(($I102/2)*$S102))^$W102))</f>
        <v>46.452599766464537</v>
      </c>
      <c r="Y102" s="401">
        <f>$R102/(1+($V102*(('Traffic Data'!K21*$T102*$U102)/(($I102/2)*$S102))^$W102))</f>
        <v>46.417454679301883</v>
      </c>
      <c r="Z102" s="401">
        <f>$R102/(1+($V102*(('Traffic Data'!L21*$T102*$U102)/(($I102/2)*$S102))^$W102))</f>
        <v>46.308229731988035</v>
      </c>
      <c r="AA102" s="401">
        <f>$R102/(1+($V102*(('Traffic Data'!M21*$T102*$U102)/(($I102/2)*$S102))^$W102))</f>
        <v>46.124400868766067</v>
      </c>
      <c r="AB102" s="401">
        <f>$R102/(1+($V102*(('Traffic Data'!N21*$T102*$U102)/(($I102/2)*$S102))^$W102))</f>
        <v>45.843836900305675</v>
      </c>
      <c r="AC102" s="401">
        <f>$R102/(1+($V102*(('Traffic Data'!O21*$T102*$U102)/(($I102/2)*$S102))^$W102))</f>
        <v>45.426781038787659</v>
      </c>
      <c r="AD102" s="401">
        <f>$R102/(1+($V102*(('Traffic Data'!P21*$T102*$U102)/(($I102/2)*$S102))^$W102))</f>
        <v>44.82199598435929</v>
      </c>
      <c r="AE102" s="401">
        <f>$R102/(1+($V102*(('Traffic Data'!Q21*$T102*$U102)/(($I102/2)*$S102))^$W102))</f>
        <v>43.967306727019164</v>
      </c>
      <c r="AF102" s="401">
        <f>$R102/(1+($V102*(('Traffic Data'!R21*$T102*$U102)/(($I102/2)*$S102))^$W102))</f>
        <v>43.364290570984288</v>
      </c>
      <c r="AG102" s="401">
        <f>$R102/(1+($V102*(('Traffic Data'!S21*$T102*$U102)/(($I102/2)*$S102))^$W102))</f>
        <v>42.653751756758695</v>
      </c>
      <c r="AH102" s="401">
        <f>$R102/(1+($V102*(('Traffic Data'!T21*$T102*$U102)/(($I102/2)*$S102))^$W102))</f>
        <v>41.822726576054762</v>
      </c>
      <c r="AI102" s="401">
        <f>$R102/(1+($V102*(('Traffic Data'!U21*$T102*$U102)/(($I102/2)*$S102))^$W102))</f>
        <v>40.863582991199941</v>
      </c>
      <c r="AJ102" s="401">
        <f>$R102/(1+($V102*(('Traffic Data'!V21*$T102*$U102)/(($I102/2)*$S102))^$W102))</f>
        <v>39.76625414810453</v>
      </c>
      <c r="AK102" s="401">
        <f>$R102/(1+($V102*(('Traffic Data'!W21*$T102*$U102)/(($I102/2)*$S102))^$W102))</f>
        <v>38.738265568203708</v>
      </c>
      <c r="AL102" s="401">
        <f>$R102/(1+($V102*(('Traffic Data'!X21*$T102*$U102)/(($I102/2)*$S102))^$W102))</f>
        <v>37.765344808718105</v>
      </c>
      <c r="AM102" s="401">
        <f>$R102/(1+($V102*(('Traffic Data'!Y21*$T102*$U102)/(($I102/2)*$S102))^$W102))</f>
        <v>36.716375389200039</v>
      </c>
      <c r="AN102" s="401">
        <f>$R102/(1+($V102*(('Traffic Data'!Z21*$T102*$U102)/(($I102/2)*$S102))^$W102))</f>
        <v>35.597590215355304</v>
      </c>
      <c r="AO102" s="401">
        <f>$R102/(1+($V102*(('Traffic Data'!AA21*$T102*$U102)/(($I102/2)*$S102))^$W102))</f>
        <v>34.411222364917485</v>
      </c>
      <c r="AP102" s="401">
        <f>$R102/(1+($V102*(('Traffic Data'!AB21*$T102*$U102)/(($I102/2)*$S102))^$W102))</f>
        <v>33.16281408956592</v>
      </c>
      <c r="AQ102" s="401">
        <f>$R102/(1+($V102*(('Traffic Data'!AC21*$T102*$U102)/(($I102/2)*$S102))^$W102))</f>
        <v>31.859366203721898</v>
      </c>
      <c r="AR102" s="401">
        <f>$R102/(1+($V102*(('Traffic Data'!AD21*$T102*$U102)/(($I102/2)*$S102))^$W102))</f>
        <v>30.509205922991242</v>
      </c>
      <c r="AS102" s="401">
        <f>$R102/(1+($V102*(('Traffic Data'!AE21*$T102*$U102)/(($I102/2)*$S102))^$W102))</f>
        <v>29.121784715719052</v>
      </c>
      <c r="AT102" s="401">
        <f>$R102/(1+($V102*(('Traffic Data'!AF21*$T102*$U102)/(($I102/2)*$S102))^$W102))</f>
        <v>27.707415459875858</v>
      </c>
      <c r="AU102" s="401">
        <f>$R102/(1+($V102*(('Traffic Data'!AG21*$T102*$U102)/(($I102/2)*$S102))^$W102))</f>
        <v>26.274419970133621</v>
      </c>
      <c r="AV102" s="401">
        <f>$R102/(1+($V102*(('Traffic Data'!AH21*$T102*$U102)/(($I102/2)*$S102))^$W102))</f>
        <v>24.838971096787642</v>
      </c>
      <c r="AW102" s="372">
        <f>$R102/(1+($V102*(('Traffic Data'!AI21*$T102*$U102)/(($I102/2)*$S102))^$W102))</f>
        <v>23.409505721963676</v>
      </c>
      <c r="AX102" s="401">
        <f>$R102/(1+($V102*(('Traffic Data'!J21*(0.67/14))/(($I102)*$S102))^$W102))</f>
        <v>46.59999890831903</v>
      </c>
      <c r="AY102" s="401">
        <f>$R102/(1+($V102*(('Traffic Data'!J21*(0.67/14))/(($I102)*$S102))^$W102))</f>
        <v>46.59999890831903</v>
      </c>
      <c r="AZ102" s="401">
        <f>$R102/(1+($V102*(('Traffic Data'!K21*(0.67/14))/(($I102)*$S102))^$W102))</f>
        <v>46.599998647002565</v>
      </c>
      <c r="BA102" s="401">
        <f>$R102/(1+($V102*(('Traffic Data'!L21*(0.67/14))/(($I102)*$S102))^$W102))</f>
        <v>46.599997832343618</v>
      </c>
      <c r="BB102" s="401">
        <f>$R102/(1+($V102*(('Traffic Data'!M21*(0.67/14))/(($I102)*$S102))^$W102))</f>
        <v>46.599996452536914</v>
      </c>
      <c r="BC102" s="401">
        <f>$R102/(1+($V102*(('Traffic Data'!N21*(0.67/14))/(($I102)*$S102))^$W102))</f>
        <v>46.599994325310917</v>
      </c>
      <c r="BD102" s="401">
        <f>$R102/(1+($V102*(('Traffic Data'!O21*(0.67/14))/(($I102)*$S102))^$W102))</f>
        <v>46.599991114648148</v>
      </c>
      <c r="BE102" s="401">
        <f>$R102/(1+($V102*(('Traffic Data'!P21*(0.67/14))/(($I102)*$S102))^$W102))</f>
        <v>46.599986352628271</v>
      </c>
      <c r="BF102" s="401">
        <f>$R102/(1+($V102*(('Traffic Data'!Q21*(0.67/14))/(($I102)*$S102))^$W102))</f>
        <v>46.599979399497599</v>
      </c>
      <c r="BG102" s="401">
        <f>$R102/(1+($V102*(('Traffic Data'!R21*(0.67/14))/(($I102)*$S102))^$W102))</f>
        <v>46.59997432889088</v>
      </c>
      <c r="BH102" s="401">
        <f>$R102/(1+($V102*(('Traffic Data'!S21*(0.67/14))/(($I102)*$S102))^$W102))</f>
        <v>46.599968170158853</v>
      </c>
      <c r="BI102" s="401">
        <f>$R102/(1+($V102*(('Traffic Data'!T21*(0.67/14))/(($I102)*$S102))^$W102))</f>
        <v>46.599960701588763</v>
      </c>
      <c r="BJ102" s="401">
        <f>$R102/(1+($V102*(('Traffic Data'!U21*(0.67/14))/(($I102)*$S102))^$W102))</f>
        <v>46.599951703970909</v>
      </c>
      <c r="BK102" s="401">
        <f>$R102/(1+($V102*(('Traffic Data'!V21*(0.67/14))/(($I102)*$S102))^$W102))</f>
        <v>46.599940877717557</v>
      </c>
      <c r="BL102" s="401">
        <f>$R102/(1+($V102*(('Traffic Data'!W21*(0.67/14))/(($I102)*$S102))^$W102))</f>
        <v>46.599930179147059</v>
      </c>
      <c r="BM102" s="401">
        <f>$R102/(1+($V102*(('Traffic Data'!X21*(0.67/14))/(($I102)*$S102))^$W102))</f>
        <v>46.599919517213728</v>
      </c>
      <c r="BN102" s="401">
        <f>$R102/(1+($V102*(('Traffic Data'!Y21*(0.67/14))/(($I102)*$S102))^$W102))</f>
        <v>46.599907388870498</v>
      </c>
      <c r="BO102" s="401">
        <f>$R102/(1+($V102*(('Traffic Data'!Z21*(0.67/14))/(($I102)*$S102))^$W102))</f>
        <v>46.599893665589136</v>
      </c>
      <c r="BP102" s="401">
        <f>$R102/(1+($V102*(('Traffic Data'!AA21*(0.67/14))/(($I102)*$S102))^$W102))</f>
        <v>46.599878138499392</v>
      </c>
      <c r="BQ102" s="401">
        <f>$R102/(1+($V102*(('Traffic Data'!AB21*(0.67/14))/(($I102)*$S102))^$W102))</f>
        <v>46.599860599845904</v>
      </c>
      <c r="BR102" s="401">
        <f>$R102/(1+($V102*(('Traffic Data'!AC21*(0.67/14))/(($I102)*$S102))^$W102))</f>
        <v>46.59984082122979</v>
      </c>
      <c r="BS102" s="401">
        <f>$R102/(1+($V102*(('Traffic Data'!AD21*(0.67/14))/(($I102)*$S102))^$W102))</f>
        <v>46.599818551874868</v>
      </c>
      <c r="BT102" s="401">
        <f>$R102/(1+($V102*(('Traffic Data'!AE21*(0.67/14))/(($I102)*$S102))^$W102))</f>
        <v>46.599793516774199</v>
      </c>
      <c r="BU102" s="401">
        <f>$R102/(1+($V102*(('Traffic Data'!AF21*(0.67/14))/(($I102)*$S102))^$W102))</f>
        <v>46.599765414710539</v>
      </c>
      <c r="BV102" s="401">
        <f>$R102/(1+($V102*(('Traffic Data'!AG21*(0.67/14))/(($I102)*$S102))^$W102))</f>
        <v>46.59973385707017</v>
      </c>
      <c r="BW102" s="645">
        <f>$R102/(1+($V102*(('Traffic Data'!AH21*(0.67/14))/(($I102)*$S102))^$W102))</f>
        <v>46.59969859488514</v>
      </c>
    </row>
    <row r="103" spans="1:75" ht="21.95" customHeight="1" x14ac:dyDescent="0.2">
      <c r="A103" s="642"/>
      <c r="C103" s="1339"/>
      <c r="D103" s="116" t="s">
        <v>344</v>
      </c>
      <c r="E103" s="116" t="s">
        <v>345</v>
      </c>
      <c r="F103" s="575">
        <f>'Traffic Data'!CM18</f>
        <v>0.78125</v>
      </c>
      <c r="G103" s="575">
        <f>'Traffic Data'!CN18</f>
        <v>0.9</v>
      </c>
      <c r="H103" s="146">
        <f>'Traffic Data'!G22</f>
        <v>55</v>
      </c>
      <c r="I103" s="146">
        <v>4</v>
      </c>
      <c r="J103" s="146">
        <f t="shared" si="6"/>
        <v>62</v>
      </c>
      <c r="K103" s="146">
        <v>0</v>
      </c>
      <c r="L103" s="146">
        <v>5</v>
      </c>
      <c r="M103" s="146">
        <v>0</v>
      </c>
      <c r="N103" s="146">
        <v>0.4</v>
      </c>
      <c r="O103" s="146">
        <v>0</v>
      </c>
      <c r="P103" s="146">
        <v>0</v>
      </c>
      <c r="Q103" s="146">
        <v>0</v>
      </c>
      <c r="R103" s="174">
        <f t="shared" si="4"/>
        <v>56.6</v>
      </c>
      <c r="S103" s="576">
        <f>M22*F103*G103</f>
        <v>1476.5625</v>
      </c>
      <c r="T103" s="577">
        <v>0.12</v>
      </c>
      <c r="U103" s="578">
        <v>0.65</v>
      </c>
      <c r="V103" s="579">
        <f t="shared" si="7"/>
        <v>0.05</v>
      </c>
      <c r="W103" s="228">
        <v>10</v>
      </c>
      <c r="X103" s="400">
        <f>$R103/(1+($V103*(('Traffic Data'!J22*$T103*$U103)/(($I103/2)*$S103))^$W103))</f>
        <v>56.534061146242856</v>
      </c>
      <c r="Y103" s="401">
        <f>$R103/(1+($V103*(('Traffic Data'!K22*$T103*$U103)/(($I103/2)*$S103))^$W103))</f>
        <v>56.518300097903555</v>
      </c>
      <c r="Z103" s="401">
        <f>$R103/(1+($V103*(('Traffic Data'!L22*$T103*$U103)/(($I103/2)*$S103))^$W103))</f>
        <v>56.469221089591443</v>
      </c>
      <c r="AA103" s="401">
        <f>$R103/(1+($V103*(('Traffic Data'!M22*$T103*$U103)/(($I103/2)*$S103))^$W103))</f>
        <v>56.386288993469485</v>
      </c>
      <c r="AB103" s="401">
        <f>$R103/(1+($V103*(('Traffic Data'!N22*$T103*$U103)/(($I103/2)*$S103))^$W103))</f>
        <v>56.258910070104939</v>
      </c>
      <c r="AC103" s="401">
        <f>$R103/(1+($V103*(('Traffic Data'!O22*$T103*$U103)/(($I103/2)*$S103))^$W103))</f>
        <v>56.067740736935704</v>
      </c>
      <c r="AD103" s="401">
        <f>$R103/(1+($V103*(('Traffic Data'!P22*$T103*$U103)/(($I103/2)*$S103))^$W103))</f>
        <v>55.786580925480465</v>
      </c>
      <c r="AE103" s="401">
        <f>$R103/(1+($V103*(('Traffic Data'!Q22*$T103*$U103)/(($I103/2)*$S103))^$W103))</f>
        <v>55.381080877340231</v>
      </c>
      <c r="AF103" s="401">
        <f>$R103/(1+($V103*(('Traffic Data'!R22*$T103*$U103)/(($I103/2)*$S103))^$W103))</f>
        <v>55.089065167009437</v>
      </c>
      <c r="AG103" s="401">
        <f>$R103/(1+($V103*(('Traffic Data'!S22*$T103*$U103)/(($I103/2)*$S103))^$W103))</f>
        <v>54.738499674941899</v>
      </c>
      <c r="AH103" s="401">
        <f>$R103/(1+($V103*(('Traffic Data'!T22*$T103*$U103)/(($I103/2)*$S103))^$W103))</f>
        <v>54.319316025911306</v>
      </c>
      <c r="AI103" s="401">
        <f>$R103/(1+($V103*(('Traffic Data'!U22*$T103*$U103)/(($I103/2)*$S103))^$W103))</f>
        <v>53.822760692967613</v>
      </c>
      <c r="AJ103" s="401">
        <f>$R103/(1+($V103*(('Traffic Data'!V22*$T103*$U103)/(($I103/2)*$S103))^$W103))</f>
        <v>53.237190031533011</v>
      </c>
      <c r="AK103" s="401">
        <f>$R103/(1+($V103*(('Traffic Data'!W22*$T103*$U103)/(($I103/2)*$S103))^$W103))</f>
        <v>52.6709091221636</v>
      </c>
      <c r="AL103" s="401">
        <f>$R103/(1+($V103*(('Traffic Data'!X22*$T103*$U103)/(($I103/2)*$S103))^$W103))</f>
        <v>52.118426651994042</v>
      </c>
      <c r="AM103" s="401">
        <f>$R103/(1+($V103*(('Traffic Data'!Y22*$T103*$U103)/(($I103/2)*$S103))^$W103))</f>
        <v>51.503882088250144</v>
      </c>
      <c r="AN103" s="401">
        <f>$R103/(1+($V103*(('Traffic Data'!Z22*$T103*$U103)/(($I103/2)*$S103))^$W103))</f>
        <v>50.82576800465052</v>
      </c>
      <c r="AO103" s="401">
        <f>$R103/(1+($V103*(('Traffic Data'!AA22*$T103*$U103)/(($I103/2)*$S103))^$W103))</f>
        <v>50.079736441704831</v>
      </c>
      <c r="AP103" s="401">
        <f>$R103/(1+($V103*(('Traffic Data'!AB22*$T103*$U103)/(($I103/2)*$S103))^$W103))</f>
        <v>49.262965466593414</v>
      </c>
      <c r="AQ103" s="401">
        <f>$R103/(1+($V103*(('Traffic Data'!AC22*$T103*$U103)/(($I103/2)*$S103))^$W103))</f>
        <v>48.3732653096584</v>
      </c>
      <c r="AR103" s="401">
        <f>$R103/(1+($V103*(('Traffic Data'!AD22*$T103*$U103)/(($I103/2)*$S103))^$W103))</f>
        <v>47.409218677915874</v>
      </c>
      <c r="AS103" s="401">
        <f>$R103/(1+($V103*(('Traffic Data'!AE22*$T103*$U103)/(($I103/2)*$S103))^$W103))</f>
        <v>46.370316063496396</v>
      </c>
      <c r="AT103" s="401">
        <f>$R103/(1+($V103*(('Traffic Data'!AF22*$T103*$U103)/(($I103/2)*$S103))^$W103))</f>
        <v>45.257078323159377</v>
      </c>
      <c r="AU103" s="401">
        <f>$R103/(1+($V103*(('Traffic Data'!AG22*$T103*$U103)/(($I103/2)*$S103))^$W103))</f>
        <v>44.068992396764294</v>
      </c>
      <c r="AV103" s="401">
        <f>$R103/(1+($V103*(('Traffic Data'!AH22*$T103*$U103)/(($I103/2)*$S103))^$W103))</f>
        <v>42.813125560104417</v>
      </c>
      <c r="AW103" s="372">
        <f>$R103/(1+($V103*(('Traffic Data'!AI22*$T103*$U103)/(($I103/2)*$S103))^$W103))</f>
        <v>41.491535440910617</v>
      </c>
      <c r="AX103" s="401">
        <f>$R103/(1+($V103*(('Traffic Data'!J22*(0.67/14))/(($I103)*$S103))^$W103))</f>
        <v>56.59999951261819</v>
      </c>
      <c r="AY103" s="401">
        <f>$R103/(1+($V103*(('Traffic Data'!J22*(0.67/14))/(($I103)*$S103))^$W103))</f>
        <v>56.59999951261819</v>
      </c>
      <c r="AZ103" s="401">
        <f>$R103/(1+($V103*(('Traffic Data'!K22*(0.67/14))/(($I103)*$S103))^$W103))</f>
        <v>56.599999395953247</v>
      </c>
      <c r="BA103" s="401">
        <f>$R103/(1+($V103*(('Traffic Data'!L22*(0.67/14))/(($I103)*$S103))^$W103))</f>
        <v>56.599999032248107</v>
      </c>
      <c r="BB103" s="401">
        <f>$R103/(1+($V103*(('Traffic Data'!M22*(0.67/14))/(($I103)*$S103))^$W103))</f>
        <v>56.599998416232303</v>
      </c>
      <c r="BC103" s="401">
        <f>$R103/(1+($V103*(('Traffic Data'!N22*(0.67/14))/(($I103)*$S103))^$W103))</f>
        <v>56.599997466530489</v>
      </c>
      <c r="BD103" s="401">
        <f>$R103/(1+($V103*(('Traffic Data'!O22*(0.67/14))/(($I103)*$S103))^$W103))</f>
        <v>56.599996033127347</v>
      </c>
      <c r="BE103" s="401">
        <f>$R103/(1+($V103*(('Traffic Data'!P22*(0.67/14))/(($I103)*$S103))^$W103))</f>
        <v>56.599993907119256</v>
      </c>
      <c r="BF103" s="401">
        <f>$R103/(1+($V103*(('Traffic Data'!Q22*(0.67/14))/(($I103)*$S103))^$W103))</f>
        <v>56.59999080288727</v>
      </c>
      <c r="BG103" s="401">
        <f>$R103/(1+($V103*(('Traffic Data'!R22*(0.67/14))/(($I103)*$S103))^$W103))</f>
        <v>56.59998853910956</v>
      </c>
      <c r="BH103" s="401">
        <f>$R103/(1+($V103*(('Traffic Data'!S22*(0.67/14))/(($I103)*$S103))^$W103))</f>
        <v>56.59998578953676</v>
      </c>
      <c r="BI103" s="401">
        <f>$R103/(1+($V103*(('Traffic Data'!T22*(0.67/14))/(($I103)*$S103))^$W103))</f>
        <v>56.599982455184673</v>
      </c>
      <c r="BJ103" s="401">
        <f>$R103/(1+($V103*(('Traffic Data'!U22*(0.67/14))/(($I103)*$S103))^$W103))</f>
        <v>56.599978438186476</v>
      </c>
      <c r="BK103" s="401">
        <f>$R103/(1+($V103*(('Traffic Data'!V22*(0.67/14))/(($I103)*$S103))^$W103))</f>
        <v>56.599973604790279</v>
      </c>
      <c r="BL103" s="401">
        <f>$R103/(1+($V103*(('Traffic Data'!W22*(0.67/14))/(($I103)*$S103))^$W103))</f>
        <v>56.599968828396889</v>
      </c>
      <c r="BM103" s="401">
        <f>$R103/(1+($V103*(('Traffic Data'!X22*(0.67/14))/(($I103)*$S103))^$W103))</f>
        <v>56.599964068358815</v>
      </c>
      <c r="BN103" s="401">
        <f>$R103/(1+($V103*(('Traffic Data'!Y22*(0.67/14))/(($I103)*$S103))^$W103))</f>
        <v>56.599958653637927</v>
      </c>
      <c r="BO103" s="401">
        <f>$R103/(1+($V103*(('Traffic Data'!Z22*(0.67/14))/(($I103)*$S103))^$W103))</f>
        <v>56.599952526851844</v>
      </c>
      <c r="BP103" s="401">
        <f>$R103/(1+($V103*(('Traffic Data'!AA22*(0.67/14))/(($I103)*$S103))^$W103))</f>
        <v>56.599945594749201</v>
      </c>
      <c r="BQ103" s="401">
        <f>$R103/(1+($V103*(('Traffic Data'!AB22*(0.67/14))/(($I103)*$S103))^$W103))</f>
        <v>56.599937764576076</v>
      </c>
      <c r="BR103" s="401">
        <f>$R103/(1+($V103*(('Traffic Data'!AC22*(0.67/14))/(($I103)*$S103))^$W103))</f>
        <v>56.599928934361898</v>
      </c>
      <c r="BS103" s="401">
        <f>$R103/(1+($V103*(('Traffic Data'!AD22*(0.67/14))/(($I103)*$S103))^$W103))</f>
        <v>56.599918992145277</v>
      </c>
      <c r="BT103" s="401">
        <f>$R103/(1+($V103*(('Traffic Data'!AE22*(0.67/14))/(($I103)*$S103))^$W103))</f>
        <v>56.599907815146452</v>
      </c>
      <c r="BU103" s="401">
        <f>$R103/(1+($V103*(('Traffic Data'!AF22*(0.67/14))/(($I103)*$S103))^$W103))</f>
        <v>56.59989526888338</v>
      </c>
      <c r="BV103" s="401">
        <f>$R103/(1+($V103*(('Traffic Data'!AG22*(0.67/14))/(($I103)*$S103))^$W103))</f>
        <v>56.599881179854783</v>
      </c>
      <c r="BW103" s="645">
        <f>$R103/(1+($V103*(('Traffic Data'!AH22*(0.67/14))/(($I103)*$S103))^$W103))</f>
        <v>56.599865436903848</v>
      </c>
    </row>
    <row r="104" spans="1:75" ht="21.95" customHeight="1" x14ac:dyDescent="0.2">
      <c r="A104" s="642"/>
      <c r="C104" s="1339"/>
      <c r="D104" s="116" t="s">
        <v>345</v>
      </c>
      <c r="E104" s="116" t="s">
        <v>323</v>
      </c>
      <c r="F104" s="575">
        <f>'Traffic Data'!CM18</f>
        <v>0.78125</v>
      </c>
      <c r="G104" s="575">
        <f>'Traffic Data'!CN18</f>
        <v>0.9</v>
      </c>
      <c r="H104" s="146">
        <f>'Traffic Data'!G23</f>
        <v>65</v>
      </c>
      <c r="I104" s="146">
        <v>4</v>
      </c>
      <c r="J104" s="146">
        <f t="shared" si="6"/>
        <v>72</v>
      </c>
      <c r="K104" s="146">
        <v>0</v>
      </c>
      <c r="L104" s="146">
        <v>2.5</v>
      </c>
      <c r="M104" s="146">
        <v>0</v>
      </c>
      <c r="N104" s="146">
        <v>0.4</v>
      </c>
      <c r="O104" s="146">
        <v>0</v>
      </c>
      <c r="P104" s="146">
        <v>0</v>
      </c>
      <c r="Q104" s="146">
        <v>0</v>
      </c>
      <c r="R104" s="174">
        <f t="shared" si="4"/>
        <v>69.099999999999994</v>
      </c>
      <c r="S104" s="576">
        <f>M19*F104*G104</f>
        <v>1617.1875</v>
      </c>
      <c r="T104" s="577">
        <v>0.12</v>
      </c>
      <c r="U104" s="578">
        <v>0.65</v>
      </c>
      <c r="V104" s="579">
        <f t="shared" si="7"/>
        <v>0.05</v>
      </c>
      <c r="W104" s="228">
        <v>10</v>
      </c>
      <c r="X104" s="400">
        <f>$R104/(1+($V104*(('Traffic Data'!J23*$T104*$U104)/(($I104/2)*$S104))^$W104))</f>
        <v>69.031979009162399</v>
      </c>
      <c r="Y104" s="401">
        <f>$R104/(1+($V104*(('Traffic Data'!K23*$T104*$U104)/(($I104/2)*$S104))^$W104))</f>
        <v>69.015713239344805</v>
      </c>
      <c r="Z104" s="401">
        <f>$R104/(1+($V104*(('Traffic Data'!L23*$T104*$U104)/(($I104/2)*$S104))^$W104))</f>
        <v>68.965072010257558</v>
      </c>
      <c r="AA104" s="401">
        <f>$R104/(1+($V104*(('Traffic Data'!M23*$T104*$U104)/(($I104/2)*$S104))^$W104))</f>
        <v>68.879444602581003</v>
      </c>
      <c r="AB104" s="401">
        <f>$R104/(1+($V104*(('Traffic Data'!N23*$T104*$U104)/(($I104/2)*$S104))^$W104))</f>
        <v>68.747882829990417</v>
      </c>
      <c r="AC104" s="401">
        <f>$R104/(1+($V104*(('Traffic Data'!O23*$T104*$U104)/(($I104/2)*$S104))^$W104))</f>
        <v>68.550181456879258</v>
      </c>
      <c r="AD104" s="401">
        <f>$R104/(1+($V104*(('Traffic Data'!P23*$T104*$U104)/(($I104/2)*$S104))^$W104))</f>
        <v>68.259055238069465</v>
      </c>
      <c r="AE104" s="401">
        <f>$R104/(1+($V104*(('Traffic Data'!Q23*$T104*$U104)/(($I104/2)*$S104))^$W104))</f>
        <v>67.838445792067418</v>
      </c>
      <c r="AF104" s="401">
        <f>$R104/(1+($V104*(('Traffic Data'!R23*$T104*$U104)/(($I104/2)*$S104))^$W104))</f>
        <v>67.535239641262635</v>
      </c>
      <c r="AG104" s="401">
        <f>$R104/(1+($V104*(('Traffic Data'!S23*$T104*$U104)/(($I104/2)*$S104))^$W104))</f>
        <v>67.170136412842695</v>
      </c>
      <c r="AH104" s="401">
        <f>$R104/(1+($V104*(('Traffic Data'!T23*$T104*$U104)/(($I104/2)*$S104))^$W104))</f>
        <v>66.733221414433885</v>
      </c>
      <c r="AI104" s="401">
        <f>$R104/(1+($V104*(('Traffic Data'!U23*$T104*$U104)/(($I104/2)*$S104))^$W104))</f>
        <v>66.213697199685413</v>
      </c>
      <c r="AJ104" s="401">
        <f>$R104/(1+($V104*(('Traffic Data'!V23*$T104*$U104)/(($I104/2)*$S104))^$W104))</f>
        <v>65.599776677766329</v>
      </c>
      <c r="AK104" s="401">
        <f>$R104/(1+($V104*(('Traffic Data'!W23*$T104*$U104)/(($I104/2)*$S104))^$W104))</f>
        <v>65.003107351136819</v>
      </c>
      <c r="AL104" s="401">
        <f>$R104/(1+($V104*(('Traffic Data'!X23*$T104*$U104)/(($I104/2)*$S104))^$W104))</f>
        <v>64.419754918057706</v>
      </c>
      <c r="AM104" s="401">
        <f>$R104/(1+($V104*(('Traffic Data'!Y23*$T104*$U104)/(($I104/2)*$S104))^$W104))</f>
        <v>63.769969606582123</v>
      </c>
      <c r="AN104" s="401">
        <f>$R104/(1+($V104*(('Traffic Data'!Z23*$T104*$U104)/(($I104/2)*$S104))^$W104))</f>
        <v>63.049161774371164</v>
      </c>
      <c r="AO104" s="401">
        <f>$R104/(1+($V104*(('Traffic Data'!AA23*$T104*$U104)/(($I104/2)*$S104))^$W104))</f>
        <v>62.252921768864184</v>
      </c>
      <c r="AP104" s="401">
        <f>$R104/(1+($V104*(('Traffic Data'!AB23*$T104*$U104)/(($I104/2)*$S104))^$W104))</f>
        <v>61.377421072938354</v>
      </c>
      <c r="AQ104" s="401">
        <f>$R104/(1+($V104*(('Traffic Data'!AC23*$T104*$U104)/(($I104/2)*$S104))^$W104))</f>
        <v>60.419082854488032</v>
      </c>
      <c r="AR104" s="401">
        <f>$R104/(1+($V104*(('Traffic Data'!AD23*$T104*$U104)/(($I104/2)*$S104))^$W104))</f>
        <v>59.37531417028336</v>
      </c>
      <c r="AS104" s="401">
        <f>$R104/(1+($V104*(('Traffic Data'!AE23*$T104*$U104)/(($I104/2)*$S104))^$W104))</f>
        <v>58.244128563288953</v>
      </c>
      <c r="AT104" s="401">
        <f>$R104/(1+($V104*(('Traffic Data'!AF23*$T104*$U104)/(($I104/2)*$S104))^$W104))</f>
        <v>57.024504828424796</v>
      </c>
      <c r="AU104" s="401">
        <f>$R104/(1+($V104*(('Traffic Data'!AG23*$T104*$U104)/(($I104/2)*$S104))^$W104))</f>
        <v>55.716863315808716</v>
      </c>
      <c r="AV104" s="401">
        <f>$R104/(1+($V104*(('Traffic Data'!AH23*$T104*$U104)/(($I104/2)*$S104))^$W104))</f>
        <v>54.322586077380159</v>
      </c>
      <c r="AW104" s="372">
        <f>$R104/(1+($V104*(('Traffic Data'!AI23*$T104*$U104)/(($I104/2)*$S104))^$W104))</f>
        <v>52.844378683835174</v>
      </c>
      <c r="AX104" s="401">
        <f>$R104/(1+($V104*(('Traffic Data'!J23*(0.67/14))/(($I104)*$S104))^$W104))</f>
        <v>69.099999497319118</v>
      </c>
      <c r="AY104" s="401">
        <f>$R104/(1+($V104*(('Traffic Data'!J23*(0.67/14))/(($I104)*$S104))^$W104))</f>
        <v>69.099999497319118</v>
      </c>
      <c r="AZ104" s="401">
        <f>$R104/(1+($V104*(('Traffic Data'!K23*(0.67/14))/(($I104)*$S104))^$W104))</f>
        <v>69.099999376966906</v>
      </c>
      <c r="BA104" s="401">
        <f>$R104/(1+($V104*(('Traffic Data'!L23*(0.67/14))/(($I104)*$S104))^$W104))</f>
        <v>69.09999900190337</v>
      </c>
      <c r="BB104" s="401">
        <f>$R104/(1+($V104*(('Traffic Data'!M23*(0.67/14))/(($I104)*$S104))^$W104))</f>
        <v>69.099998366467503</v>
      </c>
      <c r="BC104" s="401">
        <f>$R104/(1+($V104*(('Traffic Data'!N23*(0.67/14))/(($I104)*$S104))^$W104))</f>
        <v>69.099997387071099</v>
      </c>
      <c r="BD104" s="401">
        <f>$R104/(1+($V104*(('Traffic Data'!O23*(0.67/14))/(($I104)*$S104))^$W104))</f>
        <v>69.099995908236892</v>
      </c>
      <c r="BE104" s="401">
        <f>$R104/(1+($V104*(('Traffic Data'!P23*(0.67/14))/(($I104)*$S104))^$W104))</f>
        <v>69.099993714976705</v>
      </c>
      <c r="BF104" s="401">
        <f>$R104/(1+($V104*(('Traffic Data'!Q23*(0.67/14))/(($I104)*$S104))^$W104))</f>
        <v>69.099990512982501</v>
      </c>
      <c r="BG104" s="401">
        <f>$R104/(1+($V104*(('Traffic Data'!R23*(0.67/14))/(($I104)*$S104))^$W104))</f>
        <v>69.099988180011607</v>
      </c>
      <c r="BH104" s="401">
        <f>$R104/(1+($V104*(('Traffic Data'!S23*(0.67/14))/(($I104)*$S104))^$W104))</f>
        <v>69.099985342833421</v>
      </c>
      <c r="BI104" s="401">
        <f>$R104/(1+($V104*(('Traffic Data'!T23*(0.67/14))/(($I104)*$S104))^$W104))</f>
        <v>69.099981906809262</v>
      </c>
      <c r="BJ104" s="401">
        <f>$R104/(1+($V104*(('Traffic Data'!U23*(0.67/14))/(($I104)*$S104))^$W104))</f>
        <v>69.099977762106462</v>
      </c>
      <c r="BK104" s="401">
        <f>$R104/(1+($V104*(('Traffic Data'!V23*(0.67/14))/(($I104)*$S104))^$W104))</f>
        <v>69.099972779696927</v>
      </c>
      <c r="BL104" s="401">
        <f>$R104/(1+($V104*(('Traffic Data'!W23*(0.67/14))/(($I104)*$S104))^$W104))</f>
        <v>69.099967847111202</v>
      </c>
      <c r="BM104" s="401">
        <f>$R104/(1+($V104*(('Traffic Data'!X23*(0.67/14))/(($I104)*$S104))^$W104))</f>
        <v>69.099962936278104</v>
      </c>
      <c r="BN104" s="401">
        <f>$R104/(1+($V104*(('Traffic Data'!Y23*(0.67/14))/(($I104)*$S104))^$W104))</f>
        <v>69.099957360417704</v>
      </c>
      <c r="BO104" s="401">
        <f>$R104/(1+($V104*(('Traffic Data'!Z23*(0.67/14))/(($I104)*$S104))^$W104))</f>
        <v>69.099951040649117</v>
      </c>
      <c r="BP104" s="401">
        <f>$R104/(1+($V104*(('Traffic Data'!AA23*(0.67/14))/(($I104)*$S104))^$W104))</f>
        <v>69.099943889397508</v>
      </c>
      <c r="BQ104" s="401">
        <f>$R104/(1+($V104*(('Traffic Data'!AB23*(0.67/14))/(($I104)*$S104))^$W104))</f>
        <v>69.09993581211738</v>
      </c>
      <c r="BR104" s="401">
        <f>$R104/(1+($V104*(('Traffic Data'!AC23*(0.67/14))/(($I104)*$S104))^$W104))</f>
        <v>69.099926702231002</v>
      </c>
      <c r="BS104" s="401">
        <f>$R104/(1+($V104*(('Traffic Data'!AD23*(0.67/14))/(($I104)*$S104))^$W104))</f>
        <v>69.099916445687896</v>
      </c>
      <c r="BT104" s="401">
        <f>$R104/(1+($V104*(('Traffic Data'!AE23*(0.67/14))/(($I104)*$S104))^$W104))</f>
        <v>69.099904915073296</v>
      </c>
      <c r="BU104" s="401">
        <f>$R104/(1+($V104*(('Traffic Data'!AF23*(0.67/14))/(($I104)*$S104))^$W104))</f>
        <v>69.099891970471404</v>
      </c>
      <c r="BV104" s="401">
        <f>$R104/(1+($V104*(('Traffic Data'!AG23*(0.67/14))/(($I104)*$S104))^$W104))</f>
        <v>69.099877462160634</v>
      </c>
      <c r="BW104" s="645">
        <f>$R104/(1+($V104*(('Traffic Data'!AH23*(0.67/14))/(($I104)*$S104))^$W104))</f>
        <v>69.099861223201813</v>
      </c>
    </row>
    <row r="105" spans="1:75" ht="21.95" customHeight="1" x14ac:dyDescent="0.2">
      <c r="A105" s="642"/>
      <c r="C105" s="1339"/>
      <c r="D105" s="116" t="s">
        <v>323</v>
      </c>
      <c r="E105" s="116" t="s">
        <v>347</v>
      </c>
      <c r="F105" s="575">
        <f>'Traffic Data'!CM18</f>
        <v>0.78125</v>
      </c>
      <c r="G105" s="575">
        <f>'Traffic Data'!CN18</f>
        <v>0.9</v>
      </c>
      <c r="H105" s="146">
        <f>'Traffic Data'!G24</f>
        <v>65</v>
      </c>
      <c r="I105" s="146">
        <v>4</v>
      </c>
      <c r="J105" s="146">
        <f t="shared" si="6"/>
        <v>72</v>
      </c>
      <c r="K105" s="146">
        <v>0</v>
      </c>
      <c r="L105" s="146">
        <v>2.5</v>
      </c>
      <c r="M105" s="146">
        <v>0</v>
      </c>
      <c r="N105" s="146">
        <v>0.4</v>
      </c>
      <c r="O105" s="146">
        <v>0</v>
      </c>
      <c r="P105" s="146">
        <v>0</v>
      </c>
      <c r="Q105" s="146">
        <v>0</v>
      </c>
      <c r="R105" s="174">
        <f t="shared" si="4"/>
        <v>69.099999999999994</v>
      </c>
      <c r="S105" s="576">
        <f>M20*F105*G105</f>
        <v>1617.1875</v>
      </c>
      <c r="T105" s="577">
        <v>0.12</v>
      </c>
      <c r="U105" s="578">
        <v>0.65</v>
      </c>
      <c r="V105" s="579">
        <f t="shared" si="7"/>
        <v>0.05</v>
      </c>
      <c r="W105" s="228">
        <v>10</v>
      </c>
      <c r="X105" s="400">
        <f>$R105/(1+($V105*(('Traffic Data'!J24*$T105*$U105)/(($I105/2)*$S105))^$W105))</f>
        <v>69.031979009162399</v>
      </c>
      <c r="Y105" s="401">
        <f>$R105/(1+($V105*(('Traffic Data'!K24*$T105*$U105)/(($I105/2)*$S105))^$W105))</f>
        <v>69.015713239344805</v>
      </c>
      <c r="Z105" s="401">
        <f>$R105/(1+($V105*(('Traffic Data'!L24*$T105*$U105)/(($I105/2)*$S105))^$W105))</f>
        <v>68.984973636842369</v>
      </c>
      <c r="AA105" s="401">
        <f>$R105/(1+($V105*(('Traffic Data'!M24*$T105*$U105)/(($I105/2)*$S105))^$W105))</f>
        <v>68.937546322185739</v>
      </c>
      <c r="AB105" s="401">
        <f>$R105/(1+($V105*(('Traffic Data'!N24*$T105*$U105)/(($I105/2)*$S105))^$W105))</f>
        <v>68.873236674994416</v>
      </c>
      <c r="AC105" s="401">
        <f>$R105/(1+($V105*(('Traffic Data'!O24*$T105*$U105)/(($I105/2)*$S105))^$W105))</f>
        <v>68.786986624987705</v>
      </c>
      <c r="AD105" s="401">
        <f>$R105/(1+($V105*(('Traffic Data'!P24*$T105*$U105)/(($I105/2)*$S105))^$W105))</f>
        <v>68.6724936981756</v>
      </c>
      <c r="AE105" s="401">
        <f>$R105/(1+($V105*(('Traffic Data'!Q24*$T105*$U105)/(($I105/2)*$S105))^$W105))</f>
        <v>68.521887457599803</v>
      </c>
      <c r="AF105" s="401">
        <f>$R105/(1+($V105*(('Traffic Data'!R24*$T105*$U105)/(($I105/2)*$S105))^$W105))</f>
        <v>68.368378896356035</v>
      </c>
      <c r="AG105" s="401">
        <f>$R105/(1+($V105*(('Traffic Data'!S24*$T105*$U105)/(($I105/2)*$S105))^$W105))</f>
        <v>68.179685821558508</v>
      </c>
      <c r="AH105" s="401">
        <f>$R105/(1+($V105*(('Traffic Data'!T24*$T105*$U105)/(($I105/2)*$S105))^$W105))</f>
        <v>67.949129816195807</v>
      </c>
      <c r="AI105" s="401">
        <f>$R105/(1+($V105*(('Traffic Data'!U24*$T105*$U105)/(($I105/2)*$S105))^$W105))</f>
        <v>67.669107687936503</v>
      </c>
      <c r="AJ105" s="401">
        <f>$R105/(1+($V105*(('Traffic Data'!V24*$T105*$U105)/(($I105/2)*$S105))^$W105))</f>
        <v>67.33092452366904</v>
      </c>
      <c r="AK105" s="401">
        <f>$R105/(1+($V105*(('Traffic Data'!W24*$T105*$U105)/(($I105/2)*$S105))^$W105))</f>
        <v>66.995415308476183</v>
      </c>
      <c r="AL105" s="401">
        <f>$R105/(1+($V105*(('Traffic Data'!X24*$T105*$U105)/(($I105/2)*$S105))^$W105))</f>
        <v>66.661389811476312</v>
      </c>
      <c r="AM105" s="401">
        <f>$R105/(1+($V105*(('Traffic Data'!Y24*$T105*$U105)/(($I105/2)*$S105))^$W105))</f>
        <v>66.282765720146159</v>
      </c>
      <c r="AN105" s="401">
        <f>$R105/(1+($V105*(('Traffic Data'!Z24*$T105*$U105)/(($I105/2)*$S105))^$W105))</f>
        <v>65.855087721135263</v>
      </c>
      <c r="AO105" s="401">
        <f>$R105/(1+($V105*(('Traffic Data'!AA24*$T105*$U105)/(($I105/2)*$S105))^$W105))</f>
        <v>65.373697164363847</v>
      </c>
      <c r="AP105" s="401">
        <f>$R105/(1+($V105*(('Traffic Data'!AB24*$T105*$U105)/(($I105/2)*$S105))^$W105))</f>
        <v>64.83395244686406</v>
      </c>
      <c r="AQ105" s="401">
        <f>$R105/(1+($V105*(('Traffic Data'!AC24*$T105*$U105)/(($I105/2)*$S105))^$W105))</f>
        <v>64.231012577087114</v>
      </c>
      <c r="AR105" s="401">
        <f>$R105/(1+($V105*(('Traffic Data'!AD24*$T105*$U105)/(($I105/2)*$S105))^$W105))</f>
        <v>63.560283848454574</v>
      </c>
      <c r="AS105" s="401">
        <f>$R105/(1+($V105*(('Traffic Data'!AE24*$T105*$U105)/(($I105/2)*$S105))^$W105))</f>
        <v>62.817191551452567</v>
      </c>
      <c r="AT105" s="401">
        <f>$R105/(1+($V105*(('Traffic Data'!AF24*$T105*$U105)/(($I105/2)*$S105))^$W105))</f>
        <v>61.997424489915431</v>
      </c>
      <c r="AU105" s="401">
        <f>$R105/(1+($V105*(('Traffic Data'!AG24*$T105*$U105)/(($I105/2)*$S105))^$W105))</f>
        <v>61.097301182119963</v>
      </c>
      <c r="AV105" s="401">
        <f>$R105/(1+($V105*(('Traffic Data'!AH24*$T105*$U105)/(($I105/2)*$S105))^$W105))</f>
        <v>60.113514269711082</v>
      </c>
      <c r="AW105" s="372">
        <f>$R105/(1+($V105*(('Traffic Data'!AI24*$T105*$U105)/(($I105/2)*$S105))^$W105))</f>
        <v>59.043458092439145</v>
      </c>
      <c r="AX105" s="401">
        <f>$R105/(1+($V105*(('Traffic Data'!J24*(0.67/14))/(($I105)*$S105))^$W105))</f>
        <v>69.099999497319118</v>
      </c>
      <c r="AY105" s="401">
        <f>$R105/(1+($V105*(('Traffic Data'!J24*(0.67/14))/(($I105)*$S105))^$W105))</f>
        <v>69.099999497319118</v>
      </c>
      <c r="AZ105" s="401">
        <f>$R105/(1+($V105*(('Traffic Data'!K24*(0.67/14))/(($I105)*$S105))^$W105))</f>
        <v>69.099999376966906</v>
      </c>
      <c r="BA105" s="401">
        <f>$R105/(1+($V105*(('Traffic Data'!L24*(0.67/14))/(($I105)*$S105))^$W105))</f>
        <v>69.099999149366226</v>
      </c>
      <c r="BB105" s="401">
        <f>$R105/(1+($V105*(('Traffic Data'!M24*(0.67/14))/(($I105)*$S105))^$W105))</f>
        <v>69.09999879780905</v>
      </c>
      <c r="BC105" s="401">
        <f>$R105/(1+($V105*(('Traffic Data'!N24*(0.67/14))/(($I105)*$S105))^$W105))</f>
        <v>69.099998320337406</v>
      </c>
      <c r="BD105" s="401">
        <f>$R105/(1+($V105*(('Traffic Data'!O24*(0.67/14))/(($I105)*$S105))^$W105))</f>
        <v>69.099997678566041</v>
      </c>
      <c r="BE105" s="401">
        <f>$R105/(1+($V105*(('Traffic Data'!P24*(0.67/14))/(($I105)*$S105))^$W105))</f>
        <v>69.099996824154118</v>
      </c>
      <c r="BF105" s="401">
        <f>$R105/(1+($V105*(('Traffic Data'!Q24*(0.67/14))/(($I105)*$S105))^$W105))</f>
        <v>69.099995695895743</v>
      </c>
      <c r="BG105" s="401">
        <f>$R105/(1+($V105*(('Traffic Data'!R24*(0.67/14))/(($I105)*$S105))^$W105))</f>
        <v>69.09999454077942</v>
      </c>
      <c r="BH105" s="401">
        <f>$R105/(1+($V105*(('Traffic Data'!S24*(0.67/14))/(($I105)*$S105))^$W105))</f>
        <v>69.099993113781352</v>
      </c>
      <c r="BI105" s="401">
        <f>$R105/(1+($V105*(('Traffic Data'!T24*(0.67/14))/(($I105)*$S105))^$W105))</f>
        <v>69.09999135943545</v>
      </c>
      <c r="BJ105" s="401">
        <f>$R105/(1+($V105*(('Traffic Data'!U24*(0.67/14))/(($I105)*$S105))^$W105))</f>
        <v>69.099989212615299</v>
      </c>
      <c r="BK105" s="401">
        <f>$R105/(1+($V105*(('Traffic Data'!V24*(0.67/14))/(($I105)*$S105))^$W105))</f>
        <v>69.099986596092123</v>
      </c>
      <c r="BL105" s="401">
        <f>$R105/(1+($V105*(('Traffic Data'!W24*(0.67/14))/(($I105)*$S105))^$W105))</f>
        <v>69.099983974154298</v>
      </c>
      <c r="BM105" s="401">
        <f>$R105/(1+($V105*(('Traffic Data'!X24*(0.67/14))/(($I105)*$S105))^$W105))</f>
        <v>69.099981337593846</v>
      </c>
      <c r="BN105" s="401">
        <f>$R105/(1+($V105*(('Traffic Data'!Y24*(0.67/14))/(($I105)*$S105))^$W105))</f>
        <v>69.099978316871642</v>
      </c>
      <c r="BO105" s="401">
        <f>$R105/(1+($V105*(('Traffic Data'!Z24*(0.67/14))/(($I105)*$S105))^$W105))</f>
        <v>69.099974863013941</v>
      </c>
      <c r="BP105" s="401">
        <f>$R105/(1+($V105*(('Traffic Data'!AA24*(0.67/14))/(($I105)*$S105))^$W105))</f>
        <v>69.099970921322466</v>
      </c>
      <c r="BQ105" s="401">
        <f>$R105/(1+($V105*(('Traffic Data'!AB24*(0.67/14))/(($I105)*$S105))^$W105))</f>
        <v>69.099966432212497</v>
      </c>
      <c r="BR105" s="401">
        <f>$R105/(1+($V105*(('Traffic Data'!AC24*(0.67/14))/(($I105)*$S105))^$W105))</f>
        <v>69.099961328290092</v>
      </c>
      <c r="BS105" s="401">
        <f>$R105/(1+($V105*(('Traffic Data'!AD24*(0.67/14))/(($I105)*$S105))^$W105))</f>
        <v>69.09995553675661</v>
      </c>
      <c r="BT105" s="401">
        <f>$R105/(1+($V105*(('Traffic Data'!AE24*(0.67/14))/(($I105)*$S105))^$W105))</f>
        <v>69.099948975974783</v>
      </c>
      <c r="BU105" s="401">
        <f>$R105/(1+($V105*(('Traffic Data'!AF24*(0.67/14))/(($I105)*$S105))^$W105))</f>
        <v>69.0999415557785</v>
      </c>
      <c r="BV105" s="401">
        <f>$R105/(1+($V105*(('Traffic Data'!AG24*(0.67/14))/(($I105)*$S105))^$W105))</f>
        <v>69.099933178878601</v>
      </c>
      <c r="BW105" s="645">
        <f>$R105/(1+($V105*(('Traffic Data'!AH24*(0.67/14))/(($I105)*$S105))^$W105))</f>
        <v>69.099923736448488</v>
      </c>
    </row>
    <row r="106" spans="1:75" ht="21.95" customHeight="1" x14ac:dyDescent="0.2">
      <c r="A106" s="642"/>
      <c r="C106" s="1339"/>
      <c r="D106" s="116" t="s">
        <v>347</v>
      </c>
      <c r="E106" s="116" t="s">
        <v>348</v>
      </c>
      <c r="F106" s="575">
        <f>'Traffic Data'!CM18</f>
        <v>0.78125</v>
      </c>
      <c r="G106" s="575">
        <f>'Traffic Data'!CN18</f>
        <v>0.9</v>
      </c>
      <c r="H106" s="146">
        <f>'Traffic Data'!G25</f>
        <v>55</v>
      </c>
      <c r="I106" s="146">
        <v>4</v>
      </c>
      <c r="J106" s="146">
        <f t="shared" si="6"/>
        <v>62</v>
      </c>
      <c r="K106" s="146">
        <v>0</v>
      </c>
      <c r="L106" s="146">
        <v>2.5</v>
      </c>
      <c r="M106" s="146">
        <v>0</v>
      </c>
      <c r="N106" s="146">
        <v>0.4</v>
      </c>
      <c r="O106" s="146">
        <v>0</v>
      </c>
      <c r="P106" s="146">
        <v>0</v>
      </c>
      <c r="Q106" s="146">
        <v>0</v>
      </c>
      <c r="R106" s="174">
        <f t="shared" si="4"/>
        <v>59.1</v>
      </c>
      <c r="S106" s="576">
        <f>M21*F106*G106</f>
        <v>1546.875</v>
      </c>
      <c r="T106" s="577">
        <v>0.12</v>
      </c>
      <c r="U106" s="578">
        <v>0.65</v>
      </c>
      <c r="V106" s="579">
        <f t="shared" si="7"/>
        <v>0.05</v>
      </c>
      <c r="W106" s="228">
        <v>10</v>
      </c>
      <c r="X106" s="400">
        <f>$R106/(1+($V106*(('Traffic Data'!J25*$T106*$U106)/(($I106/2)*$S106))^$W106))</f>
        <v>59.009308891513932</v>
      </c>
      <c r="Y106" s="401">
        <f>$R106/(1+($V106*(('Traffic Data'!K25*$T106*$U106)/(($I106/2)*$S106))^$W106))</f>
        <v>58.98763684309683</v>
      </c>
      <c r="Z106" s="401">
        <f>$R106/(1+($V106*(('Traffic Data'!L25*$T106*$U106)/(($I106/2)*$S106))^$W106))</f>
        <v>58.946695852461474</v>
      </c>
      <c r="AA106" s="401">
        <f>$R106/(1+($V106*(('Traffic Data'!M25*$T106*$U106)/(($I106/2)*$S106))^$W106))</f>
        <v>58.883569031111399</v>
      </c>
      <c r="AB106" s="401">
        <f>$R106/(1+($V106*(('Traffic Data'!N25*$T106*$U106)/(($I106/2)*$S106))^$W106))</f>
        <v>58.798048779392673</v>
      </c>
      <c r="AC106" s="401">
        <f>$R106/(1+($V106*(('Traffic Data'!O25*$T106*$U106)/(($I106/2)*$S106))^$W106))</f>
        <v>58.683491272339225</v>
      </c>
      <c r="AD106" s="401">
        <f>$R106/(1+($V106*(('Traffic Data'!P25*$T106*$U106)/(($I106/2)*$S106))^$W106))</f>
        <v>58.531667940910054</v>
      </c>
      <c r="AE106" s="401">
        <f>$R106/(1+($V106*(('Traffic Data'!Q25*$T106*$U106)/(($I106/2)*$S106))^$W106))</f>
        <v>58.332383417344381</v>
      </c>
      <c r="AF106" s="401">
        <f>$R106/(1+($V106*(('Traffic Data'!R25*$T106*$U106)/(($I106/2)*$S106))^$W106))</f>
        <v>58.129755938211524</v>
      </c>
      <c r="AG106" s="401">
        <f>$R106/(1+($V106*(('Traffic Data'!S25*$T106*$U106)/(($I106/2)*$S106))^$W106))</f>
        <v>57.881371083278239</v>
      </c>
      <c r="AH106" s="401">
        <f>$R106/(1+($V106*(('Traffic Data'!T25*$T106*$U106)/(($I106/2)*$S106))^$W106))</f>
        <v>57.578901403338868</v>
      </c>
      <c r="AI106" s="401">
        <f>$R106/(1+($V106*(('Traffic Data'!U25*$T106*$U106)/(($I106/2)*$S106))^$W106))</f>
        <v>57.213038389138077</v>
      </c>
      <c r="AJ106" s="401">
        <f>$R106/(1+($V106*(('Traffic Data'!V25*$T106*$U106)/(($I106/2)*$S106))^$W106))</f>
        <v>56.773366465346214</v>
      </c>
      <c r="AK106" s="401">
        <f>$R106/(1+($V106*(('Traffic Data'!W25*$T106*$U106)/(($I106/2)*$S106))^$W106))</f>
        <v>56.339511438451034</v>
      </c>
      <c r="AL106" s="401">
        <f>$R106/(1+($V106*(('Traffic Data'!X25*$T106*$U106)/(($I106/2)*$S106))^$W106))</f>
        <v>55.909872270996004</v>
      </c>
      <c r="AM106" s="401">
        <f>$R106/(1+($V106*(('Traffic Data'!Y25*$T106*$U106)/(($I106/2)*$S106))^$W106))</f>
        <v>55.425616937082935</v>
      </c>
      <c r="AN106" s="401">
        <f>$R106/(1+($V106*(('Traffic Data'!Z25*$T106*$U106)/(($I106/2)*$S106))^$W106))</f>
        <v>54.88210340986582</v>
      </c>
      <c r="AO106" s="401">
        <f>$R106/(1+($V106*(('Traffic Data'!AA25*$T106*$U106)/(($I106/2)*$S106))^$W106))</f>
        <v>54.274702407509558</v>
      </c>
      <c r="AP106" s="401">
        <f>$R106/(1+($V106*(('Traffic Data'!AB25*$T106*$U106)/(($I106/2)*$S106))^$W106))</f>
        <v>53.59911730779806</v>
      </c>
      <c r="AQ106" s="401">
        <f>$R106/(1+($V106*(('Traffic Data'!AC25*$T106*$U106)/(($I106/2)*$S106))^$W106))</f>
        <v>52.851152856866712</v>
      </c>
      <c r="AR106" s="401">
        <f>$R106/(1+($V106*(('Traffic Data'!AD25*$T106*$U106)/(($I106/2)*$S106))^$W106))</f>
        <v>52.027310211362121</v>
      </c>
      <c r="AS106" s="401">
        <f>$R106/(1+($V106*(('Traffic Data'!AE25*$T106*$U106)/(($I106/2)*$S106))^$W106))</f>
        <v>51.124531623812537</v>
      </c>
      <c r="AT106" s="401">
        <f>$R106/(1+($V106*(('Traffic Data'!AF25*$T106*$U106)/(($I106/2)*$S106))^$W106))</f>
        <v>50.140523631641699</v>
      </c>
      <c r="AU106" s="401">
        <f>$R106/(1+($V106*(('Traffic Data'!AG25*$T106*$U106)/(($I106/2)*$S106))^$W106))</f>
        <v>49.074196370469394</v>
      </c>
      <c r="AV106" s="401">
        <f>$R106/(1+($V106*(('Traffic Data'!AH25*$T106*$U106)/(($I106/2)*$S106))^$W106))</f>
        <v>47.925335668159178</v>
      </c>
      <c r="AW106" s="372">
        <f>$R106/(1+($V106*(('Traffic Data'!AI25*$T106*$U106)/(($I106/2)*$S106))^$W106))</f>
        <v>46.694953842741853</v>
      </c>
      <c r="AX106" s="401">
        <f>$R106/(1+($V106*(('Traffic Data'!J25*(0.67/14))/(($I106)*$S106))^$W106))</f>
        <v>59.099999329415759</v>
      </c>
      <c r="AY106" s="401">
        <f>$R106/(1+($V106*(('Traffic Data'!J25*(0.67/14))/(($I106)*$S106))^$W106))</f>
        <v>59.099999329415759</v>
      </c>
      <c r="AZ106" s="401">
        <f>$R106/(1+($V106*(('Traffic Data'!K25*(0.67/14))/(($I106)*$S106))^$W106))</f>
        <v>59.099999168863988</v>
      </c>
      <c r="BA106" s="401">
        <f>$R106/(1+($V106*(('Traffic Data'!L25*(0.67/14))/(($I106)*$S106))^$W106))</f>
        <v>59.099998865241098</v>
      </c>
      <c r="BB106" s="401">
        <f>$R106/(1+($V106*(('Traffic Data'!M25*(0.67/14))/(($I106)*$S106))^$W106))</f>
        <v>59.09999839625825</v>
      </c>
      <c r="BC106" s="401">
        <f>$R106/(1+($V106*(('Traffic Data'!N25*(0.67/14))/(($I106)*$S106))^$W106))</f>
        <v>59.099997759303555</v>
      </c>
      <c r="BD106" s="401">
        <f>$R106/(1+($V106*(('Traffic Data'!O25*(0.67/14))/(($I106)*$S106))^$W106))</f>
        <v>59.099996903170421</v>
      </c>
      <c r="BE106" s="401">
        <f>$R106/(1+($V106*(('Traffic Data'!P25*(0.67/14))/(($I106)*$S106))^$W106))</f>
        <v>59.099995763371432</v>
      </c>
      <c r="BF106" s="401">
        <f>$R106/(1+($V106*(('Traffic Data'!Q25*(0.67/14))/(($I106)*$S106))^$W106))</f>
        <v>59.09999425825697</v>
      </c>
      <c r="BG106" s="401">
        <f>$R106/(1+($V106*(('Traffic Data'!R25*(0.67/14))/(($I106)*$S106))^$W106))</f>
        <v>59.099992717313626</v>
      </c>
      <c r="BH106" s="401">
        <f>$R106/(1+($V106*(('Traffic Data'!S25*(0.67/14))/(($I106)*$S106))^$W106))</f>
        <v>59.099990813675781</v>
      </c>
      <c r="BI106" s="401">
        <f>$R106/(1+($V106*(('Traffic Data'!T25*(0.67/14))/(($I106)*$S106))^$W106))</f>
        <v>59.099988473350855</v>
      </c>
      <c r="BJ106" s="401">
        <f>$R106/(1+($V106*(('Traffic Data'!U25*(0.67/14))/(($I106)*$S106))^$W106))</f>
        <v>59.099985609459232</v>
      </c>
      <c r="BK106" s="401">
        <f>$R106/(1+($V106*(('Traffic Data'!V25*(0.67/14))/(($I106)*$S106))^$W106))</f>
        <v>59.099982118976556</v>
      </c>
      <c r="BL106" s="401">
        <f>$R106/(1+($V106*(('Traffic Data'!W25*(0.67/14))/(($I106)*$S106))^$W106))</f>
        <v>59.099978621270822</v>
      </c>
      <c r="BM106" s="401">
        <f>$R106/(1+($V106*(('Traffic Data'!X25*(0.67/14))/(($I106)*$S106))^$W106))</f>
        <v>59.099975104058409</v>
      </c>
      <c r="BN106" s="401">
        <f>$R106/(1+($V106*(('Traffic Data'!Y25*(0.67/14))/(($I106)*$S106))^$W106))</f>
        <v>59.099971074368476</v>
      </c>
      <c r="BO106" s="401">
        <f>$R106/(1+($V106*(('Traffic Data'!Z25*(0.67/14))/(($I106)*$S106))^$W106))</f>
        <v>59.099966466869333</v>
      </c>
      <c r="BP106" s="401">
        <f>$R106/(1+($V106*(('Traffic Data'!AA25*(0.67/14))/(($I106)*$S106))^$W106))</f>
        <v>59.099961208592788</v>
      </c>
      <c r="BQ106" s="401">
        <f>$R106/(1+($V106*(('Traffic Data'!AB25*(0.67/14))/(($I106)*$S106))^$W106))</f>
        <v>59.099955220052045</v>
      </c>
      <c r="BR106" s="401">
        <f>$R106/(1+($V106*(('Traffic Data'!AC25*(0.67/14))/(($I106)*$S106))^$W106))</f>
        <v>59.099948411342709</v>
      </c>
      <c r="BS106" s="401">
        <f>$R106/(1+($V106*(('Traffic Data'!AD25*(0.67/14))/(($I106)*$S106))^$W106))</f>
        <v>59.099940685350525</v>
      </c>
      <c r="BT106" s="401">
        <f>$R106/(1+($V106*(('Traffic Data'!AE25*(0.67/14))/(($I106)*$S106))^$W106))</f>
        <v>59.099931933170431</v>
      </c>
      <c r="BU106" s="401">
        <f>$R106/(1+($V106*(('Traffic Data'!AF25*(0.67/14))/(($I106)*$S106))^$W106))</f>
        <v>59.099922034519849</v>
      </c>
      <c r="BV106" s="401">
        <f>$R106/(1+($V106*(('Traffic Data'!AG25*(0.67/14))/(($I106)*$S106))^$W106))</f>
        <v>59.099910859614042</v>
      </c>
      <c r="BW106" s="645">
        <f>$R106/(1+($V106*(('Traffic Data'!AH25*(0.67/14))/(($I106)*$S106))^$W106))</f>
        <v>59.099898263277353</v>
      </c>
    </row>
    <row r="107" spans="1:75" ht="21.95" customHeight="1" x14ac:dyDescent="0.2">
      <c r="A107" s="642"/>
      <c r="C107" s="1353"/>
      <c r="D107" s="254" t="s">
        <v>348</v>
      </c>
      <c r="E107" s="254" t="s">
        <v>349</v>
      </c>
      <c r="F107" s="580">
        <f>'Traffic Data'!CM18</f>
        <v>0.78125</v>
      </c>
      <c r="G107" s="580">
        <f>'Traffic Data'!CN18</f>
        <v>0.9</v>
      </c>
      <c r="H107" s="581">
        <f>'Traffic Data'!G26</f>
        <v>55</v>
      </c>
      <c r="I107" s="581">
        <v>4</v>
      </c>
      <c r="J107" s="581">
        <f t="shared" si="6"/>
        <v>62</v>
      </c>
      <c r="K107" s="581">
        <v>0</v>
      </c>
      <c r="L107" s="581">
        <v>2.5</v>
      </c>
      <c r="M107" s="581">
        <v>0</v>
      </c>
      <c r="N107" s="581">
        <v>0.4</v>
      </c>
      <c r="O107" s="581">
        <v>0</v>
      </c>
      <c r="P107" s="581">
        <v>0</v>
      </c>
      <c r="Q107" s="581">
        <v>0</v>
      </c>
      <c r="R107" s="253">
        <f t="shared" si="4"/>
        <v>59.1</v>
      </c>
      <c r="S107" s="576">
        <f>F107*G107*M21</f>
        <v>1546.875</v>
      </c>
      <c r="T107" s="577">
        <v>0.12</v>
      </c>
      <c r="U107" s="578">
        <v>0.65</v>
      </c>
      <c r="V107" s="579">
        <f t="shared" si="7"/>
        <v>0.05</v>
      </c>
      <c r="W107" s="230">
        <v>10</v>
      </c>
      <c r="X107" s="400">
        <f>$R107/(1+($V107*(('Traffic Data'!J26*$T107*$U107)/(($I107/2)*$S107))^$W107))</f>
        <v>58.7567414573777</v>
      </c>
      <c r="Y107" s="401">
        <f>$R107/(1+($V107*(('Traffic Data'!K26*$T107*$U107)/(($I107/2)*$S107))^$W107))</f>
        <v>58.666023625896827</v>
      </c>
      <c r="Z107" s="401">
        <f>$R107/(1+($V107*(('Traffic Data'!L26*$T107*$U107)/(($I107/2)*$S107))^$W107))</f>
        <v>58.504648398108976</v>
      </c>
      <c r="AA107" s="401">
        <f>$R107/(1+($V107*(('Traffic Data'!M26*$T107*$U107)/(($I107/2)*$S107))^$W107))</f>
        <v>58.208864672459995</v>
      </c>
      <c r="AB107" s="401">
        <f>$R107/(1+($V107*(('Traffic Data'!N26*$T107*$U107)/(($I107/2)*$S107))^$W107))</f>
        <v>57.790017706889039</v>
      </c>
      <c r="AC107" s="401">
        <f>$R107/(1+($V107*(('Traffic Data'!O26*$T107*$U107)/(($I107/2)*$S107))^$W107))</f>
        <v>57.208087548465706</v>
      </c>
      <c r="AD107" s="401">
        <f>$R107/(1+($V107*(('Traffic Data'!P26*$T107*$U107)/(($I107/2)*$S107))^$W107))</f>
        <v>56.415593968511743</v>
      </c>
      <c r="AE107" s="401">
        <f>$R107/(1+($V107*(('Traffic Data'!Q26*$T107*$U107)/(($I107/2)*$S107))^$W107))</f>
        <v>55.357445162192178</v>
      </c>
      <c r="AF107" s="401">
        <f>$R107/(1+($V107*(('Traffic Data'!R26*$T107*$U107)/(($I107/2)*$S107))^$W107))</f>
        <v>54.047293024344299</v>
      </c>
      <c r="AG107" s="401">
        <f>$R107/(1+($V107*(('Traffic Data'!S26*$T107*$U107)/(($I107/2)*$S107))^$W107))</f>
        <v>52.395204928997302</v>
      </c>
      <c r="AH107" s="401">
        <f>$R107/(1+($V107*(('Traffic Data'!T26*$T107*$U107)/(($I107/2)*$S107))^$W107))</f>
        <v>50.362455920665731</v>
      </c>
      <c r="AI107" s="401">
        <f>$R107/(1+($V107*(('Traffic Data'!U26*$T107*$U107)/(($I107/2)*$S107))^$W107))</f>
        <v>47.927490023640047</v>
      </c>
      <c r="AJ107" s="401">
        <f>$R107/(1+($V107*(('Traffic Data'!V26*$T107*$U107)/(($I107/2)*$S107))^$W107))</f>
        <v>45.092857249595966</v>
      </c>
      <c r="AK107" s="401">
        <f>$R107/(1+($V107*(('Traffic Data'!W26*$T107*$U107)/(($I107/2)*$S107))^$W107))</f>
        <v>42.757121850661385</v>
      </c>
      <c r="AL107" s="401">
        <f>$R107/(1+($V107*(('Traffic Data'!X26*$T107*$U107)/(($I107/2)*$S107))^$W107))</f>
        <v>40.849797446708081</v>
      </c>
      <c r="AM107" s="401">
        <f>$R107/(1+($V107*(('Traffic Data'!Y26*$T107*$U107)/(($I107/2)*$S107))^$W107))</f>
        <v>38.857338507664856</v>
      </c>
      <c r="AN107" s="401">
        <f>$R107/(1+($V107*(('Traffic Data'!Z26*$T107*$U107)/(($I107/2)*$S107))^$W107))</f>
        <v>36.798565199850039</v>
      </c>
      <c r="AO107" s="401">
        <f>$R107/(1+($V107*(('Traffic Data'!AA26*$T107*$U107)/(($I107/2)*$S107))^$W107))</f>
        <v>34.693989446626723</v>
      </c>
      <c r="AP107" s="401">
        <f>$R107/(1+($V107*(('Traffic Data'!AB26*$T107*$U107)/(($I107/2)*$S107))^$W107))</f>
        <v>32.566622166207132</v>
      </c>
      <c r="AQ107" s="401">
        <f>$R107/(1+($V107*(('Traffic Data'!AC26*$T107*$U107)/(($I107/2)*$S107))^$W107))</f>
        <v>30.4381387123425</v>
      </c>
      <c r="AR107" s="401">
        <f>$R107/(1+($V107*(('Traffic Data'!AD26*$T107*$U107)/(($I107/2)*$S107))^$W107))</f>
        <v>28.331266141812385</v>
      </c>
      <c r="AS107" s="401">
        <f>$R107/(1+($V107*(('Traffic Data'!AE26*$T107*$U107)/(($I107/2)*$S107))^$W107))</f>
        <v>26.266011663519865</v>
      </c>
      <c r="AT107" s="401">
        <f>$R107/(1+($V107*(('Traffic Data'!AF26*$T107*$U107)/(($I107/2)*$S107))^$W107))</f>
        <v>24.260248277764166</v>
      </c>
      <c r="AU107" s="401">
        <f>$R107/(1+($V107*(('Traffic Data'!AG26*$T107*$U107)/(($I107/2)*$S107))^$W107))</f>
        <v>22.330345809069733</v>
      </c>
      <c r="AV107" s="401">
        <f>$R107/(1+($V107*(('Traffic Data'!AH26*$T107*$U107)/(($I107/2)*$S107))^$W107))</f>
        <v>20.488499824138039</v>
      </c>
      <c r="AW107" s="372">
        <f>$R107/(1+($V107*(('Traffic Data'!AI26*$T107*$U107)/(($I107/2)*$S107))^$W107))</f>
        <v>18.743886289291154</v>
      </c>
      <c r="AX107" s="401">
        <f>$R107/(1+($V107*(('Traffic Data'!J26*(0.67/14))/(($I107)*$S107))^$W107))</f>
        <v>59.099997450982599</v>
      </c>
      <c r="AY107" s="401">
        <f>$R107/(1+($V107*(('Traffic Data'!J26*(0.67/14))/(($I107)*$S107))^$W107))</f>
        <v>59.099997450982599</v>
      </c>
      <c r="AZ107" s="401">
        <f>$R107/(1+($V107*(('Traffic Data'!K26*(0.67/14))/(($I107)*$S107))^$W107))</f>
        <v>59.09999677233408</v>
      </c>
      <c r="BA107" s="401">
        <f>$R107/(1+($V107*(('Traffic Data'!L26*(0.67/14))/(($I107)*$S107))^$W107))</f>
        <v>59.099995559904748</v>
      </c>
      <c r="BB107" s="401">
        <f>$R107/(1+($V107*(('Traffic Data'!M26*(0.67/14))/(($I107)*$S107))^$W107))</f>
        <v>59.099993320197065</v>
      </c>
      <c r="BC107" s="401">
        <f>$R107/(1+($V107*(('Traffic Data'!N26*(0.67/14))/(($I107)*$S107))^$W107))</f>
        <v>59.09999010942154</v>
      </c>
      <c r="BD107" s="401">
        <f>$R107/(1+($V107*(('Traffic Data'!O26*(0.67/14))/(($I107)*$S107))^$W107))</f>
        <v>59.099985570453995</v>
      </c>
      <c r="BE107" s="401">
        <f>$R107/(1+($V107*(('Traffic Data'!P26*(0.67/14))/(($I107)*$S107))^$W107))</f>
        <v>59.099979238532114</v>
      </c>
      <c r="BF107" s="401">
        <f>$R107/(1+($V107*(('Traffic Data'!Q26*(0.67/14))/(($I107)*$S107))^$W107))</f>
        <v>59.099970501421737</v>
      </c>
      <c r="BG107" s="401">
        <f>$R107/(1+($V107*(('Traffic Data'!R26*(0.67/14))/(($I107)*$S107))^$W107))</f>
        <v>59.099959209499573</v>
      </c>
      <c r="BH107" s="401">
        <f>$R107/(1+($V107*(('Traffic Data'!S26*(0.67/14))/(($I107)*$S107))^$W107))</f>
        <v>59.09994416548831</v>
      </c>
      <c r="BI107" s="401">
        <f>$R107/(1+($V107*(('Traffic Data'!T26*(0.67/14))/(($I107)*$S107))^$W107))</f>
        <v>59.099924300834715</v>
      </c>
      <c r="BJ107" s="401">
        <f>$R107/(1+($V107*(('Traffic Data'!U26*(0.67/14))/(($I107)*$S107))^$W107))</f>
        <v>59.099898287463276</v>
      </c>
      <c r="BK107" s="401">
        <f>$R107/(1+($V107*(('Traffic Data'!V26*(0.67/14))/(($I107)*$S107))^$W107))</f>
        <v>59.099864465464535</v>
      </c>
      <c r="BL107" s="401">
        <f>$R107/(1+($V107*(('Traffic Data'!W26*(0.67/14))/(($I107)*$S107))^$W107))</f>
        <v>59.099833226124424</v>
      </c>
      <c r="BM107" s="401">
        <f>$R107/(1+($V107*(('Traffic Data'!X26*(0.67/14))/(($I107)*$S107))^$W107))</f>
        <v>59.099805066932667</v>
      </c>
      <c r="BN107" s="401">
        <f>$R107/(1+($V107*(('Traffic Data'!Y26*(0.67/14))/(($I107)*$S107))^$W107))</f>
        <v>59.099772698626936</v>
      </c>
      <c r="BO107" s="401">
        <f>$R107/(1+($V107*(('Traffic Data'!Z26*(0.67/14))/(($I107)*$S107))^$W107))</f>
        <v>59.099735570962729</v>
      </c>
      <c r="BP107" s="401">
        <f>$R107/(1+($V107*(('Traffic Data'!AA26*(0.67/14))/(($I107)*$S107))^$W107))</f>
        <v>59.099693062844011</v>
      </c>
      <c r="BQ107" s="401">
        <f>$R107/(1+($V107*(('Traffic Data'!AB26*(0.67/14))/(($I107)*$S107))^$W107))</f>
        <v>59.099644510824575</v>
      </c>
      <c r="BR107" s="401">
        <f>$R107/(1+($V107*(('Traffic Data'!AC26*(0.67/14))/(($I107)*$S107))^$W107))</f>
        <v>59.099589141339081</v>
      </c>
      <c r="BS107" s="401">
        <f>$R107/(1+($V107*(('Traffic Data'!AD26*(0.67/14))/(($I107)*$S107))^$W107))</f>
        <v>59.099526140789145</v>
      </c>
      <c r="BT107" s="401">
        <f>$R107/(1+($V107*(('Traffic Data'!AE26*(0.67/14))/(($I107)*$S107))^$W107))</f>
        <v>59.099454575469693</v>
      </c>
      <c r="BU107" s="401">
        <f>$R107/(1+($V107*(('Traffic Data'!AF26*(0.67/14))/(($I107)*$S107))^$W107))</f>
        <v>59.099373408681473</v>
      </c>
      <c r="BV107" s="401">
        <f>$R107/(1+($V107*(('Traffic Data'!AG26*(0.67/14))/(($I107)*$S107))^$W107))</f>
        <v>59.099281547624898</v>
      </c>
      <c r="BW107" s="645">
        <f>$R107/(1+($V107*(('Traffic Data'!AH26*(0.67/14))/(($I107)*$S107))^$W107))</f>
        <v>59.099177739097769</v>
      </c>
    </row>
    <row r="108" spans="1:75" ht="21.95" customHeight="1" x14ac:dyDescent="0.2">
      <c r="A108" s="642"/>
      <c r="C108" s="254" t="s">
        <v>288</v>
      </c>
      <c r="D108" s="254" t="s">
        <v>323</v>
      </c>
      <c r="E108" s="254" t="s">
        <v>348</v>
      </c>
      <c r="F108" s="580">
        <f>'Traffic Data'!CM27</f>
        <v>0.83333333333333337</v>
      </c>
      <c r="G108" s="580">
        <f>'Traffic Data'!CN27</f>
        <v>0.88</v>
      </c>
      <c r="H108" s="591">
        <f>'Traffic Data'!G27</f>
        <v>30</v>
      </c>
      <c r="I108" s="581">
        <v>2</v>
      </c>
      <c r="J108" s="591">
        <f t="shared" si="6"/>
        <v>37</v>
      </c>
      <c r="K108" s="581">
        <v>4.2</v>
      </c>
      <c r="L108" s="581">
        <v>5</v>
      </c>
      <c r="M108" s="581">
        <v>0</v>
      </c>
      <c r="N108" s="581">
        <v>0</v>
      </c>
      <c r="O108" s="581">
        <v>0</v>
      </c>
      <c r="P108" s="581">
        <v>0</v>
      </c>
      <c r="Q108" s="581">
        <v>0</v>
      </c>
      <c r="R108" s="255">
        <f t="shared" si="4"/>
        <v>27.799999999999997</v>
      </c>
      <c r="S108" s="582">
        <f>F108*G108*N28</f>
        <v>586.66666666666674</v>
      </c>
      <c r="T108" s="583">
        <v>0.12</v>
      </c>
      <c r="U108" s="584">
        <v>0.65</v>
      </c>
      <c r="V108" s="598">
        <f t="shared" ref="V108:V128" si="8">$E$31</f>
        <v>0.2</v>
      </c>
      <c r="W108" s="230">
        <v>10</v>
      </c>
      <c r="X108" s="405">
        <f>$R108/(1+($V108*(('Traffic Data'!J27*$T108*$U108)/(($I108/2)*$S108))^$W108))</f>
        <v>27.799996573650304</v>
      </c>
      <c r="Y108" s="375">
        <f>$R108/(1+($V108*(('Traffic Data'!K27*$T108*$U108)/(($I108/2)*$S108))^$W108))</f>
        <v>27.799995049304624</v>
      </c>
      <c r="Z108" s="375">
        <f>$R108/(1+($V108*(('Traffic Data'!L27*$T108*$U108)/(($I108/2)*$S108))^$W108))</f>
        <v>27.799991521642578</v>
      </c>
      <c r="AA108" s="375">
        <f>$R108/(1+($V108*(('Traffic Data'!M27*$T108*$U108)/(($I108/2)*$S108))^$W108))</f>
        <v>27.799960478396013</v>
      </c>
      <c r="AB108" s="375">
        <f>$R108/(1+($V108*(('Traffic Data'!N27*$T108*$U108)/(($I108/2)*$S108))^$W108))</f>
        <v>27.799849987857112</v>
      </c>
      <c r="AC108" s="375">
        <f>$R108/(1+($V108*(('Traffic Data'!O27*$T108*$U108)/(($I108/2)*$S108))^$W108))</f>
        <v>27.799512837411783</v>
      </c>
      <c r="AD108" s="375">
        <f>$R108/(1+($V108*(('Traffic Data'!P27*$T108*$U108)/(($I108/2)*$S108))^$W108))</f>
        <v>27.798604507295686</v>
      </c>
      <c r="AE108" s="375">
        <f>$R108/(1+($V108*(('Traffic Data'!Q27*$T108*$U108)/(($I108/2)*$S108))^$W108))</f>
        <v>27.79638099138247</v>
      </c>
      <c r="AF108" s="375">
        <f>$R108/(1+($V108*(('Traffic Data'!R27*$T108*$U108)/(($I108/2)*$S108))^$W108))</f>
        <v>27.788785641371796</v>
      </c>
      <c r="AG108" s="375">
        <f>$R108/(1+($V108*(('Traffic Data'!S27*$T108*$U108)/(($I108/2)*$S108))^$W108))</f>
        <v>27.76904800797</v>
      </c>
      <c r="AH108" s="375">
        <f>$R108/(1+($V108*(('Traffic Data'!T27*$T108*$U108)/(($I108/2)*$S108))^$W108))</f>
        <v>27.722268008909683</v>
      </c>
      <c r="AI108" s="375">
        <f>$R108/(1+($V108*(('Traffic Data'!U27*$T108*$U108)/(($I108/2)*$S108))^$W108))</f>
        <v>27.619807797087887</v>
      </c>
      <c r="AJ108" s="375">
        <f>$R108/(1+($V108*(('Traffic Data'!V27*$T108*$U108)/(($I108/2)*$S108))^$W108))</f>
        <v>27.41008874682602</v>
      </c>
      <c r="AK108" s="375">
        <f>$R108/(1+($V108*(('Traffic Data'!W27*$T108*$U108)/(($I108/2)*$S108))^$W108))</f>
        <v>27.248206252073437</v>
      </c>
      <c r="AL108" s="375">
        <f>$R108/(1+($V108*(('Traffic Data'!X27*$T108*$U108)/(($I108/2)*$S108))^$W108))</f>
        <v>27.184154150089018</v>
      </c>
      <c r="AM108" s="375">
        <f>$R108/(1+($V108*(('Traffic Data'!Y27*$T108*$U108)/(($I108/2)*$S108))^$W108))</f>
        <v>27.113687845608009</v>
      </c>
      <c r="AN108" s="375">
        <f>$R108/(1+($V108*(('Traffic Data'!Z27*$T108*$U108)/(($I108/2)*$S108))^$W108))</f>
        <v>27.0362899217501</v>
      </c>
      <c r="AO108" s="375">
        <f>$R108/(1+($V108*(('Traffic Data'!AA27*$T108*$U108)/(($I108/2)*$S108))^$W108))</f>
        <v>26.951325015374376</v>
      </c>
      <c r="AP108" s="375">
        <f>$R108/(1+($V108*(('Traffic Data'!AB27*$T108*$U108)/(($I108/2)*$S108))^$W108))</f>
        <v>26.858400679797352</v>
      </c>
      <c r="AQ108" s="375">
        <f>$R108/(1+($V108*(('Traffic Data'!AC27*$T108*$U108)/(($I108/2)*$S108))^$W108))</f>
        <v>26.756731449264507</v>
      </c>
      <c r="AR108" s="375">
        <f>$R108/(1+($V108*(('Traffic Data'!AD27*$T108*$U108)/(($I108/2)*$S108))^$W108))</f>
        <v>26.645914894605589</v>
      </c>
      <c r="AS108" s="375">
        <f>$R108/(1+($V108*(('Traffic Data'!AE27*$T108*$U108)/(($I108/2)*$S108))^$W108))</f>
        <v>26.525218980800844</v>
      </c>
      <c r="AT108" s="375">
        <f>$R108/(1+($V108*(('Traffic Data'!AF27*$T108*$U108)/(($I108/2)*$S108))^$W108))</f>
        <v>26.393855253156566</v>
      </c>
      <c r="AU108" s="375">
        <f>$R108/(1+($V108*(('Traffic Data'!AG27*$T108*$U108)/(($I108/2)*$S108))^$W108))</f>
        <v>26.251437332961135</v>
      </c>
      <c r="AV108" s="375">
        <f>$R108/(1+($V108*(('Traffic Data'!AH27*$T108*$U108)/(($I108/2)*$S108))^$W108))</f>
        <v>26.097169879604184</v>
      </c>
      <c r="AW108" s="376">
        <f>$R108/(1+($V108*(('Traffic Data'!AI27*$T108*$U108)/(($I108/2)*$S108))^$W108))</f>
        <v>25.930207143733867</v>
      </c>
      <c r="AX108" s="375">
        <f>$R108/(1+($V108*(('Traffic Data'!J27*(0.67/14))/(($I108)*$S108))^$W108))</f>
        <v>27.799999999974702</v>
      </c>
      <c r="AY108" s="375">
        <f>$R108/(1+($V108*(('Traffic Data'!J27*(0.67/14))/(($I108)*$S108))^$W108))</f>
        <v>27.799999999974702</v>
      </c>
      <c r="AZ108" s="375">
        <f>$R108/(1+($V108*(('Traffic Data'!K27*(0.67/14))/(($I108)*$S108))^$W108))</f>
        <v>27.799999999963447</v>
      </c>
      <c r="BA108" s="375">
        <f>$R108/(1+($V108*(('Traffic Data'!L27*(0.67/14))/(($I108)*$S108))^$W108))</f>
        <v>27.799999999937405</v>
      </c>
      <c r="BB108" s="375">
        <f>$R108/(1+($V108*(('Traffic Data'!M27*(0.67/14))/(($I108)*$S108))^$W108))</f>
        <v>27.799999999708213</v>
      </c>
      <c r="BC108" s="375">
        <f>$R108/(1+($V108*(('Traffic Data'!N27*(0.67/14))/(($I108)*$S108))^$W108))</f>
        <v>27.799999998892478</v>
      </c>
      <c r="BD108" s="375">
        <f>$R108/(1+($V108*(('Traffic Data'!O27*(0.67/14))/(($I108)*$S108))^$W108))</f>
        <v>27.799999996403304</v>
      </c>
      <c r="BE108" s="375">
        <f>$R108/(1+($V108*(('Traffic Data'!P27*(0.67/14))/(($I108)*$S108))^$W108))</f>
        <v>27.799999989696822</v>
      </c>
      <c r="BF108" s="375">
        <f>$R108/(1+($V108*(('Traffic Data'!Q27*(0.67/14))/(($I108)*$S108))^$W108))</f>
        <v>27.799999973278062</v>
      </c>
      <c r="BG108" s="375">
        <f>$R108/(1+($V108*(('Traffic Data'!R27*(0.67/14))/(($I108)*$S108))^$W108))</f>
        <v>27.799999917173107</v>
      </c>
      <c r="BH108" s="375">
        <f>$R108/(1+($V108*(('Traffic Data'!S27*(0.67/14))/(($I108)*$S108))^$W108))</f>
        <v>27.799999771232621</v>
      </c>
      <c r="BI108" s="375">
        <f>$R108/(1+($V108*(('Traffic Data'!T27*(0.67/14))/(($I108)*$S108))^$W108))</f>
        <v>27.799999424510357</v>
      </c>
      <c r="BJ108" s="375">
        <f>$R108/(1+($V108*(('Traffic Data'!U27*(0.67/14))/(($I108)*$S108))^$W108))</f>
        <v>27.799998660996209</v>
      </c>
      <c r="BK108" s="375">
        <f>$R108/(1+($V108*(('Traffic Data'!V27*(0.67/14))/(($I108)*$S108))^$W108))</f>
        <v>27.799997080410687</v>
      </c>
      <c r="BL108" s="375">
        <f>$R108/(1+($V108*(('Traffic Data'!W27*(0.67/14))/(($I108)*$S108))^$W108))</f>
        <v>27.799995843715422</v>
      </c>
      <c r="BM108" s="375">
        <f>$R108/(1+($V108*(('Traffic Data'!X27*(0.67/14))/(($I108)*$S108))^$W108))</f>
        <v>27.79999535032492</v>
      </c>
      <c r="BN108" s="375">
        <f>$R108/(1+($V108*(('Traffic Data'!Y27*(0.67/14))/(($I108)*$S108))^$W108))</f>
        <v>27.799994804833148</v>
      </c>
      <c r="BO108" s="375">
        <f>$R108/(1+($V108*(('Traffic Data'!Z27*(0.67/14))/(($I108)*$S108))^$W108))</f>
        <v>27.799994202405731</v>
      </c>
      <c r="BP108" s="375">
        <f>$R108/(1+($V108*(('Traffic Data'!AA27*(0.67/14))/(($I108)*$S108))^$W108))</f>
        <v>27.799993537096643</v>
      </c>
      <c r="BQ108" s="375">
        <f>$R108/(1+($V108*(('Traffic Data'!AB27*(0.67/14))/(($I108)*$S108))^$W108))</f>
        <v>27.799992804642809</v>
      </c>
      <c r="BR108" s="375">
        <f>$R108/(1+($V108*(('Traffic Data'!AC27*(0.67/14))/(($I108)*$S108))^$W108))</f>
        <v>27.799991997431249</v>
      </c>
      <c r="BS108" s="375">
        <f>$R108/(1+($V108*(('Traffic Data'!AD27*(0.67/14))/(($I108)*$S108))^$W108))</f>
        <v>27.79999111057759</v>
      </c>
      <c r="BT108" s="375">
        <f>$R108/(1+($V108*(('Traffic Data'!AE27*(0.67/14))/(($I108)*$S108))^$W108))</f>
        <v>27.799990136229951</v>
      </c>
      <c r="BU108" s="375">
        <f>$R108/(1+($V108*(('Traffic Data'!AF27*(0.67/14))/(($I108)*$S108))^$W108))</f>
        <v>27.799989065636435</v>
      </c>
      <c r="BV108" s="375">
        <f>$R108/(1+($V108*(('Traffic Data'!AG27*(0.67/14))/(($I108)*$S108))^$W108))</f>
        <v>27.799987892848094</v>
      </c>
      <c r="BW108" s="649">
        <f>$R108/(1+($V108*(('Traffic Data'!AH27*(0.67/14))/(($I108)*$S108))^$W108))</f>
        <v>27.799986608038736</v>
      </c>
    </row>
    <row r="109" spans="1:75" ht="21.95" customHeight="1" x14ac:dyDescent="0.2">
      <c r="A109" s="642"/>
      <c r="C109" s="220" t="s">
        <v>340</v>
      </c>
      <c r="D109" s="220" t="s">
        <v>335</v>
      </c>
      <c r="E109" s="220" t="s">
        <v>323</v>
      </c>
      <c r="F109" s="596">
        <f>'Traffic Data'!CM28</f>
        <v>0.83333333333333337</v>
      </c>
      <c r="G109" s="596">
        <f>'Traffic Data'!CN28</f>
        <v>0.88</v>
      </c>
      <c r="H109" s="591">
        <f>'Traffic Data'!G28</f>
        <v>40</v>
      </c>
      <c r="I109" s="591">
        <v>0</v>
      </c>
      <c r="J109" s="591">
        <f t="shared" si="6"/>
        <v>47</v>
      </c>
      <c r="K109" s="591">
        <v>1.3</v>
      </c>
      <c r="L109" s="591">
        <v>2.5</v>
      </c>
      <c r="M109" s="581">
        <v>0</v>
      </c>
      <c r="N109" s="581">
        <v>0</v>
      </c>
      <c r="O109" s="581">
        <v>0</v>
      </c>
      <c r="P109" s="581">
        <v>0</v>
      </c>
      <c r="Q109" s="581">
        <v>0</v>
      </c>
      <c r="R109" s="255">
        <f t="shared" si="4"/>
        <v>43.2</v>
      </c>
      <c r="S109" s="582">
        <v>0</v>
      </c>
      <c r="T109" s="583">
        <v>0.12</v>
      </c>
      <c r="U109" s="584">
        <v>0.65</v>
      </c>
      <c r="V109" s="579">
        <f t="shared" si="8"/>
        <v>0.2</v>
      </c>
      <c r="W109" s="229">
        <v>10</v>
      </c>
      <c r="X109" s="400" t="e">
        <f>$R109/(1+($V109*(('Traffic Data'!J28*$T109*$U109)/(($I109/2)*$S109))^$W109))</f>
        <v>#DIV/0!</v>
      </c>
      <c r="Y109" s="401" t="e">
        <f>$R109/(1+($V109*(('Traffic Data'!K28*$T109*$U109)/(($I109/2)*$S109))^$W109))</f>
        <v>#DIV/0!</v>
      </c>
      <c r="Z109" s="401" t="e">
        <f>$R109/(1+($V109*(('Traffic Data'!L28*$T109*$U109)/(($I109/2)*$S109))^$W109))</f>
        <v>#DIV/0!</v>
      </c>
      <c r="AA109" s="401" t="e">
        <f>$R109/(1+($V109*(('Traffic Data'!M28*$T109*$U109)/(($I109/2)*$S109))^$W109))</f>
        <v>#DIV/0!</v>
      </c>
      <c r="AB109" s="401" t="e">
        <f>$R109/(1+($V109*(('Traffic Data'!N28*$T109*$U109)/(($I109/2)*$S109))^$W109))</f>
        <v>#DIV/0!</v>
      </c>
      <c r="AC109" s="401" t="e">
        <f>$R109/(1+($V109*(('Traffic Data'!O28*$T109*$U109)/(($I109/2)*$S109))^$W109))</f>
        <v>#DIV/0!</v>
      </c>
      <c r="AD109" s="401" t="e">
        <f>$R109/(1+($V109*(('Traffic Data'!P28*$T109*$U109)/(($I109/2)*$S109))^$W109))</f>
        <v>#DIV/0!</v>
      </c>
      <c r="AE109" s="401" t="e">
        <f>$R109/(1+($V109*(('Traffic Data'!Q28*$T109*$U109)/(($I109/2)*$S109))^$W109))</f>
        <v>#DIV/0!</v>
      </c>
      <c r="AF109" s="401" t="e">
        <f>$R109/(1+($V109*(('Traffic Data'!R28*$T109*$U109)/(($I109/2)*$S109))^$W109))</f>
        <v>#DIV/0!</v>
      </c>
      <c r="AG109" s="401" t="e">
        <f>$R109/(1+($V109*(('Traffic Data'!S28*$T109*$U109)/(($I109/2)*$S109))^$W109))</f>
        <v>#DIV/0!</v>
      </c>
      <c r="AH109" s="401" t="e">
        <f>$R109/(1+($V109*(('Traffic Data'!T28*$T109*$U109)/(($I109/2)*$S109))^$W109))</f>
        <v>#DIV/0!</v>
      </c>
      <c r="AI109" s="401" t="e">
        <f>$R109/(1+($V109*(('Traffic Data'!U28*$T109*$U109)/(($I109/2)*$S109))^$W109))</f>
        <v>#DIV/0!</v>
      </c>
      <c r="AJ109" s="401" t="e">
        <f>$R109/(1+($V109*(('Traffic Data'!V28*$T109*$U109)/(($I109/2)*$S109))^$W109))</f>
        <v>#DIV/0!</v>
      </c>
      <c r="AK109" s="401" t="e">
        <f>$R109/(1+($V109*(('Traffic Data'!W28*$T109*$U109)/(($I109/2)*$S109))^$W109))</f>
        <v>#DIV/0!</v>
      </c>
      <c r="AL109" s="401" t="e">
        <f>$R109/(1+($V109*(('Traffic Data'!X28*$T109*$U109)/(($I109/2)*$S109))^$W109))</f>
        <v>#DIV/0!</v>
      </c>
      <c r="AM109" s="401" t="e">
        <f>$R109/(1+($V109*(('Traffic Data'!Y28*$T109*$U109)/(($I109/2)*$S109))^$W109))</f>
        <v>#DIV/0!</v>
      </c>
      <c r="AN109" s="401" t="e">
        <f>$R109/(1+($V109*(('Traffic Data'!Z28*$T109*$U109)/(($I109/2)*$S109))^$W109))</f>
        <v>#DIV/0!</v>
      </c>
      <c r="AO109" s="401" t="e">
        <f>$R109/(1+($V109*(('Traffic Data'!AA28*$T109*$U109)/(($I109/2)*$S109))^$W109))</f>
        <v>#DIV/0!</v>
      </c>
      <c r="AP109" s="401" t="e">
        <f>$R109/(1+($V109*(('Traffic Data'!AB28*$T109*$U109)/(($I109/2)*$S109))^$W109))</f>
        <v>#DIV/0!</v>
      </c>
      <c r="AQ109" s="401" t="e">
        <f>$R109/(1+($V109*(('Traffic Data'!AC28*$T109*$U109)/(($I109/2)*$S109))^$W109))</f>
        <v>#DIV/0!</v>
      </c>
      <c r="AR109" s="401" t="e">
        <f>$R109/(1+($V109*(('Traffic Data'!AD28*$T109*$U109)/(($I109/2)*$S109))^$W109))</f>
        <v>#DIV/0!</v>
      </c>
      <c r="AS109" s="401" t="e">
        <f>$R109/(1+($V109*(('Traffic Data'!AE28*$T109*$U109)/(($I109/2)*$S109))^$W109))</f>
        <v>#DIV/0!</v>
      </c>
      <c r="AT109" s="401" t="e">
        <f>$R109/(1+($V109*(('Traffic Data'!AF28*$T109*$U109)/(($I109/2)*$S109))^$W109))</f>
        <v>#DIV/0!</v>
      </c>
      <c r="AU109" s="401" t="e">
        <f>$R109/(1+($V109*(('Traffic Data'!AG28*$T109*$U109)/(($I109/2)*$S109))^$W109))</f>
        <v>#DIV/0!</v>
      </c>
      <c r="AV109" s="401" t="e">
        <f>$R109/(1+($V109*(('Traffic Data'!AH28*$T109*$U109)/(($I109/2)*$S109))^$W109))</f>
        <v>#DIV/0!</v>
      </c>
      <c r="AW109" s="372" t="e">
        <f>$R109/(1+($V109*(('Traffic Data'!AI28*$T109*$U109)/(($I109/2)*$S109))^$W109))</f>
        <v>#DIV/0!</v>
      </c>
      <c r="AX109" s="401" t="e">
        <f>$R109/(1+($V109*(('Traffic Data'!J28*(0.67/14))/(($I109)*$S109))^$W109))</f>
        <v>#DIV/0!</v>
      </c>
      <c r="AY109" s="401" t="e">
        <f>$R109/(1+($V109*(('Traffic Data'!J28*(0.67/14))/(($I109)*$S109))^$W109))</f>
        <v>#DIV/0!</v>
      </c>
      <c r="AZ109" s="401" t="e">
        <f>$R109/(1+($V109*(('Traffic Data'!K28*(0.67/14))/(($I109)*$S109))^$W109))</f>
        <v>#DIV/0!</v>
      </c>
      <c r="BA109" s="401" t="e">
        <f>$R109/(1+($V109*(('Traffic Data'!L28*(0.67/14))/(($I109)*$S109))^$W109))</f>
        <v>#DIV/0!</v>
      </c>
      <c r="BB109" s="401" t="e">
        <f>$R109/(1+($V109*(('Traffic Data'!M28*(0.67/14))/(($I109)*$S109))^$W109))</f>
        <v>#DIV/0!</v>
      </c>
      <c r="BC109" s="401" t="e">
        <f>$R109/(1+($V109*(('Traffic Data'!N28*(0.67/14))/(($I109)*$S109))^$W109))</f>
        <v>#DIV/0!</v>
      </c>
      <c r="BD109" s="401" t="e">
        <f>$R109/(1+($V109*(('Traffic Data'!O28*(0.67/14))/(($I109)*$S109))^$W109))</f>
        <v>#DIV/0!</v>
      </c>
      <c r="BE109" s="401" t="e">
        <f>$R109/(1+($V109*(('Traffic Data'!P28*(0.67/14))/(($I109)*$S109))^$W109))</f>
        <v>#DIV/0!</v>
      </c>
      <c r="BF109" s="401" t="e">
        <f>$R109/(1+($V109*(('Traffic Data'!Q28*(0.67/14))/(($I109)*$S109))^$W109))</f>
        <v>#DIV/0!</v>
      </c>
      <c r="BG109" s="401" t="e">
        <f>$R109/(1+($V109*(('Traffic Data'!R28*(0.67/14))/(($I109)*$S109))^$W109))</f>
        <v>#DIV/0!</v>
      </c>
      <c r="BH109" s="401" t="e">
        <f>$R109/(1+($V109*(('Traffic Data'!S28*(0.67/14))/(($I109)*$S109))^$W109))</f>
        <v>#DIV/0!</v>
      </c>
      <c r="BI109" s="401" t="e">
        <f>$R109/(1+($V109*(('Traffic Data'!T28*(0.67/14))/(($I109)*$S109))^$W109))</f>
        <v>#DIV/0!</v>
      </c>
      <c r="BJ109" s="401" t="e">
        <f>$R109/(1+($V109*(('Traffic Data'!U28*(0.67/14))/(($I109)*$S109))^$W109))</f>
        <v>#DIV/0!</v>
      </c>
      <c r="BK109" s="401" t="e">
        <f>$R109/(1+($V109*(('Traffic Data'!V28*(0.67/14))/(($I109)*$S109))^$W109))</f>
        <v>#DIV/0!</v>
      </c>
      <c r="BL109" s="401" t="e">
        <f>$R109/(1+($V109*(('Traffic Data'!W28*(0.67/14))/(($I109)*$S109))^$W109))</f>
        <v>#DIV/0!</v>
      </c>
      <c r="BM109" s="401" t="e">
        <f>$R109/(1+($V109*(('Traffic Data'!X28*(0.67/14))/(($I109)*$S109))^$W109))</f>
        <v>#DIV/0!</v>
      </c>
      <c r="BN109" s="401" t="e">
        <f>$R109/(1+($V109*(('Traffic Data'!Y28*(0.67/14))/(($I109)*$S109))^$W109))</f>
        <v>#DIV/0!</v>
      </c>
      <c r="BO109" s="401" t="e">
        <f>$R109/(1+($V109*(('Traffic Data'!Z28*(0.67/14))/(($I109)*$S109))^$W109))</f>
        <v>#DIV/0!</v>
      </c>
      <c r="BP109" s="401" t="e">
        <f>$R109/(1+($V109*(('Traffic Data'!AA28*(0.67/14))/(($I109)*$S109))^$W109))</f>
        <v>#DIV/0!</v>
      </c>
      <c r="BQ109" s="401" t="e">
        <f>$R109/(1+($V109*(('Traffic Data'!AB28*(0.67/14))/(($I109)*$S109))^$W109))</f>
        <v>#DIV/0!</v>
      </c>
      <c r="BR109" s="401" t="e">
        <f>$R109/(1+($V109*(('Traffic Data'!AC28*(0.67/14))/(($I109)*$S109))^$W109))</f>
        <v>#DIV/0!</v>
      </c>
      <c r="BS109" s="401" t="e">
        <f>$R109/(1+($V109*(('Traffic Data'!AD28*(0.67/14))/(($I109)*$S109))^$W109))</f>
        <v>#DIV/0!</v>
      </c>
      <c r="BT109" s="401" t="e">
        <f>$R109/(1+($V109*(('Traffic Data'!AE28*(0.67/14))/(($I109)*$S109))^$W109))</f>
        <v>#DIV/0!</v>
      </c>
      <c r="BU109" s="401" t="e">
        <f>$R109/(1+($V109*(('Traffic Data'!AF28*(0.67/14))/(($I109)*$S109))^$W109))</f>
        <v>#DIV/0!</v>
      </c>
      <c r="BV109" s="401" t="e">
        <f>$R109/(1+($V109*(('Traffic Data'!AG28*(0.67/14))/(($I109)*$S109))^$W109))</f>
        <v>#DIV/0!</v>
      </c>
      <c r="BW109" s="645" t="e">
        <f>$R109/(1+($V109*(('Traffic Data'!AH28*(0.67/14))/(($I109)*$S109))^$W109))</f>
        <v>#DIV/0!</v>
      </c>
    </row>
    <row r="110" spans="1:75" ht="21.95" customHeight="1" x14ac:dyDescent="0.2">
      <c r="A110" s="642"/>
      <c r="C110" s="277" t="s">
        <v>357</v>
      </c>
      <c r="D110" s="277" t="s">
        <v>338</v>
      </c>
      <c r="E110" s="277" t="s">
        <v>323</v>
      </c>
      <c r="F110" s="590">
        <f>'Traffic Data'!CM29</f>
        <v>0.83333333333333337</v>
      </c>
      <c r="G110" s="590">
        <f>'Traffic Data'!CN29</f>
        <v>0.88</v>
      </c>
      <c r="H110" s="591">
        <f>'Traffic Data'!G29</f>
        <v>30</v>
      </c>
      <c r="I110" s="581">
        <v>2</v>
      </c>
      <c r="J110" s="591">
        <f t="shared" si="6"/>
        <v>37</v>
      </c>
      <c r="K110" s="581">
        <v>2.6</v>
      </c>
      <c r="L110" s="581">
        <v>2.5</v>
      </c>
      <c r="M110" s="581">
        <v>0</v>
      </c>
      <c r="N110" s="581">
        <v>0</v>
      </c>
      <c r="O110" s="581">
        <v>0</v>
      </c>
      <c r="P110" s="581">
        <v>0</v>
      </c>
      <c r="Q110" s="581">
        <v>0</v>
      </c>
      <c r="R110" s="255">
        <f t="shared" si="4"/>
        <v>31.9</v>
      </c>
      <c r="S110" s="592">
        <f>F110*G110*N27</f>
        <v>586.66666666666674</v>
      </c>
      <c r="T110" s="593">
        <v>0.12</v>
      </c>
      <c r="U110" s="594">
        <v>0.65</v>
      </c>
      <c r="V110" s="598">
        <f t="shared" si="8"/>
        <v>0.2</v>
      </c>
      <c r="W110" s="595">
        <v>10</v>
      </c>
      <c r="X110" s="405">
        <f>$R110/(1+($V110*(('Traffic Data'!J29*$T110*$U110)/(($I110/2)*$S110))^$W110))</f>
        <v>31.89597447271742</v>
      </c>
      <c r="Y110" s="375">
        <f>$R110/(1+($V110*(('Traffic Data'!K29*$T110*$U110)/(($I110/2)*$S110))^$W110))</f>
        <v>31.895307298934267</v>
      </c>
      <c r="Z110" s="375">
        <f>$R110/(1+($V110*(('Traffic Data'!L29*$T110*$U110)/(($I110/2)*$S110))^$W110))</f>
        <v>31.893992728566314</v>
      </c>
      <c r="AA110" s="375">
        <f>$R110/(1+($V110*(('Traffic Data'!M29*$T110*$U110)/(($I110/2)*$S110))^$W110))</f>
        <v>31.886678735617878</v>
      </c>
      <c r="AB110" s="375">
        <f>$R110/(1+($V110*(('Traffic Data'!N29*$T110*$U110)/(($I110/2)*$S110))^$W110))</f>
        <v>31.872150555091675</v>
      </c>
      <c r="AC110" s="375">
        <f>$R110/(1+($V110*(('Traffic Data'!O29*$T110*$U110)/(($I110/2)*$S110))^$W110))</f>
        <v>31.844637796182958</v>
      </c>
      <c r="AD110" s="375">
        <f>$R110/(1+($V110*(('Traffic Data'!P29*$T110*$U110)/(($I110/2)*$S110))^$W110))</f>
        <v>31.794871534713295</v>
      </c>
      <c r="AE110" s="375">
        <f>$R110/(1+($V110*(('Traffic Data'!Q29*$T110*$U110)/(($I110/2)*$S110))^$W110))</f>
        <v>31.708072383454706</v>
      </c>
      <c r="AF110" s="375">
        <f>$R110/(1+($V110*(('Traffic Data'!R29*$T110*$U110)/(($I110/2)*$S110))^$W110))</f>
        <v>31.526303036497104</v>
      </c>
      <c r="AG110" s="375">
        <f>$R110/(1+($V110*(('Traffic Data'!S29*$T110*$U110)/(($I110/2)*$S110))^$W110))</f>
        <v>31.205750918031992</v>
      </c>
      <c r="AH110" s="375">
        <f>$R110/(1+($V110*(('Traffic Data'!T29*$T110*$U110)/(($I110/2)*$S110))^$W110))</f>
        <v>30.666059498764817</v>
      </c>
      <c r="AI110" s="375">
        <f>$R110/(1+($V110*(('Traffic Data'!U29*$T110*$U110)/(($I110/2)*$S110))^$W110))</f>
        <v>29.802150767879407</v>
      </c>
      <c r="AJ110" s="375">
        <f>$R110/(1+($V110*(('Traffic Data'!V29*$T110*$U110)/(($I110/2)*$S110))^$W110))</f>
        <v>28.491377926210241</v>
      </c>
      <c r="AK110" s="375">
        <f>$R110/(1+($V110*(('Traffic Data'!W29*$T110*$U110)/(($I110/2)*$S110))^$W110))</f>
        <v>27.809945600992162</v>
      </c>
      <c r="AL110" s="375">
        <f>$R110/(1+($V110*(('Traffic Data'!X29*$T110*$U110)/(($I110/2)*$S110))^$W110))</f>
        <v>27.531230859921973</v>
      </c>
      <c r="AM110" s="375">
        <f>$R110/(1+($V110*(('Traffic Data'!Y29*$T110*$U110)/(($I110/2)*$S110))^$W110))</f>
        <v>27.238989760272183</v>
      </c>
      <c r="AN110" s="375">
        <f>$R110/(1+($V110*(('Traffic Data'!Z29*$T110*$U110)/(($I110/2)*$S110))^$W110))</f>
        <v>26.933096349146528</v>
      </c>
      <c r="AO110" s="375">
        <f>$R110/(1+($V110*(('Traffic Data'!AA29*$T110*$U110)/(($I110/2)*$S110))^$W110))</f>
        <v>26.612833802275066</v>
      </c>
      <c r="AP110" s="375">
        <f>$R110/(1+($V110*(('Traffic Data'!AB29*$T110*$U110)/(($I110/2)*$S110))^$W110))</f>
        <v>26.279453570933779</v>
      </c>
      <c r="AQ110" s="375">
        <f>$R110/(1+($V110*(('Traffic Data'!AC29*$T110*$U110)/(($I110/2)*$S110))^$W110))</f>
        <v>25.931688299300308</v>
      </c>
      <c r="AR110" s="375">
        <f>$R110/(1+($V110*(('Traffic Data'!AD29*$T110*$U110)/(($I110/2)*$S110))^$W110))</f>
        <v>25.57102761410637</v>
      </c>
      <c r="AS110" s="375">
        <f>$R110/(1+($V110*(('Traffic Data'!AE29*$T110*$U110)/(($I110/2)*$S110))^$W110))</f>
        <v>25.196985391117437</v>
      </c>
      <c r="AT110" s="375">
        <f>$R110/(1+($V110*(('Traffic Data'!AF29*$T110*$U110)/(($I110/2)*$S110))^$W110))</f>
        <v>24.80904170870507</v>
      </c>
      <c r="AU110" s="375">
        <f>$R110/(1+($V110*(('Traffic Data'!AG29*$T110*$U110)/(($I110/2)*$S110))^$W110))</f>
        <v>24.40905975552349</v>
      </c>
      <c r="AV110" s="375">
        <f>$R110/(1+($V110*(('Traffic Data'!AH29*$T110*$U110)/(($I110/2)*$S110))^$W110))</f>
        <v>23.996692987019557</v>
      </c>
      <c r="AW110" s="376">
        <f>$R110/(1+($V110*(('Traffic Data'!AI29*$T110*$U110)/(($I110/2)*$S110))^$W110))</f>
        <v>23.571571402618002</v>
      </c>
      <c r="AX110" s="375">
        <f>$R110/(1+($V110*(('Traffic Data'!J29*(0.67/14))/(($I110)*$S110))^$W110))</f>
        <v>31.899999970276543</v>
      </c>
      <c r="AY110" s="375">
        <f>$R110/(1+($V110*(('Traffic Data'!J29*(0.67/14))/(($I110)*$S110))^$W110))</f>
        <v>31.899999970276543</v>
      </c>
      <c r="AZ110" s="375">
        <f>$R110/(1+($V110*(('Traffic Data'!K29*(0.67/14))/(($I110)*$S110))^$W110))</f>
        <v>31.899999965349579</v>
      </c>
      <c r="BA110" s="375">
        <f>$R110/(1+($V110*(('Traffic Data'!L29*(0.67/14))/(($I110)*$S110))^$W110))</f>
        <v>31.899999955641103</v>
      </c>
      <c r="BB110" s="375">
        <f>$R110/(1+($V110*(('Traffic Data'!M29*(0.67/14))/(($I110)*$S110))^$W110))</f>
        <v>31.899999901610549</v>
      </c>
      <c r="BC110" s="375">
        <f>$R110/(1+($V110*(('Traffic Data'!N29*(0.67/14))/(($I110)*$S110))^$W110))</f>
        <v>31.899999794213187</v>
      </c>
      <c r="BD110" s="375">
        <f>$R110/(1+($V110*(('Traffic Data'!O29*(0.67/14))/(($I110)*$S110))^$W110))</f>
        <v>31.8999995905608</v>
      </c>
      <c r="BE110" s="375">
        <f>$R110/(1+($V110*(('Traffic Data'!P29*(0.67/14))/(($I110)*$S110))^$W110))</f>
        <v>31.899999221290255</v>
      </c>
      <c r="BF110" s="375">
        <f>$R110/(1+($V110*(('Traffic Data'!Q29*(0.67/14))/(($I110)*$S110))^$W110))</f>
        <v>31.89999857445812</v>
      </c>
      <c r="BG110" s="375">
        <f>$R110/(1+($V110*(('Traffic Data'!R29*(0.67/14))/(($I110)*$S110))^$W110))</f>
        <v>31.89999720836358</v>
      </c>
      <c r="BH110" s="375">
        <f>$R110/(1+($V110*(('Traffic Data'!S29*(0.67/14))/(($I110)*$S110))^$W110))</f>
        <v>31.899994760462238</v>
      </c>
      <c r="BI110" s="375">
        <f>$R110/(1+($V110*(('Traffic Data'!T29*(0.67/14))/(($I110)*$S110))^$W110))</f>
        <v>31.899990523488672</v>
      </c>
      <c r="BJ110" s="375">
        <f>$R110/(1+($V110*(('Traffic Data'!U29*(0.67/14))/(($I110)*$S110))^$W110))</f>
        <v>31.899983421745223</v>
      </c>
      <c r="BK110" s="375">
        <f>$R110/(1+($V110*(('Traffic Data'!V29*(0.67/14))/(($I110)*$S110))^$W110))</f>
        <v>31.899971824126762</v>
      </c>
      <c r="BL110" s="375">
        <f>$R110/(1+($V110*(('Traffic Data'!W29*(0.67/14))/(($I110)*$S110))^$W110))</f>
        <v>31.899965362954259</v>
      </c>
      <c r="BM110" s="375">
        <f>$R110/(1+($V110*(('Traffic Data'!X29*(0.67/14))/(($I110)*$S110))^$W110))</f>
        <v>31.899962628087053</v>
      </c>
      <c r="BN110" s="375">
        <f>$R110/(1+($V110*(('Traffic Data'!Y29*(0.67/14))/(($I110)*$S110))^$W110))</f>
        <v>31.899959700386432</v>
      </c>
      <c r="BO110" s="375">
        <f>$R110/(1+($V110*(('Traffic Data'!Z29*(0.67/14))/(($I110)*$S110))^$W110))</f>
        <v>31.899956567859928</v>
      </c>
      <c r="BP110" s="375">
        <f>$R110/(1+($V110*(('Traffic Data'!AA29*(0.67/14))/(($I110)*$S110))^$W110))</f>
        <v>31.899953211020478</v>
      </c>
      <c r="BQ110" s="375">
        <f>$R110/(1+($V110*(('Traffic Data'!AB29*(0.67/14))/(($I110)*$S110))^$W110))</f>
        <v>31.899949629774749</v>
      </c>
      <c r="BR110" s="375">
        <f>$R110/(1+($V110*(('Traffic Data'!AC29*(0.67/14))/(($I110)*$S110))^$W110))</f>
        <v>31.899945795875322</v>
      </c>
      <c r="BS110" s="375">
        <f>$R110/(1+($V110*(('Traffic Data'!AD29*(0.67/14))/(($I110)*$S110))^$W110))</f>
        <v>31.899941709659025</v>
      </c>
      <c r="BT110" s="375">
        <f>$R110/(1+($V110*(('Traffic Data'!AE29*(0.67/14))/(($I110)*$S110))^$W110))</f>
        <v>31.899937348265546</v>
      </c>
      <c r="BU110" s="375">
        <f>$R110/(1+($V110*(('Traffic Data'!AF29*(0.67/14))/(($I110)*$S110))^$W110))</f>
        <v>31.899932685845538</v>
      </c>
      <c r="BV110" s="375">
        <f>$R110/(1+($V110*(('Traffic Data'!AG29*(0.67/14))/(($I110)*$S110))^$W110))</f>
        <v>31.899927723574187</v>
      </c>
      <c r="BW110" s="649">
        <f>$R110/(1+($V110*(('Traffic Data'!AH29*(0.67/14))/(($I110)*$S110))^$W110))</f>
        <v>31.899922434468724</v>
      </c>
    </row>
    <row r="111" spans="1:75" ht="21.95" customHeight="1" x14ac:dyDescent="0.2">
      <c r="A111" s="642"/>
      <c r="C111" s="116" t="s">
        <v>338</v>
      </c>
      <c r="D111" s="116" t="s">
        <v>282</v>
      </c>
      <c r="E111" s="116" t="s">
        <v>357</v>
      </c>
      <c r="F111" s="575">
        <f>'Traffic Data'!CM30</f>
        <v>0.83333333333333337</v>
      </c>
      <c r="G111" s="575">
        <f>'Traffic Data'!CN30</f>
        <v>0.9</v>
      </c>
      <c r="H111" s="146">
        <f>'Traffic Data'!G30</f>
        <v>55</v>
      </c>
      <c r="I111" s="146">
        <v>4</v>
      </c>
      <c r="J111" s="146">
        <f t="shared" si="6"/>
        <v>62</v>
      </c>
      <c r="K111" s="146">
        <v>0</v>
      </c>
      <c r="L111" s="146">
        <v>2.5</v>
      </c>
      <c r="M111" s="146">
        <v>0</v>
      </c>
      <c r="N111" s="146">
        <v>3.6</v>
      </c>
      <c r="O111" s="146">
        <v>0</v>
      </c>
      <c r="P111" s="146">
        <v>0</v>
      </c>
      <c r="Q111" s="146">
        <v>0</v>
      </c>
      <c r="R111" s="174">
        <f t="shared" si="4"/>
        <v>55.9</v>
      </c>
      <c r="S111" s="576">
        <f>F111*G111*M22</f>
        <v>1575</v>
      </c>
      <c r="T111" s="577">
        <v>0.12</v>
      </c>
      <c r="U111" s="578">
        <v>0.65</v>
      </c>
      <c r="V111" s="579">
        <f t="shared" si="8"/>
        <v>0.2</v>
      </c>
      <c r="W111" s="228">
        <v>10</v>
      </c>
      <c r="X111" s="400">
        <f>$R111/(1+($V111*(('Traffic Data'!J30*$T111*$U111)/(($I111/2)*$S111))^$W111))</f>
        <v>55.89999031092723</v>
      </c>
      <c r="Y111" s="401">
        <f>$R111/(1+($V111*(('Traffic Data'!K30*$T111*$U111)/(($I111/2)*$S111))^$W111))</f>
        <v>55.899986041316602</v>
      </c>
      <c r="Z111" s="401">
        <f>$R111/(1+($V111*(('Traffic Data'!L30*$T111*$U111)/(($I111/2)*$S111))^$W111))</f>
        <v>55.899979699649357</v>
      </c>
      <c r="AA111" s="401">
        <f>$R111/(1+($V111*(('Traffic Data'!M30*$T111*$U111)/(($I111/2)*$S111))^$W111))</f>
        <v>55.899955539028213</v>
      </c>
      <c r="AB111" s="401">
        <f>$R111/(1+($V111*(('Traffic Data'!N30*$T111*$U111)/(($I111/2)*$S111))^$W111))</f>
        <v>55.899908004274209</v>
      </c>
      <c r="AC111" s="401">
        <f>$R111/(1+($V111*(('Traffic Data'!O30*$T111*$U111)/(($I111/2)*$S111))^$W111))</f>
        <v>55.899818741734435</v>
      </c>
      <c r="AD111" s="401">
        <f>$R111/(1+($V111*(('Traffic Data'!P30*$T111*$U111)/(($I111/2)*$S111))^$W111))</f>
        <v>55.89965809746532</v>
      </c>
      <c r="AE111" s="401">
        <f>$R111/(1+($V111*(('Traffic Data'!Q30*$T111*$U111)/(($I111/2)*$S111))^$W111))</f>
        <v>55.899378737402259</v>
      </c>
      <c r="AF111" s="401">
        <f>$R111/(1+($V111*(('Traffic Data'!R30*$T111*$U111)/(($I111/2)*$S111))^$W111))</f>
        <v>55.898684099223694</v>
      </c>
      <c r="AG111" s="401">
        <f>$R111/(1+($V111*(('Traffic Data'!S30*$T111*$U111)/(($I111/2)*$S111))^$W111))</f>
        <v>55.8973550755587</v>
      </c>
      <c r="AH111" s="401">
        <f>$R111/(1+($V111*(('Traffic Data'!T30*$T111*$U111)/(($I111/2)*$S111))^$W111))</f>
        <v>55.894920864815575</v>
      </c>
      <c r="AI111" s="401">
        <f>$R111/(1+($V111*(('Traffic Data'!U30*$T111*$U111)/(($I111/2)*$S111))^$W111))</f>
        <v>55.890628988395591</v>
      </c>
      <c r="AJ111" s="401">
        <f>$R111/(1+($V111*(('Traffic Data'!V30*$T111*$U111)/(($I111/2)*$S111))^$W111))</f>
        <v>55.883303446680344</v>
      </c>
      <c r="AK111" s="401">
        <f>$R111/(1+($V111*(('Traffic Data'!W30*$T111*$U111)/(($I111/2)*$S111))^$W111))</f>
        <v>55.876864875425575</v>
      </c>
      <c r="AL111" s="401">
        <f>$R111/(1+($V111*(('Traffic Data'!X30*$T111*$U111)/(($I111/2)*$S111))^$W111))</f>
        <v>55.872596856149997</v>
      </c>
      <c r="AM111" s="401">
        <f>$R111/(1+($V111*(('Traffic Data'!Y30*$T111*$U111)/(($I111/2)*$S111))^$W111))</f>
        <v>55.86763331281233</v>
      </c>
      <c r="AN111" s="401">
        <f>$R111/(1+($V111*(('Traffic Data'!Z30*$T111*$U111)/(($I111/2)*$S111))^$W111))</f>
        <v>55.861875443285157</v>
      </c>
      <c r="AO111" s="401">
        <f>$R111/(1+($V111*(('Traffic Data'!AA30*$T111*$U111)/(($I111/2)*$S111))^$W111))</f>
        <v>55.855208592288065</v>
      </c>
      <c r="AP111" s="401">
        <f>$R111/(1+($V111*(('Traffic Data'!AB30*$T111*$U111)/(($I111/2)*$S111))^$W111))</f>
        <v>55.84751585001861</v>
      </c>
      <c r="AQ111" s="401">
        <f>$R111/(1+($V111*(('Traffic Data'!AC30*$T111*$U111)/(($I111/2)*$S111))^$W111))</f>
        <v>55.838650241457721</v>
      </c>
      <c r="AR111" s="401">
        <f>$R111/(1+($V111*(('Traffic Data'!AD30*$T111*$U111)/(($I111/2)*$S111))^$W111))</f>
        <v>55.828466776424733</v>
      </c>
      <c r="AS111" s="401">
        <f>$R111/(1+($V111*(('Traffic Data'!AE30*$T111*$U111)/(($I111/2)*$S111))^$W111))</f>
        <v>55.816789151831529</v>
      </c>
      <c r="AT111" s="401">
        <f>$R111/(1+($V111*(('Traffic Data'!AF30*$T111*$U111)/(($I111/2)*$S111))^$W111))</f>
        <v>55.803418818637169</v>
      </c>
      <c r="AU111" s="401">
        <f>$R111/(1+($V111*(('Traffic Data'!AG30*$T111*$U111)/(($I111/2)*$S111))^$W111))</f>
        <v>55.788158467847339</v>
      </c>
      <c r="AV111" s="401">
        <f>$R111/(1+($V111*(('Traffic Data'!AH30*$T111*$U111)/(($I111/2)*$S111))^$W111))</f>
        <v>55.770767265942659</v>
      </c>
      <c r="AW111" s="372">
        <f>$R111/(1+($V111*(('Traffic Data'!AI30*$T111*$U111)/(($I111/2)*$S111))^$W111))</f>
        <v>55.750975325021969</v>
      </c>
      <c r="AX111" s="401">
        <f>$R111/(1+($V111*(('Traffic Data'!J30*(0.67/14))/(($I111)*$S111))^$W111))</f>
        <v>55.899999999928468</v>
      </c>
      <c r="AY111" s="401">
        <f>$R111/(1+($V111*(('Traffic Data'!J30*(0.67/14))/(($I111)*$S111))^$W111))</f>
        <v>55.899999999928468</v>
      </c>
      <c r="AZ111" s="401">
        <f>$R111/(1+($V111*(('Traffic Data'!K30*(0.67/14))/(($I111)*$S111))^$W111))</f>
        <v>55.899999999896941</v>
      </c>
      <c r="BA111" s="401">
        <f>$R111/(1+($V111*(('Traffic Data'!L30*(0.67/14))/(($I111)*$S111))^$W111))</f>
        <v>55.899999999850117</v>
      </c>
      <c r="BB111" s="401">
        <f>$R111/(1+($V111*(('Traffic Data'!M30*(0.67/14))/(($I111)*$S111))^$W111))</f>
        <v>55.899999999671756</v>
      </c>
      <c r="BC111" s="401">
        <f>$R111/(1+($V111*(('Traffic Data'!N30*(0.67/14))/(($I111)*$S111))^$W111))</f>
        <v>55.899999999320812</v>
      </c>
      <c r="BD111" s="401">
        <f>$R111/(1+($V111*(('Traffic Data'!O30*(0.67/14))/(($I111)*$S111))^$W111))</f>
        <v>55.899999998661805</v>
      </c>
      <c r="BE111" s="401">
        <f>$R111/(1+($V111*(('Traffic Data'!P30*(0.67/14))/(($I111)*$S111))^$W111))</f>
        <v>55.899999997475788</v>
      </c>
      <c r="BF111" s="401">
        <f>$R111/(1+($V111*(('Traffic Data'!Q30*(0.67/14))/(($I111)*$S111))^$W111))</f>
        <v>55.899999995413282</v>
      </c>
      <c r="BG111" s="401">
        <f>$R111/(1+($V111*(('Traffic Data'!R30*(0.67/14))/(($I111)*$S111))^$W111))</f>
        <v>55.899999990284719</v>
      </c>
      <c r="BH111" s="401">
        <f>$R111/(1+($V111*(('Traffic Data'!S30*(0.67/14))/(($I111)*$S111))^$W111))</f>
        <v>55.899999980472096</v>
      </c>
      <c r="BI111" s="401">
        <f>$R111/(1+($V111*(('Traffic Data'!T30*(0.67/14))/(($I111)*$S111))^$W111))</f>
        <v>55.899999962498299</v>
      </c>
      <c r="BJ111" s="401">
        <f>$R111/(1+($V111*(('Traffic Data'!U30*(0.67/14))/(($I111)*$S111))^$W111))</f>
        <v>55.899999930804007</v>
      </c>
      <c r="BK111" s="401">
        <f>$R111/(1+($V111*(('Traffic Data'!V30*(0.67/14))/(($I111)*$S111))^$W111))</f>
        <v>55.899999876695695</v>
      </c>
      <c r="BL111" s="401">
        <f>$R111/(1+($V111*(('Traffic Data'!W30*(0.67/14))/(($I111)*$S111))^$W111))</f>
        <v>55.899999829127054</v>
      </c>
      <c r="BM111" s="401">
        <f>$R111/(1+($V111*(('Traffic Data'!X30*(0.67/14))/(($I111)*$S111))^$W111))</f>
        <v>55.899999797588571</v>
      </c>
      <c r="BN111" s="401">
        <f>$R111/(1+($V111*(('Traffic Data'!Y30*(0.67/14))/(($I111)*$S111))^$W111))</f>
        <v>55.899999760904464</v>
      </c>
      <c r="BO111" s="401">
        <f>$R111/(1+($V111*(('Traffic Data'!Z30*(0.67/14))/(($I111)*$S111))^$W111))</f>
        <v>55.899999718341554</v>
      </c>
      <c r="BP111" s="401">
        <f>$R111/(1+($V111*(('Traffic Data'!AA30*(0.67/14))/(($I111)*$S111))^$W111))</f>
        <v>55.899999669048363</v>
      </c>
      <c r="BQ111" s="401">
        <f>$R111/(1+($V111*(('Traffic Data'!AB30*(0.67/14))/(($I111)*$S111))^$W111))</f>
        <v>55.899999612155355</v>
      </c>
      <c r="BR111" s="401">
        <f>$R111/(1+($V111*(('Traffic Data'!AC30*(0.67/14))/(($I111)*$S111))^$W111))</f>
        <v>55.899999546568758</v>
      </c>
      <c r="BS111" s="401">
        <f>$R111/(1+($V111*(('Traffic Data'!AD30*(0.67/14))/(($I111)*$S111))^$W111))</f>
        <v>55.899999471207138</v>
      </c>
      <c r="BT111" s="401">
        <f>$R111/(1+($V111*(('Traffic Data'!AE30*(0.67/14))/(($I111)*$S111))^$W111))</f>
        <v>55.899999384754295</v>
      </c>
      <c r="BU111" s="401">
        <f>$R111/(1+($V111*(('Traffic Data'!AF30*(0.67/14))/(($I111)*$S111))^$W111))</f>
        <v>55.899999285725421</v>
      </c>
      <c r="BV111" s="401">
        <f>$R111/(1+($V111*(('Traffic Data'!AG30*(0.67/14))/(($I111)*$S111))^$W111))</f>
        <v>55.899999172639902</v>
      </c>
      <c r="BW111" s="645">
        <f>$R111/(1+($V111*(('Traffic Data'!AH30*(0.67/14))/(($I111)*$S111))^$W111))</f>
        <v>55.899999043688453</v>
      </c>
    </row>
    <row r="112" spans="1:75" ht="21.95" customHeight="1" x14ac:dyDescent="0.2">
      <c r="A112" s="642"/>
      <c r="C112" s="116"/>
      <c r="D112" s="116" t="s">
        <v>357</v>
      </c>
      <c r="E112" s="116" t="s">
        <v>346</v>
      </c>
      <c r="F112" s="575">
        <f>'Traffic Data'!CM30</f>
        <v>0.83333333333333337</v>
      </c>
      <c r="G112" s="575">
        <f>'Traffic Data'!CN30</f>
        <v>0.9</v>
      </c>
      <c r="H112" s="146">
        <f>'Traffic Data'!G31</f>
        <v>55</v>
      </c>
      <c r="I112" s="146">
        <v>4</v>
      </c>
      <c r="J112" s="146">
        <f t="shared" si="6"/>
        <v>62</v>
      </c>
      <c r="K112" s="146">
        <v>0</v>
      </c>
      <c r="L112" s="146">
        <v>2.5</v>
      </c>
      <c r="M112" s="146">
        <v>0</v>
      </c>
      <c r="N112" s="146">
        <v>3.6</v>
      </c>
      <c r="O112" s="146">
        <v>0</v>
      </c>
      <c r="P112" s="146">
        <v>0</v>
      </c>
      <c r="Q112" s="146">
        <v>0</v>
      </c>
      <c r="R112" s="174">
        <f t="shared" si="4"/>
        <v>55.9</v>
      </c>
      <c r="S112" s="576">
        <f>F112*G112*M22</f>
        <v>1575</v>
      </c>
      <c r="T112" s="577">
        <v>0.12</v>
      </c>
      <c r="U112" s="578">
        <v>0.65</v>
      </c>
      <c r="V112" s="579">
        <f t="shared" si="8"/>
        <v>0.2</v>
      </c>
      <c r="W112" s="228">
        <v>10</v>
      </c>
      <c r="X112" s="400">
        <f>$R112/(1+($V112*(('Traffic Data'!J31*$T112*$U112)/(($I112/2)*$S112))^$W112))</f>
        <v>55.899999377100173</v>
      </c>
      <c r="Y112" s="401">
        <f>$R112/(1+($V112*(('Traffic Data'!K31*$T112*$U112)/(($I112/2)*$S112))^$W112))</f>
        <v>55.899999116354792</v>
      </c>
      <c r="Z112" s="401">
        <f>$R112/(1+($V112*(('Traffic Data'!L31*$T112*$U112)/(($I112/2)*$S112))^$W112))</f>
        <v>55.899998724362867</v>
      </c>
      <c r="AA112" s="401">
        <f>$R112/(1+($V112*(('Traffic Data'!M31*$T112*$U112)/(($I112/2)*$S112))^$W112))</f>
        <v>55.899997515804188</v>
      </c>
      <c r="AB112" s="401">
        <f>$R112/(1+($V112*(('Traffic Data'!N31*$T112*$U112)/(($I112/2)*$S112))^$W112))</f>
        <v>55.899995358541901</v>
      </c>
      <c r="AC112" s="401">
        <f>$R112/(1+($V112*(('Traffic Data'!O31*$T112*$U112)/(($I112/2)*$S112))^$W112))</f>
        <v>55.899991640447503</v>
      </c>
      <c r="AD112" s="401">
        <f>$R112/(1+($V112*(('Traffic Data'!P31*$T112*$U112)/(($I112/2)*$S112))^$W112))</f>
        <v>55.899985432547204</v>
      </c>
      <c r="AE112" s="401">
        <f>$R112/(1+($V112*(('Traffic Data'!Q31*$T112*$U112)/(($I112/2)*$S112))^$W112))</f>
        <v>55.899975335285816</v>
      </c>
      <c r="AF112" s="401">
        <f>$R112/(1+($V112*(('Traffic Data'!R31*$T112*$U112)/(($I112/2)*$S112))^$W112))</f>
        <v>55.899951309516432</v>
      </c>
      <c r="AG112" s="401">
        <f>$R112/(1+($V112*(('Traffic Data'!S31*$T112*$U112)/(($I112/2)*$S112))^$W112))</f>
        <v>55.899907944758745</v>
      </c>
      <c r="AH112" s="401">
        <f>$R112/(1+($V112*(('Traffic Data'!T31*$T112*$U112)/(($I112/2)*$S112))^$W112))</f>
        <v>55.899832504230247</v>
      </c>
      <c r="AI112" s="401">
        <f>$R112/(1+($V112*(('Traffic Data'!U31*$T112*$U112)/(($I112/2)*$S112))^$W112))</f>
        <v>55.899705351444027</v>
      </c>
      <c r="AJ112" s="401">
        <f>$R112/(1+($V112*(('Traffic Data'!V31*$T112*$U112)/(($I112/2)*$S112))^$W112))</f>
        <v>55.89949689106227</v>
      </c>
      <c r="AK112" s="401">
        <f>$R112/(1+($V112*(('Traffic Data'!W31*$T112*$U112)/(($I112/2)*$S112))^$W112))</f>
        <v>55.899297479641056</v>
      </c>
      <c r="AL112" s="401">
        <f>$R112/(1+($V112*(('Traffic Data'!X31*$T112*$U112)/(($I112/2)*$S112))^$W112))</f>
        <v>55.899163392727473</v>
      </c>
      <c r="AM112" s="401">
        <f>$R112/(1+($V112*(('Traffic Data'!Y31*$T112*$U112)/(($I112/2)*$S112))^$W112))</f>
        <v>55.89900669712766</v>
      </c>
      <c r="AN112" s="401">
        <f>$R112/(1+($V112*(('Traffic Data'!Z31*$T112*$U112)/(($I112/2)*$S112))^$W112))</f>
        <v>55.898824065785504</v>
      </c>
      <c r="AO112" s="401">
        <f>$R112/(1+($V112*(('Traffic Data'!AA31*$T112*$U112)/(($I112/2)*$S112))^$W112))</f>
        <v>55.898611666425637</v>
      </c>
      <c r="AP112" s="401">
        <f>$R112/(1+($V112*(('Traffic Data'!AB31*$T112*$U112)/(($I112/2)*$S112))^$W112))</f>
        <v>55.898365441391256</v>
      </c>
      <c r="AQ112" s="401">
        <f>$R112/(1+($V112*(('Traffic Data'!AC31*$T112*$U112)/(($I112/2)*$S112))^$W112))</f>
        <v>55.898080477146628</v>
      </c>
      <c r="AR112" s="401">
        <f>$R112/(1+($V112*(('Traffic Data'!AD31*$T112*$U112)/(($I112/2)*$S112))^$W112))</f>
        <v>55.897751687905789</v>
      </c>
      <c r="AS112" s="401">
        <f>$R112/(1+($V112*(('Traffic Data'!AE31*$T112*$U112)/(($I112/2)*$S112))^$W112))</f>
        <v>55.897373056533787</v>
      </c>
      <c r="AT112" s="401">
        <f>$R112/(1+($V112*(('Traffic Data'!AF31*$T112*$U112)/(($I112/2)*$S112))^$W112))</f>
        <v>55.896937805232575</v>
      </c>
      <c r="AU112" s="401">
        <f>$R112/(1+($V112*(('Traffic Data'!AG31*$T112*$U112)/(($I112/2)*$S112))^$W112))</f>
        <v>55.896438894351022</v>
      </c>
      <c r="AV112" s="401">
        <f>$R112/(1+($V112*(('Traffic Data'!AH31*$T112*$U112)/(($I112/2)*$S112))^$W112))</f>
        <v>55.895867988800596</v>
      </c>
      <c r="AW112" s="372">
        <f>$R112/(1+($V112*(('Traffic Data'!AI31*$T112*$U112)/(($I112/2)*$S112))^$W112))</f>
        <v>55.895215742358523</v>
      </c>
      <c r="AX112" s="401">
        <f>$R112/(1+($V112*(('Traffic Data'!J31*(0.67/14))/(($I112)*$S112))^$W112))</f>
        <v>55.899999999995408</v>
      </c>
      <c r="AY112" s="401">
        <f>$R112/(1+($V112*(('Traffic Data'!J31*(0.67/14))/(($I112)*$S112))^$W112))</f>
        <v>55.899999999995408</v>
      </c>
      <c r="AZ112" s="401">
        <f>$R112/(1+($V112*(('Traffic Data'!K31*(0.67/14))/(($I112)*$S112))^$W112))</f>
        <v>55.899999999993469</v>
      </c>
      <c r="BA112" s="401">
        <f>$R112/(1+($V112*(('Traffic Data'!L31*(0.67/14))/(($I112)*$S112))^$W112))</f>
        <v>55.899999999990577</v>
      </c>
      <c r="BB112" s="401">
        <f>$R112/(1+($V112*(('Traffic Data'!M31*(0.67/14))/(($I112)*$S112))^$W112))</f>
        <v>55.899999999981652</v>
      </c>
      <c r="BC112" s="401">
        <f>$R112/(1+($V112*(('Traffic Data'!N31*(0.67/14))/(($I112)*$S112))^$W112))</f>
        <v>55.899999999965729</v>
      </c>
      <c r="BD112" s="401">
        <f>$R112/(1+($V112*(('Traffic Data'!O31*(0.67/14))/(($I112)*$S112))^$W112))</f>
        <v>55.899999999938288</v>
      </c>
      <c r="BE112" s="401">
        <f>$R112/(1+($V112*(('Traffic Data'!P31*(0.67/14))/(($I112)*$S112))^$W112))</f>
        <v>55.899999999892444</v>
      </c>
      <c r="BF112" s="401">
        <f>$R112/(1+($V112*(('Traffic Data'!Q31*(0.67/14))/(($I112)*$S112))^$W112))</f>
        <v>55.899999999817901</v>
      </c>
      <c r="BG112" s="401">
        <f>$R112/(1+($V112*(('Traffic Data'!R31*(0.67/14))/(($I112)*$S112))^$W112))</f>
        <v>55.899999999640528</v>
      </c>
      <c r="BH112" s="401">
        <f>$R112/(1+($V112*(('Traffic Data'!S31*(0.67/14))/(($I112)*$S112))^$W112))</f>
        <v>55.899999999320379</v>
      </c>
      <c r="BI112" s="401">
        <f>$R112/(1+($V112*(('Traffic Data'!T31*(0.67/14))/(($I112)*$S112))^$W112))</f>
        <v>55.899999998763413</v>
      </c>
      <c r="BJ112" s="401">
        <f>$R112/(1+($V112*(('Traffic Data'!U31*(0.67/14))/(($I112)*$S112))^$W112))</f>
        <v>55.899999997824658</v>
      </c>
      <c r="BK112" s="401">
        <f>$R112/(1+($V112*(('Traffic Data'!V31*(0.67/14))/(($I112)*$S112))^$W112))</f>
        <v>55.899999996285608</v>
      </c>
      <c r="BL112" s="401">
        <f>$R112/(1+($V112*(('Traffic Data'!W31*(0.67/14))/(($I112)*$S112))^$W112))</f>
        <v>55.899999994813363</v>
      </c>
      <c r="BM112" s="401">
        <f>$R112/(1+($V112*(('Traffic Data'!X31*(0.67/14))/(($I112)*$S112))^$W112))</f>
        <v>55.899999993823393</v>
      </c>
      <c r="BN112" s="401">
        <f>$R112/(1+($V112*(('Traffic Data'!Y31*(0.67/14))/(($I112)*$S112))^$W112))</f>
        <v>55.899999992666508</v>
      </c>
      <c r="BO112" s="401">
        <f>$R112/(1+($V112*(('Traffic Data'!Z31*(0.67/14))/(($I112)*$S112))^$W112))</f>
        <v>55.899999991318118</v>
      </c>
      <c r="BP112" s="401">
        <f>$R112/(1+($V112*(('Traffic Data'!AA31*(0.67/14))/(($I112)*$S112))^$W112))</f>
        <v>55.899999989749936</v>
      </c>
      <c r="BQ112" s="401">
        <f>$R112/(1+($V112*(('Traffic Data'!AB31*(0.67/14))/(($I112)*$S112))^$W112))</f>
        <v>55.899999987932013</v>
      </c>
      <c r="BR112" s="401">
        <f>$R112/(1+($V112*(('Traffic Data'!AC31*(0.67/14))/(($I112)*$S112))^$W112))</f>
        <v>55.899999985828039</v>
      </c>
      <c r="BS112" s="401">
        <f>$R112/(1+($V112*(('Traffic Data'!AD31*(0.67/14))/(($I112)*$S112))^$W112))</f>
        <v>55.89999998340047</v>
      </c>
      <c r="BT112" s="401">
        <f>$R112/(1+($V112*(('Traffic Data'!AE31*(0.67/14))/(($I112)*$S112))^$W112))</f>
        <v>55.899999980604861</v>
      </c>
      <c r="BU112" s="401">
        <f>$R112/(1+($V112*(('Traffic Data'!AF31*(0.67/14))/(($I112)*$S112))^$W112))</f>
        <v>55.899999977391154</v>
      </c>
      <c r="BV112" s="401">
        <f>$R112/(1+($V112*(('Traffic Data'!AG31*(0.67/14))/(($I112)*$S112))^$W112))</f>
        <v>55.899999973707359</v>
      </c>
      <c r="BW112" s="645">
        <f>$R112/(1+($V112*(('Traffic Data'!AH31*(0.67/14))/(($I112)*$S112))^$W112))</f>
        <v>55.899999969491887</v>
      </c>
    </row>
    <row r="113" spans="1:75" ht="21.95" customHeight="1" x14ac:dyDescent="0.2">
      <c r="A113" s="642"/>
      <c r="C113" s="116"/>
      <c r="D113" s="116" t="s">
        <v>346</v>
      </c>
      <c r="E113" s="116" t="s">
        <v>343</v>
      </c>
      <c r="F113" s="575">
        <f>'Traffic Data'!CM30</f>
        <v>0.83333333333333337</v>
      </c>
      <c r="G113" s="575">
        <f>'Traffic Data'!CN30</f>
        <v>0.9</v>
      </c>
      <c r="H113" s="146">
        <f>'Traffic Data'!G32</f>
        <v>45</v>
      </c>
      <c r="I113" s="146">
        <v>4</v>
      </c>
      <c r="J113" s="146">
        <f t="shared" si="6"/>
        <v>52</v>
      </c>
      <c r="K113" s="146">
        <v>0</v>
      </c>
      <c r="L113" s="146">
        <v>2.5</v>
      </c>
      <c r="M113" s="146">
        <v>0</v>
      </c>
      <c r="N113" s="146">
        <v>3.6</v>
      </c>
      <c r="O113" s="146">
        <v>0</v>
      </c>
      <c r="P113" s="146">
        <v>0</v>
      </c>
      <c r="Q113" s="146">
        <v>0</v>
      </c>
      <c r="R113" s="174">
        <f t="shared" si="4"/>
        <v>45.9</v>
      </c>
      <c r="S113" s="576">
        <f>F113*G113*M24</f>
        <v>1425</v>
      </c>
      <c r="T113" s="577">
        <v>0.12</v>
      </c>
      <c r="U113" s="578">
        <v>0.65</v>
      </c>
      <c r="V113" s="579">
        <f t="shared" si="8"/>
        <v>0.2</v>
      </c>
      <c r="W113" s="228">
        <v>10</v>
      </c>
      <c r="X113" s="400">
        <f>$R113/(1+($V113*(('Traffic Data'!J32*$T113*$U113)/(($I113/2)*$S113))^$W113))</f>
        <v>45.899998608523049</v>
      </c>
      <c r="Y113" s="401">
        <f>$R113/(1+($V113*(('Traffic Data'!K32*$T113*$U113)/(($I113/2)*$S113))^$W113))</f>
        <v>45.89999802605189</v>
      </c>
      <c r="Z113" s="401">
        <f>$R113/(1+($V113*(('Traffic Data'!L32*$T113*$U113)/(($I113/2)*$S113))^$W113))</f>
        <v>45.899997150393105</v>
      </c>
      <c r="AA113" s="401">
        <f>$R113/(1+($V113*(('Traffic Data'!M32*$T113*$U113)/(($I113/2)*$S113))^$W113))</f>
        <v>45.899994450630963</v>
      </c>
      <c r="AB113" s="401">
        <f>$R113/(1+($V113*(('Traffic Data'!N32*$T113*$U113)/(($I113/2)*$S113))^$W113))</f>
        <v>45.899989631589385</v>
      </c>
      <c r="AC113" s="401">
        <f>$R113/(1+($V113*(('Traffic Data'!O32*$T113*$U113)/(($I113/2)*$S113))^$W113))</f>
        <v>45.899981325854725</v>
      </c>
      <c r="AD113" s="401">
        <f>$R113/(1+($V113*(('Traffic Data'!P32*$T113*$U113)/(($I113/2)*$S113))^$W113))</f>
        <v>45.899967458224822</v>
      </c>
      <c r="AE113" s="401">
        <f>$R113/(1+($V113*(('Traffic Data'!Q32*$T113*$U113)/(($I113/2)*$S113))^$W113))</f>
        <v>45.899944902286926</v>
      </c>
      <c r="AF113" s="401">
        <f>$R113/(1+($V113*(('Traffic Data'!R32*$T113*$U113)/(($I113/2)*$S113))^$W113))</f>
        <v>45.899891231972568</v>
      </c>
      <c r="AG113" s="401">
        <f>$R113/(1+($V113*(('Traffic Data'!S32*$T113*$U113)/(($I113/2)*$S113))^$W113))</f>
        <v>45.899794361178913</v>
      </c>
      <c r="AH113" s="401">
        <f>$R113/(1+($V113*(('Traffic Data'!T32*$T113*$U113)/(($I113/2)*$S113))^$W113))</f>
        <v>45.899625838222953</v>
      </c>
      <c r="AI113" s="401">
        <f>$R113/(1+($V113*(('Traffic Data'!U32*$T113*$U113)/(($I113/2)*$S113))^$W113))</f>
        <v>45.899341799521196</v>
      </c>
      <c r="AJ113" s="401">
        <f>$R113/(1+($V113*(('Traffic Data'!V32*$T113*$U113)/(($I113/2)*$S113))^$W113))</f>
        <v>45.898876137648358</v>
      </c>
      <c r="AK113" s="401">
        <f>$R113/(1+($V113*(('Traffic Data'!W32*$T113*$U113)/(($I113/2)*$S113))^$W113))</f>
        <v>45.898430695068917</v>
      </c>
      <c r="AL113" s="401">
        <f>$R113/(1+($V113*(('Traffic Data'!X32*$T113*$U113)/(($I113/2)*$S113))^$W113))</f>
        <v>45.898131176579909</v>
      </c>
      <c r="AM113" s="401">
        <f>$R113/(1+($V113*(('Traffic Data'!Y32*$T113*$U113)/(($I113/2)*$S113))^$W113))</f>
        <v>45.897781158759372</v>
      </c>
      <c r="AN113" s="401">
        <f>$R113/(1+($V113*(('Traffic Data'!Z32*$T113*$U113)/(($I113/2)*$S113))^$W113))</f>
        <v>45.897373211396463</v>
      </c>
      <c r="AO113" s="401">
        <f>$R113/(1+($V113*(('Traffic Data'!AA32*$T113*$U113)/(($I113/2)*$S113))^$W113))</f>
        <v>45.896898776372069</v>
      </c>
      <c r="AP113" s="401">
        <f>$R113/(1+($V113*(('Traffic Data'!AB32*$T113*$U113)/(($I113/2)*$S113))^$W113))</f>
        <v>45.896348792928883</v>
      </c>
      <c r="AQ113" s="401">
        <f>$R113/(1+($V113*(('Traffic Data'!AC32*$T113*$U113)/(($I113/2)*$S113))^$W113))</f>
        <v>45.895712289599331</v>
      </c>
      <c r="AR113" s="401">
        <f>$R113/(1+($V113*(('Traffic Data'!AD32*$T113*$U113)/(($I113/2)*$S113))^$W113))</f>
        <v>45.894977911524315</v>
      </c>
      <c r="AS113" s="401">
        <f>$R113/(1+($V113*(('Traffic Data'!AE32*$T113*$U113)/(($I113/2)*$S113))^$W113))</f>
        <v>45.894132225322728</v>
      </c>
      <c r="AT113" s="401">
        <f>$R113/(1+($V113*(('Traffic Data'!AF32*$T113*$U113)/(($I113/2)*$S113))^$W113))</f>
        <v>45.893160100911004</v>
      </c>
      <c r="AU113" s="401">
        <f>$R113/(1+($V113*(('Traffic Data'!AG32*$T113*$U113)/(($I113/2)*$S113))^$W113))</f>
        <v>45.892045826232724</v>
      </c>
      <c r="AV113" s="401">
        <f>$R113/(1+($V113*(('Traffic Data'!AH32*$T113*$U113)/(($I113/2)*$S113))^$W113))</f>
        <v>45.890770799614316</v>
      </c>
      <c r="AW113" s="372">
        <f>$R113/(1+($V113*(('Traffic Data'!AI32*$T113*$U113)/(($I113/2)*$S113))^$W113))</f>
        <v>45.889314165902256</v>
      </c>
      <c r="AX113" s="401">
        <f>$R113/(1+($V113*(('Traffic Data'!J32*(0.67/14))/(($I113)*$S113))^$W113))</f>
        <v>45.899999999989724</v>
      </c>
      <c r="AY113" s="401">
        <f>$R113/(1+($V113*(('Traffic Data'!J32*(0.67/14))/(($I113)*$S113))^$W113))</f>
        <v>45.899999999989724</v>
      </c>
      <c r="AZ113" s="401">
        <f>$R113/(1+($V113*(('Traffic Data'!K32*(0.67/14))/(($I113)*$S113))^$W113))</f>
        <v>45.899999999985425</v>
      </c>
      <c r="BA113" s="401">
        <f>$R113/(1+($V113*(('Traffic Data'!L32*(0.67/14))/(($I113)*$S113))^$W113))</f>
        <v>45.899999999978959</v>
      </c>
      <c r="BB113" s="401">
        <f>$R113/(1+($V113*(('Traffic Data'!M32*(0.67/14))/(($I113)*$S113))^$W113))</f>
        <v>45.899999999959029</v>
      </c>
      <c r="BC113" s="401">
        <f>$R113/(1+($V113*(('Traffic Data'!N32*(0.67/14))/(($I113)*$S113))^$W113))</f>
        <v>45.899999999923445</v>
      </c>
      <c r="BD113" s="401">
        <f>$R113/(1+($V113*(('Traffic Data'!O32*(0.67/14))/(($I113)*$S113))^$W113))</f>
        <v>45.899999999862132</v>
      </c>
      <c r="BE113" s="401">
        <f>$R113/(1+($V113*(('Traffic Data'!P32*(0.67/14))/(($I113)*$S113))^$W113))</f>
        <v>45.899999999759743</v>
      </c>
      <c r="BF113" s="401">
        <f>$R113/(1+($V113*(('Traffic Data'!Q32*(0.67/14))/(($I113)*$S113))^$W113))</f>
        <v>45.89999999959322</v>
      </c>
      <c r="BG113" s="401">
        <f>$R113/(1+($V113*(('Traffic Data'!R32*(0.67/14))/(($I113)*$S113))^$W113))</f>
        <v>45.899999999196986</v>
      </c>
      <c r="BH113" s="401">
        <f>$R113/(1+($V113*(('Traffic Data'!S32*(0.67/14))/(($I113)*$S113))^$W113))</f>
        <v>45.899999998481803</v>
      </c>
      <c r="BI113" s="401">
        <f>$R113/(1+($V113*(('Traffic Data'!T32*(0.67/14))/(($I113)*$S113))^$W113))</f>
        <v>45.899999997237607</v>
      </c>
      <c r="BJ113" s="401">
        <f>$R113/(1+($V113*(('Traffic Data'!U32*(0.67/14))/(($I113)*$S113))^$W113))</f>
        <v>45.899999995140554</v>
      </c>
      <c r="BK113" s="401">
        <f>$R113/(1+($V113*(('Traffic Data'!V32*(0.67/14))/(($I113)*$S113))^$W113))</f>
        <v>45.899999991702529</v>
      </c>
      <c r="BL113" s="401">
        <f>$R113/(1+($V113*(('Traffic Data'!W32*(0.67/14))/(($I113)*$S113))^$W113))</f>
        <v>45.899999988413725</v>
      </c>
      <c r="BM113" s="401">
        <f>$R113/(1+($V113*(('Traffic Data'!X32*(0.67/14))/(($I113)*$S113))^$W113))</f>
        <v>45.899999986202268</v>
      </c>
      <c r="BN113" s="401">
        <f>$R113/(1+($V113*(('Traffic Data'!Y32*(0.67/14))/(($I113)*$S113))^$W113))</f>
        <v>45.899999983617917</v>
      </c>
      <c r="BO113" s="401">
        <f>$R113/(1+($V113*(('Traffic Data'!Z32*(0.67/14))/(($I113)*$S113))^$W113))</f>
        <v>45.899999980605813</v>
      </c>
      <c r="BP113" s="401">
        <f>$R113/(1+($V113*(('Traffic Data'!AA32*(0.67/14))/(($I113)*$S113))^$W113))</f>
        <v>45.899999977102709</v>
      </c>
      <c r="BQ113" s="401">
        <f>$R113/(1+($V113*(('Traffic Data'!AB32*(0.67/14))/(($I113)*$S113))^$W113))</f>
        <v>45.899999973041687</v>
      </c>
      <c r="BR113" s="401">
        <f>$R113/(1+($V113*(('Traffic Data'!AC32*(0.67/14))/(($I113)*$S113))^$W113))</f>
        <v>45.899999968341696</v>
      </c>
      <c r="BS113" s="401">
        <f>$R113/(1+($V113*(('Traffic Data'!AD32*(0.67/14))/(($I113)*$S113))^$W113))</f>
        <v>45.89999996291882</v>
      </c>
      <c r="BT113" s="401">
        <f>$R113/(1+($V113*(('Traffic Data'!AE32*(0.67/14))/(($I113)*$S113))^$W113))</f>
        <v>45.899999956673796</v>
      </c>
      <c r="BU113" s="401">
        <f>$R113/(1+($V113*(('Traffic Data'!AF32*(0.67/14))/(($I113)*$S113))^$W113))</f>
        <v>45.899999949494799</v>
      </c>
      <c r="BV113" s="401">
        <f>$R113/(1+($V113*(('Traffic Data'!AG32*(0.67/14))/(($I113)*$S113))^$W113))</f>
        <v>45.899999941265669</v>
      </c>
      <c r="BW113" s="645">
        <f>$R113/(1+($V113*(('Traffic Data'!AH32*(0.67/14))/(($I113)*$S113))^$W113))</f>
        <v>45.899999931848868</v>
      </c>
    </row>
    <row r="114" spans="1:75" ht="21.95" customHeight="1" x14ac:dyDescent="0.2">
      <c r="A114" s="642"/>
      <c r="C114" s="116"/>
      <c r="D114" s="116" t="s">
        <v>343</v>
      </c>
      <c r="E114" s="116" t="s">
        <v>350</v>
      </c>
      <c r="F114" s="575">
        <f>'Traffic Data'!CM30</f>
        <v>0.83333333333333337</v>
      </c>
      <c r="G114" s="575">
        <f>'Traffic Data'!CN30</f>
        <v>0.9</v>
      </c>
      <c r="H114" s="146">
        <f>'Traffic Data'!G33</f>
        <v>45</v>
      </c>
      <c r="I114" s="146">
        <v>4</v>
      </c>
      <c r="J114" s="146">
        <f t="shared" si="6"/>
        <v>52</v>
      </c>
      <c r="K114" s="146">
        <v>0</v>
      </c>
      <c r="L114" s="146">
        <v>2.5</v>
      </c>
      <c r="M114" s="146">
        <v>0</v>
      </c>
      <c r="N114" s="146">
        <v>3.6</v>
      </c>
      <c r="O114" s="146">
        <v>0</v>
      </c>
      <c r="P114" s="146">
        <v>0</v>
      </c>
      <c r="Q114" s="146">
        <v>0</v>
      </c>
      <c r="R114" s="174">
        <f t="shared" si="4"/>
        <v>45.9</v>
      </c>
      <c r="S114" s="576">
        <f>F114*G114*M24</f>
        <v>1425</v>
      </c>
      <c r="T114" s="577">
        <v>0.12</v>
      </c>
      <c r="U114" s="578">
        <v>0.65</v>
      </c>
      <c r="V114" s="579">
        <f t="shared" si="8"/>
        <v>0.2</v>
      </c>
      <c r="W114" s="228">
        <v>10</v>
      </c>
      <c r="X114" s="400">
        <f>$R114/(1+($V114*(('Traffic Data'!J33*$T114*$U114)/(($I114/2)*$S114))^$W114))</f>
        <v>45.899999869126233</v>
      </c>
      <c r="Y114" s="401">
        <f>$R114/(1+($V114*(('Traffic Data'!K33*$T114*$U114)/(($I114/2)*$S114))^$W114))</f>
        <v>45.899999816389006</v>
      </c>
      <c r="Z114" s="401">
        <f>$R114/(1+($V114*(('Traffic Data'!L33*$T114*$U114)/(($I114/2)*$S114))^$W114))</f>
        <v>45.899999735586789</v>
      </c>
      <c r="AA114" s="401">
        <f>$R114/(1+($V114*(('Traffic Data'!M33*$T114*$U114)/(($I114/2)*$S114))^$W114))</f>
        <v>45.899999514914178</v>
      </c>
      <c r="AB114" s="401">
        <f>$R114/(1+($V114*(('Traffic Data'!N33*$T114*$U114)/(($I114/2)*$S114))^$W114))</f>
        <v>45.899999140161235</v>
      </c>
      <c r="AC114" s="401">
        <f>$R114/(1+($V114*(('Traffic Data'!O33*$T114*$U114)/(($I114/2)*$S114))^$W114))</f>
        <v>45.899998522685827</v>
      </c>
      <c r="AD114" s="401">
        <f>$R114/(1+($V114*(('Traffic Data'!P33*$T114*$U114)/(($I114/2)*$S114))^$W114))</f>
        <v>45.899997531669932</v>
      </c>
      <c r="AE114" s="401">
        <f>$R114/(1+($V114*(('Traffic Data'!Q33*$T114*$U114)/(($I114/2)*$S114))^$W114))</f>
        <v>45.899995976004625</v>
      </c>
      <c r="AF114" s="401">
        <f>$R114/(1+($V114*(('Traffic Data'!R33*$T114*$U114)/(($I114/2)*$S114))^$W114))</f>
        <v>45.899992695771978</v>
      </c>
      <c r="AG114" s="401">
        <f>$R114/(1+($V114*(('Traffic Data'!S33*$T114*$U114)/(($I114/2)*$S114))^$W114))</f>
        <v>45.899987175145384</v>
      </c>
      <c r="AH114" s="401">
        <f>$R114/(1+($V114*(('Traffic Data'!T33*$T114*$U114)/(($I114/2)*$S114))^$W114))</f>
        <v>45.899978156147526</v>
      </c>
      <c r="AI114" s="401">
        <f>$R114/(1+($V114*(('Traffic Data'!U33*$T114*$U114)/(($I114/2)*$S114))^$W114))</f>
        <v>45.899963779774033</v>
      </c>
      <c r="AJ114" s="401">
        <f>$R114/(1+($V114*(('Traffic Data'!V33*$T114*$U114)/(($I114/2)*$S114))^$W114))</f>
        <v>45.899941362927734</v>
      </c>
      <c r="AK114" s="401">
        <f>$R114/(1+($V114*(('Traffic Data'!W33*$T114*$U114)/(($I114/2)*$S114))^$W114))</f>
        <v>45.899920131425979</v>
      </c>
      <c r="AL114" s="401">
        <f>$R114/(1+($V114*(('Traffic Data'!X33*$T114*$U114)/(($I114/2)*$S114))^$W114))</f>
        <v>45.899904407351293</v>
      </c>
      <c r="AM114" s="401">
        <f>$R114/(1+($V114*(('Traffic Data'!Y33*$T114*$U114)/(($I114/2)*$S114))^$W114))</f>
        <v>45.899885950045132</v>
      </c>
      <c r="AN114" s="401">
        <f>$R114/(1+($V114*(('Traffic Data'!Z33*$T114*$U114)/(($I114/2)*$S114))^$W114))</f>
        <v>45.899864345062973</v>
      </c>
      <c r="AO114" s="401">
        <f>$R114/(1+($V114*(('Traffic Data'!AA33*$T114*$U114)/(($I114/2)*$S114))^$W114))</f>
        <v>45.899839108182725</v>
      </c>
      <c r="AP114" s="401">
        <f>$R114/(1+($V114*(('Traffic Data'!AB33*$T114*$U114)/(($I114/2)*$S114))^$W114))</f>
        <v>45.899809740102185</v>
      </c>
      <c r="AQ114" s="401">
        <f>$R114/(1+($V114*(('Traffic Data'!AC33*$T114*$U114)/(($I114/2)*$S114))^$W114))</f>
        <v>45.899775611250405</v>
      </c>
      <c r="AR114" s="401">
        <f>$R114/(1+($V114*(('Traffic Data'!AD33*$T114*$U114)/(($I114/2)*$S114))^$W114))</f>
        <v>45.899736092819808</v>
      </c>
      <c r="AS114" s="401">
        <f>$R114/(1+($V114*(('Traffic Data'!AE33*$T114*$U114)/(($I114/2)*$S114))^$W114))</f>
        <v>45.899690417317423</v>
      </c>
      <c r="AT114" s="401">
        <f>$R114/(1+($V114*(('Traffic Data'!AF33*$T114*$U114)/(($I114/2)*$S114))^$W114))</f>
        <v>45.899637713552103</v>
      </c>
      <c r="AU114" s="401">
        <f>$R114/(1+($V114*(('Traffic Data'!AG33*$T114*$U114)/(($I114/2)*$S114))^$W114))</f>
        <v>45.899577105587056</v>
      </c>
      <c r="AV114" s="401">
        <f>$R114/(1+($V114*(('Traffic Data'!AH33*$T114*$U114)/(($I114/2)*$S114))^$W114))</f>
        <v>45.899507520307488</v>
      </c>
      <c r="AW114" s="372">
        <f>$R114/(1+($V114*(('Traffic Data'!AI33*$T114*$U114)/(($I114/2)*$S114))^$W114))</f>
        <v>45.899427745140208</v>
      </c>
      <c r="AX114" s="401">
        <f>$R114/(1+($V114*(('Traffic Data'!J33*(0.67/14))/(($I114)*$S114))^$W114))</f>
        <v>45.899999999999032</v>
      </c>
      <c r="AY114" s="401">
        <f>$R114/(1+($V114*(('Traffic Data'!J33*(0.67/14))/(($I114)*$S114))^$W114))</f>
        <v>45.899999999999032</v>
      </c>
      <c r="AZ114" s="401">
        <f>$R114/(1+($V114*(('Traffic Data'!K33*(0.67/14))/(($I114)*$S114))^$W114))</f>
        <v>45.899999999998641</v>
      </c>
      <c r="BA114" s="401">
        <f>$R114/(1+($V114*(('Traffic Data'!L33*(0.67/14))/(($I114)*$S114))^$W114))</f>
        <v>45.899999999998045</v>
      </c>
      <c r="BB114" s="401">
        <f>$R114/(1+($V114*(('Traffic Data'!M33*(0.67/14))/(($I114)*$S114))^$W114))</f>
        <v>45.899999999996425</v>
      </c>
      <c r="BC114" s="401">
        <f>$R114/(1+($V114*(('Traffic Data'!N33*(0.67/14))/(($I114)*$S114))^$W114))</f>
        <v>45.899999999993646</v>
      </c>
      <c r="BD114" s="401">
        <f>$R114/(1+($V114*(('Traffic Data'!O33*(0.67/14))/(($I114)*$S114))^$W114))</f>
        <v>45.899999999989092</v>
      </c>
      <c r="BE114" s="401">
        <f>$R114/(1+($V114*(('Traffic Data'!P33*(0.67/14))/(($I114)*$S114))^$W114))</f>
        <v>45.899999999981773</v>
      </c>
      <c r="BF114" s="401">
        <f>$R114/(1+($V114*(('Traffic Data'!Q33*(0.67/14))/(($I114)*$S114))^$W114))</f>
        <v>45.899999999970291</v>
      </c>
      <c r="BG114" s="401">
        <f>$R114/(1+($V114*(('Traffic Data'!R33*(0.67/14))/(($I114)*$S114))^$W114))</f>
        <v>45.899999999946075</v>
      </c>
      <c r="BH114" s="401">
        <f>$R114/(1+($V114*(('Traffic Data'!S33*(0.67/14))/(($I114)*$S114))^$W114))</f>
        <v>45.899999999905319</v>
      </c>
      <c r="BI114" s="401">
        <f>$R114/(1+($V114*(('Traffic Data'!T33*(0.67/14))/(($I114)*$S114))^$W114))</f>
        <v>45.899999999838734</v>
      </c>
      <c r="BJ114" s="401">
        <f>$R114/(1+($V114*(('Traffic Data'!U33*(0.67/14))/(($I114)*$S114))^$W114))</f>
        <v>45.899999999732593</v>
      </c>
      <c r="BK114" s="401">
        <f>$R114/(1+($V114*(('Traffic Data'!V33*(0.67/14))/(($I114)*$S114))^$W114))</f>
        <v>45.899999999567086</v>
      </c>
      <c r="BL114" s="401">
        <f>$R114/(1+($V114*(('Traffic Data'!W33*(0.67/14))/(($I114)*$S114))^$W114))</f>
        <v>45.89999999941034</v>
      </c>
      <c r="BM114" s="401">
        <f>$R114/(1+($V114*(('Traffic Data'!X33*(0.67/14))/(($I114)*$S114))^$W114))</f>
        <v>45.899999999294252</v>
      </c>
      <c r="BN114" s="401">
        <f>$R114/(1+($V114*(('Traffic Data'!Y33*(0.67/14))/(($I114)*$S114))^$W114))</f>
        <v>45.899999999157991</v>
      </c>
      <c r="BO114" s="401">
        <f>$R114/(1+($V114*(('Traffic Data'!Z33*(0.67/14))/(($I114)*$S114))^$W114))</f>
        <v>45.899999998998474</v>
      </c>
      <c r="BP114" s="401">
        <f>$R114/(1+($V114*(('Traffic Data'!AA33*(0.67/14))/(($I114)*$S114))^$W114))</f>
        <v>45.899999998812156</v>
      </c>
      <c r="BQ114" s="401">
        <f>$R114/(1+($V114*(('Traffic Data'!AB33*(0.67/14))/(($I114)*$S114))^$W114))</f>
        <v>45.899999998595341</v>
      </c>
      <c r="BR114" s="401">
        <f>$R114/(1+($V114*(('Traffic Data'!AC33*(0.67/14))/(($I114)*$S114))^$W114))</f>
        <v>45.899999998343375</v>
      </c>
      <c r="BS114" s="401">
        <f>$R114/(1+($V114*(('Traffic Data'!AD33*(0.67/14))/(($I114)*$S114))^$W114))</f>
        <v>45.899999998051612</v>
      </c>
      <c r="BT114" s="401">
        <f>$R114/(1+($V114*(('Traffic Data'!AE33*(0.67/14))/(($I114)*$S114))^$W114))</f>
        <v>45.899999997714396</v>
      </c>
      <c r="BU114" s="401">
        <f>$R114/(1+($V114*(('Traffic Data'!AF33*(0.67/14))/(($I114)*$S114))^$W114))</f>
        <v>45.899999997325281</v>
      </c>
      <c r="BV114" s="401">
        <f>$R114/(1+($V114*(('Traffic Data'!AG33*(0.67/14))/(($I114)*$S114))^$W114))</f>
        <v>45.899999996877817</v>
      </c>
      <c r="BW114" s="645">
        <f>$R114/(1+($V114*(('Traffic Data'!AH33*(0.67/14))/(($I114)*$S114))^$W114))</f>
        <v>45.89999999636408</v>
      </c>
    </row>
    <row r="115" spans="1:75" ht="21.95" customHeight="1" x14ac:dyDescent="0.2">
      <c r="A115" s="642"/>
      <c r="C115" s="116"/>
      <c r="D115" s="116" t="s">
        <v>350</v>
      </c>
      <c r="E115" s="116" t="s">
        <v>280</v>
      </c>
      <c r="F115" s="575">
        <f>'Traffic Data'!CM30</f>
        <v>0.83333333333333337</v>
      </c>
      <c r="G115" s="575">
        <f>'Traffic Data'!CN30</f>
        <v>0.9</v>
      </c>
      <c r="H115" s="146">
        <f>'Traffic Data'!G34</f>
        <v>55</v>
      </c>
      <c r="I115" s="146">
        <v>4</v>
      </c>
      <c r="J115" s="146">
        <f t="shared" si="6"/>
        <v>62</v>
      </c>
      <c r="K115" s="146">
        <v>0</v>
      </c>
      <c r="L115" s="146">
        <v>2.5</v>
      </c>
      <c r="M115" s="146">
        <v>0</v>
      </c>
      <c r="N115" s="146">
        <v>3.6</v>
      </c>
      <c r="O115" s="146">
        <v>0</v>
      </c>
      <c r="P115" s="146">
        <v>0</v>
      </c>
      <c r="Q115" s="146">
        <v>0</v>
      </c>
      <c r="R115" s="174">
        <f t="shared" si="4"/>
        <v>55.9</v>
      </c>
      <c r="S115" s="576">
        <f>F115*G115*M22</f>
        <v>1575</v>
      </c>
      <c r="T115" s="577">
        <v>0.12</v>
      </c>
      <c r="U115" s="578">
        <v>0.65</v>
      </c>
      <c r="V115" s="579">
        <f t="shared" si="8"/>
        <v>0.2</v>
      </c>
      <c r="W115" s="228">
        <v>10</v>
      </c>
      <c r="X115" s="400">
        <f>$R115/(1+($V115*(('Traffic Data'!J34*$T115*$U115)/(($I115/2)*$S115))^$W115))</f>
        <v>55.899999941413874</v>
      </c>
      <c r="Y115" s="401">
        <f>$R115/(1+($V115*(('Traffic Data'!K34*$T115*$U115)/(($I115/2)*$S115))^$W115))</f>
        <v>55.899999917805857</v>
      </c>
      <c r="Z115" s="401">
        <f>$R115/(1+($V115*(('Traffic Data'!L34*$T115*$U115)/(($I115/2)*$S115))^$W115))</f>
        <v>55.899999881634443</v>
      </c>
      <c r="AA115" s="401">
        <f>$R115/(1+($V115*(('Traffic Data'!M34*$T115*$U115)/(($I115/2)*$S115))^$W115))</f>
        <v>55.899999782849534</v>
      </c>
      <c r="AB115" s="401">
        <f>$R115/(1+($V115*(('Traffic Data'!N34*$T115*$U115)/(($I115/2)*$S115))^$W115))</f>
        <v>55.899999615089982</v>
      </c>
      <c r="AC115" s="401">
        <f>$R115/(1+($V115*(('Traffic Data'!O34*$T115*$U115)/(($I115/2)*$S115))^$W115))</f>
        <v>55.899999338674824</v>
      </c>
      <c r="AD115" s="401">
        <f>$R115/(1+($V115*(('Traffic Data'!P34*$T115*$U115)/(($I115/2)*$S115))^$W115))</f>
        <v>55.899998895042863</v>
      </c>
      <c r="AE115" s="401">
        <f>$R115/(1+($V115*(('Traffic Data'!Q34*$T115*$U115)/(($I115/2)*$S115))^$W115))</f>
        <v>55.899998198643459</v>
      </c>
      <c r="AF115" s="401">
        <f>$R115/(1+($V115*(('Traffic Data'!R34*$T115*$U115)/(($I115/2)*$S115))^$W115))</f>
        <v>55.899996730234925</v>
      </c>
      <c r="AG115" s="401">
        <f>$R115/(1+($V115*(('Traffic Data'!S34*$T115*$U115)/(($I115/2)*$S115))^$W115))</f>
        <v>55.899994258905288</v>
      </c>
      <c r="AH115" s="401">
        <f>$R115/(1+($V115*(('Traffic Data'!T34*$T115*$U115)/(($I115/2)*$S115))^$W115))</f>
        <v>55.89999022151553</v>
      </c>
      <c r="AI115" s="401">
        <f>$R115/(1+($V115*(('Traffic Data'!U34*$T115*$U115)/(($I115/2)*$S115))^$W115))</f>
        <v>55.899983785873516</v>
      </c>
      <c r="AJ115" s="401">
        <f>$R115/(1+($V115*(('Traffic Data'!V34*$T115*$U115)/(($I115/2)*$S115))^$W115))</f>
        <v>55.899973750876065</v>
      </c>
      <c r="AK115" s="401">
        <f>$R115/(1+($V115*(('Traffic Data'!W34*$T115*$U115)/(($I115/2)*$S115))^$W115))</f>
        <v>55.899964246497476</v>
      </c>
      <c r="AL115" s="401">
        <f>$R115/(1+($V115*(('Traffic Data'!X34*$T115*$U115)/(($I115/2)*$S115))^$W115))</f>
        <v>55.899957207540147</v>
      </c>
      <c r="AM115" s="401">
        <f>$R115/(1+($V115*(('Traffic Data'!Y34*$T115*$U115)/(($I115/2)*$S115))^$W115))</f>
        <v>55.899948945034772</v>
      </c>
      <c r="AN115" s="401">
        <f>$R115/(1+($V115*(('Traffic Data'!Z34*$T115*$U115)/(($I115/2)*$S115))^$W115))</f>
        <v>55.89993927345116</v>
      </c>
      <c r="AO115" s="401">
        <f>$R115/(1+($V115*(('Traffic Data'!AA34*$T115*$U115)/(($I115/2)*$S115))^$W115))</f>
        <v>55.899927976022013</v>
      </c>
      <c r="AP115" s="401">
        <f>$R115/(1+($V115*(('Traffic Data'!AB34*$T115*$U115)/(($I115/2)*$S115))^$W115))</f>
        <v>55.899914829228308</v>
      </c>
      <c r="AQ115" s="401">
        <f>$R115/(1+($V115*(('Traffic Data'!AC34*$T115*$U115)/(($I115/2)*$S115))^$W115))</f>
        <v>55.899899551234036</v>
      </c>
      <c r="AR115" s="401">
        <f>$R115/(1+($V115*(('Traffic Data'!AD34*$T115*$U115)/(($I115/2)*$S115))^$W115))</f>
        <v>55.89988186054309</v>
      </c>
      <c r="AS115" s="401">
        <f>$R115/(1+($V115*(('Traffic Data'!AE34*$T115*$U115)/(($I115/2)*$S115))^$W115))</f>
        <v>55.899861413573589</v>
      </c>
      <c r="AT115" s="401">
        <f>$R115/(1+($V115*(('Traffic Data'!AF34*$T115*$U115)/(($I115/2)*$S115))^$W115))</f>
        <v>55.899837820319298</v>
      </c>
      <c r="AU115" s="401">
        <f>$R115/(1+($V115*(('Traffic Data'!AG34*$T115*$U115)/(($I115/2)*$S115))^$W115))</f>
        <v>55.899810688645594</v>
      </c>
      <c r="AV115" s="401">
        <f>$R115/(1+($V115*(('Traffic Data'!AH34*$T115*$U115)/(($I115/2)*$S115))^$W115))</f>
        <v>55.899779538144408</v>
      </c>
      <c r="AW115" s="372">
        <f>$R115/(1+($V115*(('Traffic Data'!AI34*$T115*$U115)/(($I115/2)*$S115))^$W115))</f>
        <v>55.899743825971207</v>
      </c>
      <c r="AX115" s="401">
        <f>$R115/(1+($V115*(('Traffic Data'!J34*(0.67/14))/(($I115)*$S115))^$W115))</f>
        <v>55.899999999999565</v>
      </c>
      <c r="AY115" s="401">
        <f>$R115/(1+($V115*(('Traffic Data'!J34*(0.67/14))/(($I115)*$S115))^$W115))</f>
        <v>55.899999999999565</v>
      </c>
      <c r="AZ115" s="401">
        <f>$R115/(1+($V115*(('Traffic Data'!K34*(0.67/14))/(($I115)*$S115))^$W115))</f>
        <v>55.899999999999388</v>
      </c>
      <c r="BA115" s="401">
        <f>$R115/(1+($V115*(('Traffic Data'!L34*(0.67/14))/(($I115)*$S115))^$W115))</f>
        <v>55.899999999999132</v>
      </c>
      <c r="BB115" s="401">
        <f>$R115/(1+($V115*(('Traffic Data'!M34*(0.67/14))/(($I115)*$S115))^$W115))</f>
        <v>55.8999999999984</v>
      </c>
      <c r="BC115" s="401">
        <f>$R115/(1+($V115*(('Traffic Data'!N34*(0.67/14))/(($I115)*$S115))^$W115))</f>
        <v>55.899999999997156</v>
      </c>
      <c r="BD115" s="401">
        <f>$R115/(1+($V115*(('Traffic Data'!O34*(0.67/14))/(($I115)*$S115))^$W115))</f>
        <v>55.899999999995117</v>
      </c>
      <c r="BE115" s="401">
        <f>$R115/(1+($V115*(('Traffic Data'!P34*(0.67/14))/(($I115)*$S115))^$W115))</f>
        <v>55.899999999991842</v>
      </c>
      <c r="BF115" s="401">
        <f>$R115/(1+($V115*(('Traffic Data'!Q34*(0.67/14))/(($I115)*$S115))^$W115))</f>
        <v>55.899999999986704</v>
      </c>
      <c r="BG115" s="401">
        <f>$R115/(1+($V115*(('Traffic Data'!R34*(0.67/14))/(($I115)*$S115))^$W115))</f>
        <v>55.899999999975854</v>
      </c>
      <c r="BH115" s="401">
        <f>$R115/(1+($V115*(('Traffic Data'!S34*(0.67/14))/(($I115)*$S115))^$W115))</f>
        <v>55.899999999957608</v>
      </c>
      <c r="BI115" s="401">
        <f>$R115/(1+($V115*(('Traffic Data'!T34*(0.67/14))/(($I115)*$S115))^$W115))</f>
        <v>55.899999999927807</v>
      </c>
      <c r="BJ115" s="401">
        <f>$R115/(1+($V115*(('Traffic Data'!U34*(0.67/14))/(($I115)*$S115))^$W115))</f>
        <v>55.899999999880293</v>
      </c>
      <c r="BK115" s="401">
        <f>$R115/(1+($V115*(('Traffic Data'!V34*(0.67/14))/(($I115)*$S115))^$W115))</f>
        <v>55.899999999806205</v>
      </c>
      <c r="BL115" s="401">
        <f>$R115/(1+($V115*(('Traffic Data'!W34*(0.67/14))/(($I115)*$S115))^$W115))</f>
        <v>55.899999999736039</v>
      </c>
      <c r="BM115" s="401">
        <f>$R115/(1+($V115*(('Traffic Data'!X34*(0.67/14))/(($I115)*$S115))^$W115))</f>
        <v>55.89999999968407</v>
      </c>
      <c r="BN115" s="401">
        <f>$R115/(1+($V115*(('Traffic Data'!Y34*(0.67/14))/(($I115)*$S115))^$W115))</f>
        <v>55.899999999623077</v>
      </c>
      <c r="BO115" s="401">
        <f>$R115/(1+($V115*(('Traffic Data'!Z34*(0.67/14))/(($I115)*$S115))^$W115))</f>
        <v>55.899999999551667</v>
      </c>
      <c r="BP115" s="401">
        <f>$R115/(1+($V115*(('Traffic Data'!AA34*(0.67/14))/(($I115)*$S115))^$W115))</f>
        <v>55.899999999468257</v>
      </c>
      <c r="BQ115" s="401">
        <f>$R115/(1+($V115*(('Traffic Data'!AB34*(0.67/14))/(($I115)*$S115))^$W115))</f>
        <v>55.89999999937119</v>
      </c>
      <c r="BR115" s="401">
        <f>$R115/(1+($V115*(('Traffic Data'!AC34*(0.67/14))/(($I115)*$S115))^$W115))</f>
        <v>55.899999999258398</v>
      </c>
      <c r="BS115" s="401">
        <f>$R115/(1+($V115*(('Traffic Data'!AD34*(0.67/14))/(($I115)*$S115))^$W115))</f>
        <v>55.8999999991278</v>
      </c>
      <c r="BT115" s="401">
        <f>$R115/(1+($V115*(('Traffic Data'!AE34*(0.67/14))/(($I115)*$S115))^$W115))</f>
        <v>55.899999998976838</v>
      </c>
      <c r="BU115" s="401">
        <f>$R115/(1+($V115*(('Traffic Data'!AF34*(0.67/14))/(($I115)*$S115))^$W115))</f>
        <v>55.899999998802656</v>
      </c>
      <c r="BV115" s="401">
        <f>$R115/(1+($V115*(('Traffic Data'!AG34*(0.67/14))/(($I115)*$S115))^$W115))</f>
        <v>55.899999998602347</v>
      </c>
      <c r="BW115" s="645">
        <f>$R115/(1+($V115*(('Traffic Data'!AH34*(0.67/14))/(($I115)*$S115))^$W115))</f>
        <v>55.899999998372365</v>
      </c>
    </row>
    <row r="116" spans="1:75" ht="21.95" customHeight="1" thickBot="1" x14ac:dyDescent="0.25">
      <c r="A116" s="642"/>
      <c r="B116" s="571"/>
      <c r="C116" s="278"/>
      <c r="D116" s="278" t="s">
        <v>280</v>
      </c>
      <c r="E116" s="278" t="s">
        <v>333</v>
      </c>
      <c r="F116" s="599">
        <f>'Traffic Data'!CM30</f>
        <v>0.83333333333333337</v>
      </c>
      <c r="G116" s="599">
        <f>'Traffic Data'!CN30</f>
        <v>0.9</v>
      </c>
      <c r="H116" s="146">
        <f>'Traffic Data'!G35</f>
        <v>55</v>
      </c>
      <c r="I116" s="146">
        <v>2</v>
      </c>
      <c r="J116" s="146">
        <f t="shared" si="6"/>
        <v>62</v>
      </c>
      <c r="K116" s="146">
        <v>4.2</v>
      </c>
      <c r="L116" s="146">
        <v>2.5</v>
      </c>
      <c r="M116" s="146">
        <v>0</v>
      </c>
      <c r="N116" s="146">
        <v>0</v>
      </c>
      <c r="O116" s="146">
        <v>0</v>
      </c>
      <c r="P116" s="146">
        <v>0</v>
      </c>
      <c r="Q116" s="146">
        <v>0</v>
      </c>
      <c r="R116" s="174">
        <f t="shared" si="4"/>
        <v>55.3</v>
      </c>
      <c r="S116" s="576">
        <f>F116*G116*N22</f>
        <v>600</v>
      </c>
      <c r="T116" s="577">
        <v>0.12</v>
      </c>
      <c r="U116" s="578">
        <v>0.65</v>
      </c>
      <c r="V116" s="579">
        <f t="shared" si="8"/>
        <v>0.2</v>
      </c>
      <c r="W116" s="228">
        <v>10</v>
      </c>
      <c r="X116" s="402">
        <f>$R116/(1+($V116*(('Traffic Data'!J35*$T116*$U116)/(($I116/2)*$S116))^$W116))</f>
        <v>55.299903328088064</v>
      </c>
      <c r="Y116" s="379">
        <f>$R116/(1+($V116*(('Traffic Data'!K35*$T116*$U116)/(($I116/2)*$S116))^$W116))</f>
        <v>55.29986437302955</v>
      </c>
      <c r="Z116" s="379">
        <f>$R116/(1+($V116*(('Traffic Data'!L35*$T116*$U116)/(($I116/2)*$S116))^$W116))</f>
        <v>55.299804687486549</v>
      </c>
      <c r="AA116" s="379">
        <f>$R116/(1+($V116*(('Traffic Data'!M35*$T116*$U116)/(($I116/2)*$S116))^$W116))</f>
        <v>55.299641685631045</v>
      </c>
      <c r="AB116" s="379">
        <f>$R116/(1+($V116*(('Traffic Data'!N35*$T116*$U116)/(($I116/2)*$S116))^$W116))</f>
        <v>55.299364873114826</v>
      </c>
      <c r="AC116" s="379">
        <f>$R116/(1+($V116*(('Traffic Data'!O35*$T116*$U116)/(($I116/2)*$S116))^$W116))</f>
        <v>55.298908778876452</v>
      </c>
      <c r="AD116" s="379">
        <f>$R116/(1+($V116*(('Traffic Data'!P35*$T116*$U116)/(($I116/2)*$S116))^$W116))</f>
        <v>55.29817678706992</v>
      </c>
      <c r="AE116" s="379">
        <f>$R116/(1+($V116*(('Traffic Data'!Q35*$T116*$U116)/(($I116/2)*$S116))^$W116))</f>
        <v>55.297027768559985</v>
      </c>
      <c r="AF116" s="379">
        <f>$R116/(1+($V116*(('Traffic Data'!R35*$T116*$U116)/(($I116/2)*$S116))^$W116))</f>
        <v>55.294605136297783</v>
      </c>
      <c r="AG116" s="379">
        <f>$R116/(1+($V116*(('Traffic Data'!S35*$T116*$U116)/(($I116/2)*$S116))^$W116))</f>
        <v>55.290528328319198</v>
      </c>
      <c r="AH116" s="379">
        <f>$R116/(1+($V116*(('Traffic Data'!T35*$T116*$U116)/(($I116/2)*$S116))^$W116))</f>
        <v>55.283869374900981</v>
      </c>
      <c r="AI116" s="379">
        <f>$R116/(1+($V116*(('Traffic Data'!U35*$T116*$U116)/(($I116/2)*$S116))^$W116))</f>
        <v>55.273258246070228</v>
      </c>
      <c r="AJ116" s="379">
        <f>$R116/(1+($V116*(('Traffic Data'!V35*$T116*$U116)/(($I116/2)*$S116))^$W116))</f>
        <v>55.256720596808989</v>
      </c>
      <c r="AK116" s="379">
        <f>$R116/(1+($V116*(('Traffic Data'!W35*$T116*$U116)/(($I116/2)*$S116))^$W116))</f>
        <v>55.241066522952416</v>
      </c>
      <c r="AL116" s="379">
        <f>$R116/(1+($V116*(('Traffic Data'!X35*$T116*$U116)/(($I116/2)*$S116))^$W116))</f>
        <v>55.229478804071881</v>
      </c>
      <c r="AM116" s="379">
        <f>$R116/(1+($V116*(('Traffic Data'!Y35*$T116*$U116)/(($I116/2)*$S116))^$W116))</f>
        <v>55.215883045019773</v>
      </c>
      <c r="AN116" s="379">
        <f>$R116/(1+($V116*(('Traffic Data'!Z35*$T116*$U116)/(($I116/2)*$S116))^$W116))</f>
        <v>55.199977176523241</v>
      </c>
      <c r="AO116" s="379">
        <f>$R116/(1+($V116*(('Traffic Data'!AA35*$T116*$U116)/(($I116/2)*$S116))^$W116))</f>
        <v>55.181409038767711</v>
      </c>
      <c r="AP116" s="379">
        <f>$R116/(1+($V116*(('Traffic Data'!AB35*$T116*$U116)/(($I116/2)*$S116))^$W116))</f>
        <v>55.159817048254801</v>
      </c>
      <c r="AQ116" s="379">
        <f>$R116/(1+($V116*(('Traffic Data'!AC35*$T116*$U116)/(($I116/2)*$S116))^$W116))</f>
        <v>55.134746029102963</v>
      </c>
      <c r="AR116" s="379">
        <f>$R116/(1+($V116*(('Traffic Data'!AD35*$T116*$U116)/(($I116/2)*$S116))^$W116))</f>
        <v>55.105744242512358</v>
      </c>
      <c r="AS116" s="379">
        <f>$R116/(1+($V116*(('Traffic Data'!AE35*$T116*$U116)/(($I116/2)*$S116))^$W116))</f>
        <v>55.072261830409062</v>
      </c>
      <c r="AT116" s="379">
        <f>$R116/(1+($V116*(('Traffic Data'!AF35*$T116*$U116)/(($I116/2)*$S116))^$W116))</f>
        <v>55.03367779533442</v>
      </c>
      <c r="AU116" s="379">
        <f>$R116/(1+($V116*(('Traffic Data'!AG35*$T116*$U116)/(($I116/2)*$S116))^$W116))</f>
        <v>54.989373826227258</v>
      </c>
      <c r="AV116" s="379">
        <f>$R116/(1+($V116*(('Traffic Data'!AH35*$T116*$U116)/(($I116/2)*$S116))^$W116))</f>
        <v>54.938595245848475</v>
      </c>
      <c r="AW116" s="380">
        <f>$R116/(1+($V116*(('Traffic Data'!AI35*$T116*$U116)/(($I116/2)*$S116))^$W116))</f>
        <v>54.880495856513917</v>
      </c>
      <c r="AX116" s="401">
        <f>$R116/(1+($V116*(('Traffic Data'!J35*(0.67/14))/(($I116)*$S116))^$W116))</f>
        <v>55.299999999286285</v>
      </c>
      <c r="AY116" s="401">
        <f>$R116/(1+($V116*(('Traffic Data'!J35*(0.67/14))/(($I116)*$S116))^$W116))</f>
        <v>55.299999999286285</v>
      </c>
      <c r="AZ116" s="401">
        <f>$R116/(1+($V116*(('Traffic Data'!K35*(0.67/14))/(($I116)*$S116))^$W116))</f>
        <v>55.299999998998686</v>
      </c>
      <c r="BA116" s="401">
        <f>$R116/(1+($V116*(('Traffic Data'!L35*(0.67/14))/(($I116)*$S116))^$W116))</f>
        <v>55.299999998558043</v>
      </c>
      <c r="BB116" s="401">
        <f>$R116/(1+($V116*(('Traffic Data'!M35*(0.67/14))/(($I116)*$S116))^$W116))</f>
        <v>55.299999997354604</v>
      </c>
      <c r="BC116" s="401">
        <f>$R116/(1+($V116*(('Traffic Data'!N35*(0.67/14))/(($I116)*$S116))^$W116))</f>
        <v>55.29999999531092</v>
      </c>
      <c r="BD116" s="401">
        <f>$R116/(1+($V116*(('Traffic Data'!O35*(0.67/14))/(($I116)*$S116))^$W116))</f>
        <v>55.299999991943551</v>
      </c>
      <c r="BE116" s="401">
        <f>$R116/(1+($V116*(('Traffic Data'!P35*(0.67/14))/(($I116)*$S116))^$W116))</f>
        <v>55.29999998653912</v>
      </c>
      <c r="BF116" s="401">
        <f>$R116/(1+($V116*(('Traffic Data'!Q35*(0.67/14))/(($I116)*$S116))^$W116))</f>
        <v>55.299999978055403</v>
      </c>
      <c r="BG116" s="401">
        <f>$R116/(1+($V116*(('Traffic Data'!R35*(0.67/14))/(($I116)*$S116))^$W116))</f>
        <v>55.299999960166851</v>
      </c>
      <c r="BH116" s="401">
        <f>$R116/(1+($V116*(('Traffic Data'!S35*(0.67/14))/(($I116)*$S116))^$W116))</f>
        <v>55.299999930060473</v>
      </c>
      <c r="BI116" s="401">
        <f>$R116/(1+($V116*(('Traffic Data'!T35*(0.67/14))/(($I116)*$S116))^$W116))</f>
        <v>55.299999880875909</v>
      </c>
      <c r="BJ116" s="401">
        <f>$R116/(1+($V116*(('Traffic Data'!U35*(0.67/14))/(($I116)*$S116))^$W116))</f>
        <v>55.299999802475199</v>
      </c>
      <c r="BK116" s="401">
        <f>$R116/(1+($V116*(('Traffic Data'!V35*(0.67/14))/(($I116)*$S116))^$W116))</f>
        <v>55.299999680226129</v>
      </c>
      <c r="BL116" s="401">
        <f>$R116/(1+($V116*(('Traffic Data'!W35*(0.67/14))/(($I116)*$S116))^$W116))</f>
        <v>55.299999564441158</v>
      </c>
      <c r="BM116" s="401">
        <f>$R116/(1+($V116*(('Traffic Data'!X35*(0.67/14))/(($I116)*$S116))^$W116))</f>
        <v>55.299999478690616</v>
      </c>
      <c r="BN116" s="401">
        <f>$R116/(1+($V116*(('Traffic Data'!Y35*(0.67/14))/(($I116)*$S116))^$W116))</f>
        <v>55.299999378034443</v>
      </c>
      <c r="BO116" s="401">
        <f>$R116/(1+($V116*(('Traffic Data'!Z35*(0.67/14))/(($I116)*$S116))^$W116))</f>
        <v>55.299999260212431</v>
      </c>
      <c r="BP116" s="401">
        <f>$R116/(1+($V116*(('Traffic Data'!AA35*(0.67/14))/(($I116)*$S116))^$W116))</f>
        <v>55.29999912258387</v>
      </c>
      <c r="BQ116" s="401">
        <f>$R116/(1+($V116*(('Traffic Data'!AB35*(0.67/14))/(($I116)*$S116))^$W116))</f>
        <v>55.299998962425725</v>
      </c>
      <c r="BR116" s="401">
        <f>$R116/(1+($V116*(('Traffic Data'!AC35*(0.67/14))/(($I116)*$S116))^$W116))</f>
        <v>55.299998776304577</v>
      </c>
      <c r="BS116" s="401">
        <f>$R116/(1+($V116*(('Traffic Data'!AD35*(0.67/14))/(($I116)*$S116))^$W116))</f>
        <v>55.299998560791103</v>
      </c>
      <c r="BT116" s="401">
        <f>$R116/(1+($V116*(('Traffic Data'!AE35*(0.67/14))/(($I116)*$S116))^$W116))</f>
        <v>55.299998311699625</v>
      </c>
      <c r="BU116" s="401">
        <f>$R116/(1+($V116*(('Traffic Data'!AF35*(0.67/14))/(($I116)*$S116))^$W116))</f>
        <v>55.299998024278878</v>
      </c>
      <c r="BV116" s="401">
        <f>$R116/(1+($V116*(('Traffic Data'!AG35*(0.67/14))/(($I116)*$S116))^$W116))</f>
        <v>55.299997693751649</v>
      </c>
      <c r="BW116" s="645">
        <f>$R116/(1+($V116*(('Traffic Data'!AH35*(0.67/14))/(($I116)*$S116))^$W116))</f>
        <v>55.299997314265312</v>
      </c>
    </row>
    <row r="117" spans="1:75" ht="21.95" customHeight="1" x14ac:dyDescent="0.2">
      <c r="A117" s="642"/>
      <c r="B117" s="574" t="s">
        <v>359</v>
      </c>
      <c r="C117" s="1424" t="s">
        <v>331</v>
      </c>
      <c r="D117" s="574" t="s">
        <v>332</v>
      </c>
      <c r="E117" s="574" t="s">
        <v>282</v>
      </c>
      <c r="F117" s="600">
        <f>'Traffic Data'!CM36</f>
        <v>0.81967213114754101</v>
      </c>
      <c r="G117" s="600">
        <f>'Traffic Data'!CN36</f>
        <v>0.9</v>
      </c>
      <c r="H117" s="601">
        <f>'Traffic Data'!G36</f>
        <v>70</v>
      </c>
      <c r="I117" s="601">
        <v>4</v>
      </c>
      <c r="J117" s="601">
        <f>H117+5</f>
        <v>75</v>
      </c>
      <c r="K117" s="601">
        <v>0</v>
      </c>
      <c r="L117" s="601">
        <v>0</v>
      </c>
      <c r="M117" s="601">
        <v>0</v>
      </c>
      <c r="N117" s="601">
        <v>0</v>
      </c>
      <c r="O117" s="601">
        <v>0</v>
      </c>
      <c r="P117" s="601">
        <v>0</v>
      </c>
      <c r="Q117" s="601">
        <f>3.22*(1)^(0.84)</f>
        <v>3.22</v>
      </c>
      <c r="R117" s="282">
        <f>J117-K117-L117-M117-N117-O117-P117-Q117</f>
        <v>71.78</v>
      </c>
      <c r="S117" s="602">
        <f>L$19*F117*G117</f>
        <v>1770.4918032786886</v>
      </c>
      <c r="T117" s="603">
        <v>0.12</v>
      </c>
      <c r="U117" s="604">
        <v>0.65</v>
      </c>
      <c r="V117" s="605">
        <f t="shared" si="8"/>
        <v>0.2</v>
      </c>
      <c r="W117" s="606">
        <v>10</v>
      </c>
      <c r="X117" s="407">
        <f>$R117/(1+($V117*(('Traffic Data'!J36*$T117*$U117)/(($I117/2)*$S117))^$W117))</f>
        <v>71.779575441467983</v>
      </c>
      <c r="Y117" s="396">
        <f>$R117/(1+($V117*(('Traffic Data'!K36*$T117*$U117)/(($I117/2)*$S117))^$W117))</f>
        <v>71.779337692497165</v>
      </c>
      <c r="Z117" s="396">
        <f>$R117/(1+($V117*(('Traffic Data'!L36*$T117*$U117)/(($I117/2)*$S117))^$W117))</f>
        <v>71.778799526082096</v>
      </c>
      <c r="AA117" s="396">
        <f>$R117/(1+($V117*(('Traffic Data'!M36*$T117*$U117)/(($I117/2)*$S117))^$W117))</f>
        <v>71.777287455159794</v>
      </c>
      <c r="AB117" s="396">
        <f>$R117/(1+($V117*(('Traffic Data'!N36*$T117*$U117)/(($I117/2)*$S117))^$W117))</f>
        <v>71.774234871140152</v>
      </c>
      <c r="AC117" s="396">
        <f>$R117/(1+($V117*(('Traffic Data'!O36*$T117*$U117)/(($I117/2)*$S117))^$W117))</f>
        <v>71.768378651101727</v>
      </c>
      <c r="AD117" s="396">
        <f>$R117/(1+($V117*(('Traffic Data'!P36*$T117*$U117)/(($I117/2)*$S117))^$W117))</f>
        <v>71.757632458033441</v>
      </c>
      <c r="AE117" s="396">
        <f>$R117/(1+($V117*(('Traffic Data'!Q36*$T117*$U117)/(($I117/2)*$S117))^$W117))</f>
        <v>71.73863521477162</v>
      </c>
      <c r="AF117" s="396">
        <f>$R117/(1+($V117*(('Traffic Data'!R36*$T117*$U117)/(($I117/2)*$S117))^$W117))</f>
        <v>71.706685699239998</v>
      </c>
      <c r="AG117" s="396">
        <f>$R117/(1+($V117*(('Traffic Data'!S36*$T117*$U117)/(($I117/2)*$S117))^$W117))</f>
        <v>71.65405292978302</v>
      </c>
      <c r="AH117" s="396">
        <f>$R117/(1+($V117*(('Traffic Data'!T36*$T117*$U117)/(($I117/2)*$S117))^$W117))</f>
        <v>71.56969327224563</v>
      </c>
      <c r="AI117" s="396">
        <f>$R117/(1+($V117*(('Traffic Data'!U36*$T117*$U117)/(($I117/2)*$S117))^$W117))</f>
        <v>71.437769825234398</v>
      </c>
      <c r="AJ117" s="396">
        <f>$R117/(1+($V117*(('Traffic Data'!V36*$T117*$U117)/(($I117/2)*$S117))^$W117))</f>
        <v>71.235987315589725</v>
      </c>
      <c r="AK117" s="396">
        <f>$R117/(1+($V117*(('Traffic Data'!W36*$T117*$U117)/(($I117/2)*$S117))^$W117))</f>
        <v>71.045375357220195</v>
      </c>
      <c r="AL117" s="396">
        <f>$R117/(1+($V117*(('Traffic Data'!X36*$T117*$U117)/(($I117/2)*$S117))^$W117))</f>
        <v>70.872985264960491</v>
      </c>
      <c r="AM117" s="396">
        <f>$R117/(1+($V117*(('Traffic Data'!Y36*$T117*$U117)/(($I117/2)*$S117))^$W117))</f>
        <v>70.665673065412804</v>
      </c>
      <c r="AN117" s="396">
        <f>$R117/(1+($V117*(('Traffic Data'!Z36*$T117*$U117)/(($I117/2)*$S117))^$W117))</f>
        <v>70.417609586805895</v>
      </c>
      <c r="AO117" s="396">
        <f>$R117/(1+($V117*(('Traffic Data'!AA36*$T117*$U117)/(($I117/2)*$S117))^$W117))</f>
        <v>70.122164682268675</v>
      </c>
      <c r="AP117" s="396">
        <f>$R117/(1+($V117*(('Traffic Data'!AB36*$T117*$U117)/(($I117/2)*$S117))^$W117))</f>
        <v>69.772318785628528</v>
      </c>
      <c r="AQ117" s="396">
        <f>$R117/(1+($V117*(('Traffic Data'!AC36*$T117*$U117)/(($I117/2)*$S117))^$W117))</f>
        <v>69.359918218350188</v>
      </c>
      <c r="AR117" s="396">
        <f>$R117/(1+($V117*(('Traffic Data'!AD36*$T117*$U117)/(($I117/2)*$S117))^$W117))</f>
        <v>68.876695017192887</v>
      </c>
      <c r="AS117" s="396">
        <f>$R117/(1+($V117*(('Traffic Data'!AE36*$T117*$U117)/(($I117/2)*$S117))^$W117))</f>
        <v>68.313413872388836</v>
      </c>
      <c r="AT117" s="396">
        <f>$R117/(1+($V117*(('Traffic Data'!AF36*$T117*$U117)/(($I117/2)*$S117))^$W117))</f>
        <v>67.660307442602388</v>
      </c>
      <c r="AU117" s="396">
        <f>$R117/(1+($V117*(('Traffic Data'!AG36*$T117*$U117)/(($I117/2)*$S117))^$W117))</f>
        <v>66.908064856115161</v>
      </c>
      <c r="AV117" s="396">
        <f>$R117/(1+($V117*(('Traffic Data'!AH36*$T117*$U117)/(($I117/2)*$S117))^$W117))</f>
        <v>66.046746067464582</v>
      </c>
      <c r="AW117" s="384">
        <f>$R117/(1+($V117*(('Traffic Data'!AI36*$T117*$U117)/(($I117/2)*$S117))^$W117))</f>
        <v>65.066609539338799</v>
      </c>
      <c r="AX117" s="406">
        <f>$R117/(1+($V117*(('Traffic Data'!J36*(0.67/14))/(($I117)*$S117))^$W117))</f>
        <v>71.779999996865541</v>
      </c>
      <c r="AY117" s="383">
        <f>$R117/(1+($V117*(('Traffic Data'!J36*(0.67/14))/(($I117)*$S117))^$W117))</f>
        <v>71.779999996865541</v>
      </c>
      <c r="AZ117" s="383">
        <f>$R117/(1+($V117*(('Traffic Data'!K36*(0.67/14))/(($I117)*$S117))^$W117))</f>
        <v>71.779999995110273</v>
      </c>
      <c r="BA117" s="383">
        <f>$R117/(1+($V117*(('Traffic Data'!L36*(0.67/14))/(($I117)*$S117))^$W117))</f>
        <v>71.779999991136975</v>
      </c>
      <c r="BB117" s="383">
        <f>$R117/(1+($V117*(('Traffic Data'!M36*(0.67/14))/(($I117)*$S117))^$W117))</f>
        <v>71.779999979973041</v>
      </c>
      <c r="BC117" s="383">
        <f>$R117/(1+($V117*(('Traffic Data'!N36*(0.67/14))/(($I117)*$S117))^$W117))</f>
        <v>71.779999957433731</v>
      </c>
      <c r="BD117" s="383">
        <f>$R117/(1+($V117*(('Traffic Data'!O36*(0.67/14))/(($I117)*$S117))^$W117))</f>
        <v>71.779999914187897</v>
      </c>
      <c r="BE117" s="383">
        <f>$R117/(1+($V117*(('Traffic Data'!P36*(0.67/14))/(($I117)*$S117))^$W117))</f>
        <v>71.779999834813211</v>
      </c>
      <c r="BF117" s="383">
        <f>$R117/(1+($V117*(('Traffic Data'!Q36*(0.67/14))/(($I117)*$S117))^$W117))</f>
        <v>71.77999969443556</v>
      </c>
      <c r="BG117" s="383">
        <f>$R117/(1+($V117*(('Traffic Data'!R36*(0.67/14))/(($I117)*$S117))^$W117))</f>
        <v>71.779999458181052</v>
      </c>
      <c r="BH117" s="383">
        <f>$R117/(1+($V117*(('Traffic Data'!S36*(0.67/14))/(($I117)*$S117))^$W117))</f>
        <v>71.779999068522343</v>
      </c>
      <c r="BI117" s="383">
        <f>$R117/(1+($V117*(('Traffic Data'!T36*(0.67/14))/(($I117)*$S117))^$W117))</f>
        <v>71.779998442782983</v>
      </c>
      <c r="BJ117" s="383">
        <f>$R117/(1+($V117*(('Traffic Data'!U36*(0.67/14))/(($I117)*$S117))^$W117))</f>
        <v>71.779997461275727</v>
      </c>
      <c r="BK117" s="383">
        <f>$R117/(1+($V117*(('Traffic Data'!V36*(0.67/14))/(($I117)*$S117))^$W117))</f>
        <v>71.779995952986113</v>
      </c>
      <c r="BL117" s="383">
        <f>$R117/(1+($V117*(('Traffic Data'!W36*(0.67/14))/(($I117)*$S117))^$W117))</f>
        <v>71.779994520325175</v>
      </c>
      <c r="BM117" s="383">
        <f>$R117/(1+($V117*(('Traffic Data'!X36*(0.67/14))/(($I117)*$S117))^$W117))</f>
        <v>71.779993217985478</v>
      </c>
      <c r="BN117" s="383">
        <f>$R117/(1+($V117*(('Traffic Data'!Y36*(0.67/14))/(($I117)*$S117))^$W117))</f>
        <v>71.779991643407612</v>
      </c>
      <c r="BO117" s="383">
        <f>$R117/(1+($V117*(('Traffic Data'!Z36*(0.67/14))/(($I117)*$S117))^$W117))</f>
        <v>71.779989747131694</v>
      </c>
      <c r="BP117" s="383">
        <f>$R117/(1+($V117*(('Traffic Data'!AA36*(0.67/14))/(($I117)*$S117))^$W117))</f>
        <v>71.779987471152083</v>
      </c>
      <c r="BQ117" s="383">
        <f>$R117/(1+($V117*(('Traffic Data'!AB36*(0.67/14))/(($I117)*$S117))^$W117))</f>
        <v>71.779984751165628</v>
      </c>
      <c r="BR117" s="383">
        <f>$R117/(1+($V117*(('Traffic Data'!AC36*(0.67/14))/(($I117)*$S117))^$W117))</f>
        <v>71.779981509591806</v>
      </c>
      <c r="BS117" s="383">
        <f>$R117/(1+($V117*(('Traffic Data'!AD36*(0.67/14))/(($I117)*$S117))^$W117))</f>
        <v>71.779977661944514</v>
      </c>
      <c r="BT117" s="383">
        <f>$R117/(1+($V117*(('Traffic Data'!AE36*(0.67/14))/(($I117)*$S117))^$W117))</f>
        <v>71.779973108131216</v>
      </c>
      <c r="BU117" s="383">
        <f>$R117/(1+($V117*(('Traffic Data'!AF36*(0.67/14))/(($I117)*$S117))^$W117))</f>
        <v>71.779967733208309</v>
      </c>
      <c r="BV117" s="383">
        <f>$R117/(1+($V117*(('Traffic Data'!AG36*(0.67/14))/(($I117)*$S117))^$W117))</f>
        <v>71.779961412385049</v>
      </c>
      <c r="BW117" s="650">
        <f>$R117/(1+($V117*(('Traffic Data'!AH36*(0.67/14))/(($I117)*$S117))^$W117))</f>
        <v>71.77995399822241</v>
      </c>
    </row>
    <row r="118" spans="1:75" ht="21.95" customHeight="1" x14ac:dyDescent="0.2">
      <c r="A118" s="642"/>
      <c r="B118" s="288"/>
      <c r="C118" s="1413"/>
      <c r="D118" s="289" t="s">
        <v>282</v>
      </c>
      <c r="E118" s="289" t="s">
        <v>280</v>
      </c>
      <c r="F118" s="607">
        <f>'Traffic Data'!CM36</f>
        <v>0.81967213114754101</v>
      </c>
      <c r="G118" s="607">
        <f>'Traffic Data'!CN36</f>
        <v>0.9</v>
      </c>
      <c r="H118" s="608">
        <f>'Traffic Data'!G37</f>
        <v>70</v>
      </c>
      <c r="I118" s="608">
        <v>4</v>
      </c>
      <c r="J118" s="608">
        <f t="shared" ref="J118:J119" si="9">H118+5</f>
        <v>75</v>
      </c>
      <c r="K118" s="608">
        <v>0</v>
      </c>
      <c r="L118" s="608">
        <v>0</v>
      </c>
      <c r="M118" s="608">
        <v>0</v>
      </c>
      <c r="N118" s="608">
        <v>0</v>
      </c>
      <c r="O118" s="608">
        <v>0</v>
      </c>
      <c r="P118" s="608">
        <v>0</v>
      </c>
      <c r="Q118" s="608">
        <f>3.22*(1)^(0.84)</f>
        <v>3.22</v>
      </c>
      <c r="R118" s="290">
        <f t="shared" si="4"/>
        <v>71.78</v>
      </c>
      <c r="S118" s="609">
        <f>L$19*F118*G118</f>
        <v>1770.4918032786886</v>
      </c>
      <c r="T118" s="610">
        <v>0.12</v>
      </c>
      <c r="U118" s="611">
        <v>0.65</v>
      </c>
      <c r="V118" s="612">
        <f t="shared" si="8"/>
        <v>0.2</v>
      </c>
      <c r="W118" s="613">
        <v>10</v>
      </c>
      <c r="X118" s="407">
        <f>$R118/(1+($V118*(('Traffic Data'!J37*$T118*$U118)/(($I118/2)*$S118))^$W118))</f>
        <v>71.779922361429513</v>
      </c>
      <c r="Y118" s="396">
        <f>$R118/(1+($V118*(('Traffic Data'!K37*$T118*$U118)/(($I118/2)*$S118))^$W118))</f>
        <v>71.779870140159986</v>
      </c>
      <c r="Z118" s="396">
        <f>$R118/(1+($V118*(('Traffic Data'!L37*$T118*$U118)/(($I118/2)*$S118))^$W118))</f>
        <v>71.779731696770284</v>
      </c>
      <c r="AA118" s="396">
        <f>$R118/(1+($V118*(('Traffic Data'!M37*$T118*$U118)/(($I118/2)*$S118))^$W118))</f>
        <v>71.779198548195836</v>
      </c>
      <c r="AB118" s="396">
        <f>$R118/(1+($V118*(('Traffic Data'!N37*$T118*$U118)/(($I118/2)*$S118))^$W118))</f>
        <v>71.777850226458511</v>
      </c>
      <c r="AC118" s="396">
        <f>$R118/(1+($V118*(('Traffic Data'!O37*$T118*$U118)/(($I118/2)*$S118))^$W118))</f>
        <v>71.774723271101763</v>
      </c>
      <c r="AD118" s="396">
        <f>$R118/(1+($V118*(('Traffic Data'!P37*$T118*$U118)/(($I118/2)*$S118))^$W118))</f>
        <v>71.767976642938976</v>
      </c>
      <c r="AE118" s="396">
        <f>$R118/(1+($V118*(('Traffic Data'!Q37*$T118*$U118)/(($I118/2)*$S118))^$W118))</f>
        <v>71.754254599892576</v>
      </c>
      <c r="AF118" s="396">
        <f>$R118/(1+($V118*(('Traffic Data'!R37*$T118*$U118)/(($I118/2)*$S118))^$W118))</f>
        <v>71.727457621211542</v>
      </c>
      <c r="AG118" s="396">
        <f>$R118/(1+($V118*(('Traffic Data'!S37*$T118*$U118)/(($I118/2)*$S118))^$W118))</f>
        <v>71.677760793362395</v>
      </c>
      <c r="AH118" s="396">
        <f>$R118/(1+($V118*(('Traffic Data'!T37*$T118*$U118)/(($I118/2)*$S118))^$W118))</f>
        <v>71.58931578090673</v>
      </c>
      <c r="AI118" s="396">
        <f>$R118/(1+($V118*(('Traffic Data'!U37*$T118*$U118)/(($I118/2)*$S118))^$W118))</f>
        <v>71.437486417586626</v>
      </c>
      <c r="AJ118" s="396">
        <f>$R118/(1+($V118*(('Traffic Data'!V37*$T118*$U118)/(($I118/2)*$S118))^$W118))</f>
        <v>71.185078892135678</v>
      </c>
      <c r="AK118" s="396">
        <f>$R118/(1+($V118*(('Traffic Data'!W37*$T118*$U118)/(($I118/2)*$S118))^$W118))</f>
        <v>70.960523600555177</v>
      </c>
      <c r="AL118" s="396">
        <f>$R118/(1+($V118*(('Traffic Data'!X37*$T118*$U118)/(($I118/2)*$S118))^$W118))</f>
        <v>70.775074067968333</v>
      </c>
      <c r="AM118" s="396">
        <f>$R118/(1+($V118*(('Traffic Data'!Y37*$T118*$U118)/(($I118/2)*$S118))^$W118))</f>
        <v>70.553438386344823</v>
      </c>
      <c r="AN118" s="396">
        <f>$R118/(1+($V118*(('Traffic Data'!Z37*$T118*$U118)/(($I118/2)*$S118))^$W118))</f>
        <v>70.289827294499659</v>
      </c>
      <c r="AO118" s="396">
        <f>$R118/(1+($V118*(('Traffic Data'!AA37*$T118*$U118)/(($I118/2)*$S118))^$W118))</f>
        <v>69.977619125023239</v>
      </c>
      <c r="AP118" s="396">
        <f>$R118/(1+($V118*(('Traffic Data'!AB37*$T118*$U118)/(($I118/2)*$S118))^$W118))</f>
        <v>69.610086758821055</v>
      </c>
      <c r="AQ118" s="396">
        <f>$R118/(1+($V118*(('Traffic Data'!AC37*$T118*$U118)/(($I118/2)*$S118))^$W118))</f>
        <v>69.179115784248154</v>
      </c>
      <c r="AR118" s="396">
        <f>$R118/(1+($V118*(('Traffic Data'!AD37*$T118*$U118)/(($I118/2)*$S118))^$W118))</f>
        <v>68.676930328298084</v>
      </c>
      <c r="AS118" s="396">
        <f>$R118/(1+($V118*(('Traffic Data'!AE37*$T118*$U118)/(($I118/2)*$S118))^$W118))</f>
        <v>68.09458216520747</v>
      </c>
      <c r="AT118" s="396">
        <f>$R118/(1+($V118*(('Traffic Data'!AF37*$T118*$U118)/(($I118/2)*$S118))^$W118))</f>
        <v>67.422613233705889</v>
      </c>
      <c r="AU118" s="396">
        <f>$R118/(1+($V118*(('Traffic Data'!AG37*$T118*$U118)/(($I118/2)*$S118))^$W118))</f>
        <v>66.652582214756762</v>
      </c>
      <c r="AV118" s="396">
        <f>$R118/(1+($V118*(('Traffic Data'!AH37*$T118*$U118)/(($I118/2)*$S118))^$W118))</f>
        <v>65.775061244386137</v>
      </c>
      <c r="AW118" s="385">
        <f>$R118/(1+($V118*(('Traffic Data'!AI37*$T118*$U118)/(($I118/2)*$S118))^$W118))</f>
        <v>64.780806702343909</v>
      </c>
      <c r="AX118" s="407">
        <f>$R118/(1+($V118*(('Traffic Data'!J37*(0.67/14))/(($I118)*$S118))^$W118))</f>
        <v>71.779999999426806</v>
      </c>
      <c r="AY118" s="396">
        <f>$R118/(1+($V118*(('Traffic Data'!J37*(0.67/14))/(($I118)*$S118))^$W118))</f>
        <v>71.779999999426806</v>
      </c>
      <c r="AZ118" s="396">
        <f>$R118/(1+($V118*(('Traffic Data'!K37*(0.67/14))/(($I118)*$S118))^$W118))</f>
        <v>71.77999999904128</v>
      </c>
      <c r="BA118" s="396">
        <f>$R118/(1+($V118*(('Traffic Data'!L37*(0.67/14))/(($I118)*$S118))^$W118))</f>
        <v>71.779999998019164</v>
      </c>
      <c r="BB118" s="396">
        <f>$R118/(1+($V118*(('Traffic Data'!M37*(0.67/14))/(($I118)*$S118))^$W118))</f>
        <v>71.779999994082971</v>
      </c>
      <c r="BC118" s="396">
        <f>$R118/(1+($V118*(('Traffic Data'!N37*(0.67/14))/(($I118)*$S118))^$W118))</f>
        <v>71.779999984128153</v>
      </c>
      <c r="BD118" s="396">
        <f>$R118/(1+($V118*(('Traffic Data'!O37*(0.67/14))/(($I118)*$S118))^$W118))</f>
        <v>71.779999961040048</v>
      </c>
      <c r="BE118" s="396">
        <f>$R118/(1+($V118*(('Traffic Data'!P37*(0.67/14))/(($I118)*$S118))^$W118))</f>
        <v>71.779999911218979</v>
      </c>
      <c r="BF118" s="396">
        <f>$R118/(1+($V118*(('Traffic Data'!Q37*(0.67/14))/(($I118)*$S118))^$W118))</f>
        <v>71.77999980985841</v>
      </c>
      <c r="BG118" s="396">
        <f>$R118/(1+($V118*(('Traffic Data'!R37*(0.67/14))/(($I118)*$S118))^$W118))</f>
        <v>71.779999611805451</v>
      </c>
      <c r="BH118" s="396">
        <f>$R118/(1+($V118*(('Traffic Data'!S37*(0.67/14))/(($I118)*$S118))^$W118))</f>
        <v>71.779999244110741</v>
      </c>
      <c r="BI118" s="396">
        <f>$R118/(1+($V118*(('Traffic Data'!T37*(0.67/14))/(($I118)*$S118))^$W118))</f>
        <v>71.77999858846492</v>
      </c>
      <c r="BJ118" s="396">
        <f>$R118/(1+($V118*(('Traffic Data'!U37*(0.67/14))/(($I118)*$S118))^$W118))</f>
        <v>71.779997459163283</v>
      </c>
      <c r="BK118" s="396">
        <f>$R118/(1+($V118*(('Traffic Data'!V37*(0.67/14))/(($I118)*$S118))^$W118))</f>
        <v>71.779995571103598</v>
      </c>
      <c r="BL118" s="396">
        <f>$R118/(1+($V118*(('Traffic Data'!W37*(0.67/14))/(($I118)*$S118))^$W118))</f>
        <v>71.779993880094111</v>
      </c>
      <c r="BM118" s="396">
        <f>$R118/(1+($V118*(('Traffic Data'!X37*(0.67/14))/(($I118)*$S118))^$W118))</f>
        <v>71.779992475479744</v>
      </c>
      <c r="BN118" s="396">
        <f>$R118/(1+($V118*(('Traffic Data'!Y37*(0.67/14))/(($I118)*$S118))^$W118))</f>
        <v>71.779990787101838</v>
      </c>
      <c r="BO118" s="396">
        <f>$R118/(1+($V118*(('Traffic Data'!Z37*(0.67/14))/(($I118)*$S118))^$W118))</f>
        <v>71.779988765100271</v>
      </c>
      <c r="BP118" s="396">
        <f>$R118/(1+($V118*(('Traffic Data'!AA37*(0.67/14))/(($I118)*$S118))^$W118))</f>
        <v>71.779986350634417</v>
      </c>
      <c r="BQ118" s="396">
        <f>$R118/(1+($V118*(('Traffic Data'!AB37*(0.67/14))/(($I118)*$S118))^$W118))</f>
        <v>71.779983480563246</v>
      </c>
      <c r="BR118" s="396">
        <f>$R118/(1+($V118*(('Traffic Data'!AC37*(0.67/14))/(($I118)*$S118))^$W118))</f>
        <v>71.779980076252357</v>
      </c>
      <c r="BS118" s="396">
        <f>$R118/(1+($V118*(('Traffic Data'!AD37*(0.67/14))/(($I118)*$S118))^$W118))</f>
        <v>71.779976055506907</v>
      </c>
      <c r="BT118" s="396">
        <f>$R118/(1+($V118*(('Traffic Data'!AE37*(0.67/14))/(($I118)*$S118))^$W118))</f>
        <v>71.779971318679614</v>
      </c>
      <c r="BU118" s="396">
        <f>$R118/(1+($V118*(('Traffic Data'!AF37*(0.67/14))/(($I118)*$S118))^$W118))</f>
        <v>71.779965751191895</v>
      </c>
      <c r="BV118" s="396">
        <f>$R118/(1+($V118*(('Traffic Data'!AG37*(0.67/14))/(($I118)*$S118))^$W118))</f>
        <v>71.779959233200245</v>
      </c>
      <c r="BW118" s="651">
        <f>$R118/(1+($V118*(('Traffic Data'!AH37*(0.67/14))/(($I118)*$S118))^$W118))</f>
        <v>71.779951619297606</v>
      </c>
    </row>
    <row r="119" spans="1:75" ht="21.95" customHeight="1" x14ac:dyDescent="0.2">
      <c r="A119" s="642"/>
      <c r="B119" s="288"/>
      <c r="C119" s="1414"/>
      <c r="D119" s="302" t="s">
        <v>280</v>
      </c>
      <c r="E119" s="302" t="s">
        <v>333</v>
      </c>
      <c r="F119" s="614">
        <f>'Traffic Data'!CM36</f>
        <v>0.81967213114754101</v>
      </c>
      <c r="G119" s="614">
        <f>'Traffic Data'!CN36</f>
        <v>0.9</v>
      </c>
      <c r="H119" s="615">
        <f>'Traffic Data'!G38</f>
        <v>70</v>
      </c>
      <c r="I119" s="615">
        <v>4</v>
      </c>
      <c r="J119" s="615">
        <f t="shared" si="9"/>
        <v>75</v>
      </c>
      <c r="K119" s="615">
        <v>0</v>
      </c>
      <c r="L119" s="615">
        <v>0</v>
      </c>
      <c r="M119" s="615">
        <v>0</v>
      </c>
      <c r="N119" s="615">
        <v>0</v>
      </c>
      <c r="O119" s="615">
        <v>0</v>
      </c>
      <c r="P119" s="615">
        <v>0</v>
      </c>
      <c r="Q119" s="615">
        <f>3.22*(1)^(0.84)</f>
        <v>3.22</v>
      </c>
      <c r="R119" s="303">
        <f t="shared" si="4"/>
        <v>71.78</v>
      </c>
      <c r="S119" s="609">
        <f>L$19*F119*G119</f>
        <v>1770.4918032786886</v>
      </c>
      <c r="T119" s="610">
        <v>0.12</v>
      </c>
      <c r="U119" s="611">
        <v>0.65</v>
      </c>
      <c r="V119" s="616">
        <f t="shared" si="8"/>
        <v>0.2</v>
      </c>
      <c r="W119" s="613">
        <v>10</v>
      </c>
      <c r="X119" s="407">
        <f>$R119/(1+($V119*(('Traffic Data'!J38*$T119*$U119)/(($I119/2)*$S119))^$W119))</f>
        <v>71.77997609148342</v>
      </c>
      <c r="Y119" s="396">
        <f>$R119/(1+($V119*(('Traffic Data'!K38*$T119*$U119)/(($I119/2)*$S119))^$W119))</f>
        <v>71.779964006640029</v>
      </c>
      <c r="Z119" s="396">
        <f>$R119/(1+($V119*(('Traffic Data'!L38*$T119*$U119)/(($I119/2)*$S119))^$W119))</f>
        <v>71.779941587120831</v>
      </c>
      <c r="AA119" s="396">
        <f>$R119/(1+($V119*(('Traffic Data'!M38*$T119*$U119)/(($I119/2)*$S119))^$W119))</f>
        <v>71.779891746331302</v>
      </c>
      <c r="AB119" s="396">
        <f>$R119/(1+($V119*(('Traffic Data'!N38*$T119*$U119)/(($I119/2)*$S119))^$W119))</f>
        <v>71.779806406539308</v>
      </c>
      <c r="AC119" s="396">
        <f>$R119/(1+($V119*(('Traffic Data'!O38*$T119*$U119)/(($I119/2)*$S119))^$W119))</f>
        <v>71.779664695929995</v>
      </c>
      <c r="AD119" s="396">
        <f>$R119/(1+($V119*(('Traffic Data'!P38*$T119*$U119)/(($I119/2)*$S119))^$W119))</f>
        <v>71.779435699921265</v>
      </c>
      <c r="AE119" s="396">
        <f>$R119/(1+($V119*(('Traffic Data'!Q38*$T119*$U119)/(($I119/2)*$S119))^$W119))</f>
        <v>71.779074144952205</v>
      </c>
      <c r="AF119" s="396">
        <f>$R119/(1+($V119*(('Traffic Data'!R38*$T119*$U119)/(($I119/2)*$S119))^$W119))</f>
        <v>71.778537161168515</v>
      </c>
      <c r="AG119" s="396">
        <f>$R119/(1+($V119*(('Traffic Data'!S38*$T119*$U119)/(($I119/2)*$S119))^$W119))</f>
        <v>71.777734175406351</v>
      </c>
      <c r="AH119" s="396">
        <f>$R119/(1+($V119*(('Traffic Data'!T38*$T119*$U119)/(($I119/2)*$S119))^$W119))</f>
        <v>71.776554757167034</v>
      </c>
      <c r="AI119" s="396">
        <f>$R119/(1+($V119*(('Traffic Data'!U38*$T119*$U119)/(($I119/2)*$S119))^$W119))</f>
        <v>71.774849031981802</v>
      </c>
      <c r="AJ119" s="396">
        <f>$R119/(1+($V119*(('Traffic Data'!V38*$T119*$U119)/(($I119/2)*$S119))^$W119))</f>
        <v>71.772415612541664</v>
      </c>
      <c r="AK119" s="396">
        <f>$R119/(1+($V119*(('Traffic Data'!W38*$T119*$U119)/(($I119/2)*$S119))^$W119))</f>
        <v>71.770018300188895</v>
      </c>
      <c r="AL119" s="396">
        <f>$R119/(1+($V119*(('Traffic Data'!X38*$T119*$U119)/(($I119/2)*$S119))^$W119))</f>
        <v>71.767489898122705</v>
      </c>
      <c r="AM119" s="396">
        <f>$R119/(1+($V119*(('Traffic Data'!Y38*$T119*$U119)/(($I119/2)*$S119))^$W119))</f>
        <v>71.764399160622403</v>
      </c>
      <c r="AN119" s="396">
        <f>$R119/(1+($V119*(('Traffic Data'!Z38*$T119*$U119)/(($I119/2)*$S119))^$W119))</f>
        <v>71.760637617205063</v>
      </c>
      <c r="AO119" s="396">
        <f>$R119/(1+($V119*(('Traffic Data'!AA38*$T119*$U119)/(($I119/2)*$S119))^$W119))</f>
        <v>71.756076952093565</v>
      </c>
      <c r="AP119" s="396">
        <f>$R119/(1+($V119*(('Traffic Data'!AB38*$T119*$U119)/(($I119/2)*$S119))^$W119))</f>
        <v>71.750574141488244</v>
      </c>
      <c r="AQ119" s="396">
        <f>$R119/(1+($V119*(('Traffic Data'!AC38*$T119*$U119)/(($I119/2)*$S119))^$W119))</f>
        <v>71.743955026283516</v>
      </c>
      <c r="AR119" s="396">
        <f>$R119/(1+($V119*(('Traffic Data'!AD38*$T119*$U119)/(($I119/2)*$S119))^$W119))</f>
        <v>71.736029202085291</v>
      </c>
      <c r="AS119" s="396">
        <f>$R119/(1+($V119*(('Traffic Data'!AE38*$T119*$U119)/(($I119/2)*$S119))^$W119))</f>
        <v>71.726569339588096</v>
      </c>
      <c r="AT119" s="396">
        <f>$R119/(1+($V119*(('Traffic Data'!AF38*$T119*$U119)/(($I119/2)*$S119))^$W119))</f>
        <v>71.715312708256533</v>
      </c>
      <c r="AU119" s="396">
        <f>$R119/(1+($V119*(('Traffic Data'!AG38*$T119*$U119)/(($I119/2)*$S119))^$W119))</f>
        <v>71.70197345015616</v>
      </c>
      <c r="AV119" s="396">
        <f>$R119/(1+($V119*(('Traffic Data'!AH38*$T119*$U119)/(($I119/2)*$S119))^$W119))</f>
        <v>71.686211478832135</v>
      </c>
      <c r="AW119" s="385">
        <f>$R119/(1+($V119*(('Traffic Data'!AI38*$T119*$U119)/(($I119/2)*$S119))^$W119))</f>
        <v>71.667636866876236</v>
      </c>
      <c r="AX119" s="407">
        <f>$R119/(1+($V119*(('Traffic Data'!J38*(0.67/14))/(($I119)*$S119))^$W119))</f>
        <v>71.779999999823488</v>
      </c>
      <c r="AY119" s="396">
        <f>$R119/(1+($V119*(('Traffic Data'!J38*(0.67/14))/(($I119)*$S119))^$W119))</f>
        <v>71.779999999823488</v>
      </c>
      <c r="AZ119" s="396">
        <f>$R119/(1+($V119*(('Traffic Data'!K38*(0.67/14))/(($I119)*$S119))^$W119))</f>
        <v>71.779999999734272</v>
      </c>
      <c r="BA119" s="396">
        <f>$R119/(1+($V119*(('Traffic Data'!L38*(0.67/14))/(($I119)*$S119))^$W119))</f>
        <v>71.779999999568759</v>
      </c>
      <c r="BB119" s="396">
        <f>$R119/(1+($V119*(('Traffic Data'!M38*(0.67/14))/(($I119)*$S119))^$W119))</f>
        <v>71.779999999200783</v>
      </c>
      <c r="BC119" s="396">
        <f>$R119/(1+($V119*(('Traffic Data'!N38*(0.67/14))/(($I119)*$S119))^$W119))</f>
        <v>71.77999999857073</v>
      </c>
      <c r="BD119" s="396">
        <f>$R119/(1+($V119*(('Traffic Data'!O38*(0.67/14))/(($I119)*$S119))^$W119))</f>
        <v>71.779999997524499</v>
      </c>
      <c r="BE119" s="396">
        <f>$R119/(1+($V119*(('Traffic Data'!P38*(0.67/14))/(($I119)*$S119))^$W119))</f>
        <v>71.779999995833847</v>
      </c>
      <c r="BF119" s="396">
        <f>$R119/(1+($V119*(('Traffic Data'!Q38*(0.67/14))/(($I119)*$S119))^$W119))</f>
        <v>71.779999993164495</v>
      </c>
      <c r="BG119" s="396">
        <f>$R119/(1+($V119*(('Traffic Data'!R38*(0.67/14))/(($I119)*$S119))^$W119))</f>
        <v>71.779999989199908</v>
      </c>
      <c r="BH119" s="396">
        <f>$R119/(1+($V119*(('Traffic Data'!S38*(0.67/14))/(($I119)*$S119))^$W119))</f>
        <v>71.779999983271324</v>
      </c>
      <c r="BI119" s="396">
        <f>$R119/(1+($V119*(('Traffic Data'!T38*(0.67/14))/(($I119)*$S119))^$W119))</f>
        <v>71.779999974563211</v>
      </c>
      <c r="BJ119" s="396">
        <f>$R119/(1+($V119*(('Traffic Data'!U38*(0.67/14))/(($I119)*$S119))^$W119))</f>
        <v>71.779999961968642</v>
      </c>
      <c r="BK119" s="396">
        <f>$R119/(1+($V119*(('Traffic Data'!V38*(0.67/14))/(($I119)*$S119))^$W119))</f>
        <v>71.779999943999997</v>
      </c>
      <c r="BL119" s="396">
        <f>$R119/(1+($V119*(('Traffic Data'!W38*(0.67/14))/(($I119)*$S119))^$W119))</f>
        <v>71.779999926296767</v>
      </c>
      <c r="BM119" s="396">
        <f>$R119/(1+($V119*(('Traffic Data'!X38*(0.67/14))/(($I119)*$S119))^$W119))</f>
        <v>71.779999907624202</v>
      </c>
      <c r="BN119" s="396">
        <f>$R119/(1+($V119*(('Traffic Data'!Y38*(0.67/14))/(($I119)*$S119))^$W119))</f>
        <v>71.779999884796936</v>
      </c>
      <c r="BO119" s="396">
        <f>$R119/(1+($V119*(('Traffic Data'!Z38*(0.67/14))/(($I119)*$S119))^$W119))</f>
        <v>71.779999857012641</v>
      </c>
      <c r="BP119" s="396">
        <f>$R119/(1+($V119*(('Traffic Data'!AA38*(0.67/14))/(($I119)*$S119))^$W119))</f>
        <v>71.779999823321802</v>
      </c>
      <c r="BQ119" s="396">
        <f>$R119/(1+($V119*(('Traffic Data'!AB38*(0.67/14))/(($I119)*$S119))^$W119))</f>
        <v>71.779999782665399</v>
      </c>
      <c r="BR119" s="396">
        <f>$R119/(1+($V119*(('Traffic Data'!AC38*(0.67/14))/(($I119)*$S119))^$W119))</f>
        <v>71.779999733753115</v>
      </c>
      <c r="BS119" s="396">
        <f>$R119/(1+($V119*(('Traffic Data'!AD38*(0.67/14))/(($I119)*$S119))^$W119))</f>
        <v>71.779999675172974</v>
      </c>
      <c r="BT119" s="396">
        <f>$R119/(1+($V119*(('Traffic Data'!AE38*(0.67/14))/(($I119)*$S119))^$W119))</f>
        <v>71.779999605237748</v>
      </c>
      <c r="BU119" s="396">
        <f>$R119/(1+($V119*(('Traffic Data'!AF38*(0.67/14))/(($I119)*$S119))^$W119))</f>
        <v>71.779999521995265</v>
      </c>
      <c r="BV119" s="396">
        <f>$R119/(1+($V119*(('Traffic Data'!AG38*(0.67/14))/(($I119)*$S119))^$W119))</f>
        <v>71.779999423317946</v>
      </c>
      <c r="BW119" s="651">
        <f>$R119/(1+($V119*(('Traffic Data'!AH38*(0.67/14))/(($I119)*$S119))^$W119))</f>
        <v>71.779999306671286</v>
      </c>
    </row>
    <row r="120" spans="1:75" ht="21.95" customHeight="1" x14ac:dyDescent="0.2">
      <c r="A120" s="642"/>
      <c r="B120" s="288"/>
      <c r="C120" s="1412" t="s">
        <v>280</v>
      </c>
      <c r="D120" s="281" t="s">
        <v>281</v>
      </c>
      <c r="E120" s="281" t="s">
        <v>335</v>
      </c>
      <c r="F120" s="618">
        <f>'Traffic Data'!CM39</f>
        <v>0.83333333333333337</v>
      </c>
      <c r="G120" s="618">
        <f>'Traffic Data'!CN39</f>
        <v>0.9</v>
      </c>
      <c r="H120" s="608">
        <f>'Traffic Data'!G39</f>
        <v>55</v>
      </c>
      <c r="I120" s="608">
        <v>4</v>
      </c>
      <c r="J120" s="608">
        <f>H120+7</f>
        <v>62</v>
      </c>
      <c r="K120" s="608">
        <v>0</v>
      </c>
      <c r="L120" s="608">
        <v>2.5</v>
      </c>
      <c r="M120" s="619">
        <v>0</v>
      </c>
      <c r="N120" s="608">
        <v>0.4</v>
      </c>
      <c r="O120" s="608">
        <v>1.6</v>
      </c>
      <c r="P120" s="608">
        <v>0</v>
      </c>
      <c r="Q120" s="608">
        <v>0</v>
      </c>
      <c r="R120" s="290">
        <f>J120-K120-L120-M120-N120-O120-P120-Q120</f>
        <v>57.5</v>
      </c>
      <c r="S120" s="620">
        <f>M$21*F120*G120</f>
        <v>1650.0000000000002</v>
      </c>
      <c r="T120" s="621">
        <v>0.12</v>
      </c>
      <c r="U120" s="622">
        <v>0.65</v>
      </c>
      <c r="V120" s="612">
        <f t="shared" si="8"/>
        <v>0.2</v>
      </c>
      <c r="W120" s="675">
        <v>10</v>
      </c>
      <c r="X120" s="396">
        <f>MAX(10,$R120/(1+($V120*(('Traffic Data'!J39*$T120*$U120)/(($I120/2)*$S120))^$W120)))</f>
        <v>57.499999999343693</v>
      </c>
      <c r="Y120" s="533">
        <f>MAX(10,$R120/(1+($V120*(('Traffic Data'!K39*$T120*$U120)/(($I120/2)*$S120))^$W120)))</f>
        <v>57.499999998279762</v>
      </c>
      <c r="Z120" s="533">
        <f>MAX(10,$R120/(1+($V120*(('Traffic Data'!L39*$T120*$U120)/(($I120/2)*$S120))^$W120)))</f>
        <v>57.499999988861461</v>
      </c>
      <c r="AA120" s="533">
        <f>MAX(10,$R120/(1+($V120*(('Traffic Data'!M39*$T120*$U120)/(($I120/2)*$S120))^$W120)))</f>
        <v>57.499999788598082</v>
      </c>
      <c r="AB120" s="533">
        <f>MAX(10,$R120/(1+($V120*(('Traffic Data'!N39*$T120*$U120)/(($I120/2)*$S120))^$W120)))</f>
        <v>57.499997948851238</v>
      </c>
      <c r="AC120" s="533">
        <f>MAX(10,$R120/(1+($V120*(('Traffic Data'!O39*$T120*$U120)/(($I120/2)*$S120))^$W120)))</f>
        <v>57.49998695190115</v>
      </c>
      <c r="AD120" s="533">
        <f>MAX(10,$R120/(1+($V120*(('Traffic Data'!P39*$T120*$U120)/(($I120/2)*$S120))^$W120)))</f>
        <v>57.499937904255184</v>
      </c>
      <c r="AE120" s="533">
        <f>MAX(10,$R120/(1+($V120*(('Traffic Data'!Q39*$T120*$U120)/(($I120/2)*$S120))^$W120)))</f>
        <v>57.499760292734429</v>
      </c>
      <c r="AF120" s="533">
        <f>MAX(10,$R120/(1+($V120*(('Traffic Data'!R39*$T120*$U120)/(($I120/2)*$S120))^$W120)))</f>
        <v>57.499228633571356</v>
      </c>
      <c r="AG120" s="533">
        <f>MAX(10,$R120/(1+($V120*(('Traffic Data'!S39*$T120*$U120)/(($I120/2)*$S120))^$W120)))</f>
        <v>57.497802714589298</v>
      </c>
      <c r="AH120" s="533">
        <f>MAX(10,$R120/(1+($V120*(('Traffic Data'!T39*$T120*$U120)/(($I120/2)*$S120))^$W120)))</f>
        <v>57.49433521207596</v>
      </c>
      <c r="AI120" s="533">
        <f>MAX(10,$R120/(1+($V120*(('Traffic Data'!U39*$T120*$U120)/(($I120/2)*$S120))^$W120)))</f>
        <v>57.486546364122681</v>
      </c>
      <c r="AJ120" s="533">
        <f>MAX(10,$R120/(1+($V120*(('Traffic Data'!V39*$T120*$U120)/(($I120/2)*$S120))^$W120)))</f>
        <v>57.47015192905161</v>
      </c>
      <c r="AK120" s="533">
        <f>MAX(10,$R120/(1+($V120*(('Traffic Data'!W39*$T120*$U120)/(($I120/2)*$S120))^$W120)))</f>
        <v>57.456934277976345</v>
      </c>
      <c r="AL120" s="533">
        <f>MAX(10,$R120/(1+($V120*(('Traffic Data'!X39*$T120*$U120)/(($I120/2)*$S120))^$W120)))</f>
        <v>57.449173601717405</v>
      </c>
      <c r="AM120" s="533">
        <f>MAX(10,$R120/(1+($V120*(('Traffic Data'!Y39*$T120*$U120)/(($I120/2)*$S120))^$W120)))</f>
        <v>57.440177736006902</v>
      </c>
      <c r="AN120" s="533">
        <f>MAX(10,$R120/(1+($V120*(('Traffic Data'!Z39*$T120*$U120)/(($I120/2)*$S120))^$W120)))</f>
        <v>57.429775497020707</v>
      </c>
      <c r="AO120" s="533">
        <f>MAX(10,$R120/(1+($V120*(('Traffic Data'!AA39*$T120*$U120)/(($I120/2)*$S120))^$W120)))</f>
        <v>57.417755770208458</v>
      </c>
      <c r="AP120" s="533">
        <f>MAX(10,$R120/(1+($V120*(('Traffic Data'!AB39*$T120*$U120)/(($I120/2)*$S120))^$W120)))</f>
        <v>57.40394149137952</v>
      </c>
      <c r="AQ120" s="533">
        <f>MAX(10,$R120/(1+($V120*(('Traffic Data'!AC39*$T120*$U120)/(($I120/2)*$S120))^$W120)))</f>
        <v>57.388051702847108</v>
      </c>
      <c r="AR120" s="533">
        <f>MAX(10,$R120/(1+($V120*(('Traffic Data'!AD39*$T120*$U120)/(($I120/2)*$S120))^$W120)))</f>
        <v>57.369870373654464</v>
      </c>
      <c r="AS120" s="533">
        <f>MAX(10,$R120/(1+($V120*(('Traffic Data'!AE39*$T120*$U120)/(($I120/2)*$S120))^$W120)))</f>
        <v>57.349081671195407</v>
      </c>
      <c r="AT120" s="533">
        <f>MAX(10,$R120/(1+($V120*(('Traffic Data'!AF39*$T120*$U120)/(($I120/2)*$S120))^$W120)))</f>
        <v>57.32532235195962</v>
      </c>
      <c r="AU120" s="533">
        <f>MAX(10,$R120/(1+($V120*(('Traffic Data'!AG39*$T120*$U120)/(($I120/2)*$S120))^$W120)))</f>
        <v>57.298306230626139</v>
      </c>
      <c r="AV120" s="533">
        <f>MAX(10,$R120/(1+($V120*(('Traffic Data'!AH39*$T120*$U120)/(($I120/2)*$S120))^$W120)))</f>
        <v>57.267604149569159</v>
      </c>
      <c r="AW120" s="669">
        <f>MAX(10,$R120/(1+($V120*(('Traffic Data'!AI39*$T120*$U120)/(($I120/2)*$S120))^$W120)))</f>
        <v>57.232724662412764</v>
      </c>
      <c r="AX120" s="388">
        <f>$R120/(1+($V120*(('Traffic Data'!J39*(0.67/14))/(($I120)*$S120))^$W120))</f>
        <v>57.5</v>
      </c>
      <c r="AY120" s="388">
        <f>$R120/(1+($V120*(('Traffic Data'!J39*(0.67/14))/(($I120)*$S120))^$W120))</f>
        <v>57.5</v>
      </c>
      <c r="AZ120" s="388">
        <f>$R120/(1+($V120*(('Traffic Data'!K39*(0.67/14))/(($I120)*$S120))^$W120))</f>
        <v>57.499999999999986</v>
      </c>
      <c r="BA120" s="388">
        <f>$R120/(1+($V120*(('Traffic Data'!L39*(0.67/14))/(($I120)*$S120))^$W120))</f>
        <v>57.499999999999922</v>
      </c>
      <c r="BB120" s="388">
        <f>$R120/(1+($V120*(('Traffic Data'!M39*(0.67/14))/(($I120)*$S120))^$W120))</f>
        <v>57.499999999998444</v>
      </c>
      <c r="BC120" s="388">
        <f>$R120/(1+($V120*(('Traffic Data'!N39*(0.67/14))/(($I120)*$S120))^$W120))</f>
        <v>57.499999999984858</v>
      </c>
      <c r="BD120" s="388">
        <f>$R120/(1+($V120*(('Traffic Data'!O39*(0.67/14))/(($I120)*$S120))^$W120))</f>
        <v>57.499999999903672</v>
      </c>
      <c r="BE120" s="388">
        <f>$R120/(1+($V120*(('Traffic Data'!P39*(0.67/14))/(($I120)*$S120))^$W120))</f>
        <v>57.499999999541558</v>
      </c>
      <c r="BF120" s="388">
        <f>$R120/(1+($V120*(('Traffic Data'!Q39*(0.67/14))/(($I120)*$S120))^$W120))</f>
        <v>57.499999998230273</v>
      </c>
      <c r="BG120" s="388">
        <f>$R120/(1+($V120*(('Traffic Data'!R39*(0.67/14))/(($I120)*$S120))^$W120))</f>
        <v>57.499999994305064</v>
      </c>
      <c r="BH120" s="388">
        <f>$R120/(1+($V120*(('Traffic Data'!S39*(0.67/14))/(($I120)*$S120))^$W120))</f>
        <v>57.499999983777236</v>
      </c>
      <c r="BI120" s="388">
        <f>$R120/(1+($V120*(('Traffic Data'!T39*(0.67/14))/(($I120)*$S120))^$W120))</f>
        <v>57.499999958173831</v>
      </c>
      <c r="BJ120" s="388">
        <f>$R120/(1+($V120*(('Traffic Data'!U39*(0.67/14))/(($I120)*$S120))^$W120))</f>
        <v>57.499999900651126</v>
      </c>
      <c r="BK120" s="388">
        <f>$R120/(1+($V120*(('Traffic Data'!V39*(0.67/14))/(($I120)*$S120))^$W120))</f>
        <v>57.499999779522909</v>
      </c>
      <c r="BL120" s="388">
        <f>$R120/(1+($V120*(('Traffic Data'!W39*(0.67/14))/(($I120)*$S120))^$W120))</f>
        <v>57.499999681815652</v>
      </c>
      <c r="BM120" s="388">
        <f>$R120/(1+($V120*(('Traffic Data'!X39*(0.67/14))/(($I120)*$S120))^$W120))</f>
        <v>57.49999962442638</v>
      </c>
      <c r="BN120" s="388">
        <f>$R120/(1+($V120*(('Traffic Data'!Y39*(0.67/14))/(($I120)*$S120))^$W120))</f>
        <v>57.499999557883633</v>
      </c>
      <c r="BO120" s="388">
        <f>$R120/(1+($V120*(('Traffic Data'!Z39*(0.67/14))/(($I120)*$S120))^$W120))</f>
        <v>57.499999480911896</v>
      </c>
      <c r="BP120" s="388">
        <f>$R120/(1+($V120*(('Traffic Data'!AA39*(0.67/14))/(($I120)*$S120))^$W120))</f>
        <v>57.499999391936754</v>
      </c>
      <c r="BQ120" s="388">
        <f>$R120/(1+($V120*(('Traffic Data'!AB39*(0.67/14))/(($I120)*$S120))^$W120))</f>
        <v>57.499999289631575</v>
      </c>
      <c r="BR120" s="388">
        <f>$R120/(1+($V120*(('Traffic Data'!AC39*(0.67/14))/(($I120)*$S120))^$W120))</f>
        <v>57.49999917189475</v>
      </c>
      <c r="BS120" s="388">
        <f>$R120/(1+($V120*(('Traffic Data'!AD39*(0.67/14))/(($I120)*$S120))^$W120))</f>
        <v>57.499999037098561</v>
      </c>
      <c r="BT120" s="388">
        <f>$R120/(1+($V120*(('Traffic Data'!AE39*(0.67/14))/(($I120)*$S120))^$W120))</f>
        <v>57.499998882866585</v>
      </c>
      <c r="BU120" s="388">
        <f>$R120/(1+($V120*(('Traffic Data'!AF39*(0.67/14))/(($I120)*$S120))^$W120))</f>
        <v>57.499998706458541</v>
      </c>
      <c r="BV120" s="388">
        <f>$R120/(1+($V120*(('Traffic Data'!AG39*(0.67/14))/(($I120)*$S120))^$W120))</f>
        <v>57.499998505691664</v>
      </c>
      <c r="BW120" s="652">
        <f>$R120/(1+($V120*(('Traffic Data'!AH39*(0.67/14))/(($I120)*$S120))^$W120))</f>
        <v>57.499998277303099</v>
      </c>
    </row>
    <row r="121" spans="1:75" ht="21.95" customHeight="1" x14ac:dyDescent="0.2">
      <c r="A121" s="642"/>
      <c r="B121" s="288"/>
      <c r="C121" s="1413"/>
      <c r="D121" s="289" t="s">
        <v>335</v>
      </c>
      <c r="E121" s="289" t="s">
        <v>323</v>
      </c>
      <c r="F121" s="607">
        <f>'Traffic Data'!CM39</f>
        <v>0.83333333333333337</v>
      </c>
      <c r="G121" s="607">
        <f>'Traffic Data'!CN39</f>
        <v>0.9</v>
      </c>
      <c r="H121" s="608">
        <f>'Traffic Data'!G40</f>
        <v>45</v>
      </c>
      <c r="I121" s="608">
        <v>2</v>
      </c>
      <c r="J121" s="608">
        <f t="shared" ref="J121:J145" si="10">H121+7</f>
        <v>52</v>
      </c>
      <c r="K121" s="608">
        <v>0</v>
      </c>
      <c r="L121" s="608">
        <v>2.5</v>
      </c>
      <c r="M121" s="608">
        <v>0</v>
      </c>
      <c r="N121" s="608">
        <v>0</v>
      </c>
      <c r="O121" s="608">
        <v>0</v>
      </c>
      <c r="P121" s="608">
        <v>0</v>
      </c>
      <c r="Q121" s="608">
        <v>0</v>
      </c>
      <c r="R121" s="290">
        <f t="shared" si="4"/>
        <v>49.5</v>
      </c>
      <c r="S121" s="609">
        <f>N$24*F121*G121</f>
        <v>600.00000000000011</v>
      </c>
      <c r="T121" s="610">
        <v>0.12</v>
      </c>
      <c r="U121" s="611">
        <v>0.65</v>
      </c>
      <c r="V121" s="612">
        <f t="shared" si="8"/>
        <v>0.2</v>
      </c>
      <c r="W121" s="676">
        <v>10</v>
      </c>
      <c r="X121" s="533">
        <f>MAX(10,$R121/(1+($V121*(('Traffic Data'!J40*$T121*$U121)/(($I121/2)*$S121))^$W121)))</f>
        <v>49.499913467275938</v>
      </c>
      <c r="Y121" s="533">
        <f>MAX(10,$R121/(1+($V121*(('Traffic Data'!K40*$T121*$U121)/(($I121/2)*$S121))^$W121)))</f>
        <v>49.499766486505173</v>
      </c>
      <c r="Z121" s="533">
        <f>MAX(10,$R121/(1+($V121*(('Traffic Data'!L40*$T121*$U121)/(($I121/2)*$S121))^$W121)))</f>
        <v>49.499204103307889</v>
      </c>
      <c r="AA121" s="533">
        <f>MAX(10,$R121/(1+($V121*(('Traffic Data'!M40*$T121*$U121)/(($I121/2)*$S121))^$W121)))</f>
        <v>49.494560055808904</v>
      </c>
      <c r="AB121" s="533">
        <f>MAX(10,$R121/(1+($V121*(('Traffic Data'!N40*$T121*$U121)/(($I121/2)*$S121))^$W121)))</f>
        <v>49.472742505762085</v>
      </c>
      <c r="AC121" s="533">
        <f>MAX(10,$R121/(1+($V121*(('Traffic Data'!O40*$T121*$U121)/(($I121/2)*$S121))^$W121)))</f>
        <v>49.390953020636744</v>
      </c>
      <c r="AD121" s="533">
        <f>MAX(10,$R121/(1+($V121*(('Traffic Data'!P40*$T121*$U121)/(($I121/2)*$S121))^$W121)))</f>
        <v>49.133241460310884</v>
      </c>
      <c r="AE121" s="533">
        <f>MAX(10,$R121/(1+($V121*(('Traffic Data'!Q40*$T121*$U121)/(($I121/2)*$S121))^$W121)))</f>
        <v>48.42836313319205</v>
      </c>
      <c r="AF121" s="533">
        <f>MAX(10,$R121/(1+($V121*(('Traffic Data'!R40*$T121*$U121)/(($I121/2)*$S121))^$W121)))</f>
        <v>45.49534982912197</v>
      </c>
      <c r="AG121" s="533">
        <f>MAX(10,$R121/(1+($V121*(('Traffic Data'!S40*$T121*$U121)/(($I121/2)*$S121))^$W121)))</f>
        <v>38.189950925094934</v>
      </c>
      <c r="AH121" s="533">
        <f>MAX(10,$R121/(1+($V121*(('Traffic Data'!T40*$T121*$U121)/(($I121/2)*$S121))^$W121)))</f>
        <v>26.423486536869405</v>
      </c>
      <c r="AI121" s="533">
        <f>MAX(10,$R121/(1+($V121*(('Traffic Data'!U40*$T121*$U121)/(($I121/2)*$S121))^$W121)))</f>
        <v>14.920072832695437</v>
      </c>
      <c r="AJ121" s="533">
        <f>MAX(10,$R121/(1+($V121*(('Traffic Data'!V40*$T121*$U121)/(($I121/2)*$S121))^$W121)))</f>
        <v>10</v>
      </c>
      <c r="AK121" s="533">
        <f>MAX(10,$R121/(1+($V121*(('Traffic Data'!W40*$T121*$U121)/(($I121/2)*$S121))^$W121)))</f>
        <v>10</v>
      </c>
      <c r="AL121" s="533">
        <f>MAX(10,$R121/(1+($V121*(('Traffic Data'!X40*$T121*$U121)/(($I121/2)*$S121))^$W121)))</f>
        <v>10</v>
      </c>
      <c r="AM121" s="533">
        <f>MAX(10,$R121/(1+($V121*(('Traffic Data'!Y40*$T121*$U121)/(($I121/2)*$S121))^$W121)))</f>
        <v>10</v>
      </c>
      <c r="AN121" s="533">
        <f>MAX(10,$R121/(1+($V121*(('Traffic Data'!Z40*$T121*$U121)/(($I121/2)*$S121))^$W121)))</f>
        <v>10</v>
      </c>
      <c r="AO121" s="533">
        <f>MAX(10,$R121/(1+($V121*(('Traffic Data'!AA40*$T121*$U121)/(($I121/2)*$S121))^$W121)))</f>
        <v>10</v>
      </c>
      <c r="AP121" s="533">
        <f>MAX(10,$R121/(1+($V121*(('Traffic Data'!AB40*$T121*$U121)/(($I121/2)*$S121))^$W121)))</f>
        <v>10</v>
      </c>
      <c r="AQ121" s="533">
        <f>MAX(10,$R121/(1+($V121*(('Traffic Data'!AC40*$T121*$U121)/(($I121/2)*$S121))^$W121)))</f>
        <v>10</v>
      </c>
      <c r="AR121" s="533">
        <f>MAX(10,$R121/(1+($V121*(('Traffic Data'!AD40*$T121*$U121)/(($I121/2)*$S121))^$W121)))</f>
        <v>10</v>
      </c>
      <c r="AS121" s="533">
        <f>MAX(10,$R121/(1+($V121*(('Traffic Data'!AE40*$T121*$U121)/(($I121/2)*$S121))^$W121)))</f>
        <v>10</v>
      </c>
      <c r="AT121" s="533">
        <f>MAX(10,$R121/(1+($V121*(('Traffic Data'!AF40*$T121*$U121)/(($I121/2)*$S121))^$W121)))</f>
        <v>10</v>
      </c>
      <c r="AU121" s="533">
        <f>MAX(10,$R121/(1+($V121*(('Traffic Data'!AG40*$T121*$U121)/(($I121/2)*$S121))^$W121)))</f>
        <v>10</v>
      </c>
      <c r="AV121" s="533">
        <f>MAX(10,$R121/(1+($V121*(('Traffic Data'!AH40*$T121*$U121)/(($I121/2)*$S121))^$W121)))</f>
        <v>10</v>
      </c>
      <c r="AW121" s="669">
        <f>MAX(10,$R121/(1+($V121*(('Traffic Data'!AI40*$T121*$U121)/(($I121/2)*$S121))^$W121)))</f>
        <v>10</v>
      </c>
      <c r="AX121" s="396">
        <f>$R121/(1+($V121*(('Traffic Data'!J40*(0.67/14))/(($I121)*$S121))^$W121))</f>
        <v>49.499999999361144</v>
      </c>
      <c r="AY121" s="396">
        <f>$R121/(1+($V121*(('Traffic Data'!J40*(0.67/14))/(($I121)*$S121))^$W121))</f>
        <v>49.499999999361144</v>
      </c>
      <c r="AZ121" s="396">
        <f>$R121/(1+($V121*(('Traffic Data'!K40*(0.67/14))/(($I121)*$S121))^$W121))</f>
        <v>49.49999999827601</v>
      </c>
      <c r="BA121" s="396">
        <f>$R121/(1+($V121*(('Traffic Data'!L40*(0.67/14))/(($I121)*$S121))^$W121))</f>
        <v>49.499999994123947</v>
      </c>
      <c r="BB121" s="396">
        <f>$R121/(1+($V121*(('Traffic Data'!M40*(0.67/14))/(($I121)*$S121))^$W121))</f>
        <v>49.499999959833509</v>
      </c>
      <c r="BC121" s="396">
        <f>$R121/(1+($V121*(('Traffic Data'!N40*(0.67/14))/(($I121)*$S121))^$W121))</f>
        <v>49.499999798652226</v>
      </c>
      <c r="BD121" s="396">
        <f>$R121/(1+($V121*(('Traffic Data'!O40*(0.67/14))/(($I121)*$S121))^$W121))</f>
        <v>49.499999193149428</v>
      </c>
      <c r="BE121" s="396">
        <f>$R121/(1+($V121*(('Traffic Data'!P40*(0.67/14))/(($I121)*$S121))^$W121))</f>
        <v>49.499997272079689</v>
      </c>
      <c r="BF121" s="396">
        <f>$R121/(1+($V121*(('Traffic Data'!Q40*(0.67/14))/(($I121)*$S121))^$W121))</f>
        <v>49.499991913237835</v>
      </c>
      <c r="BG121" s="396">
        <f>$R121/(1+($V121*(('Traffic Data'!R40*(0.67/14))/(($I121)*$S121))^$W121))</f>
        <v>49.499967831991228</v>
      </c>
      <c r="BH121" s="396">
        <f>$R121/(1+($V121*(('Traffic Data'!S40*(0.67/14))/(($I121)*$S121))^$W121))</f>
        <v>49.499891771578312</v>
      </c>
      <c r="BI121" s="396">
        <f>$R121/(1+($V121*(('Traffic Data'!T40*(0.67/14))/(($I121)*$S121))^$W121))</f>
        <v>49.499680843159169</v>
      </c>
      <c r="BJ121" s="396">
        <f>$R121/(1+($V121*(('Traffic Data'!U40*(0.67/14))/(($I121)*$S121))^$W121))</f>
        <v>49.499153021111219</v>
      </c>
      <c r="BK121" s="396">
        <f>$R121/(1+($V121*(('Traffic Data'!V40*(0.67/14))/(($I121)*$S121))^$W121))</f>
        <v>49.497938168514317</v>
      </c>
      <c r="BL121" s="396">
        <f>$R121/(1+($V121*(('Traffic Data'!W40*(0.67/14))/(($I121)*$S121))^$W121))</f>
        <v>49.496373497844985</v>
      </c>
      <c r="BM121" s="396">
        <f>$R121/(1+($V121*(('Traffic Data'!X40*(0.67/14))/(($I121)*$S121))^$W121))</f>
        <v>49.495490318522812</v>
      </c>
      <c r="BN121" s="396">
        <f>$R121/(1+($V121*(('Traffic Data'!Y40*(0.67/14))/(($I121)*$S121))^$W121))</f>
        <v>49.494418092977028</v>
      </c>
      <c r="BO121" s="396">
        <f>$R121/(1+($V121*(('Traffic Data'!Z40*(0.67/14))/(($I121)*$S121))^$W121))</f>
        <v>49.493121682931609</v>
      </c>
      <c r="BP121" s="396">
        <f>$R121/(1+($V121*(('Traffic Data'!AA40*(0.67/14))/(($I121)*$S121))^$W121))</f>
        <v>49.491559140427853</v>
      </c>
      <c r="BQ121" s="396">
        <f>$R121/(1+($V121*(('Traffic Data'!AB40*(0.67/14))/(($I121)*$S121))^$W121))</f>
        <v>49.489685636782767</v>
      </c>
      <c r="BR121" s="396">
        <f>$R121/(1+($V121*(('Traffic Data'!AC40*(0.67/14))/(($I121)*$S121))^$W121))</f>
        <v>49.487444204982957</v>
      </c>
      <c r="BS121" s="396">
        <f>$R121/(1+($V121*(('Traffic Data'!AD40*(0.67/14))/(($I121)*$S121))^$W121))</f>
        <v>49.484775785841983</v>
      </c>
      <c r="BT121" s="396">
        <f>$R121/(1+($V121*(('Traffic Data'!AE40*(0.67/14))/(($I121)*$S121))^$W121))</f>
        <v>49.481607618302299</v>
      </c>
      <c r="BU121" s="396">
        <f>$R121/(1+($V121*(('Traffic Data'!AF40*(0.67/14))/(($I121)*$S121))^$W121))</f>
        <v>49.477855345982036</v>
      </c>
      <c r="BV121" s="396">
        <f>$R121/(1+($V121*(('Traffic Data'!AG40*(0.67/14))/(($I121)*$S121))^$W121))</f>
        <v>49.473431524117252</v>
      </c>
      <c r="BW121" s="651">
        <f>$R121/(1+($V121*(('Traffic Data'!AH40*(0.67/14))/(($I121)*$S121))^$W121))</f>
        <v>49.468228238845782</v>
      </c>
    </row>
    <row r="122" spans="1:75" ht="21.95" customHeight="1" x14ac:dyDescent="0.2">
      <c r="A122" s="642"/>
      <c r="B122" s="288"/>
      <c r="C122" s="1414"/>
      <c r="D122" s="302" t="s">
        <v>323</v>
      </c>
      <c r="E122" s="302" t="s">
        <v>338</v>
      </c>
      <c r="F122" s="614">
        <f>'Traffic Data'!CM39</f>
        <v>0.83333333333333337</v>
      </c>
      <c r="G122" s="614">
        <f>'Traffic Data'!CN39</f>
        <v>0.9</v>
      </c>
      <c r="H122" s="615">
        <f>'Traffic Data'!G41</f>
        <v>45</v>
      </c>
      <c r="I122" s="615">
        <v>2</v>
      </c>
      <c r="J122" s="615">
        <f t="shared" si="10"/>
        <v>52</v>
      </c>
      <c r="K122" s="608">
        <v>0</v>
      </c>
      <c r="L122" s="608">
        <v>5</v>
      </c>
      <c r="M122" s="615">
        <v>0</v>
      </c>
      <c r="N122" s="608">
        <v>0</v>
      </c>
      <c r="O122" s="608">
        <v>0</v>
      </c>
      <c r="P122" s="608">
        <v>0</v>
      </c>
      <c r="Q122" s="608">
        <v>0</v>
      </c>
      <c r="R122" s="303">
        <f t="shared" si="4"/>
        <v>47</v>
      </c>
      <c r="S122" s="623">
        <f>N$24*F122*G122</f>
        <v>600.00000000000011</v>
      </c>
      <c r="T122" s="624">
        <v>0.12</v>
      </c>
      <c r="U122" s="625">
        <v>0.65</v>
      </c>
      <c r="V122" s="612">
        <f t="shared" si="8"/>
        <v>0.2</v>
      </c>
      <c r="W122" s="676">
        <v>10</v>
      </c>
      <c r="X122" s="533">
        <f>MAX(10,$R122/(1+($V122*(('Traffic Data'!J41*$T122*$U122)/(($I122/2)*$S122))^$W122)))</f>
        <v>46.22928606898175</v>
      </c>
      <c r="Y122" s="533">
        <f>MAX(10,$R122/(1+($V122*(('Traffic Data'!K41*$T122*$U122)/(($I122/2)*$S122))^$W122)))</f>
        <v>45.989400680781124</v>
      </c>
      <c r="Z122" s="533">
        <f>MAX(10,$R122/(1+($V122*(('Traffic Data'!L41*$T122*$U122)/(($I122/2)*$S122))^$W122)))</f>
        <v>45.535554594085283</v>
      </c>
      <c r="AA122" s="533">
        <f>MAX(10,$R122/(1+($V122*(('Traffic Data'!M41*$T122*$U122)/(($I122/2)*$S122))^$W122)))</f>
        <v>44.608096213610324</v>
      </c>
      <c r="AB122" s="533">
        <f>MAX(10,$R122/(1+($V122*(('Traffic Data'!N41*$T122*$U122)/(($I122/2)*$S122))^$W122)))</f>
        <v>43.229455244226074</v>
      </c>
      <c r="AC122" s="533">
        <f>MAX(10,$R122/(1+($V122*(('Traffic Data'!O41*$T122*$U122)/(($I122/2)*$S122))^$W122)))</f>
        <v>41.274908515000931</v>
      </c>
      <c r="AD122" s="533">
        <f>MAX(10,$R122/(1+($V122*(('Traffic Data'!P41*$T122*$U122)/(($I122/2)*$S122))^$W122)))</f>
        <v>38.649428106960258</v>
      </c>
      <c r="AE122" s="533">
        <f>MAX(10,$R122/(1+($V122*(('Traffic Data'!Q41*$T122*$U122)/(($I122/2)*$S122))^$W122)))</f>
        <v>35.328018908242882</v>
      </c>
      <c r="AF122" s="533">
        <f>MAX(10,$R122/(1+($V122*(('Traffic Data'!R41*$T122*$U122)/(($I122/2)*$S122))^$W122)))</f>
        <v>31.366125947155084</v>
      </c>
      <c r="AG122" s="533">
        <f>MAX(10,$R122/(1+($V122*(('Traffic Data'!S41*$T122*$U122)/(($I122/2)*$S122))^$W122)))</f>
        <v>27.012819009421765</v>
      </c>
      <c r="AH122" s="533">
        <f>MAX(10,$R122/(1+($V122*(('Traffic Data'!T41*$T122*$U122)/(($I122/2)*$S122))^$W122)))</f>
        <v>22.575887347812159</v>
      </c>
      <c r="AI122" s="533">
        <f>MAX(10,$R122/(1+($V122*(('Traffic Data'!U41*$T122*$U122)/(($I122/2)*$S122))^$W122)))</f>
        <v>18.358962122918228</v>
      </c>
      <c r="AJ122" s="533">
        <f>MAX(10,$R122/(1+($V122*(('Traffic Data'!V41*$T122*$U122)/(($I122/2)*$S122))^$W122)))</f>
        <v>14.590242621737195</v>
      </c>
      <c r="AK122" s="533">
        <f>MAX(10,$R122/(1+($V122*(('Traffic Data'!W41*$T122*$U122)/(($I122/2)*$S122))^$W122)))</f>
        <v>12.245750450281898</v>
      </c>
      <c r="AL122" s="533">
        <f>MAX(10,$R122/(1+($V122*(('Traffic Data'!X41*$T122*$U122)/(($I122/2)*$S122))^$W122)))</f>
        <v>10.802023161382403</v>
      </c>
      <c r="AM122" s="533">
        <f>MAX(10,$R122/(1+($V122*(('Traffic Data'!Y41*$T122*$U122)/(($I122/2)*$S122))^$W122)))</f>
        <v>10</v>
      </c>
      <c r="AN122" s="533">
        <f>MAX(10,$R122/(1+($V122*(('Traffic Data'!Z41*$T122*$U122)/(($I122/2)*$S122))^$W122)))</f>
        <v>10</v>
      </c>
      <c r="AO122" s="533">
        <f>MAX(10,$R122/(1+($V122*(('Traffic Data'!AA41*$T122*$U122)/(($I122/2)*$S122))^$W122)))</f>
        <v>10</v>
      </c>
      <c r="AP122" s="533">
        <f>MAX(10,$R122/(1+($V122*(('Traffic Data'!AB41*$T122*$U122)/(($I122/2)*$S122))^$W122)))</f>
        <v>10</v>
      </c>
      <c r="AQ122" s="533">
        <f>MAX(10,$R122/(1+($V122*(('Traffic Data'!AC41*$T122*$U122)/(($I122/2)*$S122))^$W122)))</f>
        <v>10</v>
      </c>
      <c r="AR122" s="533">
        <f>MAX(10,$R122/(1+($V122*(('Traffic Data'!AD41*$T122*$U122)/(($I122/2)*$S122))^$W122)))</f>
        <v>10</v>
      </c>
      <c r="AS122" s="533">
        <f>MAX(10,$R122/(1+($V122*(('Traffic Data'!AE41*$T122*$U122)/(($I122/2)*$S122))^$W122)))</f>
        <v>10</v>
      </c>
      <c r="AT122" s="533">
        <f>MAX(10,$R122/(1+($V122*(('Traffic Data'!AF41*$T122*$U122)/(($I122/2)*$S122))^$W122)))</f>
        <v>10</v>
      </c>
      <c r="AU122" s="533">
        <f>MAX(10,$R122/(1+($V122*(('Traffic Data'!AG41*$T122*$U122)/(($I122/2)*$S122))^$W122)))</f>
        <v>10</v>
      </c>
      <c r="AV122" s="533">
        <f>MAX(10,$R122/(1+($V122*(('Traffic Data'!AH41*$T122*$U122)/(($I122/2)*$S122))^$W122)))</f>
        <v>10</v>
      </c>
      <c r="AW122" s="669">
        <f>MAX(10,$R122/(1+($V122*(('Traffic Data'!AI41*$T122*$U122)/(($I122/2)*$S122))^$W122)))</f>
        <v>10</v>
      </c>
      <c r="AX122" s="386">
        <f>$R122/(1+($V122*(('Traffic Data'!J41*(0.67/14))/(($I122)*$S122))^$W122))</f>
        <v>46.99999421510455</v>
      </c>
      <c r="AY122" s="386">
        <f>$R122/(1+($V122*(('Traffic Data'!J41*(0.67/14))/(($I122)*$S122))^$W122))</f>
        <v>46.99999421510455</v>
      </c>
      <c r="AZ122" s="386">
        <f>$R122/(1+($V122*(('Traffic Data'!K41*(0.67/14))/(($I122)*$S122))^$W122))</f>
        <v>46.9999923749846</v>
      </c>
      <c r="BA122" s="386">
        <f>$R122/(1+($V122*(('Traffic Data'!L41*(0.67/14))/(($I122)*$S122))^$W122))</f>
        <v>46.999988840570389</v>
      </c>
      <c r="BB122" s="386">
        <f>$R122/(1+($V122*(('Traffic Data'!M41*(0.67/14))/(($I122)*$S122))^$W122))</f>
        <v>46.999981394155355</v>
      </c>
      <c r="BC122" s="386">
        <f>$R122/(1+($V122*(('Traffic Data'!N41*(0.67/14))/(($I122)*$S122))^$W122))</f>
        <v>46.999969734796231</v>
      </c>
      <c r="BD122" s="386">
        <f>$R122/(1+($V122*(('Traffic Data'!O41*(0.67/14))/(($I122)*$S122))^$W122))</f>
        <v>46.999951870049891</v>
      </c>
      <c r="BE122" s="386">
        <f>$R122/(1+($V122*(('Traffic Data'!P41*(0.67/14))/(($I122)*$S122))^$W122))</f>
        <v>46.999925029225203</v>
      </c>
      <c r="BF122" s="386">
        <f>$R122/(1+($V122*(('Traffic Data'!Q41*(0.67/14))/(($I122)*$S122))^$W122))</f>
        <v>46.999885357994067</v>
      </c>
      <c r="BG122" s="386">
        <f>$R122/(1+($V122*(('Traffic Data'!R41*(0.67/14))/(($I122)*$S122))^$W122))</f>
        <v>46.999827048762654</v>
      </c>
      <c r="BH122" s="386">
        <f>$R122/(1+($V122*(('Traffic Data'!S41*(0.67/14))/(($I122)*$S122))^$W122))</f>
        <v>46.999743256883484</v>
      </c>
      <c r="BI122" s="386">
        <f>$R122/(1+($V122*(('Traffic Data'!T41*(0.67/14))/(($I122)*$S122))^$W122))</f>
        <v>46.999624603654084</v>
      </c>
      <c r="BJ122" s="386">
        <f>$R122/(1+($V122*(('Traffic Data'!U41*(0.67/14))/(($I122)*$S122))^$W122))</f>
        <v>46.999458678634817</v>
      </c>
      <c r="BK122" s="386">
        <f>$R122/(1+($V122*(('Traffic Data'!V41*(0.67/14))/(($I122)*$S122))^$W122))</f>
        <v>46.999229228427964</v>
      </c>
      <c r="BL122" s="386">
        <f>$R122/(1+($V122*(('Traffic Data'!W41*(0.67/14))/(($I122)*$S122))^$W122))</f>
        <v>46.999015234205181</v>
      </c>
      <c r="BM122" s="386">
        <f>$R122/(1+($V122*(('Traffic Data'!X41*(0.67/14))/(($I122)*$S122))^$W122))</f>
        <v>46.998837245593748</v>
      </c>
      <c r="BN122" s="386">
        <f>$R122/(1+($V122*(('Traffic Data'!Y41*(0.67/14))/(($I122)*$S122))^$W122))</f>
        <v>46.998630810765583</v>
      </c>
      <c r="BO122" s="386">
        <f>$R122/(1+($V122*(('Traffic Data'!Z41*(0.67/14))/(($I122)*$S122))^$W122))</f>
        <v>46.998391958352798</v>
      </c>
      <c r="BP122" s="386">
        <f>$R122/(1+($V122*(('Traffic Data'!AA41*(0.67/14))/(($I122)*$S122))^$W122))</f>
        <v>46.998116099346127</v>
      </c>
      <c r="BQ122" s="386">
        <f>$R122/(1+($V122*(('Traffic Data'!AB41*(0.67/14))/(($I122)*$S122))^$W122))</f>
        <v>46.997798520996518</v>
      </c>
      <c r="BR122" s="386">
        <f>$R122/(1+($V122*(('Traffic Data'!AC41*(0.67/14))/(($I122)*$S122))^$W122))</f>
        <v>46.997433364432972</v>
      </c>
      <c r="BS122" s="386">
        <f>$R122/(1+($V122*(('Traffic Data'!AD41*(0.67/14))/(($I122)*$S122))^$W122))</f>
        <v>46.997014790196872</v>
      </c>
      <c r="BT122" s="386">
        <f>$R122/(1+($V122*(('Traffic Data'!AE41*(0.67/14))/(($I122)*$S122))^$W122))</f>
        <v>46.99653575687546</v>
      </c>
      <c r="BU122" s="386">
        <f>$R122/(1+($V122*(('Traffic Data'!AF41*(0.67/14))/(($I122)*$S122))^$W122))</f>
        <v>46.99598834666201</v>
      </c>
      <c r="BV122" s="386">
        <f>$R122/(1+($V122*(('Traffic Data'!AG41*(0.67/14))/(($I122)*$S122))^$W122))</f>
        <v>46.995364606057848</v>
      </c>
      <c r="BW122" s="653">
        <f>$R122/(1+($V122*(('Traffic Data'!AH41*(0.67/14))/(($I122)*$S122))^$W122))</f>
        <v>46.99465491261757</v>
      </c>
    </row>
    <row r="123" spans="1:75" ht="21.95" customHeight="1" x14ac:dyDescent="0.2">
      <c r="A123" s="642"/>
      <c r="B123" s="288"/>
      <c r="C123" s="310" t="s">
        <v>339</v>
      </c>
      <c r="D123" s="310" t="s">
        <v>335</v>
      </c>
      <c r="E123" s="310" t="s">
        <v>323</v>
      </c>
      <c r="F123" s="626">
        <f>'Traffic Data'!CM42</f>
        <v>0.83333333333333337</v>
      </c>
      <c r="G123" s="626">
        <f>'Traffic Data'!CN42</f>
        <v>0.88</v>
      </c>
      <c r="H123" s="627">
        <f>'Traffic Data'!G42</f>
        <v>40</v>
      </c>
      <c r="I123" s="627">
        <v>2</v>
      </c>
      <c r="J123" s="627">
        <f t="shared" si="10"/>
        <v>47</v>
      </c>
      <c r="K123" s="627">
        <v>1.3</v>
      </c>
      <c r="L123" s="627">
        <v>2.5</v>
      </c>
      <c r="M123" s="627">
        <v>0</v>
      </c>
      <c r="N123" s="627">
        <v>0</v>
      </c>
      <c r="O123" s="627">
        <v>0</v>
      </c>
      <c r="P123" s="627">
        <v>0</v>
      </c>
      <c r="Q123" s="627">
        <v>0</v>
      </c>
      <c r="R123" s="311">
        <f t="shared" si="4"/>
        <v>43.2</v>
      </c>
      <c r="S123" s="628">
        <f>N$25*F123*G123</f>
        <v>586.66666666666674</v>
      </c>
      <c r="T123" s="629">
        <v>0.12</v>
      </c>
      <c r="U123" s="630">
        <v>0.65</v>
      </c>
      <c r="V123" s="631">
        <f t="shared" si="8"/>
        <v>0.2</v>
      </c>
      <c r="W123" s="677">
        <v>10</v>
      </c>
      <c r="X123" s="389">
        <f>MAX(10,$R123/(1+($V123*(('Traffic Data'!J42*$T123*$U123)/(($I123/2)*$S123))^$W123)))</f>
        <v>43.2</v>
      </c>
      <c r="Y123" s="534">
        <f>MAX(10,$R123/(1+($V123*(('Traffic Data'!K42*$T123*$U123)/(($I123/2)*$S123))^$W123)))</f>
        <v>43.2</v>
      </c>
      <c r="Z123" s="534">
        <f>MAX(10,$R123/(1+($V123*(('Traffic Data'!L42*$T123*$U123)/(($I123/2)*$S123))^$W123)))</f>
        <v>43.199999995932004</v>
      </c>
      <c r="AA123" s="534">
        <f>MAX(10,$R123/(1+($V123*(('Traffic Data'!M42*$T123*$U123)/(($I123/2)*$S123))^$W123)))</f>
        <v>43.199982908730348</v>
      </c>
      <c r="AB123" s="534">
        <f>MAX(10,$R123/(1+($V123*(('Traffic Data'!N42*$T123*$U123)/(($I123/2)*$S123))^$W123)))</f>
        <v>43.198482285154206</v>
      </c>
      <c r="AC123" s="534">
        <f>MAX(10,$R123/(1+($V123*(('Traffic Data'!O42*$T123*$U123)/(($I123/2)*$S123))^$W123)))</f>
        <v>43.166800834442341</v>
      </c>
      <c r="AD123" s="534">
        <f>MAX(10,$R123/(1+($V123*(('Traffic Data'!P42*$T123*$U123)/(($I123/2)*$S123))^$W123)))</f>
        <v>42.853213401542973</v>
      </c>
      <c r="AE123" s="534">
        <f>MAX(10,$R123/(1+($V123*(('Traffic Data'!Q42*$T123*$U123)/(($I123/2)*$S123))^$W123)))</f>
        <v>40.96985107424139</v>
      </c>
      <c r="AF123" s="534">
        <f>MAX(10,$R123/(1+($V123*(('Traffic Data'!R42*$T123*$U123)/(($I123/2)*$S123))^$W123)))</f>
        <v>37.963313683225586</v>
      </c>
      <c r="AG123" s="534">
        <f>MAX(10,$R123/(1+($V123*(('Traffic Data'!S42*$T123*$U123)/(($I123/2)*$S123))^$W123)))</f>
        <v>32.651781225904607</v>
      </c>
      <c r="AH123" s="534">
        <f>MAX(10,$R123/(1+($V123*(('Traffic Data'!T42*$T123*$U123)/(($I123/2)*$S123))^$W123)))</f>
        <v>25.297831036856934</v>
      </c>
      <c r="AI123" s="534">
        <f>MAX(10,$R123/(1+($V123*(('Traffic Data'!U42*$T123*$U123)/(($I123/2)*$S123))^$W123)))</f>
        <v>17.533116192788139</v>
      </c>
      <c r="AJ123" s="534">
        <f>MAX(10,$R123/(1+($V123*(('Traffic Data'!V42*$T123*$U123)/(($I123/2)*$S123))^$W123)))</f>
        <v>11.113399039482667</v>
      </c>
      <c r="AK123" s="534">
        <f>MAX(10,$R123/(1+($V123*(('Traffic Data'!W42*$T123*$U123)/(($I123/2)*$S123))^$W123)))</f>
        <v>10</v>
      </c>
      <c r="AL123" s="534">
        <f>MAX(10,$R123/(1+($V123*(('Traffic Data'!X42*$T123*$U123)/(($I123/2)*$S123))^$W123)))</f>
        <v>10</v>
      </c>
      <c r="AM123" s="534">
        <f>MAX(10,$R123/(1+($V123*(('Traffic Data'!Y42*$T123*$U123)/(($I123/2)*$S123))^$W123)))</f>
        <v>10</v>
      </c>
      <c r="AN123" s="534">
        <f>MAX(10,$R123/(1+($V123*(('Traffic Data'!Z42*$T123*$U123)/(($I123/2)*$S123))^$W123)))</f>
        <v>10</v>
      </c>
      <c r="AO123" s="534">
        <f>MAX(10,$R123/(1+($V123*(('Traffic Data'!AA42*$T123*$U123)/(($I123/2)*$S123))^$W123)))</f>
        <v>10</v>
      </c>
      <c r="AP123" s="534">
        <f>MAX(10,$R123/(1+($V123*(('Traffic Data'!AB42*$T123*$U123)/(($I123/2)*$S123))^$W123)))</f>
        <v>10</v>
      </c>
      <c r="AQ123" s="534">
        <f>MAX(10,$R123/(1+($V123*(('Traffic Data'!AC42*$T123*$U123)/(($I123/2)*$S123))^$W123)))</f>
        <v>10</v>
      </c>
      <c r="AR123" s="534">
        <f>MAX(10,$R123/(1+($V123*(('Traffic Data'!AD42*$T123*$U123)/(($I123/2)*$S123))^$W123)))</f>
        <v>10</v>
      </c>
      <c r="AS123" s="534">
        <f>MAX(10,$R123/(1+($V123*(('Traffic Data'!AE42*$T123*$U123)/(($I123/2)*$S123))^$W123)))</f>
        <v>10</v>
      </c>
      <c r="AT123" s="534">
        <f>MAX(10,$R123/(1+($V123*(('Traffic Data'!AF42*$T123*$U123)/(($I123/2)*$S123))^$W123)))</f>
        <v>10</v>
      </c>
      <c r="AU123" s="534">
        <f>MAX(10,$R123/(1+($V123*(('Traffic Data'!AG42*$T123*$U123)/(($I123/2)*$S123))^$W123)))</f>
        <v>10</v>
      </c>
      <c r="AV123" s="534">
        <f>MAX(10,$R123/(1+($V123*(('Traffic Data'!AH42*$T123*$U123)/(($I123/2)*$S123))^$W123)))</f>
        <v>10</v>
      </c>
      <c r="AW123" s="670">
        <f>MAX(10,$R123/(1+($V123*(('Traffic Data'!AI42*$T123*$U123)/(($I123/2)*$S123))^$W123)))</f>
        <v>10</v>
      </c>
      <c r="AX123" s="396">
        <f>$R123/(1+($V123*(('Traffic Data'!J42*(0.67/14))/(($I123)*$S123))^$W123))</f>
        <v>43.2</v>
      </c>
      <c r="AY123" s="396">
        <f>$R123/(1+($V123*(('Traffic Data'!J42*(0.67/14))/(($I123)*$S123))^$W123))</f>
        <v>43.2</v>
      </c>
      <c r="AZ123" s="396">
        <f>$R123/(1+($V123*(('Traffic Data'!K42*(0.67/14))/(($I123)*$S123))^$W123))</f>
        <v>43.2</v>
      </c>
      <c r="BA123" s="396">
        <f>$R123/(1+($V123*(('Traffic Data'!L42*(0.67/14))/(($I123)*$S123))^$W123))</f>
        <v>43.199999999999974</v>
      </c>
      <c r="BB123" s="396">
        <f>$R123/(1+($V123*(('Traffic Data'!M42*(0.67/14))/(($I123)*$S123))^$W123))</f>
        <v>43.199999999873825</v>
      </c>
      <c r="BC123" s="396">
        <f>$R123/(1+($V123*(('Traffic Data'!N42*(0.67/14))/(($I123)*$S123))^$W123))</f>
        <v>43.199999988794609</v>
      </c>
      <c r="BD123" s="396">
        <f>$R123/(1+($V123*(('Traffic Data'!O42*(0.67/14))/(($I123)*$S123))^$W123))</f>
        <v>43.199999754708365</v>
      </c>
      <c r="BE123" s="396">
        <f>$R123/(1+($V123*(('Traffic Data'!P42*(0.67/14))/(($I123)*$S123))^$W123))</f>
        <v>43.199997419021898</v>
      </c>
      <c r="BF123" s="396">
        <f>$R123/(1+($V123*(('Traffic Data'!Q42*(0.67/14))/(($I123)*$S123))^$W123))</f>
        <v>43.19998263899992</v>
      </c>
      <c r="BG123" s="396">
        <f>$R123/(1+($V123*(('Traffic Data'!R42*(0.67/14))/(($I123)*$S123))^$W123))</f>
        <v>43.199956005596093</v>
      </c>
      <c r="BH123" s="396">
        <f>$R123/(1+($V123*(('Traffic Data'!S42*(0.67/14))/(($I123)*$S123))^$W123))</f>
        <v>43.199896966928101</v>
      </c>
      <c r="BI123" s="396">
        <f>$R123/(1+($V123*(('Traffic Data'!T42*(0.67/14))/(($I123)*$S123))^$W123))</f>
        <v>43.19977430313395</v>
      </c>
      <c r="BJ123" s="396">
        <f>$R123/(1+($V123*(('Traffic Data'!U42*(0.67/14))/(($I123)*$S123))^$W123))</f>
        <v>43.19953310978363</v>
      </c>
      <c r="BK123" s="396">
        <f>$R123/(1+($V123*(('Traffic Data'!V42*(0.67/14))/(($I123)*$S123))^$W123))</f>
        <v>43.199079183736671</v>
      </c>
      <c r="BL123" s="396">
        <f>$R123/(1+($V123*(('Traffic Data'!W42*(0.67/14))/(($I123)*$S123))^$W123))</f>
        <v>43.198845171743933</v>
      </c>
      <c r="BM123" s="396">
        <f>$R123/(1+($V123*(('Traffic Data'!X42*(0.67/14))/(($I123)*$S123))^$W123))</f>
        <v>43.198684718930977</v>
      </c>
      <c r="BN123" s="396">
        <f>$R123/(1+($V123*(('Traffic Data'!Y42*(0.67/14))/(($I123)*$S123))^$W123))</f>
        <v>43.198504474390809</v>
      </c>
      <c r="BO123" s="396">
        <f>$R123/(1+($V123*(('Traffic Data'!Z42*(0.67/14))/(($I123)*$S123))^$W123))</f>
        <v>43.198302297301147</v>
      </c>
      <c r="BP123" s="396">
        <f>$R123/(1+($V123*(('Traffic Data'!AA42*(0.67/14))/(($I123)*$S123))^$W123))</f>
        <v>43.198074900560734</v>
      </c>
      <c r="BQ123" s="396">
        <f>$R123/(1+($V123*(('Traffic Data'!AB42*(0.67/14))/(($I123)*$S123))^$W123))</f>
        <v>43.197821509175874</v>
      </c>
      <c r="BR123" s="396">
        <f>$R123/(1+($V123*(('Traffic Data'!AC42*(0.67/14))/(($I123)*$S123))^$W123))</f>
        <v>43.197537306612446</v>
      </c>
      <c r="BS123" s="396">
        <f>$R123/(1+($V123*(('Traffic Data'!AD42*(0.67/14))/(($I123)*$S123))^$W123))</f>
        <v>43.197221479630073</v>
      </c>
      <c r="BT123" s="396">
        <f>$R123/(1+($V123*(('Traffic Data'!AE42*(0.67/14))/(($I123)*$S123))^$W123))</f>
        <v>43.196869659305271</v>
      </c>
      <c r="BU123" s="396">
        <f>$R123/(1+($V123*(('Traffic Data'!AF42*(0.67/14))/(($I123)*$S123))^$W123))</f>
        <v>43.196476614848827</v>
      </c>
      <c r="BV123" s="396">
        <f>$R123/(1+($V123*(('Traffic Data'!AG42*(0.67/14))/(($I123)*$S123))^$W123))</f>
        <v>43.196041515718015</v>
      </c>
      <c r="BW123" s="651">
        <f>$R123/(1+($V123*(('Traffic Data'!AH42*(0.67/14))/(($I123)*$S123))^$W123))</f>
        <v>43.195558648944235</v>
      </c>
    </row>
    <row r="124" spans="1:75" ht="21.95" customHeight="1" x14ac:dyDescent="0.2">
      <c r="A124" s="642"/>
      <c r="B124" s="288"/>
      <c r="C124" s="1412" t="s">
        <v>323</v>
      </c>
      <c r="D124" s="281" t="s">
        <v>282</v>
      </c>
      <c r="E124" s="281" t="s">
        <v>339</v>
      </c>
      <c r="F124" s="618">
        <f>'Traffic Data'!CM43</f>
        <v>0.83333333333333337</v>
      </c>
      <c r="G124" s="618">
        <f>'Traffic Data'!CN43</f>
        <v>0.88</v>
      </c>
      <c r="H124" s="608">
        <f>'Traffic Data'!G43</f>
        <v>40</v>
      </c>
      <c r="I124" s="608">
        <v>4</v>
      </c>
      <c r="J124" s="608">
        <f t="shared" si="10"/>
        <v>47</v>
      </c>
      <c r="K124" s="608">
        <v>0</v>
      </c>
      <c r="L124" s="608">
        <v>2.5</v>
      </c>
      <c r="M124" s="619">
        <v>0</v>
      </c>
      <c r="N124" s="608">
        <v>1.8</v>
      </c>
      <c r="O124" s="608">
        <v>1.6</v>
      </c>
      <c r="P124" s="608">
        <v>0</v>
      </c>
      <c r="Q124" s="608">
        <v>0</v>
      </c>
      <c r="R124" s="290">
        <f t="shared" si="4"/>
        <v>41.1</v>
      </c>
      <c r="S124" s="609">
        <f>M$25*F124*G124</f>
        <v>1356.6666666666667</v>
      </c>
      <c r="T124" s="610">
        <v>0.12</v>
      </c>
      <c r="U124" s="622">
        <v>0.65</v>
      </c>
      <c r="V124" s="612">
        <f t="shared" si="8"/>
        <v>0.2</v>
      </c>
      <c r="W124" s="676">
        <v>10</v>
      </c>
      <c r="X124" s="396">
        <f>MAX(5,$R124/(1+($V124*(('Traffic Data'!J43*$T124*$U124)/(($I124/2)*$S124))^$W124)))</f>
        <v>41.1</v>
      </c>
      <c r="Y124" s="396">
        <f>$R124/(1+($V124*(('Traffic Data'!K43*$T124*$U124)/(($I124/2)*$S124))^$W124))</f>
        <v>41.1</v>
      </c>
      <c r="Z124" s="396">
        <f>$R124/(1+($V124*(('Traffic Data'!L43*$T124*$U124)/(($I124/2)*$S124))^$W124))</f>
        <v>41.1</v>
      </c>
      <c r="AA124" s="396">
        <f>$R124/(1+($V124*(('Traffic Data'!M43*$T124*$U124)/(($I124/2)*$S124))^$W124))</f>
        <v>41.099999999994417</v>
      </c>
      <c r="AB124" s="396">
        <f>$R124/(1+($V124*(('Traffic Data'!N43*$T124*$U124)/(($I124/2)*$S124))^$W124))</f>
        <v>41.099999999537111</v>
      </c>
      <c r="AC124" s="396">
        <f>$R124/(1+($V124*(('Traffic Data'!O43*$T124*$U124)/(($I124/2)*$S124))^$W124))</f>
        <v>41.099999990190398</v>
      </c>
      <c r="AD124" s="396">
        <f>$R124/(1+($V124*(('Traffic Data'!P43*$T124*$U124)/(($I124/2)*$S124))^$W124))</f>
        <v>41.099999898693142</v>
      </c>
      <c r="AE124" s="396">
        <f>$R124/(1+($V124*(('Traffic Data'!Q43*$T124*$U124)/(($I124/2)*$S124))^$W124))</f>
        <v>41.099999327050369</v>
      </c>
      <c r="AF124" s="396">
        <f>$R124/(1+($V124*(('Traffic Data'!R43*$T124*$U124)/(($I124/2)*$S124))^$W124))</f>
        <v>41.099997653760163</v>
      </c>
      <c r="AG124" s="396">
        <f>$R124/(1+($V124*(('Traffic Data'!S43*$T124*$U124)/(($I124/2)*$S124))^$W124))</f>
        <v>41.099992878726958</v>
      </c>
      <c r="AH124" s="396">
        <f>$R124/(1+($V124*(('Traffic Data'!T43*$T124*$U124)/(($I124/2)*$S124))^$W124))</f>
        <v>41.099980660356351</v>
      </c>
      <c r="AI124" s="396">
        <f>$R124/(1+($V124*(('Traffic Data'!U43*$T124*$U124)/(($I124/2)*$S124))^$W124))</f>
        <v>41.099952037621648</v>
      </c>
      <c r="AJ124" s="396">
        <f>$R124/(1+($V124*(('Traffic Data'!V43*$T124*$U124)/(($I124/2)*$S124))^$W124))</f>
        <v>41.099889604819737</v>
      </c>
      <c r="AK124" s="396">
        <f>$R124/(1+($V124*(('Traffic Data'!W43*$T124*$U124)/(($I124/2)*$S124))^$W124))</f>
        <v>41.099837147249247</v>
      </c>
      <c r="AL124" s="396">
        <f>$R124/(1+($V124*(('Traffic Data'!X43*$T124*$U124)/(($I124/2)*$S124))^$W124))</f>
        <v>41.099819433478061</v>
      </c>
      <c r="AM124" s="396">
        <f>$R124/(1+($V124*(('Traffic Data'!Y43*$T124*$U124)/(($I124/2)*$S124))^$W124))</f>
        <v>41.099800004112645</v>
      </c>
      <c r="AN124" s="396">
        <f>$R124/(1+($V124*(('Traffic Data'!Z43*$T124*$U124)/(($I124/2)*$S124))^$W124))</f>
        <v>41.099778713017592</v>
      </c>
      <c r="AO124" s="396">
        <f>$R124/(1+($V124*(('Traffic Data'!AA43*$T124*$U124)/(($I124/2)*$S124))^$W124))</f>
        <v>41.099755333487764</v>
      </c>
      <c r="AP124" s="396">
        <f>$R124/(1+($V124*(('Traffic Data'!AB43*$T124*$U124)/(($I124/2)*$S124))^$W124))</f>
        <v>41.099729830227254</v>
      </c>
      <c r="AQ124" s="396">
        <f>$R124/(1+($V124*(('Traffic Data'!AC43*$T124*$U124)/(($I124/2)*$S124))^$W124))</f>
        <v>41.099701875520481</v>
      </c>
      <c r="AR124" s="396">
        <f>$R124/(1+($V124*(('Traffic Data'!AD43*$T124*$U124)/(($I124/2)*$S124))^$W124))</f>
        <v>41.099671435026814</v>
      </c>
      <c r="AS124" s="396">
        <f>$R124/(1+($V124*(('Traffic Data'!AE43*$T124*$U124)/(($I124/2)*$S124))^$W124))</f>
        <v>41.099638225218428</v>
      </c>
      <c r="AT124" s="396">
        <f>$R124/(1+($V124*(('Traffic Data'!AF43*$T124*$U124)/(($I124/2)*$S124))^$W124))</f>
        <v>41.099601916217836</v>
      </c>
      <c r="AU124" s="396">
        <f>$R124/(1+($V124*(('Traffic Data'!AG43*$T124*$U124)/(($I124/2)*$S124))^$W124))</f>
        <v>41.099562477650608</v>
      </c>
      <c r="AV124" s="396">
        <f>$R124/(1+($V124*(('Traffic Data'!AH43*$T124*$U124)/(($I124/2)*$S124))^$W124))</f>
        <v>41.099519556825001</v>
      </c>
      <c r="AW124" s="385">
        <f>$R124/(1+($V124*(('Traffic Data'!AI43*$T124*$U124)/(($I124/2)*$S124))^$W124))</f>
        <v>41.099472743791047</v>
      </c>
      <c r="AX124" s="408">
        <f>$R124/(1+($V124*(('Traffic Data'!J43*(0.67/14))/(($I124)*$S124))^$W124))</f>
        <v>41.1</v>
      </c>
      <c r="AY124" s="388">
        <f>$R124/(1+($V124*(('Traffic Data'!J43*(0.67/14))/(($I124)*$S124))^$W124))</f>
        <v>41.1</v>
      </c>
      <c r="AZ124" s="388">
        <f>$R124/(1+($V124*(('Traffic Data'!K43*(0.67/14))/(($I124)*$S124))^$W124))</f>
        <v>41.1</v>
      </c>
      <c r="BA124" s="388">
        <f>$R124/(1+($V124*(('Traffic Data'!L43*(0.67/14))/(($I124)*$S124))^$W124))</f>
        <v>41.1</v>
      </c>
      <c r="BB124" s="388">
        <f>$R124/(1+($V124*(('Traffic Data'!M43*(0.67/14))/(($I124)*$S124))^$W124))</f>
        <v>41.1</v>
      </c>
      <c r="BC124" s="388">
        <f>$R124/(1+($V124*(('Traffic Data'!N43*(0.67/14))/(($I124)*$S124))^$W124))</f>
        <v>41.1</v>
      </c>
      <c r="BD124" s="388">
        <f>$R124/(1+($V124*(('Traffic Data'!O43*(0.67/14))/(($I124)*$S124))^$W124))</f>
        <v>41.09999999999993</v>
      </c>
      <c r="BE124" s="388">
        <f>$R124/(1+($V124*(('Traffic Data'!P43*(0.67/14))/(($I124)*$S124))^$W124))</f>
        <v>41.099999999999255</v>
      </c>
      <c r="BF124" s="388">
        <f>$R124/(1+($V124*(('Traffic Data'!Q43*(0.67/14))/(($I124)*$S124))^$W124))</f>
        <v>41.099999999995035</v>
      </c>
      <c r="BG124" s="388">
        <f>$R124/(1+($V124*(('Traffic Data'!R43*(0.67/14))/(($I124)*$S124))^$W124))</f>
        <v>41.099999999982678</v>
      </c>
      <c r="BH124" s="388">
        <f>$R124/(1+($V124*(('Traffic Data'!S43*(0.67/14))/(($I124)*$S124))^$W124))</f>
        <v>41.099999999947428</v>
      </c>
      <c r="BI124" s="388">
        <f>$R124/(1+($V124*(('Traffic Data'!T43*(0.67/14))/(($I124)*$S124))^$W124))</f>
        <v>41.099999999857225</v>
      </c>
      <c r="BJ124" s="388">
        <f>$R124/(1+($V124*(('Traffic Data'!U43*(0.67/14))/(($I124)*$S124))^$W124))</f>
        <v>41.099999999645902</v>
      </c>
      <c r="BK124" s="388">
        <f>$R124/(1+($V124*(('Traffic Data'!V43*(0.67/14))/(($I124)*$S124))^$W124))</f>
        <v>41.099999999184973</v>
      </c>
      <c r="BL124" s="388">
        <f>$R124/(1+($V124*(('Traffic Data'!W43*(0.67/14))/(($I124)*$S124))^$W124))</f>
        <v>41.099999998797685</v>
      </c>
      <c r="BM124" s="388">
        <f>$R124/(1+($V124*(('Traffic Data'!X43*(0.67/14))/(($I124)*$S124))^$W124))</f>
        <v>41.09999999866691</v>
      </c>
      <c r="BN124" s="388">
        <f>$R124/(1+($V124*(('Traffic Data'!Y43*(0.67/14))/(($I124)*$S124))^$W124))</f>
        <v>41.099999998523465</v>
      </c>
      <c r="BO124" s="388">
        <f>$R124/(1+($V124*(('Traffic Data'!Z43*(0.67/14))/(($I124)*$S124))^$W124))</f>
        <v>41.099999998366279</v>
      </c>
      <c r="BP124" s="388">
        <f>$R124/(1+($V124*(('Traffic Data'!AA43*(0.67/14))/(($I124)*$S124))^$W124))</f>
        <v>41.099999998193667</v>
      </c>
      <c r="BQ124" s="388">
        <f>$R124/(1+($V124*(('Traffic Data'!AB43*(0.67/14))/(($I124)*$S124))^$W124))</f>
        <v>41.09999999800538</v>
      </c>
      <c r="BR124" s="388">
        <f>$R124/(1+($V124*(('Traffic Data'!AC43*(0.67/14))/(($I124)*$S124))^$W124))</f>
        <v>41.099999997798982</v>
      </c>
      <c r="BS124" s="388">
        <f>$R124/(1+($V124*(('Traffic Data'!AD43*(0.67/14))/(($I124)*$S124))^$W124))</f>
        <v>41.099999997574244</v>
      </c>
      <c r="BT124" s="388">
        <f>$R124/(1+($V124*(('Traffic Data'!AE43*(0.67/14))/(($I124)*$S124))^$W124))</f>
        <v>41.099999997329064</v>
      </c>
      <c r="BU124" s="388">
        <f>$R124/(1+($V124*(('Traffic Data'!AF43*(0.67/14))/(($I124)*$S124))^$W124))</f>
        <v>41.099999997060998</v>
      </c>
      <c r="BV124" s="388">
        <f>$R124/(1+($V124*(('Traffic Data'!AG43*(0.67/14))/(($I124)*$S124))^$W124))</f>
        <v>41.099999996769824</v>
      </c>
      <c r="BW124" s="652">
        <f>$R124/(1+($V124*(('Traffic Data'!AH43*(0.67/14))/(($I124)*$S124))^$W124))</f>
        <v>41.099999996452944</v>
      </c>
    </row>
    <row r="125" spans="1:75" ht="21.95" customHeight="1" x14ac:dyDescent="0.2">
      <c r="A125" s="642"/>
      <c r="B125" s="288"/>
      <c r="C125" s="1413"/>
      <c r="D125" s="289" t="s">
        <v>339</v>
      </c>
      <c r="E125" s="289" t="s">
        <v>288</v>
      </c>
      <c r="F125" s="607">
        <f>'Traffic Data'!CM43</f>
        <v>0.83333333333333337</v>
      </c>
      <c r="G125" s="607">
        <f>'Traffic Data'!CN43</f>
        <v>0.88</v>
      </c>
      <c r="H125" s="608">
        <f>'Traffic Data'!G44</f>
        <v>40</v>
      </c>
      <c r="I125" s="608">
        <v>4</v>
      </c>
      <c r="J125" s="608">
        <f t="shared" si="10"/>
        <v>47</v>
      </c>
      <c r="K125" s="608">
        <v>0</v>
      </c>
      <c r="L125" s="608">
        <v>2.5</v>
      </c>
      <c r="M125" s="608">
        <v>0</v>
      </c>
      <c r="N125" s="608">
        <v>1.8</v>
      </c>
      <c r="O125" s="608">
        <v>1.6</v>
      </c>
      <c r="P125" s="608">
        <v>0</v>
      </c>
      <c r="Q125" s="608">
        <v>0</v>
      </c>
      <c r="R125" s="290">
        <f t="shared" si="4"/>
        <v>41.1</v>
      </c>
      <c r="S125" s="609">
        <f>M$25*F125*G125</f>
        <v>1356.6666666666667</v>
      </c>
      <c r="T125" s="610">
        <v>0.12</v>
      </c>
      <c r="U125" s="611">
        <v>0.65</v>
      </c>
      <c r="V125" s="612">
        <f t="shared" si="8"/>
        <v>0.2</v>
      </c>
      <c r="W125" s="613">
        <v>10</v>
      </c>
      <c r="X125" s="407">
        <f>$R125/(1+($V125*(('Traffic Data'!J44*$T125*$U125)/(($I125/2)*$S125))^$W125))</f>
        <v>41.1</v>
      </c>
      <c r="Y125" s="396">
        <f>$R125/(1+($V125*(('Traffic Data'!K44*$T125*$U125)/(($I125/2)*$S125))^$W125))</f>
        <v>41.1</v>
      </c>
      <c r="Z125" s="396">
        <f>$R125/(1+($V125*(('Traffic Data'!L44*$T125*$U125)/(($I125/2)*$S125))^$W125))</f>
        <v>41.1</v>
      </c>
      <c r="AA125" s="396">
        <f>$R125/(1+($V125*(('Traffic Data'!M44*$T125*$U125)/(($I125/2)*$S125))^$W125))</f>
        <v>41.099999999994417</v>
      </c>
      <c r="AB125" s="396">
        <f>$R125/(1+($V125*(('Traffic Data'!N44*$T125*$U125)/(($I125/2)*$S125))^$W125))</f>
        <v>41.099999999537111</v>
      </c>
      <c r="AC125" s="396">
        <f>$R125/(1+($V125*(('Traffic Data'!O44*$T125*$U125)/(($I125/2)*$S125))^$W125))</f>
        <v>41.099999990190398</v>
      </c>
      <c r="AD125" s="396">
        <f>$R125/(1+($V125*(('Traffic Data'!P44*$T125*$U125)/(($I125/2)*$S125))^$W125))</f>
        <v>41.099999898693142</v>
      </c>
      <c r="AE125" s="396">
        <f>$R125/(1+($V125*(('Traffic Data'!Q44*$T125*$U125)/(($I125/2)*$S125))^$W125))</f>
        <v>41.099999327050369</v>
      </c>
      <c r="AF125" s="396">
        <f>$R125/(1+($V125*(('Traffic Data'!R44*$T125*$U125)/(($I125/2)*$S125))^$W125))</f>
        <v>41.099997653760163</v>
      </c>
      <c r="AG125" s="396">
        <f>$R125/(1+($V125*(('Traffic Data'!S44*$T125*$U125)/(($I125/2)*$S125))^$W125))</f>
        <v>41.099992878726958</v>
      </c>
      <c r="AH125" s="396">
        <f>$R125/(1+($V125*(('Traffic Data'!T44*$T125*$U125)/(($I125/2)*$S125))^$W125))</f>
        <v>41.099980660356351</v>
      </c>
      <c r="AI125" s="396">
        <f>$R125/(1+($V125*(('Traffic Data'!U44*$T125*$U125)/(($I125/2)*$S125))^$W125))</f>
        <v>41.099952037621648</v>
      </c>
      <c r="AJ125" s="396">
        <f>$R125/(1+($V125*(('Traffic Data'!V44*$T125*$U125)/(($I125/2)*$S125))^$W125))</f>
        <v>41.099889604819737</v>
      </c>
      <c r="AK125" s="396">
        <f>$R125/(1+($V125*(('Traffic Data'!W44*$T125*$U125)/(($I125/2)*$S125))^$W125))</f>
        <v>41.099837147249247</v>
      </c>
      <c r="AL125" s="396">
        <f>$R125/(1+($V125*(('Traffic Data'!X44*$T125*$U125)/(($I125/2)*$S125))^$W125))</f>
        <v>41.099819433478061</v>
      </c>
      <c r="AM125" s="396">
        <f>$R125/(1+($V125*(('Traffic Data'!Y44*$T125*$U125)/(($I125/2)*$S125))^$W125))</f>
        <v>41.099800004112645</v>
      </c>
      <c r="AN125" s="396">
        <f>$R125/(1+($V125*(('Traffic Data'!Z44*$T125*$U125)/(($I125/2)*$S125))^$W125))</f>
        <v>41.099778713017592</v>
      </c>
      <c r="AO125" s="396">
        <f>$R125/(1+($V125*(('Traffic Data'!AA44*$T125*$U125)/(($I125/2)*$S125))^$W125))</f>
        <v>41.099755333487764</v>
      </c>
      <c r="AP125" s="396">
        <f>$R125/(1+($V125*(('Traffic Data'!AB44*$T125*$U125)/(($I125/2)*$S125))^$W125))</f>
        <v>41.099729830227254</v>
      </c>
      <c r="AQ125" s="396">
        <f>$R125/(1+($V125*(('Traffic Data'!AC44*$T125*$U125)/(($I125/2)*$S125))^$W125))</f>
        <v>41.099701875520481</v>
      </c>
      <c r="AR125" s="396">
        <f>$R125/(1+($V125*(('Traffic Data'!AD44*$T125*$U125)/(($I125/2)*$S125))^$W125))</f>
        <v>41.099671435026814</v>
      </c>
      <c r="AS125" s="396">
        <f>$R125/(1+($V125*(('Traffic Data'!AE44*$T125*$U125)/(($I125/2)*$S125))^$W125))</f>
        <v>41.099638225218428</v>
      </c>
      <c r="AT125" s="396">
        <f>$R125/(1+($V125*(('Traffic Data'!AF44*$T125*$U125)/(($I125/2)*$S125))^$W125))</f>
        <v>41.099601916217836</v>
      </c>
      <c r="AU125" s="396">
        <f>$R125/(1+($V125*(('Traffic Data'!AG44*$T125*$U125)/(($I125/2)*$S125))^$W125))</f>
        <v>41.099562477650608</v>
      </c>
      <c r="AV125" s="396">
        <f>$R125/(1+($V125*(('Traffic Data'!AH44*$T125*$U125)/(($I125/2)*$S125))^$W125))</f>
        <v>41.099519556825001</v>
      </c>
      <c r="AW125" s="385">
        <f>$R125/(1+($V125*(('Traffic Data'!AI44*$T125*$U125)/(($I125/2)*$S125))^$W125))</f>
        <v>41.099472743791047</v>
      </c>
      <c r="AX125" s="407">
        <f>$R125/(1+($V125*(('Traffic Data'!J44*(0.67/14))/(($I125)*$S125))^$W125))</f>
        <v>41.1</v>
      </c>
      <c r="AY125" s="396">
        <f>$R125/(1+($V125*(('Traffic Data'!J44*(0.67/14))/(($I125)*$S125))^$W125))</f>
        <v>41.1</v>
      </c>
      <c r="AZ125" s="396">
        <f>$R125/(1+($V125*(('Traffic Data'!K44*(0.67/14))/(($I125)*$S125))^$W125))</f>
        <v>41.1</v>
      </c>
      <c r="BA125" s="396">
        <f>$R125/(1+($V125*(('Traffic Data'!L44*(0.67/14))/(($I125)*$S125))^$W125))</f>
        <v>41.1</v>
      </c>
      <c r="BB125" s="396">
        <f>$R125/(1+($V125*(('Traffic Data'!M44*(0.67/14))/(($I125)*$S125))^$W125))</f>
        <v>41.1</v>
      </c>
      <c r="BC125" s="396">
        <f>$R125/(1+($V125*(('Traffic Data'!N44*(0.67/14))/(($I125)*$S125))^$W125))</f>
        <v>41.1</v>
      </c>
      <c r="BD125" s="396">
        <f>$R125/(1+($V125*(('Traffic Data'!O44*(0.67/14))/(($I125)*$S125))^$W125))</f>
        <v>41.09999999999993</v>
      </c>
      <c r="BE125" s="396">
        <f>$R125/(1+($V125*(('Traffic Data'!P44*(0.67/14))/(($I125)*$S125))^$W125))</f>
        <v>41.099999999999255</v>
      </c>
      <c r="BF125" s="396">
        <f>$R125/(1+($V125*(('Traffic Data'!Q44*(0.67/14))/(($I125)*$S125))^$W125))</f>
        <v>41.099999999995035</v>
      </c>
      <c r="BG125" s="396">
        <f>$R125/(1+($V125*(('Traffic Data'!R44*(0.67/14))/(($I125)*$S125))^$W125))</f>
        <v>41.099999999982678</v>
      </c>
      <c r="BH125" s="396">
        <f>$R125/(1+($V125*(('Traffic Data'!S44*(0.67/14))/(($I125)*$S125))^$W125))</f>
        <v>41.099999999947428</v>
      </c>
      <c r="BI125" s="396">
        <f>$R125/(1+($V125*(('Traffic Data'!T44*(0.67/14))/(($I125)*$S125))^$W125))</f>
        <v>41.099999999857225</v>
      </c>
      <c r="BJ125" s="396">
        <f>$R125/(1+($V125*(('Traffic Data'!U44*(0.67/14))/(($I125)*$S125))^$W125))</f>
        <v>41.099999999645902</v>
      </c>
      <c r="BK125" s="396">
        <f>$R125/(1+($V125*(('Traffic Data'!V44*(0.67/14))/(($I125)*$S125))^$W125))</f>
        <v>41.099999999184973</v>
      </c>
      <c r="BL125" s="396">
        <f>$R125/(1+($V125*(('Traffic Data'!W44*(0.67/14))/(($I125)*$S125))^$W125))</f>
        <v>41.099999998797685</v>
      </c>
      <c r="BM125" s="396">
        <f>$R125/(1+($V125*(('Traffic Data'!X44*(0.67/14))/(($I125)*$S125))^$W125))</f>
        <v>41.09999999866691</v>
      </c>
      <c r="BN125" s="396">
        <f>$R125/(1+($V125*(('Traffic Data'!Y44*(0.67/14))/(($I125)*$S125))^$W125))</f>
        <v>41.099999998523465</v>
      </c>
      <c r="BO125" s="396">
        <f>$R125/(1+($V125*(('Traffic Data'!Z44*(0.67/14))/(($I125)*$S125))^$W125))</f>
        <v>41.099999998366279</v>
      </c>
      <c r="BP125" s="396">
        <f>$R125/(1+($V125*(('Traffic Data'!AA44*(0.67/14))/(($I125)*$S125))^$W125))</f>
        <v>41.099999998193667</v>
      </c>
      <c r="BQ125" s="396">
        <f>$R125/(1+($V125*(('Traffic Data'!AB44*(0.67/14))/(($I125)*$S125))^$W125))</f>
        <v>41.09999999800538</v>
      </c>
      <c r="BR125" s="396">
        <f>$R125/(1+($V125*(('Traffic Data'!AC44*(0.67/14))/(($I125)*$S125))^$W125))</f>
        <v>41.099999997798982</v>
      </c>
      <c r="BS125" s="396">
        <f>$R125/(1+($V125*(('Traffic Data'!AD44*(0.67/14))/(($I125)*$S125))^$W125))</f>
        <v>41.099999997574244</v>
      </c>
      <c r="BT125" s="396">
        <f>$R125/(1+($V125*(('Traffic Data'!AE44*(0.67/14))/(($I125)*$S125))^$W125))</f>
        <v>41.099999997329064</v>
      </c>
      <c r="BU125" s="396">
        <f>$R125/(1+($V125*(('Traffic Data'!AF44*(0.67/14))/(($I125)*$S125))^$W125))</f>
        <v>41.099999997060998</v>
      </c>
      <c r="BV125" s="396">
        <f>$R125/(1+($V125*(('Traffic Data'!AG44*(0.67/14))/(($I125)*$S125))^$W125))</f>
        <v>41.099999996769824</v>
      </c>
      <c r="BW125" s="651">
        <f>$R125/(1+($V125*(('Traffic Data'!AH44*(0.67/14))/(($I125)*$S125))^$W125))</f>
        <v>41.099999996452944</v>
      </c>
    </row>
    <row r="126" spans="1:75" ht="21.95" customHeight="1" x14ac:dyDescent="0.2">
      <c r="A126" s="642"/>
      <c r="B126" s="288"/>
      <c r="C126" s="1413"/>
      <c r="D126" s="289" t="s">
        <v>288</v>
      </c>
      <c r="E126" s="289" t="s">
        <v>340</v>
      </c>
      <c r="F126" s="607">
        <f>'Traffic Data'!CM43</f>
        <v>0.83333333333333337</v>
      </c>
      <c r="G126" s="607">
        <f>'Traffic Data'!CN43</f>
        <v>0.88</v>
      </c>
      <c r="H126" s="608">
        <f>'Traffic Data'!G45</f>
        <v>40</v>
      </c>
      <c r="I126" s="608">
        <v>4</v>
      </c>
      <c r="J126" s="608">
        <f t="shared" si="10"/>
        <v>47</v>
      </c>
      <c r="K126" s="608">
        <v>0</v>
      </c>
      <c r="L126" s="608">
        <v>2.5</v>
      </c>
      <c r="M126" s="608">
        <v>0</v>
      </c>
      <c r="N126" s="608">
        <v>1.8</v>
      </c>
      <c r="O126" s="608">
        <v>1.6</v>
      </c>
      <c r="P126" s="608">
        <v>0</v>
      </c>
      <c r="Q126" s="608">
        <v>0</v>
      </c>
      <c r="R126" s="290">
        <f t="shared" si="4"/>
        <v>41.1</v>
      </c>
      <c r="S126" s="609">
        <f>M$25*F126*G126</f>
        <v>1356.6666666666667</v>
      </c>
      <c r="T126" s="610">
        <v>0.12</v>
      </c>
      <c r="U126" s="611">
        <v>0.65</v>
      </c>
      <c r="V126" s="612">
        <f t="shared" si="8"/>
        <v>0.2</v>
      </c>
      <c r="W126" s="613">
        <v>10</v>
      </c>
      <c r="X126" s="407">
        <f>$R126/(1+($V126*(('Traffic Data'!J45*$T126*$U126)/(($I126/2)*$S126))^$W126))</f>
        <v>41.1</v>
      </c>
      <c r="Y126" s="396">
        <f>$R126/(1+($V126*(('Traffic Data'!K45*$T126*$U126)/(($I126/2)*$S126))^$W126))</f>
        <v>41.1</v>
      </c>
      <c r="Z126" s="396">
        <f>$R126/(1+($V126*(('Traffic Data'!L45*$T126*$U126)/(($I126/2)*$S126))^$W126))</f>
        <v>41.1</v>
      </c>
      <c r="AA126" s="396">
        <f>$R126/(1+($V126*(('Traffic Data'!M45*$T126*$U126)/(($I126/2)*$S126))^$W126))</f>
        <v>41.099999999994417</v>
      </c>
      <c r="AB126" s="396">
        <f>$R126/(1+($V126*(('Traffic Data'!N45*$T126*$U126)/(($I126/2)*$S126))^$W126))</f>
        <v>41.099999999537111</v>
      </c>
      <c r="AC126" s="396">
        <f>$R126/(1+($V126*(('Traffic Data'!O45*$T126*$U126)/(($I126/2)*$S126))^$W126))</f>
        <v>41.099999990190398</v>
      </c>
      <c r="AD126" s="396">
        <f>$R126/(1+($V126*(('Traffic Data'!P45*$T126*$U126)/(($I126/2)*$S126))^$W126))</f>
        <v>41.099999898693142</v>
      </c>
      <c r="AE126" s="396">
        <f>$R126/(1+($V126*(('Traffic Data'!Q45*$T126*$U126)/(($I126/2)*$S126))^$W126))</f>
        <v>41.099999327050369</v>
      </c>
      <c r="AF126" s="396">
        <f>$R126/(1+($V126*(('Traffic Data'!R45*$T126*$U126)/(($I126/2)*$S126))^$W126))</f>
        <v>41.099997653760163</v>
      </c>
      <c r="AG126" s="396">
        <f>$R126/(1+($V126*(('Traffic Data'!S45*$T126*$U126)/(($I126/2)*$S126))^$W126))</f>
        <v>41.099992878726958</v>
      </c>
      <c r="AH126" s="396">
        <f>$R126/(1+($V126*(('Traffic Data'!T45*$T126*$U126)/(($I126/2)*$S126))^$W126))</f>
        <v>41.099980660356351</v>
      </c>
      <c r="AI126" s="396">
        <f>$R126/(1+($V126*(('Traffic Data'!U45*$T126*$U126)/(($I126/2)*$S126))^$W126))</f>
        <v>41.099952037621648</v>
      </c>
      <c r="AJ126" s="396">
        <f>$R126/(1+($V126*(('Traffic Data'!V45*$T126*$U126)/(($I126/2)*$S126))^$W126))</f>
        <v>41.099889604819737</v>
      </c>
      <c r="AK126" s="396">
        <f>$R126/(1+($V126*(('Traffic Data'!W45*$T126*$U126)/(($I126/2)*$S126))^$W126))</f>
        <v>41.099837147249247</v>
      </c>
      <c r="AL126" s="396">
        <f>$R126/(1+($V126*(('Traffic Data'!X45*$T126*$U126)/(($I126/2)*$S126))^$W126))</f>
        <v>41.099819433478061</v>
      </c>
      <c r="AM126" s="396">
        <f>$R126/(1+($V126*(('Traffic Data'!Y45*$T126*$U126)/(($I126/2)*$S126))^$W126))</f>
        <v>41.099800004112645</v>
      </c>
      <c r="AN126" s="396">
        <f>$R126/(1+($V126*(('Traffic Data'!Z45*$T126*$U126)/(($I126/2)*$S126))^$W126))</f>
        <v>41.099778713017592</v>
      </c>
      <c r="AO126" s="396">
        <f>$R126/(1+($V126*(('Traffic Data'!AA45*$T126*$U126)/(($I126/2)*$S126))^$W126))</f>
        <v>41.099755333487764</v>
      </c>
      <c r="AP126" s="396">
        <f>$R126/(1+($V126*(('Traffic Data'!AB45*$T126*$U126)/(($I126/2)*$S126))^$W126))</f>
        <v>41.099729830227254</v>
      </c>
      <c r="AQ126" s="396">
        <f>$R126/(1+($V126*(('Traffic Data'!AC45*$T126*$U126)/(($I126/2)*$S126))^$W126))</f>
        <v>41.099701875520481</v>
      </c>
      <c r="AR126" s="396">
        <f>$R126/(1+($V126*(('Traffic Data'!AD45*$T126*$U126)/(($I126/2)*$S126))^$W126))</f>
        <v>41.099671435026814</v>
      </c>
      <c r="AS126" s="396">
        <f>$R126/(1+($V126*(('Traffic Data'!AE45*$T126*$U126)/(($I126/2)*$S126))^$W126))</f>
        <v>41.099638225218428</v>
      </c>
      <c r="AT126" s="396">
        <f>$R126/(1+($V126*(('Traffic Data'!AF45*$T126*$U126)/(($I126/2)*$S126))^$W126))</f>
        <v>41.099601916217836</v>
      </c>
      <c r="AU126" s="396">
        <f>$R126/(1+($V126*(('Traffic Data'!AG45*$T126*$U126)/(($I126/2)*$S126))^$W126))</f>
        <v>41.099562477650608</v>
      </c>
      <c r="AV126" s="396">
        <f>$R126/(1+($V126*(('Traffic Data'!AH45*$T126*$U126)/(($I126/2)*$S126))^$W126))</f>
        <v>41.099519556825001</v>
      </c>
      <c r="AW126" s="385">
        <f>$R126/(1+($V126*(('Traffic Data'!AI45*$T126*$U126)/(($I126/2)*$S126))^$W126))</f>
        <v>41.099472743791047</v>
      </c>
      <c r="AX126" s="407">
        <f>$R126/(1+($V126*(('Traffic Data'!J45*(0.67/14))/(($I126)*$S126))^$W126))</f>
        <v>41.1</v>
      </c>
      <c r="AY126" s="396">
        <f>$R126/(1+($V126*(('Traffic Data'!J45*(0.67/14))/(($I126)*$S126))^$W126))</f>
        <v>41.1</v>
      </c>
      <c r="AZ126" s="396">
        <f>$R126/(1+($V126*(('Traffic Data'!K45*(0.67/14))/(($I126)*$S126))^$W126))</f>
        <v>41.1</v>
      </c>
      <c r="BA126" s="396">
        <f>$R126/(1+($V126*(('Traffic Data'!L45*(0.67/14))/(($I126)*$S126))^$W126))</f>
        <v>41.1</v>
      </c>
      <c r="BB126" s="396">
        <f>$R126/(1+($V126*(('Traffic Data'!M45*(0.67/14))/(($I126)*$S126))^$W126))</f>
        <v>41.1</v>
      </c>
      <c r="BC126" s="396">
        <f>$R126/(1+($V126*(('Traffic Data'!N45*(0.67/14))/(($I126)*$S126))^$W126))</f>
        <v>41.1</v>
      </c>
      <c r="BD126" s="396">
        <f>$R126/(1+($V126*(('Traffic Data'!O45*(0.67/14))/(($I126)*$S126))^$W126))</f>
        <v>41.09999999999993</v>
      </c>
      <c r="BE126" s="396">
        <f>$R126/(1+($V126*(('Traffic Data'!P45*(0.67/14))/(($I126)*$S126))^$W126))</f>
        <v>41.099999999999255</v>
      </c>
      <c r="BF126" s="396">
        <f>$R126/(1+($V126*(('Traffic Data'!Q45*(0.67/14))/(($I126)*$S126))^$W126))</f>
        <v>41.099999999995035</v>
      </c>
      <c r="BG126" s="396">
        <f>$R126/(1+($V126*(('Traffic Data'!R45*(0.67/14))/(($I126)*$S126))^$W126))</f>
        <v>41.099999999982678</v>
      </c>
      <c r="BH126" s="396">
        <f>$R126/(1+($V126*(('Traffic Data'!S45*(0.67/14))/(($I126)*$S126))^$W126))</f>
        <v>41.099999999947428</v>
      </c>
      <c r="BI126" s="396">
        <f>$R126/(1+($V126*(('Traffic Data'!T45*(0.67/14))/(($I126)*$S126))^$W126))</f>
        <v>41.099999999857225</v>
      </c>
      <c r="BJ126" s="396">
        <f>$R126/(1+($V126*(('Traffic Data'!U45*(0.67/14))/(($I126)*$S126))^$W126))</f>
        <v>41.099999999645902</v>
      </c>
      <c r="BK126" s="396">
        <f>$R126/(1+($V126*(('Traffic Data'!V45*(0.67/14))/(($I126)*$S126))^$W126))</f>
        <v>41.099999999184973</v>
      </c>
      <c r="BL126" s="396">
        <f>$R126/(1+($V126*(('Traffic Data'!W45*(0.67/14))/(($I126)*$S126))^$W126))</f>
        <v>41.099999998797685</v>
      </c>
      <c r="BM126" s="396">
        <f>$R126/(1+($V126*(('Traffic Data'!X45*(0.67/14))/(($I126)*$S126))^$W126))</f>
        <v>41.09999999866691</v>
      </c>
      <c r="BN126" s="396">
        <f>$R126/(1+($V126*(('Traffic Data'!Y45*(0.67/14))/(($I126)*$S126))^$W126))</f>
        <v>41.099999998523465</v>
      </c>
      <c r="BO126" s="396">
        <f>$R126/(1+($V126*(('Traffic Data'!Z45*(0.67/14))/(($I126)*$S126))^$W126))</f>
        <v>41.099999998366279</v>
      </c>
      <c r="BP126" s="396">
        <f>$R126/(1+($V126*(('Traffic Data'!AA45*(0.67/14))/(($I126)*$S126))^$W126))</f>
        <v>41.099999998193667</v>
      </c>
      <c r="BQ126" s="396">
        <f>$R126/(1+($V126*(('Traffic Data'!AB45*(0.67/14))/(($I126)*$S126))^$W126))</f>
        <v>41.09999999800538</v>
      </c>
      <c r="BR126" s="396">
        <f>$R126/(1+($V126*(('Traffic Data'!AC45*(0.67/14))/(($I126)*$S126))^$W126))</f>
        <v>41.099999997798982</v>
      </c>
      <c r="BS126" s="396">
        <f>$R126/(1+($V126*(('Traffic Data'!AD45*(0.67/14))/(($I126)*$S126))^$W126))</f>
        <v>41.099999997574244</v>
      </c>
      <c r="BT126" s="396">
        <f>$R126/(1+($V126*(('Traffic Data'!AE45*(0.67/14))/(($I126)*$S126))^$W126))</f>
        <v>41.099999997329064</v>
      </c>
      <c r="BU126" s="396">
        <f>$R126/(1+($V126*(('Traffic Data'!AF45*(0.67/14))/(($I126)*$S126))^$W126))</f>
        <v>41.099999997060998</v>
      </c>
      <c r="BV126" s="396">
        <f>$R126/(1+($V126*(('Traffic Data'!AG45*(0.67/14))/(($I126)*$S126))^$W126))</f>
        <v>41.099999996769824</v>
      </c>
      <c r="BW126" s="651">
        <f>$R126/(1+($V126*(('Traffic Data'!AH45*(0.67/14))/(($I126)*$S126))^$W126))</f>
        <v>41.099999996452944</v>
      </c>
    </row>
    <row r="127" spans="1:75" ht="21.95" customHeight="1" x14ac:dyDescent="0.2">
      <c r="A127" s="642"/>
      <c r="B127" s="288"/>
      <c r="C127" s="1413"/>
      <c r="D127" s="289" t="s">
        <v>340</v>
      </c>
      <c r="E127" s="289" t="s">
        <v>280</v>
      </c>
      <c r="F127" s="607">
        <f>'Traffic Data'!CM43</f>
        <v>0.83333333333333337</v>
      </c>
      <c r="G127" s="607">
        <f>'Traffic Data'!CN43</f>
        <v>0.88</v>
      </c>
      <c r="H127" s="615">
        <f>'Traffic Data'!G46</f>
        <v>40</v>
      </c>
      <c r="I127" s="615">
        <v>4</v>
      </c>
      <c r="J127" s="615">
        <f t="shared" si="10"/>
        <v>47</v>
      </c>
      <c r="K127" s="608">
        <v>0</v>
      </c>
      <c r="L127" s="608">
        <v>2.5</v>
      </c>
      <c r="M127" s="608">
        <v>0</v>
      </c>
      <c r="N127" s="608">
        <v>1.8</v>
      </c>
      <c r="O127" s="608">
        <v>1.6</v>
      </c>
      <c r="P127" s="608">
        <v>0</v>
      </c>
      <c r="Q127" s="608">
        <v>0</v>
      </c>
      <c r="R127" s="303">
        <f t="shared" si="4"/>
        <v>41.1</v>
      </c>
      <c r="S127" s="623">
        <f>M$25*F127*G127</f>
        <v>1356.6666666666667</v>
      </c>
      <c r="T127" s="624">
        <v>0.12</v>
      </c>
      <c r="U127" s="625">
        <v>0.65</v>
      </c>
      <c r="V127" s="612">
        <f t="shared" si="8"/>
        <v>0.2</v>
      </c>
      <c r="W127" s="617">
        <v>10</v>
      </c>
      <c r="X127" s="409">
        <f>$R127/(1+($V127*(('Traffic Data'!J46*$T127*$U127)/(($I127/2)*$S127))^$W127))</f>
        <v>41.1</v>
      </c>
      <c r="Y127" s="386">
        <f>$R127/(1+($V127*(('Traffic Data'!K46*$T127*$U127)/(($I127/2)*$S127))^$W127))</f>
        <v>41.1</v>
      </c>
      <c r="Z127" s="386">
        <f>$R127/(1+($V127*(('Traffic Data'!L46*$T127*$U127)/(($I127/2)*$S127))^$W127))</f>
        <v>41.1</v>
      </c>
      <c r="AA127" s="386">
        <f>$R127/(1+($V127*(('Traffic Data'!M46*$T127*$U127)/(($I127/2)*$S127))^$W127))</f>
        <v>41.099999999999994</v>
      </c>
      <c r="AB127" s="386">
        <f>$R127/(1+($V127*(('Traffic Data'!N46*$T127*$U127)/(($I127/2)*$S127))^$W127))</f>
        <v>41.099999999999746</v>
      </c>
      <c r="AC127" s="386">
        <f>$R127/(1+($V127*(('Traffic Data'!O46*$T127*$U127)/(($I127/2)*$S127))^$W127))</f>
        <v>41.099999999996534</v>
      </c>
      <c r="AD127" s="386">
        <f>$R127/(1+($V127*(('Traffic Data'!P46*$T127*$U127)/(($I127/2)*$S127))^$W127))</f>
        <v>41.099999999972717</v>
      </c>
      <c r="AE127" s="386">
        <f>$R127/(1+($V127*(('Traffic Data'!Q46*$T127*$U127)/(($I127/2)*$S127))^$W127))</f>
        <v>41.099999999849366</v>
      </c>
      <c r="AF127" s="386">
        <f>$R127/(1+($V127*(('Traffic Data'!R46*$T127*$U127)/(($I127/2)*$S127))^$W127))</f>
        <v>41.09999999565099</v>
      </c>
      <c r="AG127" s="386">
        <f>$R127/(1+($V127*(('Traffic Data'!S46*$T127*$U127)/(($I127/2)*$S127))^$W127))</f>
        <v>41.099999946420276</v>
      </c>
      <c r="AH127" s="386">
        <f>$R127/(1+($V127*(('Traffic Data'!T46*$T127*$U127)/(($I127/2)*$S127))^$W127))</f>
        <v>41.099999601975071</v>
      </c>
      <c r="AI127" s="386">
        <f>$R127/(1+($V127*(('Traffic Data'!U46*$T127*$U127)/(($I127/2)*$S127))^$W127))</f>
        <v>41.099997884952387</v>
      </c>
      <c r="AJ127" s="386">
        <f>$R127/(1+($V127*(('Traffic Data'!V46*$T127*$U127)/(($I127/2)*$S127))^$W127))</f>
        <v>41.099991155889384</v>
      </c>
      <c r="AK127" s="386">
        <f>$R127/(1+($V127*(('Traffic Data'!W46*$T127*$U127)/(($I127/2)*$S127))^$W127))</f>
        <v>41.099976722031698</v>
      </c>
      <c r="AL127" s="386">
        <f>$R127/(1+($V127*(('Traffic Data'!X46*$T127*$U127)/(($I127/2)*$S127))^$W127))</f>
        <v>41.099972936560661</v>
      </c>
      <c r="AM127" s="386">
        <f>$R127/(1+($V127*(('Traffic Data'!Y46*$T127*$U127)/(($I127/2)*$S127))^$W127))</f>
        <v>41.099968605792853</v>
      </c>
      <c r="AN127" s="386">
        <f>$R127/(1+($V127*(('Traffic Data'!Z46*$T127*$U127)/(($I127/2)*$S127))^$W127))</f>
        <v>41.099963660990575</v>
      </c>
      <c r="AO127" s="386">
        <f>$R127/(1+($V127*(('Traffic Data'!AA46*$T127*$U127)/(($I127/2)*$S127))^$W127))</f>
        <v>41.09995804431113</v>
      </c>
      <c r="AP127" s="386">
        <f>$R127/(1+($V127*(('Traffic Data'!AB46*$T127*$U127)/(($I127/2)*$S127))^$W127))</f>
        <v>41.09995163718488</v>
      </c>
      <c r="AQ127" s="386">
        <f>$R127/(1+($V127*(('Traffic Data'!AC46*$T127*$U127)/(($I127/2)*$S127))^$W127))</f>
        <v>41.09994438618817</v>
      </c>
      <c r="AR127" s="386">
        <f>$R127/(1+($V127*(('Traffic Data'!AD46*$T127*$U127)/(($I127/2)*$S127))^$W127))</f>
        <v>41.099936144246342</v>
      </c>
      <c r="AS127" s="386">
        <f>$R127/(1+($V127*(('Traffic Data'!AE46*$T127*$U127)/(($I127/2)*$S127))^$W127))</f>
        <v>41.099926818842306</v>
      </c>
      <c r="AT127" s="386">
        <f>$R127/(1+($V127*(('Traffic Data'!AF46*$T127*$U127)/(($I127/2)*$S127))^$W127))</f>
        <v>41.099916319349141</v>
      </c>
      <c r="AU127" s="386">
        <f>$R127/(1+($V127*(('Traffic Data'!AG46*$T127*$U127)/(($I127/2)*$S127))^$W127))</f>
        <v>41.099904444541977</v>
      </c>
      <c r="AV127" s="386">
        <f>$R127/(1+($V127*(('Traffic Data'!AH46*$T127*$U127)/(($I127/2)*$S127))^$W127))</f>
        <v>41.099891074093556</v>
      </c>
      <c r="AW127" s="387">
        <f>$R127/(1+($V127*(('Traffic Data'!AI46*$T127*$U127)/(($I127/2)*$S127))^$W127))</f>
        <v>41.099876091499425</v>
      </c>
      <c r="AX127" s="409">
        <f>$R127/(1+($V127*(('Traffic Data'!J46*(0.67/14))/(($I127)*$S127))^$W127))</f>
        <v>41.1</v>
      </c>
      <c r="AY127" s="386">
        <f>$R127/(1+($V127*(('Traffic Data'!J46*(0.67/14))/(($I127)*$S127))^$W127))</f>
        <v>41.1</v>
      </c>
      <c r="AZ127" s="386">
        <f>$R127/(1+($V127*(('Traffic Data'!K46*(0.67/14))/(($I127)*$S127))^$W127))</f>
        <v>41.1</v>
      </c>
      <c r="BA127" s="386">
        <f>$R127/(1+($V127*(('Traffic Data'!L46*(0.67/14))/(($I127)*$S127))^$W127))</f>
        <v>41.1</v>
      </c>
      <c r="BB127" s="386">
        <f>$R127/(1+($V127*(('Traffic Data'!M46*(0.67/14))/(($I127)*$S127))^$W127))</f>
        <v>41.1</v>
      </c>
      <c r="BC127" s="386">
        <f>$R127/(1+($V127*(('Traffic Data'!N46*(0.67/14))/(($I127)*$S127))^$W127))</f>
        <v>41.1</v>
      </c>
      <c r="BD127" s="386">
        <f>$R127/(1+($V127*(('Traffic Data'!O46*(0.67/14))/(($I127)*$S127))^$W127))</f>
        <v>41.1</v>
      </c>
      <c r="BE127" s="386">
        <f>$R127/(1+($V127*(('Traffic Data'!P46*(0.67/14))/(($I127)*$S127))^$W127))</f>
        <v>41.1</v>
      </c>
      <c r="BF127" s="386">
        <f>$R127/(1+($V127*(('Traffic Data'!Q46*(0.67/14))/(($I127)*$S127))^$W127))</f>
        <v>41.1</v>
      </c>
      <c r="BG127" s="386">
        <f>$R127/(1+($V127*(('Traffic Data'!R46*(0.67/14))/(($I127)*$S127))^$W127))</f>
        <v>41.099999999999966</v>
      </c>
      <c r="BH127" s="386">
        <f>$R127/(1+($V127*(('Traffic Data'!S46*(0.67/14))/(($I127)*$S127))^$W127))</f>
        <v>41.099999999999611</v>
      </c>
      <c r="BI127" s="386">
        <f>$R127/(1+($V127*(('Traffic Data'!T46*(0.67/14))/(($I127)*$S127))^$W127))</f>
        <v>41.09999999999706</v>
      </c>
      <c r="BJ127" s="386">
        <f>$R127/(1+($V127*(('Traffic Data'!U46*(0.67/14))/(($I127)*$S127))^$W127))</f>
        <v>41.099999999984384</v>
      </c>
      <c r="BK127" s="386">
        <f>$R127/(1+($V127*(('Traffic Data'!V46*(0.67/14))/(($I127)*$S127))^$W127))</f>
        <v>41.099999999934703</v>
      </c>
      <c r="BL127" s="386">
        <f>$R127/(1+($V127*(('Traffic Data'!W46*(0.67/14))/(($I127)*$S127))^$W127))</f>
        <v>41.099999999828142</v>
      </c>
      <c r="BM127" s="386">
        <f>$R127/(1+($V127*(('Traffic Data'!X46*(0.67/14))/(($I127)*$S127))^$W127))</f>
        <v>41.099999999800197</v>
      </c>
      <c r="BN127" s="386">
        <f>$R127/(1+($V127*(('Traffic Data'!Y46*(0.67/14))/(($I127)*$S127))^$W127))</f>
        <v>41.099999999768229</v>
      </c>
      <c r="BO127" s="386">
        <f>$R127/(1+($V127*(('Traffic Data'!Z46*(0.67/14))/(($I127)*$S127))^$W127))</f>
        <v>41.099999999731715</v>
      </c>
      <c r="BP127" s="386">
        <f>$R127/(1+($V127*(('Traffic Data'!AA46*(0.67/14))/(($I127)*$S127))^$W127))</f>
        <v>41.099999999690255</v>
      </c>
      <c r="BQ127" s="386">
        <f>$R127/(1+($V127*(('Traffic Data'!AB46*(0.67/14))/(($I127)*$S127))^$W127))</f>
        <v>41.099999999642947</v>
      </c>
      <c r="BR127" s="386">
        <f>$R127/(1+($V127*(('Traffic Data'!AC46*(0.67/14))/(($I127)*$S127))^$W127))</f>
        <v>41.099999999589414</v>
      </c>
      <c r="BS127" s="386">
        <f>$R127/(1+($V127*(('Traffic Data'!AD46*(0.67/14))/(($I127)*$S127))^$W127))</f>
        <v>41.099999999528571</v>
      </c>
      <c r="BT127" s="386">
        <f>$R127/(1+($V127*(('Traffic Data'!AE46*(0.67/14))/(($I127)*$S127))^$W127))</f>
        <v>41.099999999459719</v>
      </c>
      <c r="BU127" s="386">
        <f>$R127/(1+($V127*(('Traffic Data'!AF46*(0.67/14))/(($I127)*$S127))^$W127))</f>
        <v>41.099999999382206</v>
      </c>
      <c r="BV127" s="386">
        <f>$R127/(1+($V127*(('Traffic Data'!AG46*(0.67/14))/(($I127)*$S127))^$W127))</f>
        <v>41.099999999294532</v>
      </c>
      <c r="BW127" s="653">
        <f>$R127/(1+($V127*(('Traffic Data'!AH46*(0.67/14))/(($I127)*$S127))^$W127))</f>
        <v>41.099999999195823</v>
      </c>
    </row>
    <row r="128" spans="1:75" ht="21.95" customHeight="1" x14ac:dyDescent="0.2">
      <c r="A128" s="642"/>
      <c r="B128" s="288"/>
      <c r="C128" s="1412" t="s">
        <v>334</v>
      </c>
      <c r="D128" s="281" t="s">
        <v>336</v>
      </c>
      <c r="E128" s="281" t="s">
        <v>337</v>
      </c>
      <c r="F128" s="618">
        <f>'Traffic Data'!CM47</f>
        <v>0.78125</v>
      </c>
      <c r="G128" s="618">
        <f>'Traffic Data'!CN47</f>
        <v>0.9</v>
      </c>
      <c r="H128" s="608">
        <f>'Traffic Data'!G47</f>
        <v>50</v>
      </c>
      <c r="I128" s="608">
        <v>4</v>
      </c>
      <c r="J128" s="608">
        <f t="shared" si="10"/>
        <v>57</v>
      </c>
      <c r="K128" s="619">
        <v>0</v>
      </c>
      <c r="L128" s="619">
        <v>2.5</v>
      </c>
      <c r="M128" s="619">
        <v>0</v>
      </c>
      <c r="N128" s="619">
        <v>3.6</v>
      </c>
      <c r="O128" s="619">
        <v>0</v>
      </c>
      <c r="P128" s="619">
        <v>0</v>
      </c>
      <c r="Q128" s="619">
        <v>0</v>
      </c>
      <c r="R128" s="290">
        <f t="shared" si="4"/>
        <v>50.9</v>
      </c>
      <c r="S128" s="609">
        <f>M$23*F128*G128</f>
        <v>1406.25</v>
      </c>
      <c r="T128" s="610">
        <v>0.12</v>
      </c>
      <c r="U128" s="611">
        <v>0.65</v>
      </c>
      <c r="V128" s="633">
        <f t="shared" si="8"/>
        <v>0.2</v>
      </c>
      <c r="W128" s="613">
        <v>10</v>
      </c>
      <c r="X128" s="407">
        <f>$R128/(1+($V128*(('Traffic Data'!J47*$T128*$U128)/(($I128/2)*$S128))^$W128))</f>
        <v>50.899207421863686</v>
      </c>
      <c r="Y128" s="396">
        <f>$R128/(1+($V128*(('Traffic Data'!K47*$T128*$U128)/(($I128/2)*$S128))^$W128))</f>
        <v>50.898958393866977</v>
      </c>
      <c r="Z128" s="396">
        <f>$R128/(1+($V128*(('Traffic Data'!L47*$T128*$U128)/(($I128/2)*$S128))^$W128))</f>
        <v>50.898405524824092</v>
      </c>
      <c r="AA128" s="396">
        <f>$R128/(1+($V128*(('Traffic Data'!M47*$T128*$U128)/(($I128/2)*$S128))^$W128))</f>
        <v>50.897156640296394</v>
      </c>
      <c r="AB128" s="396">
        <f>$R128/(1+($V128*(('Traffic Data'!N47*$T128*$U128)/(($I128/2)*$S128))^$W128))</f>
        <v>50.895086386526913</v>
      </c>
      <c r="AC128" s="396">
        <f>$R128/(1+($V128*(('Traffic Data'!O47*$T128*$U128)/(($I128/2)*$S128))^$W128))</f>
        <v>50.891746826862978</v>
      </c>
      <c r="AD128" s="396">
        <f>$R128/(1+($V128*(('Traffic Data'!P47*$T128*$U128)/(($I128/2)*$S128))^$W128))</f>
        <v>50.886490664104329</v>
      </c>
      <c r="AE128" s="396">
        <f>$R128/(1+($V128*(('Traffic Data'!Q47*$T128*$U128)/(($I128/2)*$S128))^$W128))</f>
        <v>50.878385551815718</v>
      </c>
      <c r="AF128" s="396">
        <f>$R128/(1+($V128*(('Traffic Data'!R47*$T128*$U128)/(($I128/2)*$S128))^$W128))</f>
        <v>50.867740734420245</v>
      </c>
      <c r="AG128" s="396">
        <f>$R128/(1+($V128*(('Traffic Data'!S47*$T128*$U128)/(($I128/2)*$S128))^$W128))</f>
        <v>50.852589544851853</v>
      </c>
      <c r="AH128" s="396">
        <f>$R128/(1+($V128*(('Traffic Data'!T47*$T128*$U128)/(($I128/2)*$S128))^$W128))</f>
        <v>50.831327651402091</v>
      </c>
      <c r="AI128" s="396">
        <f>$R128/(1+($V128*(('Traffic Data'!U47*$T128*$U128)/(($I128/2)*$S128))^$W128))</f>
        <v>50.801857443852072</v>
      </c>
      <c r="AJ128" s="396">
        <f>$R128/(1+($V128*(('Traffic Data'!V47*$T128*$U128)/(($I128/2)*$S128))^$W128))</f>
        <v>50.761444726714103</v>
      </c>
      <c r="AK128" s="396">
        <f>$R128/(1+($V128*(('Traffic Data'!W47*$T128*$U128)/(($I128/2)*$S128))^$W128))</f>
        <v>50.727045373166348</v>
      </c>
      <c r="AL128" s="396">
        <f>$R128/(1+($V128*(('Traffic Data'!X47*$T128*$U128)/(($I128/2)*$S128))^$W128))</f>
        <v>50.697093019619736</v>
      </c>
      <c r="AM128" s="396">
        <f>$R128/(1+($V128*(('Traffic Data'!Y47*$T128*$U128)/(($I128/2)*$S128))^$W128))</f>
        <v>50.662576332658645</v>
      </c>
      <c r="AN128" s="396">
        <f>$R128/(1+($V128*(('Traffic Data'!Z47*$T128*$U128)/(($I128/2)*$S128))^$W128))</f>
        <v>50.622896406863703</v>
      </c>
      <c r="AO128" s="396">
        <f>$R128/(1+($V128*(('Traffic Data'!AA47*$T128*$U128)/(($I128/2)*$S128))^$W128))</f>
        <v>50.577358358034388</v>
      </c>
      <c r="AP128" s="396">
        <f>$R128/(1+($V128*(('Traffic Data'!AB47*$T128*$U128)/(($I128/2)*$S128))^$W128))</f>
        <v>50.525287380872633</v>
      </c>
      <c r="AQ128" s="396">
        <f>$R128/(1+($V128*(('Traffic Data'!AC47*$T128*$U128)/(($I128/2)*$S128))^$W128))</f>
        <v>50.465807572598884</v>
      </c>
      <c r="AR128" s="396">
        <f>$R128/(1+($V128*(('Traffic Data'!AD47*$T128*$U128)/(($I128/2)*$S128))^$W128))</f>
        <v>50.398107973981887</v>
      </c>
      <c r="AS128" s="396">
        <f>$R128/(1+($V128*(('Traffic Data'!AE47*$T128*$U128)/(($I128/2)*$S128))^$W128))</f>
        <v>50.32118133829379</v>
      </c>
      <c r="AT128" s="396">
        <f>$R128/(1+($V128*(('Traffic Data'!AF47*$T128*$U128)/(($I128/2)*$S128))^$W128))</f>
        <v>50.233907729476044</v>
      </c>
      <c r="AU128" s="396">
        <f>$R128/(1+($V128*(('Traffic Data'!AG47*$T128*$U128)/(($I128/2)*$S128))^$W128))</f>
        <v>50.135245944337747</v>
      </c>
      <c r="AV128" s="396">
        <f>$R128/(1+($V128*(('Traffic Data'!AH47*$T128*$U128)/(($I128/2)*$S128))^$W128))</f>
        <v>50.023893774738667</v>
      </c>
      <c r="AW128" s="385">
        <f>$R128/(1+($V128*(('Traffic Data'!AI47*$T128*$U128)/(($I128/2)*$S128))^$W128))</f>
        <v>49.898417091031263</v>
      </c>
      <c r="AX128" s="407">
        <f>$R128/(1+($V128*(('Traffic Data'!J47*(0.67/14))/(($I128)*$S128))^$W128))</f>
        <v>50.899999994148452</v>
      </c>
      <c r="AY128" s="396">
        <f>$R128/(1+($V128*(('Traffic Data'!J47*(0.67/14))/(($I128)*$S128))^$W128))</f>
        <v>50.899999994148452</v>
      </c>
      <c r="AZ128" s="396">
        <f>$R128/(1+($V128*(('Traffic Data'!K47*(0.67/14))/(($I128)*$S128))^$W128))</f>
        <v>50.899999992309866</v>
      </c>
      <c r="BA128" s="396">
        <f>$R128/(1+($V128*(('Traffic Data'!L47*(0.67/14))/(($I128)*$S128))^$W128))</f>
        <v>50.899999988227918</v>
      </c>
      <c r="BB128" s="396">
        <f>$R128/(1+($V128*(('Traffic Data'!M47*(0.67/14))/(($I128)*$S128))^$W128))</f>
        <v>50.899999979006843</v>
      </c>
      <c r="BC128" s="396">
        <f>$R128/(1+($V128*(('Traffic Data'!N47*(0.67/14))/(($I128)*$S128))^$W128))</f>
        <v>50.899999963720219</v>
      </c>
      <c r="BD128" s="396">
        <f>$R128/(1+($V128*(('Traffic Data'!O47*(0.67/14))/(($I128)*$S128))^$W128))</f>
        <v>50.89999993905851</v>
      </c>
      <c r="BE128" s="396">
        <f>$R128/(1+($V128*(('Traffic Data'!P47*(0.67/14))/(($I128)*$S128))^$W128))</f>
        <v>50.899999900236658</v>
      </c>
      <c r="BF128" s="396">
        <f>$R128/(1+($V128*(('Traffic Data'!Q47*(0.67/14))/(($I128)*$S128))^$W128))</f>
        <v>50.899999840356841</v>
      </c>
      <c r="BG128" s="396">
        <f>$R128/(1+($V128*(('Traffic Data'!R47*(0.67/14))/(($I128)*$S128))^$W128))</f>
        <v>50.899999761684938</v>
      </c>
      <c r="BH128" s="396">
        <f>$R128/(1+($V128*(('Traffic Data'!S47*(0.67/14))/(($I128)*$S128))^$W128))</f>
        <v>50.899999649651292</v>
      </c>
      <c r="BI128" s="396">
        <f>$R128/(1+($V128*(('Traffic Data'!T47*(0.67/14))/(($I128)*$S128))^$W128))</f>
        <v>50.89999949232017</v>
      </c>
      <c r="BJ128" s="396">
        <f>$R128/(1+($V128*(('Traffic Data'!U47*(0.67/14))/(($I128)*$S128))^$W128))</f>
        <v>50.899999274032403</v>
      </c>
      <c r="BK128" s="396">
        <f>$R128/(1+($V128*(('Traffic Data'!V47*(0.67/14))/(($I128)*$S128))^$W128))</f>
        <v>50.899998974280656</v>
      </c>
      <c r="BL128" s="396">
        <f>$R128/(1+($V128*(('Traffic Data'!W47*(0.67/14))/(($I128)*$S128))^$W128))</f>
        <v>50.89999871875532</v>
      </c>
      <c r="BM128" s="396">
        <f>$R128/(1+($V128*(('Traffic Data'!X47*(0.67/14))/(($I128)*$S128))^$W128))</f>
        <v>50.899998495980775</v>
      </c>
      <c r="BN128" s="396">
        <f>$R128/(1+($V128*(('Traffic Data'!Y47*(0.67/14))/(($I128)*$S128))^$W128))</f>
        <v>50.89999823893173</v>
      </c>
      <c r="BO128" s="396">
        <f>$R128/(1+($V128*(('Traffic Data'!Z47*(0.67/14))/(($I128)*$S128))^$W128))</f>
        <v>50.899997942998453</v>
      </c>
      <c r="BP128" s="396">
        <f>$R128/(1+($V128*(('Traffic Data'!AA47*(0.67/14))/(($I128)*$S128))^$W128))</f>
        <v>50.899997602802998</v>
      </c>
      <c r="BQ128" s="396">
        <f>$R128/(1+($V128*(('Traffic Data'!AB47*(0.67/14))/(($I128)*$S128))^$W128))</f>
        <v>50.899997213051321</v>
      </c>
      <c r="BR128" s="396">
        <f>$R128/(1+($V128*(('Traffic Data'!AC47*(0.67/14))/(($I128)*$S128))^$W128))</f>
        <v>50.899996766860383</v>
      </c>
      <c r="BS128" s="396">
        <f>$R128/(1+($V128*(('Traffic Data'!AD47*(0.67/14))/(($I128)*$S128))^$W128))</f>
        <v>50.899996257726706</v>
      </c>
      <c r="BT128" s="396">
        <f>$R128/(1+($V128*(('Traffic Data'!AE47*(0.67/14))/(($I128)*$S128))^$W128))</f>
        <v>50.899995677538541</v>
      </c>
      <c r="BU128" s="396">
        <f>$R128/(1+($V128*(('Traffic Data'!AF47*(0.67/14))/(($I128)*$S128))^$W128))</f>
        <v>50.899995017160975</v>
      </c>
      <c r="BV128" s="396">
        <f>$R128/(1+($V128*(('Traffic Data'!AG47*(0.67/14))/(($I128)*$S128))^$W128))</f>
        <v>50.899994267843233</v>
      </c>
      <c r="BW128" s="651">
        <f>$R128/(1+($V128*(('Traffic Data'!AH47*(0.67/14))/(($I128)*$S128))^$W128))</f>
        <v>50.899993418593958</v>
      </c>
    </row>
    <row r="129" spans="1:75" ht="21.95" customHeight="1" x14ac:dyDescent="0.2">
      <c r="A129" s="642"/>
      <c r="B129" s="288"/>
      <c r="C129" s="1413"/>
      <c r="D129" s="289" t="s">
        <v>337</v>
      </c>
      <c r="E129" s="289" t="s">
        <v>342</v>
      </c>
      <c r="F129" s="607">
        <f>'Traffic Data'!CM47</f>
        <v>0.78125</v>
      </c>
      <c r="G129" s="607">
        <f>'Traffic Data'!CN47</f>
        <v>0.9</v>
      </c>
      <c r="H129" s="608">
        <f>'Traffic Data'!G48</f>
        <v>50</v>
      </c>
      <c r="I129" s="608">
        <v>4</v>
      </c>
      <c r="J129" s="608">
        <f t="shared" si="10"/>
        <v>57</v>
      </c>
      <c r="K129" s="608">
        <v>0</v>
      </c>
      <c r="L129" s="608">
        <v>5</v>
      </c>
      <c r="M129" s="608">
        <v>0</v>
      </c>
      <c r="N129" s="608">
        <v>3.6</v>
      </c>
      <c r="O129" s="608">
        <v>0</v>
      </c>
      <c r="P129" s="608">
        <v>0</v>
      </c>
      <c r="Q129" s="608">
        <v>0</v>
      </c>
      <c r="R129" s="290">
        <f t="shared" si="4"/>
        <v>48.4</v>
      </c>
      <c r="S129" s="609">
        <f>M$23*F129*G129</f>
        <v>1406.25</v>
      </c>
      <c r="T129" s="610">
        <v>0.12</v>
      </c>
      <c r="U129" s="611">
        <v>0.65</v>
      </c>
      <c r="V129" s="612">
        <f t="shared" ref="V129:V136" si="11">$E$32</f>
        <v>0.05</v>
      </c>
      <c r="W129" s="613">
        <v>10</v>
      </c>
      <c r="X129" s="407">
        <f>$R129/(1+($V129*(('Traffic Data'!J48*$T129*$U129)/(($I129/2)*$S129))^$W129))</f>
        <v>48.382705513236182</v>
      </c>
      <c r="Y129" s="396">
        <f>$R129/(1+($V129*(('Traffic Data'!K48*$T129*$U129)/(($I129/2)*$S129))^$W129))</f>
        <v>48.382356621061291</v>
      </c>
      <c r="Z129" s="396">
        <f>$R129/(1+($V129*(('Traffic Data'!L48*$T129*$U129)/(($I129/2)*$S129))^$W129))</f>
        <v>48.382001409912775</v>
      </c>
      <c r="AA129" s="396">
        <f>$R129/(1+($V129*(('Traffic Data'!M48*$T129*$U129)/(($I129/2)*$S129))^$W129))</f>
        <v>48.381639778380688</v>
      </c>
      <c r="AB129" s="396">
        <f>$R129/(1+($V129*(('Traffic Data'!N48*$T129*$U129)/(($I129/2)*$S129))^$W129))</f>
        <v>48.381271623638391</v>
      </c>
      <c r="AC129" s="396">
        <f>$R129/(1+($V129*(('Traffic Data'!O48*$T129*$U129)/(($I129/2)*$S129))^$W129))</f>
        <v>48.380896841425681</v>
      </c>
      <c r="AD129" s="396">
        <f>$R129/(1+($V129*(('Traffic Data'!P48*$T129*$U129)/(($I129/2)*$S129))^$W129))</f>
        <v>48.380515326031954</v>
      </c>
      <c r="AE129" s="396">
        <f>$R129/(1+($V129*(('Traffic Data'!Q48*$T129*$U129)/(($I129/2)*$S129))^$W129))</f>
        <v>48.380126970279115</v>
      </c>
      <c r="AF129" s="396">
        <f>$R129/(1+($V129*(('Traffic Data'!R48*$T129*$U129)/(($I129/2)*$S129))^$W129))</f>
        <v>48.379731665504238</v>
      </c>
      <c r="AG129" s="396">
        <f>$R129/(1+($V129*(('Traffic Data'!S48*$T129*$U129)/(($I129/2)*$S129))^$W129))</f>
        <v>48.379731665504238</v>
      </c>
      <c r="AH129" s="396">
        <f>$R129/(1+($V129*(('Traffic Data'!T48*$T129*$U129)/(($I129/2)*$S129))^$W129))</f>
        <v>48.374405556981785</v>
      </c>
      <c r="AI129" s="396">
        <f>$R129/(1+($V129*(('Traffic Data'!U48*$T129*$U129)/(($I129/2)*$S129))^$W129))</f>
        <v>48.367097702678301</v>
      </c>
      <c r="AJ129" s="396">
        <f>$R129/(1+($V129*(('Traffic Data'!V48*$T129*$U129)/(($I129/2)*$S129))^$W129))</f>
        <v>48.357958384242266</v>
      </c>
      <c r="AK129" s="396">
        <f>$R129/(1+($V129*(('Traffic Data'!W48*$T129*$U129)/(($I129/2)*$S129))^$W129))</f>
        <v>48.348994243710642</v>
      </c>
      <c r="AL129" s="396">
        <f>$R129/(1+($V129*(('Traffic Data'!X48*$T129*$U129)/(($I129/2)*$S129))^$W129))</f>
        <v>48.340388376012719</v>
      </c>
      <c r="AM129" s="396">
        <f>$R129/(1+($V129*(('Traffic Data'!Y48*$T129*$U129)/(($I129/2)*$S129))^$W129))</f>
        <v>48.330499281835451</v>
      </c>
      <c r="AN129" s="396">
        <f>$R129/(1+($V129*(('Traffic Data'!Z48*$T129*$U129)/(($I129/2)*$S129))^$W129))</f>
        <v>48.319160383278678</v>
      </c>
      <c r="AO129" s="396">
        <f>$R129/(1+($V129*(('Traffic Data'!AA48*$T129*$U129)/(($I129/2)*$S129))^$W129))</f>
        <v>48.306183496264367</v>
      </c>
      <c r="AP129" s="396">
        <f>$R129/(1+($V129*(('Traffic Data'!AB48*$T129*$U129)/(($I129/2)*$S129))^$W129))</f>
        <v>48.291369677314179</v>
      </c>
      <c r="AQ129" s="396">
        <f>$R129/(1+($V129*(('Traffic Data'!AC48*$T129*$U129)/(($I129/2)*$S129))^$W129))</f>
        <v>48.274485196506475</v>
      </c>
      <c r="AR129" s="396">
        <f>$R129/(1+($V129*(('Traffic Data'!AD48*$T129*$U129)/(($I129/2)*$S129))^$W129))</f>
        <v>48.255287611260464</v>
      </c>
      <c r="AS129" s="396">
        <f>$R129/(1+($V129*(('Traffic Data'!AE48*$T129*$U129)/(($I129/2)*$S129))^$W129))</f>
        <v>48.233497463576981</v>
      </c>
      <c r="AT129" s="396">
        <f>$R129/(1+($V129*(('Traffic Data'!AF48*$T129*$U129)/(($I129/2)*$S129))^$W129))</f>
        <v>48.208805353062125</v>
      </c>
      <c r="AU129" s="396">
        <f>$R129/(1+($V129*(('Traffic Data'!AG48*$T129*$U129)/(($I129/2)*$S129))^$W129))</f>
        <v>48.18088985340632</v>
      </c>
      <c r="AV129" s="396">
        <f>$R129/(1+($V129*(('Traffic Data'!AH48*$T129*$U129)/(($I129/2)*$S129))^$W129))</f>
        <v>48.149380891314337</v>
      </c>
      <c r="AW129" s="385">
        <f>$R129/(1+($V129*(('Traffic Data'!AI48*$T129*$U129)/(($I129/2)*$S129))^$W129))</f>
        <v>48.113871013655775</v>
      </c>
      <c r="AX129" s="407">
        <f>$R129/(1+($V129*(('Traffic Data'!J48*(0.67/14))/(($I129)*$S129))^$W129))</f>
        <v>48.399999872272446</v>
      </c>
      <c r="AY129" s="396">
        <f>$R129/(1+($V129*(('Traffic Data'!J48*(0.67/14))/(($I129)*$S129))^$W129))</f>
        <v>48.399999872272446</v>
      </c>
      <c r="AZ129" s="396">
        <f>$R129/(1+($V129*(('Traffic Data'!K48*(0.67/14))/(($I129)*$S129))^$W129))</f>
        <v>48.399999869694788</v>
      </c>
      <c r="BA129" s="396">
        <f>$R129/(1+($V129*(('Traffic Data'!L48*(0.67/14))/(($I129)*$S129))^$W129))</f>
        <v>48.399999867070392</v>
      </c>
      <c r="BB129" s="396">
        <f>$R129/(1+($V129*(('Traffic Data'!M48*(0.67/14))/(($I129)*$S129))^$W129))</f>
        <v>48.399999864398538</v>
      </c>
      <c r="BC129" s="396">
        <f>$R129/(1+($V129*(('Traffic Data'!N48*(0.67/14))/(($I129)*$S129))^$W129))</f>
        <v>48.399999861678431</v>
      </c>
      <c r="BD129" s="396">
        <f>$R129/(1+($V129*(('Traffic Data'!O48*(0.67/14))/(($I129)*$S129))^$W129))</f>
        <v>48.399999858909325</v>
      </c>
      <c r="BE129" s="396">
        <f>$R129/(1+($V129*(('Traffic Data'!P48*(0.67/14))/(($I129)*$S129))^$W129))</f>
        <v>48.399999856090417</v>
      </c>
      <c r="BF129" s="396">
        <f>$R129/(1+($V129*(('Traffic Data'!Q48*(0.67/14))/(($I129)*$S129))^$W129))</f>
        <v>48.399999853220926</v>
      </c>
      <c r="BG129" s="396">
        <f>$R129/(1+($V129*(('Traffic Data'!R48*(0.67/14))/(($I129)*$S129))^$W129))</f>
        <v>48.399999850300055</v>
      </c>
      <c r="BH129" s="396">
        <f>$R129/(1+($V129*(('Traffic Data'!S48*(0.67/14))/(($I129)*$S129))^$W129))</f>
        <v>48.399999850300055</v>
      </c>
      <c r="BI129" s="396">
        <f>$R129/(1+($V129*(('Traffic Data'!T48*(0.67/14))/(($I129)*$S129))^$W129))</f>
        <v>48.399999810941111</v>
      </c>
      <c r="BJ129" s="396">
        <f>$R129/(1+($V129*(('Traffic Data'!U48*(0.67/14))/(($I129)*$S129))^$W129))</f>
        <v>48.39999975692335</v>
      </c>
      <c r="BK129" s="396">
        <f>$R129/(1+($V129*(('Traffic Data'!V48*(0.67/14))/(($I129)*$S129))^$W129))</f>
        <v>48.399999689344902</v>
      </c>
      <c r="BL129" s="396">
        <f>$R129/(1+($V129*(('Traffic Data'!W48*(0.67/14))/(($I129)*$S129))^$W129))</f>
        <v>48.39999962303694</v>
      </c>
      <c r="BM129" s="396">
        <f>$R129/(1+($V129*(('Traffic Data'!X48*(0.67/14))/(($I129)*$S129))^$W129))</f>
        <v>48.399999559355997</v>
      </c>
      <c r="BN129" s="396">
        <f>$R129/(1+($V129*(('Traffic Data'!Y48*(0.67/14))/(($I129)*$S129))^$W129))</f>
        <v>48.399999486151543</v>
      </c>
      <c r="BO129" s="396">
        <f>$R129/(1+($V129*(('Traffic Data'!Z48*(0.67/14))/(($I129)*$S129))^$W129))</f>
        <v>48.399999402177976</v>
      </c>
      <c r="BP129" s="396">
        <f>$R129/(1+($V129*(('Traffic Data'!AA48*(0.67/14))/(($I129)*$S129))^$W129))</f>
        <v>48.399999306025421</v>
      </c>
      <c r="BQ129" s="396">
        <f>$R129/(1+($V129*(('Traffic Data'!AB48*(0.67/14))/(($I129)*$S129))^$W129))</f>
        <v>48.399999196198912</v>
      </c>
      <c r="BR129" s="396">
        <f>$R129/(1+($V129*(('Traffic Data'!AC48*(0.67/14))/(($I129)*$S129))^$W129))</f>
        <v>48.399999070938769</v>
      </c>
      <c r="BS129" s="396">
        <f>$R129/(1+($V129*(('Traffic Data'!AD48*(0.67/14))/(($I129)*$S129))^$W129))</f>
        <v>48.399998928411996</v>
      </c>
      <c r="BT129" s="396">
        <f>$R129/(1+($V129*(('Traffic Data'!AE48*(0.67/14))/(($I129)*$S129))^$W129))</f>
        <v>48.399998766500048</v>
      </c>
      <c r="BU129" s="396">
        <f>$R129/(1+($V129*(('Traffic Data'!AF48*(0.67/14))/(($I129)*$S129))^$W129))</f>
        <v>48.399998582848127</v>
      </c>
      <c r="BV129" s="396">
        <f>$R129/(1+($V129*(('Traffic Data'!AG48*(0.67/14))/(($I129)*$S129))^$W129))</f>
        <v>48.399998374994979</v>
      </c>
      <c r="BW129" s="651">
        <f>$R129/(1+($V129*(('Traffic Data'!AH48*(0.67/14))/(($I129)*$S129))^$W129))</f>
        <v>48.399998140096095</v>
      </c>
    </row>
    <row r="130" spans="1:75" ht="21.95" customHeight="1" x14ac:dyDescent="0.2">
      <c r="A130" s="642"/>
      <c r="B130" s="288"/>
      <c r="C130" s="1413"/>
      <c r="D130" s="289" t="s">
        <v>342</v>
      </c>
      <c r="E130" s="289" t="s">
        <v>341</v>
      </c>
      <c r="F130" s="607">
        <f>'Traffic Data'!CM47</f>
        <v>0.78125</v>
      </c>
      <c r="G130" s="607">
        <f>'Traffic Data'!CN47</f>
        <v>0.9</v>
      </c>
      <c r="H130" s="608">
        <f>'Traffic Data'!G49</f>
        <v>45</v>
      </c>
      <c r="I130" s="608">
        <v>4</v>
      </c>
      <c r="J130" s="608">
        <f t="shared" si="10"/>
        <v>52</v>
      </c>
      <c r="K130" s="608">
        <v>0</v>
      </c>
      <c r="L130" s="608">
        <v>5</v>
      </c>
      <c r="M130" s="608">
        <v>0</v>
      </c>
      <c r="N130" s="608">
        <v>3.6</v>
      </c>
      <c r="O130" s="608">
        <v>0</v>
      </c>
      <c r="P130" s="608">
        <v>0</v>
      </c>
      <c r="Q130" s="608">
        <v>0</v>
      </c>
      <c r="R130" s="290">
        <f t="shared" si="4"/>
        <v>43.4</v>
      </c>
      <c r="S130" s="609">
        <f>M$24*F130*G130</f>
        <v>1335.9375</v>
      </c>
      <c r="T130" s="610">
        <v>0.12</v>
      </c>
      <c r="U130" s="611">
        <v>0.65</v>
      </c>
      <c r="V130" s="612">
        <f t="shared" si="11"/>
        <v>0.05</v>
      </c>
      <c r="W130" s="613">
        <v>10</v>
      </c>
      <c r="X130" s="407">
        <f>$R130/(1+($V130*(('Traffic Data'!J49*$T130*$U130)/(($I130/2)*$S130))^$W130))</f>
        <v>43.374105233204006</v>
      </c>
      <c r="Y130" s="396">
        <f>$R130/(1+($V130*(('Traffic Data'!K49*$T130*$U130)/(($I130/2)*$S130))^$W130))</f>
        <v>43.373582969952515</v>
      </c>
      <c r="Z130" s="396">
        <f>$R130/(1+($V130*(('Traffic Data'!L49*$T130*$U130)/(($I130/2)*$S130))^$W130))</f>
        <v>43.37305125289344</v>
      </c>
      <c r="AA130" s="396">
        <f>$R130/(1+($V130*(('Traffic Data'!M49*$T130*$U130)/(($I130/2)*$S130))^$W130))</f>
        <v>43.372509930507078</v>
      </c>
      <c r="AB130" s="396">
        <f>$R130/(1+($V130*(('Traffic Data'!N49*$T130*$U130)/(($I130/2)*$S130))^$W130))</f>
        <v>43.371958849164237</v>
      </c>
      <c r="AC130" s="396">
        <f>$R130/(1+($V130*(('Traffic Data'!O49*$T130*$U130)/(($I130/2)*$S130))^$W130))</f>
        <v>43.371397853101435</v>
      </c>
      <c r="AD130" s="396">
        <f>$R130/(1+($V130*(('Traffic Data'!P49*$T130*$U130)/(($I130/2)*$S130))^$W130))</f>
        <v>43.370826784396058</v>
      </c>
      <c r="AE130" s="396">
        <f>$R130/(1+($V130*(('Traffic Data'!Q49*$T130*$U130)/(($I130/2)*$S130))^$W130))</f>
        <v>43.370245482941101</v>
      </c>
      <c r="AF130" s="396">
        <f>$R130/(1+($V130*(('Traffic Data'!R49*$T130*$U130)/(($I130/2)*$S130))^$W130))</f>
        <v>43.369653786419796</v>
      </c>
      <c r="AG130" s="396">
        <f>$R130/(1+($V130*(('Traffic Data'!S49*$T130*$U130)/(($I130/2)*$S130))^$W130))</f>
        <v>43.369653786419796</v>
      </c>
      <c r="AH130" s="396">
        <f>$R130/(1+($V130*(('Traffic Data'!T49*$T130*$U130)/(($I130/2)*$S130))^$W130))</f>
        <v>43.361682240141739</v>
      </c>
      <c r="AI130" s="396">
        <f>$R130/(1+($V130*(('Traffic Data'!U49*$T130*$U130)/(($I130/2)*$S130))^$W130))</f>
        <v>43.350746542512169</v>
      </c>
      <c r="AJ130" s="396">
        <f>$R130/(1+($V130*(('Traffic Data'!V49*$T130*$U130)/(($I130/2)*$S130))^$W130))</f>
        <v>43.337073298543267</v>
      </c>
      <c r="AK130" s="396">
        <f>$R130/(1+($V130*(('Traffic Data'!W49*$T130*$U130)/(($I130/2)*$S130))^$W130))</f>
        <v>43.32366549596275</v>
      </c>
      <c r="AL130" s="396">
        <f>$R130/(1+($V130*(('Traffic Data'!X49*$T130*$U130)/(($I130/2)*$S130))^$W130))</f>
        <v>43.310796696554661</v>
      </c>
      <c r="AM130" s="396">
        <f>$R130/(1+($V130*(('Traffic Data'!Y49*$T130*$U130)/(($I130/2)*$S130))^$W130))</f>
        <v>43.296012805581675</v>
      </c>
      <c r="AN130" s="396">
        <f>$R130/(1+($V130*(('Traffic Data'!Z49*$T130*$U130)/(($I130/2)*$S130))^$W130))</f>
        <v>43.279066478822408</v>
      </c>
      <c r="AO130" s="396">
        <f>$R130/(1+($V130*(('Traffic Data'!AA49*$T130*$U130)/(($I130/2)*$S130))^$W130))</f>
        <v>43.259678650283732</v>
      </c>
      <c r="AP130" s="396">
        <f>$R130/(1+($V130*(('Traffic Data'!AB49*$T130*$U130)/(($I130/2)*$S130))^$W130))</f>
        <v>43.237554898508343</v>
      </c>
      <c r="AQ130" s="396">
        <f>$R130/(1+($V130*(('Traffic Data'!AC49*$T130*$U130)/(($I130/2)*$S130))^$W130))</f>
        <v>43.212349757898629</v>
      </c>
      <c r="AR130" s="396">
        <f>$R130/(1+($V130*(('Traffic Data'!AD49*$T130*$U130)/(($I130/2)*$S130))^$W130))</f>
        <v>43.183705906199691</v>
      </c>
      <c r="AS130" s="396">
        <f>$R130/(1+($V130*(('Traffic Data'!AE49*$T130*$U130)/(($I130/2)*$S130))^$W130))</f>
        <v>43.151212218628423</v>
      </c>
      <c r="AT130" s="396">
        <f>$R130/(1+($V130*(('Traffic Data'!AF49*$T130*$U130)/(($I130/2)*$S130))^$W130))</f>
        <v>43.114414731404452</v>
      </c>
      <c r="AU130" s="396">
        <f>$R130/(1+($V130*(('Traffic Data'!AG49*$T130*$U130)/(($I130/2)*$S130))^$W130))</f>
        <v>43.07284379189452</v>
      </c>
      <c r="AV130" s="396">
        <f>$R130/(1+($V130*(('Traffic Data'!AH49*$T130*$U130)/(($I130/2)*$S130))^$W130))</f>
        <v>43.025960049758183</v>
      </c>
      <c r="AW130" s="385">
        <f>$R130/(1+($V130*(('Traffic Data'!AI49*$T130*$U130)/(($I130/2)*$S130))^$W130))</f>
        <v>42.97317198636631</v>
      </c>
      <c r="AX130" s="407">
        <f>$R130/(1+($V130*(('Traffic Data'!J49*(0.67/14))/(($I130)*$S130))^$W130))</f>
        <v>43.399999808709723</v>
      </c>
      <c r="AY130" s="396">
        <f>$R130/(1+($V130*(('Traffic Data'!J49*(0.67/14))/(($I130)*$S130))^$W130))</f>
        <v>43.399999808709723</v>
      </c>
      <c r="AZ130" s="396">
        <f>$R130/(1+($V130*(('Traffic Data'!K49*(0.67/14))/(($I130)*$S130))^$W130))</f>
        <v>43.399999804849301</v>
      </c>
      <c r="BA130" s="396">
        <f>$R130/(1+($V130*(('Traffic Data'!L49*(0.67/14))/(($I130)*$S130))^$W130))</f>
        <v>43.399999800918906</v>
      </c>
      <c r="BB130" s="396">
        <f>$R130/(1+($V130*(('Traffic Data'!M49*(0.67/14))/(($I130)*$S130))^$W130))</f>
        <v>43.399999796917406</v>
      </c>
      <c r="BC130" s="396">
        <f>$R130/(1+($V130*(('Traffic Data'!N49*(0.67/14))/(($I130)*$S130))^$W130))</f>
        <v>43.399999792843666</v>
      </c>
      <c r="BD130" s="396">
        <f>$R130/(1+($V130*(('Traffic Data'!O49*(0.67/14))/(($I130)*$S130))^$W130))</f>
        <v>43.399999788696526</v>
      </c>
      <c r="BE130" s="396">
        <f>$R130/(1+($V130*(('Traffic Data'!P49*(0.67/14))/(($I130)*$S130))^$W130))</f>
        <v>43.399999784474815</v>
      </c>
      <c r="BF130" s="396">
        <f>$R130/(1+($V130*(('Traffic Data'!Q49*(0.67/14))/(($I130)*$S130))^$W130))</f>
        <v>43.399999780177353</v>
      </c>
      <c r="BG130" s="396">
        <f>$R130/(1+($V130*(('Traffic Data'!R49*(0.67/14))/(($I130)*$S130))^$W130))</f>
        <v>43.399999775802911</v>
      </c>
      <c r="BH130" s="396">
        <f>$R130/(1+($V130*(('Traffic Data'!S49*(0.67/14))/(($I130)*$S130))^$W130))</f>
        <v>43.399999775802911</v>
      </c>
      <c r="BI130" s="396">
        <f>$R130/(1+($V130*(('Traffic Data'!T49*(0.67/14))/(($I130)*$S130))^$W130))</f>
        <v>43.399999716857273</v>
      </c>
      <c r="BJ130" s="396">
        <f>$R130/(1+($V130*(('Traffic Data'!U49*(0.67/14))/(($I130)*$S130))^$W130))</f>
        <v>43.399999635957947</v>
      </c>
      <c r="BK130" s="396">
        <f>$R130/(1+($V130*(('Traffic Data'!V49*(0.67/14))/(($I130)*$S130))^$W130))</f>
        <v>43.399999534749547</v>
      </c>
      <c r="BL130" s="396">
        <f>$R130/(1+($V130*(('Traffic Data'!W49*(0.67/14))/(($I130)*$S130))^$W130))</f>
        <v>43.399999435443902</v>
      </c>
      <c r="BM130" s="396">
        <f>$R130/(1+($V130*(('Traffic Data'!X49*(0.67/14))/(($I130)*$S130))^$W130))</f>
        <v>43.399999340072576</v>
      </c>
      <c r="BN130" s="396">
        <f>$R130/(1+($V130*(('Traffic Data'!Y49*(0.67/14))/(($I130)*$S130))^$W130))</f>
        <v>43.399999230438439</v>
      </c>
      <c r="BO130" s="396">
        <f>$R130/(1+($V130*(('Traffic Data'!Z49*(0.67/14))/(($I130)*$S130))^$W130))</f>
        <v>43.399999104676013</v>
      </c>
      <c r="BP130" s="396">
        <f>$R130/(1+($V130*(('Traffic Data'!AA49*(0.67/14))/(($I130)*$S130))^$W130))</f>
        <v>43.399998960673813</v>
      </c>
      <c r="BQ130" s="396">
        <f>$R130/(1+($V130*(('Traffic Data'!AB49*(0.67/14))/(($I130)*$S130))^$W130))</f>
        <v>43.399998796192904</v>
      </c>
      <c r="BR130" s="396">
        <f>$R130/(1+($V130*(('Traffic Data'!AC49*(0.67/14))/(($I130)*$S130))^$W130))</f>
        <v>43.399998608597912</v>
      </c>
      <c r="BS130" s="396">
        <f>$R130/(1+($V130*(('Traffic Data'!AD49*(0.67/14))/(($I130)*$S130))^$W130))</f>
        <v>43.399998395143697</v>
      </c>
      <c r="BT130" s="396">
        <f>$R130/(1+($V130*(('Traffic Data'!AE49*(0.67/14))/(($I130)*$S130))^$W130))</f>
        <v>43.399998152657403</v>
      </c>
      <c r="BU130" s="396">
        <f>$R130/(1+($V130*(('Traffic Data'!AF49*(0.67/14))/(($I130)*$S130))^$W130))</f>
        <v>43.399997877612392</v>
      </c>
      <c r="BV130" s="396">
        <f>$R130/(1+($V130*(('Traffic Data'!AG49*(0.67/14))/(($I130)*$S130))^$W130))</f>
        <v>43.39999756632259</v>
      </c>
      <c r="BW130" s="651">
        <f>$R130/(1+($V130*(('Traffic Data'!AH49*(0.67/14))/(($I130)*$S130))^$W130))</f>
        <v>43.399997214527922</v>
      </c>
    </row>
    <row r="131" spans="1:75" ht="21.95" customHeight="1" x14ac:dyDescent="0.2">
      <c r="A131" s="642"/>
      <c r="B131" s="288"/>
      <c r="C131" s="1413"/>
      <c r="D131" s="289" t="s">
        <v>341</v>
      </c>
      <c r="E131" s="289" t="s">
        <v>344</v>
      </c>
      <c r="F131" s="607">
        <f>'Traffic Data'!CM47</f>
        <v>0.78125</v>
      </c>
      <c r="G131" s="607">
        <f>'Traffic Data'!CN47</f>
        <v>0.9</v>
      </c>
      <c r="H131" s="608">
        <f>'Traffic Data'!G50</f>
        <v>45</v>
      </c>
      <c r="I131" s="608">
        <v>4</v>
      </c>
      <c r="J131" s="608">
        <f t="shared" si="10"/>
        <v>52</v>
      </c>
      <c r="K131" s="608">
        <v>0</v>
      </c>
      <c r="L131" s="608">
        <v>5</v>
      </c>
      <c r="M131" s="608">
        <v>0</v>
      </c>
      <c r="N131" s="608">
        <v>0.4</v>
      </c>
      <c r="O131" s="608">
        <v>0</v>
      </c>
      <c r="P131" s="608">
        <v>0</v>
      </c>
      <c r="Q131" s="608">
        <v>0</v>
      </c>
      <c r="R131" s="290">
        <f t="shared" si="4"/>
        <v>46.6</v>
      </c>
      <c r="S131" s="609">
        <f>M$24*F131*G131</f>
        <v>1335.9375</v>
      </c>
      <c r="T131" s="610">
        <v>0.12</v>
      </c>
      <c r="U131" s="611">
        <v>0.65</v>
      </c>
      <c r="V131" s="612">
        <f t="shared" si="11"/>
        <v>0.05</v>
      </c>
      <c r="W131" s="613">
        <v>10</v>
      </c>
      <c r="X131" s="407">
        <f>$R131/(1+($V131*(('Traffic Data'!J50*$T131*$U131)/(($I131/2)*$S131))^$W131))</f>
        <v>46.452599766464537</v>
      </c>
      <c r="Y131" s="396">
        <f>$R131/(1+($V131*(('Traffic Data'!K50*$T131*$U131)/(($I131/2)*$S131))^$W131))</f>
        <v>46.449634686216747</v>
      </c>
      <c r="Z131" s="396">
        <f>$R131/(1+($V131*(('Traffic Data'!L50*$T131*$U131)/(($I131/2)*$S131))^$W131))</f>
        <v>46.446616248727537</v>
      </c>
      <c r="AA131" s="396">
        <f>$R131/(1+($V131*(('Traffic Data'!M50*$T131*$U131)/(($I131/2)*$S131))^$W131))</f>
        <v>46.4435436109191</v>
      </c>
      <c r="AB131" s="396">
        <f>$R131/(1+($V131*(('Traffic Data'!N50*$T131*$U131)/(($I131/2)*$S131))^$W131))</f>
        <v>46.440415918413699</v>
      </c>
      <c r="AC131" s="396">
        <f>$R131/(1+($V131*(('Traffic Data'!O50*$T131*$U131)/(($I131/2)*$S131))^$W131))</f>
        <v>46.437232305416231</v>
      </c>
      <c r="AD131" s="396">
        <f>$R131/(1+($V131*(('Traffic Data'!P50*$T131*$U131)/(($I131/2)*$S131))^$W131))</f>
        <v>46.433991894596041</v>
      </c>
      <c r="AE131" s="396">
        <f>$R131/(1+($V131*(('Traffic Data'!Q50*$T131*$U131)/(($I131/2)*$S131))^$W131))</f>
        <v>46.430693796968306</v>
      </c>
      <c r="AF131" s="396">
        <f>$R131/(1+($V131*(('Traffic Data'!R50*$T131*$U131)/(($I131/2)*$S131))^$W131))</f>
        <v>46.427337111774733</v>
      </c>
      <c r="AG131" s="396">
        <f>$R131/(1+($V131*(('Traffic Data'!S50*$T131*$U131)/(($I131/2)*$S131))^$W131))</f>
        <v>46.427337111774733</v>
      </c>
      <c r="AH131" s="396">
        <f>$R131/(1+($V131*(('Traffic Data'!T50*$T131*$U131)/(($I131/2)*$S131))^$W131))</f>
        <v>46.419045209747225</v>
      </c>
      <c r="AI131" s="396">
        <f>$R131/(1+($V131*(('Traffic Data'!U50*$T131*$U131)/(($I131/2)*$S131))^$W131))</f>
        <v>46.386787412366125</v>
      </c>
      <c r="AJ131" s="396">
        <f>$R131/(1+($V131*(('Traffic Data'!V50*$T131*$U131)/(($I131/2)*$S131))^$W131))</f>
        <v>46.350495556964738</v>
      </c>
      <c r="AK131" s="396">
        <f>$R131/(1+($V131*(('Traffic Data'!W50*$T131*$U131)/(($I131/2)*$S131))^$W131))</f>
        <v>46.32293846889096</v>
      </c>
      <c r="AL131" s="396">
        <f>$R131/(1+($V131*(('Traffic Data'!X50*$T131*$U131)/(($I131/2)*$S131))^$W131))</f>
        <v>46.303802323576477</v>
      </c>
      <c r="AM131" s="396">
        <f>$R131/(1+($V131*(('Traffic Data'!Y50*$T131*$U131)/(($I131/2)*$S131))^$W131))</f>
        <v>46.25495917276276</v>
      </c>
      <c r="AN131" s="396">
        <f>$R131/(1+($V131*(('Traffic Data'!Z50*$T131*$U131)/(($I131/2)*$S131))^$W131))</f>
        <v>46.199057443194306</v>
      </c>
      <c r="AO131" s="396">
        <f>$R131/(1+($V131*(('Traffic Data'!AA50*$T131*$U131)/(($I131/2)*$S131))^$W131))</f>
        <v>46.135213796012174</v>
      </c>
      <c r="AP131" s="396">
        <f>$R131/(1+($V131*(('Traffic Data'!AB50*$T131*$U131)/(($I131/2)*$S131))^$W131))</f>
        <v>46.062506414470569</v>
      </c>
      <c r="AQ131" s="396">
        <f>$R131/(1+($V131*(('Traffic Data'!AC50*$T131*$U131)/(($I131/2)*$S131))^$W131))</f>
        <v>45.97986088360625</v>
      </c>
      <c r="AR131" s="396">
        <f>$R131/(1+($V131*(('Traffic Data'!AD50*$T131*$U131)/(($I131/2)*$S131))^$W131))</f>
        <v>45.886182961427636</v>
      </c>
      <c r="AS131" s="396">
        <f>$R131/(1+($V131*(('Traffic Data'!AE50*$T131*$U131)/(($I131/2)*$S131))^$W131))</f>
        <v>45.780225878495798</v>
      </c>
      <c r="AT131" s="396">
        <f>$R131/(1+($V131*(('Traffic Data'!AF50*$T131*$U131)/(($I131/2)*$S131))^$W131))</f>
        <v>45.660632657496798</v>
      </c>
      <c r="AU131" s="396">
        <f>$R131/(1+($V131*(('Traffic Data'!AG50*$T131*$U131)/(($I131/2)*$S131))^$W131))</f>
        <v>45.526031264298375</v>
      </c>
      <c r="AV131" s="396">
        <f>$R131/(1+($V131*(('Traffic Data'!AH50*$T131*$U131)/(($I131/2)*$S131))^$W131))</f>
        <v>45.374867619209105</v>
      </c>
      <c r="AW131" s="385">
        <f>$R131/(1+($V131*(('Traffic Data'!AI50*$T131*$U131)/(($I131/2)*$S131))^$W131))</f>
        <v>45.205473557327139</v>
      </c>
      <c r="AX131" s="407">
        <f>$R131/(1+($V131*(('Traffic Data'!J50*(0.67/14))/(($I131)*$S131))^$W131))</f>
        <v>46.59999890831903</v>
      </c>
      <c r="AY131" s="396">
        <f>$R131/(1+($V131*(('Traffic Data'!J50*(0.67/14))/(($I131)*$S131))^$W131))</f>
        <v>46.59999890831903</v>
      </c>
      <c r="AZ131" s="396">
        <f>$R131/(1+($V131*(('Traffic Data'!K50*(0.67/14))/(($I131)*$S131))^$W131))</f>
        <v>46.59999888628785</v>
      </c>
      <c r="BA131" s="396">
        <f>$R131/(1+($V131*(('Traffic Data'!L50*(0.67/14))/(($I131)*$S131))^$W131))</f>
        <v>46.599998863857344</v>
      </c>
      <c r="BB131" s="396">
        <f>$R131/(1+($V131*(('Traffic Data'!M50*(0.67/14))/(($I131)*$S131))^$W131))</f>
        <v>46.599998841021055</v>
      </c>
      <c r="BC131" s="396">
        <f>$R131/(1+($V131*(('Traffic Data'!N50*(0.67/14))/(($I131)*$S131))^$W131))</f>
        <v>46.599998817772494</v>
      </c>
      <c r="BD131" s="396">
        <f>$R131/(1+($V131*(('Traffic Data'!O50*(0.67/14))/(($I131)*$S131))^$W131))</f>
        <v>46.599998794105048</v>
      </c>
      <c r="BE131" s="396">
        <f>$R131/(1+($V131*(('Traffic Data'!P50*(0.67/14))/(($I131)*$S131))^$W131))</f>
        <v>46.599998770012036</v>
      </c>
      <c r="BF131" s="396">
        <f>$R131/(1+($V131*(('Traffic Data'!Q50*(0.67/14))/(($I131)*$S131))^$W131))</f>
        <v>46.599998745486644</v>
      </c>
      <c r="BG131" s="396">
        <f>$R131/(1+($V131*(('Traffic Data'!R50*(0.67/14))/(($I131)*$S131))^$W131))</f>
        <v>46.599998720522017</v>
      </c>
      <c r="BH131" s="396">
        <f>$R131/(1+($V131*(('Traffic Data'!S50*(0.67/14))/(($I131)*$S131))^$W131))</f>
        <v>46.599998720522017</v>
      </c>
      <c r="BI131" s="396">
        <f>$R131/(1+($V131*(('Traffic Data'!T50*(0.67/14))/(($I131)*$S131))^$W131))</f>
        <v>46.599998658837286</v>
      </c>
      <c r="BJ131" s="396">
        <f>$R131/(1+($V131*(('Traffic Data'!U50*(0.67/14))/(($I131)*$S131))^$W131))</f>
        <v>46.59999841865681</v>
      </c>
      <c r="BK131" s="396">
        <f>$R131/(1+($V131*(('Traffic Data'!V50*(0.67/14))/(($I131)*$S131))^$W131))</f>
        <v>46.599998148040491</v>
      </c>
      <c r="BL131" s="396">
        <f>$R131/(1+($V131*(('Traffic Data'!W50*(0.67/14))/(($I131)*$S131))^$W131))</f>
        <v>46.599997942273198</v>
      </c>
      <c r="BM131" s="396">
        <f>$R131/(1+($V131*(('Traffic Data'!X50*(0.67/14))/(($I131)*$S131))^$W131))</f>
        <v>46.599997799240555</v>
      </c>
      <c r="BN131" s="396">
        <f>$R131/(1+($V131*(('Traffic Data'!Y50*(0.67/14))/(($I131)*$S131))^$W131))</f>
        <v>46.599997433627081</v>
      </c>
      <c r="BO131" s="396">
        <f>$R131/(1+($V131*(('Traffic Data'!Z50*(0.67/14))/(($I131)*$S131))^$W131))</f>
        <v>46.599997014228173</v>
      </c>
      <c r="BP131" s="396">
        <f>$R131/(1+($V131*(('Traffic Data'!AA50*(0.67/14))/(($I131)*$S131))^$W131))</f>
        <v>46.599996534002365</v>
      </c>
      <c r="BQ131" s="396">
        <f>$R131/(1+($V131*(('Traffic Data'!AB50*(0.67/14))/(($I131)*$S131))^$W131))</f>
        <v>46.59999598548314</v>
      </c>
      <c r="BR131" s="396">
        <f>$R131/(1+($V131*(('Traffic Data'!AC50*(0.67/14))/(($I131)*$S131))^$W131))</f>
        <v>46.599995359881909</v>
      </c>
      <c r="BS131" s="396">
        <f>$R131/(1+($V131*(('Traffic Data'!AD50*(0.67/14))/(($I131)*$S131))^$W131))</f>
        <v>46.599994648044039</v>
      </c>
      <c r="BT131" s="396">
        <f>$R131/(1+($V131*(('Traffic Data'!AE50*(0.67/14))/(($I131)*$S131))^$W131))</f>
        <v>46.599993839388546</v>
      </c>
      <c r="BU131" s="396">
        <f>$R131/(1+($V131*(('Traffic Data'!AF50*(0.67/14))/(($I131)*$S131))^$W131))</f>
        <v>46.599992922154627</v>
      </c>
      <c r="BV131" s="396">
        <f>$R131/(1+($V131*(('Traffic Data'!AG50*(0.67/14))/(($I131)*$S131))^$W131))</f>
        <v>46.599991884049786</v>
      </c>
      <c r="BW131" s="651">
        <f>$R131/(1+($V131*(('Traffic Data'!AH50*(0.67/14))/(($I131)*$S131))^$W131))</f>
        <v>46.599990710867353</v>
      </c>
    </row>
    <row r="132" spans="1:75" ht="21.95" customHeight="1" x14ac:dyDescent="0.2">
      <c r="A132" s="642"/>
      <c r="B132" s="288"/>
      <c r="C132" s="1413"/>
      <c r="D132" s="289" t="s">
        <v>344</v>
      </c>
      <c r="E132" s="289" t="s">
        <v>345</v>
      </c>
      <c r="F132" s="607">
        <f>'Traffic Data'!CM47</f>
        <v>0.78125</v>
      </c>
      <c r="G132" s="607">
        <f>'Traffic Data'!CN47</f>
        <v>0.9</v>
      </c>
      <c r="H132" s="608">
        <f>'Traffic Data'!G51</f>
        <v>55</v>
      </c>
      <c r="I132" s="608">
        <v>4</v>
      </c>
      <c r="J132" s="608">
        <f t="shared" si="10"/>
        <v>62</v>
      </c>
      <c r="K132" s="608">
        <v>0</v>
      </c>
      <c r="L132" s="608">
        <v>5</v>
      </c>
      <c r="M132" s="608">
        <v>0</v>
      </c>
      <c r="N132" s="608">
        <v>0.4</v>
      </c>
      <c r="O132" s="608">
        <v>0</v>
      </c>
      <c r="P132" s="608">
        <v>0</v>
      </c>
      <c r="Q132" s="608">
        <v>0</v>
      </c>
      <c r="R132" s="290">
        <f t="shared" si="4"/>
        <v>56.6</v>
      </c>
      <c r="S132" s="609">
        <f>M$22*F132*G132</f>
        <v>1476.5625</v>
      </c>
      <c r="T132" s="610">
        <v>0.12</v>
      </c>
      <c r="U132" s="611">
        <v>0.65</v>
      </c>
      <c r="V132" s="612">
        <f t="shared" si="11"/>
        <v>0.05</v>
      </c>
      <c r="W132" s="613">
        <v>10</v>
      </c>
      <c r="X132" s="407">
        <f>$R132/(1+($V132*(('Traffic Data'!J51*$T132*$U132)/(($I132/2)*$S132))^$W132))</f>
        <v>56.534061146242856</v>
      </c>
      <c r="Y132" s="396">
        <f>$R132/(1+($V132*(('Traffic Data'!K51*$T132*$U132)/(($I132/2)*$S132))^$W132))</f>
        <v>56.532732018172709</v>
      </c>
      <c r="Z132" s="396">
        <f>$R132/(1+($V132*(('Traffic Data'!L51*$T132*$U132)/(($I132/2)*$S132))^$W132))</f>
        <v>56.531378862061025</v>
      </c>
      <c r="AA132" s="396">
        <f>$R132/(1+($V132*(('Traffic Data'!M51*$T132*$U132)/(($I132/2)*$S132))^$W132))</f>
        <v>56.53000129400651</v>
      </c>
      <c r="AB132" s="396">
        <f>$R132/(1+($V132*(('Traffic Data'!N51*$T132*$U132)/(($I132/2)*$S132))^$W132))</f>
        <v>56.528598924806928</v>
      </c>
      <c r="AC132" s="396">
        <f>$R132/(1+($V132*(('Traffic Data'!O51*$T132*$U132)/(($I132/2)*$S132))^$W132))</f>
        <v>56.527171359898404</v>
      </c>
      <c r="AD132" s="396">
        <f>$R132/(1+($V132*(('Traffic Data'!P51*$T132*$U132)/(($I132/2)*$S132))^$W132))</f>
        <v>56.52571819929436</v>
      </c>
      <c r="AE132" s="396">
        <f>$R132/(1+($V132*(('Traffic Data'!Q51*$T132*$U132)/(($I132/2)*$S132))^$W132))</f>
        <v>56.52423903752387</v>
      </c>
      <c r="AF132" s="396">
        <f>$R132/(1+($V132*(('Traffic Data'!R51*$T132*$U132)/(($I132/2)*$S132))^$W132))</f>
        <v>56.522733463569537</v>
      </c>
      <c r="AG132" s="396">
        <f>$R132/(1+($V132*(('Traffic Data'!S51*$T132*$U132)/(($I132/2)*$S132))^$W132))</f>
        <v>56.522733463569537</v>
      </c>
      <c r="AH132" s="396">
        <f>$R132/(1+($V132*(('Traffic Data'!T51*$T132*$U132)/(($I132/2)*$S132))^$W132))</f>
        <v>56.519013707488426</v>
      </c>
      <c r="AI132" s="396">
        <f>$R132/(1+($V132*(('Traffic Data'!U51*$T132*$U132)/(($I132/2)*$S132))^$W132))</f>
        <v>56.504534838552246</v>
      </c>
      <c r="AJ132" s="396">
        <f>$R132/(1+($V132*(('Traffic Data'!V51*$T132*$U132)/(($I132/2)*$S132))^$W132))</f>
        <v>56.488230082199927</v>
      </c>
      <c r="AK132" s="396">
        <f>$R132/(1+($V132*(('Traffic Data'!W51*$T132*$U132)/(($I132/2)*$S132))^$W132))</f>
        <v>56.475838805734362</v>
      </c>
      <c r="AL132" s="396">
        <f>$R132/(1+($V132*(('Traffic Data'!X51*$T132*$U132)/(($I132/2)*$S132))^$W132))</f>
        <v>56.467228602256505</v>
      </c>
      <c r="AM132" s="396">
        <f>$R132/(1+($V132*(('Traffic Data'!Y51*$T132*$U132)/(($I132/2)*$S132))^$W132))</f>
        <v>56.44523152428215</v>
      </c>
      <c r="AN132" s="396">
        <f>$R132/(1+($V132*(('Traffic Data'!Z51*$T132*$U132)/(($I132/2)*$S132))^$W132))</f>
        <v>56.420019549354329</v>
      </c>
      <c r="AO132" s="396">
        <f>$R132/(1+($V132*(('Traffic Data'!AA51*$T132*$U132)/(($I132/2)*$S132))^$W132))</f>
        <v>56.391178637438735</v>
      </c>
      <c r="AP132" s="396">
        <f>$R132/(1+($V132*(('Traffic Data'!AB51*$T132*$U132)/(($I132/2)*$S132))^$W132))</f>
        <v>56.35827228144894</v>
      </c>
      <c r="AQ132" s="396">
        <f>$R132/(1+($V132*(('Traffic Data'!AC51*$T132*$U132)/(($I132/2)*$S132))^$W132))</f>
        <v>56.320788525619243</v>
      </c>
      <c r="AR132" s="396">
        <f>$R132/(1+($V132*(('Traffic Data'!AD51*$T132*$U132)/(($I132/2)*$S132))^$W132))</f>
        <v>56.278198380073952</v>
      </c>
      <c r="AS132" s="396">
        <f>$R132/(1+($V132*(('Traffic Data'!AE51*$T132*$U132)/(($I132/2)*$S132))^$W132))</f>
        <v>56.22989359821387</v>
      </c>
      <c r="AT132" s="396">
        <f>$R132/(1+($V132*(('Traffic Data'!AF51*$T132*$U132)/(($I132/2)*$S132))^$W132))</f>
        <v>56.175203189561628</v>
      </c>
      <c r="AU132" s="396">
        <f>$R132/(1+($V132*(('Traffic Data'!AG51*$T132*$U132)/(($I132/2)*$S132))^$W132))</f>
        <v>56.113434002582217</v>
      </c>
      <c r="AV132" s="396">
        <f>$R132/(1+($V132*(('Traffic Data'!AH51*$T132*$U132)/(($I132/2)*$S132))^$W132))</f>
        <v>56.043790742904882</v>
      </c>
      <c r="AW132" s="385">
        <f>$R132/(1+($V132*(('Traffic Data'!AI51*$T132*$U132)/(($I132/2)*$S132))^$W132))</f>
        <v>55.965402402623347</v>
      </c>
      <c r="AX132" s="407">
        <f>$R132/(1+($V132*(('Traffic Data'!J51*(0.67/14))/(($I132)*$S132))^$W132))</f>
        <v>56.59999951261819</v>
      </c>
      <c r="AY132" s="396">
        <f>$R132/(1+($V132*(('Traffic Data'!J51*(0.67/14))/(($I132)*$S132))^$W132))</f>
        <v>56.59999951261819</v>
      </c>
      <c r="AZ132" s="396">
        <f>$R132/(1+($V132*(('Traffic Data'!K51*(0.67/14))/(($I132)*$S132))^$W132))</f>
        <v>56.599999502782346</v>
      </c>
      <c r="BA132" s="396">
        <f>$R132/(1+($V132*(('Traffic Data'!L51*(0.67/14))/(($I132)*$S132))^$W132))</f>
        <v>56.599999492768227</v>
      </c>
      <c r="BB132" s="396">
        <f>$R132/(1+($V132*(('Traffic Data'!M51*(0.67/14))/(($I132)*$S132))^$W132))</f>
        <v>56.599999482572947</v>
      </c>
      <c r="BC132" s="396">
        <f>$R132/(1+($V132*(('Traffic Data'!N51*(0.67/14))/(($I132)*$S132))^$W132))</f>
        <v>56.599999472193616</v>
      </c>
      <c r="BD132" s="396">
        <f>$R132/(1+($V132*(('Traffic Data'!O51*(0.67/14))/(($I132)*$S132))^$W132))</f>
        <v>56.599999461627263</v>
      </c>
      <c r="BE132" s="396">
        <f>$R132/(1+($V132*(('Traffic Data'!P51*(0.67/14))/(($I132)*$S132))^$W132))</f>
        <v>56.599999450870911</v>
      </c>
      <c r="BF132" s="396">
        <f>$R132/(1+($V132*(('Traffic Data'!Q51*(0.67/14))/(($I132)*$S132))^$W132))</f>
        <v>56.599999439921532</v>
      </c>
      <c r="BG132" s="396">
        <f>$R132/(1+($V132*(('Traffic Data'!R51*(0.67/14))/(($I132)*$S132))^$W132))</f>
        <v>56.599999428776059</v>
      </c>
      <c r="BH132" s="396">
        <f>$R132/(1+($V132*(('Traffic Data'!S51*(0.67/14))/(($I132)*$S132))^$W132))</f>
        <v>56.599999428776059</v>
      </c>
      <c r="BI132" s="396">
        <f>$R132/(1+($V132*(('Traffic Data'!T51*(0.67/14))/(($I132)*$S132))^$W132))</f>
        <v>56.599999401236857</v>
      </c>
      <c r="BJ132" s="396">
        <f>$R132/(1+($V132*(('Traffic Data'!U51*(0.67/14))/(($I132)*$S132))^$W132))</f>
        <v>56.599999294008107</v>
      </c>
      <c r="BK132" s="396">
        <f>$R132/(1+($V132*(('Traffic Data'!V51*(0.67/14))/(($I132)*$S132))^$W132))</f>
        <v>56.599999173191229</v>
      </c>
      <c r="BL132" s="396">
        <f>$R132/(1+($V132*(('Traffic Data'!W51*(0.67/14))/(($I132)*$S132))^$W132))</f>
        <v>56.599999081326267</v>
      </c>
      <c r="BM132" s="396">
        <f>$R132/(1+($V132*(('Traffic Data'!X51*(0.67/14))/(($I132)*$S132))^$W132))</f>
        <v>56.599999017469216</v>
      </c>
      <c r="BN132" s="396">
        <f>$R132/(1+($V132*(('Traffic Data'!Y51*(0.67/14))/(($I132)*$S132))^$W132))</f>
        <v>56.599998854240802</v>
      </c>
      <c r="BO132" s="396">
        <f>$R132/(1+($V132*(('Traffic Data'!Z51*(0.67/14))/(($I132)*$S132))^$W132))</f>
        <v>56.599998666999817</v>
      </c>
      <c r="BP132" s="396">
        <f>$R132/(1+($V132*(('Traffic Data'!AA51*(0.67/14))/(($I132)*$S132))^$W132))</f>
        <v>56.59999845260262</v>
      </c>
      <c r="BQ132" s="396">
        <f>$R132/(1+($V132*(('Traffic Data'!AB51*(0.67/14))/(($I132)*$S132))^$W132))</f>
        <v>56.599998207715757</v>
      </c>
      <c r="BR132" s="396">
        <f>$R132/(1+($V132*(('Traffic Data'!AC51*(0.67/14))/(($I132)*$S132))^$W132))</f>
        <v>56.599997928415576</v>
      </c>
      <c r="BS132" s="396">
        <f>$R132/(1+($V132*(('Traffic Data'!AD51*(0.67/14))/(($I132)*$S132))^$W132))</f>
        <v>56.59999761061497</v>
      </c>
      <c r="BT132" s="396">
        <f>$R132/(1+($V132*(('Traffic Data'!AE51*(0.67/14))/(($I132)*$S132))^$W132))</f>
        <v>56.599997249590047</v>
      </c>
      <c r="BU132" s="396">
        <f>$R132/(1+($V132*(('Traffic Data'!AF51*(0.67/14))/(($I132)*$S132))^$W132))</f>
        <v>56.599996840090185</v>
      </c>
      <c r="BV132" s="396">
        <f>$R132/(1+($V132*(('Traffic Data'!AG51*(0.67/14))/(($I132)*$S132))^$W132))</f>
        <v>56.599996376627381</v>
      </c>
      <c r="BW132" s="651">
        <f>$R132/(1+($V132*(('Traffic Data'!AH51*(0.67/14))/(($I132)*$S132))^$W132))</f>
        <v>56.59999585285906</v>
      </c>
    </row>
    <row r="133" spans="1:75" ht="21.95" customHeight="1" x14ac:dyDescent="0.2">
      <c r="A133" s="642"/>
      <c r="B133" s="288"/>
      <c r="C133" s="1413"/>
      <c r="D133" s="289" t="s">
        <v>345</v>
      </c>
      <c r="E133" s="289" t="s">
        <v>323</v>
      </c>
      <c r="F133" s="607">
        <f>'Traffic Data'!CM47</f>
        <v>0.78125</v>
      </c>
      <c r="G133" s="607">
        <f>'Traffic Data'!CN47</f>
        <v>0.9</v>
      </c>
      <c r="H133" s="608">
        <f>'Traffic Data'!G52</f>
        <v>65</v>
      </c>
      <c r="I133" s="608">
        <v>4</v>
      </c>
      <c r="J133" s="608">
        <f t="shared" si="10"/>
        <v>72</v>
      </c>
      <c r="K133" s="608">
        <v>0</v>
      </c>
      <c r="L133" s="608">
        <v>2.5</v>
      </c>
      <c r="M133" s="608">
        <v>0</v>
      </c>
      <c r="N133" s="608">
        <v>0.4</v>
      </c>
      <c r="O133" s="608">
        <v>0</v>
      </c>
      <c r="P133" s="608">
        <v>0</v>
      </c>
      <c r="Q133" s="608">
        <v>0</v>
      </c>
      <c r="R133" s="290">
        <f t="shared" si="4"/>
        <v>69.099999999999994</v>
      </c>
      <c r="S133" s="609">
        <f>M$19*F133*G133</f>
        <v>1617.1875</v>
      </c>
      <c r="T133" s="610">
        <v>0.12</v>
      </c>
      <c r="U133" s="611">
        <v>0.65</v>
      </c>
      <c r="V133" s="612">
        <f t="shared" si="11"/>
        <v>0.05</v>
      </c>
      <c r="W133" s="613">
        <v>10</v>
      </c>
      <c r="X133" s="407">
        <f>$R133/(1+($V133*(('Traffic Data'!J52*$T133*$U133)/(($I133/2)*$S133))^$W133))</f>
        <v>69.031979009162399</v>
      </c>
      <c r="Y133" s="396">
        <f>$R133/(1+($V133*(('Traffic Data'!K52*$T133*$U133)/(($I133/2)*$S133))^$W133))</f>
        <v>69.014670174543994</v>
      </c>
      <c r="Z133" s="396">
        <f>$R133/(1+($V133*(('Traffic Data'!L52*$T133*$U133)/(($I133/2)*$S133))^$W133))</f>
        <v>68.98219688011622</v>
      </c>
      <c r="AA133" s="396">
        <f>$R133/(1+($V133*(('Traffic Data'!M52*$T133*$U133)/(($I133/2)*$S133))^$W133))</f>
        <v>68.92889277417791</v>
      </c>
      <c r="AB133" s="396">
        <f>$R133/(1+($V133*(('Traffic Data'!N52*$T133*$U133)/(($I133/2)*$S133))^$W133))</f>
        <v>68.854849988229958</v>
      </c>
      <c r="AC133" s="396">
        <f>$R133/(1+($V133*(('Traffic Data'!O52*$T133*$U133)/(($I133/2)*$S133))^$W133))</f>
        <v>68.753277965477466</v>
      </c>
      <c r="AD133" s="396">
        <f>$R133/(1+($V133*(('Traffic Data'!P52*$T133*$U133)/(($I133/2)*$S133))^$W133))</f>
        <v>68.615644673730856</v>
      </c>
      <c r="AE133" s="396">
        <f>$R133/(1+($V133*(('Traffic Data'!Q52*$T133*$U133)/(($I133/2)*$S133))^$W133))</f>
        <v>68.431088135663373</v>
      </c>
      <c r="AF133" s="396">
        <f>$R133/(1+($V133*(('Traffic Data'!R52*$T133*$U133)/(($I133/2)*$S133))^$W133))</f>
        <v>68.224805749018742</v>
      </c>
      <c r="AG133" s="396">
        <f>$R133/(1+($V133*(('Traffic Data'!S52*$T133*$U133)/(($I133/2)*$S133))^$W133))</f>
        <v>67.964052307669832</v>
      </c>
      <c r="AH133" s="396">
        <f>$R133/(1+($V133*(('Traffic Data'!T52*$T133*$U133)/(($I133/2)*$S133))^$W133))</f>
        <v>67.637068766043967</v>
      </c>
      <c r="AI133" s="396">
        <f>$R133/(1+($V133*(('Traffic Data'!U52*$T133*$U133)/(($I133/2)*$S133))^$W133))</f>
        <v>67.230390438158878</v>
      </c>
      <c r="AJ133" s="396">
        <f>$R133/(1+($V133*(('Traffic Data'!V52*$T133*$U133)/(($I133/2)*$S133))^$W133))</f>
        <v>66.728453767099225</v>
      </c>
      <c r="AK133" s="396">
        <f>$R133/(1+($V133*(('Traffic Data'!W52*$T133*$U133)/(($I133/2)*$S133))^$W133))</f>
        <v>66.243185456457041</v>
      </c>
      <c r="AL133" s="396">
        <f>$R133/(1+($V133*(('Traffic Data'!X52*$T133*$U133)/(($I133/2)*$S133))^$W133))</f>
        <v>65.783740734859308</v>
      </c>
      <c r="AM133" s="396">
        <f>$R133/(1+($V133*(('Traffic Data'!Y52*$T133*$U133)/(($I133/2)*$S133))^$W133))</f>
        <v>65.263397696689594</v>
      </c>
      <c r="AN133" s="396">
        <f>$R133/(1+($V133*(('Traffic Data'!Z52*$T133*$U133)/(($I133/2)*$S133))^$W133))</f>
        <v>64.676553030248073</v>
      </c>
      <c r="AO133" s="396">
        <f>$R133/(1+($V133*(('Traffic Data'!AA52*$T133*$U133)/(($I133/2)*$S133))^$W133))</f>
        <v>64.017424833747171</v>
      </c>
      <c r="AP133" s="396">
        <f>$R133/(1+($V133*(('Traffic Data'!AB52*$T133*$U133)/(($I133/2)*$S133))^$W133))</f>
        <v>63.280808392532784</v>
      </c>
      <c r="AQ133" s="396">
        <f>$R133/(1+($V133*(('Traffic Data'!AC52*$T133*$U133)/(($I133/2)*$S133))^$W133))</f>
        <v>62.461101474809546</v>
      </c>
      <c r="AR133" s="396">
        <f>$R133/(1+($V133*(('Traffic Data'!AD52*$T133*$U133)/(($I133/2)*$S133))^$W133))</f>
        <v>61.553854879804902</v>
      </c>
      <c r="AS133" s="396">
        <f>$R133/(1+($V133*(('Traffic Data'!AE52*$T133*$U133)/(($I133/2)*$S133))^$W133))</f>
        <v>60.554670084845313</v>
      </c>
      <c r="AT133" s="396">
        <f>$R133/(1+($V133*(('Traffic Data'!AF52*$T133*$U133)/(($I133/2)*$S133))^$W133))</f>
        <v>59.459879231480571</v>
      </c>
      <c r="AU133" s="396">
        <f>$R133/(1+($V133*(('Traffic Data'!AG52*$T133*$U133)/(($I133/2)*$S133))^$W133))</f>
        <v>58.267616678798341</v>
      </c>
      <c r="AV133" s="396">
        <f>$R133/(1+($V133*(('Traffic Data'!AH52*$T133*$U133)/(($I133/2)*$S133))^$W133))</f>
        <v>56.976492699931377</v>
      </c>
      <c r="AW133" s="385">
        <f>$R133/(1+($V133*(('Traffic Data'!AI52*$T133*$U133)/(($I133/2)*$S133))^$W133))</f>
        <v>55.586446610236621</v>
      </c>
      <c r="AX133" s="407">
        <f>$R133/(1+($V133*(('Traffic Data'!J52*(0.67/14))/(($I133)*$S133))^$W133))</f>
        <v>69.099999497319118</v>
      </c>
      <c r="AY133" s="396">
        <f>$R133/(1+($V133*(('Traffic Data'!J52*(0.67/14))/(($I133)*$S133))^$W133))</f>
        <v>69.099999497319118</v>
      </c>
      <c r="AZ133" s="396">
        <f>$R133/(1+($V133*(('Traffic Data'!K52*(0.67/14))/(($I133)*$S133))^$W133))</f>
        <v>69.099999369247215</v>
      </c>
      <c r="BA133" s="396">
        <f>$R133/(1+($V133*(('Traffic Data'!L52*(0.67/14))/(($I133)*$S133))^$W133))</f>
        <v>69.099999128796725</v>
      </c>
      <c r="BB133" s="396">
        <f>$R133/(1+($V133*(('Traffic Data'!M52*(0.67/14))/(($I133)*$S133))^$W133))</f>
        <v>69.099998733612026</v>
      </c>
      <c r="BC133" s="396">
        <f>$R133/(1+($V133*(('Traffic Data'!N52*(0.67/14))/(($I133)*$S133))^$W133))</f>
        <v>69.099998183660176</v>
      </c>
      <c r="BD133" s="396">
        <f>$R133/(1+($V133*(('Traffic Data'!O52*(0.67/14))/(($I133)*$S133))^$W133))</f>
        <v>69.099997427308267</v>
      </c>
      <c r="BE133" s="396">
        <f>$R133/(1+($V133*(('Traffic Data'!P52*(0.67/14))/(($I133)*$S133))^$W133))</f>
        <v>69.099996398854699</v>
      </c>
      <c r="BF133" s="396">
        <f>$R133/(1+($V133*(('Traffic Data'!Q52*(0.67/14))/(($I133)*$S133))^$W133))</f>
        <v>69.099995013278019</v>
      </c>
      <c r="BG133" s="396">
        <f>$R133/(1+($V133*(('Traffic Data'!R52*(0.67/14))/(($I133)*$S133))^$W133))</f>
        <v>69.099993455720465</v>
      </c>
      <c r="BH133" s="396">
        <f>$R133/(1+($V133*(('Traffic Data'!S52*(0.67/14))/(($I133)*$S133))^$W133))</f>
        <v>69.099991473343863</v>
      </c>
      <c r="BI133" s="396">
        <f>$R133/(1+($V133*(('Traffic Data'!T52*(0.67/14))/(($I133)*$S133))^$W133))</f>
        <v>69.099988965852148</v>
      </c>
      <c r="BJ133" s="396">
        <f>$R133/(1+($V133*(('Traffic Data'!U52*(0.67/14))/(($I133)*$S133))^$W133))</f>
        <v>69.099985813184134</v>
      </c>
      <c r="BK133" s="396">
        <f>$R133/(1+($V133*(('Traffic Data'!V52*(0.67/14))/(($I133)*$S133))^$W133))</f>
        <v>69.099981869066937</v>
      </c>
      <c r="BL133" s="396">
        <f>$R133/(1+($V133*(('Traffic Data'!W52*(0.67/14))/(($I133)*$S133))^$W133))</f>
        <v>69.099977999100588</v>
      </c>
      <c r="BM133" s="396">
        <f>$R133/(1+($V133*(('Traffic Data'!X52*(0.67/14))/(($I133)*$S133))^$W133))</f>
        <v>69.0999742824565</v>
      </c>
      <c r="BN133" s="396">
        <f>$R133/(1+($V133*(('Traffic Data'!Y52*(0.67/14))/(($I133)*$S133))^$W133))</f>
        <v>69.099970009987359</v>
      </c>
      <c r="BO133" s="396">
        <f>$R133/(1+($V133*(('Traffic Data'!Z52*(0.67/14))/(($I133)*$S133))^$W133))</f>
        <v>69.099965108995406</v>
      </c>
      <c r="BP133" s="396">
        <f>$R133/(1+($V133*(('Traffic Data'!AA52*(0.67/14))/(($I133)*$S133))^$W133))</f>
        <v>69.099959497196082</v>
      </c>
      <c r="BQ133" s="396">
        <f>$R133/(1+($V133*(('Traffic Data'!AB52*(0.67/14))/(($I133)*$S133))^$W133))</f>
        <v>69.099953087337894</v>
      </c>
      <c r="BR133" s="396">
        <f>$R133/(1+($V133*(('Traffic Data'!AC52*(0.67/14))/(($I133)*$S133))^$W133))</f>
        <v>69.099945776719935</v>
      </c>
      <c r="BS133" s="396">
        <f>$R133/(1+($V133*(('Traffic Data'!AD52*(0.67/14))/(($I133)*$S133))^$W133))</f>
        <v>69.099937458363996</v>
      </c>
      <c r="BT133" s="396">
        <f>$R133/(1+($V133*(('Traffic Data'!AE52*(0.67/14))/(($I133)*$S133))^$W133))</f>
        <v>69.099928008624133</v>
      </c>
      <c r="BU133" s="396">
        <f>$R133/(1+($V133*(('Traffic Data'!AF52*(0.67/14))/(($I133)*$S133))^$W133))</f>
        <v>69.099917290067566</v>
      </c>
      <c r="BV133" s="396">
        <f>$R133/(1+($V133*(('Traffic Data'!AG52*(0.67/14))/(($I133)*$S133))^$W133))</f>
        <v>69.099905159048305</v>
      </c>
      <c r="BW133" s="651">
        <f>$R133/(1+($V133*(('Traffic Data'!AH52*(0.67/14))/(($I133)*$S133))^$W133))</f>
        <v>69.099891449552487</v>
      </c>
    </row>
    <row r="134" spans="1:75" ht="21.95" customHeight="1" x14ac:dyDescent="0.2">
      <c r="A134" s="642"/>
      <c r="B134" s="288"/>
      <c r="C134" s="1413"/>
      <c r="D134" s="289" t="s">
        <v>323</v>
      </c>
      <c r="E134" s="289" t="s">
        <v>347</v>
      </c>
      <c r="F134" s="607">
        <f>'Traffic Data'!CM47</f>
        <v>0.78125</v>
      </c>
      <c r="G134" s="607">
        <f>'Traffic Data'!CN47</f>
        <v>0.9</v>
      </c>
      <c r="H134" s="608">
        <f>'Traffic Data'!G53</f>
        <v>65</v>
      </c>
      <c r="I134" s="608">
        <v>4</v>
      </c>
      <c r="J134" s="608">
        <f t="shared" si="10"/>
        <v>72</v>
      </c>
      <c r="K134" s="608">
        <v>0</v>
      </c>
      <c r="L134" s="608">
        <v>2.5</v>
      </c>
      <c r="M134" s="608">
        <v>0</v>
      </c>
      <c r="N134" s="608">
        <v>0.4</v>
      </c>
      <c r="O134" s="608">
        <v>0</v>
      </c>
      <c r="P134" s="608">
        <v>0</v>
      </c>
      <c r="Q134" s="608">
        <v>0</v>
      </c>
      <c r="R134" s="290">
        <f t="shared" si="4"/>
        <v>69.099999999999994</v>
      </c>
      <c r="S134" s="609">
        <f>M$19*F134*G134</f>
        <v>1617.1875</v>
      </c>
      <c r="T134" s="610">
        <v>0.12</v>
      </c>
      <c r="U134" s="611">
        <v>0.65</v>
      </c>
      <c r="V134" s="612">
        <f t="shared" si="11"/>
        <v>0.05</v>
      </c>
      <c r="W134" s="613">
        <v>10</v>
      </c>
      <c r="X134" s="407">
        <f>$R134/(1+($V134*(('Traffic Data'!J53*$T134*$U134)/(($I134/2)*$S134))^$W134))</f>
        <v>69.031979009162399</v>
      </c>
      <c r="Y134" s="396">
        <f>$R134/(1+($V134*(('Traffic Data'!K53*$T134*$U134)/(($I134/2)*$S134))^$W134))</f>
        <v>69.015383074682219</v>
      </c>
      <c r="Z134" s="396">
        <f>$R134/(1+($V134*(('Traffic Data'!L53*$T134*$U134)/(($I134/2)*$S134))^$W134))</f>
        <v>68.984097102897081</v>
      </c>
      <c r="AA134" s="396">
        <f>$R134/(1+($V134*(('Traffic Data'!M53*$T134*$U134)/(($I134/2)*$S134))^$W134))</f>
        <v>68.929619463044517</v>
      </c>
      <c r="AB134" s="396">
        <f>$R134/(1+($V134*(('Traffic Data'!N53*$T134*$U134)/(($I134/2)*$S134))^$W134))</f>
        <v>68.853156809839035</v>
      </c>
      <c r="AC134" s="396">
        <f>$R134/(1+($V134*(('Traffic Data'!O53*$T134*$U134)/(($I134/2)*$S134))^$W134))</f>
        <v>68.747274391199539</v>
      </c>
      <c r="AD134" s="396">
        <f>$R134/(1+($V134*(('Traffic Data'!P53*$T134*$U134)/(($I134/2)*$S134))^$W134))</f>
        <v>68.602512850923659</v>
      </c>
      <c r="AE134" s="396">
        <f>$R134/(1+($V134*(('Traffic Data'!Q53*$T134*$U134)/(($I134/2)*$S134))^$W134))</f>
        <v>68.406808097768675</v>
      </c>
      <c r="AF134" s="396">
        <f>$R134/(1+($V134*(('Traffic Data'!R53*$T134*$U134)/(($I134/2)*$S134))^$W134))</f>
        <v>68.178346976186262</v>
      </c>
      <c r="AG134" s="396">
        <f>$R134/(1+($V134*(('Traffic Data'!S53*$T134*$U134)/(($I134/2)*$S134))^$W134))</f>
        <v>67.885575956749335</v>
      </c>
      <c r="AH134" s="396">
        <f>$R134/(1+($V134*(('Traffic Data'!T53*$T134*$U134)/(($I134/2)*$S134))^$W134))</f>
        <v>67.513900051545292</v>
      </c>
      <c r="AI134" s="396">
        <f>$R134/(1+($V134*(('Traffic Data'!U53*$T134*$U134)/(($I134/2)*$S134))^$W134))</f>
        <v>67.046390999525158</v>
      </c>
      <c r="AJ134" s="396">
        <f>$R134/(1+($V134*(('Traffic Data'!V53*$T134*$U134)/(($I134/2)*$S134))^$W134))</f>
        <v>66.463634258710584</v>
      </c>
      <c r="AK134" s="396">
        <f>$R134/(1+($V134*(('Traffic Data'!W53*$T134*$U134)/(($I134/2)*$S134))^$W134))</f>
        <v>65.930180554442344</v>
      </c>
      <c r="AL134" s="396">
        <f>$R134/(1+($V134*(('Traffic Data'!X53*$T134*$U134)/(($I134/2)*$S134))^$W134))</f>
        <v>65.448900253606325</v>
      </c>
      <c r="AM134" s="396">
        <f>$R134/(1+($V134*(('Traffic Data'!Y53*$T134*$U134)/(($I134/2)*$S134))^$W134))</f>
        <v>64.907787970885323</v>
      </c>
      <c r="AN134" s="396">
        <f>$R134/(1+($V134*(('Traffic Data'!Z53*$T134*$U134)/(($I134/2)*$S134))^$W134))</f>
        <v>64.301824440603596</v>
      </c>
      <c r="AO134" s="396">
        <f>$R134/(1+($V134*(('Traffic Data'!AA53*$T134*$U134)/(($I134/2)*$S134))^$W134))</f>
        <v>63.625924926356085</v>
      </c>
      <c r="AP134" s="396">
        <f>$R134/(1+($V134*(('Traffic Data'!AB53*$T134*$U134)/(($I134/2)*$S134))^$W134))</f>
        <v>62.875501447389126</v>
      </c>
      <c r="AQ134" s="396">
        <f>$R134/(1+($V134*(('Traffic Data'!AC53*$T134*$U134)/(($I134/2)*$S134))^$W134))</f>
        <v>62.04580023370108</v>
      </c>
      <c r="AR134" s="396">
        <f>$R134/(1+($V134*(('Traffic Data'!AD53*$T134*$U134)/(($I134/2)*$S134))^$W134))</f>
        <v>61.13302434537588</v>
      </c>
      <c r="AS134" s="396">
        <f>$R134/(1+($V134*(('Traffic Data'!AE53*$T134*$U134)/(($I134/2)*$S134))^$W134))</f>
        <v>60.133588924286251</v>
      </c>
      <c r="AT134" s="396">
        <f>$R134/(1+($V134*(('Traffic Data'!AF53*$T134*$U134)/(($I134/2)*$S134))^$W134))</f>
        <v>59.044631308147167</v>
      </c>
      <c r="AU134" s="396">
        <f>$R134/(1+($V134*(('Traffic Data'!AG53*$T134*$U134)/(($I134/2)*$S134))^$W134))</f>
        <v>57.864774536307792</v>
      </c>
      <c r="AV134" s="396">
        <f>$R134/(1+($V134*(('Traffic Data'!AH53*$T134*$U134)/(($I134/2)*$S134))^$W134))</f>
        <v>56.593238320545105</v>
      </c>
      <c r="AW134" s="385">
        <f>$R134/(1+($V134*(('Traffic Data'!AI53*$T134*$U134)/(($I134/2)*$S134))^$W134))</f>
        <v>55.230451199483852</v>
      </c>
      <c r="AX134" s="407">
        <f>$R134/(1+($V134*(('Traffic Data'!J53*(0.67/14))/(($I134)*$S134))^$W134))</f>
        <v>69.099999497319118</v>
      </c>
      <c r="AY134" s="396">
        <f>$R134/(1+($V134*(('Traffic Data'!J53*(0.67/14))/(($I134)*$S134))^$W134))</f>
        <v>69.099999497319118</v>
      </c>
      <c r="AZ134" s="396">
        <f>$R134/(1+($V134*(('Traffic Data'!K53*(0.67/14))/(($I134)*$S134))^$W134))</f>
        <v>69.099999374523392</v>
      </c>
      <c r="BA134" s="396">
        <f>$R134/(1+($V134*(('Traffic Data'!L53*(0.67/14))/(($I134)*$S134))^$W134))</f>
        <v>69.099999142873273</v>
      </c>
      <c r="BB134" s="396">
        <f>$R134/(1+($V134*(('Traffic Data'!M53*(0.67/14))/(($I134)*$S134))^$W134))</f>
        <v>69.099998739003652</v>
      </c>
      <c r="BC134" s="396">
        <f>$R134/(1+($V134*(('Traffic Data'!N53*(0.67/14))/(($I134)*$S134))^$W134))</f>
        <v>69.099998171070283</v>
      </c>
      <c r="BD134" s="396">
        <f>$R134/(1+($V134*(('Traffic Data'!O53*(0.67/14))/(($I134)*$S134))^$W134))</f>
        <v>69.099997382532933</v>
      </c>
      <c r="BE134" s="396">
        <f>$R134/(1+($V134*(('Traffic Data'!P53*(0.67/14))/(($I134)*$S134))^$W134))</f>
        <v>69.099996300512586</v>
      </c>
      <c r="BF134" s="396">
        <f>$R134/(1+($V134*(('Traffic Data'!Q53*(0.67/14))/(($I134)*$S134))^$W134))</f>
        <v>69.099994830436714</v>
      </c>
      <c r="BG134" s="396">
        <f>$R134/(1+($V134*(('Traffic Data'!R53*(0.67/14))/(($I134)*$S134))^$W134))</f>
        <v>69.099993103628066</v>
      </c>
      <c r="BH134" s="396">
        <f>$R134/(1+($V134*(('Traffic Data'!S53*(0.67/14))/(($I134)*$S134))^$W134))</f>
        <v>69.09999087374652</v>
      </c>
      <c r="BI134" s="396">
        <f>$R134/(1+($V134*(('Traffic Data'!T53*(0.67/14))/(($I134)*$S134))^$W134))</f>
        <v>69.099988015028288</v>
      </c>
      <c r="BJ134" s="396">
        <f>$R134/(1+($V134*(('Traffic Data'!U53*(0.67/14))/(($I134)*$S134))^$W134))</f>
        <v>69.099984374209768</v>
      </c>
      <c r="BK134" s="396">
        <f>$R134/(1+($V134*(('Traffic Data'!V53*(0.67/14))/(($I134)*$S134))^$W134))</f>
        <v>69.099979764162583</v>
      </c>
      <c r="BL134" s="396">
        <f>$R134/(1+($V134*(('Traffic Data'!W53*(0.67/14))/(($I134)*$S134))^$W134))</f>
        <v>69.09997547269451</v>
      </c>
      <c r="BM134" s="396">
        <f>$R134/(1+($V134*(('Traffic Data'!X53*(0.67/14))/(($I134)*$S134))^$W134))</f>
        <v>69.099971540917181</v>
      </c>
      <c r="BN134" s="396">
        <f>$R134/(1+($V134*(('Traffic Data'!Y53*(0.67/14))/(($I134)*$S134))^$W134))</f>
        <v>69.099967050717794</v>
      </c>
      <c r="BO134" s="396">
        <f>$R134/(1+($V134*(('Traffic Data'!Z53*(0.67/14))/(($I134)*$S134))^$W134))</f>
        <v>69.099961932677303</v>
      </c>
      <c r="BP134" s="396">
        <f>$R134/(1+($V134*(('Traffic Data'!AA53*(0.67/14))/(($I134)*$S134))^$W134))</f>
        <v>69.09995610893705</v>
      </c>
      <c r="BQ134" s="396">
        <f>$R134/(1+($V134*(('Traffic Data'!AB53*(0.67/14))/(($I134)*$S134))^$W134))</f>
        <v>69.099949496401308</v>
      </c>
      <c r="BR134" s="396">
        <f>$R134/(1+($V134*(('Traffic Data'!AC53*(0.67/14))/(($I134)*$S134))^$W134))</f>
        <v>69.099941999099869</v>
      </c>
      <c r="BS134" s="396">
        <f>$R134/(1+($V134*(('Traffic Data'!AD53*(0.67/14))/(($I134)*$S134))^$W134))</f>
        <v>69.09993351603309</v>
      </c>
      <c r="BT134" s="396">
        <f>$R134/(1+($V134*(('Traffic Data'!AE53*(0.67/14))/(($I134)*$S134))^$W134))</f>
        <v>69.09992393221377</v>
      </c>
      <c r="BU134" s="396">
        <f>$R134/(1+($V134*(('Traffic Data'!AF53*(0.67/14))/(($I134)*$S134))^$W134))</f>
        <v>69.099913120608178</v>
      </c>
      <c r="BV134" s="396">
        <f>$R134/(1+($V134*(('Traffic Data'!AG53*(0.67/14))/(($I134)*$S134))^$W134))</f>
        <v>69.099900947226971</v>
      </c>
      <c r="BW134" s="651">
        <f>$R134/(1+($V134*(('Traffic Data'!AH53*(0.67/14))/(($I134)*$S134))^$W134))</f>
        <v>69.099887259656327</v>
      </c>
    </row>
    <row r="135" spans="1:75" ht="21.95" customHeight="1" x14ac:dyDescent="0.2">
      <c r="A135" s="642"/>
      <c r="B135" s="288"/>
      <c r="C135" s="1413"/>
      <c r="D135" s="289" t="s">
        <v>347</v>
      </c>
      <c r="E135" s="289" t="s">
        <v>348</v>
      </c>
      <c r="F135" s="607">
        <f>'Traffic Data'!CM47</f>
        <v>0.78125</v>
      </c>
      <c r="G135" s="607">
        <f>'Traffic Data'!CN47</f>
        <v>0.9</v>
      </c>
      <c r="H135" s="608">
        <f>'Traffic Data'!G54</f>
        <v>55</v>
      </c>
      <c r="I135" s="608">
        <v>4</v>
      </c>
      <c r="J135" s="608">
        <f t="shared" si="10"/>
        <v>62</v>
      </c>
      <c r="K135" s="608">
        <v>0</v>
      </c>
      <c r="L135" s="608">
        <v>2.5</v>
      </c>
      <c r="M135" s="608">
        <v>0</v>
      </c>
      <c r="N135" s="608">
        <v>0.4</v>
      </c>
      <c r="O135" s="608">
        <v>0</v>
      </c>
      <c r="P135" s="608">
        <v>0</v>
      </c>
      <c r="Q135" s="608">
        <v>0</v>
      </c>
      <c r="R135" s="290">
        <f t="shared" si="4"/>
        <v>59.1</v>
      </c>
      <c r="S135" s="609">
        <f>M$21*F135*G135</f>
        <v>1546.875</v>
      </c>
      <c r="T135" s="610">
        <v>0.12</v>
      </c>
      <c r="U135" s="611">
        <v>0.65</v>
      </c>
      <c r="V135" s="612">
        <f t="shared" si="11"/>
        <v>0.05</v>
      </c>
      <c r="W135" s="613">
        <v>10</v>
      </c>
      <c r="X135" s="407">
        <f>$R135/(1+($V135*(('Traffic Data'!J54*$T135*$U135)/(($I135/2)*$S135))^$W135))</f>
        <v>59.009308891513932</v>
      </c>
      <c r="Y135" s="396">
        <f>$R135/(1+($V135*(('Traffic Data'!K54*$T135*$U135)/(($I135/2)*$S135))^$W135))</f>
        <v>58.987197000201441</v>
      </c>
      <c r="Z135" s="396">
        <f>$R135/(1+($V135*(('Traffic Data'!L54*$T135*$U135)/(($I135/2)*$S135))^$W135))</f>
        <v>58.945528726565954</v>
      </c>
      <c r="AA135" s="396">
        <f>$R135/(1+($V135*(('Traffic Data'!M54*$T135*$U135)/(($I135/2)*$S135))^$W135))</f>
        <v>58.873022927878154</v>
      </c>
      <c r="AB135" s="396">
        <f>$R135/(1+($V135*(('Traffic Data'!N54*$T135*$U135)/(($I135/2)*$S135))^$W135))</f>
        <v>58.771364391321178</v>
      </c>
      <c r="AC135" s="396">
        <f>$R135/(1+($V135*(('Traffic Data'!O54*$T135*$U135)/(($I135/2)*$S135))^$W135))</f>
        <v>58.630799061298291</v>
      </c>
      <c r="AD135" s="396">
        <f>$R135/(1+($V135*(('Traffic Data'!P54*$T135*$U135)/(($I135/2)*$S135))^$W135))</f>
        <v>58.439007959745048</v>
      </c>
      <c r="AE135" s="396">
        <f>$R135/(1+($V135*(('Traffic Data'!Q54*$T135*$U135)/(($I135/2)*$S135))^$W135))</f>
        <v>58.180434505558281</v>
      </c>
      <c r="AF135" s="396">
        <f>$R135/(1+($V135*(('Traffic Data'!R54*$T135*$U135)/(($I135/2)*$S135))^$W135))</f>
        <v>57.87961139600133</v>
      </c>
      <c r="AG135" s="396">
        <f>$R135/(1+($V135*(('Traffic Data'!S54*$T135*$U135)/(($I135/2)*$S135))^$W135))</f>
        <v>57.495720900908978</v>
      </c>
      <c r="AH135" s="396">
        <f>$R135/(1+($V135*(('Traffic Data'!T54*$T135*$U135)/(($I135/2)*$S135))^$W135))</f>
        <v>57.010957657304381</v>
      </c>
      <c r="AI135" s="396">
        <f>$R135/(1+($V135*(('Traffic Data'!U54*$T135*$U135)/(($I135/2)*$S135))^$W135))</f>
        <v>56.405279885378057</v>
      </c>
      <c r="AJ135" s="396">
        <f>$R135/(1+($V135*(('Traffic Data'!V54*$T135*$U135)/(($I135/2)*$S135))^$W135))</f>
        <v>55.656582650478214</v>
      </c>
      <c r="AK135" s="396">
        <f>$R135/(1+($V135*(('Traffic Data'!W54*$T135*$U135)/(($I135/2)*$S135))^$W135))</f>
        <v>54.977269214414385</v>
      </c>
      <c r="AL135" s="396">
        <f>$R135/(1+($V135*(('Traffic Data'!X54*$T135*$U135)/(($I135/2)*$S135))^$W135))</f>
        <v>54.369287674319118</v>
      </c>
      <c r="AM135" s="396">
        <f>$R135/(1+($V135*(('Traffic Data'!Y54*$T135*$U135)/(($I135/2)*$S135))^$W135))</f>
        <v>53.691198070003203</v>
      </c>
      <c r="AN135" s="396">
        <f>$R135/(1+($V135*(('Traffic Data'!Z54*$T135*$U135)/(($I135/2)*$S135))^$W135))</f>
        <v>52.938632552274143</v>
      </c>
      <c r="AO135" s="396">
        <f>$R135/(1+($V135*(('Traffic Data'!AA54*$T135*$U135)/(($I135/2)*$S135))^$W135))</f>
        <v>52.107557427510997</v>
      </c>
      <c r="AP135" s="396">
        <f>$R135/(1+($V135*(('Traffic Data'!AB54*$T135*$U135)/(($I135/2)*$S135))^$W135))</f>
        <v>51.194997893058947</v>
      </c>
      <c r="AQ135" s="396">
        <f>$R135/(1+($V135*(('Traffic Data'!AC54*$T135*$U135)/(($I135/2)*$S135))^$W135))</f>
        <v>50.198248262259597</v>
      </c>
      <c r="AR135" s="396">
        <f>$R135/(1+($V135*(('Traffic Data'!AD54*$T135*$U135)/(($I135/2)*$S135))^$W135))</f>
        <v>49.116237309107696</v>
      </c>
      <c r="AS135" s="396">
        <f>$R135/(1+($V135*(('Traffic Data'!AE54*$T135*$U135)/(($I135/2)*$S135))^$W135))</f>
        <v>47.948608119204295</v>
      </c>
      <c r="AT135" s="396">
        <f>$R135/(1+($V135*(('Traffic Data'!AF54*$T135*$U135)/(($I135/2)*$S135))^$W135))</f>
        <v>46.69629203999375</v>
      </c>
      <c r="AU135" s="396">
        <f>$R135/(1+($V135*(('Traffic Data'!AG54*$T135*$U135)/(($I135/2)*$S135))^$W135))</f>
        <v>45.362297158409071</v>
      </c>
      <c r="AV135" s="396">
        <f>$R135/(1+($V135*(('Traffic Data'!AH54*$T135*$U135)/(($I135/2)*$S135))^$W135))</f>
        <v>43.950567406607256</v>
      </c>
      <c r="AW135" s="385">
        <f>$R135/(1+($V135*(('Traffic Data'!AI54*$T135*$U135)/(($I135/2)*$S135))^$W135))</f>
        <v>42.46655173688626</v>
      </c>
      <c r="AX135" s="407">
        <f>$R135/(1+($V135*(('Traffic Data'!J54*(0.67/14))/(($I135)*$S135))^$W135))</f>
        <v>59.099999329415759</v>
      </c>
      <c r="AY135" s="396">
        <f>$R135/(1+($V135*(('Traffic Data'!J54*(0.67/14))/(($I135)*$S135))^$W135))</f>
        <v>59.099999329415759</v>
      </c>
      <c r="AZ135" s="396">
        <f>$R135/(1+($V135*(('Traffic Data'!K54*(0.67/14))/(($I135)*$S135))^$W135))</f>
        <v>59.099999165604316</v>
      </c>
      <c r="BA135" s="396">
        <f>$R135/(1+($V135*(('Traffic Data'!L54*(0.67/14))/(($I135)*$S135))^$W135))</f>
        <v>59.099998856579383</v>
      </c>
      <c r="BB135" s="396">
        <f>$R135/(1+($V135*(('Traffic Data'!M54*(0.67/14))/(($I135)*$S135))^$W135))</f>
        <v>59.099998317810929</v>
      </c>
      <c r="BC135" s="396">
        <f>$R135/(1+($V135*(('Traffic Data'!N54*(0.67/14))/(($I135)*$S135))^$W135))</f>
        <v>59.099997560178835</v>
      </c>
      <c r="BD135" s="396">
        <f>$R135/(1+($V135*(('Traffic Data'!O54*(0.67/14))/(($I135)*$S135))^$W135))</f>
        <v>59.099996508257568</v>
      </c>
      <c r="BE135" s="396">
        <f>$R135/(1+($V135*(('Traffic Data'!P54*(0.67/14))/(($I135)*$S135))^$W135))</f>
        <v>59.099995064825357</v>
      </c>
      <c r="BF135" s="396">
        <f>$R135/(1+($V135*(('Traffic Data'!Q54*(0.67/14))/(($I135)*$S135))^$W135))</f>
        <v>59.099993103721012</v>
      </c>
      <c r="BG135" s="396">
        <f>$R135/(1+($V135*(('Traffic Data'!R54*(0.67/14))/(($I135)*$S135))^$W135))</f>
        <v>59.099990800131145</v>
      </c>
      <c r="BH135" s="396">
        <f>$R135/(1+($V135*(('Traffic Data'!S54*(0.67/14))/(($I135)*$S135))^$W135))</f>
        <v>59.099987825434241</v>
      </c>
      <c r="BI135" s="396">
        <f>$R135/(1+($V135*(('Traffic Data'!T54*(0.67/14))/(($I135)*$S135))^$W135))</f>
        <v>59.099984011859483</v>
      </c>
      <c r="BJ135" s="396">
        <f>$R135/(1+($V135*(('Traffic Data'!U54*(0.67/14))/(($I135)*$S135))^$W135))</f>
        <v>59.099979154951015</v>
      </c>
      <c r="BK135" s="396">
        <f>$R135/(1+($V135*(('Traffic Data'!V54*(0.67/14))/(($I135)*$S135))^$W135))</f>
        <v>59.099973005076848</v>
      </c>
      <c r="BL135" s="396">
        <f>$R135/(1+($V135*(('Traffic Data'!W54*(0.67/14))/(($I135)*$S135))^$W135))</f>
        <v>59.099967280192551</v>
      </c>
      <c r="BM135" s="396">
        <f>$R135/(1+($V135*(('Traffic Data'!X54*(0.67/14))/(($I135)*$S135))^$W135))</f>
        <v>59.099962035141552</v>
      </c>
      <c r="BN135" s="396">
        <f>$R135/(1+($V135*(('Traffic Data'!Y54*(0.67/14))/(($I135)*$S135))^$W135))</f>
        <v>59.099956045147451</v>
      </c>
      <c r="BO135" s="396">
        <f>$R135/(1+($V135*(('Traffic Data'!Z54*(0.67/14))/(($I135)*$S135))^$W135))</f>
        <v>59.099949217604305</v>
      </c>
      <c r="BP135" s="396">
        <f>$R135/(1+($V135*(('Traffic Data'!AA54*(0.67/14))/(($I135)*$S135))^$W135))</f>
        <v>59.099941448647733</v>
      </c>
      <c r="BQ135" s="396">
        <f>$R135/(1+($V135*(('Traffic Data'!AB54*(0.67/14))/(($I135)*$S135))^$W135))</f>
        <v>59.099932627427094</v>
      </c>
      <c r="BR135" s="396">
        <f>$R135/(1+($V135*(('Traffic Data'!AC54*(0.67/14))/(($I135)*$S135))^$W135))</f>
        <v>59.099922625917017</v>
      </c>
      <c r="BS135" s="396">
        <f>$R135/(1+($V135*(('Traffic Data'!AD54*(0.67/14))/(($I135)*$S135))^$W135))</f>
        <v>59.099911309382982</v>
      </c>
      <c r="BT135" s="396">
        <f>$R135/(1+($V135*(('Traffic Data'!AE54*(0.67/14))/(($I135)*$S135))^$W135))</f>
        <v>59.099898524431012</v>
      </c>
      <c r="BU135" s="396">
        <f>$R135/(1+($V135*(('Traffic Data'!AF54*(0.67/14))/(($I135)*$S135))^$W135))</f>
        <v>59.099884101596956</v>
      </c>
      <c r="BV135" s="396">
        <f>$R135/(1+($V135*(('Traffic Data'!AG54*(0.67/14))/(($I135)*$S135))^$W135))</f>
        <v>59.09986786213809</v>
      </c>
      <c r="BW135" s="651">
        <f>$R135/(1+($V135*(('Traffic Data'!AH54*(0.67/14))/(($I135)*$S135))^$W135))</f>
        <v>59.099849602733407</v>
      </c>
    </row>
    <row r="136" spans="1:75" ht="21.95" customHeight="1" x14ac:dyDescent="0.2">
      <c r="A136" s="642"/>
      <c r="B136" s="288"/>
      <c r="C136" s="1413"/>
      <c r="D136" s="289" t="s">
        <v>348</v>
      </c>
      <c r="E136" s="289" t="s">
        <v>349</v>
      </c>
      <c r="F136" s="607">
        <f>'Traffic Data'!CM47</f>
        <v>0.78125</v>
      </c>
      <c r="G136" s="607">
        <f>'Traffic Data'!CN47</f>
        <v>0.9</v>
      </c>
      <c r="H136" s="615">
        <f>'Traffic Data'!G55</f>
        <v>55</v>
      </c>
      <c r="I136" s="608">
        <v>4</v>
      </c>
      <c r="J136" s="615">
        <f t="shared" si="10"/>
        <v>62</v>
      </c>
      <c r="K136" s="615">
        <v>0</v>
      </c>
      <c r="L136" s="615">
        <v>2.5</v>
      </c>
      <c r="M136" s="608">
        <v>0</v>
      </c>
      <c r="N136" s="615">
        <v>0.4</v>
      </c>
      <c r="O136" s="615">
        <v>0</v>
      </c>
      <c r="P136" s="615">
        <v>0</v>
      </c>
      <c r="Q136" s="615">
        <v>0</v>
      </c>
      <c r="R136" s="303">
        <f t="shared" si="4"/>
        <v>59.1</v>
      </c>
      <c r="S136" s="609">
        <f>M$21*G136*F136</f>
        <v>1546.875</v>
      </c>
      <c r="T136" s="610">
        <v>0.12</v>
      </c>
      <c r="U136" s="611">
        <v>0.65</v>
      </c>
      <c r="V136" s="616">
        <f t="shared" si="11"/>
        <v>0.05</v>
      </c>
      <c r="W136" s="613">
        <v>10</v>
      </c>
      <c r="X136" s="407">
        <f>$R136/(1+($V136*(('Traffic Data'!J55*$T136*$U136)/(($I136/2)*$S136))^$W136))</f>
        <v>58.7567414573777</v>
      </c>
      <c r="Y136" s="396">
        <f>$R136/(1+($V136*(('Traffic Data'!K55*$T136*$U136)/(($I136/2)*$S136))^$W136))</f>
        <v>58.666023625896827</v>
      </c>
      <c r="Z136" s="396">
        <f>$R136/(1+($V136*(('Traffic Data'!L55*$T136*$U136)/(($I136/2)*$S136))^$W136))</f>
        <v>58.504648398108976</v>
      </c>
      <c r="AA136" s="396">
        <f>$R136/(1+($V136*(('Traffic Data'!M55*$T136*$U136)/(($I136/2)*$S136))^$W136))</f>
        <v>58.208864672459995</v>
      </c>
      <c r="AB136" s="396">
        <f>$R136/(1+($V136*(('Traffic Data'!N55*$T136*$U136)/(($I136/2)*$S136))^$W136))</f>
        <v>57.790017706889039</v>
      </c>
      <c r="AC136" s="396">
        <f>$R136/(1+($V136*(('Traffic Data'!O55*$T136*$U136)/(($I136/2)*$S136))^$W136))</f>
        <v>57.208087548465706</v>
      </c>
      <c r="AD136" s="396">
        <f>$R136/(1+($V136*(('Traffic Data'!P55*$T136*$U136)/(($I136/2)*$S136))^$W136))</f>
        <v>56.415593968511743</v>
      </c>
      <c r="AE136" s="396">
        <f>$R136/(1+($V136*(('Traffic Data'!Q55*$T136*$U136)/(($I136/2)*$S136))^$W136))</f>
        <v>55.357445162192178</v>
      </c>
      <c r="AF136" s="396">
        <f>$R136/(1+($V136*(('Traffic Data'!R55*$T136*$U136)/(($I136/2)*$S136))^$W136))</f>
        <v>54.047293024344299</v>
      </c>
      <c r="AG136" s="396">
        <f>$R136/(1+($V136*(('Traffic Data'!S55*$T136*$U136)/(($I136/2)*$S136))^$W136))</f>
        <v>52.395204928997302</v>
      </c>
      <c r="AH136" s="396">
        <f>$R136/(1+($V136*(('Traffic Data'!T55*$T136*$U136)/(($I136/2)*$S136))^$W136))</f>
        <v>50.362455920665731</v>
      </c>
      <c r="AI136" s="396">
        <f>$R136/(1+($V136*(('Traffic Data'!U55*$T136*$U136)/(($I136/2)*$S136))^$W136))</f>
        <v>47.927490023640047</v>
      </c>
      <c r="AJ136" s="396">
        <f>$R136/(1+($V136*(('Traffic Data'!V55*$T136*$U136)/(($I136/2)*$S136))^$W136))</f>
        <v>45.092857249595966</v>
      </c>
      <c r="AK136" s="396">
        <f>$R136/(1+($V136*(('Traffic Data'!W55*$T136*$U136)/(($I136/2)*$S136))^$W136))</f>
        <v>42.757121850661385</v>
      </c>
      <c r="AL136" s="396">
        <f>$R136/(1+($V136*(('Traffic Data'!X55*$T136*$U136)/(($I136/2)*$S136))^$W136))</f>
        <v>40.849797446708081</v>
      </c>
      <c r="AM136" s="396">
        <f>$R136/(1+($V136*(('Traffic Data'!Y55*$T136*$U136)/(($I136/2)*$S136))^$W136))</f>
        <v>38.857338507664856</v>
      </c>
      <c r="AN136" s="396">
        <f>$R136/(1+($V136*(('Traffic Data'!Z55*$T136*$U136)/(($I136/2)*$S136))^$W136))</f>
        <v>36.798565199850039</v>
      </c>
      <c r="AO136" s="396">
        <f>$R136/(1+($V136*(('Traffic Data'!AA55*$T136*$U136)/(($I136/2)*$S136))^$W136))</f>
        <v>34.693989446626723</v>
      </c>
      <c r="AP136" s="396">
        <f>$R136/(1+($V136*(('Traffic Data'!AB55*$T136*$U136)/(($I136/2)*$S136))^$W136))</f>
        <v>32.566622166207132</v>
      </c>
      <c r="AQ136" s="396">
        <f>$R136/(1+($V136*(('Traffic Data'!AC55*$T136*$U136)/(($I136/2)*$S136))^$W136))</f>
        <v>30.4381387123425</v>
      </c>
      <c r="AR136" s="396">
        <f>$R136/(1+($V136*(('Traffic Data'!AD55*$T136*$U136)/(($I136/2)*$S136))^$W136))</f>
        <v>28.331266141812385</v>
      </c>
      <c r="AS136" s="396">
        <f>$R136/(1+($V136*(('Traffic Data'!AE55*$T136*$U136)/(($I136/2)*$S136))^$W136))</f>
        <v>26.266011663519865</v>
      </c>
      <c r="AT136" s="396">
        <f>$R136/(1+($V136*(('Traffic Data'!AF55*$T136*$U136)/(($I136/2)*$S136))^$W136))</f>
        <v>24.260248277764166</v>
      </c>
      <c r="AU136" s="396">
        <f>$R136/(1+($V136*(('Traffic Data'!AG55*$T136*$U136)/(($I136/2)*$S136))^$W136))</f>
        <v>22.330345809069733</v>
      </c>
      <c r="AV136" s="396">
        <f>$R136/(1+($V136*(('Traffic Data'!AH55*$T136*$U136)/(($I136/2)*$S136))^$W136))</f>
        <v>20.488499824138039</v>
      </c>
      <c r="AW136" s="385">
        <f>$R136/(1+($V136*(('Traffic Data'!AI55*$T136*$U136)/(($I136/2)*$S136))^$W136))</f>
        <v>18.743886289291154</v>
      </c>
      <c r="AX136" s="407">
        <f>$R136/(1+($V136*(('Traffic Data'!J55*(0.67/14))/(($I136)*$S136))^$W136))</f>
        <v>59.099997450982599</v>
      </c>
      <c r="AY136" s="396">
        <f>$R136/(1+($V136*(('Traffic Data'!J55*(0.67/14))/(($I136)*$S136))^$W136))</f>
        <v>59.099997450982599</v>
      </c>
      <c r="AZ136" s="396">
        <f>$R136/(1+($V136*(('Traffic Data'!K55*(0.67/14))/(($I136)*$S136))^$W136))</f>
        <v>59.09999677233408</v>
      </c>
      <c r="BA136" s="396">
        <f>$R136/(1+($V136*(('Traffic Data'!L55*(0.67/14))/(($I136)*$S136))^$W136))</f>
        <v>59.099995559904748</v>
      </c>
      <c r="BB136" s="396">
        <f>$R136/(1+($V136*(('Traffic Data'!M55*(0.67/14))/(($I136)*$S136))^$W136))</f>
        <v>59.099993320197065</v>
      </c>
      <c r="BC136" s="396">
        <f>$R136/(1+($V136*(('Traffic Data'!N55*(0.67/14))/(($I136)*$S136))^$W136))</f>
        <v>59.09999010942154</v>
      </c>
      <c r="BD136" s="396">
        <f>$R136/(1+($V136*(('Traffic Data'!O55*(0.67/14))/(($I136)*$S136))^$W136))</f>
        <v>59.099985570453995</v>
      </c>
      <c r="BE136" s="396">
        <f>$R136/(1+($V136*(('Traffic Data'!P55*(0.67/14))/(($I136)*$S136))^$W136))</f>
        <v>59.099979238532114</v>
      </c>
      <c r="BF136" s="396">
        <f>$R136/(1+($V136*(('Traffic Data'!Q55*(0.67/14))/(($I136)*$S136))^$W136))</f>
        <v>59.099970501421737</v>
      </c>
      <c r="BG136" s="396">
        <f>$R136/(1+($V136*(('Traffic Data'!R55*(0.67/14))/(($I136)*$S136))^$W136))</f>
        <v>59.099959209499573</v>
      </c>
      <c r="BH136" s="396">
        <f>$R136/(1+($V136*(('Traffic Data'!S55*(0.67/14))/(($I136)*$S136))^$W136))</f>
        <v>59.09994416548831</v>
      </c>
      <c r="BI136" s="396">
        <f>$R136/(1+($V136*(('Traffic Data'!T55*(0.67/14))/(($I136)*$S136))^$W136))</f>
        <v>59.099924300834715</v>
      </c>
      <c r="BJ136" s="396">
        <f>$R136/(1+($V136*(('Traffic Data'!U55*(0.67/14))/(($I136)*$S136))^$W136))</f>
        <v>59.099898287463276</v>
      </c>
      <c r="BK136" s="396">
        <f>$R136/(1+($V136*(('Traffic Data'!V55*(0.67/14))/(($I136)*$S136))^$W136))</f>
        <v>59.099864465464535</v>
      </c>
      <c r="BL136" s="396">
        <f>$R136/(1+($V136*(('Traffic Data'!W55*(0.67/14))/(($I136)*$S136))^$W136))</f>
        <v>59.099833226124424</v>
      </c>
      <c r="BM136" s="396">
        <f>$R136/(1+($V136*(('Traffic Data'!X55*(0.67/14))/(($I136)*$S136))^$W136))</f>
        <v>59.099805066932667</v>
      </c>
      <c r="BN136" s="396">
        <f>$R136/(1+($V136*(('Traffic Data'!Y55*(0.67/14))/(($I136)*$S136))^$W136))</f>
        <v>59.099772698626936</v>
      </c>
      <c r="BO136" s="396">
        <f>$R136/(1+($V136*(('Traffic Data'!Z55*(0.67/14))/(($I136)*$S136))^$W136))</f>
        <v>59.099735570962729</v>
      </c>
      <c r="BP136" s="396">
        <f>$R136/(1+($V136*(('Traffic Data'!AA55*(0.67/14))/(($I136)*$S136))^$W136))</f>
        <v>59.099693062844011</v>
      </c>
      <c r="BQ136" s="396">
        <f>$R136/(1+($V136*(('Traffic Data'!AB55*(0.67/14))/(($I136)*$S136))^$W136))</f>
        <v>59.099644510824575</v>
      </c>
      <c r="BR136" s="396">
        <f>$R136/(1+($V136*(('Traffic Data'!AC55*(0.67/14))/(($I136)*$S136))^$W136))</f>
        <v>59.099589141339081</v>
      </c>
      <c r="BS136" s="396">
        <f>$R136/(1+($V136*(('Traffic Data'!AD55*(0.67/14))/(($I136)*$S136))^$W136))</f>
        <v>59.099526140789145</v>
      </c>
      <c r="BT136" s="396">
        <f>$R136/(1+($V136*(('Traffic Data'!AE55*(0.67/14))/(($I136)*$S136))^$W136))</f>
        <v>59.099454575469693</v>
      </c>
      <c r="BU136" s="396">
        <f>$R136/(1+($V136*(('Traffic Data'!AF55*(0.67/14))/(($I136)*$S136))^$W136))</f>
        <v>59.099373408681473</v>
      </c>
      <c r="BV136" s="396">
        <f>$R136/(1+($V136*(('Traffic Data'!AG55*(0.67/14))/(($I136)*$S136))^$W136))</f>
        <v>59.099281547624898</v>
      </c>
      <c r="BW136" s="651">
        <f>$R136/(1+($V136*(('Traffic Data'!AH55*(0.67/14))/(($I136)*$S136))^$W136))</f>
        <v>59.099177739097769</v>
      </c>
    </row>
    <row r="137" spans="1:75" ht="21.95" customHeight="1" x14ac:dyDescent="0.2">
      <c r="A137" s="642"/>
      <c r="B137" s="288"/>
      <c r="C137" s="310" t="s">
        <v>288</v>
      </c>
      <c r="D137" s="310" t="s">
        <v>323</v>
      </c>
      <c r="E137" s="310" t="s">
        <v>348</v>
      </c>
      <c r="F137" s="626">
        <f>'Traffic Data'!CM56</f>
        <v>0.83333333333333337</v>
      </c>
      <c r="G137" s="626">
        <f>'Traffic Data'!CN56</f>
        <v>0.88</v>
      </c>
      <c r="H137" s="627">
        <f>'Traffic Data'!G56</f>
        <v>30</v>
      </c>
      <c r="I137" s="619">
        <v>2</v>
      </c>
      <c r="J137" s="627">
        <f t="shared" si="10"/>
        <v>37</v>
      </c>
      <c r="K137" s="615">
        <v>4.2</v>
      </c>
      <c r="L137" s="615">
        <v>5</v>
      </c>
      <c r="M137" s="627">
        <v>0</v>
      </c>
      <c r="N137" s="615">
        <v>0</v>
      </c>
      <c r="O137" s="615">
        <v>0</v>
      </c>
      <c r="P137" s="615">
        <v>0</v>
      </c>
      <c r="Q137" s="615">
        <v>0</v>
      </c>
      <c r="R137" s="311">
        <f t="shared" si="4"/>
        <v>27.799999999999997</v>
      </c>
      <c r="S137" s="620">
        <f>N$28*G137*F137</f>
        <v>586.66666666666674</v>
      </c>
      <c r="T137" s="621">
        <v>0.12</v>
      </c>
      <c r="U137" s="622">
        <v>0.65</v>
      </c>
      <c r="V137" s="612">
        <f t="shared" ref="V137:V157" si="12">$E$31</f>
        <v>0.2</v>
      </c>
      <c r="W137" s="634">
        <v>10</v>
      </c>
      <c r="X137" s="410">
        <f>$R137/(1+($V137*(('Traffic Data'!J56*$T137*$U137)/(($I137/2)*$S137))^$W137))</f>
        <v>27.799996573650304</v>
      </c>
      <c r="Y137" s="389">
        <f>$R137/(1+($V137*(('Traffic Data'!K56*$T137*$U137)/(($I137/2)*$S137))^$W137))</f>
        <v>27.799993777195358</v>
      </c>
      <c r="Z137" s="389">
        <f>$R137/(1+($V137*(('Traffic Data'!L56*$T137*$U137)/(($I137/2)*$S137))^$W137))</f>
        <v>27.799986975349313</v>
      </c>
      <c r="AA137" s="389">
        <f>$R137/(1+($V137*(('Traffic Data'!M56*$T137*$U137)/(($I137/2)*$S137))^$W137))</f>
        <v>27.799967833461142</v>
      </c>
      <c r="AB137" s="389">
        <f>$R137/(1+($V137*(('Traffic Data'!N56*$T137*$U137)/(($I137/2)*$S137))^$W137))</f>
        <v>27.799926281669954</v>
      </c>
      <c r="AC137" s="389">
        <f>$R137/(1+($V137*(('Traffic Data'!O56*$T137*$U137)/(($I137/2)*$S137))^$W137))</f>
        <v>27.799841203645585</v>
      </c>
      <c r="AD137" s="389">
        <f>$R137/(1+($V137*(('Traffic Data'!P56*$T137*$U137)/(($I137/2)*$S137))^$W137))</f>
        <v>27.79967669831025</v>
      </c>
      <c r="AE137" s="389">
        <f>$R137/(1+($V137*(('Traffic Data'!Q56*$T137*$U137)/(($I137/2)*$S137))^$W137))</f>
        <v>27.799371694072853</v>
      </c>
      <c r="AF137" s="389">
        <f>$R137/(1+($V137*(('Traffic Data'!R56*$T137*$U137)/(($I137/2)*$S137))^$W137))</f>
        <v>27.798889403167927</v>
      </c>
      <c r="AG137" s="389">
        <f>$R137/(1+($V137*(('Traffic Data'!S56*$T137*$U137)/(($I137/2)*$S137))^$W137))</f>
        <v>27.798097133959946</v>
      </c>
      <c r="AH137" s="389">
        <f>$R137/(1+($V137*(('Traffic Data'!T56*$T137*$U137)/(($I137/2)*$S137))^$W137))</f>
        <v>27.796826817912002</v>
      </c>
      <c r="AI137" s="389">
        <f>$R137/(1+($V137*(('Traffic Data'!U56*$T137*$U137)/(($I137/2)*$S137))^$W137))</f>
        <v>27.794838802109531</v>
      </c>
      <c r="AJ137" s="389">
        <f>$R137/(1+($V137*(('Traffic Data'!V56*$T137*$U137)/(($I137/2)*$S137))^$W137))</f>
        <v>27.791779783853919</v>
      </c>
      <c r="AK137" s="389">
        <f>$R137/(1+($V137*(('Traffic Data'!W56*$T137*$U137)/(($I137/2)*$S137))^$W137))</f>
        <v>27.788628027983805</v>
      </c>
      <c r="AL137" s="389">
        <f>$R137/(1+($V137*(('Traffic Data'!X56*$T137*$U137)/(($I137/2)*$S137))^$W137))</f>
        <v>27.785110132339646</v>
      </c>
      <c r="AM137" s="389">
        <f>$R137/(1+($V137*(('Traffic Data'!Y56*$T137*$U137)/(($I137/2)*$S137))^$W137))</f>
        <v>27.780642207182566</v>
      </c>
      <c r="AN137" s="389">
        <f>$R137/(1+($V137*(('Traffic Data'!Z56*$T137*$U137)/(($I137/2)*$S137))^$W137))</f>
        <v>27.775003183800138</v>
      </c>
      <c r="AO137" s="389">
        <f>$R137/(1+($V137*(('Traffic Data'!AA56*$T137*$U137)/(($I137/2)*$S137))^$W137))</f>
        <v>27.76791997141747</v>
      </c>
      <c r="AP137" s="389">
        <f>$R137/(1+($V137*(('Traffic Data'!AB56*$T137*$U137)/(($I137/2)*$S137))^$W137))</f>
        <v>27.759092642523797</v>
      </c>
      <c r="AQ137" s="389">
        <f>$R137/(1+($V137*(('Traffic Data'!AC56*$T137*$U137)/(($I137/2)*$S137))^$W137))</f>
        <v>27.748111473844421</v>
      </c>
      <c r="AR137" s="389">
        <f>$R137/(1+($V137*(('Traffic Data'!AD56*$T137*$U137)/(($I137/2)*$S137))^$W137))</f>
        <v>27.734588856677664</v>
      </c>
      <c r="AS137" s="389">
        <f>$R137/(1+($V137*(('Traffic Data'!AE56*$T137*$U137)/(($I137/2)*$S137))^$W137))</f>
        <v>27.717984203552998</v>
      </c>
      <c r="AT137" s="389">
        <f>$R137/(1+($V137*(('Traffic Data'!AF56*$T137*$U137)/(($I137/2)*$S137))^$W137))</f>
        <v>27.697669897651004</v>
      </c>
      <c r="AU137" s="389">
        <f>$R137/(1+($V137*(('Traffic Data'!AG56*$T137*$U137)/(($I137/2)*$S137))^$W137))</f>
        <v>27.672987919462162</v>
      </c>
      <c r="AV137" s="389">
        <f>$R137/(1+($V137*(('Traffic Data'!AH56*$T137*$U137)/(($I137/2)*$S137))^$W137))</f>
        <v>27.643107025794087</v>
      </c>
      <c r="AW137" s="390">
        <f>$R137/(1+($V137*(('Traffic Data'!AI56*$T137*$U137)/(($I137/2)*$S137))^$W137))</f>
        <v>27.606997205878951</v>
      </c>
      <c r="AX137" s="410">
        <f>$R137/(1+($V137*(('Traffic Data'!J56*(0.67/14))/(($I137)*$S137))^$W137))</f>
        <v>27.799999999974702</v>
      </c>
      <c r="AY137" s="389">
        <f>$R137/(1+($V137*(('Traffic Data'!J56*(0.67/14))/(($I137)*$S137))^$W137))</f>
        <v>27.799999999974702</v>
      </c>
      <c r="AZ137" s="389">
        <f>$R137/(1+($V137*(('Traffic Data'!K56*(0.67/14))/(($I137)*$S137))^$W137))</f>
        <v>27.799999999954053</v>
      </c>
      <c r="BA137" s="389">
        <f>$R137/(1+($V137*(('Traffic Data'!L56*(0.67/14))/(($I137)*$S137))^$W137))</f>
        <v>27.799999999903836</v>
      </c>
      <c r="BB137" s="389">
        <f>$R137/(1+($V137*(('Traffic Data'!M56*(0.67/14))/(($I137)*$S137))^$W137))</f>
        <v>27.799999999762516</v>
      </c>
      <c r="BC137" s="389">
        <f>$R137/(1+($V137*(('Traffic Data'!N56*(0.67/14))/(($I137)*$S137))^$W137))</f>
        <v>27.79999999945575</v>
      </c>
      <c r="BD137" s="389">
        <f>$R137/(1+($V137*(('Traffic Data'!O56*(0.67/14))/(($I137)*$S137))^$W137))</f>
        <v>27.799999998827627</v>
      </c>
      <c r="BE137" s="389">
        <f>$R137/(1+($V137*(('Traffic Data'!P56*(0.67/14))/(($I137)*$S137))^$W137))</f>
        <v>27.799999997613096</v>
      </c>
      <c r="BF137" s="389">
        <f>$R137/(1+($V137*(('Traffic Data'!Q56*(0.67/14))/(($I137)*$S137))^$W137))</f>
        <v>27.799999995361233</v>
      </c>
      <c r="BG137" s="389">
        <f>$R137/(1+($V137*(('Traffic Data'!R56*(0.67/14))/(($I137)*$S137))^$W137))</f>
        <v>27.799999991800341</v>
      </c>
      <c r="BH137" s="389">
        <f>$R137/(1+($V137*(('Traffic Data'!S56*(0.67/14))/(($I137)*$S137))^$W137))</f>
        <v>27.799999985950539</v>
      </c>
      <c r="BI137" s="389">
        <f>$R137/(1+($V137*(('Traffic Data'!T56*(0.67/14))/(($I137)*$S137))^$W137))</f>
        <v>27.799999976570323</v>
      </c>
      <c r="BJ137" s="389">
        <f>$R137/(1+($V137*(('Traffic Data'!U56*(0.67/14))/(($I137)*$S137))^$W137))</f>
        <v>27.799999961888776</v>
      </c>
      <c r="BK137" s="389">
        <f>$R137/(1+($V137*(('Traffic Data'!V56*(0.67/14))/(($I137)*$S137))^$W137))</f>
        <v>27.799999939293752</v>
      </c>
      <c r="BL137" s="389">
        <f>$R137/(1+($V137*(('Traffic Data'!W56*(0.67/14))/(($I137)*$S137))^$W137))</f>
        <v>27.799999916008534</v>
      </c>
      <c r="BM137" s="389">
        <f>$R137/(1+($V137*(('Traffic Data'!X56*(0.67/14))/(($I137)*$S137))^$W137))</f>
        <v>27.799999890012025</v>
      </c>
      <c r="BN137" s="389">
        <f>$R137/(1+($V137*(('Traffic Data'!Y56*(0.67/14))/(($I137)*$S137))^$W137))</f>
        <v>27.799999856985512</v>
      </c>
      <c r="BO137" s="389">
        <f>$R137/(1+($V137*(('Traffic Data'!Z56*(0.67/14))/(($I137)*$S137))^$W137))</f>
        <v>27.799999815287169</v>
      </c>
      <c r="BP137" s="389">
        <f>$R137/(1+($V137*(('Traffic Data'!AA56*(0.67/14))/(($I137)*$S137))^$W137))</f>
        <v>27.799999762885626</v>
      </c>
      <c r="BQ137" s="389">
        <f>$R137/(1+($V137*(('Traffic Data'!AB56*(0.67/14))/(($I137)*$S137))^$W137))</f>
        <v>27.799999697543697</v>
      </c>
      <c r="BR137" s="389">
        <f>$R137/(1+($V137*(('Traffic Data'!AC56*(0.67/14))/(($I137)*$S137))^$W137))</f>
        <v>27.79999961620052</v>
      </c>
      <c r="BS137" s="389">
        <f>$R137/(1+($V137*(('Traffic Data'!AD56*(0.67/14))/(($I137)*$S137))^$W137))</f>
        <v>27.799999515943021</v>
      </c>
      <c r="BT137" s="389">
        <f>$R137/(1+($V137*(('Traffic Data'!AE56*(0.67/14))/(($I137)*$S137))^$W137))</f>
        <v>27.799999392701316</v>
      </c>
      <c r="BU137" s="389">
        <f>$R137/(1+($V137*(('Traffic Data'!AF56*(0.67/14))/(($I137)*$S137))^$W137))</f>
        <v>27.79999924172516</v>
      </c>
      <c r="BV137" s="389">
        <f>$R137/(1+($V137*(('Traffic Data'!AG56*(0.67/14))/(($I137)*$S137))^$W137))</f>
        <v>27.799999057990149</v>
      </c>
      <c r="BW137" s="654">
        <f>$R137/(1+($V137*(('Traffic Data'!AH56*(0.67/14))/(($I137)*$S137))^$W137))</f>
        <v>27.799998835114856</v>
      </c>
    </row>
    <row r="138" spans="1:75" ht="21.95" customHeight="1" x14ac:dyDescent="0.2">
      <c r="A138" s="642"/>
      <c r="B138" s="288"/>
      <c r="C138" s="302" t="s">
        <v>340</v>
      </c>
      <c r="D138" s="302" t="s">
        <v>335</v>
      </c>
      <c r="E138" s="302" t="s">
        <v>323</v>
      </c>
      <c r="F138" s="614">
        <f>'Traffic Data'!CM57</f>
        <v>0.83333333333333337</v>
      </c>
      <c r="G138" s="614">
        <f>'Traffic Data'!CN57</f>
        <v>0.88</v>
      </c>
      <c r="H138" s="627">
        <f>'Traffic Data'!G57</f>
        <v>40</v>
      </c>
      <c r="I138" s="627">
        <v>0</v>
      </c>
      <c r="J138" s="627">
        <f t="shared" si="10"/>
        <v>47</v>
      </c>
      <c r="K138" s="627">
        <v>1.3</v>
      </c>
      <c r="L138" s="627">
        <v>2.5</v>
      </c>
      <c r="M138" s="615">
        <v>0</v>
      </c>
      <c r="N138" s="615">
        <v>0</v>
      </c>
      <c r="O138" s="615">
        <v>0</v>
      </c>
      <c r="P138" s="615">
        <v>0</v>
      </c>
      <c r="Q138" s="615">
        <v>0</v>
      </c>
      <c r="R138" s="311">
        <f t="shared" si="4"/>
        <v>43.2</v>
      </c>
      <c r="S138" s="620">
        <v>0</v>
      </c>
      <c r="T138" s="621">
        <v>0.12</v>
      </c>
      <c r="U138" s="622">
        <v>0.65</v>
      </c>
      <c r="V138" s="631">
        <f t="shared" si="12"/>
        <v>0.2</v>
      </c>
      <c r="W138" s="634">
        <v>10</v>
      </c>
      <c r="X138" s="407" t="e">
        <f>$R138/(1+($V138*(('Traffic Data'!J57*$T138*$U138)/(($I138/2)*$S138))^$W138))</f>
        <v>#DIV/0!</v>
      </c>
      <c r="Y138" s="396" t="e">
        <f>$R138/(1+($V138*(('Traffic Data'!K57*$T138*$U138)/(($I138/2)*$S138))^$W138))</f>
        <v>#DIV/0!</v>
      </c>
      <c r="Z138" s="396" t="e">
        <f>$R138/(1+($V138*(('Traffic Data'!L57*$T138*$U138)/(($I138/2)*$S138))^$W138))</f>
        <v>#DIV/0!</v>
      </c>
      <c r="AA138" s="396" t="e">
        <f>$R138/(1+($V138*(('Traffic Data'!M57*$T138*$U138)/(($I138/2)*$S138))^$W138))</f>
        <v>#DIV/0!</v>
      </c>
      <c r="AB138" s="396" t="e">
        <f>$R138/(1+($V138*(('Traffic Data'!N57*$T138*$U138)/(($I138/2)*$S138))^$W138))</f>
        <v>#DIV/0!</v>
      </c>
      <c r="AC138" s="396" t="e">
        <f>$R138/(1+($V138*(('Traffic Data'!O57*$T138*$U138)/(($I138/2)*$S138))^$W138))</f>
        <v>#DIV/0!</v>
      </c>
      <c r="AD138" s="396" t="e">
        <f>$R138/(1+($V138*(('Traffic Data'!P57*$T138*$U138)/(($I138/2)*$S138))^$W138))</f>
        <v>#DIV/0!</v>
      </c>
      <c r="AE138" s="396" t="e">
        <f>$R138/(1+($V138*(('Traffic Data'!Q57*$T138*$U138)/(($I138/2)*$S138))^$W138))</f>
        <v>#DIV/0!</v>
      </c>
      <c r="AF138" s="396" t="e">
        <f>$R138/(1+($V138*(('Traffic Data'!R57*$T138*$U138)/(($I138/2)*$S138))^$W138))</f>
        <v>#DIV/0!</v>
      </c>
      <c r="AG138" s="396" t="e">
        <f>$R138/(1+($V138*(('Traffic Data'!S57*$T138*$U138)/(($I138/2)*$S138))^$W138))</f>
        <v>#DIV/0!</v>
      </c>
      <c r="AH138" s="396" t="e">
        <f>$R138/(1+($V138*(('Traffic Data'!T57*$T138*$U138)/(($I138/2)*$S138))^$W138))</f>
        <v>#DIV/0!</v>
      </c>
      <c r="AI138" s="396" t="e">
        <f>$R138/(1+($V138*(('Traffic Data'!U57*$T138*$U138)/(($I138/2)*$S138))^$W138))</f>
        <v>#DIV/0!</v>
      </c>
      <c r="AJ138" s="396" t="e">
        <f>$R138/(1+($V138*(('Traffic Data'!V57*$T138*$U138)/(($I138/2)*$S138))^$W138))</f>
        <v>#DIV/0!</v>
      </c>
      <c r="AK138" s="396" t="e">
        <f>$R138/(1+($V138*(('Traffic Data'!W57*$T138*$U138)/(($I138/2)*$S138))^$W138))</f>
        <v>#DIV/0!</v>
      </c>
      <c r="AL138" s="396" t="e">
        <f>$R138/(1+($V138*(('Traffic Data'!X57*$T138*$U138)/(($I138/2)*$S138))^$W138))</f>
        <v>#DIV/0!</v>
      </c>
      <c r="AM138" s="396" t="e">
        <f>$R138/(1+($V138*(('Traffic Data'!Y57*$T138*$U138)/(($I138/2)*$S138))^$W138))</f>
        <v>#DIV/0!</v>
      </c>
      <c r="AN138" s="396" t="e">
        <f>$R138/(1+($V138*(('Traffic Data'!Z57*$T138*$U138)/(($I138/2)*$S138))^$W138))</f>
        <v>#DIV/0!</v>
      </c>
      <c r="AO138" s="396" t="e">
        <f>$R138/(1+($V138*(('Traffic Data'!AA57*$T138*$U138)/(($I138/2)*$S138))^$W138))</f>
        <v>#DIV/0!</v>
      </c>
      <c r="AP138" s="396" t="e">
        <f>$R138/(1+($V138*(('Traffic Data'!AB57*$T138*$U138)/(($I138/2)*$S138))^$W138))</f>
        <v>#DIV/0!</v>
      </c>
      <c r="AQ138" s="396" t="e">
        <f>$R138/(1+($V138*(('Traffic Data'!AC57*$T138*$U138)/(($I138/2)*$S138))^$W138))</f>
        <v>#DIV/0!</v>
      </c>
      <c r="AR138" s="396" t="e">
        <f>$R138/(1+($V138*(('Traffic Data'!AD57*$T138*$U138)/(($I138/2)*$S138))^$W138))</f>
        <v>#DIV/0!</v>
      </c>
      <c r="AS138" s="396" t="e">
        <f>$R138/(1+($V138*(('Traffic Data'!AE57*$T138*$U138)/(($I138/2)*$S138))^$W138))</f>
        <v>#DIV/0!</v>
      </c>
      <c r="AT138" s="396" t="e">
        <f>$R138/(1+($V138*(('Traffic Data'!AF57*$T138*$U138)/(($I138/2)*$S138))^$W138))</f>
        <v>#DIV/0!</v>
      </c>
      <c r="AU138" s="396" t="e">
        <f>$R138/(1+($V138*(('Traffic Data'!AG57*$T138*$U138)/(($I138/2)*$S138))^$W138))</f>
        <v>#DIV/0!</v>
      </c>
      <c r="AV138" s="396" t="e">
        <f>$R138/(1+($V138*(('Traffic Data'!AH57*$T138*$U138)/(($I138/2)*$S138))^$W138))</f>
        <v>#DIV/0!</v>
      </c>
      <c r="AW138" s="385" t="e">
        <f>$R138/(1+($V138*(('Traffic Data'!AI57*$T138*$U138)/(($I138/2)*$S138))^$W138))</f>
        <v>#DIV/0!</v>
      </c>
      <c r="AX138" s="407" t="e">
        <f>$R138/(1+($V138*(('Traffic Data'!J57*(0.67/14))/(($I138)*$S138))^$W138))</f>
        <v>#DIV/0!</v>
      </c>
      <c r="AY138" s="396" t="e">
        <f>$R138/(1+($V138*(('Traffic Data'!J57*(0.67/14))/(($I138)*$S138))^$W138))</f>
        <v>#DIV/0!</v>
      </c>
      <c r="AZ138" s="396" t="e">
        <f>$R138/(1+($V138*(('Traffic Data'!K57*(0.67/14))/(($I138)*$S138))^$W138))</f>
        <v>#DIV/0!</v>
      </c>
      <c r="BA138" s="396" t="e">
        <f>$R138/(1+($V138*(('Traffic Data'!L57*(0.67/14))/(($I138)*$S138))^$W138))</f>
        <v>#DIV/0!</v>
      </c>
      <c r="BB138" s="396" t="e">
        <f>$R138/(1+($V138*(('Traffic Data'!M57*(0.67/14))/(($I138)*$S138))^$W138))</f>
        <v>#DIV/0!</v>
      </c>
      <c r="BC138" s="396" t="e">
        <f>$R138/(1+($V138*(('Traffic Data'!N57*(0.67/14))/(($I138)*$S138))^$W138))</f>
        <v>#DIV/0!</v>
      </c>
      <c r="BD138" s="396" t="e">
        <f>$R138/(1+($V138*(('Traffic Data'!O57*(0.67/14))/(($I138)*$S138))^$W138))</f>
        <v>#DIV/0!</v>
      </c>
      <c r="BE138" s="396" t="e">
        <f>$R138/(1+($V138*(('Traffic Data'!P57*(0.67/14))/(($I138)*$S138))^$W138))</f>
        <v>#DIV/0!</v>
      </c>
      <c r="BF138" s="396" t="e">
        <f>$R138/(1+($V138*(('Traffic Data'!Q57*(0.67/14))/(($I138)*$S138))^$W138))</f>
        <v>#DIV/0!</v>
      </c>
      <c r="BG138" s="396" t="e">
        <f>$R138/(1+($V138*(('Traffic Data'!R57*(0.67/14))/(($I138)*$S138))^$W138))</f>
        <v>#DIV/0!</v>
      </c>
      <c r="BH138" s="396" t="e">
        <f>$R138/(1+($V138*(('Traffic Data'!S57*(0.67/14))/(($I138)*$S138))^$W138))</f>
        <v>#DIV/0!</v>
      </c>
      <c r="BI138" s="396" t="e">
        <f>$R138/(1+($V138*(('Traffic Data'!T57*(0.67/14))/(($I138)*$S138))^$W138))</f>
        <v>#DIV/0!</v>
      </c>
      <c r="BJ138" s="396" t="e">
        <f>$R138/(1+($V138*(('Traffic Data'!U57*(0.67/14))/(($I138)*$S138))^$W138))</f>
        <v>#DIV/0!</v>
      </c>
      <c r="BK138" s="396" t="e">
        <f>$R138/(1+($V138*(('Traffic Data'!V57*(0.67/14))/(($I138)*$S138))^$W138))</f>
        <v>#DIV/0!</v>
      </c>
      <c r="BL138" s="396" t="e">
        <f>$R138/(1+($V138*(('Traffic Data'!W57*(0.67/14))/(($I138)*$S138))^$W138))</f>
        <v>#DIV/0!</v>
      </c>
      <c r="BM138" s="396" t="e">
        <f>$R138/(1+($V138*(('Traffic Data'!X57*(0.67/14))/(($I138)*$S138))^$W138))</f>
        <v>#DIV/0!</v>
      </c>
      <c r="BN138" s="396" t="e">
        <f>$R138/(1+($V138*(('Traffic Data'!Y57*(0.67/14))/(($I138)*$S138))^$W138))</f>
        <v>#DIV/0!</v>
      </c>
      <c r="BO138" s="396" t="e">
        <f>$R138/(1+($V138*(('Traffic Data'!Z57*(0.67/14))/(($I138)*$S138))^$W138))</f>
        <v>#DIV/0!</v>
      </c>
      <c r="BP138" s="396" t="e">
        <f>$R138/(1+($V138*(('Traffic Data'!AA57*(0.67/14))/(($I138)*$S138))^$W138))</f>
        <v>#DIV/0!</v>
      </c>
      <c r="BQ138" s="396" t="e">
        <f>$R138/(1+($V138*(('Traffic Data'!AB57*(0.67/14))/(($I138)*$S138))^$W138))</f>
        <v>#DIV/0!</v>
      </c>
      <c r="BR138" s="396" t="e">
        <f>$R138/(1+($V138*(('Traffic Data'!AC57*(0.67/14))/(($I138)*$S138))^$W138))</f>
        <v>#DIV/0!</v>
      </c>
      <c r="BS138" s="396" t="e">
        <f>$R138/(1+($V138*(('Traffic Data'!AD57*(0.67/14))/(($I138)*$S138))^$W138))</f>
        <v>#DIV/0!</v>
      </c>
      <c r="BT138" s="396" t="e">
        <f>$R138/(1+($V138*(('Traffic Data'!AE57*(0.67/14))/(($I138)*$S138))^$W138))</f>
        <v>#DIV/0!</v>
      </c>
      <c r="BU138" s="396" t="e">
        <f>$R138/(1+($V138*(('Traffic Data'!AF57*(0.67/14))/(($I138)*$S138))^$W138))</f>
        <v>#DIV/0!</v>
      </c>
      <c r="BV138" s="396" t="e">
        <f>$R138/(1+($V138*(('Traffic Data'!AG57*(0.67/14))/(($I138)*$S138))^$W138))</f>
        <v>#DIV/0!</v>
      </c>
      <c r="BW138" s="651" t="e">
        <f>$R138/(1+($V138*(('Traffic Data'!AH57*(0.67/14))/(($I138)*$S138))^$W138))</f>
        <v>#DIV/0!</v>
      </c>
    </row>
    <row r="139" spans="1:75" ht="21.95" customHeight="1" x14ac:dyDescent="0.2">
      <c r="A139" s="642"/>
      <c r="B139" s="288"/>
      <c r="C139" s="302" t="s">
        <v>357</v>
      </c>
      <c r="D139" s="302" t="s">
        <v>338</v>
      </c>
      <c r="E139" s="302" t="s">
        <v>323</v>
      </c>
      <c r="F139" s="614">
        <f>'Traffic Data'!CM58</f>
        <v>0.83333333333333337</v>
      </c>
      <c r="G139" s="614">
        <f>'Traffic Data'!CN58</f>
        <v>0.88</v>
      </c>
      <c r="H139" s="627">
        <f>'Traffic Data'!G58</f>
        <v>30</v>
      </c>
      <c r="I139" s="615">
        <v>2</v>
      </c>
      <c r="J139" s="627">
        <f t="shared" si="10"/>
        <v>37</v>
      </c>
      <c r="K139" s="615">
        <v>2.6</v>
      </c>
      <c r="L139" s="615">
        <v>2.5</v>
      </c>
      <c r="M139" s="615">
        <v>0</v>
      </c>
      <c r="N139" s="615">
        <v>0</v>
      </c>
      <c r="O139" s="615">
        <v>0</v>
      </c>
      <c r="P139" s="615">
        <v>0</v>
      </c>
      <c r="Q139" s="615">
        <v>0</v>
      </c>
      <c r="R139" s="311">
        <f t="shared" si="4"/>
        <v>31.9</v>
      </c>
      <c r="S139" s="628">
        <f>F139*G139*N$27</f>
        <v>586.66666666666674</v>
      </c>
      <c r="T139" s="629">
        <v>0.12</v>
      </c>
      <c r="U139" s="630">
        <v>0.65</v>
      </c>
      <c r="V139" s="612">
        <f t="shared" si="12"/>
        <v>0.2</v>
      </c>
      <c r="W139" s="632">
        <v>10</v>
      </c>
      <c r="X139" s="410">
        <f>$R139/(1+($V139*(('Traffic Data'!J58*$T139*$U139)/(($I139/2)*$S139))^$W139))</f>
        <v>31.89597447271742</v>
      </c>
      <c r="Y139" s="389">
        <f>$R139/(1+($V139*(('Traffic Data'!K58*$T139*$U139)/(($I139/2)*$S139))^$W139))</f>
        <v>31.895386397882593</v>
      </c>
      <c r="Z139" s="389">
        <f>$R139/(1+($V139*(('Traffic Data'!L58*$T139*$U139)/(($I139/2)*$S139))^$W139))</f>
        <v>31.894185286739393</v>
      </c>
      <c r="AA139" s="389">
        <f>$R139/(1+($V139*(('Traffic Data'!M58*$T139*$U139)/(($I139/2)*$S139))^$W139))</f>
        <v>31.892078650684784</v>
      </c>
      <c r="AB139" s="389">
        <f>$R139/(1+($V139*(('Traffic Data'!N58*$T139*$U139)/(($I139/2)*$S139))^$W139))</f>
        <v>31.88930731133809</v>
      </c>
      <c r="AC139" s="389">
        <f>$R139/(1+($V139*(('Traffic Data'!O58*$T139*$U139)/(($I139/2)*$S139))^$W139))</f>
        <v>31.885686476842388</v>
      </c>
      <c r="AD139" s="389">
        <f>$R139/(1+($V139*(('Traffic Data'!P58*$T139*$U139)/(($I139/2)*$S139))^$W139))</f>
        <v>31.881007933094075</v>
      </c>
      <c r="AE139" s="389">
        <f>$R139/(1+($V139*(('Traffic Data'!Q58*$T139*$U139)/(($I139/2)*$S139))^$W139))</f>
        <v>31.874972954449184</v>
      </c>
      <c r="AF139" s="389">
        <f>$R139/(1+($V139*(('Traffic Data'!R58*$T139*$U139)/(($I139/2)*$S139))^$W139))</f>
        <v>31.869828344256412</v>
      </c>
      <c r="AG139" s="389">
        <f>$R139/(1+($V139*(('Traffic Data'!S58*$T139*$U139)/(($I139/2)*$S139))^$W139))</f>
        <v>31.863751242752929</v>
      </c>
      <c r="AH139" s="389">
        <f>$R139/(1+($V139*(('Traffic Data'!T58*$T139*$U139)/(($I139/2)*$S139))^$W139))</f>
        <v>31.856594693279405</v>
      </c>
      <c r="AI139" s="389">
        <f>$R139/(1+($V139*(('Traffic Data'!U58*$T139*$U139)/(($I139/2)*$S139))^$W139))</f>
        <v>31.848195379185306</v>
      </c>
      <c r="AJ139" s="389">
        <f>$R139/(1+($V139*(('Traffic Data'!V58*$T139*$U139)/(($I139/2)*$S139))^$W139))</f>
        <v>31.838288419997181</v>
      </c>
      <c r="AK139" s="389">
        <f>$R139/(1+($V139*(('Traffic Data'!W58*$T139*$U139)/(($I139/2)*$S139))^$W139))</f>
        <v>31.831543198799192</v>
      </c>
      <c r="AL139" s="389">
        <f>$R139/(1+($V139*(('Traffic Data'!X58*$T139*$U139)/(($I139/2)*$S139))^$W139))</f>
        <v>31.824143432118834</v>
      </c>
      <c r="AM139" s="389">
        <f>$R139/(1+($V139*(('Traffic Data'!Y58*$T139*$U139)/(($I139/2)*$S139))^$W139))</f>
        <v>31.816033679455259</v>
      </c>
      <c r="AN139" s="389">
        <f>$R139/(1+($V139*(('Traffic Data'!Z58*$T139*$U139)/(($I139/2)*$S139))^$W139))</f>
        <v>31.807154522338521</v>
      </c>
      <c r="AO139" s="389">
        <f>$R139/(1+($V139*(('Traffic Data'!AA58*$T139*$U139)/(($I139/2)*$S139))^$W139))</f>
        <v>31.797372495361824</v>
      </c>
      <c r="AP139" s="389">
        <f>$R139/(1+($V139*(('Traffic Data'!AB58*$T139*$U139)/(($I139/2)*$S139))^$W139))</f>
        <v>31.786752785984007</v>
      </c>
      <c r="AQ139" s="389">
        <f>$R139/(1+($V139*(('Traffic Data'!AC58*$T139*$U139)/(($I139/2)*$S139))^$W139))</f>
        <v>31.775112203344161</v>
      </c>
      <c r="AR139" s="389">
        <f>$R139/(1+($V139*(('Traffic Data'!AD58*$T139*$U139)/(($I139/2)*$S139))^$W139))</f>
        <v>31.762461949675718</v>
      </c>
      <c r="AS139" s="389">
        <f>$R139/(1+($V139*(('Traffic Data'!AE58*$T139*$U139)/(($I139/2)*$S139))^$W139))</f>
        <v>31.748676495119984</v>
      </c>
      <c r="AT139" s="389">
        <f>$R139/(1+($V139*(('Traffic Data'!AF58*$T139*$U139)/(($I139/2)*$S139))^$W139))</f>
        <v>31.733559842314076</v>
      </c>
      <c r="AU139" s="389">
        <f>$R139/(1+($V139*(('Traffic Data'!AG58*$T139*$U139)/(($I139/2)*$S139))^$W139))</f>
        <v>31.717223968705103</v>
      </c>
      <c r="AV139" s="389">
        <f>$R139/(1+($V139*(('Traffic Data'!AH58*$T139*$U139)/(($I139/2)*$S139))^$W139))</f>
        <v>31.699469923924529</v>
      </c>
      <c r="AW139" s="390">
        <f>$R139/(1+($V139*(('Traffic Data'!AI58*$T139*$U139)/(($I139/2)*$S139))^$W139))</f>
        <v>31.68011430277004</v>
      </c>
      <c r="AX139" s="410">
        <f>$R139/(1+($V139*(('Traffic Data'!J58*(0.67/14))/(($I139)*$S139))^$W139))</f>
        <v>31.899999970276543</v>
      </c>
      <c r="AY139" s="389">
        <f>$R139/(1+($V139*(('Traffic Data'!J58*(0.67/14))/(($I139)*$S139))^$W139))</f>
        <v>31.899999970276543</v>
      </c>
      <c r="AZ139" s="389">
        <f>$R139/(1+($V139*(('Traffic Data'!K58*(0.67/14))/(($I139)*$S139))^$W139))</f>
        <v>31.899999965933727</v>
      </c>
      <c r="BA139" s="389">
        <f>$R139/(1+($V139*(('Traffic Data'!L58*(0.67/14))/(($I139)*$S139))^$W139))</f>
        <v>31.899999957063251</v>
      </c>
      <c r="BB139" s="389">
        <f>$R139/(1+($V139*(('Traffic Data'!M58*(0.67/14))/(($I139)*$S139))^$W139))</f>
        <v>31.899999941503655</v>
      </c>
      <c r="BC139" s="389">
        <f>$R139/(1+($V139*(('Traffic Data'!N58*(0.67/14))/(($I139)*$S139))^$W139))</f>
        <v>31.899999921031441</v>
      </c>
      <c r="BD139" s="389">
        <f>$R139/(1+($V139*(('Traffic Data'!O58*(0.67/14))/(($I139)*$S139))^$W139))</f>
        <v>31.89999989427854</v>
      </c>
      <c r="BE139" s="389">
        <f>$R139/(1+($V139*(('Traffic Data'!P58*(0.67/14))/(($I139)*$S139))^$W139))</f>
        <v>31.899999859701655</v>
      </c>
      <c r="BF139" s="389">
        <f>$R139/(1+($V139*(('Traffic Data'!Q58*(0.67/14))/(($I139)*$S139))^$W139))</f>
        <v>31.899999815085007</v>
      </c>
      <c r="BG139" s="389">
        <f>$R139/(1+($V139*(('Traffic Data'!R58*(0.67/14))/(($I139)*$S139))^$W139))</f>
        <v>31.899999777037518</v>
      </c>
      <c r="BH139" s="389">
        <f>$R139/(1+($V139*(('Traffic Data'!S58*(0.67/14))/(($I139)*$S139))^$W139))</f>
        <v>31.899999732077866</v>
      </c>
      <c r="BI139" s="389">
        <f>$R139/(1+($V139*(('Traffic Data'!T58*(0.67/14))/(($I139)*$S139))^$W139))</f>
        <v>31.899999679110248</v>
      </c>
      <c r="BJ139" s="389">
        <f>$R139/(1+($V139*(('Traffic Data'!U58*(0.67/14))/(($I139)*$S139))^$W139))</f>
        <v>31.899999616914211</v>
      </c>
      <c r="BK139" s="389">
        <f>$R139/(1+($V139*(('Traffic Data'!V58*(0.67/14))/(($I139)*$S139))^$W139))</f>
        <v>31.899999543512052</v>
      </c>
      <c r="BL139" s="389">
        <f>$R139/(1+($V139*(('Traffic Data'!W58*(0.67/14))/(($I139)*$S139))^$W139))</f>
        <v>31.899999493509537</v>
      </c>
      <c r="BM139" s="389">
        <f>$R139/(1+($V139*(('Traffic Data'!X58*(0.67/14))/(($I139)*$S139))^$W139))</f>
        <v>31.899999438630484</v>
      </c>
      <c r="BN139" s="389">
        <f>$R139/(1+($V139*(('Traffic Data'!Y58*(0.67/14))/(($I139)*$S139))^$W139))</f>
        <v>31.899999378456616</v>
      </c>
      <c r="BO139" s="389">
        <f>$R139/(1+($V139*(('Traffic Data'!Z58*(0.67/14))/(($I139)*$S139))^$W139))</f>
        <v>31.899999312538629</v>
      </c>
      <c r="BP139" s="389">
        <f>$R139/(1+($V139*(('Traffic Data'!AA58*(0.67/14))/(($I139)*$S139))^$W139))</f>
        <v>31.899999239875214</v>
      </c>
      <c r="BQ139" s="389">
        <f>$R139/(1+($V139*(('Traffic Data'!AB58*(0.67/14))/(($I139)*$S139))^$W139))</f>
        <v>31.899999160938641</v>
      </c>
      <c r="BR139" s="389">
        <f>$R139/(1+($V139*(('Traffic Data'!AC58*(0.67/14))/(($I139)*$S139))^$W139))</f>
        <v>31.899999074353271</v>
      </c>
      <c r="BS139" s="389">
        <f>$R139/(1+($V139*(('Traffic Data'!AD58*(0.67/14))/(($I139)*$S139))^$W139))</f>
        <v>31.899998980185782</v>
      </c>
      <c r="BT139" s="389">
        <f>$R139/(1+($V139*(('Traffic Data'!AE58*(0.67/14))/(($I139)*$S139))^$W139))</f>
        <v>31.899998877482499</v>
      </c>
      <c r="BU139" s="389">
        <f>$R139/(1+($V139*(('Traffic Data'!AF58*(0.67/14))/(($I139)*$S139))^$W139))</f>
        <v>31.899998764759058</v>
      </c>
      <c r="BV139" s="389">
        <f>$R139/(1+($V139*(('Traffic Data'!AG58*(0.67/14))/(($I139)*$S139))^$W139))</f>
        <v>31.899998642823206</v>
      </c>
      <c r="BW139" s="654">
        <f>$R139/(1+($V139*(('Traffic Data'!AH58*(0.67/14))/(($I139)*$S139))^$W139))</f>
        <v>31.899998510159186</v>
      </c>
    </row>
    <row r="140" spans="1:75" ht="21.95" customHeight="1" x14ac:dyDescent="0.2">
      <c r="A140" s="642"/>
      <c r="B140" s="288"/>
      <c r="C140" s="289" t="s">
        <v>338</v>
      </c>
      <c r="D140" s="289" t="s">
        <v>282</v>
      </c>
      <c r="E140" s="289" t="s">
        <v>357</v>
      </c>
      <c r="F140" s="607">
        <f>'Traffic Data'!CM59</f>
        <v>0.83333333333333337</v>
      </c>
      <c r="G140" s="607">
        <f>'Traffic Data'!CN59</f>
        <v>0.9</v>
      </c>
      <c r="H140" s="608">
        <f>'Traffic Data'!G59</f>
        <v>55</v>
      </c>
      <c r="I140" s="608">
        <v>4</v>
      </c>
      <c r="J140" s="608">
        <f t="shared" si="10"/>
        <v>62</v>
      </c>
      <c r="K140" s="608">
        <v>0</v>
      </c>
      <c r="L140" s="608">
        <v>2.5</v>
      </c>
      <c r="M140" s="608">
        <v>0</v>
      </c>
      <c r="N140" s="608">
        <v>3.6</v>
      </c>
      <c r="O140" s="608">
        <v>0</v>
      </c>
      <c r="P140" s="608">
        <v>0</v>
      </c>
      <c r="Q140" s="608">
        <v>0</v>
      </c>
      <c r="R140" s="290">
        <f t="shared" si="4"/>
        <v>55.9</v>
      </c>
      <c r="S140" s="609">
        <f>F140*G140*M$22</f>
        <v>1575</v>
      </c>
      <c r="T140" s="610">
        <v>0.12</v>
      </c>
      <c r="U140" s="611">
        <v>0.65</v>
      </c>
      <c r="V140" s="633">
        <f t="shared" si="12"/>
        <v>0.2</v>
      </c>
      <c r="W140" s="613">
        <v>10</v>
      </c>
      <c r="X140" s="407">
        <f>$R140/(1+($V140*(('Traffic Data'!J59*$T140*$U140)/(($I140/2)*$S140))^$W140))</f>
        <v>55.89999031092723</v>
      </c>
      <c r="Y140" s="396">
        <f>$R140/(1+($V140*(('Traffic Data'!K59*$T140*$U140)/(($I140/2)*$S140))^$W140))</f>
        <v>55.899987126230656</v>
      </c>
      <c r="Z140" s="396">
        <f>$R140/(1+($V140*(('Traffic Data'!L59*$T140*$U140)/(($I140/2)*$S140))^$W140))</f>
        <v>55.899982643601014</v>
      </c>
      <c r="AA140" s="396">
        <f>$R140/(1+($V140*(('Traffic Data'!M59*$T140*$U140)/(($I140/2)*$S140))^$W140))</f>
        <v>55.899974541814309</v>
      </c>
      <c r="AB140" s="396">
        <f>$R140/(1+($V140*(('Traffic Data'!N59*$T140*$U140)/(($I140/2)*$S140))^$W140))</f>
        <v>55.899963180055515</v>
      </c>
      <c r="AC140" s="396">
        <f>$R140/(1+($V140*(('Traffic Data'!O59*$T140*$U140)/(($I140/2)*$S140))^$W140))</f>
        <v>55.899947434901584</v>
      </c>
      <c r="AD140" s="396">
        <f>$R140/(1+($V140*(('Traffic Data'!P59*$T140*$U140)/(($I140/2)*$S140))^$W140))</f>
        <v>55.899925884169683</v>
      </c>
      <c r="AE140" s="396">
        <f>$R140/(1+($V140*(('Traffic Data'!Q59*$T140*$U140)/(($I140/2)*$S140))^$W140))</f>
        <v>55.899896675024308</v>
      </c>
      <c r="AF140" s="396">
        <f>$R140/(1+($V140*(('Traffic Data'!R59*$T140*$U140)/(($I140/2)*$S140))^$W140))</f>
        <v>55.899852893582882</v>
      </c>
      <c r="AG140" s="396">
        <f>$R140/(1+($V140*(('Traffic Data'!S59*$T140*$U140)/(($I140/2)*$S140))^$W140))</f>
        <v>55.899793093538648</v>
      </c>
      <c r="AH140" s="396">
        <f>$R140/(1+($V140*(('Traffic Data'!T59*$T140*$U140)/(($I140/2)*$S140))^$W140))</f>
        <v>55.899712210031119</v>
      </c>
      <c r="AI140" s="396">
        <f>$R140/(1+($V140*(('Traffic Data'!U59*$T140*$U140)/(($I140/2)*$S140))^$W140))</f>
        <v>55.899603905138264</v>
      </c>
      <c r="AJ140" s="396">
        <f>$R140/(1+($V140*(('Traffic Data'!V59*$T140*$U140)/(($I140/2)*$S140))^$W140))</f>
        <v>55.89946011203655</v>
      </c>
      <c r="AK140" s="396">
        <f>$R140/(1+($V140*(('Traffic Data'!W59*$T140*$U140)/(($I140/2)*$S140))^$W140))</f>
        <v>55.899317897267252</v>
      </c>
      <c r="AL140" s="396">
        <f>$R140/(1+($V140*(('Traffic Data'!X59*$T140*$U140)/(($I140/2)*$S140))^$W140))</f>
        <v>55.89917794398319</v>
      </c>
      <c r="AM140" s="396">
        <f>$R140/(1+($V140*(('Traffic Data'!Y59*$T140*$U140)/(($I140/2)*$S140))^$W140))</f>
        <v>55.899012657530136</v>
      </c>
      <c r="AN140" s="396">
        <f>$R140/(1+($V140*(('Traffic Data'!Z59*$T140*$U140)/(($I140/2)*$S140))^$W140))</f>
        <v>55.898818040992687</v>
      </c>
      <c r="AO140" s="396">
        <f>$R140/(1+($V140*(('Traffic Data'!AA59*$T140*$U140)/(($I140/2)*$S140))^$W140))</f>
        <v>55.898589581962291</v>
      </c>
      <c r="AP140" s="396">
        <f>$R140/(1+($V140*(('Traffic Data'!AB59*$T140*$U140)/(($I140/2)*$S140))^$W140))</f>
        <v>55.898322092426035</v>
      </c>
      <c r="AQ140" s="396">
        <f>$R140/(1+($V140*(('Traffic Data'!AC59*$T140*$U140)/(($I140/2)*$S140))^$W140))</f>
        <v>55.898009818357338</v>
      </c>
      <c r="AR140" s="396">
        <f>$R140/(1+($V140*(('Traffic Data'!AD59*$T140*$U140)/(($I140/2)*$S140))^$W140))</f>
        <v>55.897646140733599</v>
      </c>
      <c r="AS140" s="396">
        <f>$R140/(1+($V140*(('Traffic Data'!AE59*$T140*$U140)/(($I140/2)*$S140))^$W140))</f>
        <v>55.897223711409815</v>
      </c>
      <c r="AT140" s="396">
        <f>$R140/(1+($V140*(('Traffic Data'!AF59*$T140*$U140)/(($I140/2)*$S140))^$W140))</f>
        <v>55.896734296175971</v>
      </c>
      <c r="AU140" s="396">
        <f>$R140/(1+($V140*(('Traffic Data'!AG59*$T140*$U140)/(($I140/2)*$S140))^$W140))</f>
        <v>55.896168499729342</v>
      </c>
      <c r="AV140" s="396">
        <f>$R140/(1+($V140*(('Traffic Data'!AH59*$T140*$U140)/(($I140/2)*$S140))^$W140))</f>
        <v>55.895515967253118</v>
      </c>
      <c r="AW140" s="385">
        <f>$R140/(1+($V140*(('Traffic Data'!AI59*$T140*$U140)/(($I140/2)*$S140))^$W140))</f>
        <v>55.894765161250419</v>
      </c>
      <c r="AX140" s="407">
        <f>$R140/(1+($V140*(('Traffic Data'!J59*(0.67/14))/(($I140)*$S140))^$W140))</f>
        <v>55.899999999928468</v>
      </c>
      <c r="AY140" s="396">
        <f>$R140/(1+($V140*(('Traffic Data'!J59*(0.67/14))/(($I140)*$S140))^$W140))</f>
        <v>55.899999999928468</v>
      </c>
      <c r="AZ140" s="396">
        <f>$R140/(1+($V140*(('Traffic Data'!K59*(0.67/14))/(($I140)*$S140))^$W140))</f>
        <v>55.899999999904956</v>
      </c>
      <c r="BA140" s="396">
        <f>$R140/(1+($V140*(('Traffic Data'!L59*(0.67/14))/(($I140)*$S140))^$W140))</f>
        <v>55.899999999871852</v>
      </c>
      <c r="BB140" s="396">
        <f>$R140/(1+($V140*(('Traffic Data'!M59*(0.67/14))/(($I140)*$S140))^$W140))</f>
        <v>55.899999999812053</v>
      </c>
      <c r="BC140" s="396">
        <f>$R140/(1+($V140*(('Traffic Data'!N59*(0.67/14))/(($I140)*$S140))^$W140))</f>
        <v>55.899999999728166</v>
      </c>
      <c r="BD140" s="396">
        <f>$R140/(1+($V140*(('Traffic Data'!O59*(0.67/14))/(($I140)*$S140))^$W140))</f>
        <v>55.899999999611914</v>
      </c>
      <c r="BE140" s="396">
        <f>$R140/(1+($V140*(('Traffic Data'!P59*(0.67/14))/(($I140)*$S140))^$W140))</f>
        <v>55.899999999452817</v>
      </c>
      <c r="BF140" s="396">
        <f>$R140/(1+($V140*(('Traffic Data'!Q59*(0.67/14))/(($I140)*$S140))^$W140))</f>
        <v>55.899999999237167</v>
      </c>
      <c r="BG140" s="396">
        <f>$R140/(1+($V140*(('Traffic Data'!R59*(0.67/14))/(($I140)*$S140))^$W140))</f>
        <v>55.899999998913934</v>
      </c>
      <c r="BH140" s="396">
        <f>$R140/(1+($V140*(('Traffic Data'!S59*(0.67/14))/(($I140)*$S140))^$W140))</f>
        <v>55.899999998472445</v>
      </c>
      <c r="BI140" s="396">
        <f>$R140/(1+($V140*(('Traffic Data'!T59*(0.67/14))/(($I140)*$S140))^$W140))</f>
        <v>55.899999997875284</v>
      </c>
      <c r="BJ140" s="396">
        <f>$R140/(1+($V140*(('Traffic Data'!U59*(0.67/14))/(($I140)*$S140))^$W140))</f>
        <v>55.899999997075689</v>
      </c>
      <c r="BK140" s="396">
        <f>$R140/(1+($V140*(('Traffic Data'!V59*(0.67/14))/(($I140)*$S140))^$W140))</f>
        <v>55.899999996014074</v>
      </c>
      <c r="BL140" s="396">
        <f>$R140/(1+($V140*(('Traffic Data'!W59*(0.67/14))/(($I140)*$S140))^$W140))</f>
        <v>55.899999994964105</v>
      </c>
      <c r="BM140" s="396">
        <f>$R140/(1+($V140*(('Traffic Data'!X59*(0.67/14))/(($I140)*$S140))^$W140))</f>
        <v>55.89999999393082</v>
      </c>
      <c r="BN140" s="396">
        <f>$R140/(1+($V140*(('Traffic Data'!Y59*(0.67/14))/(($I140)*$S140))^$W140))</f>
        <v>55.899999992710505</v>
      </c>
      <c r="BO140" s="396">
        <f>$R140/(1+($V140*(('Traffic Data'!Z59*(0.67/14))/(($I140)*$S140))^$W140))</f>
        <v>55.899999991273638</v>
      </c>
      <c r="BP140" s="396">
        <f>$R140/(1+($V140*(('Traffic Data'!AA59*(0.67/14))/(($I140)*$S140))^$W140))</f>
        <v>55.899999989586888</v>
      </c>
      <c r="BQ140" s="396">
        <f>$R140/(1+($V140*(('Traffic Data'!AB59*(0.67/14))/(($I140)*$S140))^$W140))</f>
        <v>55.899999987611956</v>
      </c>
      <c r="BR140" s="396">
        <f>$R140/(1+($V140*(('Traffic Data'!AC59*(0.67/14))/(($I140)*$S140))^$W140))</f>
        <v>55.899999985306337</v>
      </c>
      <c r="BS140" s="396">
        <f>$R140/(1+($V140*(('Traffic Data'!AD59*(0.67/14))/(($I140)*$S140))^$W140))</f>
        <v>55.899999982621175</v>
      </c>
      <c r="BT140" s="396">
        <f>$R140/(1+($V140*(('Traffic Data'!AE59*(0.67/14))/(($I140)*$S140))^$W140))</f>
        <v>55.899999979502162</v>
      </c>
      <c r="BU140" s="396">
        <f>$R140/(1+($V140*(('Traffic Data'!AF59*(0.67/14))/(($I140)*$S140))^$W140))</f>
        <v>55.89999997588852</v>
      </c>
      <c r="BV140" s="396">
        <f>$R140/(1+($V140*(('Traffic Data'!AG59*(0.67/14))/(($I140)*$S140))^$W140))</f>
        <v>55.89999997171082</v>
      </c>
      <c r="BW140" s="651">
        <f>$R140/(1+($V140*(('Traffic Data'!AH59*(0.67/14))/(($I140)*$S140))^$W140))</f>
        <v>55.89999996689258</v>
      </c>
    </row>
    <row r="141" spans="1:75" ht="21.95" customHeight="1" x14ac:dyDescent="0.2">
      <c r="A141" s="642"/>
      <c r="B141" s="288"/>
      <c r="C141" s="289"/>
      <c r="D141" s="289" t="s">
        <v>357</v>
      </c>
      <c r="E141" s="289" t="s">
        <v>346</v>
      </c>
      <c r="F141" s="607">
        <f>'Traffic Data'!CM59</f>
        <v>0.83333333333333337</v>
      </c>
      <c r="G141" s="607">
        <f>'Traffic Data'!CN59</f>
        <v>0.9</v>
      </c>
      <c r="H141" s="608">
        <f>'Traffic Data'!G60</f>
        <v>55</v>
      </c>
      <c r="I141" s="608">
        <v>4</v>
      </c>
      <c r="J141" s="608">
        <f t="shared" si="10"/>
        <v>62</v>
      </c>
      <c r="K141" s="608">
        <v>0</v>
      </c>
      <c r="L141" s="608">
        <v>2.5</v>
      </c>
      <c r="M141" s="608">
        <v>0</v>
      </c>
      <c r="N141" s="608">
        <v>3.6</v>
      </c>
      <c r="O141" s="608">
        <v>0</v>
      </c>
      <c r="P141" s="608">
        <v>0</v>
      </c>
      <c r="Q141" s="608">
        <v>0</v>
      </c>
      <c r="R141" s="290">
        <f t="shared" si="4"/>
        <v>55.9</v>
      </c>
      <c r="S141" s="609">
        <f>F141*G141*M$22</f>
        <v>1575</v>
      </c>
      <c r="T141" s="610">
        <v>0.12</v>
      </c>
      <c r="U141" s="611">
        <v>0.65</v>
      </c>
      <c r="V141" s="612">
        <f t="shared" si="12"/>
        <v>0.2</v>
      </c>
      <c r="W141" s="613">
        <v>10</v>
      </c>
      <c r="X141" s="407">
        <f>$R141/(1+($V141*(('Traffic Data'!J60*$T141*$U141)/(($I141/2)*$S141))^$W141))</f>
        <v>55.899999377100173</v>
      </c>
      <c r="Y141" s="396">
        <f>$R141/(1+($V141*(('Traffic Data'!K60*$T141*$U141)/(($I141/2)*$S141))^$W141))</f>
        <v>55.899999175935712</v>
      </c>
      <c r="Z141" s="396">
        <f>$R141/(1+($V141*(('Traffic Data'!L60*$T141*$U141)/(($I141/2)*$S141))^$W141))</f>
        <v>55.899998885768397</v>
      </c>
      <c r="AA141" s="396">
        <f>$R141/(1+($V141*(('Traffic Data'!M60*$T141*$U141)/(($I141/2)*$S141))^$W141))</f>
        <v>55.899998323338593</v>
      </c>
      <c r="AB141" s="396">
        <f>$R141/(1+($V141*(('Traffic Data'!N60*$T141*$U141)/(($I141/2)*$S141))^$W141))</f>
        <v>55.89999751699942</v>
      </c>
      <c r="AC141" s="396">
        <f>$R141/(1+($V141*(('Traffic Data'!O60*$T141*$U141)/(($I141/2)*$S141))^$W141))</f>
        <v>55.899996376753322</v>
      </c>
      <c r="AD141" s="396">
        <f>$R141/(1+($V141*(('Traffic Data'!P60*$T141*$U141)/(($I141/2)*$S141))^$W141))</f>
        <v>55.899994785869225</v>
      </c>
      <c r="AE141" s="396">
        <f>$R141/(1+($V141*(('Traffic Data'!Q60*$T141*$U141)/(($I141/2)*$S141))^$W141))</f>
        <v>55.899992591639737</v>
      </c>
      <c r="AF141" s="396">
        <f>$R141/(1+($V141*(('Traffic Data'!R60*$T141*$U141)/(($I141/2)*$S141))^$W141))</f>
        <v>55.899989160499366</v>
      </c>
      <c r="AG141" s="396">
        <f>$R141/(1+($V141*(('Traffic Data'!S60*$T141*$U141)/(($I141/2)*$S141))^$W141))</f>
        <v>55.899984361973189</v>
      </c>
      <c r="AH141" s="396">
        <f>$R141/(1+($V141*(('Traffic Data'!T60*$T141*$U141)/(($I141/2)*$S141))^$W141))</f>
        <v>55.89997772701539</v>
      </c>
      <c r="AI141" s="396">
        <f>$R141/(1+($V141*(('Traffic Data'!U60*$T141*$U141)/(($I141/2)*$S141))^$W141))</f>
        <v>55.899968657929954</v>
      </c>
      <c r="AJ141" s="396">
        <f>$R141/(1+($V141*(('Traffic Data'!V60*$T141*$U141)/(($I141/2)*$S141))^$W141))</f>
        <v>55.899956388718934</v>
      </c>
      <c r="AK141" s="396">
        <f>$R141/(1+($V141*(('Traffic Data'!W60*$T141*$U141)/(($I141/2)*$S141))^$W141))</f>
        <v>55.899944617626161</v>
      </c>
      <c r="AL141" s="396">
        <f>$R141/(1+($V141*(('Traffic Data'!X60*$T141*$U141)/(($I141/2)*$S141))^$W141))</f>
        <v>55.899933723717304</v>
      </c>
      <c r="AM141" s="396">
        <f>$R141/(1+($V141*(('Traffic Data'!Y60*$T141*$U141)/(($I141/2)*$S141))^$W141))</f>
        <v>55.899920937788821</v>
      </c>
      <c r="AN141" s="396">
        <f>$R141/(1+($V141*(('Traffic Data'!Z60*$T141*$U141)/(($I141/2)*$S141))^$W141))</f>
        <v>55.89990597318905</v>
      </c>
      <c r="AO141" s="396">
        <f>$R141/(1+($V141*(('Traffic Data'!AA60*$T141*$U141)/(($I141/2)*$S141))^$W141))</f>
        <v>55.899888515566317</v>
      </c>
      <c r="AP141" s="396">
        <f>$R141/(1+($V141*(('Traffic Data'!AB60*$T141*$U141)/(($I141/2)*$S141))^$W141))</f>
        <v>55.899868181922834</v>
      </c>
      <c r="AQ141" s="396">
        <f>$R141/(1+($V141*(('Traffic Data'!AC60*$T141*$U141)/(($I141/2)*$S141))^$W141))</f>
        <v>55.899844582281716</v>
      </c>
      <c r="AR141" s="396">
        <f>$R141/(1+($V141*(('Traffic Data'!AD60*$T141*$U141)/(($I141/2)*$S141))^$W141))</f>
        <v>55.899817230912355</v>
      </c>
      <c r="AS141" s="396">
        <f>$R141/(1+($V141*(('Traffic Data'!AE60*$T141*$U141)/(($I141/2)*$S141))^$W141))</f>
        <v>55.899785621202099</v>
      </c>
      <c r="AT141" s="396">
        <f>$R141/(1+($V141*(('Traffic Data'!AF60*$T141*$U141)/(($I141/2)*$S141))^$W141))</f>
        <v>55.899749193635479</v>
      </c>
      <c r="AU141" s="396">
        <f>$R141/(1+($V141*(('Traffic Data'!AG60*$T141*$U141)/(($I141/2)*$S141))^$W141))</f>
        <v>55.89970726403952</v>
      </c>
      <c r="AV141" s="396">
        <f>$R141/(1+($V141*(('Traffic Data'!AH60*$T141*$U141)/(($I141/2)*$S141))^$W141))</f>
        <v>55.899659127910603</v>
      </c>
      <c r="AW141" s="385">
        <f>$R141/(1+($V141*(('Traffic Data'!AI60*$T141*$U141)/(($I141/2)*$S141))^$W141))</f>
        <v>55.899604011713457</v>
      </c>
      <c r="AX141" s="407">
        <f>$R141/(1+($V141*(('Traffic Data'!J60*(0.67/14))/(($I141)*$S141))^$W141))</f>
        <v>55.899999999995408</v>
      </c>
      <c r="AY141" s="396">
        <f>$R141/(1+($V141*(('Traffic Data'!J60*(0.67/14))/(($I141)*$S141))^$W141))</f>
        <v>55.899999999995408</v>
      </c>
      <c r="AZ141" s="396">
        <f>$R141/(1+($V141*(('Traffic Data'!K60*(0.67/14))/(($I141)*$S141))^$W141))</f>
        <v>55.899999999993916</v>
      </c>
      <c r="BA141" s="396">
        <f>$R141/(1+($V141*(('Traffic Data'!L60*(0.67/14))/(($I141)*$S141))^$W141))</f>
        <v>55.89999999999177</v>
      </c>
      <c r="BB141" s="396">
        <f>$R141/(1+($V141*(('Traffic Data'!M60*(0.67/14))/(($I141)*$S141))^$W141))</f>
        <v>55.899999999987621</v>
      </c>
      <c r="BC141" s="396">
        <f>$R141/(1+($V141*(('Traffic Data'!N60*(0.67/14))/(($I141)*$S141))^$W141))</f>
        <v>55.899999999981667</v>
      </c>
      <c r="BD141" s="396">
        <f>$R141/(1+($V141*(('Traffic Data'!O60*(0.67/14))/(($I141)*$S141))^$W141))</f>
        <v>55.899999999973247</v>
      </c>
      <c r="BE141" s="396">
        <f>$R141/(1+($V141*(('Traffic Data'!P60*(0.67/14))/(($I141)*$S141))^$W141))</f>
        <v>55.899999999961508</v>
      </c>
      <c r="BF141" s="396">
        <f>$R141/(1+($V141*(('Traffic Data'!Q60*(0.67/14))/(($I141)*$S141))^$W141))</f>
        <v>55.899999999945308</v>
      </c>
      <c r="BG141" s="396">
        <f>$R141/(1+($V141*(('Traffic Data'!R60*(0.67/14))/(($I141)*$S141))^$W141))</f>
        <v>55.899999999919977</v>
      </c>
      <c r="BH141" s="396">
        <f>$R141/(1+($V141*(('Traffic Data'!S60*(0.67/14))/(($I141)*$S141))^$W141))</f>
        <v>55.89999999988455</v>
      </c>
      <c r="BI141" s="396">
        <f>$R141/(1+($V141*(('Traffic Data'!T60*(0.67/14))/(($I141)*$S141))^$W141))</f>
        <v>55.899999999835558</v>
      </c>
      <c r="BJ141" s="396">
        <f>$R141/(1+($V141*(('Traffic Data'!U60*(0.67/14))/(($I141)*$S141))^$W141))</f>
        <v>55.89999999976861</v>
      </c>
      <c r="BK141" s="396">
        <f>$R141/(1+($V141*(('Traffic Data'!V60*(0.67/14))/(($I141)*$S141))^$W141))</f>
        <v>55.899999999678023</v>
      </c>
      <c r="BL141" s="396">
        <f>$R141/(1+($V141*(('Traffic Data'!W60*(0.67/14))/(($I141)*$S141))^$W141))</f>
        <v>55.899999999591124</v>
      </c>
      <c r="BM141" s="396">
        <f>$R141/(1+($V141*(('Traffic Data'!X60*(0.67/14))/(($I141)*$S141))^$W141))</f>
        <v>55.89999999951069</v>
      </c>
      <c r="BN141" s="396">
        <f>$R141/(1+($V141*(('Traffic Data'!Y60*(0.67/14))/(($I141)*$S141))^$W141))</f>
        <v>55.899999999416295</v>
      </c>
      <c r="BO141" s="396">
        <f>$R141/(1+($V141*(('Traffic Data'!Z60*(0.67/14))/(($I141)*$S141))^$W141))</f>
        <v>55.89999999930582</v>
      </c>
      <c r="BP141" s="396">
        <f>$R141/(1+($V141*(('Traffic Data'!AA60*(0.67/14))/(($I141)*$S141))^$W141))</f>
        <v>55.899999999176927</v>
      </c>
      <c r="BQ141" s="396">
        <f>$R141/(1+($V141*(('Traffic Data'!AB60*(0.67/14))/(($I141)*$S141))^$W141))</f>
        <v>55.899999999026811</v>
      </c>
      <c r="BR141" s="396">
        <f>$R141/(1+($V141*(('Traffic Data'!AC60*(0.67/14))/(($I141)*$S141))^$W141))</f>
        <v>55.899999998852579</v>
      </c>
      <c r="BS141" s="396">
        <f>$R141/(1+($V141*(('Traffic Data'!AD60*(0.67/14))/(($I141)*$S141))^$W141))</f>
        <v>55.899999998650642</v>
      </c>
      <c r="BT141" s="396">
        <f>$R141/(1+($V141*(('Traffic Data'!AE60*(0.67/14))/(($I141)*$S141))^$W141))</f>
        <v>55.899999998417272</v>
      </c>
      <c r="BU141" s="396">
        <f>$R141/(1+($V141*(('Traffic Data'!AF60*(0.67/14))/(($I141)*$S141))^$W141))</f>
        <v>55.899999998148331</v>
      </c>
      <c r="BV141" s="396">
        <f>$R141/(1+($V141*(('Traffic Data'!AG60*(0.67/14))/(($I141)*$S141))^$W141))</f>
        <v>55.899999997838769</v>
      </c>
      <c r="BW141" s="651">
        <f>$R141/(1+($V141*(('Traffic Data'!AH60*(0.67/14))/(($I141)*$S141))^$W141))</f>
        <v>55.899999997483391</v>
      </c>
    </row>
    <row r="142" spans="1:75" ht="21.95" customHeight="1" x14ac:dyDescent="0.2">
      <c r="A142" s="642"/>
      <c r="B142" s="288"/>
      <c r="C142" s="289"/>
      <c r="D142" s="289" t="s">
        <v>346</v>
      </c>
      <c r="E142" s="289" t="s">
        <v>343</v>
      </c>
      <c r="F142" s="607">
        <f>'Traffic Data'!CM59</f>
        <v>0.83333333333333337</v>
      </c>
      <c r="G142" s="607">
        <f>'Traffic Data'!CN59</f>
        <v>0.9</v>
      </c>
      <c r="H142" s="608">
        <f>'Traffic Data'!G61</f>
        <v>45</v>
      </c>
      <c r="I142" s="608">
        <v>4</v>
      </c>
      <c r="J142" s="608">
        <f t="shared" si="10"/>
        <v>52</v>
      </c>
      <c r="K142" s="608">
        <v>0</v>
      </c>
      <c r="L142" s="608">
        <v>2.5</v>
      </c>
      <c r="M142" s="608">
        <v>0</v>
      </c>
      <c r="N142" s="608">
        <v>3.6</v>
      </c>
      <c r="O142" s="608">
        <v>0</v>
      </c>
      <c r="P142" s="608">
        <v>0</v>
      </c>
      <c r="Q142" s="608">
        <v>0</v>
      </c>
      <c r="R142" s="290">
        <f t="shared" si="4"/>
        <v>45.9</v>
      </c>
      <c r="S142" s="609">
        <f>F142*G142*M$24</f>
        <v>1425</v>
      </c>
      <c r="T142" s="610">
        <v>0.12</v>
      </c>
      <c r="U142" s="611">
        <v>0.65</v>
      </c>
      <c r="V142" s="612">
        <f t="shared" si="12"/>
        <v>0.2</v>
      </c>
      <c r="W142" s="613">
        <v>10</v>
      </c>
      <c r="X142" s="407">
        <f>$R142/(1+($V142*(('Traffic Data'!J61*$T142*$U142)/(($I142/2)*$S142))^$W142))</f>
        <v>45.899998608523049</v>
      </c>
      <c r="Y142" s="396">
        <f>$R142/(1+($V142*(('Traffic Data'!K61*$T142*$U142)/(($I142/2)*$S142))^$W142))</f>
        <v>45.899998159147884</v>
      </c>
      <c r="Z142" s="396">
        <f>$R142/(1+($V142*(('Traffic Data'!L61*$T142*$U142)/(($I142/2)*$S142))^$W142))</f>
        <v>45.899997510951991</v>
      </c>
      <c r="AA142" s="396">
        <f>$R142/(1+($V142*(('Traffic Data'!M61*$T142*$U142)/(($I142/2)*$S142))^$W142))</f>
        <v>45.899996254557266</v>
      </c>
      <c r="AB142" s="396">
        <f>$R142/(1+($V142*(('Traffic Data'!N61*$T142*$U142)/(($I142/2)*$S142))^$W142))</f>
        <v>45.899994453300941</v>
      </c>
      <c r="AC142" s="396">
        <f>$R142/(1+($V142*(('Traffic Data'!O61*$T142*$U142)/(($I142/2)*$S142))^$W142))</f>
        <v>45.899991906140343</v>
      </c>
      <c r="AD142" s="396">
        <f>$R142/(1+($V142*(('Traffic Data'!P61*$T142*$U142)/(($I142/2)*$S142))^$W142))</f>
        <v>45.89998835231372</v>
      </c>
      <c r="AE142" s="396">
        <f>$R142/(1+($V142*(('Traffic Data'!Q61*$T142*$U142)/(($I142/2)*$S142))^$W142))</f>
        <v>45.899983450693085</v>
      </c>
      <c r="AF142" s="396">
        <f>$R142/(1+($V142*(('Traffic Data'!R61*$T142*$U142)/(($I142/2)*$S142))^$W142))</f>
        <v>45.899975785977276</v>
      </c>
      <c r="AG142" s="396">
        <f>$R142/(1+($V142*(('Traffic Data'!S61*$T142*$U142)/(($I142/2)*$S142))^$W142))</f>
        <v>45.899965066704318</v>
      </c>
      <c r="AH142" s="396">
        <f>$R142/(1+($V142*(('Traffic Data'!T61*$T142*$U142)/(($I142/2)*$S142))^$W142))</f>
        <v>45.899950245091176</v>
      </c>
      <c r="AI142" s="396">
        <f>$R142/(1+($V142*(('Traffic Data'!U61*$T142*$U142)/(($I142/2)*$S142))^$W142))</f>
        <v>45.899929985970488</v>
      </c>
      <c r="AJ142" s="396">
        <f>$R142/(1+($V142*(('Traffic Data'!V61*$T142*$U142)/(($I142/2)*$S142))^$W142))</f>
        <v>45.899902578216363</v>
      </c>
      <c r="AK142" s="396">
        <f>$R142/(1+($V142*(('Traffic Data'!W61*$T142*$U142)/(($I142/2)*$S142))^$W142))</f>
        <v>45.899876283210311</v>
      </c>
      <c r="AL142" s="396">
        <f>$R142/(1+($V142*(('Traffic Data'!X61*$T142*$U142)/(($I142/2)*$S142))^$W142))</f>
        <v>45.899851947729779</v>
      </c>
      <c r="AM142" s="396">
        <f>$R142/(1+($V142*(('Traffic Data'!Y61*$T142*$U142)/(($I142/2)*$S142))^$W142))</f>
        <v>45.899823385760769</v>
      </c>
      <c r="AN142" s="396">
        <f>$R142/(1+($V142*(('Traffic Data'!Z61*$T142*$U142)/(($I142/2)*$S142))^$W142))</f>
        <v>45.899789956974537</v>
      </c>
      <c r="AO142" s="396">
        <f>$R142/(1+($V142*(('Traffic Data'!AA61*$T142*$U142)/(($I142/2)*$S142))^$W142))</f>
        <v>45.899750959168742</v>
      </c>
      <c r="AP142" s="396">
        <f>$R142/(1+($V142*(('Traffic Data'!AB61*$T142*$U142)/(($I142/2)*$S142))^$W142))</f>
        <v>45.899705536801093</v>
      </c>
      <c r="AQ142" s="396">
        <f>$R142/(1+($V142*(('Traffic Data'!AC61*$T142*$U142)/(($I142/2)*$S142))^$W142))</f>
        <v>45.899652818746638</v>
      </c>
      <c r="AR142" s="396">
        <f>$R142/(1+($V142*(('Traffic Data'!AD61*$T142*$U142)/(($I142/2)*$S142))^$W142))</f>
        <v>45.899591719990426</v>
      </c>
      <c r="AS142" s="396">
        <f>$R142/(1+($V142*(('Traffic Data'!AE61*$T142*$U142)/(($I142/2)*$S142))^$W142))</f>
        <v>45.899521108883178</v>
      </c>
      <c r="AT142" s="396">
        <f>$R142/(1+($V142*(('Traffic Data'!AF61*$T142*$U142)/(($I142/2)*$S142))^$W142))</f>
        <v>45.89943973561509</v>
      </c>
      <c r="AU142" s="396">
        <f>$R142/(1+($V142*(('Traffic Data'!AG61*$T142*$U142)/(($I142/2)*$S142))^$W142))</f>
        <v>45.899346071932868</v>
      </c>
      <c r="AV142" s="396">
        <f>$R142/(1+($V142*(('Traffic Data'!AH61*$T142*$U142)/(($I142/2)*$S142))^$W142))</f>
        <v>45.899238544195455</v>
      </c>
      <c r="AW142" s="385">
        <f>$R142/(1+($V142*(('Traffic Data'!AI61*$T142*$U142)/(($I142/2)*$S142))^$W142))</f>
        <v>45.899115424591251</v>
      </c>
      <c r="AX142" s="407">
        <f>$R142/(1+($V142*(('Traffic Data'!J61*(0.67/14))/(($I142)*$S142))^$W142))</f>
        <v>45.899999999989724</v>
      </c>
      <c r="AY142" s="396">
        <f>$R142/(1+($V142*(('Traffic Data'!J61*(0.67/14))/(($I142)*$S142))^$W142))</f>
        <v>45.899999999989724</v>
      </c>
      <c r="AZ142" s="396">
        <f>$R142/(1+($V142*(('Traffic Data'!K61*(0.67/14))/(($I142)*$S142))^$W142))</f>
        <v>45.899999999986413</v>
      </c>
      <c r="BA142" s="396">
        <f>$R142/(1+($V142*(('Traffic Data'!L61*(0.67/14))/(($I142)*$S142))^$W142))</f>
        <v>45.899999999981624</v>
      </c>
      <c r="BB142" s="396">
        <f>$R142/(1+($V142*(('Traffic Data'!M61*(0.67/14))/(($I142)*$S142))^$W142))</f>
        <v>45.899999999972351</v>
      </c>
      <c r="BC142" s="396">
        <f>$R142/(1+($V142*(('Traffic Data'!N61*(0.67/14))/(($I142)*$S142))^$W142))</f>
        <v>45.89999999995905</v>
      </c>
      <c r="BD142" s="396">
        <f>$R142/(1+($V142*(('Traffic Data'!O61*(0.67/14))/(($I142)*$S142))^$W142))</f>
        <v>45.899999999940242</v>
      </c>
      <c r="BE142" s="396">
        <f>$R142/(1+($V142*(('Traffic Data'!P61*(0.67/14))/(($I142)*$S142))^$W142))</f>
        <v>45.899999999914009</v>
      </c>
      <c r="BF142" s="396">
        <f>$R142/(1+($V142*(('Traffic Data'!Q61*(0.67/14))/(($I142)*$S142))^$W142))</f>
        <v>45.899999999877821</v>
      </c>
      <c r="BG142" s="396">
        <f>$R142/(1+($V142*(('Traffic Data'!R61*(0.67/14))/(($I142)*$S142))^$W142))</f>
        <v>45.899999999821233</v>
      </c>
      <c r="BH142" s="396">
        <f>$R142/(1+($V142*(('Traffic Data'!S61*(0.67/14))/(($I142)*$S142))^$W142))</f>
        <v>45.899999999742093</v>
      </c>
      <c r="BI142" s="396">
        <f>$R142/(1+($V142*(('Traffic Data'!T61*(0.67/14))/(($I142)*$S142))^$W142))</f>
        <v>45.899999999632662</v>
      </c>
      <c r="BJ142" s="396">
        <f>$R142/(1+($V142*(('Traffic Data'!U61*(0.67/14))/(($I142)*$S142))^$W142))</f>
        <v>45.8999999994831</v>
      </c>
      <c r="BK142" s="396">
        <f>$R142/(1+($V142*(('Traffic Data'!V61*(0.67/14))/(($I142)*$S142))^$W142))</f>
        <v>45.899999999280752</v>
      </c>
      <c r="BL142" s="396">
        <f>$R142/(1+($V142*(('Traffic Data'!W61*(0.67/14))/(($I142)*$S142))^$W142))</f>
        <v>45.899999999086617</v>
      </c>
      <c r="BM142" s="396">
        <f>$R142/(1+($V142*(('Traffic Data'!X61*(0.67/14))/(($I142)*$S142))^$W142))</f>
        <v>45.899999998906956</v>
      </c>
      <c r="BN142" s="396">
        <f>$R142/(1+($V142*(('Traffic Data'!Y61*(0.67/14))/(($I142)*$S142))^$W142))</f>
        <v>45.899999998696082</v>
      </c>
      <c r="BO142" s="396">
        <f>$R142/(1+($V142*(('Traffic Data'!Z61*(0.67/14))/(($I142)*$S142))^$W142))</f>
        <v>45.899999998449289</v>
      </c>
      <c r="BP142" s="396">
        <f>$R142/(1+($V142*(('Traffic Data'!AA61*(0.67/14))/(($I142)*$S142))^$W142))</f>
        <v>45.89999999816137</v>
      </c>
      <c r="BQ142" s="396">
        <f>$R142/(1+($V142*(('Traffic Data'!AB61*(0.67/14))/(($I142)*$S142))^$W142))</f>
        <v>45.899999997826015</v>
      </c>
      <c r="BR142" s="396">
        <f>$R142/(1+($V142*(('Traffic Data'!AC61*(0.67/14))/(($I142)*$S142))^$W142))</f>
        <v>45.899999997436808</v>
      </c>
      <c r="BS142" s="396">
        <f>$R142/(1+($V142*(('Traffic Data'!AD61*(0.67/14))/(($I142)*$S142))^$W142))</f>
        <v>45.89999999698572</v>
      </c>
      <c r="BT142" s="396">
        <f>$R142/(1+($V142*(('Traffic Data'!AE61*(0.67/14))/(($I142)*$S142))^$W142))</f>
        <v>45.899999996464395</v>
      </c>
      <c r="BU142" s="396">
        <f>$R142/(1+($V142*(('Traffic Data'!AF61*(0.67/14))/(($I142)*$S142))^$W142))</f>
        <v>45.899999995863624</v>
      </c>
      <c r="BV142" s="396">
        <f>$R142/(1+($V142*(('Traffic Data'!AG61*(0.67/14))/(($I142)*$S142))^$W142))</f>
        <v>45.899999995172102</v>
      </c>
      <c r="BW142" s="651">
        <f>$R142/(1+($V142*(('Traffic Data'!AH61*(0.67/14))/(($I142)*$S142))^$W142))</f>
        <v>45.899999994378227</v>
      </c>
    </row>
    <row r="143" spans="1:75" ht="21.95" customHeight="1" x14ac:dyDescent="0.2">
      <c r="A143" s="642"/>
      <c r="B143" s="288"/>
      <c r="C143" s="289"/>
      <c r="D143" s="289" t="s">
        <v>343</v>
      </c>
      <c r="E143" s="289" t="s">
        <v>350</v>
      </c>
      <c r="F143" s="607">
        <f>'Traffic Data'!CM59</f>
        <v>0.83333333333333337</v>
      </c>
      <c r="G143" s="607">
        <f>'Traffic Data'!CN59</f>
        <v>0.9</v>
      </c>
      <c r="H143" s="608">
        <f>'Traffic Data'!G62</f>
        <v>45</v>
      </c>
      <c r="I143" s="608">
        <v>4</v>
      </c>
      <c r="J143" s="608">
        <f t="shared" si="10"/>
        <v>52</v>
      </c>
      <c r="K143" s="608">
        <v>0</v>
      </c>
      <c r="L143" s="608">
        <v>2.5</v>
      </c>
      <c r="M143" s="608">
        <v>0</v>
      </c>
      <c r="N143" s="608">
        <v>3.6</v>
      </c>
      <c r="O143" s="608">
        <v>0</v>
      </c>
      <c r="P143" s="608">
        <v>0</v>
      </c>
      <c r="Q143" s="608">
        <v>0</v>
      </c>
      <c r="R143" s="290">
        <f t="shared" si="4"/>
        <v>45.9</v>
      </c>
      <c r="S143" s="609">
        <f>F143*G143*M$24</f>
        <v>1425</v>
      </c>
      <c r="T143" s="610">
        <v>0.12</v>
      </c>
      <c r="U143" s="611">
        <v>0.65</v>
      </c>
      <c r="V143" s="612">
        <f t="shared" si="12"/>
        <v>0.2</v>
      </c>
      <c r="W143" s="613">
        <v>10</v>
      </c>
      <c r="X143" s="407">
        <f>$R143/(1+($V143*(('Traffic Data'!J62*$T143*$U143)/(($I143/2)*$S143))^$W143))</f>
        <v>45.899999869126233</v>
      </c>
      <c r="Y143" s="396">
        <f>$R143/(1+($V143*(('Traffic Data'!K62*$T143*$U143)/(($I143/2)*$S143))^$W143))</f>
        <v>45.8999998269027</v>
      </c>
      <c r="Z143" s="396">
        <f>$R143/(1+($V143*(('Traffic Data'!L62*$T143*$U143)/(($I143/2)*$S143))^$W143))</f>
        <v>45.899999764143068</v>
      </c>
      <c r="AA143" s="396">
        <f>$R143/(1+($V143*(('Traffic Data'!M62*$T143*$U143)/(($I143/2)*$S143))^$W143))</f>
        <v>45.899999654465667</v>
      </c>
      <c r="AB143" s="396">
        <f>$R143/(1+($V143*(('Traffic Data'!N62*$T143*$U143)/(($I143/2)*$S143))^$W143))</f>
        <v>45.899999500789512</v>
      </c>
      <c r="AC143" s="396">
        <f>$R143/(1+($V143*(('Traffic Data'!O62*$T143*$U143)/(($I143/2)*$S143))^$W143))</f>
        <v>45.899999288163151</v>
      </c>
      <c r="AD143" s="396">
        <f>$R143/(1+($V143*(('Traffic Data'!P62*$T143*$U143)/(($I143/2)*$S143))^$W143))</f>
        <v>45.899998997295938</v>
      </c>
      <c r="AE143" s="396">
        <f>$R143/(1+($V143*(('Traffic Data'!Q62*$T143*$U143)/(($I143/2)*$S143))^$W143))</f>
        <v>45.899998603424784</v>
      </c>
      <c r="AF143" s="396">
        <f>$R143/(1+($V143*(('Traffic Data'!R62*$T143*$U143)/(($I143/2)*$S143))^$W143))</f>
        <v>45.899997994806959</v>
      </c>
      <c r="AG143" s="396">
        <f>$R143/(1+($V143*(('Traffic Data'!S62*$T143*$U143)/(($I143/2)*$S143))^$W143))</f>
        <v>45.899997157121881</v>
      </c>
      <c r="AH143" s="396">
        <f>$R143/(1+($V143*(('Traffic Data'!T62*$T143*$U143)/(($I143/2)*$S143))^$W143))</f>
        <v>45.899996016811997</v>
      </c>
      <c r="AI143" s="396">
        <f>$R143/(1+($V143*(('Traffic Data'!U62*$T143*$U143)/(($I143/2)*$S143))^$W143))</f>
        <v>45.899994479937256</v>
      </c>
      <c r="AJ143" s="396">
        <f>$R143/(1+($V143*(('Traffic Data'!V62*$T143*$U143)/(($I143/2)*$S143))^$W143))</f>
        <v>45.899992428134517</v>
      </c>
      <c r="AK143" s="396">
        <f>$R143/(1+($V143*(('Traffic Data'!W62*$T143*$U143)/(($I143/2)*$S143))^$W143))</f>
        <v>45.899990295754669</v>
      </c>
      <c r="AL143" s="396">
        <f>$R143/(1+($V143*(('Traffic Data'!X62*$T143*$U143)/(($I143/2)*$S143))^$W143))</f>
        <v>45.899988350826568</v>
      </c>
      <c r="AM143" s="396">
        <f>$R143/(1+($V143*(('Traffic Data'!Y62*$T143*$U143)/(($I143/2)*$S143))^$W143))</f>
        <v>45.899986061847436</v>
      </c>
      <c r="AN143" s="396">
        <f>$R143/(1+($V143*(('Traffic Data'!Z62*$T143*$U143)/(($I143/2)*$S143))^$W143))</f>
        <v>45.899983375743055</v>
      </c>
      <c r="AO143" s="396">
        <f>$R143/(1+($V143*(('Traffic Data'!AA62*$T143*$U143)/(($I143/2)*$S143))^$W143))</f>
        <v>45.899980233405877</v>
      </c>
      <c r="AP143" s="396">
        <f>$R143/(1+($V143*(('Traffic Data'!AB62*$T143*$U143)/(($I143/2)*$S143))^$W143))</f>
        <v>45.899976565087002</v>
      </c>
      <c r="AQ143" s="396">
        <f>$R143/(1+($V143*(('Traffic Data'!AC62*$T143*$U143)/(($I143/2)*$S143))^$W143))</f>
        <v>45.899972296405011</v>
      </c>
      <c r="AR143" s="396">
        <f>$R143/(1+($V143*(('Traffic Data'!AD62*$T143*$U143)/(($I143/2)*$S143))^$W143))</f>
        <v>45.899967338685457</v>
      </c>
      <c r="AS143" s="396">
        <f>$R143/(1+($V143*(('Traffic Data'!AE62*$T143*$U143)/(($I143/2)*$S143))^$W143))</f>
        <v>45.899961596291647</v>
      </c>
      <c r="AT143" s="396">
        <f>$R143/(1+($V143*(('Traffic Data'!AF62*$T143*$U143)/(($I143/2)*$S143))^$W143))</f>
        <v>45.899954962801154</v>
      </c>
      <c r="AU143" s="396">
        <f>$R143/(1+($V143*(('Traffic Data'!AG62*$T143*$U143)/(($I143/2)*$S143))^$W143))</f>
        <v>45.899947312919259</v>
      </c>
      <c r="AV143" s="396">
        <f>$R143/(1+($V143*(('Traffic Data'!AH62*$T143*$U143)/(($I143/2)*$S143))^$W143))</f>
        <v>45.899938512830701</v>
      </c>
      <c r="AW143" s="385">
        <f>$R143/(1+($V143*(('Traffic Data'!AI62*$T143*$U143)/(($I143/2)*$S143))^$W143))</f>
        <v>45.899928414475553</v>
      </c>
      <c r="AX143" s="407">
        <f>$R143/(1+($V143*(('Traffic Data'!J62*(0.67/14))/(($I143)*$S143))^$W143))</f>
        <v>45.899999999999032</v>
      </c>
      <c r="AY143" s="396">
        <f>$R143/(1+($V143*(('Traffic Data'!J62*(0.67/14))/(($I143)*$S143))^$W143))</f>
        <v>45.899999999999032</v>
      </c>
      <c r="AZ143" s="396">
        <f>$R143/(1+($V143*(('Traffic Data'!K62*(0.67/14))/(($I143)*$S143))^$W143))</f>
        <v>45.899999999998727</v>
      </c>
      <c r="BA143" s="396">
        <f>$R143/(1+($V143*(('Traffic Data'!L62*(0.67/14))/(($I143)*$S143))^$W143))</f>
        <v>45.899999999998258</v>
      </c>
      <c r="BB143" s="396">
        <f>$R143/(1+($V143*(('Traffic Data'!M62*(0.67/14))/(($I143)*$S143))^$W143))</f>
        <v>45.899999999997448</v>
      </c>
      <c r="BC143" s="396">
        <f>$R143/(1+($V143*(('Traffic Data'!N62*(0.67/14))/(($I143)*$S143))^$W143))</f>
        <v>45.899999999996311</v>
      </c>
      <c r="BD143" s="396">
        <f>$R143/(1+($V143*(('Traffic Data'!O62*(0.67/14))/(($I143)*$S143))^$W143))</f>
        <v>45.899999999994741</v>
      </c>
      <c r="BE143" s="396">
        <f>$R143/(1+($V143*(('Traffic Data'!P62*(0.67/14))/(($I143)*$S143))^$W143))</f>
        <v>45.899999999992602</v>
      </c>
      <c r="BF143" s="396">
        <f>$R143/(1+($V143*(('Traffic Data'!Q62*(0.67/14))/(($I143)*$S143))^$W143))</f>
        <v>45.899999999989681</v>
      </c>
      <c r="BG143" s="396">
        <f>$R143/(1+($V143*(('Traffic Data'!R62*(0.67/14))/(($I143)*$S143))^$W143))</f>
        <v>45.899999999985191</v>
      </c>
      <c r="BH143" s="396">
        <f>$R143/(1+($V143*(('Traffic Data'!S62*(0.67/14))/(($I143)*$S143))^$W143))</f>
        <v>45.899999999979016</v>
      </c>
      <c r="BI143" s="396">
        <f>$R143/(1+($V143*(('Traffic Data'!T62*(0.67/14))/(($I143)*$S143))^$W143))</f>
        <v>45.899999999970596</v>
      </c>
      <c r="BJ143" s="396">
        <f>$R143/(1+($V143*(('Traffic Data'!U62*(0.67/14))/(($I143)*$S143))^$W143))</f>
        <v>45.899999999959242</v>
      </c>
      <c r="BK143" s="396">
        <f>$R143/(1+($V143*(('Traffic Data'!V62*(0.67/14))/(($I143)*$S143))^$W143))</f>
        <v>45.899999999944093</v>
      </c>
      <c r="BL143" s="396">
        <f>$R143/(1+($V143*(('Traffic Data'!W62*(0.67/14))/(($I143)*$S143))^$W143))</f>
        <v>45.899999999928347</v>
      </c>
      <c r="BM143" s="396">
        <f>$R143/(1+($V143*(('Traffic Data'!X62*(0.67/14))/(($I143)*$S143))^$W143))</f>
        <v>45.899999999914002</v>
      </c>
      <c r="BN143" s="396">
        <f>$R143/(1+($V143*(('Traffic Data'!Y62*(0.67/14))/(($I143)*$S143))^$W143))</f>
        <v>45.899999999897091</v>
      </c>
      <c r="BO143" s="396">
        <f>$R143/(1+($V143*(('Traffic Data'!Z62*(0.67/14))/(($I143)*$S143))^$W143))</f>
        <v>45.899999999877267</v>
      </c>
      <c r="BP143" s="396">
        <f>$R143/(1+($V143*(('Traffic Data'!AA62*(0.67/14))/(($I143)*$S143))^$W143))</f>
        <v>45.89999999985406</v>
      </c>
      <c r="BQ143" s="396">
        <f>$R143/(1+($V143*(('Traffic Data'!AB62*(0.67/14))/(($I143)*$S143))^$W143))</f>
        <v>45.899999999826981</v>
      </c>
      <c r="BR143" s="396">
        <f>$R143/(1+($V143*(('Traffic Data'!AC62*(0.67/14))/(($I143)*$S143))^$W143))</f>
        <v>45.899999999795469</v>
      </c>
      <c r="BS143" s="396">
        <f>$R143/(1+($V143*(('Traffic Data'!AD62*(0.67/14))/(($I143)*$S143))^$W143))</f>
        <v>45.899999999758869</v>
      </c>
      <c r="BT143" s="396">
        <f>$R143/(1+($V143*(('Traffic Data'!AE62*(0.67/14))/(($I143)*$S143))^$W143))</f>
        <v>45.899999999716471</v>
      </c>
      <c r="BU143" s="396">
        <f>$R143/(1+($V143*(('Traffic Data'!AF62*(0.67/14))/(($I143)*$S143))^$W143))</f>
        <v>45.8999999996675</v>
      </c>
      <c r="BV143" s="396">
        <f>$R143/(1+($V143*(('Traffic Data'!AG62*(0.67/14))/(($I143)*$S143))^$W143))</f>
        <v>45.899999999611019</v>
      </c>
      <c r="BW143" s="651">
        <f>$R143/(1+($V143*(('Traffic Data'!AH62*(0.67/14))/(($I143)*$S143))^$W143))</f>
        <v>45.899999999546054</v>
      </c>
    </row>
    <row r="144" spans="1:75" ht="21.95" customHeight="1" x14ac:dyDescent="0.2">
      <c r="A144" s="642"/>
      <c r="B144" s="288"/>
      <c r="C144" s="289"/>
      <c r="D144" s="289" t="s">
        <v>350</v>
      </c>
      <c r="E144" s="289" t="s">
        <v>280</v>
      </c>
      <c r="F144" s="607">
        <f>'Traffic Data'!CM59</f>
        <v>0.83333333333333337</v>
      </c>
      <c r="G144" s="607">
        <f>'Traffic Data'!CN59</f>
        <v>0.9</v>
      </c>
      <c r="H144" s="608">
        <f>'Traffic Data'!G63</f>
        <v>55</v>
      </c>
      <c r="I144" s="608">
        <v>4</v>
      </c>
      <c r="J144" s="608">
        <f t="shared" si="10"/>
        <v>62</v>
      </c>
      <c r="K144" s="608">
        <v>0</v>
      </c>
      <c r="L144" s="608">
        <v>2.5</v>
      </c>
      <c r="M144" s="608">
        <v>0</v>
      </c>
      <c r="N144" s="608">
        <v>3.6</v>
      </c>
      <c r="O144" s="608">
        <v>0</v>
      </c>
      <c r="P144" s="608">
        <v>0</v>
      </c>
      <c r="Q144" s="608">
        <v>0</v>
      </c>
      <c r="R144" s="290">
        <f t="shared" si="4"/>
        <v>55.9</v>
      </c>
      <c r="S144" s="609">
        <f>F144*G144*M$22</f>
        <v>1575</v>
      </c>
      <c r="T144" s="610">
        <v>0.12</v>
      </c>
      <c r="U144" s="611">
        <v>0.65</v>
      </c>
      <c r="V144" s="612">
        <f t="shared" si="12"/>
        <v>0.2</v>
      </c>
      <c r="W144" s="613">
        <v>10</v>
      </c>
      <c r="X144" s="407">
        <f>$R144/(1+($V144*(('Traffic Data'!J63*$T144*$U144)/(($I144/2)*$S144))^$W144))</f>
        <v>55.899999941413874</v>
      </c>
      <c r="Y144" s="396">
        <f>$R144/(1+($V144*(('Traffic Data'!K63*$T144*$U144)/(($I144/2)*$S144))^$W144))</f>
        <v>55.89999992251235</v>
      </c>
      <c r="Z144" s="396">
        <f>$R144/(1+($V144*(('Traffic Data'!L63*$T144*$U144)/(($I144/2)*$S144))^$W144))</f>
        <v>55.899999894417768</v>
      </c>
      <c r="AA144" s="396">
        <f>$R144/(1+($V144*(('Traffic Data'!M63*$T144*$U144)/(($I144/2)*$S144))^$W144))</f>
        <v>55.899999845320266</v>
      </c>
      <c r="AB144" s="396">
        <f>$R144/(1+($V144*(('Traffic Data'!N63*$T144*$U144)/(($I144/2)*$S144))^$W144))</f>
        <v>55.899999776526577</v>
      </c>
      <c r="AC144" s="396">
        <f>$R144/(1+($V144*(('Traffic Data'!O63*$T144*$U144)/(($I144/2)*$S144))^$W144))</f>
        <v>55.899999681343601</v>
      </c>
      <c r="AD144" s="396">
        <f>$R144/(1+($V144*(('Traffic Data'!P63*$T144*$U144)/(($I144/2)*$S144))^$W144))</f>
        <v>55.899999551135799</v>
      </c>
      <c r="AE144" s="396">
        <f>$R144/(1+($V144*(('Traffic Data'!Q63*$T144*$U144)/(($I144/2)*$S144))^$W144))</f>
        <v>55.899999374817924</v>
      </c>
      <c r="AF144" s="396">
        <f>$R144/(1+($V144*(('Traffic Data'!R63*$T144*$U144)/(($I144/2)*$S144))^$W144))</f>
        <v>55.899999102367879</v>
      </c>
      <c r="AG144" s="396">
        <f>$R144/(1+($V144*(('Traffic Data'!S63*$T144*$U144)/(($I144/2)*$S144))^$W144))</f>
        <v>55.899998727375021</v>
      </c>
      <c r="AH144" s="396">
        <f>$R144/(1+($V144*(('Traffic Data'!T63*$T144*$U144)/(($I144/2)*$S144))^$W144))</f>
        <v>55.89999821691103</v>
      </c>
      <c r="AI144" s="396">
        <f>$R144/(1+($V144*(('Traffic Data'!U63*$T144*$U144)/(($I144/2)*$S144))^$W144))</f>
        <v>55.899997528923265</v>
      </c>
      <c r="AJ144" s="396">
        <f>$R144/(1+($V144*(('Traffic Data'!V63*$T144*$U144)/(($I144/2)*$S144))^$W144))</f>
        <v>55.899996610425994</v>
      </c>
      <c r="AK144" s="396">
        <f>$R144/(1+($V144*(('Traffic Data'!W63*$T144*$U144)/(($I144/2)*$S144))^$W144))</f>
        <v>55.899995655858021</v>
      </c>
      <c r="AL144" s="396">
        <f>$R144/(1+($V144*(('Traffic Data'!X63*$T144*$U144)/(($I144/2)*$S144))^$W144))</f>
        <v>55.899994785203496</v>
      </c>
      <c r="AM144" s="396">
        <f>$R144/(1+($V144*(('Traffic Data'!Y63*$T144*$U144)/(($I144/2)*$S144))^$W144))</f>
        <v>55.89999376053315</v>
      </c>
      <c r="AN144" s="396">
        <f>$R144/(1+($V144*(('Traffic Data'!Z63*$T144*$U144)/(($I144/2)*$S144))^$W144))</f>
        <v>55.899992558088066</v>
      </c>
      <c r="AO144" s="396">
        <f>$R144/(1+($V144*(('Traffic Data'!AA63*$T144*$U144)/(($I144/2)*$S144))^$W144))</f>
        <v>55.899991151408472</v>
      </c>
      <c r="AP144" s="396">
        <f>$R144/(1+($V144*(('Traffic Data'!AB63*$T144*$U144)/(($I144/2)*$S144))^$W144))</f>
        <v>55.899989509270952</v>
      </c>
      <c r="AQ144" s="396">
        <f>$R144/(1+($V144*(('Traffic Data'!AC63*$T144*$U144)/(($I144/2)*$S144))^$W144))</f>
        <v>55.899987598378296</v>
      </c>
      <c r="AR144" s="396">
        <f>$R144/(1+($V144*(('Traffic Data'!AD63*$T144*$U144)/(($I144/2)*$S144))^$W144))</f>
        <v>55.899985379034909</v>
      </c>
      <c r="AS144" s="396">
        <f>$R144/(1+($V144*(('Traffic Data'!AE63*$T144*$U144)/(($I144/2)*$S144))^$W144))</f>
        <v>55.899982808428518</v>
      </c>
      <c r="AT144" s="396">
        <f>$R144/(1+($V144*(('Traffic Data'!AF63*$T144*$U144)/(($I144/2)*$S144))^$W144))</f>
        <v>55.899979838918505</v>
      </c>
      <c r="AU144" s="396">
        <f>$R144/(1+($V144*(('Traffic Data'!AG63*$T144*$U144)/(($I144/2)*$S144))^$W144))</f>
        <v>55.899976414415917</v>
      </c>
      <c r="AV144" s="396">
        <f>$R144/(1+($V144*(('Traffic Data'!AH63*$T144*$U144)/(($I144/2)*$S144))^$W144))</f>
        <v>55.899972475017449</v>
      </c>
      <c r="AW144" s="385">
        <f>$R144/(1+($V144*(('Traffic Data'!AI63*$T144*$U144)/(($I144/2)*$S144))^$W144))</f>
        <v>55.899967954443063</v>
      </c>
      <c r="AX144" s="407">
        <f>$R144/(1+($V144*(('Traffic Data'!J63*(0.67/14))/(($I144)*$S144))^$W144))</f>
        <v>55.899999999999565</v>
      </c>
      <c r="AY144" s="396">
        <f>$R144/(1+($V144*(('Traffic Data'!J63*(0.67/14))/(($I144)*$S144))^$W144))</f>
        <v>55.899999999999565</v>
      </c>
      <c r="AZ144" s="396">
        <f>$R144/(1+($V144*(('Traffic Data'!K63*(0.67/14))/(($I144)*$S144))^$W144))</f>
        <v>55.89999999999943</v>
      </c>
      <c r="BA144" s="396">
        <f>$R144/(1+($V144*(('Traffic Data'!L63*(0.67/14))/(($I144)*$S144))^$W144))</f>
        <v>55.899999999999217</v>
      </c>
      <c r="BB144" s="396">
        <f>$R144/(1+($V144*(('Traffic Data'!M63*(0.67/14))/(($I144)*$S144))^$W144))</f>
        <v>55.899999999998855</v>
      </c>
      <c r="BC144" s="396">
        <f>$R144/(1+($V144*(('Traffic Data'!N63*(0.67/14))/(($I144)*$S144))^$W144))</f>
        <v>55.89999999999835</v>
      </c>
      <c r="BD144" s="396">
        <f>$R144/(1+($V144*(('Traffic Data'!O63*(0.67/14))/(($I144)*$S144))^$W144))</f>
        <v>55.89999999999764</v>
      </c>
      <c r="BE144" s="396">
        <f>$R144/(1+($V144*(('Traffic Data'!P63*(0.67/14))/(($I144)*$S144))^$W144))</f>
        <v>55.899999999996687</v>
      </c>
      <c r="BF144" s="396">
        <f>$R144/(1+($V144*(('Traffic Data'!Q63*(0.67/14))/(($I144)*$S144))^$W144))</f>
        <v>55.89999999999538</v>
      </c>
      <c r="BG144" s="396">
        <f>$R144/(1+($V144*(('Traffic Data'!R63*(0.67/14))/(($I144)*$S144))^$W144))</f>
        <v>55.899999999993369</v>
      </c>
      <c r="BH144" s="396">
        <f>$R144/(1+($V144*(('Traffic Data'!S63*(0.67/14))/(($I144)*$S144))^$W144))</f>
        <v>55.899999999990605</v>
      </c>
      <c r="BI144" s="396">
        <f>$R144/(1+($V144*(('Traffic Data'!T63*(0.67/14))/(($I144)*$S144))^$W144))</f>
        <v>55.899999999986832</v>
      </c>
      <c r="BJ144" s="396">
        <f>$R144/(1+($V144*(('Traffic Data'!U63*(0.67/14))/(($I144)*$S144))^$W144))</f>
        <v>55.899999999981752</v>
      </c>
      <c r="BK144" s="396">
        <f>$R144/(1+($V144*(('Traffic Data'!V63*(0.67/14))/(($I144)*$S144))^$W144))</f>
        <v>55.899999999974973</v>
      </c>
      <c r="BL144" s="396">
        <f>$R144/(1+($V144*(('Traffic Data'!W63*(0.67/14))/(($I144)*$S144))^$W144))</f>
        <v>55.899999999967925</v>
      </c>
      <c r="BM144" s="396">
        <f>$R144/(1+($V144*(('Traffic Data'!X63*(0.67/14))/(($I144)*$S144))^$W144))</f>
        <v>55.899999999961494</v>
      </c>
      <c r="BN144" s="396">
        <f>$R144/(1+($V144*(('Traffic Data'!Y63*(0.67/14))/(($I144)*$S144))^$W144))</f>
        <v>55.899999999953934</v>
      </c>
      <c r="BO144" s="396">
        <f>$R144/(1+($V144*(('Traffic Data'!Z63*(0.67/14))/(($I144)*$S144))^$W144))</f>
        <v>55.899999999945059</v>
      </c>
      <c r="BP144" s="396">
        <f>$R144/(1+($V144*(('Traffic Data'!AA63*(0.67/14))/(($I144)*$S144))^$W144))</f>
        <v>55.899999999934671</v>
      </c>
      <c r="BQ144" s="396">
        <f>$R144/(1+($V144*(('Traffic Data'!AB63*(0.67/14))/(($I144)*$S144))^$W144))</f>
        <v>55.899999999922549</v>
      </c>
      <c r="BR144" s="396">
        <f>$R144/(1+($V144*(('Traffic Data'!AC63*(0.67/14))/(($I144)*$S144))^$W144))</f>
        <v>55.899999999908445</v>
      </c>
      <c r="BS144" s="396">
        <f>$R144/(1+($V144*(('Traffic Data'!AD63*(0.67/14))/(($I144)*$S144))^$W144))</f>
        <v>55.899999999892046</v>
      </c>
      <c r="BT144" s="396">
        <f>$R144/(1+($V144*(('Traffic Data'!AE63*(0.67/14))/(($I144)*$S144))^$W144))</f>
        <v>55.899999999873067</v>
      </c>
      <c r="BU144" s="396">
        <f>$R144/(1+($V144*(('Traffic Data'!AF63*(0.67/14))/(($I144)*$S144))^$W144))</f>
        <v>55.899999999851147</v>
      </c>
      <c r="BV144" s="396">
        <f>$R144/(1+($V144*(('Traffic Data'!AG63*(0.67/14))/(($I144)*$S144))^$W144))</f>
        <v>55.899999999825866</v>
      </c>
      <c r="BW144" s="651">
        <f>$R144/(1+($V144*(('Traffic Data'!AH63*(0.67/14))/(($I144)*$S144))^$W144))</f>
        <v>55.899999999796783</v>
      </c>
    </row>
    <row r="145" spans="1:75" ht="21.95" customHeight="1" thickBot="1" x14ac:dyDescent="0.25">
      <c r="A145" s="642"/>
      <c r="B145" s="319"/>
      <c r="C145" s="320"/>
      <c r="D145" s="320" t="s">
        <v>280</v>
      </c>
      <c r="E145" s="320" t="s">
        <v>333</v>
      </c>
      <c r="F145" s="635">
        <f>'Traffic Data'!CM59</f>
        <v>0.83333333333333337</v>
      </c>
      <c r="G145" s="635">
        <f>'Traffic Data'!CN59</f>
        <v>0.9</v>
      </c>
      <c r="H145" s="636">
        <f>'Traffic Data'!G64</f>
        <v>55</v>
      </c>
      <c r="I145" s="636">
        <v>2</v>
      </c>
      <c r="J145" s="636">
        <f t="shared" si="10"/>
        <v>62</v>
      </c>
      <c r="K145" s="636">
        <v>4.2</v>
      </c>
      <c r="L145" s="636">
        <v>2.5</v>
      </c>
      <c r="M145" s="636">
        <v>0</v>
      </c>
      <c r="N145" s="636">
        <v>0</v>
      </c>
      <c r="O145" s="636">
        <v>0</v>
      </c>
      <c r="P145" s="636">
        <v>0</v>
      </c>
      <c r="Q145" s="636">
        <v>0</v>
      </c>
      <c r="R145" s="321">
        <f t="shared" si="4"/>
        <v>55.3</v>
      </c>
      <c r="S145" s="637">
        <f>F145*G145*N$22</f>
        <v>600</v>
      </c>
      <c r="T145" s="638">
        <v>0.12</v>
      </c>
      <c r="U145" s="639">
        <v>0.65</v>
      </c>
      <c r="V145" s="640">
        <f t="shared" si="12"/>
        <v>0.2</v>
      </c>
      <c r="W145" s="641">
        <v>10</v>
      </c>
      <c r="X145" s="407">
        <f>$R145/(1+($V145*(('Traffic Data'!J64*$T145*$U145)/(($I145/2)*$S145))^$W145))</f>
        <v>55.299903328088064</v>
      </c>
      <c r="Y145" s="396">
        <f>$R145/(1+($V145*(('Traffic Data'!K64*$T145*$U145)/(($I145/2)*$S145))^$W145))</f>
        <v>55.299872139104522</v>
      </c>
      <c r="Z145" s="396">
        <f>$R145/(1+($V145*(('Traffic Data'!L64*$T145*$U145)/(($I145/2)*$S145))^$W145))</f>
        <v>55.299825780914766</v>
      </c>
      <c r="AA145" s="396">
        <f>$R145/(1+($V145*(('Traffic Data'!M64*$T145*$U145)/(($I145/2)*$S145))^$W145))</f>
        <v>55.299744766508944</v>
      </c>
      <c r="AB145" s="396">
        <f>$R145/(1+($V145*(('Traffic Data'!N64*$T145*$U145)/(($I145/2)*$S145))^$W145))</f>
        <v>55.299631252346366</v>
      </c>
      <c r="AC145" s="396">
        <f>$R145/(1+($V145*(('Traffic Data'!O64*$T145*$U145)/(($I145/2)*$S145))^$W145))</f>
        <v>55.299474194895502</v>
      </c>
      <c r="AD145" s="396">
        <f>$R145/(1+($V145*(('Traffic Data'!P64*$T145*$U145)/(($I145/2)*$S145))^$W145))</f>
        <v>55.299259345915843</v>
      </c>
      <c r="AE145" s="396">
        <f>$R145/(1+($V145*(('Traffic Data'!Q64*$T145*$U145)/(($I145/2)*$S145))^$W145))</f>
        <v>55.29896841576236</v>
      </c>
      <c r="AF145" s="396">
        <f>$R145/(1+($V145*(('Traffic Data'!R64*$T145*$U145)/(($I145/2)*$S145))^$W145))</f>
        <v>55.298518870509625</v>
      </c>
      <c r="AG145" s="396">
        <f>$R145/(1+($V145*(('Traffic Data'!S64*$T145*$U145)/(($I145/2)*$S145))^$W145))</f>
        <v>55.297900140526224</v>
      </c>
      <c r="AH145" s="396">
        <f>$R145/(1+($V145*(('Traffic Data'!T64*$T145*$U145)/(($I145/2)*$S145))^$W145))</f>
        <v>55.297057908389334</v>
      </c>
      <c r="AI145" s="396">
        <f>$R145/(1+($V145*(('Traffic Data'!U64*$T145*$U145)/(($I145/2)*$S145))^$W145))</f>
        <v>55.295922814221832</v>
      </c>
      <c r="AJ145" s="396">
        <f>$R145/(1+($V145*(('Traffic Data'!V64*$T145*$U145)/(($I145/2)*$S145))^$W145))</f>
        <v>55.294407480664205</v>
      </c>
      <c r="AK145" s="396">
        <f>$R145/(1+($V145*(('Traffic Data'!W64*$T145*$U145)/(($I145/2)*$S145))^$W145))</f>
        <v>55.292832725739309</v>
      </c>
      <c r="AL145" s="396">
        <f>$R145/(1+($V145*(('Traffic Data'!X64*$T145*$U145)/(($I145/2)*$S145))^$W145))</f>
        <v>55.291396481356756</v>
      </c>
      <c r="AM145" s="396">
        <f>$R145/(1+($V145*(('Traffic Data'!Y64*$T145*$U145)/(($I145/2)*$S145))^$W145))</f>
        <v>55.289706265740314</v>
      </c>
      <c r="AN145" s="396">
        <f>$R145/(1+($V145*(('Traffic Data'!Z64*$T145*$U145)/(($I145/2)*$S145))^$W145))</f>
        <v>55.287722938607139</v>
      </c>
      <c r="AO145" s="396">
        <f>$R145/(1+($V145*(('Traffic Data'!AA64*$T145*$U145)/(($I145/2)*$S145))^$W145))</f>
        <v>55.285402925155033</v>
      </c>
      <c r="AP145" s="396">
        <f>$R145/(1+($V145*(('Traffic Data'!AB64*$T145*$U145)/(($I145/2)*$S145))^$W145))</f>
        <v>55.282694820980794</v>
      </c>
      <c r="AQ145" s="396">
        <f>$R145/(1+($V145*(('Traffic Data'!AC64*$T145*$U145)/(($I145/2)*$S145))^$W145))</f>
        <v>55.279543837445445</v>
      </c>
      <c r="AR145" s="396">
        <f>$R145/(1+($V145*(('Traffic Data'!AD64*$T145*$U145)/(($I145/2)*$S145))^$W145))</f>
        <v>55.275884681881749</v>
      </c>
      <c r="AS145" s="396">
        <f>$R145/(1+($V145*(('Traffic Data'!AE64*$T145*$U145)/(($I145/2)*$S145))^$W145))</f>
        <v>55.271646984448161</v>
      </c>
      <c r="AT145" s="396">
        <f>$R145/(1+($V145*(('Traffic Data'!AF64*$T145*$U145)/(($I145/2)*$S145))^$W145))</f>
        <v>55.26675249445433</v>
      </c>
      <c r="AU145" s="396">
        <f>$R145/(1+($V145*(('Traffic Data'!AG64*$T145*$U145)/(($I145/2)*$S145))^$W145))</f>
        <v>55.26110913919279</v>
      </c>
      <c r="AV145" s="396">
        <f>$R145/(1+($V145*(('Traffic Data'!AH64*$T145*$U145)/(($I145/2)*$S145))^$W145))</f>
        <v>55.254618693819353</v>
      </c>
      <c r="AW145" s="391">
        <f>$R145/(1+($V145*(('Traffic Data'!AI64*$T145*$U145)/(($I145/2)*$S145))^$W145))</f>
        <v>55.24717259603203</v>
      </c>
      <c r="AX145" s="469">
        <f>$R145/(1+($V145*(('Traffic Data'!J64*(0.67/14))/(($I145)*$S145))^$W145))</f>
        <v>55.299999999286285</v>
      </c>
      <c r="AY145" s="396">
        <f>$R145/(1+($V145*(('Traffic Data'!J64*(0.67/14))/(($I145)*$S145))^$W145))</f>
        <v>55.299999999286285</v>
      </c>
      <c r="AZ145" s="396">
        <f>$R145/(1+($V145*(('Traffic Data'!K64*(0.67/14))/(($I145)*$S145))^$W145))</f>
        <v>55.29999999905602</v>
      </c>
      <c r="BA145" s="396">
        <f>$R145/(1+($V145*(('Traffic Data'!L64*(0.67/14))/(($I145)*$S145))^$W145))</f>
        <v>55.299999998713766</v>
      </c>
      <c r="BB145" s="396">
        <f>$R145/(1+($V145*(('Traffic Data'!M64*(0.67/14))/(($I145)*$S145))^$W145))</f>
        <v>55.299999998115652</v>
      </c>
      <c r="BC145" s="396">
        <f>$R145/(1+($V145*(('Traffic Data'!N64*(0.67/14))/(($I145)*$S145))^$W145))</f>
        <v>55.299999997277581</v>
      </c>
      <c r="BD145" s="396">
        <f>$R145/(1+($V145*(('Traffic Data'!O64*(0.67/14))/(($I145)*$S145))^$W145))</f>
        <v>55.299999996118046</v>
      </c>
      <c r="BE145" s="396">
        <f>$R145/(1+($V145*(('Traffic Data'!P64*(0.67/14))/(($I145)*$S145))^$W145))</f>
        <v>55.299999994531809</v>
      </c>
      <c r="BF145" s="396">
        <f>$R145/(1+($V145*(('Traffic Data'!Q64*(0.67/14))/(($I145)*$S145))^$W145))</f>
        <v>55.299999992383867</v>
      </c>
      <c r="BG145" s="396">
        <f>$R145/(1+($V145*(('Traffic Data'!R64*(0.67/14))/(($I145)*$S145))^$W145))</f>
        <v>55.299999989064801</v>
      </c>
      <c r="BH145" s="396">
        <f>$R145/(1+($V145*(('Traffic Data'!S64*(0.67/14))/(($I145)*$S145))^$W145))</f>
        <v>55.299999984496544</v>
      </c>
      <c r="BI145" s="396">
        <f>$R145/(1+($V145*(('Traffic Data'!T64*(0.67/14))/(($I145)*$S145))^$W145))</f>
        <v>55.299999978277938</v>
      </c>
      <c r="BJ145" s="396">
        <f>$R145/(1+($V145*(('Traffic Data'!U64*(0.67/14))/(($I145)*$S145))^$W145))</f>
        <v>55.299999969896689</v>
      </c>
      <c r="BK145" s="396">
        <f>$R145/(1+($V145*(('Traffic Data'!V64*(0.67/14))/(($I145)*$S145))^$W145))</f>
        <v>55.299999958707311</v>
      </c>
      <c r="BL145" s="396">
        <f>$R145/(1+($V145*(('Traffic Data'!W64*(0.67/14))/(($I145)*$S145))^$W145))</f>
        <v>55.299999947078511</v>
      </c>
      <c r="BM145" s="396">
        <f>$R145/(1+($V145*(('Traffic Data'!X64*(0.67/14))/(($I145)*$S145))^$W145))</f>
        <v>55.299999936471977</v>
      </c>
      <c r="BN145" s="396">
        <f>$R145/(1+($V145*(('Traffic Data'!Y64*(0.67/14))/(($I145)*$S145))^$W145))</f>
        <v>55.299999923989162</v>
      </c>
      <c r="BO145" s="396">
        <f>$R145/(1+($V145*(('Traffic Data'!Z64*(0.67/14))/(($I145)*$S145))^$W145))</f>
        <v>55.299999909340663</v>
      </c>
      <c r="BP145" s="396">
        <f>$R145/(1+($V145*(('Traffic Data'!AA64*(0.67/14))/(($I145)*$S145))^$W145))</f>
        <v>55.299999892204113</v>
      </c>
      <c r="BQ145" s="396">
        <f>$R145/(1+($V145*(('Traffic Data'!AB64*(0.67/14))/(($I145)*$S145))^$W145))</f>
        <v>55.299999872199152</v>
      </c>
      <c r="BR145" s="396">
        <f>$R145/(1+($V145*(('Traffic Data'!AC64*(0.67/14))/(($I145)*$S145))^$W145))</f>
        <v>55.299999848920152</v>
      </c>
      <c r="BS145" s="396">
        <f>$R145/(1+($V145*(('Traffic Data'!AD64*(0.67/14))/(($I145)*$S145))^$W145))</f>
        <v>55.299999821883517</v>
      </c>
      <c r="BT145" s="396">
        <f>$R145/(1+($V145*(('Traffic Data'!AE64*(0.67/14))/(($I145)*$S145))^$W145))</f>
        <v>55.299999790567696</v>
      </c>
      <c r="BU145" s="396">
        <f>$R145/(1+($V145*(('Traffic Data'!AF64*(0.67/14))/(($I145)*$S145))^$W145))</f>
        <v>55.299999754392317</v>
      </c>
      <c r="BV145" s="396">
        <f>$R145/(1+($V145*(('Traffic Data'!AG64*(0.67/14))/(($I145)*$S145))^$W145))</f>
        <v>55.299999712674101</v>
      </c>
      <c r="BW145" s="651">
        <f>$R145/(1+($V145*(('Traffic Data'!AH64*(0.67/14))/(($I145)*$S145))^$W145))</f>
        <v>55.29999966468327</v>
      </c>
    </row>
    <row r="146" spans="1:75" ht="21.95" customHeight="1" x14ac:dyDescent="0.2">
      <c r="A146" s="642"/>
      <c r="B146" s="116" t="s">
        <v>293</v>
      </c>
      <c r="C146" s="1339" t="s">
        <v>331</v>
      </c>
      <c r="D146" s="116" t="s">
        <v>332</v>
      </c>
      <c r="E146" s="116" t="s">
        <v>282</v>
      </c>
      <c r="F146" s="575">
        <f>'Traffic Data'!CM65</f>
        <v>0.81967213114754101</v>
      </c>
      <c r="G146" s="575">
        <f>'Traffic Data'!CN65</f>
        <v>0.9</v>
      </c>
      <c r="H146" s="146">
        <f>'Traffic Data'!G65</f>
        <v>70</v>
      </c>
      <c r="I146" s="146">
        <v>4</v>
      </c>
      <c r="J146" s="146">
        <f>H146+5</f>
        <v>75</v>
      </c>
      <c r="K146" s="146">
        <v>0</v>
      </c>
      <c r="L146" s="146">
        <v>0</v>
      </c>
      <c r="M146" s="146">
        <v>0</v>
      </c>
      <c r="N146" s="146">
        <v>0</v>
      </c>
      <c r="O146" s="146">
        <v>0</v>
      </c>
      <c r="P146" s="146">
        <v>0</v>
      </c>
      <c r="Q146" s="146">
        <f>3.22*(1)^(0.84)</f>
        <v>3.22</v>
      </c>
      <c r="R146" s="174">
        <f t="shared" si="4"/>
        <v>71.78</v>
      </c>
      <c r="S146" s="576">
        <f>L$19*F146*G146</f>
        <v>1770.4918032786886</v>
      </c>
      <c r="T146" s="577">
        <v>0.12</v>
      </c>
      <c r="U146" s="578">
        <v>0.65</v>
      </c>
      <c r="V146" s="579">
        <f t="shared" si="12"/>
        <v>0.2</v>
      </c>
      <c r="W146" s="228">
        <v>10</v>
      </c>
      <c r="X146" s="411">
        <f>$R146/(1+($V146*(('Traffic Data'!J65*$T146*$U146)/(($I146/2)*$S146))^$W146))</f>
        <v>71.779575441467983</v>
      </c>
      <c r="Y146" s="412">
        <f>$R146/(1+($V146*(('Traffic Data'!K65*$T146*$U146)/(($I146/2)*$S146))^$W146))</f>
        <v>71.779337692497165</v>
      </c>
      <c r="Z146" s="412">
        <f>$R146/(1+($V146*(('Traffic Data'!L65*$T146*$U146)/(($I146/2)*$S146))^$W146))</f>
        <v>71.778799526082096</v>
      </c>
      <c r="AA146" s="412">
        <f>$R146/(1+($V146*(('Traffic Data'!M65*$T146*$U146)/(($I146/2)*$S146))^$W146))</f>
        <v>71.777287455159794</v>
      </c>
      <c r="AB146" s="412">
        <f>$R146/(1+($V146*(('Traffic Data'!N65*$T146*$U146)/(($I146/2)*$S146))^$W146))</f>
        <v>71.774234871140152</v>
      </c>
      <c r="AC146" s="412">
        <f>$R146/(1+($V146*(('Traffic Data'!O65*$T146*$U146)/(($I146/2)*$S146))^$W146))</f>
        <v>71.768378651101727</v>
      </c>
      <c r="AD146" s="412">
        <f>$R146/(1+($V146*(('Traffic Data'!P65*$T146*$U146)/(($I146/2)*$S146))^$W146))</f>
        <v>71.757632458033441</v>
      </c>
      <c r="AE146" s="412">
        <f>$R146/(1+($V146*(('Traffic Data'!Q65*$T146*$U146)/(($I146/2)*$S146))^$W146))</f>
        <v>71.73863521477162</v>
      </c>
      <c r="AF146" s="412">
        <f>$R146/(1+($V146*(('Traffic Data'!R65*$T146*$U146)/(($I146/2)*$S146))^$W146))</f>
        <v>71.706685699239998</v>
      </c>
      <c r="AG146" s="412">
        <f>$R146/(1+($V146*(('Traffic Data'!S65*$T146*$U146)/(($I146/2)*$S146))^$W146))</f>
        <v>71.65405292978302</v>
      </c>
      <c r="AH146" s="412">
        <f>$R146/(1+($V146*(('Traffic Data'!T65*$T146*$U146)/(($I146/2)*$S146))^$W146))</f>
        <v>71.56969327224563</v>
      </c>
      <c r="AI146" s="412">
        <f>$R146/(1+($V146*(('Traffic Data'!U65*$T146*$U146)/(($I146/2)*$S146))^$W146))</f>
        <v>71.437769825234398</v>
      </c>
      <c r="AJ146" s="412">
        <f>$R146/(1+($V146*(('Traffic Data'!V65*$T146*$U146)/(($I146/2)*$S146))^$W146))</f>
        <v>71.235987315589725</v>
      </c>
      <c r="AK146" s="412">
        <f>$R146/(1+($V146*(('Traffic Data'!W65*$T146*$U146)/(($I146/2)*$S146))^$W146))</f>
        <v>71.045375357220195</v>
      </c>
      <c r="AL146" s="412">
        <f>$R146/(1+($V146*(('Traffic Data'!X65*$T146*$U146)/(($I146/2)*$S146))^$W146))</f>
        <v>70.872985264960491</v>
      </c>
      <c r="AM146" s="412">
        <f>$R146/(1+($V146*(('Traffic Data'!Y65*$T146*$U146)/(($I146/2)*$S146))^$W146))</f>
        <v>70.665673065412804</v>
      </c>
      <c r="AN146" s="412">
        <f>$R146/(1+($V146*(('Traffic Data'!Z65*$T146*$U146)/(($I146/2)*$S146))^$W146))</f>
        <v>70.417609586805895</v>
      </c>
      <c r="AO146" s="412">
        <f>$R146/(1+($V146*(('Traffic Data'!AA65*$T146*$U146)/(($I146/2)*$S146))^$W146))</f>
        <v>70.122164682268675</v>
      </c>
      <c r="AP146" s="412">
        <f>$R146/(1+($V146*(('Traffic Data'!AB65*$T146*$U146)/(($I146/2)*$S146))^$W146))</f>
        <v>69.772318785628528</v>
      </c>
      <c r="AQ146" s="412">
        <f>$R146/(1+($V146*(('Traffic Data'!AC65*$T146*$U146)/(($I146/2)*$S146))^$W146))</f>
        <v>69.359918218350188</v>
      </c>
      <c r="AR146" s="412">
        <f>$R146/(1+($V146*(('Traffic Data'!AD65*$T146*$U146)/(($I146/2)*$S146))^$W146))</f>
        <v>68.876695017192887</v>
      </c>
      <c r="AS146" s="412">
        <f>$R146/(1+($V146*(('Traffic Data'!AE65*$T146*$U146)/(($I146/2)*$S146))^$W146))</f>
        <v>68.313413872388836</v>
      </c>
      <c r="AT146" s="412">
        <f>$R146/(1+($V146*(('Traffic Data'!AF65*$T146*$U146)/(($I146/2)*$S146))^$W146))</f>
        <v>67.660307442602388</v>
      </c>
      <c r="AU146" s="412">
        <f>$R146/(1+($V146*(('Traffic Data'!AG65*$T146*$U146)/(($I146/2)*$S146))^$W146))</f>
        <v>66.908064856115161</v>
      </c>
      <c r="AV146" s="412">
        <f>$R146/(1+($V146*(('Traffic Data'!AH65*$T146*$U146)/(($I146/2)*$S146))^$W146))</f>
        <v>66.046746067464582</v>
      </c>
      <c r="AW146" s="413">
        <f>$R146/(1+($V146*(('Traffic Data'!AI65*$T146*$U146)/(($I146/2)*$S146))^$W146))</f>
        <v>65.066609539338799</v>
      </c>
      <c r="AX146" s="411">
        <f>$R146/(1+($V146*(('Traffic Data'!J65*(0.67/14))/(($I146)*$S146))^$W146))</f>
        <v>71.779999996865541</v>
      </c>
      <c r="AY146" s="412">
        <f>$R146/(1+($V146*(('Traffic Data'!J65*(0.67/14))/(($I146)*$S146))^$W146))</f>
        <v>71.779999996865541</v>
      </c>
      <c r="AZ146" s="412">
        <f>$R146/(1+($V146*(('Traffic Data'!K65*(0.67/14))/(($I146)*$S146))^$W146))</f>
        <v>71.779999995110273</v>
      </c>
      <c r="BA146" s="412">
        <f>$R146/(1+($V146*(('Traffic Data'!L65*(0.67/14))/(($I146)*$S146))^$W146))</f>
        <v>71.779999991136975</v>
      </c>
      <c r="BB146" s="412">
        <f>$R146/(1+($V146*(('Traffic Data'!M65*(0.67/14))/(($I146)*$S146))^$W146))</f>
        <v>71.779999979973041</v>
      </c>
      <c r="BC146" s="412">
        <f>$R146/(1+($V146*(('Traffic Data'!N65*(0.67/14))/(($I146)*$S146))^$W146))</f>
        <v>71.779999957433731</v>
      </c>
      <c r="BD146" s="412">
        <f>$R146/(1+($V146*(('Traffic Data'!O65*(0.67/14))/(($I146)*$S146))^$W146))</f>
        <v>71.779999914187897</v>
      </c>
      <c r="BE146" s="412">
        <f>$R146/(1+($V146*(('Traffic Data'!P65*(0.67/14))/(($I146)*$S146))^$W146))</f>
        <v>71.779999834813211</v>
      </c>
      <c r="BF146" s="412">
        <f>$R146/(1+($V146*(('Traffic Data'!Q65*(0.67/14))/(($I146)*$S146))^$W146))</f>
        <v>71.77999969443556</v>
      </c>
      <c r="BG146" s="412">
        <f>$R146/(1+($V146*(('Traffic Data'!R65*(0.67/14))/(($I146)*$S146))^$W146))</f>
        <v>71.779999458181052</v>
      </c>
      <c r="BH146" s="412">
        <f>$R146/(1+($V146*(('Traffic Data'!S65*(0.67/14))/(($I146)*$S146))^$W146))</f>
        <v>71.779999068522343</v>
      </c>
      <c r="BI146" s="412">
        <f>$R146/(1+($V146*(('Traffic Data'!T65*(0.67/14))/(($I146)*$S146))^$W146))</f>
        <v>71.779998442782983</v>
      </c>
      <c r="BJ146" s="412">
        <f>$R146/(1+($V146*(('Traffic Data'!U65*(0.67/14))/(($I146)*$S146))^$W146))</f>
        <v>71.779997461275727</v>
      </c>
      <c r="BK146" s="412">
        <f>$R146/(1+($V146*(('Traffic Data'!V65*(0.67/14))/(($I146)*$S146))^$W146))</f>
        <v>71.779995952986113</v>
      </c>
      <c r="BL146" s="412">
        <f>$R146/(1+($V146*(('Traffic Data'!W65*(0.67/14))/(($I146)*$S146))^$W146))</f>
        <v>71.779994520325175</v>
      </c>
      <c r="BM146" s="412">
        <f>$R146/(1+($V146*(('Traffic Data'!X65*(0.67/14))/(($I146)*$S146))^$W146))</f>
        <v>71.779993217985478</v>
      </c>
      <c r="BN146" s="412">
        <f>$R146/(1+($V146*(('Traffic Data'!Y65*(0.67/14))/(($I146)*$S146))^$W146))</f>
        <v>71.779991643407612</v>
      </c>
      <c r="BO146" s="412">
        <f>$R146/(1+($V146*(('Traffic Data'!Z65*(0.67/14))/(($I146)*$S146))^$W146))</f>
        <v>71.779989747131694</v>
      </c>
      <c r="BP146" s="412">
        <f>$R146/(1+($V146*(('Traffic Data'!AA65*(0.67/14))/(($I146)*$S146))^$W146))</f>
        <v>71.779987471152083</v>
      </c>
      <c r="BQ146" s="412">
        <f>$R146/(1+($V146*(('Traffic Data'!AB65*(0.67/14))/(($I146)*$S146))^$W146))</f>
        <v>71.779984751165628</v>
      </c>
      <c r="BR146" s="412">
        <f>$R146/(1+($V146*(('Traffic Data'!AC65*(0.67/14))/(($I146)*$S146))^$W146))</f>
        <v>71.779981509591806</v>
      </c>
      <c r="BS146" s="412">
        <f>$R146/(1+($V146*(('Traffic Data'!AD65*(0.67/14))/(($I146)*$S146))^$W146))</f>
        <v>71.779977661944514</v>
      </c>
      <c r="BT146" s="412">
        <f>$R146/(1+($V146*(('Traffic Data'!AE65*(0.67/14))/(($I146)*$S146))^$W146))</f>
        <v>71.779973108131216</v>
      </c>
      <c r="BU146" s="412">
        <f>$R146/(1+($V146*(('Traffic Data'!AF65*(0.67/14))/(($I146)*$S146))^$W146))</f>
        <v>71.779967733208309</v>
      </c>
      <c r="BV146" s="412">
        <f>$R146/(1+($V146*(('Traffic Data'!AG65*(0.67/14))/(($I146)*$S146))^$W146))</f>
        <v>71.779961412385049</v>
      </c>
      <c r="BW146" s="655">
        <f>$R146/(1+($V146*(('Traffic Data'!AH65*(0.67/14))/(($I146)*$S146))^$W146))</f>
        <v>71.77995399822241</v>
      </c>
    </row>
    <row r="147" spans="1:75" ht="21.95" customHeight="1" x14ac:dyDescent="0.2">
      <c r="A147" s="642"/>
      <c r="C147" s="1339"/>
      <c r="D147" s="116" t="s">
        <v>282</v>
      </c>
      <c r="E147" s="116" t="s">
        <v>280</v>
      </c>
      <c r="F147" s="575">
        <f>'Traffic Data'!CM65</f>
        <v>0.81967213114754101</v>
      </c>
      <c r="G147" s="575">
        <f>'Traffic Data'!CN65</f>
        <v>0.9</v>
      </c>
      <c r="H147" s="146">
        <f>'Traffic Data'!G66</f>
        <v>70</v>
      </c>
      <c r="I147" s="146">
        <v>4</v>
      </c>
      <c r="J147" s="146">
        <f t="shared" ref="J147:J148" si="13">H147+5</f>
        <v>75</v>
      </c>
      <c r="K147" s="146">
        <v>0</v>
      </c>
      <c r="L147" s="146">
        <v>0</v>
      </c>
      <c r="M147" s="146">
        <v>0</v>
      </c>
      <c r="N147" s="146">
        <v>0</v>
      </c>
      <c r="O147" s="146">
        <v>0</v>
      </c>
      <c r="P147" s="146">
        <v>0</v>
      </c>
      <c r="Q147" s="146">
        <f>3.22*(1)^(0.84)</f>
        <v>3.22</v>
      </c>
      <c r="R147" s="174">
        <f t="shared" si="4"/>
        <v>71.78</v>
      </c>
      <c r="S147" s="576">
        <f>L$19*F147*G147</f>
        <v>1770.4918032786886</v>
      </c>
      <c r="T147" s="577">
        <v>0.12</v>
      </c>
      <c r="U147" s="578">
        <v>0.65</v>
      </c>
      <c r="V147" s="579">
        <f t="shared" si="12"/>
        <v>0.2</v>
      </c>
      <c r="W147" s="228">
        <v>10</v>
      </c>
      <c r="X147" s="400">
        <f>$R147/(1+($V147*(('Traffic Data'!J66*$T147*$U147)/(($I147/2)*$S147))^$W147))</f>
        <v>71.779922361429513</v>
      </c>
      <c r="Y147" s="401">
        <f>$R147/(1+($V147*(('Traffic Data'!K66*$T147*$U147)/(($I147/2)*$S147))^$W147))</f>
        <v>71.779870140159986</v>
      </c>
      <c r="Z147" s="401">
        <f>$R147/(1+($V147*(('Traffic Data'!L66*$T147*$U147)/(($I147/2)*$S147))^$W147))</f>
        <v>71.779731696770284</v>
      </c>
      <c r="AA147" s="401">
        <f>$R147/(1+($V147*(('Traffic Data'!M66*$T147*$U147)/(($I147/2)*$S147))^$W147))</f>
        <v>71.779198548195836</v>
      </c>
      <c r="AB147" s="401">
        <f>$R147/(1+($V147*(('Traffic Data'!N66*$T147*$U147)/(($I147/2)*$S147))^$W147))</f>
        <v>71.777850226458511</v>
      </c>
      <c r="AC147" s="401">
        <f>$R147/(1+($V147*(('Traffic Data'!O66*$T147*$U147)/(($I147/2)*$S147))^$W147))</f>
        <v>71.774723271101763</v>
      </c>
      <c r="AD147" s="401">
        <f>$R147/(1+($V147*(('Traffic Data'!P66*$T147*$U147)/(($I147/2)*$S147))^$W147))</f>
        <v>71.767976642938976</v>
      </c>
      <c r="AE147" s="401">
        <f>$R147/(1+($V147*(('Traffic Data'!Q66*$T147*$U147)/(($I147/2)*$S147))^$W147))</f>
        <v>71.754254599892576</v>
      </c>
      <c r="AF147" s="401">
        <f>$R147/(1+($V147*(('Traffic Data'!R66*$T147*$U147)/(($I147/2)*$S147))^$W147))</f>
        <v>71.727457621211542</v>
      </c>
      <c r="AG147" s="401">
        <f>$R147/(1+($V147*(('Traffic Data'!S66*$T147*$U147)/(($I147/2)*$S147))^$W147))</f>
        <v>71.677760793362395</v>
      </c>
      <c r="AH147" s="401">
        <f>$R147/(1+($V147*(('Traffic Data'!T66*$T147*$U147)/(($I147/2)*$S147))^$W147))</f>
        <v>71.58931578090673</v>
      </c>
      <c r="AI147" s="401">
        <f>$R147/(1+($V147*(('Traffic Data'!U66*$T147*$U147)/(($I147/2)*$S147))^$W147))</f>
        <v>71.437486417586626</v>
      </c>
      <c r="AJ147" s="401">
        <f>$R147/(1+($V147*(('Traffic Data'!V66*$T147*$U147)/(($I147/2)*$S147))^$W147))</f>
        <v>71.185078892135678</v>
      </c>
      <c r="AK147" s="401">
        <f>$R147/(1+($V147*(('Traffic Data'!W66*$T147*$U147)/(($I147/2)*$S147))^$W147))</f>
        <v>70.960523600555177</v>
      </c>
      <c r="AL147" s="401">
        <f>$R147/(1+($V147*(('Traffic Data'!X66*$T147*$U147)/(($I147/2)*$S147))^$W147))</f>
        <v>70.775074067968333</v>
      </c>
      <c r="AM147" s="401">
        <f>$R147/(1+($V147*(('Traffic Data'!Y66*$T147*$U147)/(($I147/2)*$S147))^$W147))</f>
        <v>70.553438386344823</v>
      </c>
      <c r="AN147" s="401">
        <f>$R147/(1+($V147*(('Traffic Data'!Z66*$T147*$U147)/(($I147/2)*$S147))^$W147))</f>
        <v>70.289827294499659</v>
      </c>
      <c r="AO147" s="401">
        <f>$R147/(1+($V147*(('Traffic Data'!AA66*$T147*$U147)/(($I147/2)*$S147))^$W147))</f>
        <v>69.977619125023239</v>
      </c>
      <c r="AP147" s="401">
        <f>$R147/(1+($V147*(('Traffic Data'!AB66*$T147*$U147)/(($I147/2)*$S147))^$W147))</f>
        <v>69.610086758821055</v>
      </c>
      <c r="AQ147" s="401">
        <f>$R147/(1+($V147*(('Traffic Data'!AC66*$T147*$U147)/(($I147/2)*$S147))^$W147))</f>
        <v>69.179115784248154</v>
      </c>
      <c r="AR147" s="401">
        <f>$R147/(1+($V147*(('Traffic Data'!AD66*$T147*$U147)/(($I147/2)*$S147))^$W147))</f>
        <v>68.676930328298084</v>
      </c>
      <c r="AS147" s="401">
        <f>$R147/(1+($V147*(('Traffic Data'!AE66*$T147*$U147)/(($I147/2)*$S147))^$W147))</f>
        <v>68.09458216520747</v>
      </c>
      <c r="AT147" s="401">
        <f>$R147/(1+($V147*(('Traffic Data'!AF66*$T147*$U147)/(($I147/2)*$S147))^$W147))</f>
        <v>67.422613233705889</v>
      </c>
      <c r="AU147" s="401">
        <f>$R147/(1+($V147*(('Traffic Data'!AG66*$T147*$U147)/(($I147/2)*$S147))^$W147))</f>
        <v>66.652582214756762</v>
      </c>
      <c r="AV147" s="401">
        <f>$R147/(1+($V147*(('Traffic Data'!AH66*$T147*$U147)/(($I147/2)*$S147))^$W147))</f>
        <v>65.775061244386137</v>
      </c>
      <c r="AW147" s="372">
        <f>$R147/(1+($V147*(('Traffic Data'!AI66*$T147*$U147)/(($I147/2)*$S147))^$W147))</f>
        <v>64.780806702343909</v>
      </c>
      <c r="AX147" s="400">
        <f>$R147/(1+($V147*(('Traffic Data'!J66*(0.67/14))/(($I147)*$S147))^$W147))</f>
        <v>71.779999999426806</v>
      </c>
      <c r="AY147" s="401">
        <f>$R147/(1+($V147*(('Traffic Data'!J66*(0.67/14))/(($I147)*$S147))^$W147))</f>
        <v>71.779999999426806</v>
      </c>
      <c r="AZ147" s="401">
        <f>$R147/(1+($V147*(('Traffic Data'!K66*(0.67/14))/(($I147)*$S147))^$W147))</f>
        <v>71.77999999904128</v>
      </c>
      <c r="BA147" s="401">
        <f>$R147/(1+($V147*(('Traffic Data'!L66*(0.67/14))/(($I147)*$S147))^$W147))</f>
        <v>71.779999998019164</v>
      </c>
      <c r="BB147" s="401">
        <f>$R147/(1+($V147*(('Traffic Data'!M66*(0.67/14))/(($I147)*$S147))^$W147))</f>
        <v>71.779999994082971</v>
      </c>
      <c r="BC147" s="401">
        <f>$R147/(1+($V147*(('Traffic Data'!N66*(0.67/14))/(($I147)*$S147))^$W147))</f>
        <v>71.779999984128153</v>
      </c>
      <c r="BD147" s="401">
        <f>$R147/(1+($V147*(('Traffic Data'!O66*(0.67/14))/(($I147)*$S147))^$W147))</f>
        <v>71.779999961040048</v>
      </c>
      <c r="BE147" s="401">
        <f>$R147/(1+($V147*(('Traffic Data'!P66*(0.67/14))/(($I147)*$S147))^$W147))</f>
        <v>71.779999911218979</v>
      </c>
      <c r="BF147" s="401">
        <f>$R147/(1+($V147*(('Traffic Data'!Q66*(0.67/14))/(($I147)*$S147))^$W147))</f>
        <v>71.77999980985841</v>
      </c>
      <c r="BG147" s="401">
        <f>$R147/(1+($V147*(('Traffic Data'!R66*(0.67/14))/(($I147)*$S147))^$W147))</f>
        <v>71.779999611805451</v>
      </c>
      <c r="BH147" s="401">
        <f>$R147/(1+($V147*(('Traffic Data'!S66*(0.67/14))/(($I147)*$S147))^$W147))</f>
        <v>71.779999244110741</v>
      </c>
      <c r="BI147" s="401">
        <f>$R147/(1+($V147*(('Traffic Data'!T66*(0.67/14))/(($I147)*$S147))^$W147))</f>
        <v>71.77999858846492</v>
      </c>
      <c r="BJ147" s="401">
        <f>$R147/(1+($V147*(('Traffic Data'!U66*(0.67/14))/(($I147)*$S147))^$W147))</f>
        <v>71.779997459163283</v>
      </c>
      <c r="BK147" s="401">
        <f>$R147/(1+($V147*(('Traffic Data'!V66*(0.67/14))/(($I147)*$S147))^$W147))</f>
        <v>71.779995571103598</v>
      </c>
      <c r="BL147" s="401">
        <f>$R147/(1+($V147*(('Traffic Data'!W66*(0.67/14))/(($I147)*$S147))^$W147))</f>
        <v>71.779993880094111</v>
      </c>
      <c r="BM147" s="401">
        <f>$R147/(1+($V147*(('Traffic Data'!X66*(0.67/14))/(($I147)*$S147))^$W147))</f>
        <v>71.779992475479744</v>
      </c>
      <c r="BN147" s="401">
        <f>$R147/(1+($V147*(('Traffic Data'!Y66*(0.67/14))/(($I147)*$S147))^$W147))</f>
        <v>71.779990787101838</v>
      </c>
      <c r="BO147" s="401">
        <f>$R147/(1+($V147*(('Traffic Data'!Z66*(0.67/14))/(($I147)*$S147))^$W147))</f>
        <v>71.779988765100271</v>
      </c>
      <c r="BP147" s="401">
        <f>$R147/(1+($V147*(('Traffic Data'!AA66*(0.67/14))/(($I147)*$S147))^$W147))</f>
        <v>71.779986350634417</v>
      </c>
      <c r="BQ147" s="401">
        <f>$R147/(1+($V147*(('Traffic Data'!AB66*(0.67/14))/(($I147)*$S147))^$W147))</f>
        <v>71.779983480563246</v>
      </c>
      <c r="BR147" s="401">
        <f>$R147/(1+($V147*(('Traffic Data'!AC66*(0.67/14))/(($I147)*$S147))^$W147))</f>
        <v>71.779980076252357</v>
      </c>
      <c r="BS147" s="401">
        <f>$R147/(1+($V147*(('Traffic Data'!AD66*(0.67/14))/(($I147)*$S147))^$W147))</f>
        <v>71.779976055506907</v>
      </c>
      <c r="BT147" s="401">
        <f>$R147/(1+($V147*(('Traffic Data'!AE66*(0.67/14))/(($I147)*$S147))^$W147))</f>
        <v>71.779971318679614</v>
      </c>
      <c r="BU147" s="401">
        <f>$R147/(1+($V147*(('Traffic Data'!AF66*(0.67/14))/(($I147)*$S147))^$W147))</f>
        <v>71.779965751191895</v>
      </c>
      <c r="BV147" s="401">
        <f>$R147/(1+($V147*(('Traffic Data'!AG66*(0.67/14))/(($I147)*$S147))^$W147))</f>
        <v>71.779959233200245</v>
      </c>
      <c r="BW147" s="645">
        <f>$R147/(1+($V147*(('Traffic Data'!AH66*(0.67/14))/(($I147)*$S147))^$W147))</f>
        <v>71.779951619297606</v>
      </c>
    </row>
    <row r="148" spans="1:75" ht="21.95" customHeight="1" x14ac:dyDescent="0.2">
      <c r="A148" s="642"/>
      <c r="C148" s="1353"/>
      <c r="D148" s="254" t="s">
        <v>280</v>
      </c>
      <c r="E148" s="254" t="s">
        <v>333</v>
      </c>
      <c r="F148" s="580">
        <f>'Traffic Data'!CM65</f>
        <v>0.81967213114754101</v>
      </c>
      <c r="G148" s="580">
        <f>'Traffic Data'!CN65</f>
        <v>0.9</v>
      </c>
      <c r="H148" s="581">
        <f>'Traffic Data'!G67</f>
        <v>70</v>
      </c>
      <c r="I148" s="581">
        <v>2</v>
      </c>
      <c r="J148" s="581">
        <f t="shared" si="13"/>
        <v>75</v>
      </c>
      <c r="K148" s="581">
        <v>0</v>
      </c>
      <c r="L148" s="581">
        <v>0</v>
      </c>
      <c r="M148" s="581">
        <v>0</v>
      </c>
      <c r="N148" s="581">
        <v>0</v>
      </c>
      <c r="O148" s="581">
        <v>0</v>
      </c>
      <c r="P148" s="581">
        <v>0</v>
      </c>
      <c r="Q148" s="581">
        <f>3.22*(1)^(0.84)</f>
        <v>3.22</v>
      </c>
      <c r="R148" s="253">
        <f t="shared" si="4"/>
        <v>71.78</v>
      </c>
      <c r="S148" s="576">
        <f>L$19*F148*G148</f>
        <v>1770.4918032786886</v>
      </c>
      <c r="T148" s="577">
        <v>0.12</v>
      </c>
      <c r="U148" s="578">
        <v>0.65</v>
      </c>
      <c r="V148" s="579">
        <f t="shared" si="12"/>
        <v>0.2</v>
      </c>
      <c r="W148" s="228">
        <v>10</v>
      </c>
      <c r="X148" s="400">
        <f>$R148/(1+($V148*(('Traffic Data'!J67*$T148*$U148)/(($I148/2)*$S148))^$W148))</f>
        <v>71.755526018311912</v>
      </c>
      <c r="Y148" s="401">
        <f>$R148/(1+($V148*(('Traffic Data'!K67*$T148*$U148)/(($I148/2)*$S148))^$W148))</f>
        <v>71.743161696449491</v>
      </c>
      <c r="Z148" s="401">
        <f>$R148/(1+($V148*(('Traffic Data'!L67*$T148*$U148)/(($I148/2)*$S148))^$W148))</f>
        <v>71.720234965730725</v>
      </c>
      <c r="AA148" s="401">
        <f>$R148/(1+($V148*(('Traffic Data'!M67*$T148*$U148)/(($I148/2)*$S148))^$W148))</f>
        <v>71.669319003923277</v>
      </c>
      <c r="AB148" s="401">
        <f>$R148/(1+($V148*(('Traffic Data'!N67*$T148*$U148)/(($I148/2)*$S148))^$W148))</f>
        <v>71.582305748696626</v>
      </c>
      <c r="AC148" s="401">
        <f>$R148/(1+($V148*(('Traffic Data'!O67*$T148*$U148)/(($I148/2)*$S148))^$W148))</f>
        <v>71.438281606652495</v>
      </c>
      <c r="AD148" s="401">
        <f>$R148/(1+($V148*(('Traffic Data'!P67*$T148*$U148)/(($I148/2)*$S148))^$W148))</f>
        <v>71.206766853758566</v>
      </c>
      <c r="AE148" s="401">
        <f>$R148/(1+($V148*(('Traffic Data'!Q67*$T148*$U148)/(($I148/2)*$S148))^$W148))</f>
        <v>70.844271532614499</v>
      </c>
      <c r="AF148" s="401">
        <f>$R148/(1+($V148*(('Traffic Data'!R67*$T148*$U148)/(($I148/2)*$S148))^$W148))</f>
        <v>70.312644758821733</v>
      </c>
      <c r="AG148" s="401">
        <f>$R148/(1+($V148*(('Traffic Data'!S67*$T148*$U148)/(($I148/2)*$S148))^$W148))</f>
        <v>69.532376463984818</v>
      </c>
      <c r="AH148" s="401">
        <f>$R148/(1+($V148*(('Traffic Data'!T67*$T148*$U148)/(($I148/2)*$S148))^$W148))</f>
        <v>68.417189343985243</v>
      </c>
      <c r="AI148" s="401">
        <f>$R148/(1+($V148*(('Traffic Data'!U67*$T148*$U148)/(($I148/2)*$S148))^$W148))</f>
        <v>66.866140034472735</v>
      </c>
      <c r="AJ148" s="401">
        <f>$R148/(1+($V148*(('Traffic Data'!V67*$T148*$U148)/(($I148/2)*$S148))^$W148))</f>
        <v>64.771182807847893</v>
      </c>
      <c r="AK148" s="401">
        <f>$R148/(1+($V148*(('Traffic Data'!W67*$T148*$U148)/(($I148/2)*$S148))^$W148))</f>
        <v>62.831705789659914</v>
      </c>
      <c r="AL148" s="401">
        <f>$R148/(1+($V148*(('Traffic Data'!X67*$T148*$U148)/(($I148/2)*$S148))^$W148))</f>
        <v>60.908043725249321</v>
      </c>
      <c r="AM148" s="401">
        <f>$R148/(1+($V148*(('Traffic Data'!Y67*$T148*$U148)/(($I148/2)*$S148))^$W148))</f>
        <v>58.710606458403596</v>
      </c>
      <c r="AN148" s="401">
        <f>$R148/(1+($V148*(('Traffic Data'!Z67*$T148*$U148)/(($I148/2)*$S148))^$W148))</f>
        <v>56.240931679326636</v>
      </c>
      <c r="AO148" s="401">
        <f>$R148/(1+($V148*(('Traffic Data'!AA67*$T148*$U148)/(($I148/2)*$S148))^$W148))</f>
        <v>53.511436807151526</v>
      </c>
      <c r="AP148" s="401">
        <f>$R148/(1+($V148*(('Traffic Data'!AB67*$T148*$U148)/(($I148/2)*$S148))^$W148))</f>
        <v>50.550864619289428</v>
      </c>
      <c r="AQ148" s="401">
        <f>$R148/(1+($V148*(('Traffic Data'!AC67*$T148*$U148)/(($I148/2)*$S148))^$W148))</f>
        <v>47.396144709908796</v>
      </c>
      <c r="AR148" s="401">
        <f>$R148/(1+($V148*(('Traffic Data'!AD67*$T148*$U148)/(($I148/2)*$S148))^$W148))</f>
        <v>44.100020621091744</v>
      </c>
      <c r="AS148" s="401">
        <f>$R148/(1+($V148*(('Traffic Data'!AE67*$T148*$U148)/(($I148/2)*$S148))^$W148))</f>
        <v>40.719320117146118</v>
      </c>
      <c r="AT148" s="401">
        <f>$R148/(1+($V148*(('Traffic Data'!AF67*$T148*$U148)/(($I148/2)*$S148))^$W148))</f>
        <v>37.314497010899572</v>
      </c>
      <c r="AU148" s="401">
        <f>$R148/(1+($V148*(('Traffic Data'!AG67*$T148*$U148)/(($I148/2)*$S148))^$W148))</f>
        <v>33.949394830545792</v>
      </c>
      <c r="AV148" s="401">
        <f>$R148/(1+($V148*(('Traffic Data'!AH67*$T148*$U148)/(($I148/2)*$S148))^$W148))</f>
        <v>30.678885671043421</v>
      </c>
      <c r="AW148" s="372">
        <f>$R148/(1+($V148*(('Traffic Data'!AI67*$T148*$U148)/(($I148/2)*$S148))^$W148))</f>
        <v>27.54978984047548</v>
      </c>
      <c r="AX148" s="404">
        <f>$R148/(1+($V148*(('Traffic Data'!J67*(0.67/14))/(($I148)*$S148))^$W148))</f>
        <v>71.779999819251614</v>
      </c>
      <c r="AY148" s="373">
        <f>$R148/(1+($V148*(('Traffic Data'!J67*(0.67/14))/(($I148)*$S148))^$W148))</f>
        <v>71.779999819251614</v>
      </c>
      <c r="AZ148" s="373">
        <f>$R148/(1+($V148*(('Traffic Data'!K67*(0.67/14))/(($I148)*$S148))^$W148))</f>
        <v>71.779999727890157</v>
      </c>
      <c r="BA148" s="373">
        <f>$R148/(1+($V148*(('Traffic Data'!L67*(0.67/14))/(($I148)*$S148))^$W148))</f>
        <v>71.77999955839843</v>
      </c>
      <c r="BB148" s="373">
        <f>$R148/(1+($V148*(('Traffic Data'!M67*(0.67/14))/(($I148)*$S148))^$W148))</f>
        <v>71.779999181601326</v>
      </c>
      <c r="BC148" s="373">
        <f>$R148/(1+($V148*(('Traffic Data'!N67*(0.67/14))/(($I148)*$S148))^$W148))</f>
        <v>71.779998536430028</v>
      </c>
      <c r="BD148" s="373">
        <f>$R148/(1+($V148*(('Traffic Data'!O67*(0.67/14))/(($I148)*$S148))^$W148))</f>
        <v>71.779997465090375</v>
      </c>
      <c r="BE148" s="373">
        <f>$R148/(1+($V148*(('Traffic Data'!P67*(0.67/14))/(($I148)*$S148))^$W148))</f>
        <v>71.779995733859622</v>
      </c>
      <c r="BF148" s="373">
        <f>$R148/(1+($V148*(('Traffic Data'!Q67*(0.67/14))/(($I148)*$S148))^$W148))</f>
        <v>71.779993000448698</v>
      </c>
      <c r="BG148" s="373">
        <f>$R148/(1+($V148*(('Traffic Data'!R67*(0.67/14))/(($I148)*$S148))^$W148))</f>
        <v>71.779988940718624</v>
      </c>
      <c r="BH148" s="373">
        <f>$R148/(1+($V148*(('Traffic Data'!S67*(0.67/14))/(($I148)*$S148))^$W148))</f>
        <v>71.779982869835422</v>
      </c>
      <c r="BI148" s="373">
        <f>$R148/(1+($V148*(('Traffic Data'!T67*(0.67/14))/(($I148)*$S148))^$W148))</f>
        <v>71.779973952732561</v>
      </c>
      <c r="BJ148" s="373">
        <f>$R148/(1+($V148*(('Traffic Data'!U67*(0.67/14))/(($I148)*$S148))^$W148))</f>
        <v>71.779961055921902</v>
      </c>
      <c r="BK148" s="373">
        <f>$R148/(1+($V148*(('Traffic Data'!V67*(0.67/14))/(($I148)*$S148))^$W148))</f>
        <v>71.779942656037662</v>
      </c>
      <c r="BL148" s="373">
        <f>$R148/(1+($V148*(('Traffic Data'!W67*(0.67/14))/(($I148)*$S148))^$W148))</f>
        <v>71.779924527960091</v>
      </c>
      <c r="BM148" s="373">
        <f>$R148/(1+($V148*(('Traffic Data'!X67*(0.67/14))/(($I148)*$S148))^$W148))</f>
        <v>71.779905407301584</v>
      </c>
      <c r="BN148" s="373">
        <f>$R148/(1+($V148*(('Traffic Data'!Y67*(0.67/14))/(($I148)*$S148))^$W148))</f>
        <v>71.779882032250057</v>
      </c>
      <c r="BO148" s="373">
        <f>$R148/(1+($V148*(('Traffic Data'!Z67*(0.67/14))/(($I148)*$S148))^$W148))</f>
        <v>71.779853581240047</v>
      </c>
      <c r="BP148" s="373">
        <f>$R148/(1+($V148*(('Traffic Data'!AA67*(0.67/14))/(($I148)*$S148))^$W148))</f>
        <v>71.779819081980165</v>
      </c>
      <c r="BQ148" s="373">
        <f>$R148/(1+($V148*(('Traffic Data'!AB67*(0.67/14))/(($I148)*$S148))^$W148))</f>
        <v>71.779777450044065</v>
      </c>
      <c r="BR148" s="373">
        <f>$R148/(1+($V148*(('Traffic Data'!AC67*(0.67/14))/(($I148)*$S148))^$W148))</f>
        <v>71.779727364222694</v>
      </c>
      <c r="BS148" s="373">
        <f>$R148/(1+($V148*(('Traffic Data'!AD67*(0.67/14))/(($I148)*$S148))^$W148))</f>
        <v>71.779667378668378</v>
      </c>
      <c r="BT148" s="373">
        <f>$R148/(1+($V148*(('Traffic Data'!AE67*(0.67/14))/(($I148)*$S148))^$W148))</f>
        <v>71.779595765724977</v>
      </c>
      <c r="BU148" s="373">
        <f>$R148/(1+($V148*(('Traffic Data'!AF67*(0.67/14))/(($I148)*$S148))^$W148))</f>
        <v>71.779510526472762</v>
      </c>
      <c r="BV148" s="373">
        <f>$R148/(1+($V148*(('Traffic Data'!AG67*(0.67/14))/(($I148)*$S148))^$W148))</f>
        <v>71.779409482436193</v>
      </c>
      <c r="BW148" s="648">
        <f>$R148/(1+($V148*(('Traffic Data'!AH67*(0.67/14))/(($I148)*$S148))^$W148))</f>
        <v>71.779290038397932</v>
      </c>
    </row>
    <row r="149" spans="1:75" ht="21.95" customHeight="1" x14ac:dyDescent="0.2">
      <c r="A149" s="642"/>
      <c r="C149" s="1340" t="s">
        <v>280</v>
      </c>
      <c r="D149" s="220" t="s">
        <v>281</v>
      </c>
      <c r="E149" s="220" t="s">
        <v>335</v>
      </c>
      <c r="F149" s="596">
        <f>'Traffic Data'!CM68</f>
        <v>0.83333333333333337</v>
      </c>
      <c r="G149" s="596">
        <f>'Traffic Data'!CN68</f>
        <v>0.9</v>
      </c>
      <c r="H149" s="146">
        <f>'Traffic Data'!G68</f>
        <v>55</v>
      </c>
      <c r="I149" s="146">
        <v>4</v>
      </c>
      <c r="J149" s="146">
        <f>H149+7</f>
        <v>62</v>
      </c>
      <c r="K149" s="146">
        <v>0</v>
      </c>
      <c r="L149" s="146">
        <v>2.5</v>
      </c>
      <c r="M149" s="597">
        <v>0</v>
      </c>
      <c r="N149" s="146">
        <v>0.4</v>
      </c>
      <c r="O149" s="146">
        <v>1.6</v>
      </c>
      <c r="P149" s="146">
        <v>0</v>
      </c>
      <c r="Q149" s="146">
        <v>0</v>
      </c>
      <c r="R149" s="174">
        <f t="shared" si="4"/>
        <v>57.5</v>
      </c>
      <c r="S149" s="582">
        <f>M$22*F149*G149</f>
        <v>1575</v>
      </c>
      <c r="T149" s="583">
        <v>0.12</v>
      </c>
      <c r="U149" s="584">
        <v>0.65</v>
      </c>
      <c r="V149" s="585">
        <f t="shared" si="12"/>
        <v>0.2</v>
      </c>
      <c r="W149" s="678">
        <v>10</v>
      </c>
      <c r="X149" s="377">
        <f>MAX(10,$R149/(1+($V149*(('Traffic Data'!J68*$T149*$U149)/(($I149/2)*$S149))^$W149)))</f>
        <v>57.499999998954948</v>
      </c>
      <c r="Y149" s="525">
        <f>MAX(10,$R149/(1+($V149*(('Traffic Data'!K68*$T149*$U149)/(($I149/2)*$S149))^$W149)))</f>
        <v>57.499999997260808</v>
      </c>
      <c r="Z149" s="525">
        <f>MAX(10,$R149/(1+($V149*(('Traffic Data'!L68*$T149*$U149)/(($I149/2)*$S149))^$W149)))</f>
        <v>57.499999982263745</v>
      </c>
      <c r="AA149" s="525">
        <f>MAX(10,$R149/(1+($V149*(('Traffic Data'!M68*$T149*$U149)/(($I149/2)*$S149))^$W149)))</f>
        <v>57.499999663377778</v>
      </c>
      <c r="AB149" s="525">
        <f>MAX(10,$R149/(1+($V149*(('Traffic Data'!N68*$T149*$U149)/(($I149/2)*$S149))^$W149)))</f>
        <v>57.499996733888452</v>
      </c>
      <c r="AC149" s="525">
        <f>MAX(10,$R149/(1+($V149*(('Traffic Data'!O68*$T149*$U149)/(($I149/2)*$S149))^$W149)))</f>
        <v>57.499979223086079</v>
      </c>
      <c r="AD149" s="525">
        <f>MAX(10,$R149/(1+($V149*(('Traffic Data'!P68*$T149*$U149)/(($I149/2)*$S149))^$W149)))</f>
        <v>57.499901122967536</v>
      </c>
      <c r="AE149" s="525">
        <f>MAX(10,$R149/(1+($V149*(('Traffic Data'!Q68*$T149*$U149)/(($I149/2)*$S149))^$W149)))</f>
        <v>57.499618307183773</v>
      </c>
      <c r="AF149" s="525">
        <f>MAX(10,$R149/(1+($V149*(('Traffic Data'!R68*$T149*$U149)/(($I149/2)*$S149))^$W149)))</f>
        <v>57.498771737638904</v>
      </c>
      <c r="AG149" s="525">
        <f>MAX(10,$R149/(1+($V149*(('Traffic Data'!S68*$T149*$U149)/(($I149/2)*$S149))^$W149)))</f>
        <v>57.496501269404725</v>
      </c>
      <c r="AH149" s="525">
        <f>MAX(10,$R149/(1+($V149*(('Traffic Data'!T68*$T149*$U149)/(($I149/2)*$S149))^$W149)))</f>
        <v>57.490980298321674</v>
      </c>
      <c r="AI149" s="525">
        <f>MAX(10,$R149/(1+($V149*(('Traffic Data'!U68*$T149*$U149)/(($I149/2)*$S149))^$W149)))</f>
        <v>57.478580301932901</v>
      </c>
      <c r="AJ149" s="525">
        <f>MAX(10,$R149/(1+($V149*(('Traffic Data'!V68*$T149*$U149)/(($I149/2)*$S149))^$W149)))</f>
        <v>57.452486544796656</v>
      </c>
      <c r="AK149" s="525">
        <f>MAX(10,$R149/(1+($V149*(('Traffic Data'!W68*$T149*$U149)/(($I149/2)*$S149))^$W149)))</f>
        <v>57.431455444181232</v>
      </c>
      <c r="AL149" s="525">
        <f>MAX(10,$R149/(1+($V149*(('Traffic Data'!X68*$T149*$U149)/(($I149/2)*$S149))^$W149)))</f>
        <v>57.419109808126251</v>
      </c>
      <c r="AM149" s="525">
        <f>MAX(10,$R149/(1+($V149*(('Traffic Data'!Y68*$T149*$U149)/(($I149/2)*$S149))^$W149)))</f>
        <v>57.404801709008908</v>
      </c>
      <c r="AN149" s="525">
        <f>MAX(10,$R149/(1+($V149*(('Traffic Data'!Z68*$T149*$U149)/(($I149/2)*$S149))^$W149)))</f>
        <v>57.388260049648146</v>
      </c>
      <c r="AO149" s="525">
        <f>MAX(10,$R149/(1+($V149*(('Traffic Data'!AA68*$T149*$U149)/(($I149/2)*$S149))^$W149)))</f>
        <v>57.369150669342481</v>
      </c>
      <c r="AP149" s="525">
        <f>MAX(10,$R149/(1+($V149*(('Traffic Data'!AB68*$T149*$U149)/(($I149/2)*$S149))^$W149)))</f>
        <v>57.34719408676677</v>
      </c>
      <c r="AQ149" s="525">
        <f>MAX(10,$R149/(1+($V149*(('Traffic Data'!AC68*$T149*$U149)/(($I149/2)*$S149))^$W149)))</f>
        <v>57.321946382980464</v>
      </c>
      <c r="AR149" s="525">
        <f>MAX(10,$R149/(1+($V149*(('Traffic Data'!AD68*$T149*$U149)/(($I149/2)*$S149))^$W149)))</f>
        <v>57.293067715705277</v>
      </c>
      <c r="AS149" s="525">
        <f>MAX(10,$R149/(1+($V149*(('Traffic Data'!AE68*$T149*$U149)/(($I149/2)*$S149))^$W149)))</f>
        <v>57.260060811746925</v>
      </c>
      <c r="AT149" s="525">
        <f>MAX(10,$R149/(1+($V149*(('Traffic Data'!AF68*$T149*$U149)/(($I149/2)*$S149))^$W149)))</f>
        <v>57.222354642739909</v>
      </c>
      <c r="AU149" s="525">
        <f>MAX(10,$R149/(1+($V149*(('Traffic Data'!AG68*$T149*$U149)/(($I149/2)*$S149))^$W149)))</f>
        <v>57.17950229063684</v>
      </c>
      <c r="AV149" s="525">
        <f>MAX(10,$R149/(1+($V149*(('Traffic Data'!AH68*$T149*$U149)/(($I149/2)*$S149))^$W149)))</f>
        <v>57.130832240042295</v>
      </c>
      <c r="AW149" s="526">
        <f>MAX(10,$R149/(1+($V149*(('Traffic Data'!AI68*$T149*$U149)/(($I149/2)*$S149))^$W149)))</f>
        <v>57.075577266051368</v>
      </c>
      <c r="AX149" s="401">
        <f>$R149/(1+($V149*(('Traffic Data'!J68*(0.67/14))/(($I149)*$S149))^$W149))</f>
        <v>57.499999999999986</v>
      </c>
      <c r="AY149" s="377">
        <f>$R149/(1+($V149*(('Traffic Data'!J68*(0.67/14))/(($I149)*$S149))^$W149))</f>
        <v>57.499999999999986</v>
      </c>
      <c r="AZ149" s="377">
        <f>$R149/(1+($V149*(('Traffic Data'!K68*(0.67/14))/(($I149)*$S149))^$W149))</f>
        <v>57.499999999999972</v>
      </c>
      <c r="BA149" s="377">
        <f>$R149/(1+($V149*(('Traffic Data'!L68*(0.67/14))/(($I149)*$S149))^$W149))</f>
        <v>57.499999999999872</v>
      </c>
      <c r="BB149" s="377">
        <f>$R149/(1+($V149*(('Traffic Data'!M68*(0.67/14))/(($I149)*$S149))^$W149))</f>
        <v>57.499999999997513</v>
      </c>
      <c r="BC149" s="377">
        <f>$R149/(1+($V149*(('Traffic Data'!N68*(0.67/14))/(($I149)*$S149))^$W149))</f>
        <v>57.499999999975884</v>
      </c>
      <c r="BD149" s="377">
        <f>$R149/(1+($V149*(('Traffic Data'!O68*(0.67/14))/(($I149)*$S149))^$W149))</f>
        <v>57.499999999846608</v>
      </c>
      <c r="BE149" s="377">
        <f>$R149/(1+($V149*(('Traffic Data'!P68*(0.67/14))/(($I149)*$S149))^$W149))</f>
        <v>57.499999999270017</v>
      </c>
      <c r="BF149" s="377">
        <f>$R149/(1+($V149*(('Traffic Data'!Q68*(0.67/14))/(($I149)*$S149))^$W149))</f>
        <v>57.499999997182023</v>
      </c>
      <c r="BG149" s="377">
        <f>$R149/(1+($V149*(('Traffic Data'!R68*(0.67/14))/(($I149)*$S149))^$W149))</f>
        <v>57.499999990931776</v>
      </c>
      <c r="BH149" s="377">
        <f>$R149/(1+($V149*(('Traffic Data'!S68*(0.67/14))/(($I149)*$S149))^$W149))</f>
        <v>57.499999974167963</v>
      </c>
      <c r="BI149" s="377">
        <f>$R149/(1+($V149*(('Traffic Data'!T68*(0.67/14))/(($I149)*$S149))^$W149))</f>
        <v>57.499999933398819</v>
      </c>
      <c r="BJ149" s="377">
        <f>$R149/(1+($V149*(('Traffic Data'!U68*(0.67/14))/(($I149)*$S149))^$W149))</f>
        <v>57.499999841803515</v>
      </c>
      <c r="BK149" s="377">
        <f>$R149/(1+($V149*(('Traffic Data'!V68*(0.67/14))/(($I149)*$S149))^$W149))</f>
        <v>57.499999648927094</v>
      </c>
      <c r="BL149" s="377">
        <f>$R149/(1+($V149*(('Traffic Data'!W68*(0.67/14))/(($I149)*$S149))^$W149))</f>
        <v>57.499999493344603</v>
      </c>
      <c r="BM149" s="377">
        <f>$R149/(1+($V149*(('Traffic Data'!X68*(0.67/14))/(($I149)*$S149))^$W149))</f>
        <v>57.49999940196178</v>
      </c>
      <c r="BN149" s="377">
        <f>$R149/(1+($V149*(('Traffic Data'!Y68*(0.67/14))/(($I149)*$S149))^$W149))</f>
        <v>57.499999296003573</v>
      </c>
      <c r="BO149" s="377">
        <f>$R149/(1+($V149*(('Traffic Data'!Z68*(0.67/14))/(($I149)*$S149))^$W149))</f>
        <v>57.499999173438937</v>
      </c>
      <c r="BP149" s="377">
        <f>$R149/(1+($V149*(('Traffic Data'!AA68*(0.67/14))/(($I149)*$S149))^$W149))</f>
        <v>57.499999031760915</v>
      </c>
      <c r="BQ149" s="377">
        <f>$R149/(1+($V149*(('Traffic Data'!AB68*(0.67/14))/(($I149)*$S149))^$W149))</f>
        <v>57.499998868857006</v>
      </c>
      <c r="BR149" s="377">
        <f>$R149/(1+($V149*(('Traffic Data'!AC68*(0.67/14))/(($I149)*$S149))^$W149))</f>
        <v>57.499998681380802</v>
      </c>
      <c r="BS149" s="377">
        <f>$R149/(1+($V149*(('Traffic Data'!AD68*(0.67/14))/(($I149)*$S149))^$W149))</f>
        <v>57.499998466740387</v>
      </c>
      <c r="BT149" s="377">
        <f>$R149/(1+($V149*(('Traffic Data'!AE68*(0.67/14))/(($I149)*$S149))^$W149))</f>
        <v>57.499998221151763</v>
      </c>
      <c r="BU149" s="377">
        <f>$R149/(1+($V149*(('Traffic Data'!AF68*(0.67/14))/(($I149)*$S149))^$W149))</f>
        <v>57.49999794025144</v>
      </c>
      <c r="BV149" s="377">
        <f>$R149/(1+($V149*(('Traffic Data'!AG68*(0.67/14))/(($I149)*$S149))^$W149))</f>
        <v>57.499997620563761</v>
      </c>
      <c r="BW149" s="646">
        <f>$R149/(1+($V149*(('Traffic Data'!AH68*(0.67/14))/(($I149)*$S149))^$W149))</f>
        <v>57.499997256893138</v>
      </c>
    </row>
    <row r="150" spans="1:75" ht="21.95" customHeight="1" x14ac:dyDescent="0.2">
      <c r="A150" s="642"/>
      <c r="C150" s="1339"/>
      <c r="D150" s="116" t="s">
        <v>335</v>
      </c>
      <c r="E150" s="116" t="s">
        <v>323</v>
      </c>
      <c r="F150" s="575">
        <f>'Traffic Data'!CM68</f>
        <v>0.83333333333333337</v>
      </c>
      <c r="G150" s="575">
        <f>'Traffic Data'!CN68</f>
        <v>0.9</v>
      </c>
      <c r="H150" s="146">
        <f>'Traffic Data'!G69</f>
        <v>45</v>
      </c>
      <c r="I150" s="146">
        <v>2</v>
      </c>
      <c r="J150" s="146">
        <f t="shared" ref="J150:J174" si="14">H150+7</f>
        <v>52</v>
      </c>
      <c r="K150" s="146">
        <v>0</v>
      </c>
      <c r="L150" s="146">
        <v>2.5</v>
      </c>
      <c r="M150" s="146">
        <v>0</v>
      </c>
      <c r="N150" s="146">
        <v>0</v>
      </c>
      <c r="O150" s="146">
        <v>0</v>
      </c>
      <c r="P150" s="146">
        <v>0</v>
      </c>
      <c r="Q150" s="146">
        <v>0</v>
      </c>
      <c r="R150" s="174">
        <f t="shared" si="4"/>
        <v>49.5</v>
      </c>
      <c r="S150" s="576">
        <f>N$23*F150*G150</f>
        <v>600.00000000000011</v>
      </c>
      <c r="T150" s="577">
        <v>0.12</v>
      </c>
      <c r="U150" s="578">
        <v>0.65</v>
      </c>
      <c r="V150" s="579">
        <f t="shared" si="12"/>
        <v>0.2</v>
      </c>
      <c r="W150" s="679">
        <v>10</v>
      </c>
      <c r="X150" s="401">
        <f>MAX(10,$R150/(1+($V150*(('Traffic Data'!J69*$T150*$U150)/(($I150/2)*$S150))^$W150)))</f>
        <v>49.499913467275938</v>
      </c>
      <c r="Y150" s="528">
        <f>MAX(10,$R150/(1+($V150*(('Traffic Data'!K69*$T150*$U150)/(($I150/2)*$S150))^$W150)))</f>
        <v>49.499785666981339</v>
      </c>
      <c r="Z150" s="528">
        <f>MAX(10,$R150/(1+($V150*(('Traffic Data'!L69*$T150*$U150)/(($I150/2)*$S150))^$W150)))</f>
        <v>49.499316242694249</v>
      </c>
      <c r="AA150" s="528">
        <f>MAX(10,$R150/(1+($V150*(('Traffic Data'!M69*$T150*$U150)/(($I150/2)*$S150))^$W150)))</f>
        <v>49.496467690238326</v>
      </c>
      <c r="AB150" s="528">
        <f>MAX(10,$R150/(1+($V150*(('Traffic Data'!N69*$T150*$U150)/(($I150/2)*$S150))^$W150)))</f>
        <v>49.485527124057349</v>
      </c>
      <c r="AC150" s="528">
        <f>MAX(10,$R150/(1+($V150*(('Traffic Data'!O69*$T150*$U150)/(($I150/2)*$S150))^$W150)))</f>
        <v>49.450219280691485</v>
      </c>
      <c r="AD150" s="528">
        <f>MAX(10,$R150/(1+($V150*(('Traffic Data'!P69*$T150*$U150)/(($I150/2)*$S150))^$W150)))</f>
        <v>49.350820453556558</v>
      </c>
      <c r="AE150" s="528">
        <f>MAX(10,$R150/(1+($V150*(('Traffic Data'!Q69*$T150*$U150)/(($I150/2)*$S150))^$W150)))</f>
        <v>49.0999461599189</v>
      </c>
      <c r="AF150" s="528">
        <f>MAX(10,$R150/(1+($V150*(('Traffic Data'!R69*$T150*$U150)/(($I150/2)*$S150))^$W150)))</f>
        <v>48.406115574951635</v>
      </c>
      <c r="AG150" s="528">
        <f>MAX(10,$R150/(1+($V150*(('Traffic Data'!S69*$T150*$U150)/(($I150/2)*$S150))^$W150)))</f>
        <v>46.82850737224696</v>
      </c>
      <c r="AH150" s="528">
        <f>MAX(10,$R150/(1+($V150*(('Traffic Data'!T69*$T150*$U150)/(($I150/2)*$S150))^$W150)))</f>
        <v>43.686064426472953</v>
      </c>
      <c r="AI150" s="528">
        <f>MAX(10,$R150/(1+($V150*(('Traffic Data'!U69*$T150*$U150)/(($I150/2)*$S150))^$W150)))</f>
        <v>38.354496069582517</v>
      </c>
      <c r="AJ150" s="528">
        <f>MAX(10,$R150/(1+($V150*(('Traffic Data'!V69*$T150*$U150)/(($I150/2)*$S150))^$W150)))</f>
        <v>30.937809135873806</v>
      </c>
      <c r="AK150" s="528">
        <f>MAX(10,$R150/(1+($V150*(('Traffic Data'!W69*$T150*$U150)/(($I150/2)*$S150))^$W150)))</f>
        <v>25.491719316982543</v>
      </c>
      <c r="AL150" s="528">
        <f>MAX(10,$R150/(1+($V150*(('Traffic Data'!X69*$T150*$U150)/(($I150/2)*$S150))^$W150)))</f>
        <v>22.398696011530582</v>
      </c>
      <c r="AM150" s="528">
        <f>MAX(10,$R150/(1+($V150*(('Traffic Data'!Y69*$T150*$U150)/(($I150/2)*$S150))^$W150)))</f>
        <v>19.450308689114188</v>
      </c>
      <c r="AN150" s="528">
        <f>MAX(10,$R150/(1+($V150*(('Traffic Data'!Z69*$T150*$U150)/(($I150/2)*$S150))^$W150)))</f>
        <v>16.716064792628121</v>
      </c>
      <c r="AO150" s="528">
        <f>MAX(10,$R150/(1+($V150*(('Traffic Data'!AA69*$T150*$U150)/(($I150/2)*$S150))^$W150)))</f>
        <v>14.238414913159847</v>
      </c>
      <c r="AP150" s="528">
        <f>MAX(10,$R150/(1+($V150*(('Traffic Data'!AB69*$T150*$U150)/(($I150/2)*$S150))^$W150)))</f>
        <v>12.044389357345507</v>
      </c>
      <c r="AQ150" s="528">
        <f>MAX(10,$R150/(1+($V150*(('Traffic Data'!AC69*$T150*$U150)/(($I150/2)*$S150))^$W150)))</f>
        <v>10.130457351435144</v>
      </c>
      <c r="AR150" s="528">
        <f>MAX(10,$R150/(1+($V150*(('Traffic Data'!AD69*$T150*$U150)/(($I150/2)*$S150))^$W150)))</f>
        <v>10</v>
      </c>
      <c r="AS150" s="528">
        <f>MAX(10,$R150/(1+($V150*(('Traffic Data'!AE69*$T150*$U150)/(($I150/2)*$S150))^$W150)))</f>
        <v>10</v>
      </c>
      <c r="AT150" s="528">
        <f>MAX(10,$R150/(1+($V150*(('Traffic Data'!AF69*$T150*$U150)/(($I150/2)*$S150))^$W150)))</f>
        <v>10</v>
      </c>
      <c r="AU150" s="528">
        <f>MAX(10,$R150/(1+($V150*(('Traffic Data'!AG69*$T150*$U150)/(($I150/2)*$S150))^$W150)))</f>
        <v>10</v>
      </c>
      <c r="AV150" s="528">
        <f>MAX(10,$R150/(1+($V150*(('Traffic Data'!AH69*$T150*$U150)/(($I150/2)*$S150))^$W150)))</f>
        <v>10</v>
      </c>
      <c r="AW150" s="527">
        <f>MAX(10,$R150/(1+($V150*(('Traffic Data'!AI69*$T150*$U150)/(($I150/2)*$S150))^$W150)))</f>
        <v>10</v>
      </c>
      <c r="AX150" s="401">
        <f>$R150/(1+($V150*(('Traffic Data'!J69*(0.67/14))/(($I150)*$S150))^$W150))</f>
        <v>49.499999999361144</v>
      </c>
      <c r="AY150" s="401">
        <f>$R150/(1+($V150*(('Traffic Data'!J69*(0.67/14))/(($I150)*$S150))^$W150))</f>
        <v>49.499999999361144</v>
      </c>
      <c r="AZ150" s="401">
        <f>$R150/(1+($V150*(('Traffic Data'!K69*(0.67/14))/(($I150)*$S150))^$W150))</f>
        <v>49.499999998417621</v>
      </c>
      <c r="BA150" s="401">
        <f>$R150/(1+($V150*(('Traffic Data'!L69*(0.67/14))/(($I150)*$S150))^$W150))</f>
        <v>49.499999994951878</v>
      </c>
      <c r="BB150" s="401">
        <f>$R150/(1+($V150*(('Traffic Data'!M69*(0.67/14))/(($I150)*$S150))^$W150))</f>
        <v>49.499999973919763</v>
      </c>
      <c r="BC150" s="401">
        <f>$R150/(1+($V150*(('Traffic Data'!N69*(0.67/14))/(($I150)*$S150))^$W150))</f>
        <v>49.499999893118265</v>
      </c>
      <c r="BD150" s="401">
        <f>$R150/(1+($V150*(('Traffic Data'!O69*(0.67/14))/(($I150)*$S150))^$W150))</f>
        <v>49.499999632108434</v>
      </c>
      <c r="BE150" s="401">
        <f>$R150/(1+($V150*(('Traffic Data'!P69*(0.67/14))/(($I150)*$S150))^$W150))</f>
        <v>49.499998895306547</v>
      </c>
      <c r="BF150" s="401">
        <f>$R150/(1+($V150*(('Traffic Data'!Q69*(0.67/14))/(($I150)*$S150))^$W150))</f>
        <v>49.499997022414185</v>
      </c>
      <c r="BG150" s="401">
        <f>$R150/(1+($V150*(('Traffic Data'!R69*(0.67/14))/(($I150)*$S150))^$W150))</f>
        <v>49.499991741559988</v>
      </c>
      <c r="BH150" s="401">
        <f>$R150/(1+($V150*(('Traffic Data'!S69*(0.67/14))/(($I150)*$S150))^$W150))</f>
        <v>49.499979151713454</v>
      </c>
      <c r="BI150" s="401">
        <f>$R150/(1+($V150*(('Traffic Data'!T69*(0.67/14))/(($I150)*$S150))^$W150))</f>
        <v>49.499951364458923</v>
      </c>
      <c r="BJ150" s="401">
        <f>$R150/(1+($V150*(('Traffic Data'!U69*(0.67/14))/(($I150)*$S150))^$W150))</f>
        <v>49.49989380370085</v>
      </c>
      <c r="BK150" s="401">
        <f>$R150/(1+($V150*(('Traffic Data'!V69*(0.67/14))/(($I150)*$S150))^$W150))</f>
        <v>49.49978073735943</v>
      </c>
      <c r="BL150" s="401">
        <f>$R150/(1+($V150*(('Traffic Data'!W69*(0.67/14))/(($I150)*$S150))^$W150))</f>
        <v>49.499655819867222</v>
      </c>
      <c r="BM150" s="401">
        <f>$R150/(1+($V150*(('Traffic Data'!X69*(0.67/14))/(($I150)*$S150))^$W150))</f>
        <v>49.499557828794018</v>
      </c>
      <c r="BN150" s="401">
        <f>$R150/(1+($V150*(('Traffic Data'!Y69*(0.67/14))/(($I150)*$S150))^$W150))</f>
        <v>49.499435407052658</v>
      </c>
      <c r="BO150" s="401">
        <f>$R150/(1+($V150*(('Traffic Data'!Z69*(0.67/14))/(($I150)*$S150))^$W150))</f>
        <v>49.49928328311794</v>
      </c>
      <c r="BP150" s="401">
        <f>$R150/(1+($V150*(('Traffic Data'!AA69*(0.67/14))/(($I150)*$S150))^$W150))</f>
        <v>49.499094978009765</v>
      </c>
      <c r="BQ150" s="401">
        <f>$R150/(1+($V150*(('Traffic Data'!AB69*(0.67/14))/(($I150)*$S150))^$W150))</f>
        <v>49.498863553461639</v>
      </c>
      <c r="BR150" s="401">
        <f>$R150/(1+($V150*(('Traffic Data'!AC69*(0.67/14))/(($I150)*$S150))^$W150))</f>
        <v>49.498579812315064</v>
      </c>
      <c r="BS150" s="401">
        <f>$R150/(1+($V150*(('Traffic Data'!AD69*(0.67/14))/(($I150)*$S150))^$W150))</f>
        <v>49.498234268796423</v>
      </c>
      <c r="BT150" s="401">
        <f>$R150/(1+($V150*(('Traffic Data'!AE69*(0.67/14))/(($I150)*$S150))^$W150))</f>
        <v>49.497814822153323</v>
      </c>
      <c r="BU150" s="401">
        <f>$R150/(1+($V150*(('Traffic Data'!AF69*(0.67/14))/(($I150)*$S150))^$W150))</f>
        <v>49.49730710943723</v>
      </c>
      <c r="BV150" s="401">
        <f>$R150/(1+($V150*(('Traffic Data'!AG69*(0.67/14))/(($I150)*$S150))^$W150))</f>
        <v>49.496696362122648</v>
      </c>
      <c r="BW150" s="645">
        <f>$R150/(1+($V150*(('Traffic Data'!AH69*(0.67/14))/(($I150)*$S150))^$W150))</f>
        <v>49.49596367097466</v>
      </c>
    </row>
    <row r="151" spans="1:75" ht="21.95" customHeight="1" x14ac:dyDescent="0.2">
      <c r="A151" s="642"/>
      <c r="C151" s="1353"/>
      <c r="D151" s="254" t="s">
        <v>323</v>
      </c>
      <c r="E151" s="254" t="s">
        <v>338</v>
      </c>
      <c r="F151" s="580">
        <f>'Traffic Data'!CM68</f>
        <v>0.83333333333333337</v>
      </c>
      <c r="G151" s="580">
        <f>'Traffic Data'!CN68</f>
        <v>0.9</v>
      </c>
      <c r="H151" s="581">
        <f>'Traffic Data'!G70</f>
        <v>45</v>
      </c>
      <c r="I151" s="581">
        <v>2</v>
      </c>
      <c r="J151" s="581">
        <f t="shared" si="14"/>
        <v>52</v>
      </c>
      <c r="K151" s="146">
        <v>0</v>
      </c>
      <c r="L151" s="146">
        <v>5</v>
      </c>
      <c r="M151" s="581">
        <v>0</v>
      </c>
      <c r="N151" s="146">
        <v>0</v>
      </c>
      <c r="O151" s="146">
        <v>0</v>
      </c>
      <c r="P151" s="146">
        <v>0</v>
      </c>
      <c r="Q151" s="146">
        <v>0</v>
      </c>
      <c r="R151" s="253">
        <f t="shared" si="4"/>
        <v>47</v>
      </c>
      <c r="S151" s="586">
        <f>N$24*F151*G151</f>
        <v>600.00000000000011</v>
      </c>
      <c r="T151" s="587">
        <v>0.12</v>
      </c>
      <c r="U151" s="588">
        <v>0.65</v>
      </c>
      <c r="V151" s="589">
        <f t="shared" si="12"/>
        <v>0.2</v>
      </c>
      <c r="W151" s="679">
        <v>10</v>
      </c>
      <c r="X151" s="373">
        <f>MAX(10,$R151/(1+($V151*(('Traffic Data'!J70*$T151*$U151)/(($I151/2)*$S151))^$W151)))</f>
        <v>46.22928606898175</v>
      </c>
      <c r="Y151" s="531">
        <f>MAX(10,$R151/(1+($V151*(('Traffic Data'!K70*$T151*$U151)/(($I151/2)*$S151))^$W151)))</f>
        <v>45.989400680781124</v>
      </c>
      <c r="Z151" s="531">
        <f>MAX(10,$R151/(1+($V151*(('Traffic Data'!L70*$T151*$U151)/(($I151/2)*$S151))^$W151)))</f>
        <v>45.535554594085283</v>
      </c>
      <c r="AA151" s="531">
        <f>MAX(10,$R151/(1+($V151*(('Traffic Data'!M70*$T151*$U151)/(($I151/2)*$S151))^$W151)))</f>
        <v>44.608096213610324</v>
      </c>
      <c r="AB151" s="531">
        <f>MAX(10,$R151/(1+($V151*(('Traffic Data'!N70*$T151*$U151)/(($I151/2)*$S151))^$W151)))</f>
        <v>43.229455244226074</v>
      </c>
      <c r="AC151" s="531">
        <f>MAX(10,$R151/(1+($V151*(('Traffic Data'!O70*$T151*$U151)/(($I151/2)*$S151))^$W151)))</f>
        <v>41.274908515000931</v>
      </c>
      <c r="AD151" s="531">
        <f>MAX(10,$R151/(1+($V151*(('Traffic Data'!P70*$T151*$U151)/(($I151/2)*$S151))^$W151)))</f>
        <v>38.649428106960258</v>
      </c>
      <c r="AE151" s="531">
        <f>MAX(10,$R151/(1+($V151*(('Traffic Data'!Q70*$T151*$U151)/(($I151/2)*$S151))^$W151)))</f>
        <v>35.328018908242882</v>
      </c>
      <c r="AF151" s="531">
        <f>MAX(10,$R151/(1+($V151*(('Traffic Data'!R70*$T151*$U151)/(($I151/2)*$S151))^$W151)))</f>
        <v>31.366125947155084</v>
      </c>
      <c r="AG151" s="531">
        <f>MAX(10,$R151/(1+($V151*(('Traffic Data'!S70*$T151*$U151)/(($I151/2)*$S151))^$W151)))</f>
        <v>27.012819009421765</v>
      </c>
      <c r="AH151" s="531">
        <f>MAX(10,$R151/(1+($V151*(('Traffic Data'!T70*$T151*$U151)/(($I151/2)*$S151))^$W151)))</f>
        <v>22.575887347812159</v>
      </c>
      <c r="AI151" s="531">
        <f>MAX(10,$R151/(1+($V151*(('Traffic Data'!U70*$T151*$U151)/(($I151/2)*$S151))^$W151)))</f>
        <v>18.358962122918228</v>
      </c>
      <c r="AJ151" s="531">
        <f>MAX(10,$R151/(1+($V151*(('Traffic Data'!V70*$T151*$U151)/(($I151/2)*$S151))^$W151)))</f>
        <v>14.590242621737195</v>
      </c>
      <c r="AK151" s="531">
        <f>MAX(10,$R151/(1+($V151*(('Traffic Data'!W70*$T151*$U151)/(($I151/2)*$S151))^$W151)))</f>
        <v>12.245750450281898</v>
      </c>
      <c r="AL151" s="531">
        <f>MAX(10,$R151/(1+($V151*(('Traffic Data'!X70*$T151*$U151)/(($I151/2)*$S151))^$W151)))</f>
        <v>10.802023161382403</v>
      </c>
      <c r="AM151" s="531">
        <f>MAX(10,$R151/(1+($V151*(('Traffic Data'!Y70*$T151*$U151)/(($I151/2)*$S151))^$W151)))</f>
        <v>10</v>
      </c>
      <c r="AN151" s="531">
        <f>MAX(10,$R151/(1+($V151*(('Traffic Data'!Z70*$T151*$U151)/(($I151/2)*$S151))^$W151)))</f>
        <v>10</v>
      </c>
      <c r="AO151" s="531">
        <f>MAX(10,$R151/(1+($V151*(('Traffic Data'!AA70*$T151*$U151)/(($I151/2)*$S151))^$W151)))</f>
        <v>10</v>
      </c>
      <c r="AP151" s="531">
        <f>MAX(10,$R151/(1+($V151*(('Traffic Data'!AB70*$T151*$U151)/(($I151/2)*$S151))^$W151)))</f>
        <v>10</v>
      </c>
      <c r="AQ151" s="531">
        <f>MAX(10,$R151/(1+($V151*(('Traffic Data'!AC70*$T151*$U151)/(($I151/2)*$S151))^$W151)))</f>
        <v>10</v>
      </c>
      <c r="AR151" s="531">
        <f>MAX(10,$R151/(1+($V151*(('Traffic Data'!AD70*$T151*$U151)/(($I151/2)*$S151))^$W151)))</f>
        <v>10</v>
      </c>
      <c r="AS151" s="531">
        <f>MAX(10,$R151/(1+($V151*(('Traffic Data'!AE70*$T151*$U151)/(($I151/2)*$S151))^$W151)))</f>
        <v>10</v>
      </c>
      <c r="AT151" s="531">
        <f>MAX(10,$R151/(1+($V151*(('Traffic Data'!AF70*$T151*$U151)/(($I151/2)*$S151))^$W151)))</f>
        <v>10</v>
      </c>
      <c r="AU151" s="531">
        <f>MAX(10,$R151/(1+($V151*(('Traffic Data'!AG70*$T151*$U151)/(($I151/2)*$S151))^$W151)))</f>
        <v>10</v>
      </c>
      <c r="AV151" s="531">
        <f>MAX(10,$R151/(1+($V151*(('Traffic Data'!AH70*$T151*$U151)/(($I151/2)*$S151))^$W151)))</f>
        <v>10</v>
      </c>
      <c r="AW151" s="532">
        <f>MAX(10,$R151/(1+($V151*(('Traffic Data'!AI70*$T151*$U151)/(($I151/2)*$S151))^$W151)))</f>
        <v>10</v>
      </c>
      <c r="AX151" s="401">
        <f>$R151/(1+($V151*(('Traffic Data'!J70*(0.67/14))/(($I151)*$S151))^$W151))</f>
        <v>46.99999421510455</v>
      </c>
      <c r="AY151" s="373">
        <f>$R151/(1+($V151*(('Traffic Data'!J70*(0.67/14))/(($I151)*$S151))^$W151))</f>
        <v>46.99999421510455</v>
      </c>
      <c r="AZ151" s="373">
        <f>$R151/(1+($V151*(('Traffic Data'!K70*(0.67/14))/(($I151)*$S151))^$W151))</f>
        <v>46.9999923749846</v>
      </c>
      <c r="BA151" s="373">
        <f>$R151/(1+($V151*(('Traffic Data'!L70*(0.67/14))/(($I151)*$S151))^$W151))</f>
        <v>46.999988840570389</v>
      </c>
      <c r="BB151" s="373">
        <f>$R151/(1+($V151*(('Traffic Data'!M70*(0.67/14))/(($I151)*$S151))^$W151))</f>
        <v>46.999981394155355</v>
      </c>
      <c r="BC151" s="373">
        <f>$R151/(1+($V151*(('Traffic Data'!N70*(0.67/14))/(($I151)*$S151))^$W151))</f>
        <v>46.999969734796231</v>
      </c>
      <c r="BD151" s="373">
        <f>$R151/(1+($V151*(('Traffic Data'!O70*(0.67/14))/(($I151)*$S151))^$W151))</f>
        <v>46.999951870049891</v>
      </c>
      <c r="BE151" s="373">
        <f>$R151/(1+($V151*(('Traffic Data'!P70*(0.67/14))/(($I151)*$S151))^$W151))</f>
        <v>46.999925029225203</v>
      </c>
      <c r="BF151" s="373">
        <f>$R151/(1+($V151*(('Traffic Data'!Q70*(0.67/14))/(($I151)*$S151))^$W151))</f>
        <v>46.999885357994067</v>
      </c>
      <c r="BG151" s="373">
        <f>$R151/(1+($V151*(('Traffic Data'!R70*(0.67/14))/(($I151)*$S151))^$W151))</f>
        <v>46.999827048762654</v>
      </c>
      <c r="BH151" s="373">
        <f>$R151/(1+($V151*(('Traffic Data'!S70*(0.67/14))/(($I151)*$S151))^$W151))</f>
        <v>46.999743256883484</v>
      </c>
      <c r="BI151" s="373">
        <f>$R151/(1+($V151*(('Traffic Data'!T70*(0.67/14))/(($I151)*$S151))^$W151))</f>
        <v>46.999624603654084</v>
      </c>
      <c r="BJ151" s="373">
        <f>$R151/(1+($V151*(('Traffic Data'!U70*(0.67/14))/(($I151)*$S151))^$W151))</f>
        <v>46.999458678634817</v>
      </c>
      <c r="BK151" s="373">
        <f>$R151/(1+($V151*(('Traffic Data'!V70*(0.67/14))/(($I151)*$S151))^$W151))</f>
        <v>46.999229228427964</v>
      </c>
      <c r="BL151" s="373">
        <f>$R151/(1+($V151*(('Traffic Data'!W70*(0.67/14))/(($I151)*$S151))^$W151))</f>
        <v>46.999015234205181</v>
      </c>
      <c r="BM151" s="373">
        <f>$R151/(1+($V151*(('Traffic Data'!X70*(0.67/14))/(($I151)*$S151))^$W151))</f>
        <v>46.998837245593748</v>
      </c>
      <c r="BN151" s="373">
        <f>$R151/(1+($V151*(('Traffic Data'!Y70*(0.67/14))/(($I151)*$S151))^$W151))</f>
        <v>46.998630810765583</v>
      </c>
      <c r="BO151" s="373">
        <f>$R151/(1+($V151*(('Traffic Data'!Z70*(0.67/14))/(($I151)*$S151))^$W151))</f>
        <v>46.998391958352798</v>
      </c>
      <c r="BP151" s="373">
        <f>$R151/(1+($V151*(('Traffic Data'!AA70*(0.67/14))/(($I151)*$S151))^$W151))</f>
        <v>46.998116099346127</v>
      </c>
      <c r="BQ151" s="373">
        <f>$R151/(1+($V151*(('Traffic Data'!AB70*(0.67/14))/(($I151)*$S151))^$W151))</f>
        <v>46.997798520996518</v>
      </c>
      <c r="BR151" s="373">
        <f>$R151/(1+($V151*(('Traffic Data'!AC70*(0.67/14))/(($I151)*$S151))^$W151))</f>
        <v>46.997433364432972</v>
      </c>
      <c r="BS151" s="373">
        <f>$R151/(1+($V151*(('Traffic Data'!AD70*(0.67/14))/(($I151)*$S151))^$W151))</f>
        <v>46.997014790196872</v>
      </c>
      <c r="BT151" s="373">
        <f>$R151/(1+($V151*(('Traffic Data'!AE70*(0.67/14))/(($I151)*$S151))^$W151))</f>
        <v>46.99653575687546</v>
      </c>
      <c r="BU151" s="373">
        <f>$R151/(1+($V151*(('Traffic Data'!AF70*(0.67/14))/(($I151)*$S151))^$W151))</f>
        <v>46.99598834666201</v>
      </c>
      <c r="BV151" s="373">
        <f>$R151/(1+($V151*(('Traffic Data'!AG70*(0.67/14))/(($I151)*$S151))^$W151))</f>
        <v>46.995364606057848</v>
      </c>
      <c r="BW151" s="648">
        <f>$R151/(1+($V151*(('Traffic Data'!AH70*(0.67/14))/(($I151)*$S151))^$W151))</f>
        <v>46.99465491261757</v>
      </c>
    </row>
    <row r="152" spans="1:75" ht="21.95" customHeight="1" x14ac:dyDescent="0.2">
      <c r="A152" s="642"/>
      <c r="C152" s="277" t="s">
        <v>339</v>
      </c>
      <c r="D152" s="277" t="s">
        <v>335</v>
      </c>
      <c r="E152" s="277" t="s">
        <v>323</v>
      </c>
      <c r="F152" s="590">
        <f>'Traffic Data'!CM71</f>
        <v>0.83333333333333337</v>
      </c>
      <c r="G152" s="590">
        <f>'Traffic Data'!CN71</f>
        <v>0.88</v>
      </c>
      <c r="H152" s="591">
        <f>'Traffic Data'!G71</f>
        <v>40</v>
      </c>
      <c r="I152" s="591">
        <v>2</v>
      </c>
      <c r="J152" s="591">
        <f t="shared" si="14"/>
        <v>47</v>
      </c>
      <c r="K152" s="591">
        <v>1.3</v>
      </c>
      <c r="L152" s="591">
        <v>2.5</v>
      </c>
      <c r="M152" s="591">
        <v>0</v>
      </c>
      <c r="N152" s="591">
        <v>0</v>
      </c>
      <c r="O152" s="591">
        <v>0</v>
      </c>
      <c r="P152" s="591">
        <v>0</v>
      </c>
      <c r="Q152" s="591">
        <v>0</v>
      </c>
      <c r="R152" s="255">
        <f t="shared" si="4"/>
        <v>43.2</v>
      </c>
      <c r="S152" s="592">
        <f>N$25*F152*G152</f>
        <v>586.66666666666674</v>
      </c>
      <c r="T152" s="593">
        <v>0.12</v>
      </c>
      <c r="U152" s="594">
        <v>0.65</v>
      </c>
      <c r="V152" s="579">
        <f t="shared" si="12"/>
        <v>0.2</v>
      </c>
      <c r="W152" s="680">
        <v>10</v>
      </c>
      <c r="X152" s="401">
        <f>$R152/(1+($V152*(('Traffic Data'!J71*$T152*$U152)/(($I152/2)*$S152))^$W152))</f>
        <v>43.2</v>
      </c>
      <c r="Y152" s="401">
        <f>$R152/(1+($V152*(('Traffic Data'!K71*$T152*$U152)/(($I152/2)*$S152))^$W152))</f>
        <v>43.2</v>
      </c>
      <c r="Z152" s="401">
        <f>$R152/(1+($V152*(('Traffic Data'!L71*$T152*$U152)/(($I152/2)*$S152))^$W152))</f>
        <v>43.199999999254835</v>
      </c>
      <c r="AA152" s="401">
        <f>$R152/(1+($V152*(('Traffic Data'!M71*$T152*$U152)/(($I152/2)*$S152))^$W152))</f>
        <v>43.199995916637803</v>
      </c>
      <c r="AB152" s="401">
        <f>$R152/(1+($V152*(('Traffic Data'!N71*$T152*$U152)/(($I152/2)*$S152))^$W152))</f>
        <v>43.199610019600925</v>
      </c>
      <c r="AC152" s="401">
        <f>$R152/(1+($V152*(('Traffic Data'!O71*$T152*$U152)/(($I152/2)*$S152))^$W152))</f>
        <v>43.19118072841755</v>
      </c>
      <c r="AD152" s="401">
        <f>$R152/(1+($V152*(('Traffic Data'!P71*$T152*$U152)/(($I152/2)*$S152))^$W152))</f>
        <v>43.105543071541632</v>
      </c>
      <c r="AE152" s="401">
        <f>$R152/(1+($V152*(('Traffic Data'!Q71*$T152*$U152)/(($I152/2)*$S152))^$W152))</f>
        <v>42.564430700421724</v>
      </c>
      <c r="AF152" s="401">
        <f>$R152/(1+($V152*(('Traffic Data'!R71*$T152*$U152)/(($I152/2)*$S152))^$W152))</f>
        <v>41.945698891632006</v>
      </c>
      <c r="AG152" s="401">
        <f>$R152/(1+($V152*(('Traffic Data'!S71*$T152*$U152)/(($I152/2)*$S152))^$W152))</f>
        <v>40.859933383409171</v>
      </c>
      <c r="AH152" s="401">
        <f>$R152/(1+($V152*(('Traffic Data'!T71*$T152*$U152)/(($I152/2)*$S152))^$W152))</f>
        <v>39.080711860249295</v>
      </c>
      <c r="AI152" s="401">
        <f>$R152/(1+($V152*(('Traffic Data'!U71*$T152*$U152)/(($I152/2)*$S152))^$W152))</f>
        <v>36.386569581847269</v>
      </c>
      <c r="AJ152" s="401">
        <f>$R152/(1+($V152*(('Traffic Data'!V71*$T152*$U152)/(($I152/2)*$S152))^$W152))</f>
        <v>32.657337473550307</v>
      </c>
      <c r="AK152" s="401">
        <f>$R152/(1+($V152*(('Traffic Data'!W71*$T152*$U152)/(($I152/2)*$S152))^$W152))</f>
        <v>32.009960963488716</v>
      </c>
      <c r="AL152" s="401">
        <f>$R152/(1+($V152*(('Traffic Data'!X71*$T152*$U152)/(($I152/2)*$S152))^$W152))</f>
        <v>31.342682856462009</v>
      </c>
      <c r="AM152" s="401">
        <f>$R152/(1+($V152*(('Traffic Data'!Y71*$T152*$U152)/(($I152/2)*$S152))^$W152))</f>
        <v>30.656723819302918</v>
      </c>
      <c r="AN152" s="401">
        <f>$R152/(1+($V152*(('Traffic Data'!Z71*$T152*$U152)/(($I152/2)*$S152))^$W152))</f>
        <v>29.953457761994514</v>
      </c>
      <c r="AO152" s="401">
        <f>$R152/(1+($V152*(('Traffic Data'!AA71*$T152*$U152)/(($I152/2)*$S152))^$W152))</f>
        <v>29.22921886496578</v>
      </c>
      <c r="AP152" s="401">
        <f>$R152/(1+($V152*(('Traffic Data'!AB71*$T152*$U152)/(($I152/2)*$S152))^$W152))</f>
        <v>28.495927562150335</v>
      </c>
      <c r="AQ152" s="401">
        <f>$R152/(1+($V152*(('Traffic Data'!AC71*$T152*$U152)/(($I152/2)*$S152))^$W152))</f>
        <v>27.74789102810854</v>
      </c>
      <c r="AR152" s="401">
        <f>$R152/(1+($V152*(('Traffic Data'!AD71*$T152*$U152)/(($I152/2)*$S152))^$W152))</f>
        <v>26.991708598550034</v>
      </c>
      <c r="AS152" s="401">
        <f>$R152/(1+($V152*(('Traffic Data'!AE71*$T152*$U152)/(($I152/2)*$S152))^$W152))</f>
        <v>26.226980157041623</v>
      </c>
      <c r="AT152" s="401">
        <f>$R152/(1+($V152*(('Traffic Data'!AF71*$T152*$U152)/(($I152/2)*$S152))^$W152))</f>
        <v>25.450190208634254</v>
      </c>
      <c r="AU152" s="401">
        <f>$R152/(1+($V152*(('Traffic Data'!AG71*$T152*$U152)/(($I152/2)*$S152))^$W152))</f>
        <v>24.674402204963897</v>
      </c>
      <c r="AV152" s="401">
        <f>$R152/(1+($V152*(('Traffic Data'!AH71*$T152*$U152)/(($I152/2)*$S152))^$W152))</f>
        <v>23.896196278598335</v>
      </c>
      <c r="AW152" s="372">
        <f>$R152/(1+($V152*(('Traffic Data'!AI71*$T152*$U152)/(($I152/2)*$S152))^$W152))</f>
        <v>23.115162784521527</v>
      </c>
      <c r="AX152" s="405">
        <f>$R152/(1+($V152*(('Traffic Data'!J71*(0.67/14))/(($I152)*$S152))^$W152))</f>
        <v>43.2</v>
      </c>
      <c r="AY152" s="401">
        <f>$R152/(1+($V152*(('Traffic Data'!J71*(0.67/14))/(($I152)*$S152))^$W152))</f>
        <v>43.2</v>
      </c>
      <c r="AZ152" s="401">
        <f>$R152/(1+($V152*(('Traffic Data'!K71*(0.67/14))/(($I152)*$S152))^$W152))</f>
        <v>43.2</v>
      </c>
      <c r="BA152" s="401">
        <f>$R152/(1+($V152*(('Traffic Data'!L71*(0.67/14))/(($I152)*$S152))^$W152))</f>
        <v>43.199999999999996</v>
      </c>
      <c r="BB152" s="401">
        <f>$R152/(1+($V152*(('Traffic Data'!M71*(0.67/14))/(($I152)*$S152))^$W152))</f>
        <v>43.199999999969855</v>
      </c>
      <c r="BC152" s="401">
        <f>$R152/(1+($V152*(('Traffic Data'!N71*(0.67/14))/(($I152)*$S152))^$W152))</f>
        <v>43.199999997120827</v>
      </c>
      <c r="BD152" s="401">
        <f>$R152/(1+($V152*(('Traffic Data'!O71*(0.67/14))/(($I152)*$S152))^$W152))</f>
        <v>43.199999934875699</v>
      </c>
      <c r="BE152" s="401">
        <f>$R152/(1+($V152*(('Traffic Data'!P71*(0.67/14))/(($I152)*$S152))^$W152))</f>
        <v>43.199999301114353</v>
      </c>
      <c r="BF152" s="401">
        <f>$R152/(1+($V152*(('Traffic Data'!Q71*(0.67/14))/(($I152)*$S152))^$W152))</f>
        <v>43.199995237648281</v>
      </c>
      <c r="BG152" s="401">
        <f>$R152/(1+($V152*(('Traffic Data'!R71*(0.67/14))/(($I152)*$S152))^$W152))</f>
        <v>43.199990462825944</v>
      </c>
      <c r="BH152" s="401">
        <f>$R152/(1+($V152*(('Traffic Data'!S71*(0.67/14))/(($I152)*$S152))^$W152))</f>
        <v>43.199981734321192</v>
      </c>
      <c r="BI152" s="401">
        <f>$R152/(1+($V152*(('Traffic Data'!T71*(0.67/14))/(($I152)*$S152))^$W152))</f>
        <v>43.199966382547409</v>
      </c>
      <c r="BJ152" s="401">
        <f>$R152/(1+($V152*(('Traffic Data'!U71*(0.67/14))/(($I152)*$S152))^$W152))</f>
        <v>43.199940278659867</v>
      </c>
      <c r="BK152" s="401">
        <f>$R152/(1+($V152*(('Traffic Data'!V71*(0.67/14))/(($I152)*$S152))^$W152))</f>
        <v>43.199897038720927</v>
      </c>
      <c r="BL152" s="401">
        <f>$R152/(1+($V152*(('Traffic Data'!W71*(0.67/14))/(($I152)*$S152))^$W152))</f>
        <v>43.199888506186639</v>
      </c>
      <c r="BM152" s="401">
        <f>$R152/(1+($V152*(('Traffic Data'!X71*(0.67/14))/(($I152)*$S152))^$W152))</f>
        <v>43.19987934245399</v>
      </c>
      <c r="BN152" s="401">
        <f>$R152/(1+($V152*(('Traffic Data'!Y71*(0.67/14))/(($I152)*$S152))^$W152))</f>
        <v>43.199869506354162</v>
      </c>
      <c r="BO152" s="401">
        <f>$R152/(1+($V152*(('Traffic Data'!Z71*(0.67/14))/(($I152)*$S152))^$W152))</f>
        <v>43.199858954387686</v>
      </c>
      <c r="BP152" s="401">
        <f>$R152/(1+($V152*(('Traffic Data'!AA71*(0.67/14))/(($I152)*$S152))^$W152))</f>
        <v>43.199847557037231</v>
      </c>
      <c r="BQ152" s="401">
        <f>$R152/(1+($V152*(('Traffic Data'!AB71*(0.67/14))/(($I152)*$S152))^$W152))</f>
        <v>43.199835426989218</v>
      </c>
      <c r="BR152" s="401">
        <f>$R152/(1+($V152*(('Traffic Data'!AC71*(0.67/14))/(($I152)*$S152))^$W152))</f>
        <v>43.199822392447345</v>
      </c>
      <c r="BS152" s="401">
        <f>$R152/(1+($V152*(('Traffic Data'!AD71*(0.67/14))/(($I152)*$S152))^$W152))</f>
        <v>43.199808481660547</v>
      </c>
      <c r="BT152" s="401">
        <f>$R152/(1+($V152*(('Traffic Data'!AE71*(0.67/14))/(($I152)*$S152))^$W152))</f>
        <v>43.199793597862858</v>
      </c>
      <c r="BU152" s="401">
        <f>$R152/(1+($V152*(('Traffic Data'!AF71*(0.67/14))/(($I152)*$S152))^$W152))</f>
        <v>43.199777563594566</v>
      </c>
      <c r="BV152" s="401">
        <f>$R152/(1+($V152*(('Traffic Data'!AG71*(0.67/14))/(($I152)*$S152))^$W152))</f>
        <v>43.199760542404377</v>
      </c>
      <c r="BW152" s="645">
        <f>$R152/(1+($V152*(('Traffic Data'!AH71*(0.67/14))/(($I152)*$S152))^$W152))</f>
        <v>43.199742357823311</v>
      </c>
    </row>
    <row r="153" spans="1:75" ht="21.95" customHeight="1" x14ac:dyDescent="0.2">
      <c r="A153" s="642"/>
      <c r="C153" s="1340" t="s">
        <v>323</v>
      </c>
      <c r="D153" s="220" t="s">
        <v>282</v>
      </c>
      <c r="E153" s="220" t="s">
        <v>339</v>
      </c>
      <c r="F153" s="596">
        <f>'Traffic Data'!CM72</f>
        <v>0.83333333333333337</v>
      </c>
      <c r="G153" s="596">
        <f>'Traffic Data'!CN72</f>
        <v>0.88</v>
      </c>
      <c r="H153" s="146">
        <f>'Traffic Data'!G72</f>
        <v>40</v>
      </c>
      <c r="I153" s="146">
        <v>4</v>
      </c>
      <c r="J153" s="146">
        <f t="shared" si="14"/>
        <v>47</v>
      </c>
      <c r="K153" s="146">
        <v>0</v>
      </c>
      <c r="L153" s="146">
        <v>2.5</v>
      </c>
      <c r="M153" s="597">
        <v>0</v>
      </c>
      <c r="N153" s="146">
        <v>1.8</v>
      </c>
      <c r="O153" s="146">
        <v>1.6</v>
      </c>
      <c r="P153" s="146">
        <v>0</v>
      </c>
      <c r="Q153" s="146">
        <v>0</v>
      </c>
      <c r="R153" s="174">
        <f t="shared" ref="R153:R174" si="15">J153-K153-L153-M153-N153-O153-P153-Q153</f>
        <v>41.1</v>
      </c>
      <c r="S153" s="576">
        <f>M$25*F153*G153</f>
        <v>1356.6666666666667</v>
      </c>
      <c r="T153" s="577">
        <v>0.12</v>
      </c>
      <c r="U153" s="578">
        <v>0.65</v>
      </c>
      <c r="V153" s="585">
        <f t="shared" si="12"/>
        <v>0.2</v>
      </c>
      <c r="W153" s="228">
        <v>10</v>
      </c>
      <c r="X153" s="403">
        <f>$R153/(1+($V153*(('Traffic Data'!J72*$T153*$U153)/(($I153/2)*$S153))^$W153))</f>
        <v>41.1</v>
      </c>
      <c r="Y153" s="377">
        <f>$R153/(1+($V153*(('Traffic Data'!K72*$T153*$U153)/(($I153/2)*$S153))^$W153))</f>
        <v>41.1</v>
      </c>
      <c r="Z153" s="377">
        <f>$R153/(1+($V153*(('Traffic Data'!L72*$T153*$U153)/(($I153/2)*$S153))^$W153))</f>
        <v>41.1</v>
      </c>
      <c r="AA153" s="377">
        <f>$R153/(1+($V153*(('Traffic Data'!M72*$T153*$U153)/(($I153/2)*$S153))^$W153))</f>
        <v>41.099999999994417</v>
      </c>
      <c r="AB153" s="377">
        <f>$R153/(1+($V153*(('Traffic Data'!N72*$T153*$U153)/(($I153/2)*$S153))^$W153))</f>
        <v>41.099999999537111</v>
      </c>
      <c r="AC153" s="377">
        <f>$R153/(1+($V153*(('Traffic Data'!O72*$T153*$U153)/(($I153/2)*$S153))^$W153))</f>
        <v>41.099999990190398</v>
      </c>
      <c r="AD153" s="377">
        <f>$R153/(1+($V153*(('Traffic Data'!P72*$T153*$U153)/(($I153/2)*$S153))^$W153))</f>
        <v>41.099999898693142</v>
      </c>
      <c r="AE153" s="377">
        <f>$R153/(1+($V153*(('Traffic Data'!Q72*$T153*$U153)/(($I153/2)*$S153))^$W153))</f>
        <v>41.099999327050369</v>
      </c>
      <c r="AF153" s="377">
        <f>$R153/(1+($V153*(('Traffic Data'!R72*$T153*$U153)/(($I153/2)*$S153))^$W153))</f>
        <v>41.099997653760163</v>
      </c>
      <c r="AG153" s="377">
        <f>$R153/(1+($V153*(('Traffic Data'!S72*$T153*$U153)/(($I153/2)*$S153))^$W153))</f>
        <v>41.099992878726958</v>
      </c>
      <c r="AH153" s="377">
        <f>$R153/(1+($V153*(('Traffic Data'!T72*$T153*$U153)/(($I153/2)*$S153))^$W153))</f>
        <v>41.099980660356351</v>
      </c>
      <c r="AI153" s="377">
        <f>$R153/(1+($V153*(('Traffic Data'!U72*$T153*$U153)/(($I153/2)*$S153))^$W153))</f>
        <v>41.099952037621648</v>
      </c>
      <c r="AJ153" s="377">
        <f>$R153/(1+($V153*(('Traffic Data'!V72*$T153*$U153)/(($I153/2)*$S153))^$W153))</f>
        <v>41.099889604819737</v>
      </c>
      <c r="AK153" s="377">
        <f>$R153/(1+($V153*(('Traffic Data'!W72*$T153*$U153)/(($I153/2)*$S153))^$W153))</f>
        <v>41.099837147249247</v>
      </c>
      <c r="AL153" s="377">
        <f>$R153/(1+($V153*(('Traffic Data'!X72*$T153*$U153)/(($I153/2)*$S153))^$W153))</f>
        <v>41.099819433478061</v>
      </c>
      <c r="AM153" s="377">
        <f>$R153/(1+($V153*(('Traffic Data'!Y72*$T153*$U153)/(($I153/2)*$S153))^$W153))</f>
        <v>41.099800004112645</v>
      </c>
      <c r="AN153" s="377">
        <f>$R153/(1+($V153*(('Traffic Data'!Z72*$T153*$U153)/(($I153/2)*$S153))^$W153))</f>
        <v>41.099778713017592</v>
      </c>
      <c r="AO153" s="377">
        <f>$R153/(1+($V153*(('Traffic Data'!AA72*$T153*$U153)/(($I153/2)*$S153))^$W153))</f>
        <v>41.099755333487764</v>
      </c>
      <c r="AP153" s="377">
        <f>$R153/(1+($V153*(('Traffic Data'!AB72*$T153*$U153)/(($I153/2)*$S153))^$W153))</f>
        <v>41.099729830227254</v>
      </c>
      <c r="AQ153" s="377">
        <f>$R153/(1+($V153*(('Traffic Data'!AC72*$T153*$U153)/(($I153/2)*$S153))^$W153))</f>
        <v>41.099701875520481</v>
      </c>
      <c r="AR153" s="377">
        <f>$R153/(1+($V153*(('Traffic Data'!AD72*$T153*$U153)/(($I153/2)*$S153))^$W153))</f>
        <v>41.099671435026814</v>
      </c>
      <c r="AS153" s="377">
        <f>$R153/(1+($V153*(('Traffic Data'!AE72*$T153*$U153)/(($I153/2)*$S153))^$W153))</f>
        <v>41.099638225218428</v>
      </c>
      <c r="AT153" s="377">
        <f>$R153/(1+($V153*(('Traffic Data'!AF72*$T153*$U153)/(($I153/2)*$S153))^$W153))</f>
        <v>41.099601916217836</v>
      </c>
      <c r="AU153" s="377">
        <f>$R153/(1+($V153*(('Traffic Data'!AG72*$T153*$U153)/(($I153/2)*$S153))^$W153))</f>
        <v>41.099562477650608</v>
      </c>
      <c r="AV153" s="377">
        <f>$R153/(1+($V153*(('Traffic Data'!AH72*$T153*$U153)/(($I153/2)*$S153))^$W153))</f>
        <v>41.099519556825001</v>
      </c>
      <c r="AW153" s="378">
        <f>$R153/(1+($V153*(('Traffic Data'!AI72*$T153*$U153)/(($I153/2)*$S153))^$W153))</f>
        <v>41.099472743791047</v>
      </c>
      <c r="AX153" s="400">
        <f>$R153/(1+($V153*(('Traffic Data'!J72*(0.67/14))/(($I153)*$S153))^$W153))</f>
        <v>41.1</v>
      </c>
      <c r="AY153" s="377">
        <f>$R153/(1+($V153*(('Traffic Data'!J72*(0.67/14))/(($I153)*$S153))^$W153))</f>
        <v>41.1</v>
      </c>
      <c r="AZ153" s="377">
        <f>$R153/(1+($V153*(('Traffic Data'!K72*(0.67/14))/(($I153)*$S153))^$W153))</f>
        <v>41.1</v>
      </c>
      <c r="BA153" s="377">
        <f>$R153/(1+($V153*(('Traffic Data'!L72*(0.67/14))/(($I153)*$S153))^$W153))</f>
        <v>41.1</v>
      </c>
      <c r="BB153" s="377">
        <f>$R153/(1+($V153*(('Traffic Data'!M72*(0.67/14))/(($I153)*$S153))^$W153))</f>
        <v>41.1</v>
      </c>
      <c r="BC153" s="377">
        <f>$R153/(1+($V153*(('Traffic Data'!N72*(0.67/14))/(($I153)*$S153))^$W153))</f>
        <v>41.1</v>
      </c>
      <c r="BD153" s="377">
        <f>$R153/(1+($V153*(('Traffic Data'!O72*(0.67/14))/(($I153)*$S153))^$W153))</f>
        <v>41.09999999999993</v>
      </c>
      <c r="BE153" s="377">
        <f>$R153/(1+($V153*(('Traffic Data'!P72*(0.67/14))/(($I153)*$S153))^$W153))</f>
        <v>41.099999999999255</v>
      </c>
      <c r="BF153" s="377">
        <f>$R153/(1+($V153*(('Traffic Data'!Q72*(0.67/14))/(($I153)*$S153))^$W153))</f>
        <v>41.099999999995035</v>
      </c>
      <c r="BG153" s="377">
        <f>$R153/(1+($V153*(('Traffic Data'!R72*(0.67/14))/(($I153)*$S153))^$W153))</f>
        <v>41.099999999982678</v>
      </c>
      <c r="BH153" s="377">
        <f>$R153/(1+($V153*(('Traffic Data'!S72*(0.67/14))/(($I153)*$S153))^$W153))</f>
        <v>41.099999999947428</v>
      </c>
      <c r="BI153" s="377">
        <f>$R153/(1+($V153*(('Traffic Data'!T72*(0.67/14))/(($I153)*$S153))^$W153))</f>
        <v>41.099999999857225</v>
      </c>
      <c r="BJ153" s="377">
        <f>$R153/(1+($V153*(('Traffic Data'!U72*(0.67/14))/(($I153)*$S153))^$W153))</f>
        <v>41.099999999645902</v>
      </c>
      <c r="BK153" s="377">
        <f>$R153/(1+($V153*(('Traffic Data'!V72*(0.67/14))/(($I153)*$S153))^$W153))</f>
        <v>41.099999999184973</v>
      </c>
      <c r="BL153" s="377">
        <f>$R153/(1+($V153*(('Traffic Data'!W72*(0.67/14))/(($I153)*$S153))^$W153))</f>
        <v>41.099999998797685</v>
      </c>
      <c r="BM153" s="377">
        <f>$R153/(1+($V153*(('Traffic Data'!X72*(0.67/14))/(($I153)*$S153))^$W153))</f>
        <v>41.09999999866691</v>
      </c>
      <c r="BN153" s="377">
        <f>$R153/(1+($V153*(('Traffic Data'!Y72*(0.67/14))/(($I153)*$S153))^$W153))</f>
        <v>41.099999998523465</v>
      </c>
      <c r="BO153" s="377">
        <f>$R153/(1+($V153*(('Traffic Data'!Z72*(0.67/14))/(($I153)*$S153))^$W153))</f>
        <v>41.099999998366279</v>
      </c>
      <c r="BP153" s="377">
        <f>$R153/(1+($V153*(('Traffic Data'!AA72*(0.67/14))/(($I153)*$S153))^$W153))</f>
        <v>41.099999998193667</v>
      </c>
      <c r="BQ153" s="377">
        <f>$R153/(1+($V153*(('Traffic Data'!AB72*(0.67/14))/(($I153)*$S153))^$W153))</f>
        <v>41.09999999800538</v>
      </c>
      <c r="BR153" s="377">
        <f>$R153/(1+($V153*(('Traffic Data'!AC72*(0.67/14))/(($I153)*$S153))^$W153))</f>
        <v>41.099999997798982</v>
      </c>
      <c r="BS153" s="377">
        <f>$R153/(1+($V153*(('Traffic Data'!AD72*(0.67/14))/(($I153)*$S153))^$W153))</f>
        <v>41.099999997574244</v>
      </c>
      <c r="BT153" s="377">
        <f>$R153/(1+($V153*(('Traffic Data'!AE72*(0.67/14))/(($I153)*$S153))^$W153))</f>
        <v>41.099999997329064</v>
      </c>
      <c r="BU153" s="377">
        <f>$R153/(1+($V153*(('Traffic Data'!AF72*(0.67/14))/(($I153)*$S153))^$W153))</f>
        <v>41.099999997060998</v>
      </c>
      <c r="BV153" s="377">
        <f>$R153/(1+($V153*(('Traffic Data'!AG72*(0.67/14))/(($I153)*$S153))^$W153))</f>
        <v>41.099999996769824</v>
      </c>
      <c r="BW153" s="646">
        <f>$R153/(1+($V153*(('Traffic Data'!AH72*(0.67/14))/(($I153)*$S153))^$W153))</f>
        <v>41.099999996452944</v>
      </c>
    </row>
    <row r="154" spans="1:75" ht="21.95" customHeight="1" x14ac:dyDescent="0.2">
      <c r="A154" s="642"/>
      <c r="C154" s="1339"/>
      <c r="D154" s="116" t="s">
        <v>339</v>
      </c>
      <c r="E154" s="116" t="s">
        <v>288</v>
      </c>
      <c r="F154" s="575">
        <f>'Traffic Data'!CM72</f>
        <v>0.83333333333333337</v>
      </c>
      <c r="G154" s="575">
        <f>'Traffic Data'!CN72</f>
        <v>0.88</v>
      </c>
      <c r="H154" s="146">
        <f>'Traffic Data'!G73</f>
        <v>40</v>
      </c>
      <c r="I154" s="146">
        <v>4</v>
      </c>
      <c r="J154" s="146">
        <f t="shared" si="14"/>
        <v>47</v>
      </c>
      <c r="K154" s="146">
        <v>0</v>
      </c>
      <c r="L154" s="146">
        <v>2.5</v>
      </c>
      <c r="M154" s="146">
        <v>0</v>
      </c>
      <c r="N154" s="146">
        <v>1.8</v>
      </c>
      <c r="O154" s="146">
        <v>1.6</v>
      </c>
      <c r="P154" s="146">
        <v>0</v>
      </c>
      <c r="Q154" s="146">
        <v>0</v>
      </c>
      <c r="R154" s="174">
        <f t="shared" si="15"/>
        <v>41.1</v>
      </c>
      <c r="S154" s="576">
        <f>M$25*F154*G154</f>
        <v>1356.6666666666667</v>
      </c>
      <c r="T154" s="577">
        <v>0.12</v>
      </c>
      <c r="U154" s="578">
        <v>0.65</v>
      </c>
      <c r="V154" s="579">
        <f t="shared" si="12"/>
        <v>0.2</v>
      </c>
      <c r="W154" s="228">
        <v>10</v>
      </c>
      <c r="X154" s="400">
        <f>$R154/(1+($V154*(('Traffic Data'!J73*$T154*$U154)/(($I154/2)*$S154))^$W154))</f>
        <v>41.1</v>
      </c>
      <c r="Y154" s="401">
        <f>$R154/(1+($V154*(('Traffic Data'!K73*$T154*$U154)/(($I154/2)*$S154))^$W154))</f>
        <v>41.1</v>
      </c>
      <c r="Z154" s="401">
        <f>$R154/(1+($V154*(('Traffic Data'!L73*$T154*$U154)/(($I154/2)*$S154))^$W154))</f>
        <v>41.1</v>
      </c>
      <c r="AA154" s="401">
        <f>$R154/(1+($V154*(('Traffic Data'!M73*$T154*$U154)/(($I154/2)*$S154))^$W154))</f>
        <v>41.099999999994417</v>
      </c>
      <c r="AB154" s="401">
        <f>$R154/(1+($V154*(('Traffic Data'!N73*$T154*$U154)/(($I154/2)*$S154))^$W154))</f>
        <v>41.099999999537111</v>
      </c>
      <c r="AC154" s="401">
        <f>$R154/(1+($V154*(('Traffic Data'!O73*$T154*$U154)/(($I154/2)*$S154))^$W154))</f>
        <v>41.099999990190398</v>
      </c>
      <c r="AD154" s="401">
        <f>$R154/(1+($V154*(('Traffic Data'!P73*$T154*$U154)/(($I154/2)*$S154))^$W154))</f>
        <v>41.099999898693142</v>
      </c>
      <c r="AE154" s="401">
        <f>$R154/(1+($V154*(('Traffic Data'!Q73*$T154*$U154)/(($I154/2)*$S154))^$W154))</f>
        <v>41.099999327050369</v>
      </c>
      <c r="AF154" s="401">
        <f>$R154/(1+($V154*(('Traffic Data'!R73*$T154*$U154)/(($I154/2)*$S154))^$W154))</f>
        <v>41.099997653760163</v>
      </c>
      <c r="AG154" s="401">
        <f>$R154/(1+($V154*(('Traffic Data'!S73*$T154*$U154)/(($I154/2)*$S154))^$W154))</f>
        <v>41.099992878726958</v>
      </c>
      <c r="AH154" s="401">
        <f>$R154/(1+($V154*(('Traffic Data'!T73*$T154*$U154)/(($I154/2)*$S154))^$W154))</f>
        <v>41.099980660356351</v>
      </c>
      <c r="AI154" s="401">
        <f>$R154/(1+($V154*(('Traffic Data'!U73*$T154*$U154)/(($I154/2)*$S154))^$W154))</f>
        <v>41.099952037621648</v>
      </c>
      <c r="AJ154" s="401">
        <f>$R154/(1+($V154*(('Traffic Data'!V73*$T154*$U154)/(($I154/2)*$S154))^$W154))</f>
        <v>41.099889604819737</v>
      </c>
      <c r="AK154" s="401">
        <f>$R154/(1+($V154*(('Traffic Data'!W73*$T154*$U154)/(($I154/2)*$S154))^$W154))</f>
        <v>41.099837147249247</v>
      </c>
      <c r="AL154" s="401">
        <f>$R154/(1+($V154*(('Traffic Data'!X73*$T154*$U154)/(($I154/2)*$S154))^$W154))</f>
        <v>41.099819433478061</v>
      </c>
      <c r="AM154" s="401">
        <f>$R154/(1+($V154*(('Traffic Data'!Y73*$T154*$U154)/(($I154/2)*$S154))^$W154))</f>
        <v>41.099800004112645</v>
      </c>
      <c r="AN154" s="401">
        <f>$R154/(1+($V154*(('Traffic Data'!Z73*$T154*$U154)/(($I154/2)*$S154))^$W154))</f>
        <v>41.099778713017592</v>
      </c>
      <c r="AO154" s="401">
        <f>$R154/(1+($V154*(('Traffic Data'!AA73*$T154*$U154)/(($I154/2)*$S154))^$W154))</f>
        <v>41.099755333487764</v>
      </c>
      <c r="AP154" s="401">
        <f>$R154/(1+($V154*(('Traffic Data'!AB73*$T154*$U154)/(($I154/2)*$S154))^$W154))</f>
        <v>41.099729830227254</v>
      </c>
      <c r="AQ154" s="401">
        <f>$R154/(1+($V154*(('Traffic Data'!AC73*$T154*$U154)/(($I154/2)*$S154))^$W154))</f>
        <v>41.099701875520481</v>
      </c>
      <c r="AR154" s="401">
        <f>$R154/(1+($V154*(('Traffic Data'!AD73*$T154*$U154)/(($I154/2)*$S154))^$W154))</f>
        <v>41.099671435026814</v>
      </c>
      <c r="AS154" s="401">
        <f>$R154/(1+($V154*(('Traffic Data'!AE73*$T154*$U154)/(($I154/2)*$S154))^$W154))</f>
        <v>41.099638225218428</v>
      </c>
      <c r="AT154" s="401">
        <f>$R154/(1+($V154*(('Traffic Data'!AF73*$T154*$U154)/(($I154/2)*$S154))^$W154))</f>
        <v>41.099601916217836</v>
      </c>
      <c r="AU154" s="401">
        <f>$R154/(1+($V154*(('Traffic Data'!AG73*$T154*$U154)/(($I154/2)*$S154))^$W154))</f>
        <v>41.099562477650608</v>
      </c>
      <c r="AV154" s="401">
        <f>$R154/(1+($V154*(('Traffic Data'!AH73*$T154*$U154)/(($I154/2)*$S154))^$W154))</f>
        <v>41.099519556825001</v>
      </c>
      <c r="AW154" s="372">
        <f>$R154/(1+($V154*(('Traffic Data'!AI73*$T154*$U154)/(($I154/2)*$S154))^$W154))</f>
        <v>41.099472743791047</v>
      </c>
      <c r="AX154" s="400">
        <f>$R154/(1+($V154*(('Traffic Data'!J73*(0.67/14))/(($I154)*$S154))^$W154))</f>
        <v>41.1</v>
      </c>
      <c r="AY154" s="401">
        <f>$R154/(1+($V154*(('Traffic Data'!J73*(0.67/14))/(($I154)*$S154))^$W154))</f>
        <v>41.1</v>
      </c>
      <c r="AZ154" s="401">
        <f>$R154/(1+($V154*(('Traffic Data'!K73*(0.67/14))/(($I154)*$S154))^$W154))</f>
        <v>41.1</v>
      </c>
      <c r="BA154" s="401">
        <f>$R154/(1+($V154*(('Traffic Data'!L73*(0.67/14))/(($I154)*$S154))^$W154))</f>
        <v>41.1</v>
      </c>
      <c r="BB154" s="401">
        <f>$R154/(1+($V154*(('Traffic Data'!M73*(0.67/14))/(($I154)*$S154))^$W154))</f>
        <v>41.1</v>
      </c>
      <c r="BC154" s="401">
        <f>$R154/(1+($V154*(('Traffic Data'!N73*(0.67/14))/(($I154)*$S154))^$W154))</f>
        <v>41.1</v>
      </c>
      <c r="BD154" s="401">
        <f>$R154/(1+($V154*(('Traffic Data'!O73*(0.67/14))/(($I154)*$S154))^$W154))</f>
        <v>41.09999999999993</v>
      </c>
      <c r="BE154" s="401">
        <f>$R154/(1+($V154*(('Traffic Data'!P73*(0.67/14))/(($I154)*$S154))^$W154))</f>
        <v>41.099999999999255</v>
      </c>
      <c r="BF154" s="401">
        <f>$R154/(1+($V154*(('Traffic Data'!Q73*(0.67/14))/(($I154)*$S154))^$W154))</f>
        <v>41.099999999995035</v>
      </c>
      <c r="BG154" s="401">
        <f>$R154/(1+($V154*(('Traffic Data'!R73*(0.67/14))/(($I154)*$S154))^$W154))</f>
        <v>41.099999999982678</v>
      </c>
      <c r="BH154" s="401">
        <f>$R154/(1+($V154*(('Traffic Data'!S73*(0.67/14))/(($I154)*$S154))^$W154))</f>
        <v>41.099999999947428</v>
      </c>
      <c r="BI154" s="401">
        <f>$R154/(1+($V154*(('Traffic Data'!T73*(0.67/14))/(($I154)*$S154))^$W154))</f>
        <v>41.099999999857225</v>
      </c>
      <c r="BJ154" s="401">
        <f>$R154/(1+($V154*(('Traffic Data'!U73*(0.67/14))/(($I154)*$S154))^$W154))</f>
        <v>41.099999999645902</v>
      </c>
      <c r="BK154" s="401">
        <f>$R154/(1+($V154*(('Traffic Data'!V73*(0.67/14))/(($I154)*$S154))^$W154))</f>
        <v>41.099999999184973</v>
      </c>
      <c r="BL154" s="401">
        <f>$R154/(1+($V154*(('Traffic Data'!W73*(0.67/14))/(($I154)*$S154))^$W154))</f>
        <v>41.099999998797685</v>
      </c>
      <c r="BM154" s="401">
        <f>$R154/(1+($V154*(('Traffic Data'!X73*(0.67/14))/(($I154)*$S154))^$W154))</f>
        <v>41.09999999866691</v>
      </c>
      <c r="BN154" s="401">
        <f>$R154/(1+($V154*(('Traffic Data'!Y73*(0.67/14))/(($I154)*$S154))^$W154))</f>
        <v>41.099999998523465</v>
      </c>
      <c r="BO154" s="401">
        <f>$R154/(1+($V154*(('Traffic Data'!Z73*(0.67/14))/(($I154)*$S154))^$W154))</f>
        <v>41.099999998366279</v>
      </c>
      <c r="BP154" s="401">
        <f>$R154/(1+($V154*(('Traffic Data'!AA73*(0.67/14))/(($I154)*$S154))^$W154))</f>
        <v>41.099999998193667</v>
      </c>
      <c r="BQ154" s="401">
        <f>$R154/(1+($V154*(('Traffic Data'!AB73*(0.67/14))/(($I154)*$S154))^$W154))</f>
        <v>41.09999999800538</v>
      </c>
      <c r="BR154" s="401">
        <f>$R154/(1+($V154*(('Traffic Data'!AC73*(0.67/14))/(($I154)*$S154))^$W154))</f>
        <v>41.099999997798982</v>
      </c>
      <c r="BS154" s="401">
        <f>$R154/(1+($V154*(('Traffic Data'!AD73*(0.67/14))/(($I154)*$S154))^$W154))</f>
        <v>41.099999997574244</v>
      </c>
      <c r="BT154" s="401">
        <f>$R154/(1+($V154*(('Traffic Data'!AE73*(0.67/14))/(($I154)*$S154))^$W154))</f>
        <v>41.099999997329064</v>
      </c>
      <c r="BU154" s="401">
        <f>$R154/(1+($V154*(('Traffic Data'!AF73*(0.67/14))/(($I154)*$S154))^$W154))</f>
        <v>41.099999997060998</v>
      </c>
      <c r="BV154" s="401">
        <f>$R154/(1+($V154*(('Traffic Data'!AG73*(0.67/14))/(($I154)*$S154))^$W154))</f>
        <v>41.099999996769824</v>
      </c>
      <c r="BW154" s="645">
        <f>$R154/(1+($V154*(('Traffic Data'!AH73*(0.67/14))/(($I154)*$S154))^$W154))</f>
        <v>41.099999996452944</v>
      </c>
    </row>
    <row r="155" spans="1:75" ht="21.95" customHeight="1" x14ac:dyDescent="0.2">
      <c r="A155" s="642"/>
      <c r="C155" s="1339"/>
      <c r="D155" s="116" t="s">
        <v>288</v>
      </c>
      <c r="E155" s="116" t="s">
        <v>340</v>
      </c>
      <c r="F155" s="575">
        <f>'Traffic Data'!CM72</f>
        <v>0.83333333333333337</v>
      </c>
      <c r="G155" s="575">
        <f>'Traffic Data'!CN72</f>
        <v>0.88</v>
      </c>
      <c r="H155" s="146">
        <f>'Traffic Data'!G74</f>
        <v>40</v>
      </c>
      <c r="I155" s="146">
        <v>4</v>
      </c>
      <c r="J155" s="146">
        <f t="shared" si="14"/>
        <v>47</v>
      </c>
      <c r="K155" s="146">
        <v>0</v>
      </c>
      <c r="L155" s="146">
        <v>2.5</v>
      </c>
      <c r="M155" s="146">
        <v>0</v>
      </c>
      <c r="N155" s="146">
        <v>1.8</v>
      </c>
      <c r="O155" s="146">
        <v>1.6</v>
      </c>
      <c r="P155" s="146">
        <v>0</v>
      </c>
      <c r="Q155" s="146">
        <v>0</v>
      </c>
      <c r="R155" s="174">
        <f t="shared" si="15"/>
        <v>41.1</v>
      </c>
      <c r="S155" s="576">
        <f>M$25*F155*G155</f>
        <v>1356.6666666666667</v>
      </c>
      <c r="T155" s="577">
        <v>0.12</v>
      </c>
      <c r="U155" s="578">
        <v>0.65</v>
      </c>
      <c r="V155" s="579">
        <f t="shared" si="12"/>
        <v>0.2</v>
      </c>
      <c r="W155" s="228">
        <v>10</v>
      </c>
      <c r="X155" s="400">
        <f>$R155/(1+($V155*(('Traffic Data'!J74*$T155*$U155)/(($I155/2)*$S155))^$W155))</f>
        <v>41.1</v>
      </c>
      <c r="Y155" s="401">
        <f>$R155/(1+($V155*(('Traffic Data'!K74*$T155*$U155)/(($I155/2)*$S155))^$W155))</f>
        <v>41.1</v>
      </c>
      <c r="Z155" s="401">
        <f>$R155/(1+($V155*(('Traffic Data'!L74*$T155*$U155)/(($I155/2)*$S155))^$W155))</f>
        <v>41.1</v>
      </c>
      <c r="AA155" s="401">
        <f>$R155/(1+($V155*(('Traffic Data'!M74*$T155*$U155)/(($I155/2)*$S155))^$W155))</f>
        <v>41.099999999994417</v>
      </c>
      <c r="AB155" s="401">
        <f>$R155/(1+($V155*(('Traffic Data'!N74*$T155*$U155)/(($I155/2)*$S155))^$W155))</f>
        <v>41.099999999537111</v>
      </c>
      <c r="AC155" s="401">
        <f>$R155/(1+($V155*(('Traffic Data'!O74*$T155*$U155)/(($I155/2)*$S155))^$W155))</f>
        <v>41.099999990190398</v>
      </c>
      <c r="AD155" s="401">
        <f>$R155/(1+($V155*(('Traffic Data'!P74*$T155*$U155)/(($I155/2)*$S155))^$W155))</f>
        <v>41.099999898693142</v>
      </c>
      <c r="AE155" s="401">
        <f>$R155/(1+($V155*(('Traffic Data'!Q74*$T155*$U155)/(($I155/2)*$S155))^$W155))</f>
        <v>41.099999327050369</v>
      </c>
      <c r="AF155" s="401">
        <f>$R155/(1+($V155*(('Traffic Data'!R74*$T155*$U155)/(($I155/2)*$S155))^$W155))</f>
        <v>41.099997653760163</v>
      </c>
      <c r="AG155" s="401">
        <f>$R155/(1+($V155*(('Traffic Data'!S74*$T155*$U155)/(($I155/2)*$S155))^$W155))</f>
        <v>41.099992878726958</v>
      </c>
      <c r="AH155" s="401">
        <f>$R155/(1+($V155*(('Traffic Data'!T74*$T155*$U155)/(($I155/2)*$S155))^$W155))</f>
        <v>41.099980660356351</v>
      </c>
      <c r="AI155" s="401">
        <f>$R155/(1+($V155*(('Traffic Data'!U74*$T155*$U155)/(($I155/2)*$S155))^$W155))</f>
        <v>41.099952037621648</v>
      </c>
      <c r="AJ155" s="401">
        <f>$R155/(1+($V155*(('Traffic Data'!V74*$T155*$U155)/(($I155/2)*$S155))^$W155))</f>
        <v>41.099889604819737</v>
      </c>
      <c r="AK155" s="401">
        <f>$R155/(1+($V155*(('Traffic Data'!W74*$T155*$U155)/(($I155/2)*$S155))^$W155))</f>
        <v>41.099837147249247</v>
      </c>
      <c r="AL155" s="401">
        <f>$R155/(1+($V155*(('Traffic Data'!X74*$T155*$U155)/(($I155/2)*$S155))^$W155))</f>
        <v>41.099819433478061</v>
      </c>
      <c r="AM155" s="401">
        <f>$R155/(1+($V155*(('Traffic Data'!Y74*$T155*$U155)/(($I155/2)*$S155))^$W155))</f>
        <v>41.099800004112645</v>
      </c>
      <c r="AN155" s="401">
        <f>$R155/(1+($V155*(('Traffic Data'!Z74*$T155*$U155)/(($I155/2)*$S155))^$W155))</f>
        <v>41.099778713017592</v>
      </c>
      <c r="AO155" s="401">
        <f>$R155/(1+($V155*(('Traffic Data'!AA74*$T155*$U155)/(($I155/2)*$S155))^$W155))</f>
        <v>41.099755333487764</v>
      </c>
      <c r="AP155" s="401">
        <f>$R155/(1+($V155*(('Traffic Data'!AB74*$T155*$U155)/(($I155/2)*$S155))^$W155))</f>
        <v>41.099729830227254</v>
      </c>
      <c r="AQ155" s="401">
        <f>$R155/(1+($V155*(('Traffic Data'!AC74*$T155*$U155)/(($I155/2)*$S155))^$W155))</f>
        <v>41.099701875520481</v>
      </c>
      <c r="AR155" s="401">
        <f>$R155/(1+($V155*(('Traffic Data'!AD74*$T155*$U155)/(($I155/2)*$S155))^$W155))</f>
        <v>41.099671435026814</v>
      </c>
      <c r="AS155" s="401">
        <f>$R155/(1+($V155*(('Traffic Data'!AE74*$T155*$U155)/(($I155/2)*$S155))^$W155))</f>
        <v>41.099638225218428</v>
      </c>
      <c r="AT155" s="401">
        <f>$R155/(1+($V155*(('Traffic Data'!AF74*$T155*$U155)/(($I155/2)*$S155))^$W155))</f>
        <v>41.099601916217836</v>
      </c>
      <c r="AU155" s="401">
        <f>$R155/(1+($V155*(('Traffic Data'!AG74*$T155*$U155)/(($I155/2)*$S155))^$W155))</f>
        <v>41.099562477650608</v>
      </c>
      <c r="AV155" s="401">
        <f>$R155/(1+($V155*(('Traffic Data'!AH74*$T155*$U155)/(($I155/2)*$S155))^$W155))</f>
        <v>41.099519556825001</v>
      </c>
      <c r="AW155" s="372">
        <f>$R155/(1+($V155*(('Traffic Data'!AI74*$T155*$U155)/(($I155/2)*$S155))^$W155))</f>
        <v>41.099472743791047</v>
      </c>
      <c r="AX155" s="400">
        <f>$R155/(1+($V155*(('Traffic Data'!J74*(0.67/14))/(($I155)*$S155))^$W155))</f>
        <v>41.1</v>
      </c>
      <c r="AY155" s="401">
        <f>$R155/(1+($V155*(('Traffic Data'!J74*(0.67/14))/(($I155)*$S155))^$W155))</f>
        <v>41.1</v>
      </c>
      <c r="AZ155" s="401">
        <f>$R155/(1+($V155*(('Traffic Data'!K74*(0.67/14))/(($I155)*$S155))^$W155))</f>
        <v>41.1</v>
      </c>
      <c r="BA155" s="401">
        <f>$R155/(1+($V155*(('Traffic Data'!L74*(0.67/14))/(($I155)*$S155))^$W155))</f>
        <v>41.1</v>
      </c>
      <c r="BB155" s="401">
        <f>$R155/(1+($V155*(('Traffic Data'!M74*(0.67/14))/(($I155)*$S155))^$W155))</f>
        <v>41.1</v>
      </c>
      <c r="BC155" s="401">
        <f>$R155/(1+($V155*(('Traffic Data'!N74*(0.67/14))/(($I155)*$S155))^$W155))</f>
        <v>41.1</v>
      </c>
      <c r="BD155" s="401">
        <f>$R155/(1+($V155*(('Traffic Data'!O74*(0.67/14))/(($I155)*$S155))^$W155))</f>
        <v>41.09999999999993</v>
      </c>
      <c r="BE155" s="401">
        <f>$R155/(1+($V155*(('Traffic Data'!P74*(0.67/14))/(($I155)*$S155))^$W155))</f>
        <v>41.099999999999255</v>
      </c>
      <c r="BF155" s="401">
        <f>$R155/(1+($V155*(('Traffic Data'!Q74*(0.67/14))/(($I155)*$S155))^$W155))</f>
        <v>41.099999999995035</v>
      </c>
      <c r="BG155" s="401">
        <f>$R155/(1+($V155*(('Traffic Data'!R74*(0.67/14))/(($I155)*$S155))^$W155))</f>
        <v>41.099999999982678</v>
      </c>
      <c r="BH155" s="401">
        <f>$R155/(1+($V155*(('Traffic Data'!S74*(0.67/14))/(($I155)*$S155))^$W155))</f>
        <v>41.099999999947428</v>
      </c>
      <c r="BI155" s="401">
        <f>$R155/(1+($V155*(('Traffic Data'!T74*(0.67/14))/(($I155)*$S155))^$W155))</f>
        <v>41.099999999857225</v>
      </c>
      <c r="BJ155" s="401">
        <f>$R155/(1+($V155*(('Traffic Data'!U74*(0.67/14))/(($I155)*$S155))^$W155))</f>
        <v>41.099999999645902</v>
      </c>
      <c r="BK155" s="401">
        <f>$R155/(1+($V155*(('Traffic Data'!V74*(0.67/14))/(($I155)*$S155))^$W155))</f>
        <v>41.099999999184973</v>
      </c>
      <c r="BL155" s="401">
        <f>$R155/(1+($V155*(('Traffic Data'!W74*(0.67/14))/(($I155)*$S155))^$W155))</f>
        <v>41.099999998797685</v>
      </c>
      <c r="BM155" s="401">
        <f>$R155/(1+($V155*(('Traffic Data'!X74*(0.67/14))/(($I155)*$S155))^$W155))</f>
        <v>41.09999999866691</v>
      </c>
      <c r="BN155" s="401">
        <f>$R155/(1+($V155*(('Traffic Data'!Y74*(0.67/14))/(($I155)*$S155))^$W155))</f>
        <v>41.099999998523465</v>
      </c>
      <c r="BO155" s="401">
        <f>$R155/(1+($V155*(('Traffic Data'!Z74*(0.67/14))/(($I155)*$S155))^$W155))</f>
        <v>41.099999998366279</v>
      </c>
      <c r="BP155" s="401">
        <f>$R155/(1+($V155*(('Traffic Data'!AA74*(0.67/14))/(($I155)*$S155))^$W155))</f>
        <v>41.099999998193667</v>
      </c>
      <c r="BQ155" s="401">
        <f>$R155/(1+($V155*(('Traffic Data'!AB74*(0.67/14))/(($I155)*$S155))^$W155))</f>
        <v>41.09999999800538</v>
      </c>
      <c r="BR155" s="401">
        <f>$R155/(1+($V155*(('Traffic Data'!AC74*(0.67/14))/(($I155)*$S155))^$W155))</f>
        <v>41.099999997798982</v>
      </c>
      <c r="BS155" s="401">
        <f>$R155/(1+($V155*(('Traffic Data'!AD74*(0.67/14))/(($I155)*$S155))^$W155))</f>
        <v>41.099999997574244</v>
      </c>
      <c r="BT155" s="401">
        <f>$R155/(1+($V155*(('Traffic Data'!AE74*(0.67/14))/(($I155)*$S155))^$W155))</f>
        <v>41.099999997329064</v>
      </c>
      <c r="BU155" s="401">
        <f>$R155/(1+($V155*(('Traffic Data'!AF74*(0.67/14))/(($I155)*$S155))^$W155))</f>
        <v>41.099999997060998</v>
      </c>
      <c r="BV155" s="401">
        <f>$R155/(1+($V155*(('Traffic Data'!AG74*(0.67/14))/(($I155)*$S155))^$W155))</f>
        <v>41.099999996769824</v>
      </c>
      <c r="BW155" s="645">
        <f>$R155/(1+($V155*(('Traffic Data'!AH74*(0.67/14))/(($I155)*$S155))^$W155))</f>
        <v>41.099999996452944</v>
      </c>
    </row>
    <row r="156" spans="1:75" ht="21.95" customHeight="1" x14ac:dyDescent="0.2">
      <c r="A156" s="642"/>
      <c r="C156" s="1339"/>
      <c r="D156" s="116" t="s">
        <v>340</v>
      </c>
      <c r="E156" s="116" t="s">
        <v>280</v>
      </c>
      <c r="F156" s="575">
        <f>'Traffic Data'!CM72</f>
        <v>0.83333333333333337</v>
      </c>
      <c r="G156" s="575">
        <f>'Traffic Data'!CN72</f>
        <v>0.88</v>
      </c>
      <c r="H156" s="581">
        <f>'Traffic Data'!G75</f>
        <v>40</v>
      </c>
      <c r="I156" s="581">
        <v>4</v>
      </c>
      <c r="J156" s="581">
        <f t="shared" si="14"/>
        <v>47</v>
      </c>
      <c r="K156" s="146">
        <v>0</v>
      </c>
      <c r="L156" s="146">
        <v>2.5</v>
      </c>
      <c r="M156" s="146">
        <v>0</v>
      </c>
      <c r="N156" s="146">
        <v>1.8</v>
      </c>
      <c r="O156" s="146">
        <v>1.6</v>
      </c>
      <c r="P156" s="146">
        <v>0</v>
      </c>
      <c r="Q156" s="146">
        <v>0</v>
      </c>
      <c r="R156" s="253">
        <f t="shared" si="15"/>
        <v>41.1</v>
      </c>
      <c r="S156" s="586">
        <f>M$25*F156*G156</f>
        <v>1356.6666666666667</v>
      </c>
      <c r="T156" s="587">
        <v>0.12</v>
      </c>
      <c r="U156" s="588">
        <v>0.65</v>
      </c>
      <c r="V156" s="589">
        <f t="shared" si="12"/>
        <v>0.2</v>
      </c>
      <c r="W156" s="230">
        <v>10</v>
      </c>
      <c r="X156" s="404">
        <f>$R156/(1+($V156*(('Traffic Data'!J75*$T156*$U156)/(($I156/2)*$S156))^$W156))</f>
        <v>41.1</v>
      </c>
      <c r="Y156" s="373">
        <f>$R156/(1+($V156*(('Traffic Data'!K75*$T156*$U156)/(($I156/2)*$S156))^$W156))</f>
        <v>41.1</v>
      </c>
      <c r="Z156" s="373">
        <f>$R156/(1+($V156*(('Traffic Data'!L75*$T156*$U156)/(($I156/2)*$S156))^$W156))</f>
        <v>41.1</v>
      </c>
      <c r="AA156" s="373">
        <f>$R156/(1+($V156*(('Traffic Data'!M75*$T156*$U156)/(($I156/2)*$S156))^$W156))</f>
        <v>41.1</v>
      </c>
      <c r="AB156" s="373">
        <f>$R156/(1+($V156*(('Traffic Data'!N75*$T156*$U156)/(($I156/2)*$S156))^$W156))</f>
        <v>41.099999999999916</v>
      </c>
      <c r="AC156" s="373">
        <f>$R156/(1+($V156*(('Traffic Data'!O75*$T156*$U156)/(($I156/2)*$S156))^$W156))</f>
        <v>41.099999999999042</v>
      </c>
      <c r="AD156" s="373">
        <f>$R156/(1+($V156*(('Traffic Data'!P75*$T156*$U156)/(($I156/2)*$S156))^$W156))</f>
        <v>41.099999999993258</v>
      </c>
      <c r="AE156" s="373">
        <f>$R156/(1+($V156*(('Traffic Data'!Q75*$T156*$U156)/(($I156/2)*$S156))^$W156))</f>
        <v>41.099999999965384</v>
      </c>
      <c r="AF156" s="373">
        <f>$R156/(1+($V156*(('Traffic Data'!R75*$T156*$U156)/(($I156/2)*$S156))^$W156))</f>
        <v>41.099999999512207</v>
      </c>
      <c r="AG156" s="373">
        <f>$R156/(1+($V156*(('Traffic Data'!S75*$T156*$U156)/(($I156/2)*$S156))^$W156))</f>
        <v>41.099999996060035</v>
      </c>
      <c r="AH156" s="373">
        <f>$R156/(1+($V156*(('Traffic Data'!T75*$T156*$U156)/(($I156/2)*$S156))^$W156))</f>
        <v>41.099999977831814</v>
      </c>
      <c r="AI156" s="373">
        <f>$R156/(1+($V156*(('Traffic Data'!U75*$T156*$U156)/(($I156/2)*$S156))^$W156))</f>
        <v>41.099999903291348</v>
      </c>
      <c r="AJ156" s="373">
        <f>$R156/(1+($V156*(('Traffic Data'!V75*$T156*$U156)/(($I156/2)*$S156))^$W156))</f>
        <v>41.099999651008645</v>
      </c>
      <c r="AK156" s="373">
        <f>$R156/(1+($V156*(('Traffic Data'!W75*$T156*$U156)/(($I156/2)*$S156))^$W156))</f>
        <v>41.099999185294806</v>
      </c>
      <c r="AL156" s="373">
        <f>$R156/(1+($V156*(('Traffic Data'!X75*$T156*$U156)/(($I156/2)*$S156))^$W156))</f>
        <v>41.09999900029122</v>
      </c>
      <c r="AM156" s="373">
        <f>$R156/(1+($V156*(('Traffic Data'!Y75*$T156*$U156)/(($I156/2)*$S156))^$W156))</f>
        <v>41.099998778300879</v>
      </c>
      <c r="AN156" s="373">
        <f>$R156/(1+($V156*(('Traffic Data'!Z75*$T156*$U156)/(($I156/2)*$S156))^$W156))</f>
        <v>41.099998512890906</v>
      </c>
      <c r="AO156" s="373">
        <f>$R156/(1+($V156*(('Traffic Data'!AA75*$T156*$U156)/(($I156/2)*$S156))^$W156))</f>
        <v>41.099998197702412</v>
      </c>
      <c r="AP156" s="373">
        <f>$R156/(1+($V156*(('Traffic Data'!AB75*$T156*$U156)/(($I156/2)*$S156))^$W156))</f>
        <v>41.099997822392055</v>
      </c>
      <c r="AQ156" s="373">
        <f>$R156/(1+($V156*(('Traffic Data'!AC75*$T156*$U156)/(($I156/2)*$S156))^$W156))</f>
        <v>41.099997379597283</v>
      </c>
      <c r="AR156" s="373">
        <f>$R156/(1+($V156*(('Traffic Data'!AD75*$T156*$U156)/(($I156/2)*$S156))^$W156))</f>
        <v>41.099996855651483</v>
      </c>
      <c r="AS156" s="373">
        <f>$R156/(1+($V156*(('Traffic Data'!AE75*$T156*$U156)/(($I156/2)*$S156))^$W156))</f>
        <v>41.099996239235494</v>
      </c>
      <c r="AT156" s="373">
        <f>$R156/(1+($V156*(('Traffic Data'!AF75*$T156*$U156)/(($I156/2)*$S156))^$W156))</f>
        <v>41.099995518460808</v>
      </c>
      <c r="AU156" s="373">
        <f>$R156/(1+($V156*(('Traffic Data'!AG75*$T156*$U156)/(($I156/2)*$S156))^$W156))</f>
        <v>41.099994672920644</v>
      </c>
      <c r="AV156" s="373">
        <f>$R156/(1+($V156*(('Traffic Data'!AH75*$T156*$U156)/(($I156/2)*$S156))^$W156))</f>
        <v>41.099993686418372</v>
      </c>
      <c r="AW156" s="374">
        <f>$R156/(1+($V156*(('Traffic Data'!AI75*$T156*$U156)/(($I156/2)*$S156))^$W156))</f>
        <v>41.0999925421455</v>
      </c>
      <c r="AX156" s="400">
        <f>$R156/(1+($V156*(('Traffic Data'!J75*(0.67/14))/(($I156)*$S156))^$W156))</f>
        <v>41.1</v>
      </c>
      <c r="AY156" s="373">
        <f>$R156/(1+($V156*(('Traffic Data'!J75*(0.67/14))/(($I156)*$S156))^$W156))</f>
        <v>41.1</v>
      </c>
      <c r="AZ156" s="373">
        <f>$R156/(1+($V156*(('Traffic Data'!K75*(0.67/14))/(($I156)*$S156))^$W156))</f>
        <v>41.1</v>
      </c>
      <c r="BA156" s="373">
        <f>$R156/(1+($V156*(('Traffic Data'!L75*(0.67/14))/(($I156)*$S156))^$W156))</f>
        <v>41.1</v>
      </c>
      <c r="BB156" s="373">
        <f>$R156/(1+($V156*(('Traffic Data'!M75*(0.67/14))/(($I156)*$S156))^$W156))</f>
        <v>41.1</v>
      </c>
      <c r="BC156" s="373">
        <f>$R156/(1+($V156*(('Traffic Data'!N75*(0.67/14))/(($I156)*$S156))^$W156))</f>
        <v>41.1</v>
      </c>
      <c r="BD156" s="373">
        <f>$R156/(1+($V156*(('Traffic Data'!O75*(0.67/14))/(($I156)*$S156))^$W156))</f>
        <v>41.1</v>
      </c>
      <c r="BE156" s="373">
        <f>$R156/(1+($V156*(('Traffic Data'!P75*(0.67/14))/(($I156)*$S156))^$W156))</f>
        <v>41.1</v>
      </c>
      <c r="BF156" s="373">
        <f>$R156/(1+($V156*(('Traffic Data'!Q75*(0.67/14))/(($I156)*$S156))^$W156))</f>
        <v>41.1</v>
      </c>
      <c r="BG156" s="373">
        <f>$R156/(1+($V156*(('Traffic Data'!R75*(0.67/14))/(($I156)*$S156))^$W156))</f>
        <v>41.1</v>
      </c>
      <c r="BH156" s="373">
        <f>$R156/(1+($V156*(('Traffic Data'!S75*(0.67/14))/(($I156)*$S156))^$W156))</f>
        <v>41.099999999999973</v>
      </c>
      <c r="BI156" s="373">
        <f>$R156/(1+($V156*(('Traffic Data'!T75*(0.67/14))/(($I156)*$S156))^$W156))</f>
        <v>41.099999999999838</v>
      </c>
      <c r="BJ156" s="373">
        <f>$R156/(1+($V156*(('Traffic Data'!U75*(0.67/14))/(($I156)*$S156))^$W156))</f>
        <v>41.099999999999291</v>
      </c>
      <c r="BK156" s="373">
        <f>$R156/(1+($V156*(('Traffic Data'!V75*(0.67/14))/(($I156)*$S156))^$W156))</f>
        <v>41.099999999997429</v>
      </c>
      <c r="BL156" s="373">
        <f>$R156/(1+($V156*(('Traffic Data'!W75*(0.67/14))/(($I156)*$S156))^$W156))</f>
        <v>41.09999999999399</v>
      </c>
      <c r="BM156" s="373">
        <f>$R156/(1+($V156*(('Traffic Data'!X75*(0.67/14))/(($I156)*$S156))^$W156))</f>
        <v>41.099999999992619</v>
      </c>
      <c r="BN156" s="373">
        <f>$R156/(1+($V156*(('Traffic Data'!Y75*(0.67/14))/(($I156)*$S156))^$W156))</f>
        <v>41.099999999990985</v>
      </c>
      <c r="BO156" s="373">
        <f>$R156/(1+($V156*(('Traffic Data'!Z75*(0.67/14))/(($I156)*$S156))^$W156))</f>
        <v>41.099999999989024</v>
      </c>
      <c r="BP156" s="373">
        <f>$R156/(1+($V156*(('Traffic Data'!AA75*(0.67/14))/(($I156)*$S156))^$W156))</f>
        <v>41.099999999986693</v>
      </c>
      <c r="BQ156" s="373">
        <f>$R156/(1+($V156*(('Traffic Data'!AB75*(0.67/14))/(($I156)*$S156))^$W156))</f>
        <v>41.099999999983922</v>
      </c>
      <c r="BR156" s="373">
        <f>$R156/(1+($V156*(('Traffic Data'!AC75*(0.67/14))/(($I156)*$S156))^$W156))</f>
        <v>41.099999999980653</v>
      </c>
      <c r="BS156" s="373">
        <f>$R156/(1+($V156*(('Traffic Data'!AD75*(0.67/14))/(($I156)*$S156))^$W156))</f>
        <v>41.099999999976788</v>
      </c>
      <c r="BT156" s="373">
        <f>$R156/(1+($V156*(('Traffic Data'!AE75*(0.67/14))/(($I156)*$S156))^$W156))</f>
        <v>41.099999999972241</v>
      </c>
      <c r="BU156" s="373">
        <f>$R156/(1+($V156*(('Traffic Data'!AF75*(0.67/14))/(($I156)*$S156))^$W156))</f>
        <v>41.099999999966919</v>
      </c>
      <c r="BV156" s="373">
        <f>$R156/(1+($V156*(('Traffic Data'!AG75*(0.67/14))/(($I156)*$S156))^$W156))</f>
        <v>41.099999999960666</v>
      </c>
      <c r="BW156" s="648">
        <f>$R156/(1+($V156*(('Traffic Data'!AH75*(0.67/14))/(($I156)*$S156))^$W156))</f>
        <v>41.099999999953383</v>
      </c>
    </row>
    <row r="157" spans="1:75" ht="21.95" customHeight="1" x14ac:dyDescent="0.2">
      <c r="A157" s="642"/>
      <c r="C157" s="1340" t="s">
        <v>334</v>
      </c>
      <c r="D157" s="220" t="s">
        <v>336</v>
      </c>
      <c r="E157" s="220" t="s">
        <v>337</v>
      </c>
      <c r="F157" s="596">
        <f>'Traffic Data'!CM76</f>
        <v>0.78125</v>
      </c>
      <c r="G157" s="596">
        <f>'Traffic Data'!CN76</f>
        <v>0.9</v>
      </c>
      <c r="H157" s="146">
        <f>'Traffic Data'!G76</f>
        <v>50</v>
      </c>
      <c r="I157" s="146">
        <v>4</v>
      </c>
      <c r="J157" s="146">
        <f t="shared" si="14"/>
        <v>57</v>
      </c>
      <c r="K157" s="597">
        <v>0</v>
      </c>
      <c r="L157" s="597">
        <v>2.5</v>
      </c>
      <c r="M157" s="597">
        <v>0</v>
      </c>
      <c r="N157" s="597">
        <v>3.6</v>
      </c>
      <c r="O157" s="597">
        <v>0</v>
      </c>
      <c r="P157" s="597">
        <v>0</v>
      </c>
      <c r="Q157" s="597">
        <v>0</v>
      </c>
      <c r="R157" s="174">
        <f t="shared" si="15"/>
        <v>50.9</v>
      </c>
      <c r="S157" s="576">
        <f>M$23*F157*G157</f>
        <v>1406.25</v>
      </c>
      <c r="T157" s="577">
        <v>0.12</v>
      </c>
      <c r="U157" s="578">
        <v>0.65</v>
      </c>
      <c r="V157" s="579">
        <f t="shared" si="12"/>
        <v>0.2</v>
      </c>
      <c r="W157" s="228">
        <v>10</v>
      </c>
      <c r="X157" s="400">
        <f>$R157/(1+($V157*(('Traffic Data'!J76*$T157*$U157)/(($I157/2)*$S157))^$W157))</f>
        <v>50.899207421863686</v>
      </c>
      <c r="Y157" s="401">
        <f>$R157/(1+($V157*(('Traffic Data'!K76*$T157*$U157)/(($I157/2)*$S157))^$W157))</f>
        <v>50.898958393866977</v>
      </c>
      <c r="Z157" s="401">
        <f>$R157/(1+($V157*(('Traffic Data'!L76*$T157*$U157)/(($I157/2)*$S157))^$W157))</f>
        <v>50.898405524824092</v>
      </c>
      <c r="AA157" s="401">
        <f>$R157/(1+($V157*(('Traffic Data'!M76*$T157*$U157)/(($I157/2)*$S157))^$W157))</f>
        <v>50.897156640296394</v>
      </c>
      <c r="AB157" s="401">
        <f>$R157/(1+($V157*(('Traffic Data'!N76*$T157*$U157)/(($I157/2)*$S157))^$W157))</f>
        <v>50.895086386526913</v>
      </c>
      <c r="AC157" s="401">
        <f>$R157/(1+($V157*(('Traffic Data'!O76*$T157*$U157)/(($I157/2)*$S157))^$W157))</f>
        <v>50.891746826862978</v>
      </c>
      <c r="AD157" s="401">
        <f>$R157/(1+($V157*(('Traffic Data'!P76*$T157*$U157)/(($I157/2)*$S157))^$W157))</f>
        <v>50.886490664104329</v>
      </c>
      <c r="AE157" s="401">
        <f>$R157/(1+($V157*(('Traffic Data'!Q76*$T157*$U157)/(($I157/2)*$S157))^$W157))</f>
        <v>50.878385551815718</v>
      </c>
      <c r="AF157" s="401">
        <f>$R157/(1+($V157*(('Traffic Data'!R76*$T157*$U157)/(($I157/2)*$S157))^$W157))</f>
        <v>50.867740734420245</v>
      </c>
      <c r="AG157" s="401">
        <f>$R157/(1+($V157*(('Traffic Data'!S76*$T157*$U157)/(($I157/2)*$S157))^$W157))</f>
        <v>50.852589544851853</v>
      </c>
      <c r="AH157" s="401">
        <f>$R157/(1+($V157*(('Traffic Data'!T76*$T157*$U157)/(($I157/2)*$S157))^$W157))</f>
        <v>50.831327651402091</v>
      </c>
      <c r="AI157" s="401">
        <f>$R157/(1+($V157*(('Traffic Data'!U76*$T157*$U157)/(($I157/2)*$S157))^$W157))</f>
        <v>50.801857443852072</v>
      </c>
      <c r="AJ157" s="401">
        <f>$R157/(1+($V157*(('Traffic Data'!V76*$T157*$U157)/(($I157/2)*$S157))^$W157))</f>
        <v>50.761444726714103</v>
      </c>
      <c r="AK157" s="401">
        <f>$R157/(1+($V157*(('Traffic Data'!W76*$T157*$U157)/(($I157/2)*$S157))^$W157))</f>
        <v>50.727045373166348</v>
      </c>
      <c r="AL157" s="401">
        <f>$R157/(1+($V157*(('Traffic Data'!X76*$T157*$U157)/(($I157/2)*$S157))^$W157))</f>
        <v>50.697093019619736</v>
      </c>
      <c r="AM157" s="401">
        <f>$R157/(1+($V157*(('Traffic Data'!Y76*$T157*$U157)/(($I157/2)*$S157))^$W157))</f>
        <v>50.662576332658645</v>
      </c>
      <c r="AN157" s="401">
        <f>$R157/(1+($V157*(('Traffic Data'!Z76*$T157*$U157)/(($I157/2)*$S157))^$W157))</f>
        <v>50.622896406863703</v>
      </c>
      <c r="AO157" s="401">
        <f>$R157/(1+($V157*(('Traffic Data'!AA76*$T157*$U157)/(($I157/2)*$S157))^$W157))</f>
        <v>50.577358358034388</v>
      </c>
      <c r="AP157" s="401">
        <f>$R157/(1+($V157*(('Traffic Data'!AB76*$T157*$U157)/(($I157/2)*$S157))^$W157))</f>
        <v>50.525287380872633</v>
      </c>
      <c r="AQ157" s="401">
        <f>$R157/(1+($V157*(('Traffic Data'!AC76*$T157*$U157)/(($I157/2)*$S157))^$W157))</f>
        <v>50.465807572598884</v>
      </c>
      <c r="AR157" s="401">
        <f>$R157/(1+($V157*(('Traffic Data'!AD76*$T157*$U157)/(($I157/2)*$S157))^$W157))</f>
        <v>50.398107973981887</v>
      </c>
      <c r="AS157" s="401">
        <f>$R157/(1+($V157*(('Traffic Data'!AE76*$T157*$U157)/(($I157/2)*$S157))^$W157))</f>
        <v>50.32118133829379</v>
      </c>
      <c r="AT157" s="401">
        <f>$R157/(1+($V157*(('Traffic Data'!AF76*$T157*$U157)/(($I157/2)*$S157))^$W157))</f>
        <v>50.233907729476044</v>
      </c>
      <c r="AU157" s="401">
        <f>$R157/(1+($V157*(('Traffic Data'!AG76*$T157*$U157)/(($I157/2)*$S157))^$W157))</f>
        <v>50.135245944337747</v>
      </c>
      <c r="AV157" s="401">
        <f>$R157/(1+($V157*(('Traffic Data'!AH76*$T157*$U157)/(($I157/2)*$S157))^$W157))</f>
        <v>50.023893774738667</v>
      </c>
      <c r="AW157" s="372">
        <f>$R157/(1+($V157*(('Traffic Data'!AI76*$T157*$U157)/(($I157/2)*$S157))^$W157))</f>
        <v>49.898417091031263</v>
      </c>
      <c r="AX157" s="403">
        <f>$R157/(1+($V157*(('Traffic Data'!J76*(0.67/14))/(($I157)*$S157))^$W157))</f>
        <v>50.899999994148452</v>
      </c>
      <c r="AY157" s="401">
        <f>$R157/(1+($V157*(('Traffic Data'!J76*(0.67/14))/(($I157)*$S157))^$W157))</f>
        <v>50.899999994148452</v>
      </c>
      <c r="AZ157" s="401">
        <f>$R157/(1+($V157*(('Traffic Data'!K76*(0.67/14))/(($I157)*$S157))^$W157))</f>
        <v>50.899999992309866</v>
      </c>
      <c r="BA157" s="401">
        <f>$R157/(1+($V157*(('Traffic Data'!L76*(0.67/14))/(($I157)*$S157))^$W157))</f>
        <v>50.899999988227918</v>
      </c>
      <c r="BB157" s="401">
        <f>$R157/(1+($V157*(('Traffic Data'!M76*(0.67/14))/(($I157)*$S157))^$W157))</f>
        <v>50.899999979006843</v>
      </c>
      <c r="BC157" s="401">
        <f>$R157/(1+($V157*(('Traffic Data'!N76*(0.67/14))/(($I157)*$S157))^$W157))</f>
        <v>50.899999963720219</v>
      </c>
      <c r="BD157" s="401">
        <f>$R157/(1+($V157*(('Traffic Data'!O76*(0.67/14))/(($I157)*$S157))^$W157))</f>
        <v>50.89999993905851</v>
      </c>
      <c r="BE157" s="401">
        <f>$R157/(1+($V157*(('Traffic Data'!P76*(0.67/14))/(($I157)*$S157))^$W157))</f>
        <v>50.899999900236658</v>
      </c>
      <c r="BF157" s="401">
        <f>$R157/(1+($V157*(('Traffic Data'!Q76*(0.67/14))/(($I157)*$S157))^$W157))</f>
        <v>50.899999840356841</v>
      </c>
      <c r="BG157" s="401">
        <f>$R157/(1+($V157*(('Traffic Data'!R76*(0.67/14))/(($I157)*$S157))^$W157))</f>
        <v>50.899999761684938</v>
      </c>
      <c r="BH157" s="401">
        <f>$R157/(1+($V157*(('Traffic Data'!S76*(0.67/14))/(($I157)*$S157))^$W157))</f>
        <v>50.899999649651292</v>
      </c>
      <c r="BI157" s="401">
        <f>$R157/(1+($V157*(('Traffic Data'!T76*(0.67/14))/(($I157)*$S157))^$W157))</f>
        <v>50.89999949232017</v>
      </c>
      <c r="BJ157" s="401">
        <f>$R157/(1+($V157*(('Traffic Data'!U76*(0.67/14))/(($I157)*$S157))^$W157))</f>
        <v>50.899999274032403</v>
      </c>
      <c r="BK157" s="401">
        <f>$R157/(1+($V157*(('Traffic Data'!V76*(0.67/14))/(($I157)*$S157))^$W157))</f>
        <v>50.899998974280656</v>
      </c>
      <c r="BL157" s="401">
        <f>$R157/(1+($V157*(('Traffic Data'!W76*(0.67/14))/(($I157)*$S157))^$W157))</f>
        <v>50.89999871875532</v>
      </c>
      <c r="BM157" s="401">
        <f>$R157/(1+($V157*(('Traffic Data'!X76*(0.67/14))/(($I157)*$S157))^$W157))</f>
        <v>50.899998495980775</v>
      </c>
      <c r="BN157" s="401">
        <f>$R157/(1+($V157*(('Traffic Data'!Y76*(0.67/14))/(($I157)*$S157))^$W157))</f>
        <v>50.89999823893173</v>
      </c>
      <c r="BO157" s="401">
        <f>$R157/(1+($V157*(('Traffic Data'!Z76*(0.67/14))/(($I157)*$S157))^$W157))</f>
        <v>50.899997942998453</v>
      </c>
      <c r="BP157" s="401">
        <f>$R157/(1+($V157*(('Traffic Data'!AA76*(0.67/14))/(($I157)*$S157))^$W157))</f>
        <v>50.899997602802998</v>
      </c>
      <c r="BQ157" s="401">
        <f>$R157/(1+($V157*(('Traffic Data'!AB76*(0.67/14))/(($I157)*$S157))^$W157))</f>
        <v>50.899997213051321</v>
      </c>
      <c r="BR157" s="401">
        <f>$R157/(1+($V157*(('Traffic Data'!AC76*(0.67/14))/(($I157)*$S157))^$W157))</f>
        <v>50.899996766860383</v>
      </c>
      <c r="BS157" s="401">
        <f>$R157/(1+($V157*(('Traffic Data'!AD76*(0.67/14))/(($I157)*$S157))^$W157))</f>
        <v>50.899996257726706</v>
      </c>
      <c r="BT157" s="401">
        <f>$R157/(1+($V157*(('Traffic Data'!AE76*(0.67/14))/(($I157)*$S157))^$W157))</f>
        <v>50.899995677538541</v>
      </c>
      <c r="BU157" s="401">
        <f>$R157/(1+($V157*(('Traffic Data'!AF76*(0.67/14))/(($I157)*$S157))^$W157))</f>
        <v>50.899995017160975</v>
      </c>
      <c r="BV157" s="401">
        <f>$R157/(1+($V157*(('Traffic Data'!AG76*(0.67/14))/(($I157)*$S157))^$W157))</f>
        <v>50.899994267843233</v>
      </c>
      <c r="BW157" s="645">
        <f>$R157/(1+($V157*(('Traffic Data'!AH76*(0.67/14))/(($I157)*$S157))^$W157))</f>
        <v>50.899993418593958</v>
      </c>
    </row>
    <row r="158" spans="1:75" ht="21.95" customHeight="1" x14ac:dyDescent="0.2">
      <c r="A158" s="642"/>
      <c r="C158" s="1339"/>
      <c r="D158" s="116" t="s">
        <v>337</v>
      </c>
      <c r="E158" s="116" t="s">
        <v>342</v>
      </c>
      <c r="F158" s="575">
        <f>'Traffic Data'!CM76</f>
        <v>0.78125</v>
      </c>
      <c r="G158" s="575">
        <f>'Traffic Data'!CN76</f>
        <v>0.9</v>
      </c>
      <c r="H158" s="146">
        <f>'Traffic Data'!G77</f>
        <v>50</v>
      </c>
      <c r="I158" s="146">
        <v>4</v>
      </c>
      <c r="J158" s="146">
        <f t="shared" si="14"/>
        <v>57</v>
      </c>
      <c r="K158" s="146">
        <v>0</v>
      </c>
      <c r="L158" s="146">
        <v>5</v>
      </c>
      <c r="M158" s="146">
        <v>0</v>
      </c>
      <c r="N158" s="146">
        <v>3.6</v>
      </c>
      <c r="O158" s="146">
        <v>0</v>
      </c>
      <c r="P158" s="146">
        <v>0</v>
      </c>
      <c r="Q158" s="146">
        <v>0</v>
      </c>
      <c r="R158" s="174">
        <f t="shared" si="15"/>
        <v>48.4</v>
      </c>
      <c r="S158" s="576">
        <f>M$24*F158*G158</f>
        <v>1335.9375</v>
      </c>
      <c r="T158" s="577">
        <v>0.12</v>
      </c>
      <c r="U158" s="578">
        <v>0.65</v>
      </c>
      <c r="V158" s="579">
        <f t="shared" ref="V158:V166" si="16">$E$32</f>
        <v>0.05</v>
      </c>
      <c r="W158" s="228">
        <v>10</v>
      </c>
      <c r="X158" s="400">
        <f>$R158/(1+($V158*(('Traffic Data'!J77*$T158*$U158)/(($I158/2)*$S158))^$W158))</f>
        <v>48.371121965139949</v>
      </c>
      <c r="Y158" s="401">
        <f>$R158/(1+($V158*(('Traffic Data'!K77*$T158*$U158)/(($I158/2)*$S158))^$W158))</f>
        <v>48.370686123121111</v>
      </c>
      <c r="Z158" s="401">
        <f>$R158/(1+($V158*(('Traffic Data'!L77*$T158*$U158)/(($I158/2)*$S158))^$W158))</f>
        <v>48.37024437429438</v>
      </c>
      <c r="AA158" s="401">
        <f>$R158/(1+($V158*(('Traffic Data'!M77*$T158*$U158)/(($I158/2)*$S158))^$W158))</f>
        <v>48.369796647742888</v>
      </c>
      <c r="AB158" s="401">
        <f>$R158/(1+($V158*(('Traffic Data'!N77*$T158*$U158)/(($I158/2)*$S158))^$W158))</f>
        <v>48.369342871809742</v>
      </c>
      <c r="AC158" s="401">
        <f>$R158/(1+($V158*(('Traffic Data'!O77*$T158*$U158)/(($I158/2)*$S158))^$W158))</f>
        <v>48.368882974091527</v>
      </c>
      <c r="AD158" s="401">
        <f>$R158/(1+($V158*(('Traffic Data'!P77*$T158*$U158)/(($I158/2)*$S158))^$W158))</f>
        <v>48.368416881431735</v>
      </c>
      <c r="AE158" s="401">
        <f>$R158/(1+($V158*(('Traffic Data'!Q77*$T158*$U158)/(($I158/2)*$S158))^$W158))</f>
        <v>48.367944519914204</v>
      </c>
      <c r="AF158" s="401">
        <f>$R158/(1+($V158*(('Traffic Data'!R77*$T158*$U158)/(($I158/2)*$S158))^$W158))</f>
        <v>48.36746581485643</v>
      </c>
      <c r="AG158" s="401">
        <f>$R158/(1+($V158*(('Traffic Data'!S77*$T158*$U158)/(($I158/2)*$S158))^$W158))</f>
        <v>48.36746581485643</v>
      </c>
      <c r="AH158" s="401">
        <f>$R158/(1+($V158*(('Traffic Data'!T77*$T158*$U158)/(($I158/2)*$S158))^$W158))</f>
        <v>48.36746581485643</v>
      </c>
      <c r="AI158" s="401">
        <f>$R158/(1+($V158*(('Traffic Data'!U77*$T158*$U158)/(($I158/2)*$S158))^$W158))</f>
        <v>48.36746581485643</v>
      </c>
      <c r="AJ158" s="401">
        <f>$R158/(1+($V158*(('Traffic Data'!V77*$T158*$U158)/(($I158/2)*$S158))^$W158))</f>
        <v>48.36746581485643</v>
      </c>
      <c r="AK158" s="401">
        <f>$R158/(1+($V158*(('Traffic Data'!W77*$T158*$U158)/(($I158/2)*$S158))^$W158))</f>
        <v>48.36746581485643</v>
      </c>
      <c r="AL158" s="401">
        <f>$R158/(1+($V158*(('Traffic Data'!X77*$T158*$U158)/(($I158/2)*$S158))^$W158))</f>
        <v>48.365266907861773</v>
      </c>
      <c r="AM158" s="401">
        <f>$R158/(1+($V158*(('Traffic Data'!Y77*$T158*$U158)/(($I158/2)*$S158))^$W158))</f>
        <v>48.359501506562133</v>
      </c>
      <c r="AN158" s="401">
        <f>$R158/(1+($V158*(('Traffic Data'!Z77*$T158*$U158)/(($I158/2)*$S158))^$W158))</f>
        <v>48.352889648843124</v>
      </c>
      <c r="AO158" s="401">
        <f>$R158/(1+($V158*(('Traffic Data'!AA77*$T158*$U158)/(($I158/2)*$S158))^$W158))</f>
        <v>48.345321069969856</v>
      </c>
      <c r="AP158" s="401">
        <f>$R158/(1+($V158*(('Traffic Data'!AB77*$T158*$U158)/(($I158/2)*$S158))^$W158))</f>
        <v>48.336679053655146</v>
      </c>
      <c r="AQ158" s="401">
        <f>$R158/(1+($V158*(('Traffic Data'!AC77*$T158*$U158)/(($I158/2)*$S158))^$W158))</f>
        <v>48.326826367190272</v>
      </c>
      <c r="AR158" s="401">
        <f>$R158/(1+($V158*(('Traffic Data'!AD77*$T158*$U158)/(($I158/2)*$S158))^$W158))</f>
        <v>48.315620410925931</v>
      </c>
      <c r="AS158" s="401">
        <f>$R158/(1+($V158*(('Traffic Data'!AE77*$T158*$U158)/(($I158/2)*$S158))^$W158))</f>
        <v>48.30289662691014</v>
      </c>
      <c r="AT158" s="401">
        <f>$R158/(1+($V158*(('Traffic Data'!AF77*$T158*$U158)/(($I158/2)*$S158))^$W158))</f>
        <v>48.28847252530224</v>
      </c>
      <c r="AU158" s="401">
        <f>$R158/(1+($V158*(('Traffic Data'!AG77*$T158*$U158)/(($I158/2)*$S158))^$W158))</f>
        <v>48.272158037503047</v>
      </c>
      <c r="AV158" s="401">
        <f>$R158/(1+($V158*(('Traffic Data'!AH77*$T158*$U158)/(($I158/2)*$S158))^$W158))</f>
        <v>48.253733981057451</v>
      </c>
      <c r="AW158" s="372">
        <f>$R158/(1+($V158*(('Traffic Data'!AI77*$T158*$U158)/(($I158/2)*$S158))^$W158))</f>
        <v>48.232958454621865</v>
      </c>
      <c r="AX158" s="400">
        <f>$R158/(1+($V158*(('Traffic Data'!J77*(0.67/14))/(($I158)*$S158))^$W158))</f>
        <v>48.399999786671671</v>
      </c>
      <c r="AY158" s="401">
        <f>$R158/(1+($V158*(('Traffic Data'!J77*(0.67/14))/(($I158)*$S158))^$W158))</f>
        <v>48.399999786671671</v>
      </c>
      <c r="AZ158" s="401">
        <f>$R158/(1+($V158*(('Traffic Data'!K77*(0.67/14))/(($I158)*$S158))^$W158))</f>
        <v>48.39999978345007</v>
      </c>
      <c r="BA158" s="401">
        <f>$R158/(1+($V158*(('Traffic Data'!L77*(0.67/14))/(($I158)*$S158))^$W158))</f>
        <v>48.399999780184736</v>
      </c>
      <c r="BB158" s="401">
        <f>$R158/(1+($V158*(('Traffic Data'!M77*(0.67/14))/(($I158)*$S158))^$W158))</f>
        <v>48.399999776875156</v>
      </c>
      <c r="BC158" s="401">
        <f>$R158/(1+($V158*(('Traffic Data'!N77*(0.67/14))/(($I158)*$S158))^$W158))</f>
        <v>48.39999977352079</v>
      </c>
      <c r="BD158" s="401">
        <f>$R158/(1+($V158*(('Traffic Data'!O77*(0.67/14))/(($I158)*$S158))^$W158))</f>
        <v>48.39999977012112</v>
      </c>
      <c r="BE158" s="401">
        <f>$R158/(1+($V158*(('Traffic Data'!P77*(0.67/14))/(($I158)*$S158))^$W158))</f>
        <v>48.399999766675577</v>
      </c>
      <c r="BF158" s="401">
        <f>$R158/(1+($V158*(('Traffic Data'!Q77*(0.67/14))/(($I158)*$S158))^$W158))</f>
        <v>48.399999763183637</v>
      </c>
      <c r="BG158" s="401">
        <f>$R158/(1+($V158*(('Traffic Data'!R77*(0.67/14))/(($I158)*$S158))^$W158))</f>
        <v>48.399999759644729</v>
      </c>
      <c r="BH158" s="401">
        <f>$R158/(1+($V158*(('Traffic Data'!S77*(0.67/14))/(($I158)*$S158))^$W158))</f>
        <v>48.399999759644729</v>
      </c>
      <c r="BI158" s="401">
        <f>$R158/(1+($V158*(('Traffic Data'!T77*(0.67/14))/(($I158)*$S158))^$W158))</f>
        <v>48.399999759644729</v>
      </c>
      <c r="BJ158" s="401">
        <f>$R158/(1+($V158*(('Traffic Data'!U77*(0.67/14))/(($I158)*$S158))^$W158))</f>
        <v>48.399999759644729</v>
      </c>
      <c r="BK158" s="401">
        <f>$R158/(1+($V158*(('Traffic Data'!V77*(0.67/14))/(($I158)*$S158))^$W158))</f>
        <v>48.399999759644729</v>
      </c>
      <c r="BL158" s="401">
        <f>$R158/(1+($V158*(('Traffic Data'!W77*(0.67/14))/(($I158)*$S158))^$W158))</f>
        <v>48.399999759644729</v>
      </c>
      <c r="BM158" s="401">
        <f>$R158/(1+($V158*(('Traffic Data'!X77*(0.67/14))/(($I158)*$S158))^$W158))</f>
        <v>48.39999974338803</v>
      </c>
      <c r="BN158" s="401">
        <f>$R158/(1+($V158*(('Traffic Data'!Y77*(0.67/14))/(($I158)*$S158))^$W158))</f>
        <v>48.399999700756929</v>
      </c>
      <c r="BO158" s="401">
        <f>$R158/(1+($V158*(('Traffic Data'!Z77*(0.67/14))/(($I158)*$S158))^$W158))</f>
        <v>48.399999651854365</v>
      </c>
      <c r="BP158" s="401">
        <f>$R158/(1+($V158*(('Traffic Data'!AA77*(0.67/14))/(($I158)*$S158))^$W158))</f>
        <v>48.399999595859278</v>
      </c>
      <c r="BQ158" s="401">
        <f>$R158/(1+($V158*(('Traffic Data'!AB77*(0.67/14))/(($I158)*$S158))^$W158))</f>
        <v>48.399999531901088</v>
      </c>
      <c r="BR158" s="401">
        <f>$R158/(1+($V158*(('Traffic Data'!AC77*(0.67/14))/(($I158)*$S158))^$W158))</f>
        <v>48.399999458955001</v>
      </c>
      <c r="BS158" s="401">
        <f>$R158/(1+($V158*(('Traffic Data'!AD77*(0.67/14))/(($I158)*$S158))^$W158))</f>
        <v>48.399999375953591</v>
      </c>
      <c r="BT158" s="401">
        <f>$R158/(1+($V158*(('Traffic Data'!AE77*(0.67/14))/(($I158)*$S158))^$W158))</f>
        <v>48.399999281663092</v>
      </c>
      <c r="BU158" s="401">
        <f>$R158/(1+($V158*(('Traffic Data'!AF77*(0.67/14))/(($I158)*$S158))^$W158))</f>
        <v>48.399999174712164</v>
      </c>
      <c r="BV158" s="401">
        <f>$R158/(1+($V158*(('Traffic Data'!AG77*(0.67/14))/(($I158)*$S158))^$W158))</f>
        <v>48.399999053667507</v>
      </c>
      <c r="BW158" s="645">
        <f>$R158/(1+($V158*(('Traffic Data'!AH77*(0.67/14))/(($I158)*$S158))^$W158))</f>
        <v>48.399998916872562</v>
      </c>
    </row>
    <row r="159" spans="1:75" ht="21.95" customHeight="1" x14ac:dyDescent="0.2">
      <c r="A159" s="642"/>
      <c r="C159" s="1339"/>
      <c r="D159" s="116" t="s">
        <v>342</v>
      </c>
      <c r="E159" s="116" t="s">
        <v>341</v>
      </c>
      <c r="F159" s="575">
        <f>'Traffic Data'!CM76</f>
        <v>0.78125</v>
      </c>
      <c r="G159" s="575">
        <f>'Traffic Data'!CN76</f>
        <v>0.9</v>
      </c>
      <c r="H159" s="146">
        <f>'Traffic Data'!G78</f>
        <v>45</v>
      </c>
      <c r="I159" s="146">
        <v>4</v>
      </c>
      <c r="J159" s="146">
        <f t="shared" si="14"/>
        <v>52</v>
      </c>
      <c r="K159" s="146">
        <v>0</v>
      </c>
      <c r="L159" s="146">
        <v>5</v>
      </c>
      <c r="M159" s="146">
        <v>0</v>
      </c>
      <c r="N159" s="146">
        <v>3.6</v>
      </c>
      <c r="O159" s="146">
        <v>0</v>
      </c>
      <c r="P159" s="146">
        <v>0</v>
      </c>
      <c r="Q159" s="146">
        <v>0</v>
      </c>
      <c r="R159" s="174">
        <f t="shared" si="15"/>
        <v>43.4</v>
      </c>
      <c r="S159" s="576">
        <f>M$25*F159*G159</f>
        <v>1300.78125</v>
      </c>
      <c r="T159" s="577">
        <v>0.12</v>
      </c>
      <c r="U159" s="578">
        <v>0.65</v>
      </c>
      <c r="V159" s="579">
        <f t="shared" si="16"/>
        <v>0.05</v>
      </c>
      <c r="W159" s="228">
        <v>10</v>
      </c>
      <c r="X159" s="400">
        <f>$R159/(1+($V159*(('Traffic Data'!J78*$T159*$U159)/(($I159/2)*$S159))^$W159))</f>
        <v>43.366197288242411</v>
      </c>
      <c r="Y159" s="401">
        <f>$R159/(1+($V159*(('Traffic Data'!K78*$T159*$U159)/(($I159/2)*$S159))^$W159))</f>
        <v>43.365687214907204</v>
      </c>
      <c r="Z159" s="401">
        <f>$R159/(1+($V159*(('Traffic Data'!L78*$T159*$U159)/(($I159/2)*$S159))^$W159))</f>
        <v>43.365170231598562</v>
      </c>
      <c r="AA159" s="401">
        <f>$R159/(1+($V159*(('Traffic Data'!M78*$T159*$U159)/(($I159/2)*$S159))^$W159))</f>
        <v>43.364646255438068</v>
      </c>
      <c r="AB159" s="401">
        <f>$R159/(1+($V159*(('Traffic Data'!N78*$T159*$U159)/(($I159/2)*$S159))^$W159))</f>
        <v>43.364115202684729</v>
      </c>
      <c r="AC159" s="401">
        <f>$R159/(1+($V159*(('Traffic Data'!O78*$T159*$U159)/(($I159/2)*$S159))^$W159))</f>
        <v>43.363576988727409</v>
      </c>
      <c r="AD159" s="401">
        <f>$R159/(1+($V159*(('Traffic Data'!P78*$T159*$U159)/(($I159/2)*$S159))^$W159))</f>
        <v>43.363031528077286</v>
      </c>
      <c r="AE159" s="401">
        <f>$R159/(1+($V159*(('Traffic Data'!Q78*$T159*$U159)/(($I159/2)*$S159))^$W159))</f>
        <v>43.362478734360188</v>
      </c>
      <c r="AF159" s="401">
        <f>$R159/(1+($V159*(('Traffic Data'!R78*$T159*$U159)/(($I159/2)*$S159))^$W159))</f>
        <v>43.361918520308997</v>
      </c>
      <c r="AG159" s="401">
        <f>$R159/(1+($V159*(('Traffic Data'!S78*$T159*$U159)/(($I159/2)*$S159))^$W159))</f>
        <v>43.361918520308997</v>
      </c>
      <c r="AH159" s="401">
        <f>$R159/(1+($V159*(('Traffic Data'!T78*$T159*$U159)/(($I159/2)*$S159))^$W159))</f>
        <v>43.361918520308997</v>
      </c>
      <c r="AI159" s="401">
        <f>$R159/(1+($V159*(('Traffic Data'!U78*$T159*$U159)/(($I159/2)*$S159))^$W159))</f>
        <v>43.361918520308997</v>
      </c>
      <c r="AJ159" s="401">
        <f>$R159/(1+($V159*(('Traffic Data'!V78*$T159*$U159)/(($I159/2)*$S159))^$W159))</f>
        <v>43.361918520308997</v>
      </c>
      <c r="AK159" s="401">
        <f>$R159/(1+($V159*(('Traffic Data'!W78*$T159*$U159)/(($I159/2)*$S159))^$W159))</f>
        <v>43.361918520308997</v>
      </c>
      <c r="AL159" s="401">
        <f>$R159/(1+($V159*(('Traffic Data'!X78*$T159*$U159)/(($I159/2)*$S159))^$W159))</f>
        <v>43.359345249456737</v>
      </c>
      <c r="AM159" s="401">
        <f>$R159/(1+($V159*(('Traffic Data'!Y78*$T159*$U159)/(($I159/2)*$S159))^$W159))</f>
        <v>43.352598627965122</v>
      </c>
      <c r="AN159" s="401">
        <f>$R159/(1+($V159*(('Traffic Data'!Z78*$T159*$U159)/(($I159/2)*$S159))^$W159))</f>
        <v>43.344862095208583</v>
      </c>
      <c r="AO159" s="401">
        <f>$R159/(1+($V159*(('Traffic Data'!AA78*$T159*$U159)/(($I159/2)*$S159))^$W159))</f>
        <v>43.336006896036302</v>
      </c>
      <c r="AP159" s="401">
        <f>$R159/(1+($V159*(('Traffic Data'!AB78*$T159*$U159)/(($I159/2)*$S159))^$W159))</f>
        <v>43.325896815054421</v>
      </c>
      <c r="AQ159" s="401">
        <f>$R159/(1+($V159*(('Traffic Data'!AC78*$T159*$U159)/(($I159/2)*$S159))^$W159))</f>
        <v>43.31437174653594</v>
      </c>
      <c r="AR159" s="401">
        <f>$R159/(1+($V159*(('Traffic Data'!AD78*$T159*$U159)/(($I159/2)*$S159))^$W159))</f>
        <v>43.301265448114165</v>
      </c>
      <c r="AS159" s="401">
        <f>$R159/(1+($V159*(('Traffic Data'!AE78*$T159*$U159)/(($I159/2)*$S159))^$W159))</f>
        <v>43.286386171136421</v>
      </c>
      <c r="AT159" s="401">
        <f>$R159/(1+($V159*(('Traffic Data'!AF78*$T159*$U159)/(($I159/2)*$S159))^$W159))</f>
        <v>43.269521421091547</v>
      </c>
      <c r="AU159" s="401">
        <f>$R159/(1+($V159*(('Traffic Data'!AG78*$T159*$U159)/(($I159/2)*$S159))^$W159))</f>
        <v>43.250450119155701</v>
      </c>
      <c r="AV159" s="401">
        <f>$R159/(1+($V159*(('Traffic Data'!AH78*$T159*$U159)/(($I159/2)*$S159))^$W159))</f>
        <v>43.228917494759294</v>
      </c>
      <c r="AW159" s="372">
        <f>$R159/(1+($V159*(('Traffic Data'!AI78*$T159*$U159)/(($I159/2)*$S159))^$W159))</f>
        <v>43.204642656431908</v>
      </c>
      <c r="AX159" s="400">
        <f>$R159/(1+($V159*(('Traffic Data'!J78*(0.67/14))/(($I159)*$S159))^$W159))</f>
        <v>43.399999750246479</v>
      </c>
      <c r="AY159" s="401">
        <f>$R159/(1+($V159*(('Traffic Data'!J78*(0.67/14))/(($I159)*$S159))^$W159))</f>
        <v>43.399999750246479</v>
      </c>
      <c r="AZ159" s="401">
        <f>$R159/(1+($V159*(('Traffic Data'!K78*(0.67/14))/(($I159)*$S159))^$W159))</f>
        <v>43.399999746474791</v>
      </c>
      <c r="BA159" s="401">
        <f>$R159/(1+($V159*(('Traffic Data'!L78*(0.67/14))/(($I159)*$S159))^$W159))</f>
        <v>43.399999742651914</v>
      </c>
      <c r="BB159" s="401">
        <f>$R159/(1+($V159*(('Traffic Data'!M78*(0.67/14))/(($I159)*$S159))^$W159))</f>
        <v>43.399999738777232</v>
      </c>
      <c r="BC159" s="401">
        <f>$R159/(1+($V159*(('Traffic Data'!N78*(0.67/14))/(($I159)*$S159))^$W159))</f>
        <v>43.399999734850127</v>
      </c>
      <c r="BD159" s="401">
        <f>$R159/(1+($V159*(('Traffic Data'!O78*(0.67/14))/(($I159)*$S159))^$W159))</f>
        <v>43.399999730869965</v>
      </c>
      <c r="BE159" s="401">
        <f>$R159/(1+($V159*(('Traffic Data'!P78*(0.67/14))/(($I159)*$S159))^$W159))</f>
        <v>43.399999726836114</v>
      </c>
      <c r="BF159" s="401">
        <f>$R159/(1+($V159*(('Traffic Data'!Q78*(0.67/14))/(($I159)*$S159))^$W159))</f>
        <v>43.399999722747928</v>
      </c>
      <c r="BG159" s="401">
        <f>$R159/(1+($V159*(('Traffic Data'!R78*(0.67/14))/(($I159)*$S159))^$W159))</f>
        <v>43.399999718604761</v>
      </c>
      <c r="BH159" s="401">
        <f>$R159/(1+($V159*(('Traffic Data'!S78*(0.67/14))/(($I159)*$S159))^$W159))</f>
        <v>43.399999718604761</v>
      </c>
      <c r="BI159" s="401">
        <f>$R159/(1+($V159*(('Traffic Data'!T78*(0.67/14))/(($I159)*$S159))^$W159))</f>
        <v>43.399999718604761</v>
      </c>
      <c r="BJ159" s="401">
        <f>$R159/(1+($V159*(('Traffic Data'!U78*(0.67/14))/(($I159)*$S159))^$W159))</f>
        <v>43.399999718604761</v>
      </c>
      <c r="BK159" s="401">
        <f>$R159/(1+($V159*(('Traffic Data'!V78*(0.67/14))/(($I159)*$S159))^$W159))</f>
        <v>43.399999718604761</v>
      </c>
      <c r="BL159" s="401">
        <f>$R159/(1+($V159*(('Traffic Data'!W78*(0.67/14))/(($I159)*$S159))^$W159))</f>
        <v>43.399999718604761</v>
      </c>
      <c r="BM159" s="401">
        <f>$R159/(1+($V159*(('Traffic Data'!X78*(0.67/14))/(($I159)*$S159))^$W159))</f>
        <v>43.399999699572284</v>
      </c>
      <c r="BN159" s="401">
        <f>$R159/(1+($V159*(('Traffic Data'!Y78*(0.67/14))/(($I159)*$S159))^$W159))</f>
        <v>43.399999649662043</v>
      </c>
      <c r="BO159" s="401">
        <f>$R159/(1+($V159*(('Traffic Data'!Z78*(0.67/14))/(($I159)*$S159))^$W159))</f>
        <v>43.399999592409507</v>
      </c>
      <c r="BP159" s="401">
        <f>$R159/(1+($V159*(('Traffic Data'!AA78*(0.67/14))/(($I159)*$S159))^$W159))</f>
        <v>43.399999526853428</v>
      </c>
      <c r="BQ159" s="401">
        <f>$R159/(1+($V159*(('Traffic Data'!AB78*(0.67/14))/(($I159)*$S159))^$W159))</f>
        <v>43.399999451974558</v>
      </c>
      <c r="BR159" s="401">
        <f>$R159/(1+($V159*(('Traffic Data'!AC78*(0.67/14))/(($I159)*$S159))^$W159))</f>
        <v>43.399999366573141</v>
      </c>
      <c r="BS159" s="401">
        <f>$R159/(1+($V159*(('Traffic Data'!AD78*(0.67/14))/(($I159)*$S159))^$W159))</f>
        <v>43.39999926939948</v>
      </c>
      <c r="BT159" s="401">
        <f>$R159/(1+($V159*(('Traffic Data'!AE78*(0.67/14))/(($I159)*$S159))^$W159))</f>
        <v>43.399999159009141</v>
      </c>
      <c r="BU159" s="401">
        <f>$R159/(1+($V159*(('Traffic Data'!AF78*(0.67/14))/(($I159)*$S159))^$W159))</f>
        <v>43.399999033796668</v>
      </c>
      <c r="BV159" s="401">
        <f>$R159/(1+($V159*(('Traffic Data'!AG78*(0.67/14))/(($I159)*$S159))^$W159))</f>
        <v>43.399998892083971</v>
      </c>
      <c r="BW159" s="645">
        <f>$R159/(1+($V159*(('Traffic Data'!AH78*(0.67/14))/(($I159)*$S159))^$W159))</f>
        <v>43.399998731931703</v>
      </c>
    </row>
    <row r="160" spans="1:75" ht="21.95" customHeight="1" x14ac:dyDescent="0.2">
      <c r="A160" s="642"/>
      <c r="C160" s="1339"/>
      <c r="D160" s="116" t="s">
        <v>341</v>
      </c>
      <c r="E160" s="116" t="s">
        <v>344</v>
      </c>
      <c r="F160" s="575">
        <f>'Traffic Data'!CM76</f>
        <v>0.78125</v>
      </c>
      <c r="G160" s="575">
        <f>'Traffic Data'!CN76</f>
        <v>0.9</v>
      </c>
      <c r="H160" s="146">
        <f>'Traffic Data'!G79</f>
        <v>45</v>
      </c>
      <c r="I160" s="146">
        <v>4</v>
      </c>
      <c r="J160" s="146">
        <f t="shared" si="14"/>
        <v>52</v>
      </c>
      <c r="K160" s="146">
        <v>0</v>
      </c>
      <c r="L160" s="146">
        <v>5</v>
      </c>
      <c r="M160" s="146">
        <v>0</v>
      </c>
      <c r="N160" s="146">
        <v>0.4</v>
      </c>
      <c r="O160" s="146">
        <v>0</v>
      </c>
      <c r="P160" s="146">
        <v>0</v>
      </c>
      <c r="Q160" s="146">
        <v>0</v>
      </c>
      <c r="R160" s="174">
        <f t="shared" si="15"/>
        <v>46.6</v>
      </c>
      <c r="S160" s="576">
        <f>M$24*F160*G160</f>
        <v>1335.9375</v>
      </c>
      <c r="T160" s="577">
        <v>0.12</v>
      </c>
      <c r="U160" s="578">
        <v>0.65</v>
      </c>
      <c r="V160" s="579">
        <f t="shared" si="16"/>
        <v>0.05</v>
      </c>
      <c r="W160" s="228">
        <v>10</v>
      </c>
      <c r="X160" s="400">
        <f>$R160/(1+($V160*(('Traffic Data'!J79*$T160*$U160)/(($I160/2)*$S160))^$W160))</f>
        <v>46.452599766464537</v>
      </c>
      <c r="Y160" s="401">
        <f>$R160/(1+($V160*(('Traffic Data'!K79*$T160*$U160)/(($I160/2)*$S160))^$W160))</f>
        <v>46.450380925833961</v>
      </c>
      <c r="Z160" s="401">
        <f>$R160/(1+($V160*(('Traffic Data'!L79*$T160*$U160)/(($I160/2)*$S160))^$W160))</f>
        <v>46.448132189556212</v>
      </c>
      <c r="AA160" s="401">
        <f>$R160/(1+($V160*(('Traffic Data'!M79*$T160*$U160)/(($I160/2)*$S160))^$W160))</f>
        <v>46.445853203735467</v>
      </c>
      <c r="AB160" s="401">
        <f>$R160/(1+($V160*(('Traffic Data'!N79*$T160*$U160)/(($I160/2)*$S160))^$W160))</f>
        <v>46.4435436109191</v>
      </c>
      <c r="AC160" s="401">
        <f>$R160/(1+($V160*(('Traffic Data'!O79*$T160*$U160)/(($I160/2)*$S160))^$W160))</f>
        <v>46.441203050069838</v>
      </c>
      <c r="AD160" s="401">
        <f>$R160/(1+($V160*(('Traffic Data'!P79*$T160*$U160)/(($I160/2)*$S160))^$W160))</f>
        <v>46.438831156537894</v>
      </c>
      <c r="AE160" s="401">
        <f>$R160/(1+($V160*(('Traffic Data'!Q79*$T160*$U160)/(($I160/2)*$S160))^$W160))</f>
        <v>46.436427562032954</v>
      </c>
      <c r="AF160" s="401">
        <f>$R160/(1+($V160*(('Traffic Data'!R79*$T160*$U160)/(($I160/2)*$S160))^$W160))</f>
        <v>46.433991894596041</v>
      </c>
      <c r="AG160" s="401">
        <f>$R160/(1+($V160*(('Traffic Data'!S79*$T160*$U160)/(($I160/2)*$S160))^$W160))</f>
        <v>46.433991894596041</v>
      </c>
      <c r="AH160" s="401">
        <f>$R160/(1+($V160*(('Traffic Data'!T79*$T160*$U160)/(($I160/2)*$S160))^$W160))</f>
        <v>46.433991894596041</v>
      </c>
      <c r="AI160" s="401">
        <f>$R160/(1+($V160*(('Traffic Data'!U79*$T160*$U160)/(($I160/2)*$S160))^$W160))</f>
        <v>46.433991894596041</v>
      </c>
      <c r="AJ160" s="401">
        <f>$R160/(1+($V160*(('Traffic Data'!V79*$T160*$U160)/(($I160/2)*$S160))^$W160))</f>
        <v>46.433991894596041</v>
      </c>
      <c r="AK160" s="401">
        <f>$R160/(1+($V160*(('Traffic Data'!W79*$T160*$U160)/(($I160/2)*$S160))^$W160))</f>
        <v>46.433991894596041</v>
      </c>
      <c r="AL160" s="401">
        <f>$R160/(1+($V160*(('Traffic Data'!X79*$T160*$U160)/(($I160/2)*$S160))^$W160))</f>
        <v>46.433991894596041</v>
      </c>
      <c r="AM160" s="401">
        <f>$R160/(1+($V160*(('Traffic Data'!Y79*$T160*$U160)/(($I160/2)*$S160))^$W160))</f>
        <v>46.433991894596041</v>
      </c>
      <c r="AN160" s="401">
        <f>$R160/(1+($V160*(('Traffic Data'!Z79*$T160*$U160)/(($I160/2)*$S160))^$W160))</f>
        <v>46.433991894596041</v>
      </c>
      <c r="AO160" s="401">
        <f>$R160/(1+($V160*(('Traffic Data'!AA79*$T160*$U160)/(($I160/2)*$S160))^$W160))</f>
        <v>46.433991894596041</v>
      </c>
      <c r="AP160" s="401">
        <f>$R160/(1+($V160*(('Traffic Data'!AB79*$T160*$U160)/(($I160/2)*$S160))^$W160))</f>
        <v>46.411168987479904</v>
      </c>
      <c r="AQ160" s="401">
        <f>$R160/(1+($V160*(('Traffic Data'!AC79*$T160*$U160)/(($I160/2)*$S160))^$W160))</f>
        <v>46.381880286681906</v>
      </c>
      <c r="AR160" s="401">
        <f>$R160/(1+($V160*(('Traffic Data'!AD79*$T160*$U160)/(($I160/2)*$S160))^$W160))</f>
        <v>46.34859918287593</v>
      </c>
      <c r="AS160" s="401">
        <f>$R160/(1+($V160*(('Traffic Data'!AE79*$T160*$U160)/(($I160/2)*$S160))^$W160))</f>
        <v>46.310849389101357</v>
      </c>
      <c r="AT160" s="401">
        <f>$R160/(1+($V160*(('Traffic Data'!AF79*$T160*$U160)/(($I160/2)*$S160))^$W160))</f>
        <v>46.268105280647056</v>
      </c>
      <c r="AU160" s="401">
        <f>$R160/(1+($V160*(('Traffic Data'!AG79*$T160*$U160)/(($I160/2)*$S160))^$W160))</f>
        <v>46.219823538674682</v>
      </c>
      <c r="AV160" s="401">
        <f>$R160/(1+($V160*(('Traffic Data'!AH79*$T160*$U160)/(($I160/2)*$S160))^$W160))</f>
        <v>46.165380546018625</v>
      </c>
      <c r="AW160" s="372">
        <f>$R160/(1+($V160*(('Traffic Data'!AI79*$T160*$U160)/(($I160/2)*$S160))^$W160))</f>
        <v>46.104092922144119</v>
      </c>
      <c r="AX160" s="400">
        <f>$R160/(1+($V160*(('Traffic Data'!J79*(0.67/14))/(($I160)*$S160))^$W160))</f>
        <v>46.59999890831903</v>
      </c>
      <c r="AY160" s="401">
        <f>$R160/(1+($V160*(('Traffic Data'!J79*(0.67/14))/(($I160)*$S160))^$W160))</f>
        <v>46.59999890831903</v>
      </c>
      <c r="AZ160" s="401">
        <f>$R160/(1+($V160*(('Traffic Data'!K79*(0.67/14))/(($I160)*$S160))^$W160))</f>
        <v>46.599998891832847</v>
      </c>
      <c r="BA160" s="401">
        <f>$R160/(1+($V160*(('Traffic Data'!L79*(0.67/14))/(($I160)*$S160))^$W160))</f>
        <v>46.599998875122914</v>
      </c>
      <c r="BB160" s="401">
        <f>$R160/(1+($V160*(('Traffic Data'!M79*(0.67/14))/(($I160)*$S160))^$W160))</f>
        <v>46.599998858186559</v>
      </c>
      <c r="BC160" s="401">
        <f>$R160/(1+($V160*(('Traffic Data'!N79*(0.67/14))/(($I160)*$S160))^$W160))</f>
        <v>46.599998841021055</v>
      </c>
      <c r="BD160" s="401">
        <f>$R160/(1+($V160*(('Traffic Data'!O79*(0.67/14))/(($I160)*$S160))^$W160))</f>
        <v>46.599998823623643</v>
      </c>
      <c r="BE160" s="401">
        <f>$R160/(1+($V160*(('Traffic Data'!P79*(0.67/14))/(($I160)*$S160))^$W160))</f>
        <v>46.599998805991547</v>
      </c>
      <c r="BF160" s="401">
        <f>$R160/(1+($V160*(('Traffic Data'!Q79*(0.67/14))/(($I160)*$S160))^$W160))</f>
        <v>46.599998788121951</v>
      </c>
      <c r="BG160" s="401">
        <f>$R160/(1+($V160*(('Traffic Data'!R79*(0.67/14))/(($I160)*$S160))^$W160))</f>
        <v>46.599998770012036</v>
      </c>
      <c r="BH160" s="401">
        <f>$R160/(1+($V160*(('Traffic Data'!S79*(0.67/14))/(($I160)*$S160))^$W160))</f>
        <v>46.599998770012036</v>
      </c>
      <c r="BI160" s="401">
        <f>$R160/(1+($V160*(('Traffic Data'!T79*(0.67/14))/(($I160)*$S160))^$W160))</f>
        <v>46.599998770012036</v>
      </c>
      <c r="BJ160" s="401">
        <f>$R160/(1+($V160*(('Traffic Data'!U79*(0.67/14))/(($I160)*$S160))^$W160))</f>
        <v>46.599998770012036</v>
      </c>
      <c r="BK160" s="401">
        <f>$R160/(1+($V160*(('Traffic Data'!V79*(0.67/14))/(($I160)*$S160))^$W160))</f>
        <v>46.599998770012036</v>
      </c>
      <c r="BL160" s="401">
        <f>$R160/(1+($V160*(('Traffic Data'!W79*(0.67/14))/(($I160)*$S160))^$W160))</f>
        <v>46.599998770012036</v>
      </c>
      <c r="BM160" s="401">
        <f>$R160/(1+($V160*(('Traffic Data'!X79*(0.67/14))/(($I160)*$S160))^$W160))</f>
        <v>46.599998770012036</v>
      </c>
      <c r="BN160" s="401">
        <f>$R160/(1+($V160*(('Traffic Data'!Y79*(0.67/14))/(($I160)*$S160))^$W160))</f>
        <v>46.599998770012036</v>
      </c>
      <c r="BO160" s="401">
        <f>$R160/(1+($V160*(('Traffic Data'!Z79*(0.67/14))/(($I160)*$S160))^$W160))</f>
        <v>46.599998770012036</v>
      </c>
      <c r="BP160" s="401">
        <f>$R160/(1+($V160*(('Traffic Data'!AA79*(0.67/14))/(($I160)*$S160))^$W160))</f>
        <v>46.599998770012036</v>
      </c>
      <c r="BQ160" s="401">
        <f>$R160/(1+($V160*(('Traffic Data'!AB79*(0.67/14))/(($I160)*$S160))^$W160))</f>
        <v>46.599998600224446</v>
      </c>
      <c r="BR160" s="401">
        <f>$R160/(1+($V160*(('Traffic Data'!AC79*(0.67/14))/(($I160)*$S160))^$W160))</f>
        <v>46.59999838209076</v>
      </c>
      <c r="BS160" s="401">
        <f>$R160/(1+($V160*(('Traffic Data'!AD79*(0.67/14))/(($I160)*$S160))^$W160))</f>
        <v>46.599998133888207</v>
      </c>
      <c r="BT160" s="401">
        <f>$R160/(1+($V160*(('Traffic Data'!AE79*(0.67/14))/(($I160)*$S160))^$W160))</f>
        <v>46.599997851927426</v>
      </c>
      <c r="BU160" s="401">
        <f>$R160/(1+($V160*(('Traffic Data'!AF79*(0.67/14))/(($I160)*$S160))^$W160))</f>
        <v>46.599997532107679</v>
      </c>
      <c r="BV160" s="401">
        <f>$R160/(1+($V160*(('Traffic Data'!AG79*(0.67/14))/(($I160)*$S160))^$W160))</f>
        <v>46.599997170142821</v>
      </c>
      <c r="BW160" s="645">
        <f>$R160/(1+($V160*(('Traffic Data'!AH79*(0.67/14))/(($I160)*$S160))^$W160))</f>
        <v>46.599996761079304</v>
      </c>
    </row>
    <row r="161" spans="1:75" ht="21.95" customHeight="1" x14ac:dyDescent="0.2">
      <c r="A161" s="642"/>
      <c r="C161" s="1339"/>
      <c r="D161" s="116" t="s">
        <v>344</v>
      </c>
      <c r="E161" s="116" t="s">
        <v>345</v>
      </c>
      <c r="F161" s="575">
        <f>'Traffic Data'!CM76</f>
        <v>0.78125</v>
      </c>
      <c r="G161" s="575">
        <f>'Traffic Data'!CN76</f>
        <v>0.9</v>
      </c>
      <c r="H161" s="146">
        <f>'Traffic Data'!G80</f>
        <v>55</v>
      </c>
      <c r="I161" s="146">
        <v>4</v>
      </c>
      <c r="J161" s="146">
        <f t="shared" si="14"/>
        <v>62</v>
      </c>
      <c r="K161" s="146">
        <v>0</v>
      </c>
      <c r="L161" s="146">
        <v>5</v>
      </c>
      <c r="M161" s="146">
        <v>0</v>
      </c>
      <c r="N161" s="146">
        <v>0.4</v>
      </c>
      <c r="O161" s="146">
        <v>0</v>
      </c>
      <c r="P161" s="146">
        <v>0</v>
      </c>
      <c r="Q161" s="146">
        <v>0</v>
      </c>
      <c r="R161" s="174">
        <f t="shared" si="15"/>
        <v>56.6</v>
      </c>
      <c r="S161" s="576">
        <f>M$22*F161*G161</f>
        <v>1476.5625</v>
      </c>
      <c r="T161" s="577">
        <v>0.12</v>
      </c>
      <c r="U161" s="578">
        <v>0.65</v>
      </c>
      <c r="V161" s="579">
        <f t="shared" si="16"/>
        <v>0.05</v>
      </c>
      <c r="W161" s="228">
        <v>10</v>
      </c>
      <c r="X161" s="400">
        <f>$R161/(1+($V161*(('Traffic Data'!J80*$T161*$U161)/(($I161/2)*$S161))^$W161))</f>
        <v>56.534061146242856</v>
      </c>
      <c r="Y161" s="401">
        <f>$R161/(1+($V161*(('Traffic Data'!K80*$T161*$U161)/(($I161/2)*$S161))^$W161))</f>
        <v>56.533066537938616</v>
      </c>
      <c r="Z161" s="401">
        <f>$R161/(1+($V161*(('Traffic Data'!L80*$T161*$U161)/(($I161/2)*$S161))^$W161))</f>
        <v>56.532058467492348</v>
      </c>
      <c r="AA161" s="401">
        <f>$R161/(1+($V161*(('Traffic Data'!M80*$T161*$U161)/(($I161/2)*$S161))^$W161))</f>
        <v>56.531036773779185</v>
      </c>
      <c r="AB161" s="401">
        <f>$R161/(1+($V161*(('Traffic Data'!N80*$T161*$U161)/(($I161/2)*$S161))^$W161))</f>
        <v>56.53000129400651</v>
      </c>
      <c r="AC161" s="401">
        <f>$R161/(1+($V161*(('Traffic Data'!O80*$T161*$U161)/(($I161/2)*$S161))^$W161))</f>
        <v>56.528951863699689</v>
      </c>
      <c r="AD161" s="401">
        <f>$R161/(1+($V161*(('Traffic Data'!P80*$T161*$U161)/(($I161/2)*$S161))^$W161))</f>
        <v>56.527888316687637</v>
      </c>
      <c r="AE161" s="401">
        <f>$R161/(1+($V161*(('Traffic Data'!Q80*$T161*$U161)/(($I161/2)*$S161))^$W161))</f>
        <v>56.526810485088355</v>
      </c>
      <c r="AF161" s="401">
        <f>$R161/(1+($V161*(('Traffic Data'!R80*$T161*$U161)/(($I161/2)*$S161))^$W161))</f>
        <v>56.52571819929436</v>
      </c>
      <c r="AG161" s="401">
        <f>$R161/(1+($V161*(('Traffic Data'!S80*$T161*$U161)/(($I161/2)*$S161))^$W161))</f>
        <v>56.52571819929436</v>
      </c>
      <c r="AH161" s="401">
        <f>$R161/(1+($V161*(('Traffic Data'!T80*$T161*$U161)/(($I161/2)*$S161))^$W161))</f>
        <v>56.52571819929436</v>
      </c>
      <c r="AI161" s="401">
        <f>$R161/(1+($V161*(('Traffic Data'!U80*$T161*$U161)/(($I161/2)*$S161))^$W161))</f>
        <v>56.52571819929436</v>
      </c>
      <c r="AJ161" s="401">
        <f>$R161/(1+($V161*(('Traffic Data'!V80*$T161*$U161)/(($I161/2)*$S161))^$W161))</f>
        <v>56.52571819929436</v>
      </c>
      <c r="AK161" s="401">
        <f>$R161/(1+($V161*(('Traffic Data'!W80*$T161*$U161)/(($I161/2)*$S161))^$W161))</f>
        <v>56.52571819929436</v>
      </c>
      <c r="AL161" s="401">
        <f>$R161/(1+($V161*(('Traffic Data'!X80*$T161*$U161)/(($I161/2)*$S161))^$W161))</f>
        <v>56.52571819929436</v>
      </c>
      <c r="AM161" s="401">
        <f>$R161/(1+($V161*(('Traffic Data'!Y80*$T161*$U161)/(($I161/2)*$S161))^$W161))</f>
        <v>56.52571819929436</v>
      </c>
      <c r="AN161" s="401">
        <f>$R161/(1+($V161*(('Traffic Data'!Z80*$T161*$U161)/(($I161/2)*$S161))^$W161))</f>
        <v>56.52571819929436</v>
      </c>
      <c r="AO161" s="401">
        <f>$R161/(1+($V161*(('Traffic Data'!AA80*$T161*$U161)/(($I161/2)*$S161))^$W161))</f>
        <v>56.52571819929436</v>
      </c>
      <c r="AP161" s="401">
        <f>$R161/(1+($V161*(('Traffic Data'!AB80*$T161*$U161)/(($I161/2)*$S161))^$W161))</f>
        <v>56.515479648511167</v>
      </c>
      <c r="AQ161" s="401">
        <f>$R161/(1+($V161*(('Traffic Data'!AC80*$T161*$U161)/(($I161/2)*$S161))^$W161))</f>
        <v>56.502331167569416</v>
      </c>
      <c r="AR161" s="401">
        <f>$R161/(1+($V161*(('Traffic Data'!AD80*$T161*$U161)/(($I161/2)*$S161))^$W161))</f>
        <v>56.487377659616641</v>
      </c>
      <c r="AS161" s="401">
        <f>$R161/(1+($V161*(('Traffic Data'!AE80*$T161*$U161)/(($I161/2)*$S161))^$W161))</f>
        <v>56.470399912950398</v>
      </c>
      <c r="AT161" s="401">
        <f>$R161/(1+($V161*(('Traffic Data'!AF80*$T161*$U161)/(($I161/2)*$S161))^$W161))</f>
        <v>56.451154907256999</v>
      </c>
      <c r="AU161" s="401">
        <f>$R161/(1+($V161*(('Traffic Data'!AG80*$T161*$U161)/(($I161/2)*$S161))^$W161))</f>
        <v>56.429389657023314</v>
      </c>
      <c r="AV161" s="401">
        <f>$R161/(1+($V161*(('Traffic Data'!AH80*$T161*$U161)/(($I161/2)*$S161))^$W161))</f>
        <v>56.404812516790344</v>
      </c>
      <c r="AW161" s="372">
        <f>$R161/(1+($V161*(('Traffic Data'!AI80*$T161*$U161)/(($I161/2)*$S161))^$W161))</f>
        <v>56.3771017632397</v>
      </c>
      <c r="AX161" s="400">
        <f>$R161/(1+($V161*(('Traffic Data'!J80*(0.67/14))/(($I161)*$S161))^$W161))</f>
        <v>56.59999951261819</v>
      </c>
      <c r="AY161" s="401">
        <f>$R161/(1+($V161*(('Traffic Data'!J80*(0.67/14))/(($I161)*$S161))^$W161))</f>
        <v>56.59999951261819</v>
      </c>
      <c r="AZ161" s="401">
        <f>$R161/(1+($V161*(('Traffic Data'!K80*(0.67/14))/(($I161)*$S161))^$W161))</f>
        <v>56.599999505257912</v>
      </c>
      <c r="BA161" s="401">
        <f>$R161/(1+($V161*(('Traffic Data'!L80*(0.67/14))/(($I161)*$S161))^$W161))</f>
        <v>56.599999497797754</v>
      </c>
      <c r="BB161" s="401">
        <f>$R161/(1+($V161*(('Traffic Data'!M80*(0.67/14))/(($I161)*$S161))^$W161))</f>
        <v>56.599999490236506</v>
      </c>
      <c r="BC161" s="401">
        <f>$R161/(1+($V161*(('Traffic Data'!N80*(0.67/14))/(($I161)*$S161))^$W161))</f>
        <v>56.599999482572947</v>
      </c>
      <c r="BD161" s="401">
        <f>$R161/(1+($V161*(('Traffic Data'!O80*(0.67/14))/(($I161)*$S161))^$W161))</f>
        <v>56.599999474805863</v>
      </c>
      <c r="BE161" s="401">
        <f>$R161/(1+($V161*(('Traffic Data'!P80*(0.67/14))/(($I161)*$S161))^$W161))</f>
        <v>56.599999466933994</v>
      </c>
      <c r="BF161" s="401">
        <f>$R161/(1+($V161*(('Traffic Data'!Q80*(0.67/14))/(($I161)*$S161))^$W161))</f>
        <v>56.599999458956106</v>
      </c>
      <c r="BG161" s="401">
        <f>$R161/(1+($V161*(('Traffic Data'!R80*(0.67/14))/(($I161)*$S161))^$W161))</f>
        <v>56.599999450870911</v>
      </c>
      <c r="BH161" s="401">
        <f>$R161/(1+($V161*(('Traffic Data'!S80*(0.67/14))/(($I161)*$S161))^$W161))</f>
        <v>56.599999450870911</v>
      </c>
      <c r="BI161" s="401">
        <f>$R161/(1+($V161*(('Traffic Data'!T80*(0.67/14))/(($I161)*$S161))^$W161))</f>
        <v>56.599999450870911</v>
      </c>
      <c r="BJ161" s="401">
        <f>$R161/(1+($V161*(('Traffic Data'!U80*(0.67/14))/(($I161)*$S161))^$W161))</f>
        <v>56.599999450870911</v>
      </c>
      <c r="BK161" s="401">
        <f>$R161/(1+($V161*(('Traffic Data'!V80*(0.67/14))/(($I161)*$S161))^$W161))</f>
        <v>56.599999450870911</v>
      </c>
      <c r="BL161" s="401">
        <f>$R161/(1+($V161*(('Traffic Data'!W80*(0.67/14))/(($I161)*$S161))^$W161))</f>
        <v>56.599999450870911</v>
      </c>
      <c r="BM161" s="401">
        <f>$R161/(1+($V161*(('Traffic Data'!X80*(0.67/14))/(($I161)*$S161))^$W161))</f>
        <v>56.599999450870911</v>
      </c>
      <c r="BN161" s="401">
        <f>$R161/(1+($V161*(('Traffic Data'!Y80*(0.67/14))/(($I161)*$S161))^$W161))</f>
        <v>56.599999450870911</v>
      </c>
      <c r="BO161" s="401">
        <f>$R161/(1+($V161*(('Traffic Data'!Z80*(0.67/14))/(($I161)*$S161))^$W161))</f>
        <v>56.599999450870911</v>
      </c>
      <c r="BP161" s="401">
        <f>$R161/(1+($V161*(('Traffic Data'!AA80*(0.67/14))/(($I161)*$S161))^$W161))</f>
        <v>56.599999450870911</v>
      </c>
      <c r="BQ161" s="401">
        <f>$R161/(1+($V161*(('Traffic Data'!AB80*(0.67/14))/(($I161)*$S161))^$W161))</f>
        <v>56.59999937506911</v>
      </c>
      <c r="BR161" s="401">
        <f>$R161/(1+($V161*(('Traffic Data'!AC80*(0.67/14))/(($I161)*$S161))^$W161))</f>
        <v>56.59999927768316</v>
      </c>
      <c r="BS161" s="401">
        <f>$R161/(1+($V161*(('Traffic Data'!AD80*(0.67/14))/(($I161)*$S161))^$W161))</f>
        <v>56.599999166872927</v>
      </c>
      <c r="BT161" s="401">
        <f>$R161/(1+($V161*(('Traffic Data'!AE80*(0.67/14))/(($I161)*$S161))^$W161))</f>
        <v>56.599999040991314</v>
      </c>
      <c r="BU161" s="401">
        <f>$R161/(1+($V161*(('Traffic Data'!AF80*(0.67/14))/(($I161)*$S161))^$W161))</f>
        <v>56.599998898207538</v>
      </c>
      <c r="BV161" s="401">
        <f>$R161/(1+($V161*(('Traffic Data'!AG80*(0.67/14))/(($I161)*$S161))^$W161))</f>
        <v>56.599998736608029</v>
      </c>
      <c r="BW161" s="645">
        <f>$R161/(1+($V161*(('Traffic Data'!AH80*(0.67/14))/(($I161)*$S161))^$W161))</f>
        <v>56.599998553981294</v>
      </c>
    </row>
    <row r="162" spans="1:75" ht="21.95" customHeight="1" x14ac:dyDescent="0.2">
      <c r="A162" s="642"/>
      <c r="C162" s="1339"/>
      <c r="D162" s="116" t="s">
        <v>345</v>
      </c>
      <c r="E162" s="116" t="s">
        <v>323</v>
      </c>
      <c r="F162" s="575">
        <f>'Traffic Data'!CM76</f>
        <v>0.78125</v>
      </c>
      <c r="G162" s="575">
        <f>'Traffic Data'!CN76</f>
        <v>0.9</v>
      </c>
      <c r="H162" s="146">
        <f>'Traffic Data'!G81</f>
        <v>65</v>
      </c>
      <c r="I162" s="146">
        <v>4</v>
      </c>
      <c r="J162" s="146">
        <f t="shared" si="14"/>
        <v>72</v>
      </c>
      <c r="K162" s="146">
        <v>0</v>
      </c>
      <c r="L162" s="146">
        <v>2.5</v>
      </c>
      <c r="M162" s="146">
        <v>0</v>
      </c>
      <c r="N162" s="146">
        <v>0.4</v>
      </c>
      <c r="O162" s="146">
        <v>0</v>
      </c>
      <c r="P162" s="146">
        <v>0</v>
      </c>
      <c r="Q162" s="146">
        <v>0</v>
      </c>
      <c r="R162" s="174">
        <f t="shared" si="15"/>
        <v>69.099999999999994</v>
      </c>
      <c r="S162" s="576">
        <f>M$19*F162*G162</f>
        <v>1617.1875</v>
      </c>
      <c r="T162" s="577">
        <v>0.12</v>
      </c>
      <c r="U162" s="578">
        <v>0.65</v>
      </c>
      <c r="V162" s="579">
        <f t="shared" si="16"/>
        <v>0.05</v>
      </c>
      <c r="W162" s="228">
        <v>10</v>
      </c>
      <c r="X162" s="400">
        <f>$R162/(1+($V162*(('Traffic Data'!J81*$T162*$U162)/(($I162/2)*$S162))^$W162))</f>
        <v>69.031979009162399</v>
      </c>
      <c r="Y162" s="401">
        <f>$R162/(1+($V162*(('Traffic Data'!K81*$T162*$U162)/(($I162/2)*$S162))^$W162))</f>
        <v>69.014670174543994</v>
      </c>
      <c r="Z162" s="401">
        <f>$R162/(1+($V162*(('Traffic Data'!L81*$T162*$U162)/(($I162/2)*$S162))^$W162))</f>
        <v>68.98219688011622</v>
      </c>
      <c r="AA162" s="401">
        <f>$R162/(1+($V162*(('Traffic Data'!M81*$T162*$U162)/(($I162/2)*$S162))^$W162))</f>
        <v>68.92889277417791</v>
      </c>
      <c r="AB162" s="401">
        <f>$R162/(1+($V162*(('Traffic Data'!N81*$T162*$U162)/(($I162/2)*$S162))^$W162))</f>
        <v>68.854849988229958</v>
      </c>
      <c r="AC162" s="401">
        <f>$R162/(1+($V162*(('Traffic Data'!O81*$T162*$U162)/(($I162/2)*$S162))^$W162))</f>
        <v>68.753277965477466</v>
      </c>
      <c r="AD162" s="401">
        <f>$R162/(1+($V162*(('Traffic Data'!P81*$T162*$U162)/(($I162/2)*$S162))^$W162))</f>
        <v>68.615644673730856</v>
      </c>
      <c r="AE162" s="401">
        <f>$R162/(1+($V162*(('Traffic Data'!Q81*$T162*$U162)/(($I162/2)*$S162))^$W162))</f>
        <v>68.431088135663373</v>
      </c>
      <c r="AF162" s="401">
        <f>$R162/(1+($V162*(('Traffic Data'!R81*$T162*$U162)/(($I162/2)*$S162))^$W162))</f>
        <v>68.224805749018742</v>
      </c>
      <c r="AG162" s="401">
        <f>$R162/(1+($V162*(('Traffic Data'!S81*$T162*$U162)/(($I162/2)*$S162))^$W162))</f>
        <v>67.964052307669832</v>
      </c>
      <c r="AH162" s="401">
        <f>$R162/(1+($V162*(('Traffic Data'!T81*$T162*$U162)/(($I162/2)*$S162))^$W162))</f>
        <v>67.637068766043967</v>
      </c>
      <c r="AI162" s="401">
        <f>$R162/(1+($V162*(('Traffic Data'!U81*$T162*$U162)/(($I162/2)*$S162))^$W162))</f>
        <v>67.230390438158878</v>
      </c>
      <c r="AJ162" s="401">
        <f>$R162/(1+($V162*(('Traffic Data'!V81*$T162*$U162)/(($I162/2)*$S162))^$W162))</f>
        <v>66.728453767099225</v>
      </c>
      <c r="AK162" s="401">
        <f>$R162/(1+($V162*(('Traffic Data'!W81*$T162*$U162)/(($I162/2)*$S162))^$W162))</f>
        <v>66.243185456457041</v>
      </c>
      <c r="AL162" s="401">
        <f>$R162/(1+($V162*(('Traffic Data'!X81*$T162*$U162)/(($I162/2)*$S162))^$W162))</f>
        <v>65.783740734859308</v>
      </c>
      <c r="AM162" s="401">
        <f>$R162/(1+($V162*(('Traffic Data'!Y81*$T162*$U162)/(($I162/2)*$S162))^$W162))</f>
        <v>65.263397696689594</v>
      </c>
      <c r="AN162" s="401">
        <f>$R162/(1+($V162*(('Traffic Data'!Z81*$T162*$U162)/(($I162/2)*$S162))^$W162))</f>
        <v>64.676553030248073</v>
      </c>
      <c r="AO162" s="401">
        <f>$R162/(1+($V162*(('Traffic Data'!AA81*$T162*$U162)/(($I162/2)*$S162))^$W162))</f>
        <v>64.017424833747171</v>
      </c>
      <c r="AP162" s="401">
        <f>$R162/(1+($V162*(('Traffic Data'!AB81*$T162*$U162)/(($I162/2)*$S162))^$W162))</f>
        <v>63.280808392532784</v>
      </c>
      <c r="AQ162" s="401">
        <f>$R162/(1+($V162*(('Traffic Data'!AC81*$T162*$U162)/(($I162/2)*$S162))^$W162))</f>
        <v>62.461101474809546</v>
      </c>
      <c r="AR162" s="401">
        <f>$R162/(1+($V162*(('Traffic Data'!AD81*$T162*$U162)/(($I162/2)*$S162))^$W162))</f>
        <v>61.553854879804902</v>
      </c>
      <c r="AS162" s="401">
        <f>$R162/(1+($V162*(('Traffic Data'!AE81*$T162*$U162)/(($I162/2)*$S162))^$W162))</f>
        <v>60.554670084845313</v>
      </c>
      <c r="AT162" s="401">
        <f>$R162/(1+($V162*(('Traffic Data'!AF81*$T162*$U162)/(($I162/2)*$S162))^$W162))</f>
        <v>59.459879231480571</v>
      </c>
      <c r="AU162" s="401">
        <f>$R162/(1+($V162*(('Traffic Data'!AG81*$T162*$U162)/(($I162/2)*$S162))^$W162))</f>
        <v>58.267616678798341</v>
      </c>
      <c r="AV162" s="401">
        <f>$R162/(1+($V162*(('Traffic Data'!AH81*$T162*$U162)/(($I162/2)*$S162))^$W162))</f>
        <v>56.976492699931377</v>
      </c>
      <c r="AW162" s="372">
        <f>$R162/(1+($V162*(('Traffic Data'!AI81*$T162*$U162)/(($I162/2)*$S162))^$W162))</f>
        <v>55.586446610236621</v>
      </c>
      <c r="AX162" s="400">
        <f>$R162/(1+($V162*(('Traffic Data'!J81*(0.67/14))/(($I162)*$S162))^$W162))</f>
        <v>69.099999497319118</v>
      </c>
      <c r="AY162" s="401">
        <f>$R162/(1+($V162*(('Traffic Data'!J81*(0.67/14))/(($I162)*$S162))^$W162))</f>
        <v>69.099999497319118</v>
      </c>
      <c r="AZ162" s="401">
        <f>$R162/(1+($V162*(('Traffic Data'!K81*(0.67/14))/(($I162)*$S162))^$W162))</f>
        <v>69.099999369247215</v>
      </c>
      <c r="BA162" s="401">
        <f>$R162/(1+($V162*(('Traffic Data'!L81*(0.67/14))/(($I162)*$S162))^$W162))</f>
        <v>69.099999128796725</v>
      </c>
      <c r="BB162" s="401">
        <f>$R162/(1+($V162*(('Traffic Data'!M81*(0.67/14))/(($I162)*$S162))^$W162))</f>
        <v>69.099998733612026</v>
      </c>
      <c r="BC162" s="401">
        <f>$R162/(1+($V162*(('Traffic Data'!N81*(0.67/14))/(($I162)*$S162))^$W162))</f>
        <v>69.099998183660176</v>
      </c>
      <c r="BD162" s="401">
        <f>$R162/(1+($V162*(('Traffic Data'!O81*(0.67/14))/(($I162)*$S162))^$W162))</f>
        <v>69.099997427308267</v>
      </c>
      <c r="BE162" s="401">
        <f>$R162/(1+($V162*(('Traffic Data'!P81*(0.67/14))/(($I162)*$S162))^$W162))</f>
        <v>69.099996398854699</v>
      </c>
      <c r="BF162" s="401">
        <f>$R162/(1+($V162*(('Traffic Data'!Q81*(0.67/14))/(($I162)*$S162))^$W162))</f>
        <v>69.099995013278019</v>
      </c>
      <c r="BG162" s="401">
        <f>$R162/(1+($V162*(('Traffic Data'!R81*(0.67/14))/(($I162)*$S162))^$W162))</f>
        <v>69.099993455720465</v>
      </c>
      <c r="BH162" s="401">
        <f>$R162/(1+($V162*(('Traffic Data'!S81*(0.67/14))/(($I162)*$S162))^$W162))</f>
        <v>69.099991473343863</v>
      </c>
      <c r="BI162" s="401">
        <f>$R162/(1+($V162*(('Traffic Data'!T81*(0.67/14))/(($I162)*$S162))^$W162))</f>
        <v>69.099988965852148</v>
      </c>
      <c r="BJ162" s="401">
        <f>$R162/(1+($V162*(('Traffic Data'!U81*(0.67/14))/(($I162)*$S162))^$W162))</f>
        <v>69.099985813184134</v>
      </c>
      <c r="BK162" s="401">
        <f>$R162/(1+($V162*(('Traffic Data'!V81*(0.67/14))/(($I162)*$S162))^$W162))</f>
        <v>69.099981869066937</v>
      </c>
      <c r="BL162" s="401">
        <f>$R162/(1+($V162*(('Traffic Data'!W81*(0.67/14))/(($I162)*$S162))^$W162))</f>
        <v>69.099977999100588</v>
      </c>
      <c r="BM162" s="401">
        <f>$R162/(1+($V162*(('Traffic Data'!X81*(0.67/14))/(($I162)*$S162))^$W162))</f>
        <v>69.0999742824565</v>
      </c>
      <c r="BN162" s="401">
        <f>$R162/(1+($V162*(('Traffic Data'!Y81*(0.67/14))/(($I162)*$S162))^$W162))</f>
        <v>69.099970009987359</v>
      </c>
      <c r="BO162" s="401">
        <f>$R162/(1+($V162*(('Traffic Data'!Z81*(0.67/14))/(($I162)*$S162))^$W162))</f>
        <v>69.099965108995406</v>
      </c>
      <c r="BP162" s="401">
        <f>$R162/(1+($V162*(('Traffic Data'!AA81*(0.67/14))/(($I162)*$S162))^$W162))</f>
        <v>69.099959497196082</v>
      </c>
      <c r="BQ162" s="401">
        <f>$R162/(1+($V162*(('Traffic Data'!AB81*(0.67/14))/(($I162)*$S162))^$W162))</f>
        <v>69.099953087337894</v>
      </c>
      <c r="BR162" s="401">
        <f>$R162/(1+($V162*(('Traffic Data'!AC81*(0.67/14))/(($I162)*$S162))^$W162))</f>
        <v>69.099945776719935</v>
      </c>
      <c r="BS162" s="401">
        <f>$R162/(1+($V162*(('Traffic Data'!AD81*(0.67/14))/(($I162)*$S162))^$W162))</f>
        <v>69.099937458363996</v>
      </c>
      <c r="BT162" s="401">
        <f>$R162/(1+($V162*(('Traffic Data'!AE81*(0.67/14))/(($I162)*$S162))^$W162))</f>
        <v>69.099928008624133</v>
      </c>
      <c r="BU162" s="401">
        <f>$R162/(1+($V162*(('Traffic Data'!AF81*(0.67/14))/(($I162)*$S162))^$W162))</f>
        <v>69.099917290067566</v>
      </c>
      <c r="BV162" s="401">
        <f>$R162/(1+($V162*(('Traffic Data'!AG81*(0.67/14))/(($I162)*$S162))^$W162))</f>
        <v>69.099905159048305</v>
      </c>
      <c r="BW162" s="645">
        <f>$R162/(1+($V162*(('Traffic Data'!AH81*(0.67/14))/(($I162)*$S162))^$W162))</f>
        <v>69.099891449552487</v>
      </c>
    </row>
    <row r="163" spans="1:75" ht="21.95" customHeight="1" x14ac:dyDescent="0.2">
      <c r="A163" s="642"/>
      <c r="C163" s="1339"/>
      <c r="D163" s="116" t="s">
        <v>323</v>
      </c>
      <c r="E163" s="116" t="s">
        <v>347</v>
      </c>
      <c r="F163" s="575">
        <f>'Traffic Data'!CM76</f>
        <v>0.78125</v>
      </c>
      <c r="G163" s="575">
        <f>'Traffic Data'!CN76</f>
        <v>0.9</v>
      </c>
      <c r="H163" s="146">
        <f>'Traffic Data'!G82</f>
        <v>65</v>
      </c>
      <c r="I163" s="146">
        <v>4</v>
      </c>
      <c r="J163" s="146">
        <f t="shared" si="14"/>
        <v>72</v>
      </c>
      <c r="K163" s="146">
        <v>0</v>
      </c>
      <c r="L163" s="146">
        <v>2.5</v>
      </c>
      <c r="M163" s="146">
        <v>0</v>
      </c>
      <c r="N163" s="146">
        <v>0.4</v>
      </c>
      <c r="O163" s="146">
        <v>0</v>
      </c>
      <c r="P163" s="146">
        <v>0</v>
      </c>
      <c r="Q163" s="146">
        <v>0</v>
      </c>
      <c r="R163" s="174">
        <f t="shared" si="15"/>
        <v>69.099999999999994</v>
      </c>
      <c r="S163" s="576">
        <f>M$19*F163*G163</f>
        <v>1617.1875</v>
      </c>
      <c r="T163" s="577">
        <v>0.12</v>
      </c>
      <c r="U163" s="578">
        <v>0.65</v>
      </c>
      <c r="V163" s="579">
        <f t="shared" si="16"/>
        <v>0.05</v>
      </c>
      <c r="W163" s="228">
        <v>10</v>
      </c>
      <c r="X163" s="400">
        <f>$R163/(1+($V163*(('Traffic Data'!J82*$T163*$U163)/(($I163/2)*$S163))^$W163))</f>
        <v>69.031979009162399</v>
      </c>
      <c r="Y163" s="401">
        <f>$R163/(1+($V163*(('Traffic Data'!K82*$T163*$U163)/(($I163/2)*$S163))^$W163))</f>
        <v>69.015383074682219</v>
      </c>
      <c r="Z163" s="401">
        <f>$R163/(1+($V163*(('Traffic Data'!L82*$T163*$U163)/(($I163/2)*$S163))^$W163))</f>
        <v>68.984097102897081</v>
      </c>
      <c r="AA163" s="401">
        <f>$R163/(1+($V163*(('Traffic Data'!M82*$T163*$U163)/(($I163/2)*$S163))^$W163))</f>
        <v>68.929619463044517</v>
      </c>
      <c r="AB163" s="401">
        <f>$R163/(1+($V163*(('Traffic Data'!N82*$T163*$U163)/(($I163/2)*$S163))^$W163))</f>
        <v>68.853156809839035</v>
      </c>
      <c r="AC163" s="401">
        <f>$R163/(1+($V163*(('Traffic Data'!O82*$T163*$U163)/(($I163/2)*$S163))^$W163))</f>
        <v>68.747274391199539</v>
      </c>
      <c r="AD163" s="401">
        <f>$R163/(1+($V163*(('Traffic Data'!P82*$T163*$U163)/(($I163/2)*$S163))^$W163))</f>
        <v>68.602512850923659</v>
      </c>
      <c r="AE163" s="401">
        <f>$R163/(1+($V163*(('Traffic Data'!Q82*$T163*$U163)/(($I163/2)*$S163))^$W163))</f>
        <v>68.406808097768675</v>
      </c>
      <c r="AF163" s="401">
        <f>$R163/(1+($V163*(('Traffic Data'!R82*$T163*$U163)/(($I163/2)*$S163))^$W163))</f>
        <v>68.178346976186262</v>
      </c>
      <c r="AG163" s="401">
        <f>$R163/(1+($V163*(('Traffic Data'!S82*$T163*$U163)/(($I163/2)*$S163))^$W163))</f>
        <v>67.885575956749335</v>
      </c>
      <c r="AH163" s="401">
        <f>$R163/(1+($V163*(('Traffic Data'!T82*$T163*$U163)/(($I163/2)*$S163))^$W163))</f>
        <v>67.513900051545292</v>
      </c>
      <c r="AI163" s="401">
        <f>$R163/(1+($V163*(('Traffic Data'!U82*$T163*$U163)/(($I163/2)*$S163))^$W163))</f>
        <v>67.046390999525158</v>
      </c>
      <c r="AJ163" s="401">
        <f>$R163/(1+($V163*(('Traffic Data'!V82*$T163*$U163)/(($I163/2)*$S163))^$W163))</f>
        <v>66.463634258710584</v>
      </c>
      <c r="AK163" s="401">
        <f>$R163/(1+($V163*(('Traffic Data'!W82*$T163*$U163)/(($I163/2)*$S163))^$W163))</f>
        <v>65.930180554442344</v>
      </c>
      <c r="AL163" s="401">
        <f>$R163/(1+($V163*(('Traffic Data'!X82*$T163*$U163)/(($I163/2)*$S163))^$W163))</f>
        <v>65.448900253606325</v>
      </c>
      <c r="AM163" s="401">
        <f>$R163/(1+($V163*(('Traffic Data'!Y82*$T163*$U163)/(($I163/2)*$S163))^$W163))</f>
        <v>64.907787970885323</v>
      </c>
      <c r="AN163" s="401">
        <f>$R163/(1+($V163*(('Traffic Data'!Z82*$T163*$U163)/(($I163/2)*$S163))^$W163))</f>
        <v>64.301824440603596</v>
      </c>
      <c r="AO163" s="401">
        <f>$R163/(1+($V163*(('Traffic Data'!AA82*$T163*$U163)/(($I163/2)*$S163))^$W163))</f>
        <v>63.625924926356085</v>
      </c>
      <c r="AP163" s="401">
        <f>$R163/(1+($V163*(('Traffic Data'!AB82*$T163*$U163)/(($I163/2)*$S163))^$W163))</f>
        <v>62.875501447389126</v>
      </c>
      <c r="AQ163" s="401">
        <f>$R163/(1+($V163*(('Traffic Data'!AC82*$T163*$U163)/(($I163/2)*$S163))^$W163))</f>
        <v>62.04580023370108</v>
      </c>
      <c r="AR163" s="401">
        <f>$R163/(1+($V163*(('Traffic Data'!AD82*$T163*$U163)/(($I163/2)*$S163))^$W163))</f>
        <v>61.13302434537588</v>
      </c>
      <c r="AS163" s="401">
        <f>$R163/(1+($V163*(('Traffic Data'!AE82*$T163*$U163)/(($I163/2)*$S163))^$W163))</f>
        <v>60.133588924286251</v>
      </c>
      <c r="AT163" s="401">
        <f>$R163/(1+($V163*(('Traffic Data'!AF82*$T163*$U163)/(($I163/2)*$S163))^$W163))</f>
        <v>59.044631308147167</v>
      </c>
      <c r="AU163" s="401">
        <f>$R163/(1+($V163*(('Traffic Data'!AG82*$T163*$U163)/(($I163/2)*$S163))^$W163))</f>
        <v>57.864774536307792</v>
      </c>
      <c r="AV163" s="401">
        <f>$R163/(1+($V163*(('Traffic Data'!AH82*$T163*$U163)/(($I163/2)*$S163))^$W163))</f>
        <v>56.593238320545105</v>
      </c>
      <c r="AW163" s="372">
        <f>$R163/(1+($V163*(('Traffic Data'!AI82*$T163*$U163)/(($I163/2)*$S163))^$W163))</f>
        <v>55.230451199483852</v>
      </c>
      <c r="AX163" s="400">
        <f>$R163/(1+($V163*(('Traffic Data'!J82*(0.67/14))/(($I163)*$S163))^$W163))</f>
        <v>69.099999497319118</v>
      </c>
      <c r="AY163" s="401">
        <f>$R163/(1+($V163*(('Traffic Data'!J82*(0.67/14))/(($I163)*$S163))^$W163))</f>
        <v>69.099999497319118</v>
      </c>
      <c r="AZ163" s="401">
        <f>$R163/(1+($V163*(('Traffic Data'!K82*(0.67/14))/(($I163)*$S163))^$W163))</f>
        <v>69.099999374523392</v>
      </c>
      <c r="BA163" s="401">
        <f>$R163/(1+($V163*(('Traffic Data'!L82*(0.67/14))/(($I163)*$S163))^$W163))</f>
        <v>69.099999142873273</v>
      </c>
      <c r="BB163" s="401">
        <f>$R163/(1+($V163*(('Traffic Data'!M82*(0.67/14))/(($I163)*$S163))^$W163))</f>
        <v>69.099998739003652</v>
      </c>
      <c r="BC163" s="401">
        <f>$R163/(1+($V163*(('Traffic Data'!N82*(0.67/14))/(($I163)*$S163))^$W163))</f>
        <v>69.099998171070283</v>
      </c>
      <c r="BD163" s="401">
        <f>$R163/(1+($V163*(('Traffic Data'!O82*(0.67/14))/(($I163)*$S163))^$W163))</f>
        <v>69.099997382532933</v>
      </c>
      <c r="BE163" s="401">
        <f>$R163/(1+($V163*(('Traffic Data'!P82*(0.67/14))/(($I163)*$S163))^$W163))</f>
        <v>69.099996300512586</v>
      </c>
      <c r="BF163" s="401">
        <f>$R163/(1+($V163*(('Traffic Data'!Q82*(0.67/14))/(($I163)*$S163))^$W163))</f>
        <v>69.099994830436714</v>
      </c>
      <c r="BG163" s="401">
        <f>$R163/(1+($V163*(('Traffic Data'!R82*(0.67/14))/(($I163)*$S163))^$W163))</f>
        <v>69.099993103628066</v>
      </c>
      <c r="BH163" s="401">
        <f>$R163/(1+($V163*(('Traffic Data'!S82*(0.67/14))/(($I163)*$S163))^$W163))</f>
        <v>69.09999087374652</v>
      </c>
      <c r="BI163" s="401">
        <f>$R163/(1+($V163*(('Traffic Data'!T82*(0.67/14))/(($I163)*$S163))^$W163))</f>
        <v>69.099988015028288</v>
      </c>
      <c r="BJ163" s="401">
        <f>$R163/(1+($V163*(('Traffic Data'!U82*(0.67/14))/(($I163)*$S163))^$W163))</f>
        <v>69.099984374209768</v>
      </c>
      <c r="BK163" s="401">
        <f>$R163/(1+($V163*(('Traffic Data'!V82*(0.67/14))/(($I163)*$S163))^$W163))</f>
        <v>69.099979764162583</v>
      </c>
      <c r="BL163" s="401">
        <f>$R163/(1+($V163*(('Traffic Data'!W82*(0.67/14))/(($I163)*$S163))^$W163))</f>
        <v>69.09997547269451</v>
      </c>
      <c r="BM163" s="401">
        <f>$R163/(1+($V163*(('Traffic Data'!X82*(0.67/14))/(($I163)*$S163))^$W163))</f>
        <v>69.099971540917181</v>
      </c>
      <c r="BN163" s="401">
        <f>$R163/(1+($V163*(('Traffic Data'!Y82*(0.67/14))/(($I163)*$S163))^$W163))</f>
        <v>69.099967050717794</v>
      </c>
      <c r="BO163" s="401">
        <f>$R163/(1+($V163*(('Traffic Data'!Z82*(0.67/14))/(($I163)*$S163))^$W163))</f>
        <v>69.099961932677303</v>
      </c>
      <c r="BP163" s="401">
        <f>$R163/(1+($V163*(('Traffic Data'!AA82*(0.67/14))/(($I163)*$S163))^$W163))</f>
        <v>69.09995610893705</v>
      </c>
      <c r="BQ163" s="401">
        <f>$R163/(1+($V163*(('Traffic Data'!AB82*(0.67/14))/(($I163)*$S163))^$W163))</f>
        <v>69.099949496401308</v>
      </c>
      <c r="BR163" s="401">
        <f>$R163/(1+($V163*(('Traffic Data'!AC82*(0.67/14))/(($I163)*$S163))^$W163))</f>
        <v>69.099941999099869</v>
      </c>
      <c r="BS163" s="401">
        <f>$R163/(1+($V163*(('Traffic Data'!AD82*(0.67/14))/(($I163)*$S163))^$W163))</f>
        <v>69.09993351603309</v>
      </c>
      <c r="BT163" s="401">
        <f>$R163/(1+($V163*(('Traffic Data'!AE82*(0.67/14))/(($I163)*$S163))^$W163))</f>
        <v>69.09992393221377</v>
      </c>
      <c r="BU163" s="401">
        <f>$R163/(1+($V163*(('Traffic Data'!AF82*(0.67/14))/(($I163)*$S163))^$W163))</f>
        <v>69.099913120608178</v>
      </c>
      <c r="BV163" s="401">
        <f>$R163/(1+($V163*(('Traffic Data'!AG82*(0.67/14))/(($I163)*$S163))^$W163))</f>
        <v>69.099900947226971</v>
      </c>
      <c r="BW163" s="645">
        <f>$R163/(1+($V163*(('Traffic Data'!AH82*(0.67/14))/(($I163)*$S163))^$W163))</f>
        <v>69.099887259656327</v>
      </c>
    </row>
    <row r="164" spans="1:75" ht="21.95" customHeight="1" x14ac:dyDescent="0.2">
      <c r="A164" s="642"/>
      <c r="C164" s="1339"/>
      <c r="D164" s="116" t="s">
        <v>347</v>
      </c>
      <c r="E164" s="116" t="s">
        <v>348</v>
      </c>
      <c r="F164" s="575">
        <f>'Traffic Data'!CM76</f>
        <v>0.78125</v>
      </c>
      <c r="G164" s="575">
        <f>'Traffic Data'!CN76</f>
        <v>0.9</v>
      </c>
      <c r="H164" s="146">
        <f>'Traffic Data'!G83</f>
        <v>55</v>
      </c>
      <c r="I164" s="146">
        <v>4</v>
      </c>
      <c r="J164" s="146">
        <f t="shared" si="14"/>
        <v>62</v>
      </c>
      <c r="K164" s="146">
        <v>0</v>
      </c>
      <c r="L164" s="146">
        <v>2.5</v>
      </c>
      <c r="M164" s="146">
        <v>0</v>
      </c>
      <c r="N164" s="146">
        <v>0.4</v>
      </c>
      <c r="O164" s="146">
        <v>0</v>
      </c>
      <c r="P164" s="146">
        <v>0</v>
      </c>
      <c r="Q164" s="146">
        <v>0</v>
      </c>
      <c r="R164" s="174">
        <f t="shared" si="15"/>
        <v>59.1</v>
      </c>
      <c r="S164" s="576">
        <f>M$21*F164*G164</f>
        <v>1546.875</v>
      </c>
      <c r="T164" s="577">
        <v>0.12</v>
      </c>
      <c r="U164" s="578">
        <v>0.65</v>
      </c>
      <c r="V164" s="579">
        <f t="shared" si="16"/>
        <v>0.05</v>
      </c>
      <c r="W164" s="228">
        <v>10</v>
      </c>
      <c r="X164" s="400">
        <f>$R164/(1+($V164*(('Traffic Data'!J83*$T164*$U164)/(($I164/2)*$S164))^$W164))</f>
        <v>59.009308891513932</v>
      </c>
      <c r="Y164" s="401">
        <f>$R164/(1+($V164*(('Traffic Data'!K83*$T164*$U164)/(($I164/2)*$S164))^$W164))</f>
        <v>58.987197000201441</v>
      </c>
      <c r="Z164" s="401">
        <f>$R164/(1+($V164*(('Traffic Data'!L83*$T164*$U164)/(($I164/2)*$S164))^$W164))</f>
        <v>58.945528726565954</v>
      </c>
      <c r="AA164" s="401">
        <f>$R164/(1+($V164*(('Traffic Data'!M83*$T164*$U164)/(($I164/2)*$S164))^$W164))</f>
        <v>58.873022927878154</v>
      </c>
      <c r="AB164" s="401">
        <f>$R164/(1+($V164*(('Traffic Data'!N83*$T164*$U164)/(($I164/2)*$S164))^$W164))</f>
        <v>58.771364391321178</v>
      </c>
      <c r="AC164" s="401">
        <f>$R164/(1+($V164*(('Traffic Data'!O83*$T164*$U164)/(($I164/2)*$S164))^$W164))</f>
        <v>58.630799061298291</v>
      </c>
      <c r="AD164" s="401">
        <f>$R164/(1+($V164*(('Traffic Data'!P83*$T164*$U164)/(($I164/2)*$S164))^$W164))</f>
        <v>58.439007959745048</v>
      </c>
      <c r="AE164" s="401">
        <f>$R164/(1+($V164*(('Traffic Data'!Q83*$T164*$U164)/(($I164/2)*$S164))^$W164))</f>
        <v>58.180434505558281</v>
      </c>
      <c r="AF164" s="401">
        <f>$R164/(1+($V164*(('Traffic Data'!R83*$T164*$U164)/(($I164/2)*$S164))^$W164))</f>
        <v>57.87961139600133</v>
      </c>
      <c r="AG164" s="401">
        <f>$R164/(1+($V164*(('Traffic Data'!S83*$T164*$U164)/(($I164/2)*$S164))^$W164))</f>
        <v>57.495720900908978</v>
      </c>
      <c r="AH164" s="401">
        <f>$R164/(1+($V164*(('Traffic Data'!T83*$T164*$U164)/(($I164/2)*$S164))^$W164))</f>
        <v>57.010957657304381</v>
      </c>
      <c r="AI164" s="401">
        <f>$R164/(1+($V164*(('Traffic Data'!U83*$T164*$U164)/(($I164/2)*$S164))^$W164))</f>
        <v>56.405279885378057</v>
      </c>
      <c r="AJ164" s="401">
        <f>$R164/(1+($V164*(('Traffic Data'!V83*$T164*$U164)/(($I164/2)*$S164))^$W164))</f>
        <v>55.656582650478214</v>
      </c>
      <c r="AK164" s="401">
        <f>$R164/(1+($V164*(('Traffic Data'!W83*$T164*$U164)/(($I164/2)*$S164))^$W164))</f>
        <v>54.977269214414385</v>
      </c>
      <c r="AL164" s="401">
        <f>$R164/(1+($V164*(('Traffic Data'!X83*$T164*$U164)/(($I164/2)*$S164))^$W164))</f>
        <v>54.369287674319118</v>
      </c>
      <c r="AM164" s="401">
        <f>$R164/(1+($V164*(('Traffic Data'!Y83*$T164*$U164)/(($I164/2)*$S164))^$W164))</f>
        <v>53.691198070003203</v>
      </c>
      <c r="AN164" s="401">
        <f>$R164/(1+($V164*(('Traffic Data'!Z83*$T164*$U164)/(($I164/2)*$S164))^$W164))</f>
        <v>52.938632552274143</v>
      </c>
      <c r="AO164" s="401">
        <f>$R164/(1+($V164*(('Traffic Data'!AA83*$T164*$U164)/(($I164/2)*$S164))^$W164))</f>
        <v>52.107557427510997</v>
      </c>
      <c r="AP164" s="401">
        <f>$R164/(1+($V164*(('Traffic Data'!AB83*$T164*$U164)/(($I164/2)*$S164))^$W164))</f>
        <v>51.194997893058947</v>
      </c>
      <c r="AQ164" s="401">
        <f>$R164/(1+($V164*(('Traffic Data'!AC83*$T164*$U164)/(($I164/2)*$S164))^$W164))</f>
        <v>50.198248262259597</v>
      </c>
      <c r="AR164" s="401">
        <f>$R164/(1+($V164*(('Traffic Data'!AD83*$T164*$U164)/(($I164/2)*$S164))^$W164))</f>
        <v>49.116237309107696</v>
      </c>
      <c r="AS164" s="401">
        <f>$R164/(1+($V164*(('Traffic Data'!AE83*$T164*$U164)/(($I164/2)*$S164))^$W164))</f>
        <v>47.948608119204295</v>
      </c>
      <c r="AT164" s="401">
        <f>$R164/(1+($V164*(('Traffic Data'!AF83*$T164*$U164)/(($I164/2)*$S164))^$W164))</f>
        <v>46.69629203999375</v>
      </c>
      <c r="AU164" s="401">
        <f>$R164/(1+($V164*(('Traffic Data'!AG83*$T164*$U164)/(($I164/2)*$S164))^$W164))</f>
        <v>45.362297158409071</v>
      </c>
      <c r="AV164" s="401">
        <f>$R164/(1+($V164*(('Traffic Data'!AH83*$T164*$U164)/(($I164/2)*$S164))^$W164))</f>
        <v>43.950567406607256</v>
      </c>
      <c r="AW164" s="372">
        <f>$R164/(1+($V164*(('Traffic Data'!AI83*$T164*$U164)/(($I164/2)*$S164))^$W164))</f>
        <v>42.46655173688626</v>
      </c>
      <c r="AX164" s="400">
        <f>$R164/(1+($V164*(('Traffic Data'!J83*(0.67/14))/(($I164)*$S164))^$W164))</f>
        <v>59.099999329415759</v>
      </c>
      <c r="AY164" s="401">
        <f>$R164/(1+($V164*(('Traffic Data'!J83*(0.67/14))/(($I164)*$S164))^$W164))</f>
        <v>59.099999329415759</v>
      </c>
      <c r="AZ164" s="401">
        <f>$R164/(1+($V164*(('Traffic Data'!K83*(0.67/14))/(($I164)*$S164))^$W164))</f>
        <v>59.099999165604316</v>
      </c>
      <c r="BA164" s="401">
        <f>$R164/(1+($V164*(('Traffic Data'!L83*(0.67/14))/(($I164)*$S164))^$W164))</f>
        <v>59.099998856579383</v>
      </c>
      <c r="BB164" s="401">
        <f>$R164/(1+($V164*(('Traffic Data'!M83*(0.67/14))/(($I164)*$S164))^$W164))</f>
        <v>59.099998317810929</v>
      </c>
      <c r="BC164" s="401">
        <f>$R164/(1+($V164*(('Traffic Data'!N83*(0.67/14))/(($I164)*$S164))^$W164))</f>
        <v>59.099997560178835</v>
      </c>
      <c r="BD164" s="401">
        <f>$R164/(1+($V164*(('Traffic Data'!O83*(0.67/14))/(($I164)*$S164))^$W164))</f>
        <v>59.099996508257568</v>
      </c>
      <c r="BE164" s="401">
        <f>$R164/(1+($V164*(('Traffic Data'!P83*(0.67/14))/(($I164)*$S164))^$W164))</f>
        <v>59.099995064825357</v>
      </c>
      <c r="BF164" s="401">
        <f>$R164/(1+($V164*(('Traffic Data'!Q83*(0.67/14))/(($I164)*$S164))^$W164))</f>
        <v>59.099993103721012</v>
      </c>
      <c r="BG164" s="401">
        <f>$R164/(1+($V164*(('Traffic Data'!R83*(0.67/14))/(($I164)*$S164))^$W164))</f>
        <v>59.099990800131145</v>
      </c>
      <c r="BH164" s="401">
        <f>$R164/(1+($V164*(('Traffic Data'!S83*(0.67/14))/(($I164)*$S164))^$W164))</f>
        <v>59.099987825434241</v>
      </c>
      <c r="BI164" s="401">
        <f>$R164/(1+($V164*(('Traffic Data'!T83*(0.67/14))/(($I164)*$S164))^$W164))</f>
        <v>59.099984011859483</v>
      </c>
      <c r="BJ164" s="401">
        <f>$R164/(1+($V164*(('Traffic Data'!U83*(0.67/14))/(($I164)*$S164))^$W164))</f>
        <v>59.099979154951015</v>
      </c>
      <c r="BK164" s="401">
        <f>$R164/(1+($V164*(('Traffic Data'!V83*(0.67/14))/(($I164)*$S164))^$W164))</f>
        <v>59.099973005076848</v>
      </c>
      <c r="BL164" s="401">
        <f>$R164/(1+($V164*(('Traffic Data'!W83*(0.67/14))/(($I164)*$S164))^$W164))</f>
        <v>59.099967280192551</v>
      </c>
      <c r="BM164" s="401">
        <f>$R164/(1+($V164*(('Traffic Data'!X83*(0.67/14))/(($I164)*$S164))^$W164))</f>
        <v>59.099962035141552</v>
      </c>
      <c r="BN164" s="401">
        <f>$R164/(1+($V164*(('Traffic Data'!Y83*(0.67/14))/(($I164)*$S164))^$W164))</f>
        <v>59.099956045147451</v>
      </c>
      <c r="BO164" s="401">
        <f>$R164/(1+($V164*(('Traffic Data'!Z83*(0.67/14))/(($I164)*$S164))^$W164))</f>
        <v>59.099949217604305</v>
      </c>
      <c r="BP164" s="401">
        <f>$R164/(1+($V164*(('Traffic Data'!AA83*(0.67/14))/(($I164)*$S164))^$W164))</f>
        <v>59.099941448647733</v>
      </c>
      <c r="BQ164" s="401">
        <f>$R164/(1+($V164*(('Traffic Data'!AB83*(0.67/14))/(($I164)*$S164))^$W164))</f>
        <v>59.099932627427094</v>
      </c>
      <c r="BR164" s="401">
        <f>$R164/(1+($V164*(('Traffic Data'!AC83*(0.67/14))/(($I164)*$S164))^$W164))</f>
        <v>59.099922625917017</v>
      </c>
      <c r="BS164" s="401">
        <f>$R164/(1+($V164*(('Traffic Data'!AD83*(0.67/14))/(($I164)*$S164))^$W164))</f>
        <v>59.099911309382982</v>
      </c>
      <c r="BT164" s="401">
        <f>$R164/(1+($V164*(('Traffic Data'!AE83*(0.67/14))/(($I164)*$S164))^$W164))</f>
        <v>59.099898524431012</v>
      </c>
      <c r="BU164" s="401">
        <f>$R164/(1+($V164*(('Traffic Data'!AF83*(0.67/14))/(($I164)*$S164))^$W164))</f>
        <v>59.099884101596956</v>
      </c>
      <c r="BV164" s="401">
        <f>$R164/(1+($V164*(('Traffic Data'!AG83*(0.67/14))/(($I164)*$S164))^$W164))</f>
        <v>59.09986786213809</v>
      </c>
      <c r="BW164" s="645">
        <f>$R164/(1+($V164*(('Traffic Data'!AH83*(0.67/14))/(($I164)*$S164))^$W164))</f>
        <v>59.099849602733407</v>
      </c>
    </row>
    <row r="165" spans="1:75" ht="21.95" customHeight="1" x14ac:dyDescent="0.2">
      <c r="A165" s="642"/>
      <c r="C165" s="1353"/>
      <c r="D165" s="254" t="s">
        <v>348</v>
      </c>
      <c r="E165" s="254" t="s">
        <v>349</v>
      </c>
      <c r="F165" s="580">
        <f>'Traffic Data'!CM76</f>
        <v>0.78125</v>
      </c>
      <c r="G165" s="580">
        <f>'Traffic Data'!CN76</f>
        <v>0.9</v>
      </c>
      <c r="H165" s="581">
        <f>'Traffic Data'!G84</f>
        <v>55</v>
      </c>
      <c r="I165" s="581">
        <v>4</v>
      </c>
      <c r="J165" s="581">
        <f t="shared" si="14"/>
        <v>62</v>
      </c>
      <c r="K165" s="581">
        <v>0</v>
      </c>
      <c r="L165" s="581">
        <v>2.5</v>
      </c>
      <c r="M165" s="581">
        <v>0</v>
      </c>
      <c r="N165" s="581">
        <v>0.4</v>
      </c>
      <c r="O165" s="581">
        <v>0</v>
      </c>
      <c r="P165" s="581">
        <v>0</v>
      </c>
      <c r="Q165" s="581">
        <v>0</v>
      </c>
      <c r="R165" s="253">
        <f t="shared" si="15"/>
        <v>59.1</v>
      </c>
      <c r="S165" s="576">
        <f>M$21*G165*F165</f>
        <v>1546.875</v>
      </c>
      <c r="T165" s="577">
        <v>0.12</v>
      </c>
      <c r="U165" s="578">
        <v>0.65</v>
      </c>
      <c r="V165" s="579">
        <f t="shared" si="16"/>
        <v>0.05</v>
      </c>
      <c r="W165" s="228">
        <v>10</v>
      </c>
      <c r="X165" s="400">
        <f>$R165/(1+($V165*(('Traffic Data'!J84*$T165*$U165)/(($I165/2)*$S165))^$W165))</f>
        <v>58.7567414573777</v>
      </c>
      <c r="Y165" s="401">
        <f>$R165/(1+($V165*(('Traffic Data'!K84*$T165*$U165)/(($I165/2)*$S165))^$W165))</f>
        <v>58.666023625896827</v>
      </c>
      <c r="Z165" s="401">
        <f>$R165/(1+($V165*(('Traffic Data'!L84*$T165*$U165)/(($I165/2)*$S165))^$W165))</f>
        <v>58.504648398108976</v>
      </c>
      <c r="AA165" s="401">
        <f>$R165/(1+($V165*(('Traffic Data'!M84*$T165*$U165)/(($I165/2)*$S165))^$W165))</f>
        <v>58.208864672459995</v>
      </c>
      <c r="AB165" s="401">
        <f>$R165/(1+($V165*(('Traffic Data'!N84*$T165*$U165)/(($I165/2)*$S165))^$W165))</f>
        <v>57.790017706889039</v>
      </c>
      <c r="AC165" s="401">
        <f>$R165/(1+($V165*(('Traffic Data'!O84*$T165*$U165)/(($I165/2)*$S165))^$W165))</f>
        <v>57.208087548465706</v>
      </c>
      <c r="AD165" s="401">
        <f>$R165/(1+($V165*(('Traffic Data'!P84*$T165*$U165)/(($I165/2)*$S165))^$W165))</f>
        <v>56.415593968511743</v>
      </c>
      <c r="AE165" s="401">
        <f>$R165/(1+($V165*(('Traffic Data'!Q84*$T165*$U165)/(($I165/2)*$S165))^$W165))</f>
        <v>55.357445162192178</v>
      </c>
      <c r="AF165" s="401">
        <f>$R165/(1+($V165*(('Traffic Data'!R84*$T165*$U165)/(($I165/2)*$S165))^$W165))</f>
        <v>54.047293024344299</v>
      </c>
      <c r="AG165" s="401">
        <f>$R165/(1+($V165*(('Traffic Data'!S84*$T165*$U165)/(($I165/2)*$S165))^$W165))</f>
        <v>52.395204928997302</v>
      </c>
      <c r="AH165" s="401">
        <f>$R165/(1+($V165*(('Traffic Data'!T84*$T165*$U165)/(($I165/2)*$S165))^$W165))</f>
        <v>50.362455920665731</v>
      </c>
      <c r="AI165" s="401">
        <f>$R165/(1+($V165*(('Traffic Data'!U84*$T165*$U165)/(($I165/2)*$S165))^$W165))</f>
        <v>47.927490023640047</v>
      </c>
      <c r="AJ165" s="401">
        <f>$R165/(1+($V165*(('Traffic Data'!V84*$T165*$U165)/(($I165/2)*$S165))^$W165))</f>
        <v>45.092857249595966</v>
      </c>
      <c r="AK165" s="401">
        <f>$R165/(1+($V165*(('Traffic Data'!W84*$T165*$U165)/(($I165/2)*$S165))^$W165))</f>
        <v>42.757121850661385</v>
      </c>
      <c r="AL165" s="401">
        <f>$R165/(1+($V165*(('Traffic Data'!X84*$T165*$U165)/(($I165/2)*$S165))^$W165))</f>
        <v>40.849797446708081</v>
      </c>
      <c r="AM165" s="401">
        <f>$R165/(1+($V165*(('Traffic Data'!Y84*$T165*$U165)/(($I165/2)*$S165))^$W165))</f>
        <v>38.857338507664856</v>
      </c>
      <c r="AN165" s="401">
        <f>$R165/(1+($V165*(('Traffic Data'!Z84*$T165*$U165)/(($I165/2)*$S165))^$W165))</f>
        <v>36.798565199850039</v>
      </c>
      <c r="AO165" s="401">
        <f>$R165/(1+($V165*(('Traffic Data'!AA84*$T165*$U165)/(($I165/2)*$S165))^$W165))</f>
        <v>34.693989446626723</v>
      </c>
      <c r="AP165" s="401">
        <f>$R165/(1+($V165*(('Traffic Data'!AB84*$T165*$U165)/(($I165/2)*$S165))^$W165))</f>
        <v>32.566622166207132</v>
      </c>
      <c r="AQ165" s="401">
        <f>$R165/(1+($V165*(('Traffic Data'!AC84*$T165*$U165)/(($I165/2)*$S165))^$W165))</f>
        <v>30.4381387123425</v>
      </c>
      <c r="AR165" s="401">
        <f>$R165/(1+($V165*(('Traffic Data'!AD84*$T165*$U165)/(($I165/2)*$S165))^$W165))</f>
        <v>28.331266141812385</v>
      </c>
      <c r="AS165" s="401">
        <f>$R165/(1+($V165*(('Traffic Data'!AE84*$T165*$U165)/(($I165/2)*$S165))^$W165))</f>
        <v>26.266011663519865</v>
      </c>
      <c r="AT165" s="401">
        <f>$R165/(1+($V165*(('Traffic Data'!AF84*$T165*$U165)/(($I165/2)*$S165))^$W165))</f>
        <v>24.260248277764166</v>
      </c>
      <c r="AU165" s="401">
        <f>$R165/(1+($V165*(('Traffic Data'!AG84*$T165*$U165)/(($I165/2)*$S165))^$W165))</f>
        <v>22.330345809069733</v>
      </c>
      <c r="AV165" s="401">
        <f>$R165/(1+($V165*(('Traffic Data'!AH84*$T165*$U165)/(($I165/2)*$S165))^$W165))</f>
        <v>20.488499824138039</v>
      </c>
      <c r="AW165" s="372">
        <f>$R165/(1+($V165*(('Traffic Data'!AI84*$T165*$U165)/(($I165/2)*$S165))^$W165))</f>
        <v>18.743886289291154</v>
      </c>
      <c r="AX165" s="404">
        <f>$R165/(1+($V165*(('Traffic Data'!J84*(0.67/14))/(($I165)*$S165))^$W165))</f>
        <v>59.099997450982599</v>
      </c>
      <c r="AY165" s="401">
        <f>$R165/(1+($V165*(('Traffic Data'!J84*(0.67/14))/(($I165)*$S165))^$W165))</f>
        <v>59.099997450982599</v>
      </c>
      <c r="AZ165" s="401">
        <f>$R165/(1+($V165*(('Traffic Data'!K84*(0.67/14))/(($I165)*$S165))^$W165))</f>
        <v>59.09999677233408</v>
      </c>
      <c r="BA165" s="401">
        <f>$R165/(1+($V165*(('Traffic Data'!L84*(0.67/14))/(($I165)*$S165))^$W165))</f>
        <v>59.099995559904748</v>
      </c>
      <c r="BB165" s="401">
        <f>$R165/(1+($V165*(('Traffic Data'!M84*(0.67/14))/(($I165)*$S165))^$W165))</f>
        <v>59.099993320197065</v>
      </c>
      <c r="BC165" s="401">
        <f>$R165/(1+($V165*(('Traffic Data'!N84*(0.67/14))/(($I165)*$S165))^$W165))</f>
        <v>59.09999010942154</v>
      </c>
      <c r="BD165" s="401">
        <f>$R165/(1+($V165*(('Traffic Data'!O84*(0.67/14))/(($I165)*$S165))^$W165))</f>
        <v>59.099985570453995</v>
      </c>
      <c r="BE165" s="401">
        <f>$R165/(1+($V165*(('Traffic Data'!P84*(0.67/14))/(($I165)*$S165))^$W165))</f>
        <v>59.099979238532114</v>
      </c>
      <c r="BF165" s="401">
        <f>$R165/(1+($V165*(('Traffic Data'!Q84*(0.67/14))/(($I165)*$S165))^$W165))</f>
        <v>59.099970501421737</v>
      </c>
      <c r="BG165" s="401">
        <f>$R165/(1+($V165*(('Traffic Data'!R84*(0.67/14))/(($I165)*$S165))^$W165))</f>
        <v>59.099959209499573</v>
      </c>
      <c r="BH165" s="401">
        <f>$R165/(1+($V165*(('Traffic Data'!S84*(0.67/14))/(($I165)*$S165))^$W165))</f>
        <v>59.09994416548831</v>
      </c>
      <c r="BI165" s="401">
        <f>$R165/(1+($V165*(('Traffic Data'!T84*(0.67/14))/(($I165)*$S165))^$W165))</f>
        <v>59.099924300834715</v>
      </c>
      <c r="BJ165" s="401">
        <f>$R165/(1+($V165*(('Traffic Data'!U84*(0.67/14))/(($I165)*$S165))^$W165))</f>
        <v>59.099898287463276</v>
      </c>
      <c r="BK165" s="401">
        <f>$R165/(1+($V165*(('Traffic Data'!V84*(0.67/14))/(($I165)*$S165))^$W165))</f>
        <v>59.099864465464535</v>
      </c>
      <c r="BL165" s="401">
        <f>$R165/(1+($V165*(('Traffic Data'!W84*(0.67/14))/(($I165)*$S165))^$W165))</f>
        <v>59.099833226124424</v>
      </c>
      <c r="BM165" s="401">
        <f>$R165/(1+($V165*(('Traffic Data'!X84*(0.67/14))/(($I165)*$S165))^$W165))</f>
        <v>59.099805066932667</v>
      </c>
      <c r="BN165" s="401">
        <f>$R165/(1+($V165*(('Traffic Data'!Y84*(0.67/14))/(($I165)*$S165))^$W165))</f>
        <v>59.099772698626936</v>
      </c>
      <c r="BO165" s="401">
        <f>$R165/(1+($V165*(('Traffic Data'!Z84*(0.67/14))/(($I165)*$S165))^$W165))</f>
        <v>59.099735570962729</v>
      </c>
      <c r="BP165" s="401">
        <f>$R165/(1+($V165*(('Traffic Data'!AA84*(0.67/14))/(($I165)*$S165))^$W165))</f>
        <v>59.099693062844011</v>
      </c>
      <c r="BQ165" s="401">
        <f>$R165/(1+($V165*(('Traffic Data'!AB84*(0.67/14))/(($I165)*$S165))^$W165))</f>
        <v>59.099644510824575</v>
      </c>
      <c r="BR165" s="401">
        <f>$R165/(1+($V165*(('Traffic Data'!AC84*(0.67/14))/(($I165)*$S165))^$W165))</f>
        <v>59.099589141339081</v>
      </c>
      <c r="BS165" s="401">
        <f>$R165/(1+($V165*(('Traffic Data'!AD84*(0.67/14))/(($I165)*$S165))^$W165))</f>
        <v>59.099526140789145</v>
      </c>
      <c r="BT165" s="401">
        <f>$R165/(1+($V165*(('Traffic Data'!AE84*(0.67/14))/(($I165)*$S165))^$W165))</f>
        <v>59.099454575469693</v>
      </c>
      <c r="BU165" s="401">
        <f>$R165/(1+($V165*(('Traffic Data'!AF84*(0.67/14))/(($I165)*$S165))^$W165))</f>
        <v>59.099373408681473</v>
      </c>
      <c r="BV165" s="401">
        <f>$R165/(1+($V165*(('Traffic Data'!AG84*(0.67/14))/(($I165)*$S165))^$W165))</f>
        <v>59.099281547624898</v>
      </c>
      <c r="BW165" s="645">
        <f>$R165/(1+($V165*(('Traffic Data'!AH84*(0.67/14))/(($I165)*$S165))^$W165))</f>
        <v>59.099177739097769</v>
      </c>
    </row>
    <row r="166" spans="1:75" ht="21.95" customHeight="1" x14ac:dyDescent="0.2">
      <c r="A166" s="642"/>
      <c r="C166" s="277" t="s">
        <v>288</v>
      </c>
      <c r="D166" s="277" t="s">
        <v>323</v>
      </c>
      <c r="E166" s="277" t="s">
        <v>348</v>
      </c>
      <c r="F166" s="590">
        <f>'Traffic Data'!CM85</f>
        <v>0.83333333333333337</v>
      </c>
      <c r="G166" s="590">
        <f>'Traffic Data'!CN85</f>
        <v>0.88</v>
      </c>
      <c r="H166" s="591">
        <f>'Traffic Data'!G85</f>
        <v>30</v>
      </c>
      <c r="I166" s="591">
        <v>4</v>
      </c>
      <c r="J166" s="591">
        <f t="shared" si="14"/>
        <v>37</v>
      </c>
      <c r="K166" s="581">
        <v>0</v>
      </c>
      <c r="L166" s="581">
        <v>5</v>
      </c>
      <c r="M166" s="591">
        <v>0</v>
      </c>
      <c r="N166" s="581">
        <v>3.6</v>
      </c>
      <c r="O166" s="581">
        <v>1.6</v>
      </c>
      <c r="P166" s="581">
        <v>0</v>
      </c>
      <c r="Q166" s="581">
        <v>0</v>
      </c>
      <c r="R166" s="255">
        <f t="shared" si="15"/>
        <v>26.799999999999997</v>
      </c>
      <c r="S166" s="582">
        <f>M$28*G166*F166</f>
        <v>1246.6666666666667</v>
      </c>
      <c r="T166" s="583">
        <v>0.12</v>
      </c>
      <c r="U166" s="584">
        <v>0.65</v>
      </c>
      <c r="V166" s="598">
        <f t="shared" si="16"/>
        <v>0.05</v>
      </c>
      <c r="W166" s="229">
        <v>10</v>
      </c>
      <c r="X166" s="405">
        <f>$R166/(1+($V166*(('Traffic Data'!J85*$T166*$U166)/(($I166/2)*$S166))^$W166))</f>
        <v>26.799999999999567</v>
      </c>
      <c r="Y166" s="375">
        <f>$R166/(1+($V166*(('Traffic Data'!K85*$T166*$U166)/(($I166/2)*$S166))^$W166))</f>
        <v>26.799999999999219</v>
      </c>
      <c r="Z166" s="375">
        <f>$R166/(1+($V166*(('Traffic Data'!L85*$T166*$U166)/(($I166/2)*$S166))^$W166))</f>
        <v>26.799999999998366</v>
      </c>
      <c r="AA166" s="375">
        <f>$R166/(1+($V166*(('Traffic Data'!M85*$T166*$U166)/(($I166/2)*$S166))^$W166))</f>
        <v>26.799999999995961</v>
      </c>
      <c r="AB166" s="375">
        <f>$R166/(1+($V166*(('Traffic Data'!N85*$T166*$U166)/(($I166/2)*$S166))^$W166))</f>
        <v>26.799999999990757</v>
      </c>
      <c r="AC166" s="375">
        <f>$R166/(1+($V166*(('Traffic Data'!O85*$T166*$U166)/(($I166/2)*$S166))^$W166))</f>
        <v>26.799999999980091</v>
      </c>
      <c r="AD166" s="375">
        <f>$R166/(1+($V166*(('Traffic Data'!P85*$T166*$U166)/(($I166/2)*$S166))^$W166))</f>
        <v>26.799999999959471</v>
      </c>
      <c r="AE166" s="375">
        <f>$R166/(1+($V166*(('Traffic Data'!Q85*$T166*$U166)/(($I166/2)*$S166))^$W166))</f>
        <v>26.799999999921233</v>
      </c>
      <c r="AF166" s="375">
        <f>$R166/(1+($V166*(('Traffic Data'!R85*$T166*$U166)/(($I166/2)*$S166))^$W166))</f>
        <v>26.799999999860773</v>
      </c>
      <c r="AG166" s="375">
        <f>$R166/(1+($V166*(('Traffic Data'!S85*$T166*$U166)/(($I166/2)*$S166))^$W166))</f>
        <v>26.799999999761447</v>
      </c>
      <c r="AH166" s="375">
        <f>$R166/(1+($V166*(('Traffic Data'!T85*$T166*$U166)/(($I166/2)*$S166))^$W166))</f>
        <v>26.799999999602182</v>
      </c>
      <c r="AI166" s="375">
        <f>$R166/(1+($V166*(('Traffic Data'!U85*$T166*$U166)/(($I166/2)*$S166))^$W166))</f>
        <v>26.799999999352895</v>
      </c>
      <c r="AJ166" s="375">
        <f>$R166/(1+($V166*(('Traffic Data'!V85*$T166*$U166)/(($I166/2)*$S166))^$W166))</f>
        <v>26.799999998969248</v>
      </c>
      <c r="AK166" s="375">
        <f>$R166/(1+($V166*(('Traffic Data'!W85*$T166*$U166)/(($I166/2)*$S166))^$W166))</f>
        <v>26.799999998573885</v>
      </c>
      <c r="AL166" s="375">
        <f>$R166/(1+($V166*(('Traffic Data'!X85*$T166*$U166)/(($I166/2)*$S166))^$W166))</f>
        <v>26.799999998132481</v>
      </c>
      <c r="AM166" s="375">
        <f>$R166/(1+($V166*(('Traffic Data'!Y85*$T166*$U166)/(($I166/2)*$S166))^$W166))</f>
        <v>26.799999997571717</v>
      </c>
      <c r="AN166" s="375">
        <f>$R166/(1+($V166*(('Traffic Data'!Z85*$T166*$U166)/(($I166/2)*$S166))^$W166))</f>
        <v>26.799999996863708</v>
      </c>
      <c r="AO166" s="375">
        <f>$R166/(1+($V166*(('Traffic Data'!AA85*$T166*$U166)/(($I166/2)*$S166))^$W166))</f>
        <v>26.79999999597397</v>
      </c>
      <c r="AP166" s="375">
        <f>$R166/(1+($V166*(('Traffic Data'!AB85*$T166*$U166)/(($I166/2)*$S166))^$W166))</f>
        <v>26.799999994864507</v>
      </c>
      <c r="AQ166" s="375">
        <f>$R166/(1+($V166*(('Traffic Data'!AC85*$T166*$U166)/(($I166/2)*$S166))^$W166))</f>
        <v>26.799999993483365</v>
      </c>
      <c r="AR166" s="375">
        <f>$R166/(1+($V166*(('Traffic Data'!AD85*$T166*$U166)/(($I166/2)*$S166))^$W166))</f>
        <v>26.799999991781061</v>
      </c>
      <c r="AS166" s="375">
        <f>$R166/(1+($V166*(('Traffic Data'!AE85*$T166*$U166)/(($I166/2)*$S166))^$W166))</f>
        <v>26.799999989688505</v>
      </c>
      <c r="AT166" s="375">
        <f>$R166/(1+($V166*(('Traffic Data'!AF85*$T166*$U166)/(($I166/2)*$S166))^$W166))</f>
        <v>26.799999987125041</v>
      </c>
      <c r="AU166" s="375">
        <f>$R166/(1+($V166*(('Traffic Data'!AG85*$T166*$U166)/(($I166/2)*$S166))^$W166))</f>
        <v>26.799999984005353</v>
      </c>
      <c r="AV166" s="375">
        <f>$R166/(1+($V166*(('Traffic Data'!AH85*$T166*$U166)/(($I166/2)*$S166))^$W166))</f>
        <v>26.799999980221095</v>
      </c>
      <c r="AW166" s="376">
        <f>$R166/(1+($V166*(('Traffic Data'!AI85*$T166*$U166)/(($I166/2)*$S166))^$W166))</f>
        <v>26.799999975637043</v>
      </c>
      <c r="AX166" s="400">
        <f>$R166/(1+($V166*(('Traffic Data'!J85*(0.67/14))/(($I166)*$S166))^$W166))</f>
        <v>26.799999999999997</v>
      </c>
      <c r="AY166" s="375">
        <f>$R166/(1+($V166*(('Traffic Data'!J85*(0.67/14))/(($I166)*$S166))^$W166))</f>
        <v>26.799999999999997</v>
      </c>
      <c r="AZ166" s="375">
        <f>$R166/(1+($V166*(('Traffic Data'!K85*(0.67/14))/(($I166)*$S166))^$W166))</f>
        <v>26.799999999999997</v>
      </c>
      <c r="BA166" s="375">
        <f>$R166/(1+($V166*(('Traffic Data'!L85*(0.67/14))/(($I166)*$S166))^$W166))</f>
        <v>26.799999999999997</v>
      </c>
      <c r="BB166" s="375">
        <f>$R166/(1+($V166*(('Traffic Data'!M85*(0.67/14))/(($I166)*$S166))^$W166))</f>
        <v>26.799999999999997</v>
      </c>
      <c r="BC166" s="375">
        <f>$R166/(1+($V166*(('Traffic Data'!N85*(0.67/14))/(($I166)*$S166))^$W166))</f>
        <v>26.799999999999997</v>
      </c>
      <c r="BD166" s="375">
        <f>$R166/(1+($V166*(('Traffic Data'!O85*(0.67/14))/(($I166)*$S166))^$W166))</f>
        <v>26.799999999999997</v>
      </c>
      <c r="BE166" s="375">
        <f>$R166/(1+($V166*(('Traffic Data'!P85*(0.67/14))/(($I166)*$S166))^$W166))</f>
        <v>26.799999999999997</v>
      </c>
      <c r="BF166" s="375">
        <f>$R166/(1+($V166*(('Traffic Data'!Q85*(0.67/14))/(($I166)*$S166))^$W166))</f>
        <v>26.799999999999997</v>
      </c>
      <c r="BG166" s="375">
        <f>$R166/(1+($V166*(('Traffic Data'!R85*(0.67/14))/(($I166)*$S166))^$W166))</f>
        <v>26.799999999999997</v>
      </c>
      <c r="BH166" s="375">
        <f>$R166/(1+($V166*(('Traffic Data'!S85*(0.67/14))/(($I166)*$S166))^$W166))</f>
        <v>26.799999999999997</v>
      </c>
      <c r="BI166" s="375">
        <f>$R166/(1+($V166*(('Traffic Data'!T85*(0.67/14))/(($I166)*$S166))^$W166))</f>
        <v>26.799999999999997</v>
      </c>
      <c r="BJ166" s="375">
        <f>$R166/(1+($V166*(('Traffic Data'!U85*(0.67/14))/(($I166)*$S166))^$W166))</f>
        <v>26.79999999999999</v>
      </c>
      <c r="BK166" s="375">
        <f>$R166/(1+($V166*(('Traffic Data'!V85*(0.67/14))/(($I166)*$S166))^$W166))</f>
        <v>26.79999999999999</v>
      </c>
      <c r="BL166" s="375">
        <f>$R166/(1+($V166*(('Traffic Data'!W85*(0.67/14))/(($I166)*$S166))^$W166))</f>
        <v>26.799999999999986</v>
      </c>
      <c r="BM166" s="375">
        <f>$R166/(1+($V166*(('Traffic Data'!X85*(0.67/14))/(($I166)*$S166))^$W166))</f>
        <v>26.799999999999986</v>
      </c>
      <c r="BN166" s="375">
        <f>$R166/(1+($V166*(('Traffic Data'!Y85*(0.67/14))/(($I166)*$S166))^$W166))</f>
        <v>26.799999999999979</v>
      </c>
      <c r="BO166" s="375">
        <f>$R166/(1+($V166*(('Traffic Data'!Z85*(0.67/14))/(($I166)*$S166))^$W166))</f>
        <v>26.799999999999972</v>
      </c>
      <c r="BP166" s="375">
        <f>$R166/(1+($V166*(('Traffic Data'!AA85*(0.67/14))/(($I166)*$S166))^$W166))</f>
        <v>26.799999999999969</v>
      </c>
      <c r="BQ166" s="375">
        <f>$R166/(1+($V166*(('Traffic Data'!AB85*(0.67/14))/(($I166)*$S166))^$W166))</f>
        <v>26.799999999999962</v>
      </c>
      <c r="BR166" s="375">
        <f>$R166/(1+($V166*(('Traffic Data'!AC85*(0.67/14))/(($I166)*$S166))^$W166))</f>
        <v>26.799999999999951</v>
      </c>
      <c r="BS166" s="375">
        <f>$R166/(1+($V166*(('Traffic Data'!AD85*(0.67/14))/(($I166)*$S166))^$W166))</f>
        <v>26.799999999999937</v>
      </c>
      <c r="BT166" s="375">
        <f>$R166/(1+($V166*(('Traffic Data'!AE85*(0.67/14))/(($I166)*$S166))^$W166))</f>
        <v>26.799999999999919</v>
      </c>
      <c r="BU166" s="375">
        <f>$R166/(1+($V166*(('Traffic Data'!AF85*(0.67/14))/(($I166)*$S166))^$W166))</f>
        <v>26.799999999999901</v>
      </c>
      <c r="BV166" s="375">
        <f>$R166/(1+($V166*(('Traffic Data'!AG85*(0.67/14))/(($I166)*$S166))^$W166))</f>
        <v>26.79999999999988</v>
      </c>
      <c r="BW166" s="649">
        <f>$R166/(1+($V166*(('Traffic Data'!AH85*(0.67/14))/(($I166)*$S166))^$W166))</f>
        <v>26.799999999999848</v>
      </c>
    </row>
    <row r="167" spans="1:75" ht="21.95" customHeight="1" x14ac:dyDescent="0.2">
      <c r="A167" s="642"/>
      <c r="C167" s="220" t="s">
        <v>340</v>
      </c>
      <c r="D167" s="220" t="s">
        <v>335</v>
      </c>
      <c r="E167" s="220" t="s">
        <v>323</v>
      </c>
      <c r="F167" s="596">
        <f>'Traffic Data'!CM86</f>
        <v>0.83333333333333337</v>
      </c>
      <c r="G167" s="596">
        <f>'Traffic Data'!CN86</f>
        <v>0.88</v>
      </c>
      <c r="H167" s="591">
        <f>'Traffic Data'!G86</f>
        <v>40</v>
      </c>
      <c r="I167" s="597">
        <v>2</v>
      </c>
      <c r="J167" s="591">
        <f t="shared" si="14"/>
        <v>47</v>
      </c>
      <c r="K167" s="591">
        <v>1.3</v>
      </c>
      <c r="L167" s="591">
        <v>2.5</v>
      </c>
      <c r="M167" s="597">
        <v>0</v>
      </c>
      <c r="N167" s="581">
        <v>0</v>
      </c>
      <c r="O167" s="581">
        <v>0</v>
      </c>
      <c r="P167" s="581">
        <v>0</v>
      </c>
      <c r="Q167" s="581">
        <v>0</v>
      </c>
      <c r="R167" s="255">
        <f t="shared" si="15"/>
        <v>43.2</v>
      </c>
      <c r="S167" s="582">
        <f>F167*G167*N25</f>
        <v>586.66666666666674</v>
      </c>
      <c r="T167" s="583">
        <v>0.12</v>
      </c>
      <c r="U167" s="584">
        <v>0.65</v>
      </c>
      <c r="V167" s="579">
        <f t="shared" ref="V167:V174" si="17">$E$31</f>
        <v>0.2</v>
      </c>
      <c r="W167" s="229">
        <v>10</v>
      </c>
      <c r="X167" s="400">
        <f>$R167/(1+($V167*(('Traffic Data'!J86*$T167*$U167)/(($I167/2)*$S167))^$W167))</f>
        <v>43.2</v>
      </c>
      <c r="Y167" s="401">
        <f>$R167/(1+($V167*(('Traffic Data'!K86*$T167*$U167)/(($I167/2)*$S167))^$W167))</f>
        <v>43.199990330030204</v>
      </c>
      <c r="Z167" s="401">
        <f>$R167/(1+($V167*(('Traffic Data'!L86*$T167*$U167)/(($I167/2)*$S167))^$W167))</f>
        <v>43.199979760255054</v>
      </c>
      <c r="AA167" s="401">
        <f>$R167/(1+($V167*(('Traffic Data'!M86*$T167*$U167)/(($I167/2)*$S167))^$W167))</f>
        <v>43.199950014587102</v>
      </c>
      <c r="AB167" s="401">
        <f>$R167/(1+($V167*(('Traffic Data'!N86*$T167*$U167)/(($I167/2)*$S167))^$W167))</f>
        <v>43.199885444897205</v>
      </c>
      <c r="AC167" s="401">
        <f>$R167/(1+($V167*(('Traffic Data'!O86*$T167*$U167)/(($I167/2)*$S167))^$W167))</f>
        <v>43.199753237319761</v>
      </c>
      <c r="AD167" s="401">
        <f>$R167/(1+($V167*(('Traffic Data'!P86*$T167*$U167)/(($I167/2)*$S167))^$W167))</f>
        <v>43.199497603129608</v>
      </c>
      <c r="AE167" s="401">
        <f>$R167/(1+($V167*(('Traffic Data'!Q86*$T167*$U167)/(($I167/2)*$S167))^$W167))</f>
        <v>43.19902363971034</v>
      </c>
      <c r="AF167" s="401">
        <f>$R167/(1+($V167*(('Traffic Data'!R86*$T167*$U167)/(($I167/2)*$S167))^$W167))</f>
        <v>43.198274180462398</v>
      </c>
      <c r="AG167" s="401">
        <f>$R167/(1+($V167*(('Traffic Data'!S86*$T167*$U167)/(($I167/2)*$S167))^$W167))</f>
        <v>43.19704302831186</v>
      </c>
      <c r="AH167" s="401">
        <f>$R167/(1+($V167*(('Traffic Data'!T86*$T167*$U167)/(($I167/2)*$S167))^$W167))</f>
        <v>43.195069012007146</v>
      </c>
      <c r="AI167" s="401">
        <f>$R167/(1+($V167*(('Traffic Data'!U86*$T167*$U167)/(($I167/2)*$S167))^$W167))</f>
        <v>43.191979721263735</v>
      </c>
      <c r="AJ167" s="401">
        <f>$R167/(1+($V167*(('Traffic Data'!V86*$T167*$U167)/(($I167/2)*$S167))^$W167))</f>
        <v>43.18722613893847</v>
      </c>
      <c r="AK167" s="401">
        <f>$R167/(1+($V167*(('Traffic Data'!W86*$T167*$U167)/(($I167/2)*$S167))^$W167))</f>
        <v>43.182328446363329</v>
      </c>
      <c r="AL167" s="401">
        <f>$R167/(1+($V167*(('Traffic Data'!X86*$T167*$U167)/(($I167/2)*$S167))^$W167))</f>
        <v>43.176861788383917</v>
      </c>
      <c r="AM167" s="401">
        <f>$R167/(1+($V167*(('Traffic Data'!Y86*$T167*$U167)/(($I167/2)*$S167))^$W167))</f>
        <v>43.169918825549892</v>
      </c>
      <c r="AN167" s="401">
        <f>$R167/(1+($V167*(('Traffic Data'!Z86*$T167*$U167)/(($I167/2)*$S167))^$W167))</f>
        <v>43.161156026624681</v>
      </c>
      <c r="AO167" s="401">
        <f>$R167/(1+($V167*(('Traffic Data'!AA86*$T167*$U167)/(($I167/2)*$S167))^$W167))</f>
        <v>43.150149020332186</v>
      </c>
      <c r="AP167" s="401">
        <f>$R167/(1+($V167*(('Traffic Data'!AB86*$T167*$U167)/(($I167/2)*$S167))^$W167))</f>
        <v>43.136431732267205</v>
      </c>
      <c r="AQ167" s="401">
        <f>$R167/(1+($V167*(('Traffic Data'!AC86*$T167*$U167)/(($I167/2)*$S167))^$W167))</f>
        <v>43.119367470146734</v>
      </c>
      <c r="AR167" s="401">
        <f>$R167/(1+($V167*(('Traffic Data'!AD86*$T167*$U167)/(($I167/2)*$S167))^$W167))</f>
        <v>43.098353906779693</v>
      </c>
      <c r="AS167" s="401">
        <f>$R167/(1+($V167*(('Traffic Data'!AE86*$T167*$U167)/(($I167/2)*$S167))^$W167))</f>
        <v>43.072550992571571</v>
      </c>
      <c r="AT167" s="401">
        <f>$R167/(1+($V167*(('Traffic Data'!AF86*$T167*$U167)/(($I167/2)*$S167))^$W167))</f>
        <v>43.040983438076388</v>
      </c>
      <c r="AU167" s="401">
        <f>$R167/(1+($V167*(('Traffic Data'!AG86*$T167*$U167)/(($I167/2)*$S167))^$W167))</f>
        <v>43.002628709380055</v>
      </c>
      <c r="AV167" s="401">
        <f>$R167/(1+($V167*(('Traffic Data'!AH86*$T167*$U167)/(($I167/2)*$S167))^$W167))</f>
        <v>42.95619509044262</v>
      </c>
      <c r="AW167" s="372">
        <f>$R167/(1+($V167*(('Traffic Data'!AI86*$T167*$U167)/(($I167/2)*$S167))^$W167))</f>
        <v>42.900081988991758</v>
      </c>
      <c r="AX167" s="405">
        <f>$R167/(1+($V167*(('Traffic Data'!J86*(0.67/14))/(($I167)*$S167))^$W167))</f>
        <v>43.2</v>
      </c>
      <c r="AY167" s="401">
        <f>$R167/(1+($V167*(('Traffic Data'!J86*(0.67/14))/(($I167)*$S167))^$W167))</f>
        <v>43.2</v>
      </c>
      <c r="AZ167" s="401">
        <f>$R167/(1+($V167*(('Traffic Data'!K86*(0.67/14))/(($I167)*$S167))^$W167))</f>
        <v>43.199999999928608</v>
      </c>
      <c r="BA167" s="401">
        <f>$R167/(1+($V167*(('Traffic Data'!L86*(0.67/14))/(($I167)*$S167))^$W167))</f>
        <v>43.199999999850576</v>
      </c>
      <c r="BB167" s="401">
        <f>$R167/(1+($V167*(('Traffic Data'!M86*(0.67/14))/(($I167)*$S167))^$W167))</f>
        <v>43.199999999630968</v>
      </c>
      <c r="BC167" s="401">
        <f>$R167/(1+($V167*(('Traffic Data'!N86*(0.67/14))/(($I167)*$S167))^$W167))</f>
        <v>43.199999999154265</v>
      </c>
      <c r="BD167" s="401">
        <f>$R167/(1+($V167*(('Traffic Data'!O86*(0.67/14))/(($I167)*$S167))^$W167))</f>
        <v>43.199999998178193</v>
      </c>
      <c r="BE167" s="401">
        <f>$R167/(1+($V167*(('Traffic Data'!P86*(0.67/14))/(($I167)*$S167))^$W167))</f>
        <v>43.199999996290863</v>
      </c>
      <c r="BF167" s="401">
        <f>$R167/(1+($V167*(('Traffic Data'!Q86*(0.67/14))/(($I167)*$S167))^$W167))</f>
        <v>43.199999992791561</v>
      </c>
      <c r="BG167" s="401">
        <f>$R167/(1+($V167*(('Traffic Data'!R86*(0.67/14))/(($I167)*$S167))^$W167))</f>
        <v>43.199999987258096</v>
      </c>
      <c r="BH167" s="401">
        <f>$R167/(1+($V167*(('Traffic Data'!S86*(0.67/14))/(($I167)*$S167))^$W167))</f>
        <v>43.199999978167753</v>
      </c>
      <c r="BI167" s="401">
        <f>$R167/(1+($V167*(('Traffic Data'!T86*(0.67/14))/(($I167)*$S167))^$W167))</f>
        <v>43.199999963591303</v>
      </c>
      <c r="BJ167" s="401">
        <f>$R167/(1+($V167*(('Traffic Data'!U86*(0.67/14))/(($I167)*$S167))^$W167))</f>
        <v>43.199999940776813</v>
      </c>
      <c r="BK167" s="401">
        <f>$R167/(1+($V167*(('Traffic Data'!V86*(0.67/14))/(($I167)*$S167))^$W167))</f>
        <v>43.199999905665116</v>
      </c>
      <c r="BL167" s="401">
        <f>$R167/(1+($V167*(('Traffic Data'!W86*(0.67/14))/(($I167)*$S167))^$W167))</f>
        <v>43.199999869480891</v>
      </c>
      <c r="BM167" s="401">
        <f>$R167/(1+($V167*(('Traffic Data'!X86*(0.67/14))/(($I167)*$S167))^$W167))</f>
        <v>43.199999829083445</v>
      </c>
      <c r="BN167" s="401">
        <f>$R167/(1+($V167*(('Traffic Data'!Y86*(0.67/14))/(($I167)*$S167))^$W167))</f>
        <v>43.199999777761661</v>
      </c>
      <c r="BO167" s="401">
        <f>$R167/(1+($V167*(('Traffic Data'!Z86*(0.67/14))/(($I167)*$S167))^$W167))</f>
        <v>43.199999712964242</v>
      </c>
      <c r="BP167" s="401">
        <f>$R167/(1+($V167*(('Traffic Data'!AA86*(0.67/14))/(($I167)*$S167))^$W167))</f>
        <v>43.19999963153451</v>
      </c>
      <c r="BQ167" s="401">
        <f>$R167/(1+($V167*(('Traffic Data'!AB86*(0.67/14))/(($I167)*$S167))^$W167))</f>
        <v>43.199999529995971</v>
      </c>
      <c r="BR167" s="401">
        <f>$R167/(1+($V167*(('Traffic Data'!AC86*(0.67/14))/(($I167)*$S167))^$W167))</f>
        <v>43.19999940359218</v>
      </c>
      <c r="BS167" s="401">
        <f>$R167/(1+($V167*(('Traffic Data'!AD86*(0.67/14))/(($I167)*$S167))^$W167))</f>
        <v>43.199999247796356</v>
      </c>
      <c r="BT167" s="401">
        <f>$R167/(1+($V167*(('Traffic Data'!AE86*(0.67/14))/(($I167)*$S167))^$W167))</f>
        <v>43.199999056284071</v>
      </c>
      <c r="BU167" s="401">
        <f>$R167/(1+($V167*(('Traffic Data'!AF86*(0.67/14))/(($I167)*$S167))^$W167))</f>
        <v>43.199998821673638</v>
      </c>
      <c r="BV167" s="401">
        <f>$R167/(1+($V167*(('Traffic Data'!AG86*(0.67/14))/(($I167)*$S167))^$W167))</f>
        <v>43.199998536157359</v>
      </c>
      <c r="BW167" s="645">
        <f>$R167/(1+($V167*(('Traffic Data'!AH86*(0.67/14))/(($I167)*$S167))^$W167))</f>
        <v>43.199998189818778</v>
      </c>
    </row>
    <row r="168" spans="1:75" ht="21.95" customHeight="1" x14ac:dyDescent="0.2">
      <c r="A168" s="642"/>
      <c r="C168" s="277" t="s">
        <v>357</v>
      </c>
      <c r="D168" s="277" t="s">
        <v>338</v>
      </c>
      <c r="E168" s="277" t="s">
        <v>323</v>
      </c>
      <c r="F168" s="590">
        <f>'Traffic Data'!CM87</f>
        <v>0.83333333333333337</v>
      </c>
      <c r="G168" s="590">
        <f>'Traffic Data'!CN87</f>
        <v>0.88</v>
      </c>
      <c r="H168" s="591">
        <f>'Traffic Data'!G87</f>
        <v>30</v>
      </c>
      <c r="I168" s="591">
        <v>2</v>
      </c>
      <c r="J168" s="591">
        <f t="shared" si="14"/>
        <v>37</v>
      </c>
      <c r="K168" s="581">
        <v>2.6</v>
      </c>
      <c r="L168" s="581">
        <v>2.5</v>
      </c>
      <c r="M168" s="591">
        <v>0</v>
      </c>
      <c r="N168" s="581">
        <v>0</v>
      </c>
      <c r="O168" s="581">
        <v>0</v>
      </c>
      <c r="P168" s="581">
        <v>0</v>
      </c>
      <c r="Q168" s="581">
        <v>0</v>
      </c>
      <c r="R168" s="255">
        <f t="shared" si="15"/>
        <v>31.9</v>
      </c>
      <c r="S168" s="592">
        <f>F168*G168*N$27</f>
        <v>586.66666666666674</v>
      </c>
      <c r="T168" s="593">
        <v>0.12</v>
      </c>
      <c r="U168" s="594">
        <v>0.65</v>
      </c>
      <c r="V168" s="598">
        <f t="shared" si="17"/>
        <v>0.2</v>
      </c>
      <c r="W168" s="595">
        <v>10</v>
      </c>
      <c r="X168" s="405">
        <f>$R168/(1+($V168*(('Traffic Data'!J87*$T168*$U168)/(($I168/2)*$S168))^$W168))</f>
        <v>31.89597447271742</v>
      </c>
      <c r="Y168" s="375">
        <f>$R168/(1+($V168*(('Traffic Data'!K87*$T168*$U168)/(($I168/2)*$S168))^$W168))</f>
        <v>31.895386397882593</v>
      </c>
      <c r="Z168" s="375">
        <f>$R168/(1+($V168*(('Traffic Data'!L87*$T168*$U168)/(($I168/2)*$S168))^$W168))</f>
        <v>31.894185286739393</v>
      </c>
      <c r="AA168" s="375">
        <f>$R168/(1+($V168*(('Traffic Data'!M87*$T168*$U168)/(($I168/2)*$S168))^$W168))</f>
        <v>31.892078650684784</v>
      </c>
      <c r="AB168" s="375">
        <f>$R168/(1+($V168*(('Traffic Data'!N87*$T168*$U168)/(($I168/2)*$S168))^$W168))</f>
        <v>31.88930731133809</v>
      </c>
      <c r="AC168" s="375">
        <f>$R168/(1+($V168*(('Traffic Data'!O87*$T168*$U168)/(($I168/2)*$S168))^$W168))</f>
        <v>31.885686476842388</v>
      </c>
      <c r="AD168" s="375">
        <f>$R168/(1+($V168*(('Traffic Data'!P87*$T168*$U168)/(($I168/2)*$S168))^$W168))</f>
        <v>31.881007933094075</v>
      </c>
      <c r="AE168" s="375">
        <f>$R168/(1+($V168*(('Traffic Data'!Q87*$T168*$U168)/(($I168/2)*$S168))^$W168))</f>
        <v>31.874972954449184</v>
      </c>
      <c r="AF168" s="375">
        <f>$R168/(1+($V168*(('Traffic Data'!R87*$T168*$U168)/(($I168/2)*$S168))^$W168))</f>
        <v>31.869828344256412</v>
      </c>
      <c r="AG168" s="375">
        <f>$R168/(1+($V168*(('Traffic Data'!S87*$T168*$U168)/(($I168/2)*$S168))^$W168))</f>
        <v>31.863751242752929</v>
      </c>
      <c r="AH168" s="375">
        <f>$R168/(1+($V168*(('Traffic Data'!T87*$T168*$U168)/(($I168/2)*$S168))^$W168))</f>
        <v>31.856594693279405</v>
      </c>
      <c r="AI168" s="375">
        <f>$R168/(1+($V168*(('Traffic Data'!U87*$T168*$U168)/(($I168/2)*$S168))^$W168))</f>
        <v>31.848195379185306</v>
      </c>
      <c r="AJ168" s="375">
        <f>$R168/(1+($V168*(('Traffic Data'!V87*$T168*$U168)/(($I168/2)*$S168))^$W168))</f>
        <v>31.838288419997181</v>
      </c>
      <c r="AK168" s="375">
        <f>$R168/(1+($V168*(('Traffic Data'!W87*$T168*$U168)/(($I168/2)*$S168))^$W168))</f>
        <v>31.831543198799192</v>
      </c>
      <c r="AL168" s="375">
        <f>$R168/(1+($V168*(('Traffic Data'!X87*$T168*$U168)/(($I168/2)*$S168))^$W168))</f>
        <v>31.824143432118834</v>
      </c>
      <c r="AM168" s="375">
        <f>$R168/(1+($V168*(('Traffic Data'!Y87*$T168*$U168)/(($I168/2)*$S168))^$W168))</f>
        <v>31.816033679455259</v>
      </c>
      <c r="AN168" s="375">
        <f>$R168/(1+($V168*(('Traffic Data'!Z87*$T168*$U168)/(($I168/2)*$S168))^$W168))</f>
        <v>31.807154522338521</v>
      </c>
      <c r="AO168" s="375">
        <f>$R168/(1+($V168*(('Traffic Data'!AA87*$T168*$U168)/(($I168/2)*$S168))^$W168))</f>
        <v>31.797372495361824</v>
      </c>
      <c r="AP168" s="375">
        <f>$R168/(1+($V168*(('Traffic Data'!AB87*$T168*$U168)/(($I168/2)*$S168))^$W168))</f>
        <v>31.786752785984007</v>
      </c>
      <c r="AQ168" s="375">
        <f>$R168/(1+($V168*(('Traffic Data'!AC87*$T168*$U168)/(($I168/2)*$S168))^$W168))</f>
        <v>31.775112203344161</v>
      </c>
      <c r="AR168" s="375">
        <f>$R168/(1+($V168*(('Traffic Data'!AD87*$T168*$U168)/(($I168/2)*$S168))^$W168))</f>
        <v>31.762461949675718</v>
      </c>
      <c r="AS168" s="375">
        <f>$R168/(1+($V168*(('Traffic Data'!AE87*$T168*$U168)/(($I168/2)*$S168))^$W168))</f>
        <v>31.748676495119984</v>
      </c>
      <c r="AT168" s="375">
        <f>$R168/(1+($V168*(('Traffic Data'!AF87*$T168*$U168)/(($I168/2)*$S168))^$W168))</f>
        <v>31.733559842314076</v>
      </c>
      <c r="AU168" s="375">
        <f>$R168/(1+($V168*(('Traffic Data'!AG87*$T168*$U168)/(($I168/2)*$S168))^$W168))</f>
        <v>31.717223968705103</v>
      </c>
      <c r="AV168" s="375">
        <f>$R168/(1+($V168*(('Traffic Data'!AH87*$T168*$U168)/(($I168/2)*$S168))^$W168))</f>
        <v>31.699469923924529</v>
      </c>
      <c r="AW168" s="376">
        <f>$R168/(1+($V168*(('Traffic Data'!AI87*$T168*$U168)/(($I168/2)*$S168))^$W168))</f>
        <v>31.68011430277004</v>
      </c>
      <c r="AX168" s="400">
        <f>$R168/(1+($V168*(('Traffic Data'!J87*(0.67/14))/(($I168)*$S168))^$W168))</f>
        <v>31.899999970276543</v>
      </c>
      <c r="AY168" s="375">
        <f>$R168/(1+($V168*(('Traffic Data'!J87*(0.67/14))/(($I168)*$S168))^$W168))</f>
        <v>31.899999970276543</v>
      </c>
      <c r="AZ168" s="375">
        <f>$R168/(1+($V168*(('Traffic Data'!K87*(0.67/14))/(($I168)*$S168))^$W168))</f>
        <v>31.899999965933727</v>
      </c>
      <c r="BA168" s="375">
        <f>$R168/(1+($V168*(('Traffic Data'!L87*(0.67/14))/(($I168)*$S168))^$W168))</f>
        <v>31.899999957063251</v>
      </c>
      <c r="BB168" s="375">
        <f>$R168/(1+($V168*(('Traffic Data'!M87*(0.67/14))/(($I168)*$S168))^$W168))</f>
        <v>31.899999941503655</v>
      </c>
      <c r="BC168" s="375">
        <f>$R168/(1+($V168*(('Traffic Data'!N87*(0.67/14))/(($I168)*$S168))^$W168))</f>
        <v>31.899999921031441</v>
      </c>
      <c r="BD168" s="375">
        <f>$R168/(1+($V168*(('Traffic Data'!O87*(0.67/14))/(($I168)*$S168))^$W168))</f>
        <v>31.89999989427854</v>
      </c>
      <c r="BE168" s="375">
        <f>$R168/(1+($V168*(('Traffic Data'!P87*(0.67/14))/(($I168)*$S168))^$W168))</f>
        <v>31.899999859701655</v>
      </c>
      <c r="BF168" s="375">
        <f>$R168/(1+($V168*(('Traffic Data'!Q87*(0.67/14))/(($I168)*$S168))^$W168))</f>
        <v>31.899999815085007</v>
      </c>
      <c r="BG168" s="375">
        <f>$R168/(1+($V168*(('Traffic Data'!R87*(0.67/14))/(($I168)*$S168))^$W168))</f>
        <v>31.899999777037518</v>
      </c>
      <c r="BH168" s="375">
        <f>$R168/(1+($V168*(('Traffic Data'!S87*(0.67/14))/(($I168)*$S168))^$W168))</f>
        <v>31.899999732077866</v>
      </c>
      <c r="BI168" s="375">
        <f>$R168/(1+($V168*(('Traffic Data'!T87*(0.67/14))/(($I168)*$S168))^$W168))</f>
        <v>31.899999679110248</v>
      </c>
      <c r="BJ168" s="375">
        <f>$R168/(1+($V168*(('Traffic Data'!U87*(0.67/14))/(($I168)*$S168))^$W168))</f>
        <v>31.899999616914211</v>
      </c>
      <c r="BK168" s="375">
        <f>$R168/(1+($V168*(('Traffic Data'!V87*(0.67/14))/(($I168)*$S168))^$W168))</f>
        <v>31.899999543512052</v>
      </c>
      <c r="BL168" s="375">
        <f>$R168/(1+($V168*(('Traffic Data'!W87*(0.67/14))/(($I168)*$S168))^$W168))</f>
        <v>31.899999493509537</v>
      </c>
      <c r="BM168" s="375">
        <f>$R168/(1+($V168*(('Traffic Data'!X87*(0.67/14))/(($I168)*$S168))^$W168))</f>
        <v>31.899999438630484</v>
      </c>
      <c r="BN168" s="375">
        <f>$R168/(1+($V168*(('Traffic Data'!Y87*(0.67/14))/(($I168)*$S168))^$W168))</f>
        <v>31.899999378456616</v>
      </c>
      <c r="BO168" s="375">
        <f>$R168/(1+($V168*(('Traffic Data'!Z87*(0.67/14))/(($I168)*$S168))^$W168))</f>
        <v>31.899999312538629</v>
      </c>
      <c r="BP168" s="375">
        <f>$R168/(1+($V168*(('Traffic Data'!AA87*(0.67/14))/(($I168)*$S168))^$W168))</f>
        <v>31.899999239875214</v>
      </c>
      <c r="BQ168" s="375">
        <f>$R168/(1+($V168*(('Traffic Data'!AB87*(0.67/14))/(($I168)*$S168))^$W168))</f>
        <v>31.899999160938641</v>
      </c>
      <c r="BR168" s="375">
        <f>$R168/(1+($V168*(('Traffic Data'!AC87*(0.67/14))/(($I168)*$S168))^$W168))</f>
        <v>31.899999074353271</v>
      </c>
      <c r="BS168" s="375">
        <f>$R168/(1+($V168*(('Traffic Data'!AD87*(0.67/14))/(($I168)*$S168))^$W168))</f>
        <v>31.899998980185782</v>
      </c>
      <c r="BT168" s="375">
        <f>$R168/(1+($V168*(('Traffic Data'!AE87*(0.67/14))/(($I168)*$S168))^$W168))</f>
        <v>31.899998877482499</v>
      </c>
      <c r="BU168" s="375">
        <f>$R168/(1+($V168*(('Traffic Data'!AF87*(0.67/14))/(($I168)*$S168))^$W168))</f>
        <v>31.899998764759058</v>
      </c>
      <c r="BV168" s="375">
        <f>$R168/(1+($V168*(('Traffic Data'!AG87*(0.67/14))/(($I168)*$S168))^$W168))</f>
        <v>31.899998642823206</v>
      </c>
      <c r="BW168" s="649">
        <f>$R168/(1+($V168*(('Traffic Data'!AH87*(0.67/14))/(($I168)*$S168))^$W168))</f>
        <v>31.899998510159186</v>
      </c>
    </row>
    <row r="169" spans="1:75" ht="21.95" customHeight="1" x14ac:dyDescent="0.2">
      <c r="A169" s="642"/>
      <c r="C169" s="116" t="s">
        <v>338</v>
      </c>
      <c r="D169" s="116" t="s">
        <v>282</v>
      </c>
      <c r="E169" s="116" t="s">
        <v>357</v>
      </c>
      <c r="F169" s="575">
        <f>'Traffic Data'!CM88</f>
        <v>0.83333333333333337</v>
      </c>
      <c r="G169" s="575">
        <f>'Traffic Data'!CN88</f>
        <v>0.9</v>
      </c>
      <c r="H169" s="146">
        <f>'Traffic Data'!G88</f>
        <v>55</v>
      </c>
      <c r="I169" s="146">
        <v>4</v>
      </c>
      <c r="J169" s="146">
        <f t="shared" si="14"/>
        <v>62</v>
      </c>
      <c r="K169" s="146">
        <v>0</v>
      </c>
      <c r="L169" s="146">
        <v>2.5</v>
      </c>
      <c r="M169" s="146">
        <v>0</v>
      </c>
      <c r="N169" s="146">
        <v>3.6</v>
      </c>
      <c r="O169" s="146">
        <v>0</v>
      </c>
      <c r="P169" s="146">
        <v>0</v>
      </c>
      <c r="Q169" s="146">
        <v>0</v>
      </c>
      <c r="R169" s="174">
        <f t="shared" si="15"/>
        <v>55.9</v>
      </c>
      <c r="S169" s="576">
        <f>F169*G169*M$22</f>
        <v>1575</v>
      </c>
      <c r="T169" s="577">
        <v>0.12</v>
      </c>
      <c r="U169" s="578">
        <v>0.65</v>
      </c>
      <c r="V169" s="579">
        <f t="shared" si="17"/>
        <v>0.2</v>
      </c>
      <c r="W169" s="228">
        <v>10</v>
      </c>
      <c r="X169" s="400">
        <f>$R169/(1+($V169*(('Traffic Data'!J88*$T169*$U169)/(($I169/2)*$S169))^$W169))</f>
        <v>55.89999031092723</v>
      </c>
      <c r="Y169" s="401">
        <f>$R169/(1+($V169*(('Traffic Data'!K88*$T169*$U169)/(($I169/2)*$S169))^$W169))</f>
        <v>55.899987126230656</v>
      </c>
      <c r="Z169" s="401">
        <f>$R169/(1+($V169*(('Traffic Data'!L88*$T169*$U169)/(($I169/2)*$S169))^$W169))</f>
        <v>55.899982643601014</v>
      </c>
      <c r="AA169" s="401">
        <f>$R169/(1+($V169*(('Traffic Data'!M88*$T169*$U169)/(($I169/2)*$S169))^$W169))</f>
        <v>55.899974541814309</v>
      </c>
      <c r="AB169" s="401">
        <f>$R169/(1+($V169*(('Traffic Data'!N88*$T169*$U169)/(($I169/2)*$S169))^$W169))</f>
        <v>55.899963180055515</v>
      </c>
      <c r="AC169" s="401">
        <f>$R169/(1+($V169*(('Traffic Data'!O88*$T169*$U169)/(($I169/2)*$S169))^$W169))</f>
        <v>55.899947434901584</v>
      </c>
      <c r="AD169" s="401">
        <f>$R169/(1+($V169*(('Traffic Data'!P88*$T169*$U169)/(($I169/2)*$S169))^$W169))</f>
        <v>55.899925884169683</v>
      </c>
      <c r="AE169" s="401">
        <f>$R169/(1+($V169*(('Traffic Data'!Q88*$T169*$U169)/(($I169/2)*$S169))^$W169))</f>
        <v>55.899896675024308</v>
      </c>
      <c r="AF169" s="401">
        <f>$R169/(1+($V169*(('Traffic Data'!R88*$T169*$U169)/(($I169/2)*$S169))^$W169))</f>
        <v>55.899852893582882</v>
      </c>
      <c r="AG169" s="401">
        <f>$R169/(1+($V169*(('Traffic Data'!S88*$T169*$U169)/(($I169/2)*$S169))^$W169))</f>
        <v>55.899793093538648</v>
      </c>
      <c r="AH169" s="401">
        <f>$R169/(1+($V169*(('Traffic Data'!T88*$T169*$U169)/(($I169/2)*$S169))^$W169))</f>
        <v>55.899712210031119</v>
      </c>
      <c r="AI169" s="401">
        <f>$R169/(1+($V169*(('Traffic Data'!U88*$T169*$U169)/(($I169/2)*$S169))^$W169))</f>
        <v>55.899603905138264</v>
      </c>
      <c r="AJ169" s="401">
        <f>$R169/(1+($V169*(('Traffic Data'!V88*$T169*$U169)/(($I169/2)*$S169))^$W169))</f>
        <v>55.89946011203655</v>
      </c>
      <c r="AK169" s="401">
        <f>$R169/(1+($V169*(('Traffic Data'!W88*$T169*$U169)/(($I169/2)*$S169))^$W169))</f>
        <v>55.899317897267252</v>
      </c>
      <c r="AL169" s="401">
        <f>$R169/(1+($V169*(('Traffic Data'!X88*$T169*$U169)/(($I169/2)*$S169))^$W169))</f>
        <v>55.89917794398319</v>
      </c>
      <c r="AM169" s="401">
        <f>$R169/(1+($V169*(('Traffic Data'!Y88*$T169*$U169)/(($I169/2)*$S169))^$W169))</f>
        <v>55.899012657530136</v>
      </c>
      <c r="AN169" s="401">
        <f>$R169/(1+($V169*(('Traffic Data'!Z88*$T169*$U169)/(($I169/2)*$S169))^$W169))</f>
        <v>55.898818040992687</v>
      </c>
      <c r="AO169" s="401">
        <f>$R169/(1+($V169*(('Traffic Data'!AA88*$T169*$U169)/(($I169/2)*$S169))^$W169))</f>
        <v>55.898589581962291</v>
      </c>
      <c r="AP169" s="401">
        <f>$R169/(1+($V169*(('Traffic Data'!AB88*$T169*$U169)/(($I169/2)*$S169))^$W169))</f>
        <v>55.898322092426035</v>
      </c>
      <c r="AQ169" s="401">
        <f>$R169/(1+($V169*(('Traffic Data'!AC88*$T169*$U169)/(($I169/2)*$S169))^$W169))</f>
        <v>55.898009818357338</v>
      </c>
      <c r="AR169" s="401">
        <f>$R169/(1+($V169*(('Traffic Data'!AD88*$T169*$U169)/(($I169/2)*$S169))^$W169))</f>
        <v>55.897646140733599</v>
      </c>
      <c r="AS169" s="401">
        <f>$R169/(1+($V169*(('Traffic Data'!AE88*$T169*$U169)/(($I169/2)*$S169))^$W169))</f>
        <v>55.897223711409815</v>
      </c>
      <c r="AT169" s="401">
        <f>$R169/(1+($V169*(('Traffic Data'!AF88*$T169*$U169)/(($I169/2)*$S169))^$W169))</f>
        <v>55.896734296175971</v>
      </c>
      <c r="AU169" s="401">
        <f>$R169/(1+($V169*(('Traffic Data'!AG88*$T169*$U169)/(($I169/2)*$S169))^$W169))</f>
        <v>55.896168499729342</v>
      </c>
      <c r="AV169" s="401">
        <f>$R169/(1+($V169*(('Traffic Data'!AH88*$T169*$U169)/(($I169/2)*$S169))^$W169))</f>
        <v>55.895515967253118</v>
      </c>
      <c r="AW169" s="372">
        <f>$R169/(1+($V169*(('Traffic Data'!AI88*$T169*$U169)/(($I169/2)*$S169))^$W169))</f>
        <v>55.894765161250419</v>
      </c>
      <c r="AX169" s="403">
        <f>$R169/(1+($V169*(('Traffic Data'!J88*(0.67/14))/(($I169)*$S169))^$W169))</f>
        <v>55.899999999928468</v>
      </c>
      <c r="AY169" s="401">
        <f>$R169/(1+($V169*(('Traffic Data'!J88*(0.67/14))/(($I169)*$S169))^$W169))</f>
        <v>55.899999999928468</v>
      </c>
      <c r="AZ169" s="401">
        <f>$R169/(1+($V169*(('Traffic Data'!K88*(0.67/14))/(($I169)*$S169))^$W169))</f>
        <v>55.899999999904956</v>
      </c>
      <c r="BA169" s="401">
        <f>$R169/(1+($V169*(('Traffic Data'!L88*(0.67/14))/(($I169)*$S169))^$W169))</f>
        <v>55.899999999871852</v>
      </c>
      <c r="BB169" s="401">
        <f>$R169/(1+($V169*(('Traffic Data'!M88*(0.67/14))/(($I169)*$S169))^$W169))</f>
        <v>55.899999999812053</v>
      </c>
      <c r="BC169" s="401">
        <f>$R169/(1+($V169*(('Traffic Data'!N88*(0.67/14))/(($I169)*$S169))^$W169))</f>
        <v>55.899999999728166</v>
      </c>
      <c r="BD169" s="401">
        <f>$R169/(1+($V169*(('Traffic Data'!O88*(0.67/14))/(($I169)*$S169))^$W169))</f>
        <v>55.899999999611914</v>
      </c>
      <c r="BE169" s="401">
        <f>$R169/(1+($V169*(('Traffic Data'!P88*(0.67/14))/(($I169)*$S169))^$W169))</f>
        <v>55.899999999452817</v>
      </c>
      <c r="BF169" s="401">
        <f>$R169/(1+($V169*(('Traffic Data'!Q88*(0.67/14))/(($I169)*$S169))^$W169))</f>
        <v>55.899999999237167</v>
      </c>
      <c r="BG169" s="401">
        <f>$R169/(1+($V169*(('Traffic Data'!R88*(0.67/14))/(($I169)*$S169))^$W169))</f>
        <v>55.899999998913934</v>
      </c>
      <c r="BH169" s="401">
        <f>$R169/(1+($V169*(('Traffic Data'!S88*(0.67/14))/(($I169)*$S169))^$W169))</f>
        <v>55.899999998472445</v>
      </c>
      <c r="BI169" s="401">
        <f>$R169/(1+($V169*(('Traffic Data'!T88*(0.67/14))/(($I169)*$S169))^$W169))</f>
        <v>55.899999997875284</v>
      </c>
      <c r="BJ169" s="401">
        <f>$R169/(1+($V169*(('Traffic Data'!U88*(0.67/14))/(($I169)*$S169))^$W169))</f>
        <v>55.899999997075689</v>
      </c>
      <c r="BK169" s="401">
        <f>$R169/(1+($V169*(('Traffic Data'!V88*(0.67/14))/(($I169)*$S169))^$W169))</f>
        <v>55.899999996014074</v>
      </c>
      <c r="BL169" s="401">
        <f>$R169/(1+($V169*(('Traffic Data'!W88*(0.67/14))/(($I169)*$S169))^$W169))</f>
        <v>55.899999994964105</v>
      </c>
      <c r="BM169" s="401">
        <f>$R169/(1+($V169*(('Traffic Data'!X88*(0.67/14))/(($I169)*$S169))^$W169))</f>
        <v>55.89999999393082</v>
      </c>
      <c r="BN169" s="401">
        <f>$R169/(1+($V169*(('Traffic Data'!Y88*(0.67/14))/(($I169)*$S169))^$W169))</f>
        <v>55.899999992710505</v>
      </c>
      <c r="BO169" s="401">
        <f>$R169/(1+($V169*(('Traffic Data'!Z88*(0.67/14))/(($I169)*$S169))^$W169))</f>
        <v>55.899999991273638</v>
      </c>
      <c r="BP169" s="401">
        <f>$R169/(1+($V169*(('Traffic Data'!AA88*(0.67/14))/(($I169)*$S169))^$W169))</f>
        <v>55.899999989586888</v>
      </c>
      <c r="BQ169" s="401">
        <f>$R169/(1+($V169*(('Traffic Data'!AB88*(0.67/14))/(($I169)*$S169))^$W169))</f>
        <v>55.899999987611956</v>
      </c>
      <c r="BR169" s="401">
        <f>$R169/(1+($V169*(('Traffic Data'!AC88*(0.67/14))/(($I169)*$S169))^$W169))</f>
        <v>55.899999985306337</v>
      </c>
      <c r="BS169" s="401">
        <f>$R169/(1+($V169*(('Traffic Data'!AD88*(0.67/14))/(($I169)*$S169))^$W169))</f>
        <v>55.899999982621175</v>
      </c>
      <c r="BT169" s="401">
        <f>$R169/(1+($V169*(('Traffic Data'!AE88*(0.67/14))/(($I169)*$S169))^$W169))</f>
        <v>55.899999979502162</v>
      </c>
      <c r="BU169" s="401">
        <f>$R169/(1+($V169*(('Traffic Data'!AF88*(0.67/14))/(($I169)*$S169))^$W169))</f>
        <v>55.89999997588852</v>
      </c>
      <c r="BV169" s="401">
        <f>$R169/(1+($V169*(('Traffic Data'!AG88*(0.67/14))/(($I169)*$S169))^$W169))</f>
        <v>55.89999997171082</v>
      </c>
      <c r="BW169" s="645">
        <f>$R169/(1+($V169*(('Traffic Data'!AH88*(0.67/14))/(($I169)*$S169))^$W169))</f>
        <v>55.89999996689258</v>
      </c>
    </row>
    <row r="170" spans="1:75" ht="21.95" customHeight="1" x14ac:dyDescent="0.2">
      <c r="A170" s="642"/>
      <c r="C170" s="116"/>
      <c r="D170" s="116" t="s">
        <v>357</v>
      </c>
      <c r="E170" s="116" t="s">
        <v>346</v>
      </c>
      <c r="F170" s="575">
        <f>'Traffic Data'!CM88</f>
        <v>0.83333333333333337</v>
      </c>
      <c r="G170" s="575">
        <f>'Traffic Data'!CN88</f>
        <v>0.9</v>
      </c>
      <c r="H170" s="146">
        <f>'Traffic Data'!G89</f>
        <v>55</v>
      </c>
      <c r="I170" s="146">
        <v>4</v>
      </c>
      <c r="J170" s="146">
        <f t="shared" si="14"/>
        <v>62</v>
      </c>
      <c r="K170" s="146">
        <v>0</v>
      </c>
      <c r="L170" s="146">
        <v>2.5</v>
      </c>
      <c r="M170" s="146">
        <v>0</v>
      </c>
      <c r="N170" s="146">
        <v>3.6</v>
      </c>
      <c r="O170" s="146">
        <v>0</v>
      </c>
      <c r="P170" s="146">
        <v>0</v>
      </c>
      <c r="Q170" s="146">
        <v>0</v>
      </c>
      <c r="R170" s="174">
        <f t="shared" si="15"/>
        <v>55.9</v>
      </c>
      <c r="S170" s="576">
        <f>F170*G170*M$22</f>
        <v>1575</v>
      </c>
      <c r="T170" s="577">
        <v>0.12</v>
      </c>
      <c r="U170" s="578">
        <v>0.65</v>
      </c>
      <c r="V170" s="579">
        <f t="shared" si="17"/>
        <v>0.2</v>
      </c>
      <c r="W170" s="228">
        <v>10</v>
      </c>
      <c r="X170" s="400">
        <f>$R170/(1+($V170*(('Traffic Data'!J89*$T170*$U170)/(($I170/2)*$S170))^$W170))</f>
        <v>55.899999377100173</v>
      </c>
      <c r="Y170" s="401">
        <f>$R170/(1+($V170*(('Traffic Data'!K89*$T170*$U170)/(($I170/2)*$S170))^$W170))</f>
        <v>55.899999175935712</v>
      </c>
      <c r="Z170" s="401">
        <f>$R170/(1+($V170*(('Traffic Data'!L89*$T170*$U170)/(($I170/2)*$S170))^$W170))</f>
        <v>55.899998885768397</v>
      </c>
      <c r="AA170" s="401">
        <f>$R170/(1+($V170*(('Traffic Data'!M89*$T170*$U170)/(($I170/2)*$S170))^$W170))</f>
        <v>55.899998323338593</v>
      </c>
      <c r="AB170" s="401">
        <f>$R170/(1+($V170*(('Traffic Data'!N89*$T170*$U170)/(($I170/2)*$S170))^$W170))</f>
        <v>55.89999751699942</v>
      </c>
      <c r="AC170" s="401">
        <f>$R170/(1+($V170*(('Traffic Data'!O89*$T170*$U170)/(($I170/2)*$S170))^$W170))</f>
        <v>55.899996376753322</v>
      </c>
      <c r="AD170" s="401">
        <f>$R170/(1+($V170*(('Traffic Data'!P89*$T170*$U170)/(($I170/2)*$S170))^$W170))</f>
        <v>55.899994785869225</v>
      </c>
      <c r="AE170" s="401">
        <f>$R170/(1+($V170*(('Traffic Data'!Q89*$T170*$U170)/(($I170/2)*$S170))^$W170))</f>
        <v>55.899992591639737</v>
      </c>
      <c r="AF170" s="401">
        <f>$R170/(1+($V170*(('Traffic Data'!R89*$T170*$U170)/(($I170/2)*$S170))^$W170))</f>
        <v>55.899989160499366</v>
      </c>
      <c r="AG170" s="401">
        <f>$R170/(1+($V170*(('Traffic Data'!S89*$T170*$U170)/(($I170/2)*$S170))^$W170))</f>
        <v>55.899984361973189</v>
      </c>
      <c r="AH170" s="401">
        <f>$R170/(1+($V170*(('Traffic Data'!T89*$T170*$U170)/(($I170/2)*$S170))^$W170))</f>
        <v>55.89997772701539</v>
      </c>
      <c r="AI170" s="401">
        <f>$R170/(1+($V170*(('Traffic Data'!U89*$T170*$U170)/(($I170/2)*$S170))^$W170))</f>
        <v>55.899968657929954</v>
      </c>
      <c r="AJ170" s="401">
        <f>$R170/(1+($V170*(('Traffic Data'!V89*$T170*$U170)/(($I170/2)*$S170))^$W170))</f>
        <v>55.899956388718934</v>
      </c>
      <c r="AK170" s="401">
        <f>$R170/(1+($V170*(('Traffic Data'!W89*$T170*$U170)/(($I170/2)*$S170))^$W170))</f>
        <v>55.899944617626161</v>
      </c>
      <c r="AL170" s="401">
        <f>$R170/(1+($V170*(('Traffic Data'!X89*$T170*$U170)/(($I170/2)*$S170))^$W170))</f>
        <v>55.899933723717304</v>
      </c>
      <c r="AM170" s="401">
        <f>$R170/(1+($V170*(('Traffic Data'!Y89*$T170*$U170)/(($I170/2)*$S170))^$W170))</f>
        <v>55.899920937788821</v>
      </c>
      <c r="AN170" s="401">
        <f>$R170/(1+($V170*(('Traffic Data'!Z89*$T170*$U170)/(($I170/2)*$S170))^$W170))</f>
        <v>55.89990597318905</v>
      </c>
      <c r="AO170" s="401">
        <f>$R170/(1+($V170*(('Traffic Data'!AA89*$T170*$U170)/(($I170/2)*$S170))^$W170))</f>
        <v>55.899888515566317</v>
      </c>
      <c r="AP170" s="401">
        <f>$R170/(1+($V170*(('Traffic Data'!AB89*$T170*$U170)/(($I170/2)*$S170))^$W170))</f>
        <v>55.899868181922834</v>
      </c>
      <c r="AQ170" s="401">
        <f>$R170/(1+($V170*(('Traffic Data'!AC89*$T170*$U170)/(($I170/2)*$S170))^$W170))</f>
        <v>55.899844582281716</v>
      </c>
      <c r="AR170" s="401">
        <f>$R170/(1+($V170*(('Traffic Data'!AD89*$T170*$U170)/(($I170/2)*$S170))^$W170))</f>
        <v>55.899817230912355</v>
      </c>
      <c r="AS170" s="401">
        <f>$R170/(1+($V170*(('Traffic Data'!AE89*$T170*$U170)/(($I170/2)*$S170))^$W170))</f>
        <v>55.899785621202099</v>
      </c>
      <c r="AT170" s="401">
        <f>$R170/(1+($V170*(('Traffic Data'!AF89*$T170*$U170)/(($I170/2)*$S170))^$W170))</f>
        <v>55.899749193635479</v>
      </c>
      <c r="AU170" s="401">
        <f>$R170/(1+($V170*(('Traffic Data'!AG89*$T170*$U170)/(($I170/2)*$S170))^$W170))</f>
        <v>55.89970726403952</v>
      </c>
      <c r="AV170" s="401">
        <f>$R170/(1+($V170*(('Traffic Data'!AH89*$T170*$U170)/(($I170/2)*$S170))^$W170))</f>
        <v>55.899659127910603</v>
      </c>
      <c r="AW170" s="372">
        <f>$R170/(1+($V170*(('Traffic Data'!AI89*$T170*$U170)/(($I170/2)*$S170))^$W170))</f>
        <v>55.899604011713457</v>
      </c>
      <c r="AX170" s="400">
        <f>$R170/(1+($V170*(('Traffic Data'!J89*(0.67/14))/(($I170)*$S170))^$W170))</f>
        <v>55.899999999995408</v>
      </c>
      <c r="AY170" s="401">
        <f>$R170/(1+($V170*(('Traffic Data'!J89*(0.67/14))/(($I170)*$S170))^$W170))</f>
        <v>55.899999999995408</v>
      </c>
      <c r="AZ170" s="401">
        <f>$R170/(1+($V170*(('Traffic Data'!K89*(0.67/14))/(($I170)*$S170))^$W170))</f>
        <v>55.899999999993916</v>
      </c>
      <c r="BA170" s="401">
        <f>$R170/(1+($V170*(('Traffic Data'!L89*(0.67/14))/(($I170)*$S170))^$W170))</f>
        <v>55.89999999999177</v>
      </c>
      <c r="BB170" s="401">
        <f>$R170/(1+($V170*(('Traffic Data'!M89*(0.67/14))/(($I170)*$S170))^$W170))</f>
        <v>55.899999999987621</v>
      </c>
      <c r="BC170" s="401">
        <f>$R170/(1+($V170*(('Traffic Data'!N89*(0.67/14))/(($I170)*$S170))^$W170))</f>
        <v>55.899999999981667</v>
      </c>
      <c r="BD170" s="401">
        <f>$R170/(1+($V170*(('Traffic Data'!O89*(0.67/14))/(($I170)*$S170))^$W170))</f>
        <v>55.899999999973247</v>
      </c>
      <c r="BE170" s="401">
        <f>$R170/(1+($V170*(('Traffic Data'!P89*(0.67/14))/(($I170)*$S170))^$W170))</f>
        <v>55.899999999961508</v>
      </c>
      <c r="BF170" s="401">
        <f>$R170/(1+($V170*(('Traffic Data'!Q89*(0.67/14))/(($I170)*$S170))^$W170))</f>
        <v>55.899999999945308</v>
      </c>
      <c r="BG170" s="401">
        <f>$R170/(1+($V170*(('Traffic Data'!R89*(0.67/14))/(($I170)*$S170))^$W170))</f>
        <v>55.899999999919977</v>
      </c>
      <c r="BH170" s="401">
        <f>$R170/(1+($V170*(('Traffic Data'!S89*(0.67/14))/(($I170)*$S170))^$W170))</f>
        <v>55.89999999988455</v>
      </c>
      <c r="BI170" s="401">
        <f>$R170/(1+($V170*(('Traffic Data'!T89*(0.67/14))/(($I170)*$S170))^$W170))</f>
        <v>55.899999999835558</v>
      </c>
      <c r="BJ170" s="401">
        <f>$R170/(1+($V170*(('Traffic Data'!U89*(0.67/14))/(($I170)*$S170))^$W170))</f>
        <v>55.89999999976861</v>
      </c>
      <c r="BK170" s="401">
        <f>$R170/(1+($V170*(('Traffic Data'!V89*(0.67/14))/(($I170)*$S170))^$W170))</f>
        <v>55.899999999678023</v>
      </c>
      <c r="BL170" s="401">
        <f>$R170/(1+($V170*(('Traffic Data'!W89*(0.67/14))/(($I170)*$S170))^$W170))</f>
        <v>55.899999999591124</v>
      </c>
      <c r="BM170" s="401">
        <f>$R170/(1+($V170*(('Traffic Data'!X89*(0.67/14))/(($I170)*$S170))^$W170))</f>
        <v>55.89999999951069</v>
      </c>
      <c r="BN170" s="401">
        <f>$R170/(1+($V170*(('Traffic Data'!Y89*(0.67/14))/(($I170)*$S170))^$W170))</f>
        <v>55.899999999416295</v>
      </c>
      <c r="BO170" s="401">
        <f>$R170/(1+($V170*(('Traffic Data'!Z89*(0.67/14))/(($I170)*$S170))^$W170))</f>
        <v>55.89999999930582</v>
      </c>
      <c r="BP170" s="401">
        <f>$R170/(1+($V170*(('Traffic Data'!AA89*(0.67/14))/(($I170)*$S170))^$W170))</f>
        <v>55.899999999176927</v>
      </c>
      <c r="BQ170" s="401">
        <f>$R170/(1+($V170*(('Traffic Data'!AB89*(0.67/14))/(($I170)*$S170))^$W170))</f>
        <v>55.899999999026811</v>
      </c>
      <c r="BR170" s="401">
        <f>$R170/(1+($V170*(('Traffic Data'!AC89*(0.67/14))/(($I170)*$S170))^$W170))</f>
        <v>55.899999998852579</v>
      </c>
      <c r="BS170" s="401">
        <f>$R170/(1+($V170*(('Traffic Data'!AD89*(0.67/14))/(($I170)*$S170))^$W170))</f>
        <v>55.899999998650642</v>
      </c>
      <c r="BT170" s="401">
        <f>$R170/(1+($V170*(('Traffic Data'!AE89*(0.67/14))/(($I170)*$S170))^$W170))</f>
        <v>55.899999998417272</v>
      </c>
      <c r="BU170" s="401">
        <f>$R170/(1+($V170*(('Traffic Data'!AF89*(0.67/14))/(($I170)*$S170))^$W170))</f>
        <v>55.899999998148331</v>
      </c>
      <c r="BV170" s="401">
        <f>$R170/(1+($V170*(('Traffic Data'!AG89*(0.67/14))/(($I170)*$S170))^$W170))</f>
        <v>55.899999997838769</v>
      </c>
      <c r="BW170" s="645">
        <f>$R170/(1+($V170*(('Traffic Data'!AH89*(0.67/14))/(($I170)*$S170))^$W170))</f>
        <v>55.899999997483391</v>
      </c>
    </row>
    <row r="171" spans="1:75" ht="21.95" customHeight="1" x14ac:dyDescent="0.2">
      <c r="A171" s="642"/>
      <c r="C171" s="116"/>
      <c r="D171" s="116" t="s">
        <v>346</v>
      </c>
      <c r="E171" s="116" t="s">
        <v>343</v>
      </c>
      <c r="F171" s="575">
        <f>'Traffic Data'!CM88</f>
        <v>0.83333333333333337</v>
      </c>
      <c r="G171" s="575">
        <f>'Traffic Data'!CN88</f>
        <v>0.9</v>
      </c>
      <c r="H171" s="146">
        <f>'Traffic Data'!G90</f>
        <v>45</v>
      </c>
      <c r="I171" s="146">
        <v>4</v>
      </c>
      <c r="J171" s="146">
        <f t="shared" si="14"/>
        <v>52</v>
      </c>
      <c r="K171" s="146">
        <v>0</v>
      </c>
      <c r="L171" s="146">
        <v>2.5</v>
      </c>
      <c r="M171" s="146">
        <v>0</v>
      </c>
      <c r="N171" s="146">
        <v>3.6</v>
      </c>
      <c r="O171" s="146">
        <v>0</v>
      </c>
      <c r="P171" s="146">
        <v>0</v>
      </c>
      <c r="Q171" s="146">
        <v>0</v>
      </c>
      <c r="R171" s="174">
        <f t="shared" si="15"/>
        <v>45.9</v>
      </c>
      <c r="S171" s="576">
        <f>F171*G171*M$24</f>
        <v>1425</v>
      </c>
      <c r="T171" s="577">
        <v>0.12</v>
      </c>
      <c r="U171" s="578">
        <v>0.65</v>
      </c>
      <c r="V171" s="579">
        <f t="shared" si="17"/>
        <v>0.2</v>
      </c>
      <c r="W171" s="228">
        <v>10</v>
      </c>
      <c r="X171" s="400">
        <f>$R171/(1+($V171*(('Traffic Data'!J90*$T171*$U171)/(($I171/2)*$S171))^$W171))</f>
        <v>45.899998608523049</v>
      </c>
      <c r="Y171" s="401">
        <f>$R171/(1+($V171*(('Traffic Data'!K90*$T171*$U171)/(($I171/2)*$S171))^$W171))</f>
        <v>45.899998159147884</v>
      </c>
      <c r="Z171" s="401">
        <f>$R171/(1+($V171*(('Traffic Data'!L90*$T171*$U171)/(($I171/2)*$S171))^$W171))</f>
        <v>45.899997510951991</v>
      </c>
      <c r="AA171" s="401">
        <f>$R171/(1+($V171*(('Traffic Data'!M90*$T171*$U171)/(($I171/2)*$S171))^$W171))</f>
        <v>45.899996254557266</v>
      </c>
      <c r="AB171" s="401">
        <f>$R171/(1+($V171*(('Traffic Data'!N90*$T171*$U171)/(($I171/2)*$S171))^$W171))</f>
        <v>45.899994453300941</v>
      </c>
      <c r="AC171" s="401">
        <f>$R171/(1+($V171*(('Traffic Data'!O90*$T171*$U171)/(($I171/2)*$S171))^$W171))</f>
        <v>45.899991906140343</v>
      </c>
      <c r="AD171" s="401">
        <f>$R171/(1+($V171*(('Traffic Data'!P90*$T171*$U171)/(($I171/2)*$S171))^$W171))</f>
        <v>45.89998835231372</v>
      </c>
      <c r="AE171" s="401">
        <f>$R171/(1+($V171*(('Traffic Data'!Q90*$T171*$U171)/(($I171/2)*$S171))^$W171))</f>
        <v>45.899983450693085</v>
      </c>
      <c r="AF171" s="401">
        <f>$R171/(1+($V171*(('Traffic Data'!R90*$T171*$U171)/(($I171/2)*$S171))^$W171))</f>
        <v>45.899975785977276</v>
      </c>
      <c r="AG171" s="401">
        <f>$R171/(1+($V171*(('Traffic Data'!S90*$T171*$U171)/(($I171/2)*$S171))^$W171))</f>
        <v>45.899965066704318</v>
      </c>
      <c r="AH171" s="401">
        <f>$R171/(1+($V171*(('Traffic Data'!T90*$T171*$U171)/(($I171/2)*$S171))^$W171))</f>
        <v>45.899950245091176</v>
      </c>
      <c r="AI171" s="401">
        <f>$R171/(1+($V171*(('Traffic Data'!U90*$T171*$U171)/(($I171/2)*$S171))^$W171))</f>
        <v>45.899929985970488</v>
      </c>
      <c r="AJ171" s="401">
        <f>$R171/(1+($V171*(('Traffic Data'!V90*$T171*$U171)/(($I171/2)*$S171))^$W171))</f>
        <v>45.899902578216363</v>
      </c>
      <c r="AK171" s="401">
        <f>$R171/(1+($V171*(('Traffic Data'!W90*$T171*$U171)/(($I171/2)*$S171))^$W171))</f>
        <v>45.899876283210311</v>
      </c>
      <c r="AL171" s="401">
        <f>$R171/(1+($V171*(('Traffic Data'!X90*$T171*$U171)/(($I171/2)*$S171))^$W171))</f>
        <v>45.899851947729779</v>
      </c>
      <c r="AM171" s="401">
        <f>$R171/(1+($V171*(('Traffic Data'!Y90*$T171*$U171)/(($I171/2)*$S171))^$W171))</f>
        <v>45.899823385760769</v>
      </c>
      <c r="AN171" s="401">
        <f>$R171/(1+($V171*(('Traffic Data'!Z90*$T171*$U171)/(($I171/2)*$S171))^$W171))</f>
        <v>45.899789956974537</v>
      </c>
      <c r="AO171" s="401">
        <f>$R171/(1+($V171*(('Traffic Data'!AA90*$T171*$U171)/(($I171/2)*$S171))^$W171))</f>
        <v>45.899750959168742</v>
      </c>
      <c r="AP171" s="401">
        <f>$R171/(1+($V171*(('Traffic Data'!AB90*$T171*$U171)/(($I171/2)*$S171))^$W171))</f>
        <v>45.899705536801093</v>
      </c>
      <c r="AQ171" s="401">
        <f>$R171/(1+($V171*(('Traffic Data'!AC90*$T171*$U171)/(($I171/2)*$S171))^$W171))</f>
        <v>45.899652818746638</v>
      </c>
      <c r="AR171" s="401">
        <f>$R171/(1+($V171*(('Traffic Data'!AD90*$T171*$U171)/(($I171/2)*$S171))^$W171))</f>
        <v>45.899591719990426</v>
      </c>
      <c r="AS171" s="401">
        <f>$R171/(1+($V171*(('Traffic Data'!AE90*$T171*$U171)/(($I171/2)*$S171))^$W171))</f>
        <v>45.899521108883178</v>
      </c>
      <c r="AT171" s="401">
        <f>$R171/(1+($V171*(('Traffic Data'!AF90*$T171*$U171)/(($I171/2)*$S171))^$W171))</f>
        <v>45.89943973561509</v>
      </c>
      <c r="AU171" s="401">
        <f>$R171/(1+($V171*(('Traffic Data'!AG90*$T171*$U171)/(($I171/2)*$S171))^$W171))</f>
        <v>45.899346071932868</v>
      </c>
      <c r="AV171" s="401">
        <f>$R171/(1+($V171*(('Traffic Data'!AH90*$T171*$U171)/(($I171/2)*$S171))^$W171))</f>
        <v>45.899238544195455</v>
      </c>
      <c r="AW171" s="372">
        <f>$R171/(1+($V171*(('Traffic Data'!AI90*$T171*$U171)/(($I171/2)*$S171))^$W171))</f>
        <v>45.899115424591251</v>
      </c>
      <c r="AX171" s="400">
        <f>$R171/(1+($V171*(('Traffic Data'!J90*(0.67/14))/(($I171)*$S171))^$W171))</f>
        <v>45.899999999989724</v>
      </c>
      <c r="AY171" s="401">
        <f>$R171/(1+($V171*(('Traffic Data'!J90*(0.67/14))/(($I171)*$S171))^$W171))</f>
        <v>45.899999999989724</v>
      </c>
      <c r="AZ171" s="401">
        <f>$R171/(1+($V171*(('Traffic Data'!K90*(0.67/14))/(($I171)*$S171))^$W171))</f>
        <v>45.899999999986413</v>
      </c>
      <c r="BA171" s="401">
        <f>$R171/(1+($V171*(('Traffic Data'!L90*(0.67/14))/(($I171)*$S171))^$W171))</f>
        <v>45.899999999981624</v>
      </c>
      <c r="BB171" s="401">
        <f>$R171/(1+($V171*(('Traffic Data'!M90*(0.67/14))/(($I171)*$S171))^$W171))</f>
        <v>45.899999999972351</v>
      </c>
      <c r="BC171" s="401">
        <f>$R171/(1+($V171*(('Traffic Data'!N90*(0.67/14))/(($I171)*$S171))^$W171))</f>
        <v>45.89999999995905</v>
      </c>
      <c r="BD171" s="401">
        <f>$R171/(1+($V171*(('Traffic Data'!O90*(0.67/14))/(($I171)*$S171))^$W171))</f>
        <v>45.899999999940242</v>
      </c>
      <c r="BE171" s="401">
        <f>$R171/(1+($V171*(('Traffic Data'!P90*(0.67/14))/(($I171)*$S171))^$W171))</f>
        <v>45.899999999914009</v>
      </c>
      <c r="BF171" s="401">
        <f>$R171/(1+($V171*(('Traffic Data'!Q90*(0.67/14))/(($I171)*$S171))^$W171))</f>
        <v>45.899999999877821</v>
      </c>
      <c r="BG171" s="401">
        <f>$R171/(1+($V171*(('Traffic Data'!R90*(0.67/14))/(($I171)*$S171))^$W171))</f>
        <v>45.899999999821233</v>
      </c>
      <c r="BH171" s="401">
        <f>$R171/(1+($V171*(('Traffic Data'!S90*(0.67/14))/(($I171)*$S171))^$W171))</f>
        <v>45.899999999742093</v>
      </c>
      <c r="BI171" s="401">
        <f>$R171/(1+($V171*(('Traffic Data'!T90*(0.67/14))/(($I171)*$S171))^$W171))</f>
        <v>45.899999999632662</v>
      </c>
      <c r="BJ171" s="401">
        <f>$R171/(1+($V171*(('Traffic Data'!U90*(0.67/14))/(($I171)*$S171))^$W171))</f>
        <v>45.8999999994831</v>
      </c>
      <c r="BK171" s="401">
        <f>$R171/(1+($V171*(('Traffic Data'!V90*(0.67/14))/(($I171)*$S171))^$W171))</f>
        <v>45.899999999280752</v>
      </c>
      <c r="BL171" s="401">
        <f>$R171/(1+($V171*(('Traffic Data'!W90*(0.67/14))/(($I171)*$S171))^$W171))</f>
        <v>45.899999999086617</v>
      </c>
      <c r="BM171" s="401">
        <f>$R171/(1+($V171*(('Traffic Data'!X90*(0.67/14))/(($I171)*$S171))^$W171))</f>
        <v>45.899999998906956</v>
      </c>
      <c r="BN171" s="401">
        <f>$R171/(1+($V171*(('Traffic Data'!Y90*(0.67/14))/(($I171)*$S171))^$W171))</f>
        <v>45.899999998696082</v>
      </c>
      <c r="BO171" s="401">
        <f>$R171/(1+($V171*(('Traffic Data'!Z90*(0.67/14))/(($I171)*$S171))^$W171))</f>
        <v>45.899999998449289</v>
      </c>
      <c r="BP171" s="401">
        <f>$R171/(1+($V171*(('Traffic Data'!AA90*(0.67/14))/(($I171)*$S171))^$W171))</f>
        <v>45.89999999816137</v>
      </c>
      <c r="BQ171" s="401">
        <f>$R171/(1+($V171*(('Traffic Data'!AB90*(0.67/14))/(($I171)*$S171))^$W171))</f>
        <v>45.899999997826015</v>
      </c>
      <c r="BR171" s="401">
        <f>$R171/(1+($V171*(('Traffic Data'!AC90*(0.67/14))/(($I171)*$S171))^$W171))</f>
        <v>45.899999997436808</v>
      </c>
      <c r="BS171" s="401">
        <f>$R171/(1+($V171*(('Traffic Data'!AD90*(0.67/14))/(($I171)*$S171))^$W171))</f>
        <v>45.89999999698572</v>
      </c>
      <c r="BT171" s="401">
        <f>$R171/(1+($V171*(('Traffic Data'!AE90*(0.67/14))/(($I171)*$S171))^$W171))</f>
        <v>45.899999996464395</v>
      </c>
      <c r="BU171" s="401">
        <f>$R171/(1+($V171*(('Traffic Data'!AF90*(0.67/14))/(($I171)*$S171))^$W171))</f>
        <v>45.899999995863624</v>
      </c>
      <c r="BV171" s="401">
        <f>$R171/(1+($V171*(('Traffic Data'!AG90*(0.67/14))/(($I171)*$S171))^$W171))</f>
        <v>45.899999995172102</v>
      </c>
      <c r="BW171" s="645">
        <f>$R171/(1+($V171*(('Traffic Data'!AH90*(0.67/14))/(($I171)*$S171))^$W171))</f>
        <v>45.899999994378227</v>
      </c>
    </row>
    <row r="172" spans="1:75" ht="21.95" customHeight="1" x14ac:dyDescent="0.2">
      <c r="A172" s="642"/>
      <c r="C172" s="116"/>
      <c r="D172" s="116" t="s">
        <v>343</v>
      </c>
      <c r="E172" s="116" t="s">
        <v>350</v>
      </c>
      <c r="F172" s="575">
        <f>'Traffic Data'!CM88</f>
        <v>0.83333333333333337</v>
      </c>
      <c r="G172" s="575">
        <f>'Traffic Data'!CN88</f>
        <v>0.9</v>
      </c>
      <c r="H172" s="146">
        <f>'Traffic Data'!G91</f>
        <v>45</v>
      </c>
      <c r="I172" s="146">
        <v>4</v>
      </c>
      <c r="J172" s="146">
        <f t="shared" si="14"/>
        <v>52</v>
      </c>
      <c r="K172" s="146">
        <v>0</v>
      </c>
      <c r="L172" s="146">
        <v>2.5</v>
      </c>
      <c r="M172" s="146">
        <v>0</v>
      </c>
      <c r="N172" s="146">
        <v>3.6</v>
      </c>
      <c r="O172" s="146">
        <v>0</v>
      </c>
      <c r="P172" s="146">
        <v>0</v>
      </c>
      <c r="Q172" s="146">
        <v>0</v>
      </c>
      <c r="R172" s="174">
        <f t="shared" si="15"/>
        <v>45.9</v>
      </c>
      <c r="S172" s="576">
        <f>F172*G172*M$24</f>
        <v>1425</v>
      </c>
      <c r="T172" s="577">
        <v>0.12</v>
      </c>
      <c r="U172" s="578">
        <v>0.65</v>
      </c>
      <c r="V172" s="579">
        <f t="shared" si="17"/>
        <v>0.2</v>
      </c>
      <c r="W172" s="228">
        <v>10</v>
      </c>
      <c r="X172" s="400">
        <f>$R172/(1+($V172*(('Traffic Data'!J91*$T172*$U172)/(($I172/2)*$S172))^$W172))</f>
        <v>45.899999869126233</v>
      </c>
      <c r="Y172" s="401">
        <f>$R172/(1+($V172*(('Traffic Data'!K91*$T172*$U172)/(($I172/2)*$S172))^$W172))</f>
        <v>45.8999998269027</v>
      </c>
      <c r="Z172" s="401">
        <f>$R172/(1+($V172*(('Traffic Data'!L91*$T172*$U172)/(($I172/2)*$S172))^$W172))</f>
        <v>45.899999764143068</v>
      </c>
      <c r="AA172" s="401">
        <f>$R172/(1+($V172*(('Traffic Data'!M91*$T172*$U172)/(($I172/2)*$S172))^$W172))</f>
        <v>45.899999654465667</v>
      </c>
      <c r="AB172" s="401">
        <f>$R172/(1+($V172*(('Traffic Data'!N91*$T172*$U172)/(($I172/2)*$S172))^$W172))</f>
        <v>45.899999500789512</v>
      </c>
      <c r="AC172" s="401">
        <f>$R172/(1+($V172*(('Traffic Data'!O91*$T172*$U172)/(($I172/2)*$S172))^$W172))</f>
        <v>45.899999288163151</v>
      </c>
      <c r="AD172" s="401">
        <f>$R172/(1+($V172*(('Traffic Data'!P91*$T172*$U172)/(($I172/2)*$S172))^$W172))</f>
        <v>45.899998997295938</v>
      </c>
      <c r="AE172" s="401">
        <f>$R172/(1+($V172*(('Traffic Data'!Q91*$T172*$U172)/(($I172/2)*$S172))^$W172))</f>
        <v>45.899998603424784</v>
      </c>
      <c r="AF172" s="401">
        <f>$R172/(1+($V172*(('Traffic Data'!R91*$T172*$U172)/(($I172/2)*$S172))^$W172))</f>
        <v>45.899997994806959</v>
      </c>
      <c r="AG172" s="401">
        <f>$R172/(1+($V172*(('Traffic Data'!S91*$T172*$U172)/(($I172/2)*$S172))^$W172))</f>
        <v>45.899997157121881</v>
      </c>
      <c r="AH172" s="401">
        <f>$R172/(1+($V172*(('Traffic Data'!T91*$T172*$U172)/(($I172/2)*$S172))^$W172))</f>
        <v>45.899996016811997</v>
      </c>
      <c r="AI172" s="401">
        <f>$R172/(1+($V172*(('Traffic Data'!U91*$T172*$U172)/(($I172/2)*$S172))^$W172))</f>
        <v>45.899994479937256</v>
      </c>
      <c r="AJ172" s="401">
        <f>$R172/(1+($V172*(('Traffic Data'!V91*$T172*$U172)/(($I172/2)*$S172))^$W172))</f>
        <v>45.899992428134517</v>
      </c>
      <c r="AK172" s="401">
        <f>$R172/(1+($V172*(('Traffic Data'!W91*$T172*$U172)/(($I172/2)*$S172))^$W172))</f>
        <v>45.899990295754669</v>
      </c>
      <c r="AL172" s="401">
        <f>$R172/(1+($V172*(('Traffic Data'!X91*$T172*$U172)/(($I172/2)*$S172))^$W172))</f>
        <v>45.899988350826568</v>
      </c>
      <c r="AM172" s="401">
        <f>$R172/(1+($V172*(('Traffic Data'!Y91*$T172*$U172)/(($I172/2)*$S172))^$W172))</f>
        <v>45.899986061847436</v>
      </c>
      <c r="AN172" s="401">
        <f>$R172/(1+($V172*(('Traffic Data'!Z91*$T172*$U172)/(($I172/2)*$S172))^$W172))</f>
        <v>45.899983375743055</v>
      </c>
      <c r="AO172" s="401">
        <f>$R172/(1+($V172*(('Traffic Data'!AA91*$T172*$U172)/(($I172/2)*$S172))^$W172))</f>
        <v>45.899980233405877</v>
      </c>
      <c r="AP172" s="401">
        <f>$R172/(1+($V172*(('Traffic Data'!AB91*$T172*$U172)/(($I172/2)*$S172))^$W172))</f>
        <v>45.899976565087002</v>
      </c>
      <c r="AQ172" s="401">
        <f>$R172/(1+($V172*(('Traffic Data'!AC91*$T172*$U172)/(($I172/2)*$S172))^$W172))</f>
        <v>45.899972296405011</v>
      </c>
      <c r="AR172" s="401">
        <f>$R172/(1+($V172*(('Traffic Data'!AD91*$T172*$U172)/(($I172/2)*$S172))^$W172))</f>
        <v>45.899967338685457</v>
      </c>
      <c r="AS172" s="401">
        <f>$R172/(1+($V172*(('Traffic Data'!AE91*$T172*$U172)/(($I172/2)*$S172))^$W172))</f>
        <v>45.899961596291647</v>
      </c>
      <c r="AT172" s="401">
        <f>$R172/(1+($V172*(('Traffic Data'!AF91*$T172*$U172)/(($I172/2)*$S172))^$W172))</f>
        <v>45.899954962801154</v>
      </c>
      <c r="AU172" s="401">
        <f>$R172/(1+($V172*(('Traffic Data'!AG91*$T172*$U172)/(($I172/2)*$S172))^$W172))</f>
        <v>45.899947312919259</v>
      </c>
      <c r="AV172" s="401">
        <f>$R172/(1+($V172*(('Traffic Data'!AH91*$T172*$U172)/(($I172/2)*$S172))^$W172))</f>
        <v>45.899938512830701</v>
      </c>
      <c r="AW172" s="372">
        <f>$R172/(1+($V172*(('Traffic Data'!AI91*$T172*$U172)/(($I172/2)*$S172))^$W172))</f>
        <v>45.899928414475553</v>
      </c>
      <c r="AX172" s="400">
        <f>$R172/(1+($V172*(('Traffic Data'!J91*(0.67/14))/(($I172)*$S172))^$W172))</f>
        <v>45.899999999999032</v>
      </c>
      <c r="AY172" s="401">
        <f>$R172/(1+($V172*(('Traffic Data'!J91*(0.67/14))/(($I172)*$S172))^$W172))</f>
        <v>45.899999999999032</v>
      </c>
      <c r="AZ172" s="401">
        <f>$R172/(1+($V172*(('Traffic Data'!K91*(0.67/14))/(($I172)*$S172))^$W172))</f>
        <v>45.899999999998727</v>
      </c>
      <c r="BA172" s="401">
        <f>$R172/(1+($V172*(('Traffic Data'!L91*(0.67/14))/(($I172)*$S172))^$W172))</f>
        <v>45.899999999998258</v>
      </c>
      <c r="BB172" s="401">
        <f>$R172/(1+($V172*(('Traffic Data'!M91*(0.67/14))/(($I172)*$S172))^$W172))</f>
        <v>45.899999999997448</v>
      </c>
      <c r="BC172" s="401">
        <f>$R172/(1+($V172*(('Traffic Data'!N91*(0.67/14))/(($I172)*$S172))^$W172))</f>
        <v>45.899999999996311</v>
      </c>
      <c r="BD172" s="401">
        <f>$R172/(1+($V172*(('Traffic Data'!O91*(0.67/14))/(($I172)*$S172))^$W172))</f>
        <v>45.899999999994741</v>
      </c>
      <c r="BE172" s="401">
        <f>$R172/(1+($V172*(('Traffic Data'!P91*(0.67/14))/(($I172)*$S172))^$W172))</f>
        <v>45.899999999992602</v>
      </c>
      <c r="BF172" s="401">
        <f>$R172/(1+($V172*(('Traffic Data'!Q91*(0.67/14))/(($I172)*$S172))^$W172))</f>
        <v>45.899999999989681</v>
      </c>
      <c r="BG172" s="401">
        <f>$R172/(1+($V172*(('Traffic Data'!R91*(0.67/14))/(($I172)*$S172))^$W172))</f>
        <v>45.899999999985191</v>
      </c>
      <c r="BH172" s="401">
        <f>$R172/(1+($V172*(('Traffic Data'!S91*(0.67/14))/(($I172)*$S172))^$W172))</f>
        <v>45.899999999979016</v>
      </c>
      <c r="BI172" s="401">
        <f>$R172/(1+($V172*(('Traffic Data'!T91*(0.67/14))/(($I172)*$S172))^$W172))</f>
        <v>45.899999999970596</v>
      </c>
      <c r="BJ172" s="401">
        <f>$R172/(1+($V172*(('Traffic Data'!U91*(0.67/14))/(($I172)*$S172))^$W172))</f>
        <v>45.899999999959242</v>
      </c>
      <c r="BK172" s="401">
        <f>$R172/(1+($V172*(('Traffic Data'!V91*(0.67/14))/(($I172)*$S172))^$W172))</f>
        <v>45.899999999944093</v>
      </c>
      <c r="BL172" s="401">
        <f>$R172/(1+($V172*(('Traffic Data'!W91*(0.67/14))/(($I172)*$S172))^$W172))</f>
        <v>45.899999999928347</v>
      </c>
      <c r="BM172" s="401">
        <f>$R172/(1+($V172*(('Traffic Data'!X91*(0.67/14))/(($I172)*$S172))^$W172))</f>
        <v>45.899999999914002</v>
      </c>
      <c r="BN172" s="401">
        <f>$R172/(1+($V172*(('Traffic Data'!Y91*(0.67/14))/(($I172)*$S172))^$W172))</f>
        <v>45.899999999897091</v>
      </c>
      <c r="BO172" s="401">
        <f>$R172/(1+($V172*(('Traffic Data'!Z91*(0.67/14))/(($I172)*$S172))^$W172))</f>
        <v>45.899999999877267</v>
      </c>
      <c r="BP172" s="401">
        <f>$R172/(1+($V172*(('Traffic Data'!AA91*(0.67/14))/(($I172)*$S172))^$W172))</f>
        <v>45.89999999985406</v>
      </c>
      <c r="BQ172" s="401">
        <f>$R172/(1+($V172*(('Traffic Data'!AB91*(0.67/14))/(($I172)*$S172))^$W172))</f>
        <v>45.899999999826981</v>
      </c>
      <c r="BR172" s="401">
        <f>$R172/(1+($V172*(('Traffic Data'!AC91*(0.67/14))/(($I172)*$S172))^$W172))</f>
        <v>45.899999999795469</v>
      </c>
      <c r="BS172" s="401">
        <f>$R172/(1+($V172*(('Traffic Data'!AD91*(0.67/14))/(($I172)*$S172))^$W172))</f>
        <v>45.899999999758869</v>
      </c>
      <c r="BT172" s="401">
        <f>$R172/(1+($V172*(('Traffic Data'!AE91*(0.67/14))/(($I172)*$S172))^$W172))</f>
        <v>45.899999999716471</v>
      </c>
      <c r="BU172" s="401">
        <f>$R172/(1+($V172*(('Traffic Data'!AF91*(0.67/14))/(($I172)*$S172))^$W172))</f>
        <v>45.8999999996675</v>
      </c>
      <c r="BV172" s="401">
        <f>$R172/(1+($V172*(('Traffic Data'!AG91*(0.67/14))/(($I172)*$S172))^$W172))</f>
        <v>45.899999999611019</v>
      </c>
      <c r="BW172" s="645">
        <f>$R172/(1+($V172*(('Traffic Data'!AH91*(0.67/14))/(($I172)*$S172))^$W172))</f>
        <v>45.899999999546054</v>
      </c>
    </row>
    <row r="173" spans="1:75" ht="21.95" customHeight="1" x14ac:dyDescent="0.2">
      <c r="A173" s="642"/>
      <c r="C173" s="116"/>
      <c r="D173" s="116" t="s">
        <v>350</v>
      </c>
      <c r="E173" s="116" t="s">
        <v>280</v>
      </c>
      <c r="F173" s="575">
        <f>'Traffic Data'!CM88</f>
        <v>0.83333333333333337</v>
      </c>
      <c r="G173" s="575">
        <f>'Traffic Data'!CN88</f>
        <v>0.9</v>
      </c>
      <c r="H173" s="146">
        <f>'Traffic Data'!G92</f>
        <v>55</v>
      </c>
      <c r="I173" s="146">
        <v>4</v>
      </c>
      <c r="J173" s="146">
        <f t="shared" si="14"/>
        <v>62</v>
      </c>
      <c r="K173" s="146">
        <v>0</v>
      </c>
      <c r="L173" s="146">
        <v>2.5</v>
      </c>
      <c r="M173" s="146">
        <v>0</v>
      </c>
      <c r="N173" s="146">
        <v>3.6</v>
      </c>
      <c r="O173" s="146">
        <v>0</v>
      </c>
      <c r="P173" s="146">
        <v>0</v>
      </c>
      <c r="Q173" s="146">
        <v>0</v>
      </c>
      <c r="R173" s="174">
        <f t="shared" si="15"/>
        <v>55.9</v>
      </c>
      <c r="S173" s="576">
        <f>F173*G173*M$22</f>
        <v>1575</v>
      </c>
      <c r="T173" s="577">
        <v>0.12</v>
      </c>
      <c r="U173" s="578">
        <v>0.65</v>
      </c>
      <c r="V173" s="579">
        <f t="shared" si="17"/>
        <v>0.2</v>
      </c>
      <c r="W173" s="228">
        <v>10</v>
      </c>
      <c r="X173" s="400">
        <f>$R173/(1+($V173*(('Traffic Data'!J92*$T173*$U173)/(($I173/2)*$S173))^$W173))</f>
        <v>55.899999941413874</v>
      </c>
      <c r="Y173" s="401">
        <f>$R173/(1+($V173*(('Traffic Data'!K92*$T173*$U173)/(($I173/2)*$S173))^$W173))</f>
        <v>55.89999992251235</v>
      </c>
      <c r="Z173" s="401">
        <f>$R173/(1+($V173*(('Traffic Data'!L92*$T173*$U173)/(($I173/2)*$S173))^$W173))</f>
        <v>55.899999894417768</v>
      </c>
      <c r="AA173" s="401">
        <f>$R173/(1+($V173*(('Traffic Data'!M92*$T173*$U173)/(($I173/2)*$S173))^$W173))</f>
        <v>55.899999845320266</v>
      </c>
      <c r="AB173" s="401">
        <f>$R173/(1+($V173*(('Traffic Data'!N92*$T173*$U173)/(($I173/2)*$S173))^$W173))</f>
        <v>55.899999776526577</v>
      </c>
      <c r="AC173" s="401">
        <f>$R173/(1+($V173*(('Traffic Data'!O92*$T173*$U173)/(($I173/2)*$S173))^$W173))</f>
        <v>55.899999681343601</v>
      </c>
      <c r="AD173" s="401">
        <f>$R173/(1+($V173*(('Traffic Data'!P92*$T173*$U173)/(($I173/2)*$S173))^$W173))</f>
        <v>55.899999551135799</v>
      </c>
      <c r="AE173" s="401">
        <f>$R173/(1+($V173*(('Traffic Data'!Q92*$T173*$U173)/(($I173/2)*$S173))^$W173))</f>
        <v>55.899999374817924</v>
      </c>
      <c r="AF173" s="401">
        <f>$R173/(1+($V173*(('Traffic Data'!R92*$T173*$U173)/(($I173/2)*$S173))^$W173))</f>
        <v>55.899999102367879</v>
      </c>
      <c r="AG173" s="401">
        <f>$R173/(1+($V173*(('Traffic Data'!S92*$T173*$U173)/(($I173/2)*$S173))^$W173))</f>
        <v>55.899998727375021</v>
      </c>
      <c r="AH173" s="401">
        <f>$R173/(1+($V173*(('Traffic Data'!T92*$T173*$U173)/(($I173/2)*$S173))^$W173))</f>
        <v>55.89999821691103</v>
      </c>
      <c r="AI173" s="401">
        <f>$R173/(1+($V173*(('Traffic Data'!U92*$T173*$U173)/(($I173/2)*$S173))^$W173))</f>
        <v>55.899997528923265</v>
      </c>
      <c r="AJ173" s="401">
        <f>$R173/(1+($V173*(('Traffic Data'!V92*$T173*$U173)/(($I173/2)*$S173))^$W173))</f>
        <v>55.899996610425994</v>
      </c>
      <c r="AK173" s="401">
        <f>$R173/(1+($V173*(('Traffic Data'!W92*$T173*$U173)/(($I173/2)*$S173))^$W173))</f>
        <v>55.899995655858021</v>
      </c>
      <c r="AL173" s="401">
        <f>$R173/(1+($V173*(('Traffic Data'!X92*$T173*$U173)/(($I173/2)*$S173))^$W173))</f>
        <v>55.899994785203496</v>
      </c>
      <c r="AM173" s="401">
        <f>$R173/(1+($V173*(('Traffic Data'!Y92*$T173*$U173)/(($I173/2)*$S173))^$W173))</f>
        <v>55.89999376053315</v>
      </c>
      <c r="AN173" s="401">
        <f>$R173/(1+($V173*(('Traffic Data'!Z92*$T173*$U173)/(($I173/2)*$S173))^$W173))</f>
        <v>55.899992558088066</v>
      </c>
      <c r="AO173" s="401">
        <f>$R173/(1+($V173*(('Traffic Data'!AA92*$T173*$U173)/(($I173/2)*$S173))^$W173))</f>
        <v>55.899991151408472</v>
      </c>
      <c r="AP173" s="401">
        <f>$R173/(1+($V173*(('Traffic Data'!AB92*$T173*$U173)/(($I173/2)*$S173))^$W173))</f>
        <v>55.899989509270952</v>
      </c>
      <c r="AQ173" s="401">
        <f>$R173/(1+($V173*(('Traffic Data'!AC92*$T173*$U173)/(($I173/2)*$S173))^$W173))</f>
        <v>55.899987598378296</v>
      </c>
      <c r="AR173" s="401">
        <f>$R173/(1+($V173*(('Traffic Data'!AD92*$T173*$U173)/(($I173/2)*$S173))^$W173))</f>
        <v>55.899985379034909</v>
      </c>
      <c r="AS173" s="401">
        <f>$R173/(1+($V173*(('Traffic Data'!AE92*$T173*$U173)/(($I173/2)*$S173))^$W173))</f>
        <v>55.899982808428518</v>
      </c>
      <c r="AT173" s="401">
        <f>$R173/(1+($V173*(('Traffic Data'!AF92*$T173*$U173)/(($I173/2)*$S173))^$W173))</f>
        <v>55.899979838918505</v>
      </c>
      <c r="AU173" s="401">
        <f>$R173/(1+($V173*(('Traffic Data'!AG92*$T173*$U173)/(($I173/2)*$S173))^$W173))</f>
        <v>55.899976414415917</v>
      </c>
      <c r="AV173" s="401">
        <f>$R173/(1+($V173*(('Traffic Data'!AH92*$T173*$U173)/(($I173/2)*$S173))^$W173))</f>
        <v>55.899972475017449</v>
      </c>
      <c r="AW173" s="372">
        <f>$R173/(1+($V173*(('Traffic Data'!AI92*$T173*$U173)/(($I173/2)*$S173))^$W173))</f>
        <v>55.899967954443063</v>
      </c>
      <c r="AX173" s="400">
        <f>$R173/(1+($V173*(('Traffic Data'!J92*(0.67/14))/(($I173)*$S173))^$W173))</f>
        <v>55.899999999999565</v>
      </c>
      <c r="AY173" s="401">
        <f>$R173/(1+($V173*(('Traffic Data'!J92*(0.67/14))/(($I173)*$S173))^$W173))</f>
        <v>55.899999999999565</v>
      </c>
      <c r="AZ173" s="401">
        <f>$R173/(1+($V173*(('Traffic Data'!K92*(0.67/14))/(($I173)*$S173))^$W173))</f>
        <v>55.89999999999943</v>
      </c>
      <c r="BA173" s="401">
        <f>$R173/(1+($V173*(('Traffic Data'!L92*(0.67/14))/(($I173)*$S173))^$W173))</f>
        <v>55.899999999999217</v>
      </c>
      <c r="BB173" s="401">
        <f>$R173/(1+($V173*(('Traffic Data'!M92*(0.67/14))/(($I173)*$S173))^$W173))</f>
        <v>55.899999999998855</v>
      </c>
      <c r="BC173" s="401">
        <f>$R173/(1+($V173*(('Traffic Data'!N92*(0.67/14))/(($I173)*$S173))^$W173))</f>
        <v>55.89999999999835</v>
      </c>
      <c r="BD173" s="401">
        <f>$R173/(1+($V173*(('Traffic Data'!O92*(0.67/14))/(($I173)*$S173))^$W173))</f>
        <v>55.89999999999764</v>
      </c>
      <c r="BE173" s="401">
        <f>$R173/(1+($V173*(('Traffic Data'!P92*(0.67/14))/(($I173)*$S173))^$W173))</f>
        <v>55.899999999996687</v>
      </c>
      <c r="BF173" s="401">
        <f>$R173/(1+($V173*(('Traffic Data'!Q92*(0.67/14))/(($I173)*$S173))^$W173))</f>
        <v>55.89999999999538</v>
      </c>
      <c r="BG173" s="401">
        <f>$R173/(1+($V173*(('Traffic Data'!R92*(0.67/14))/(($I173)*$S173))^$W173))</f>
        <v>55.899999999993369</v>
      </c>
      <c r="BH173" s="401">
        <f>$R173/(1+($V173*(('Traffic Data'!S92*(0.67/14))/(($I173)*$S173))^$W173))</f>
        <v>55.899999999990605</v>
      </c>
      <c r="BI173" s="401">
        <f>$R173/(1+($V173*(('Traffic Data'!T92*(0.67/14))/(($I173)*$S173))^$W173))</f>
        <v>55.899999999986832</v>
      </c>
      <c r="BJ173" s="401">
        <f>$R173/(1+($V173*(('Traffic Data'!U92*(0.67/14))/(($I173)*$S173))^$W173))</f>
        <v>55.899999999981752</v>
      </c>
      <c r="BK173" s="401">
        <f>$R173/(1+($V173*(('Traffic Data'!V92*(0.67/14))/(($I173)*$S173))^$W173))</f>
        <v>55.899999999974973</v>
      </c>
      <c r="BL173" s="401">
        <f>$R173/(1+($V173*(('Traffic Data'!W92*(0.67/14))/(($I173)*$S173))^$W173))</f>
        <v>55.899999999967925</v>
      </c>
      <c r="BM173" s="401">
        <f>$R173/(1+($V173*(('Traffic Data'!X92*(0.67/14))/(($I173)*$S173))^$W173))</f>
        <v>55.899999999961494</v>
      </c>
      <c r="BN173" s="401">
        <f>$R173/(1+($V173*(('Traffic Data'!Y92*(0.67/14))/(($I173)*$S173))^$W173))</f>
        <v>55.899999999953934</v>
      </c>
      <c r="BO173" s="401">
        <f>$R173/(1+($V173*(('Traffic Data'!Z92*(0.67/14))/(($I173)*$S173))^$W173))</f>
        <v>55.899999999945059</v>
      </c>
      <c r="BP173" s="401">
        <f>$R173/(1+($V173*(('Traffic Data'!AA92*(0.67/14))/(($I173)*$S173))^$W173))</f>
        <v>55.899999999934671</v>
      </c>
      <c r="BQ173" s="401">
        <f>$R173/(1+($V173*(('Traffic Data'!AB92*(0.67/14))/(($I173)*$S173))^$W173))</f>
        <v>55.899999999922549</v>
      </c>
      <c r="BR173" s="401">
        <f>$R173/(1+($V173*(('Traffic Data'!AC92*(0.67/14))/(($I173)*$S173))^$W173))</f>
        <v>55.899999999908445</v>
      </c>
      <c r="BS173" s="401">
        <f>$R173/(1+($V173*(('Traffic Data'!AD92*(0.67/14))/(($I173)*$S173))^$W173))</f>
        <v>55.899999999892046</v>
      </c>
      <c r="BT173" s="401">
        <f>$R173/(1+($V173*(('Traffic Data'!AE92*(0.67/14))/(($I173)*$S173))^$W173))</f>
        <v>55.899999999873067</v>
      </c>
      <c r="BU173" s="401">
        <f>$R173/(1+($V173*(('Traffic Data'!AF92*(0.67/14))/(($I173)*$S173))^$W173))</f>
        <v>55.899999999851147</v>
      </c>
      <c r="BV173" s="401">
        <f>$R173/(1+($V173*(('Traffic Data'!AG92*(0.67/14))/(($I173)*$S173))^$W173))</f>
        <v>55.899999999825866</v>
      </c>
      <c r="BW173" s="645">
        <f>$R173/(1+($V173*(('Traffic Data'!AH92*(0.67/14))/(($I173)*$S173))^$W173))</f>
        <v>55.899999999796783</v>
      </c>
    </row>
    <row r="174" spans="1:75" ht="21.95" customHeight="1" thickBot="1" x14ac:dyDescent="0.25">
      <c r="A174" s="642"/>
      <c r="B174" s="643"/>
      <c r="C174" s="656"/>
      <c r="D174" s="656" t="s">
        <v>280</v>
      </c>
      <c r="E174" s="656" t="s">
        <v>333</v>
      </c>
      <c r="F174" s="657">
        <f>'Traffic Data'!CM88</f>
        <v>0.83333333333333337</v>
      </c>
      <c r="G174" s="657">
        <f>'Traffic Data'!CN88</f>
        <v>0.9</v>
      </c>
      <c r="H174" s="658">
        <f>'Traffic Data'!G93</f>
        <v>55</v>
      </c>
      <c r="I174" s="658">
        <v>2</v>
      </c>
      <c r="J174" s="658">
        <f t="shared" si="14"/>
        <v>62</v>
      </c>
      <c r="K174" s="658">
        <v>4.2</v>
      </c>
      <c r="L174" s="658">
        <v>2.5</v>
      </c>
      <c r="M174" s="658">
        <v>0</v>
      </c>
      <c r="N174" s="658">
        <v>0</v>
      </c>
      <c r="O174" s="658">
        <v>0</v>
      </c>
      <c r="P174" s="658">
        <v>0</v>
      </c>
      <c r="Q174" s="658">
        <v>0</v>
      </c>
      <c r="R174" s="659">
        <f t="shared" si="15"/>
        <v>55.3</v>
      </c>
      <c r="S174" s="660">
        <f>F174*G174*N$22</f>
        <v>600</v>
      </c>
      <c r="T174" s="661">
        <v>0.12</v>
      </c>
      <c r="U174" s="662">
        <v>0.65</v>
      </c>
      <c r="V174" s="663">
        <f t="shared" si="17"/>
        <v>0.2</v>
      </c>
      <c r="W174" s="664">
        <v>10</v>
      </c>
      <c r="X174" s="665">
        <f>$R174/(1+($V174*(('Traffic Data'!J93*$T174*$U174)/(($I174/2)*$S174))^$W174))</f>
        <v>55.299903328088064</v>
      </c>
      <c r="Y174" s="666">
        <f>$R174/(1+($V174*(('Traffic Data'!K93*$T174*$U174)/(($I174/2)*$S174))^$W174))</f>
        <v>55.299872139104522</v>
      </c>
      <c r="Z174" s="666">
        <f>$R174/(1+($V174*(('Traffic Data'!L93*$T174*$U174)/(($I174/2)*$S174))^$W174))</f>
        <v>55.299825780914766</v>
      </c>
      <c r="AA174" s="666">
        <f>$R174/(1+($V174*(('Traffic Data'!M93*$T174*$U174)/(($I174/2)*$S174))^$W174))</f>
        <v>55.299744766508944</v>
      </c>
      <c r="AB174" s="666">
        <f>$R174/(1+($V174*(('Traffic Data'!N93*$T174*$U174)/(($I174/2)*$S174))^$W174))</f>
        <v>55.299631252346366</v>
      </c>
      <c r="AC174" s="666">
        <f>$R174/(1+($V174*(('Traffic Data'!O93*$T174*$U174)/(($I174/2)*$S174))^$W174))</f>
        <v>55.299474194895502</v>
      </c>
      <c r="AD174" s="666">
        <f>$R174/(1+($V174*(('Traffic Data'!P93*$T174*$U174)/(($I174/2)*$S174))^$W174))</f>
        <v>55.299259345915843</v>
      </c>
      <c r="AE174" s="666">
        <f>$R174/(1+($V174*(('Traffic Data'!Q93*$T174*$U174)/(($I174/2)*$S174))^$W174))</f>
        <v>55.29896841576236</v>
      </c>
      <c r="AF174" s="666">
        <f>$R174/(1+($V174*(('Traffic Data'!R93*$T174*$U174)/(($I174/2)*$S174))^$W174))</f>
        <v>55.298518870509625</v>
      </c>
      <c r="AG174" s="666">
        <f>$R174/(1+($V174*(('Traffic Data'!S93*$T174*$U174)/(($I174/2)*$S174))^$W174))</f>
        <v>55.297900140526224</v>
      </c>
      <c r="AH174" s="666">
        <f>$R174/(1+($V174*(('Traffic Data'!T93*$T174*$U174)/(($I174/2)*$S174))^$W174))</f>
        <v>55.297057908389334</v>
      </c>
      <c r="AI174" s="666">
        <f>$R174/(1+($V174*(('Traffic Data'!U93*$T174*$U174)/(($I174/2)*$S174))^$W174))</f>
        <v>55.295922814221832</v>
      </c>
      <c r="AJ174" s="666">
        <f>$R174/(1+($V174*(('Traffic Data'!V93*$T174*$U174)/(($I174/2)*$S174))^$W174))</f>
        <v>55.294407480664205</v>
      </c>
      <c r="AK174" s="666">
        <f>$R174/(1+($V174*(('Traffic Data'!W93*$T174*$U174)/(($I174/2)*$S174))^$W174))</f>
        <v>55.292832725739309</v>
      </c>
      <c r="AL174" s="666">
        <f>$R174/(1+($V174*(('Traffic Data'!X93*$T174*$U174)/(($I174/2)*$S174))^$W174))</f>
        <v>55.291396481356756</v>
      </c>
      <c r="AM174" s="666">
        <f>$R174/(1+($V174*(('Traffic Data'!Y93*$T174*$U174)/(($I174/2)*$S174))^$W174))</f>
        <v>55.289706265740314</v>
      </c>
      <c r="AN174" s="666">
        <f>$R174/(1+($V174*(('Traffic Data'!Z93*$T174*$U174)/(($I174/2)*$S174))^$W174))</f>
        <v>55.287722938607139</v>
      </c>
      <c r="AO174" s="666">
        <f>$R174/(1+($V174*(('Traffic Data'!AA93*$T174*$U174)/(($I174/2)*$S174))^$W174))</f>
        <v>55.285402925155033</v>
      </c>
      <c r="AP174" s="666">
        <f>$R174/(1+($V174*(('Traffic Data'!AB93*$T174*$U174)/(($I174/2)*$S174))^$W174))</f>
        <v>55.282694820980794</v>
      </c>
      <c r="AQ174" s="666">
        <f>$R174/(1+($V174*(('Traffic Data'!AC93*$T174*$U174)/(($I174/2)*$S174))^$W174))</f>
        <v>55.279543837445445</v>
      </c>
      <c r="AR174" s="666">
        <f>$R174/(1+($V174*(('Traffic Data'!AD93*$T174*$U174)/(($I174/2)*$S174))^$W174))</f>
        <v>55.275884681881749</v>
      </c>
      <c r="AS174" s="666">
        <f>$R174/(1+($V174*(('Traffic Data'!AE93*$T174*$U174)/(($I174/2)*$S174))^$W174))</f>
        <v>55.271646984448161</v>
      </c>
      <c r="AT174" s="666">
        <f>$R174/(1+($V174*(('Traffic Data'!AF93*$T174*$U174)/(($I174/2)*$S174))^$W174))</f>
        <v>55.26675249445433</v>
      </c>
      <c r="AU174" s="666">
        <f>$R174/(1+($V174*(('Traffic Data'!AG93*$T174*$U174)/(($I174/2)*$S174))^$W174))</f>
        <v>55.26110913919279</v>
      </c>
      <c r="AV174" s="666">
        <f>$R174/(1+($V174*(('Traffic Data'!AH93*$T174*$U174)/(($I174/2)*$S174))^$W174))</f>
        <v>55.254618693819353</v>
      </c>
      <c r="AW174" s="667">
        <f>$R174/(1+($V174*(('Traffic Data'!AI93*$T174*$U174)/(($I174/2)*$S174))^$W174))</f>
        <v>55.24717259603203</v>
      </c>
      <c r="AX174" s="665">
        <f>$R174/(1+($V174*(('Traffic Data'!J93*(0.67/14))/(($I174)*$S174))^$W174))</f>
        <v>55.299999999286285</v>
      </c>
      <c r="AY174" s="666">
        <f>$R174/(1+($V174*(('Traffic Data'!J93*(0.67/14))/(($I174)*$S174))^$W174))</f>
        <v>55.299999999286285</v>
      </c>
      <c r="AZ174" s="666">
        <f>$R174/(1+($V174*(('Traffic Data'!K93*(0.67/14))/(($I174)*$S174))^$W174))</f>
        <v>55.29999999905602</v>
      </c>
      <c r="BA174" s="666">
        <f>$R174/(1+($V174*(('Traffic Data'!L93*(0.67/14))/(($I174)*$S174))^$W174))</f>
        <v>55.299999998713766</v>
      </c>
      <c r="BB174" s="666">
        <f>$R174/(1+($V174*(('Traffic Data'!M93*(0.67/14))/(($I174)*$S174))^$W174))</f>
        <v>55.299999998115652</v>
      </c>
      <c r="BC174" s="666">
        <f>$R174/(1+($V174*(('Traffic Data'!N93*(0.67/14))/(($I174)*$S174))^$W174))</f>
        <v>55.299999997277581</v>
      </c>
      <c r="BD174" s="666">
        <f>$R174/(1+($V174*(('Traffic Data'!O93*(0.67/14))/(($I174)*$S174))^$W174))</f>
        <v>55.299999996118046</v>
      </c>
      <c r="BE174" s="666">
        <f>$R174/(1+($V174*(('Traffic Data'!P93*(0.67/14))/(($I174)*$S174))^$W174))</f>
        <v>55.299999994531809</v>
      </c>
      <c r="BF174" s="666">
        <f>$R174/(1+($V174*(('Traffic Data'!Q93*(0.67/14))/(($I174)*$S174))^$W174))</f>
        <v>55.299999992383867</v>
      </c>
      <c r="BG174" s="666">
        <f>$R174/(1+($V174*(('Traffic Data'!R93*(0.67/14))/(($I174)*$S174))^$W174))</f>
        <v>55.299999989064801</v>
      </c>
      <c r="BH174" s="666">
        <f>$R174/(1+($V174*(('Traffic Data'!S93*(0.67/14))/(($I174)*$S174))^$W174))</f>
        <v>55.299999984496544</v>
      </c>
      <c r="BI174" s="666">
        <f>$R174/(1+($V174*(('Traffic Data'!T93*(0.67/14))/(($I174)*$S174))^$W174))</f>
        <v>55.299999978277938</v>
      </c>
      <c r="BJ174" s="666">
        <f>$R174/(1+($V174*(('Traffic Data'!U93*(0.67/14))/(($I174)*$S174))^$W174))</f>
        <v>55.299999969896689</v>
      </c>
      <c r="BK174" s="666">
        <f>$R174/(1+($V174*(('Traffic Data'!V93*(0.67/14))/(($I174)*$S174))^$W174))</f>
        <v>55.299999958707311</v>
      </c>
      <c r="BL174" s="666">
        <f>$R174/(1+($V174*(('Traffic Data'!W93*(0.67/14))/(($I174)*$S174))^$W174))</f>
        <v>55.299999947078511</v>
      </c>
      <c r="BM174" s="666">
        <f>$R174/(1+($V174*(('Traffic Data'!X93*(0.67/14))/(($I174)*$S174))^$W174))</f>
        <v>55.299999936471977</v>
      </c>
      <c r="BN174" s="666">
        <f>$R174/(1+($V174*(('Traffic Data'!Y93*(0.67/14))/(($I174)*$S174))^$W174))</f>
        <v>55.299999923989162</v>
      </c>
      <c r="BO174" s="666">
        <f>$R174/(1+($V174*(('Traffic Data'!Z93*(0.67/14))/(($I174)*$S174))^$W174))</f>
        <v>55.299999909340663</v>
      </c>
      <c r="BP174" s="666">
        <f>$R174/(1+($V174*(('Traffic Data'!AA93*(0.67/14))/(($I174)*$S174))^$W174))</f>
        <v>55.299999892204113</v>
      </c>
      <c r="BQ174" s="666">
        <f>$R174/(1+($V174*(('Traffic Data'!AB93*(0.67/14))/(($I174)*$S174))^$W174))</f>
        <v>55.299999872199152</v>
      </c>
      <c r="BR174" s="666">
        <f>$R174/(1+($V174*(('Traffic Data'!AC93*(0.67/14))/(($I174)*$S174))^$W174))</f>
        <v>55.299999848920152</v>
      </c>
      <c r="BS174" s="666">
        <f>$R174/(1+($V174*(('Traffic Data'!AD93*(0.67/14))/(($I174)*$S174))^$W174))</f>
        <v>55.299999821883517</v>
      </c>
      <c r="BT174" s="666">
        <f>$R174/(1+($V174*(('Traffic Data'!AE93*(0.67/14))/(($I174)*$S174))^$W174))</f>
        <v>55.299999790567696</v>
      </c>
      <c r="BU174" s="666">
        <f>$R174/(1+($V174*(('Traffic Data'!AF93*(0.67/14))/(($I174)*$S174))^$W174))</f>
        <v>55.299999754392317</v>
      </c>
      <c r="BV174" s="666">
        <f>$R174/(1+($V174*(('Traffic Data'!AG93*(0.67/14))/(($I174)*$S174))^$W174))</f>
        <v>55.299999712674101</v>
      </c>
      <c r="BW174" s="668">
        <f>$R174/(1+($V174*(('Traffic Data'!AH93*(0.67/14))/(($I174)*$S174))^$W174))</f>
        <v>55.29999966468327</v>
      </c>
    </row>
    <row r="175" spans="1:75" ht="21.95" customHeight="1" thickTop="1" x14ac:dyDescent="0.2"/>
    <row r="177" spans="2:23" ht="21.95" customHeight="1" x14ac:dyDescent="0.2">
      <c r="B177" s="1445" t="s">
        <v>211</v>
      </c>
      <c r="C177" s="1445"/>
      <c r="D177" s="1445"/>
      <c r="E177" s="1445"/>
      <c r="F177" s="1445"/>
      <c r="G177" s="1445"/>
      <c r="H177" s="112"/>
      <c r="I177" s="112"/>
      <c r="J177" s="112"/>
      <c r="K177" s="112"/>
    </row>
    <row r="178" spans="2:23" ht="21.95" customHeight="1" x14ac:dyDescent="0.2">
      <c r="B178" s="9" t="s">
        <v>217</v>
      </c>
      <c r="C178" s="112"/>
      <c r="D178" s="112"/>
      <c r="E178" s="112"/>
      <c r="F178" s="112"/>
      <c r="G178" s="112"/>
      <c r="H178" s="112"/>
      <c r="I178" s="112"/>
      <c r="J178" s="112"/>
      <c r="K178" s="112"/>
    </row>
    <row r="179" spans="2:23" ht="21.95" customHeight="1" x14ac:dyDescent="0.2">
      <c r="B179" s="112"/>
      <c r="C179" s="112"/>
      <c r="D179" s="112"/>
      <c r="E179" s="112"/>
      <c r="F179" s="112"/>
    </row>
    <row r="180" spans="2:23" ht="21.95" customHeight="1" x14ac:dyDescent="0.2">
      <c r="B180" s="112"/>
      <c r="C180" s="112"/>
      <c r="D180" s="112"/>
      <c r="E180" s="112"/>
      <c r="F180" s="112"/>
      <c r="G180" s="112"/>
      <c r="H180" s="112"/>
      <c r="I180" s="112"/>
      <c r="J180" s="112"/>
      <c r="K180" s="112"/>
    </row>
    <row r="181" spans="2:23" ht="21.95" customHeight="1" x14ac:dyDescent="0.2">
      <c r="B181" s="194" t="s">
        <v>218</v>
      </c>
      <c r="F181" s="971"/>
      <c r="G181" s="971"/>
      <c r="H181" s="971" t="s">
        <v>648</v>
      </c>
    </row>
    <row r="182" spans="2:23" ht="21.95" customHeight="1" x14ac:dyDescent="0.2">
      <c r="B182" t="s">
        <v>155</v>
      </c>
    </row>
    <row r="183" spans="2:23" ht="21.95" customHeight="1" thickBot="1" x14ac:dyDescent="0.25">
      <c r="B183" t="s">
        <v>157</v>
      </c>
    </row>
    <row r="184" spans="2:23" ht="21.95" customHeight="1" thickTop="1" x14ac:dyDescent="0.2">
      <c r="B184" s="64"/>
      <c r="C184" s="65"/>
      <c r="D184" s="65"/>
      <c r="E184" s="65"/>
      <c r="F184" s="65"/>
      <c r="G184" s="65"/>
      <c r="H184" s="65"/>
      <c r="I184" s="65"/>
      <c r="J184" s="65"/>
      <c r="K184" s="65"/>
      <c r="L184" s="65"/>
      <c r="M184" s="65"/>
      <c r="N184" s="65"/>
      <c r="O184" s="65"/>
      <c r="P184" s="65"/>
      <c r="Q184" s="65"/>
      <c r="R184" s="65"/>
      <c r="S184" s="65"/>
      <c r="T184" s="65"/>
      <c r="U184" s="65"/>
      <c r="V184" s="65"/>
      <c r="W184" s="66"/>
    </row>
    <row r="185" spans="2:23" ht="21.95" customHeight="1" x14ac:dyDescent="0.2">
      <c r="B185" s="67"/>
      <c r="C185" s="68" t="s">
        <v>135</v>
      </c>
      <c r="D185" s="68"/>
      <c r="E185" s="68"/>
      <c r="F185" s="69"/>
      <c r="G185" s="69"/>
      <c r="H185" s="69"/>
      <c r="I185" s="570"/>
      <c r="J185" s="69"/>
      <c r="K185" s="69"/>
      <c r="L185" s="69"/>
      <c r="M185" s="69"/>
      <c r="N185" s="69"/>
      <c r="O185" s="69"/>
      <c r="P185" s="69"/>
      <c r="Q185" s="69"/>
      <c r="R185" s="69"/>
      <c r="S185" s="69"/>
      <c r="T185" s="69"/>
      <c r="U185" s="69"/>
      <c r="V185" s="69"/>
      <c r="W185" s="70"/>
    </row>
    <row r="186" spans="2:23" ht="21.95" customHeight="1" x14ac:dyDescent="0.2">
      <c r="B186" s="71"/>
      <c r="C186" s="72" t="s">
        <v>136</v>
      </c>
      <c r="D186" s="72"/>
      <c r="E186" s="72"/>
      <c r="F186" s="69"/>
      <c r="G186" s="69"/>
      <c r="H186" s="69"/>
      <c r="I186" s="69"/>
      <c r="J186" s="69"/>
      <c r="K186" s="69"/>
      <c r="L186" s="69"/>
      <c r="M186" s="69"/>
      <c r="N186" s="69"/>
      <c r="O186" s="69"/>
      <c r="P186" s="69"/>
      <c r="Q186" s="69"/>
      <c r="R186" s="69"/>
      <c r="S186" s="69"/>
      <c r="T186" s="69"/>
      <c r="U186" s="69"/>
      <c r="V186" s="69"/>
      <c r="W186" s="70"/>
    </row>
    <row r="187" spans="2:23" ht="21.95" customHeight="1" x14ac:dyDescent="0.2">
      <c r="B187" s="71"/>
      <c r="C187" s="73"/>
      <c r="D187" s="73"/>
      <c r="E187" s="73"/>
      <c r="F187" s="73"/>
      <c r="G187" s="73"/>
      <c r="H187" s="73"/>
      <c r="I187" s="73"/>
      <c r="J187" s="73"/>
      <c r="K187" s="73"/>
      <c r="L187" s="73"/>
      <c r="M187" s="73"/>
      <c r="N187" s="73"/>
      <c r="O187" s="73"/>
      <c r="P187" s="73"/>
      <c r="Q187" s="73"/>
      <c r="R187" s="73"/>
      <c r="S187" s="73"/>
      <c r="T187" s="73"/>
      <c r="U187" s="73"/>
      <c r="V187" s="73"/>
      <c r="W187" s="70"/>
    </row>
    <row r="188" spans="2:23" ht="21.95" customHeight="1" x14ac:dyDescent="0.2">
      <c r="B188" s="71"/>
      <c r="C188" s="74" t="s">
        <v>137</v>
      </c>
      <c r="D188" s="266"/>
      <c r="E188" s="266"/>
      <c r="F188" s="75" t="s">
        <v>138</v>
      </c>
      <c r="G188" s="76"/>
      <c r="H188" s="76"/>
      <c r="I188" s="76"/>
      <c r="J188" s="76"/>
      <c r="K188" s="76"/>
      <c r="L188" s="76"/>
      <c r="M188" s="76"/>
      <c r="N188" s="76"/>
      <c r="O188" s="76"/>
      <c r="P188" s="76"/>
      <c r="Q188" s="76"/>
      <c r="R188" s="77"/>
      <c r="S188" s="78"/>
      <c r="T188" s="397"/>
      <c r="U188" s="397"/>
      <c r="V188" s="397"/>
      <c r="W188" s="70"/>
    </row>
    <row r="189" spans="2:23" ht="21.95" customHeight="1" x14ac:dyDescent="0.2">
      <c r="B189" s="71"/>
      <c r="C189" s="79" t="s">
        <v>139</v>
      </c>
      <c r="D189" s="267"/>
      <c r="E189" s="267"/>
      <c r="F189" s="80" t="s">
        <v>140</v>
      </c>
      <c r="G189" s="81"/>
      <c r="H189" s="81"/>
      <c r="I189" s="81"/>
      <c r="J189" s="81"/>
      <c r="K189" s="81"/>
      <c r="L189" s="81" t="s">
        <v>141</v>
      </c>
      <c r="M189" s="81"/>
      <c r="N189" s="81"/>
      <c r="O189" s="81"/>
      <c r="P189" s="81"/>
      <c r="Q189" s="81"/>
      <c r="R189" s="82" t="s">
        <v>142</v>
      </c>
      <c r="S189" s="83"/>
      <c r="T189" s="398"/>
      <c r="U189" s="398"/>
      <c r="V189" s="398"/>
      <c r="W189" s="70"/>
    </row>
    <row r="190" spans="2:23" ht="21.95" customHeight="1" x14ac:dyDescent="0.2">
      <c r="B190" s="71"/>
      <c r="C190" s="84" t="s">
        <v>143</v>
      </c>
      <c r="D190" s="268"/>
      <c r="E190" s="268"/>
      <c r="F190" s="85" t="s">
        <v>144</v>
      </c>
      <c r="G190" s="86" t="s">
        <v>145</v>
      </c>
      <c r="H190" s="86"/>
      <c r="I190" s="86"/>
      <c r="J190" s="86"/>
      <c r="K190" s="86"/>
      <c r="L190" s="86" t="s">
        <v>144</v>
      </c>
      <c r="M190" s="86"/>
      <c r="N190" s="86"/>
      <c r="O190" s="86"/>
      <c r="P190" s="86"/>
      <c r="Q190" s="86" t="s">
        <v>145</v>
      </c>
      <c r="R190" s="86" t="s">
        <v>144</v>
      </c>
      <c r="S190" s="87" t="s">
        <v>145</v>
      </c>
      <c r="T190" s="399"/>
      <c r="U190" s="399"/>
      <c r="V190" s="399"/>
      <c r="W190" s="70"/>
    </row>
    <row r="191" spans="2:23" ht="21.95" customHeight="1" x14ac:dyDescent="0.2">
      <c r="B191" s="71"/>
      <c r="C191" s="88">
        <v>1</v>
      </c>
      <c r="D191" s="269"/>
      <c r="E191" s="269"/>
      <c r="F191" s="89">
        <v>8.5000000000000006E-2</v>
      </c>
      <c r="G191" s="90">
        <v>8.5000000000000006E-2</v>
      </c>
      <c r="H191" s="90"/>
      <c r="I191" s="90"/>
      <c r="J191" s="90"/>
      <c r="K191" s="90"/>
      <c r="L191" s="90">
        <v>8.5000000000000006E-2</v>
      </c>
      <c r="M191" s="90"/>
      <c r="N191" s="90"/>
      <c r="O191" s="90"/>
      <c r="P191" s="90"/>
      <c r="Q191" s="90">
        <v>8.5000000000000006E-2</v>
      </c>
      <c r="R191" s="90">
        <v>8.5000000000000006E-2</v>
      </c>
      <c r="S191" s="91">
        <v>8.5000000000000006E-2</v>
      </c>
      <c r="T191" s="105"/>
      <c r="U191" s="105"/>
      <c r="V191" s="105"/>
      <c r="W191" s="70"/>
    </row>
    <row r="192" spans="2:23" ht="21.95" customHeight="1" x14ac:dyDescent="0.2">
      <c r="B192" s="71"/>
      <c r="C192" s="92">
        <v>2</v>
      </c>
      <c r="D192" s="270"/>
      <c r="E192" s="270"/>
      <c r="F192" s="93">
        <v>0.16800000000000001</v>
      </c>
      <c r="G192" s="94">
        <v>0.16800000000000001</v>
      </c>
      <c r="H192" s="94"/>
      <c r="I192" s="94"/>
      <c r="J192" s="94"/>
      <c r="K192" s="94"/>
      <c r="L192" s="94">
        <v>0.16800000000000001</v>
      </c>
      <c r="M192" s="94"/>
      <c r="N192" s="94"/>
      <c r="O192" s="94"/>
      <c r="P192" s="94"/>
      <c r="Q192" s="94">
        <v>0.16800000000000001</v>
      </c>
      <c r="R192" s="94">
        <v>0.16800000000000001</v>
      </c>
      <c r="S192" s="95">
        <v>0.16800000000000001</v>
      </c>
      <c r="T192" s="105"/>
      <c r="U192" s="105"/>
      <c r="V192" s="105"/>
      <c r="W192" s="70"/>
    </row>
    <row r="193" spans="2:23" ht="21.95" customHeight="1" x14ac:dyDescent="0.2">
      <c r="B193" s="71"/>
      <c r="C193" s="92">
        <v>3</v>
      </c>
      <c r="D193" s="270"/>
      <c r="E193" s="270"/>
      <c r="F193" s="93">
        <v>0.25</v>
      </c>
      <c r="G193" s="94">
        <v>0.25</v>
      </c>
      <c r="H193" s="94"/>
      <c r="I193" s="94"/>
      <c r="J193" s="94"/>
      <c r="K193" s="94"/>
      <c r="L193" s="94">
        <v>0.25</v>
      </c>
      <c r="M193" s="94"/>
      <c r="N193" s="94"/>
      <c r="O193" s="94"/>
      <c r="P193" s="94"/>
      <c r="Q193" s="94">
        <v>0.25</v>
      </c>
      <c r="R193" s="94">
        <v>0.25</v>
      </c>
      <c r="S193" s="95">
        <v>0.25</v>
      </c>
      <c r="T193" s="105"/>
      <c r="U193" s="105"/>
      <c r="V193" s="105"/>
      <c r="W193" s="70"/>
    </row>
    <row r="194" spans="2:23" ht="21.95" customHeight="1" x14ac:dyDescent="0.2">
      <c r="B194" s="71"/>
      <c r="C194" s="92">
        <v>4</v>
      </c>
      <c r="D194" s="270"/>
      <c r="E194" s="270"/>
      <c r="F194" s="93">
        <v>0.32800000000000001</v>
      </c>
      <c r="G194" s="94">
        <v>0.32800000000000001</v>
      </c>
      <c r="H194" s="94"/>
      <c r="I194" s="94"/>
      <c r="J194" s="94"/>
      <c r="K194" s="94"/>
      <c r="L194" s="94">
        <v>0.32800000000000001</v>
      </c>
      <c r="M194" s="94"/>
      <c r="N194" s="94"/>
      <c r="O194" s="94"/>
      <c r="P194" s="94"/>
      <c r="Q194" s="94">
        <v>0.32800000000000001</v>
      </c>
      <c r="R194" s="94">
        <v>0.32800000000000001</v>
      </c>
      <c r="S194" s="95">
        <v>0.32800000000000001</v>
      </c>
      <c r="T194" s="105"/>
      <c r="U194" s="105"/>
      <c r="V194" s="105"/>
      <c r="W194" s="70"/>
    </row>
    <row r="195" spans="2:23" ht="21.95" customHeight="1" x14ac:dyDescent="0.2">
      <c r="B195" s="71"/>
      <c r="C195" s="92">
        <v>5</v>
      </c>
      <c r="D195" s="270"/>
      <c r="E195" s="270"/>
      <c r="F195" s="93">
        <v>0.40300000000000002</v>
      </c>
      <c r="G195" s="94">
        <v>0.40300000000000002</v>
      </c>
      <c r="H195" s="94"/>
      <c r="I195" s="94"/>
      <c r="J195" s="94"/>
      <c r="K195" s="94"/>
      <c r="L195" s="94">
        <v>0.40300000000000002</v>
      </c>
      <c r="M195" s="94"/>
      <c r="N195" s="94"/>
      <c r="O195" s="94"/>
      <c r="P195" s="94"/>
      <c r="Q195" s="94">
        <v>0.40300000000000002</v>
      </c>
      <c r="R195" s="94">
        <v>0.40300000000000002</v>
      </c>
      <c r="S195" s="95">
        <v>0.40300000000000002</v>
      </c>
      <c r="T195" s="105"/>
      <c r="U195" s="105"/>
      <c r="V195" s="105"/>
      <c r="W195" s="70"/>
    </row>
    <row r="196" spans="2:23" ht="21.95" customHeight="1" x14ac:dyDescent="0.2">
      <c r="B196" s="71"/>
      <c r="C196" s="92">
        <v>6</v>
      </c>
      <c r="D196" s="270"/>
      <c r="E196" s="270"/>
      <c r="F196" s="93">
        <v>0.47400000000000003</v>
      </c>
      <c r="G196" s="94">
        <v>0.47400000000000003</v>
      </c>
      <c r="H196" s="94"/>
      <c r="I196" s="94"/>
      <c r="J196" s="94"/>
      <c r="K196" s="94"/>
      <c r="L196" s="94">
        <v>0.47400000000000003</v>
      </c>
      <c r="M196" s="94"/>
      <c r="N196" s="94"/>
      <c r="O196" s="94"/>
      <c r="P196" s="94"/>
      <c r="Q196" s="94">
        <v>0.47400000000000003</v>
      </c>
      <c r="R196" s="94">
        <v>0.47400000000000003</v>
      </c>
      <c r="S196" s="95">
        <v>0.47400000000000003</v>
      </c>
      <c r="T196" s="105"/>
      <c r="U196" s="105"/>
      <c r="V196" s="105"/>
      <c r="W196" s="70"/>
    </row>
    <row r="197" spans="2:23" ht="21.95" customHeight="1" x14ac:dyDescent="0.2">
      <c r="B197" s="71"/>
      <c r="C197" s="92">
        <v>7</v>
      </c>
      <c r="D197" s="270"/>
      <c r="E197" s="270"/>
      <c r="F197" s="93">
        <v>0.54200000000000004</v>
      </c>
      <c r="G197" s="94">
        <v>0.54200000000000004</v>
      </c>
      <c r="H197" s="94"/>
      <c r="I197" s="94"/>
      <c r="J197" s="94"/>
      <c r="K197" s="94"/>
      <c r="L197" s="94">
        <v>0.54200000000000004</v>
      </c>
      <c r="M197" s="94"/>
      <c r="N197" s="94"/>
      <c r="O197" s="94"/>
      <c r="P197" s="94"/>
      <c r="Q197" s="94">
        <v>0.54200000000000004</v>
      </c>
      <c r="R197" s="94">
        <v>0.54200000000000004</v>
      </c>
      <c r="S197" s="95">
        <v>0.54200000000000004</v>
      </c>
      <c r="T197" s="105"/>
      <c r="U197" s="105"/>
      <c r="V197" s="105"/>
      <c r="W197" s="70"/>
    </row>
    <row r="198" spans="2:23" ht="21.95" customHeight="1" x14ac:dyDescent="0.2">
      <c r="B198" s="71"/>
      <c r="C198" s="92">
        <v>8</v>
      </c>
      <c r="D198" s="270"/>
      <c r="E198" s="270"/>
      <c r="F198" s="93">
        <v>0.6080000000000001</v>
      </c>
      <c r="G198" s="94">
        <v>0.6080000000000001</v>
      </c>
      <c r="H198" s="94"/>
      <c r="I198" s="94"/>
      <c r="J198" s="94"/>
      <c r="K198" s="94"/>
      <c r="L198" s="94">
        <v>0.6080000000000001</v>
      </c>
      <c r="M198" s="94"/>
      <c r="N198" s="94"/>
      <c r="O198" s="94"/>
      <c r="P198" s="94"/>
      <c r="Q198" s="94">
        <v>0.6080000000000001</v>
      </c>
      <c r="R198" s="94">
        <v>0.6080000000000001</v>
      </c>
      <c r="S198" s="95">
        <v>0.6080000000000001</v>
      </c>
      <c r="T198" s="105"/>
      <c r="U198" s="105"/>
      <c r="V198" s="105"/>
      <c r="W198" s="70"/>
    </row>
    <row r="199" spans="2:23" ht="21.95" customHeight="1" x14ac:dyDescent="0.2">
      <c r="B199" s="71"/>
      <c r="C199" s="92">
        <v>9</v>
      </c>
      <c r="D199" s="270"/>
      <c r="E199" s="270"/>
      <c r="F199" s="93">
        <v>0.67100000000000004</v>
      </c>
      <c r="G199" s="94">
        <v>0.67100000000000004</v>
      </c>
      <c r="H199" s="94"/>
      <c r="I199" s="94"/>
      <c r="J199" s="94"/>
      <c r="K199" s="94"/>
      <c r="L199" s="94">
        <v>0.67100000000000004</v>
      </c>
      <c r="M199" s="94"/>
      <c r="N199" s="94"/>
      <c r="O199" s="94"/>
      <c r="P199" s="94"/>
      <c r="Q199" s="94">
        <v>0.67100000000000004</v>
      </c>
      <c r="R199" s="94">
        <v>0.67100000000000004</v>
      </c>
      <c r="S199" s="95">
        <v>0.67100000000000004</v>
      </c>
      <c r="T199" s="105"/>
      <c r="U199" s="105"/>
      <c r="V199" s="105"/>
      <c r="W199" s="70"/>
    </row>
    <row r="200" spans="2:23" ht="21.95" customHeight="1" x14ac:dyDescent="0.2">
      <c r="B200" s="71"/>
      <c r="C200" s="92">
        <v>10</v>
      </c>
      <c r="D200" s="270"/>
      <c r="E200" s="270"/>
      <c r="F200" s="93">
        <v>0.73399999999999999</v>
      </c>
      <c r="G200" s="94">
        <v>0.73399999999999999</v>
      </c>
      <c r="H200" s="94"/>
      <c r="I200" s="94"/>
      <c r="J200" s="94"/>
      <c r="K200" s="94"/>
      <c r="L200" s="94">
        <v>0.73399999999999999</v>
      </c>
      <c r="M200" s="94"/>
      <c r="N200" s="94"/>
      <c r="O200" s="94"/>
      <c r="P200" s="94"/>
      <c r="Q200" s="94">
        <v>0.73399999999999999</v>
      </c>
      <c r="R200" s="94">
        <v>0.73399999999999999</v>
      </c>
      <c r="S200" s="95">
        <v>0.73399999999999999</v>
      </c>
      <c r="T200" s="105"/>
      <c r="U200" s="105"/>
      <c r="V200" s="105"/>
      <c r="W200" s="70"/>
    </row>
    <row r="201" spans="2:23" ht="21.95" customHeight="1" x14ac:dyDescent="0.2">
      <c r="B201" s="71"/>
      <c r="C201" s="92">
        <v>11</v>
      </c>
      <c r="D201" s="270"/>
      <c r="E201" s="270"/>
      <c r="F201" s="93">
        <v>0.79</v>
      </c>
      <c r="G201" s="94">
        <v>0.79</v>
      </c>
      <c r="H201" s="94"/>
      <c r="I201" s="94"/>
      <c r="J201" s="94"/>
      <c r="K201" s="94"/>
      <c r="L201" s="94">
        <v>0.79</v>
      </c>
      <c r="M201" s="94"/>
      <c r="N201" s="94"/>
      <c r="O201" s="94"/>
      <c r="P201" s="94"/>
      <c r="Q201" s="94">
        <v>0.79</v>
      </c>
      <c r="R201" s="94">
        <v>0.79</v>
      </c>
      <c r="S201" s="95">
        <v>0.79</v>
      </c>
      <c r="T201" s="105"/>
      <c r="U201" s="105"/>
      <c r="V201" s="105"/>
      <c r="W201" s="70"/>
    </row>
    <row r="202" spans="2:23" ht="21.95" customHeight="1" x14ac:dyDescent="0.2">
      <c r="B202" s="71"/>
      <c r="C202" s="92">
        <v>12</v>
      </c>
      <c r="D202" s="270"/>
      <c r="E202" s="270"/>
      <c r="F202" s="93">
        <v>0.84300000000000008</v>
      </c>
      <c r="G202" s="94">
        <v>0.84300000000000008</v>
      </c>
      <c r="H202" s="94"/>
      <c r="I202" s="94"/>
      <c r="J202" s="94"/>
      <c r="K202" s="94"/>
      <c r="L202" s="94">
        <v>0.84300000000000008</v>
      </c>
      <c r="M202" s="94"/>
      <c r="N202" s="94"/>
      <c r="O202" s="94"/>
      <c r="P202" s="94"/>
      <c r="Q202" s="94">
        <v>0.84300000000000008</v>
      </c>
      <c r="R202" s="94">
        <v>0.84300000000000008</v>
      </c>
      <c r="S202" s="95">
        <v>0.84300000000000008</v>
      </c>
      <c r="T202" s="105"/>
      <c r="U202" s="105"/>
      <c r="V202" s="105"/>
      <c r="W202" s="70"/>
    </row>
    <row r="203" spans="2:23" ht="21.95" customHeight="1" x14ac:dyDescent="0.2">
      <c r="B203" s="71"/>
      <c r="C203" s="92">
        <v>13</v>
      </c>
      <c r="D203" s="270"/>
      <c r="E203" s="270"/>
      <c r="F203" s="93">
        <v>0.88600000000000012</v>
      </c>
      <c r="G203" s="94">
        <v>0.88600000000000012</v>
      </c>
      <c r="H203" s="94"/>
      <c r="I203" s="94"/>
      <c r="J203" s="94"/>
      <c r="K203" s="94"/>
      <c r="L203" s="94">
        <v>0.88600000000000012</v>
      </c>
      <c r="M203" s="94"/>
      <c r="N203" s="94"/>
      <c r="O203" s="94"/>
      <c r="P203" s="94"/>
      <c r="Q203" s="94">
        <v>0.88600000000000012</v>
      </c>
      <c r="R203" s="94">
        <v>0.88600000000000012</v>
      </c>
      <c r="S203" s="95">
        <v>0.88600000000000012</v>
      </c>
      <c r="T203" s="105"/>
      <c r="U203" s="105"/>
      <c r="V203" s="105"/>
      <c r="W203" s="70"/>
    </row>
    <row r="204" spans="2:23" ht="21.95" customHeight="1" x14ac:dyDescent="0.2">
      <c r="B204" s="71"/>
      <c r="C204" s="92">
        <v>14</v>
      </c>
      <c r="D204" s="270"/>
      <c r="E204" s="270"/>
      <c r="F204" s="93">
        <v>0.91600000000000015</v>
      </c>
      <c r="G204" s="94">
        <v>0.91600000000000015</v>
      </c>
      <c r="H204" s="94"/>
      <c r="I204" s="94"/>
      <c r="J204" s="94"/>
      <c r="K204" s="94"/>
      <c r="L204" s="94">
        <v>0.91600000000000015</v>
      </c>
      <c r="M204" s="94"/>
      <c r="N204" s="94"/>
      <c r="O204" s="94"/>
      <c r="P204" s="94"/>
      <c r="Q204" s="94">
        <v>0.91600000000000015</v>
      </c>
      <c r="R204" s="94">
        <v>0.91600000000000015</v>
      </c>
      <c r="S204" s="95">
        <v>0.91600000000000015</v>
      </c>
      <c r="T204" s="105"/>
      <c r="U204" s="105"/>
      <c r="V204" s="105"/>
      <c r="W204" s="70"/>
    </row>
    <row r="205" spans="2:23" ht="21.95" customHeight="1" x14ac:dyDescent="0.2">
      <c r="B205" s="71"/>
      <c r="C205" s="92">
        <v>15</v>
      </c>
      <c r="D205" s="270"/>
      <c r="E205" s="270"/>
      <c r="F205" s="93">
        <v>0.94300000000000017</v>
      </c>
      <c r="G205" s="94">
        <v>0.94300000000000017</v>
      </c>
      <c r="H205" s="94"/>
      <c r="I205" s="94"/>
      <c r="J205" s="94"/>
      <c r="K205" s="94"/>
      <c r="L205" s="94">
        <v>0.94300000000000017</v>
      </c>
      <c r="M205" s="94"/>
      <c r="N205" s="94"/>
      <c r="O205" s="94"/>
      <c r="P205" s="94"/>
      <c r="Q205" s="94">
        <v>0.94300000000000017</v>
      </c>
      <c r="R205" s="94">
        <v>0.94300000000000017</v>
      </c>
      <c r="S205" s="95">
        <v>0.94300000000000017</v>
      </c>
      <c r="T205" s="105"/>
      <c r="U205" s="105"/>
      <c r="V205" s="105"/>
      <c r="W205" s="70"/>
    </row>
    <row r="206" spans="2:23" ht="21.95" customHeight="1" x14ac:dyDescent="0.2">
      <c r="B206" s="71"/>
      <c r="C206" s="92">
        <v>16</v>
      </c>
      <c r="D206" s="270"/>
      <c r="E206" s="270"/>
      <c r="F206" s="93">
        <v>0.96400000000000019</v>
      </c>
      <c r="G206" s="94">
        <v>0.96400000000000019</v>
      </c>
      <c r="H206" s="94"/>
      <c r="I206" s="94"/>
      <c r="J206" s="94"/>
      <c r="K206" s="94"/>
      <c r="L206" s="94">
        <v>0.96400000000000019</v>
      </c>
      <c r="M206" s="94"/>
      <c r="N206" s="94"/>
      <c r="O206" s="94"/>
      <c r="P206" s="94"/>
      <c r="Q206" s="94">
        <v>0.96400000000000019</v>
      </c>
      <c r="R206" s="94">
        <v>0.96400000000000019</v>
      </c>
      <c r="S206" s="95">
        <v>0.96400000000000019</v>
      </c>
      <c r="T206" s="105"/>
      <c r="U206" s="105"/>
      <c r="V206" s="105"/>
      <c r="W206" s="70"/>
    </row>
    <row r="207" spans="2:23" ht="21.95" customHeight="1" x14ac:dyDescent="0.2">
      <c r="B207" s="71"/>
      <c r="C207" s="92">
        <v>17</v>
      </c>
      <c r="D207" s="270"/>
      <c r="E207" s="270"/>
      <c r="F207" s="93">
        <v>0.9760000000000002</v>
      </c>
      <c r="G207" s="94">
        <v>0.9760000000000002</v>
      </c>
      <c r="H207" s="94"/>
      <c r="I207" s="94"/>
      <c r="J207" s="94"/>
      <c r="K207" s="94"/>
      <c r="L207" s="94">
        <v>0.9760000000000002</v>
      </c>
      <c r="M207" s="94"/>
      <c r="N207" s="94"/>
      <c r="O207" s="94"/>
      <c r="P207" s="94"/>
      <c r="Q207" s="94">
        <v>0.9760000000000002</v>
      </c>
      <c r="R207" s="94">
        <v>0.9760000000000002</v>
      </c>
      <c r="S207" s="95">
        <v>0.9760000000000002</v>
      </c>
      <c r="T207" s="105"/>
      <c r="U207" s="105"/>
      <c r="V207" s="105"/>
      <c r="W207" s="70"/>
    </row>
    <row r="208" spans="2:23" ht="21.95" customHeight="1" x14ac:dyDescent="0.2">
      <c r="B208" s="71"/>
      <c r="C208" s="92">
        <v>18</v>
      </c>
      <c r="D208" s="270"/>
      <c r="E208" s="270"/>
      <c r="F208" s="93">
        <v>0.98500000000000021</v>
      </c>
      <c r="G208" s="94">
        <v>0.98500000000000021</v>
      </c>
      <c r="H208" s="94"/>
      <c r="I208" s="94"/>
      <c r="J208" s="94"/>
      <c r="K208" s="94"/>
      <c r="L208" s="94">
        <v>0.98500000000000021</v>
      </c>
      <c r="M208" s="94"/>
      <c r="N208" s="94"/>
      <c r="O208" s="94"/>
      <c r="P208" s="94"/>
      <c r="Q208" s="94">
        <v>0.98500000000000021</v>
      </c>
      <c r="R208" s="94">
        <v>0.98500000000000021</v>
      </c>
      <c r="S208" s="95">
        <v>0.98500000000000021</v>
      </c>
      <c r="T208" s="105"/>
      <c r="U208" s="105"/>
      <c r="V208" s="105"/>
      <c r="W208" s="70"/>
    </row>
    <row r="209" spans="2:23" ht="21.95" customHeight="1" x14ac:dyDescent="0.2">
      <c r="B209" s="71"/>
      <c r="C209" s="92">
        <v>19</v>
      </c>
      <c r="D209" s="270"/>
      <c r="E209" s="270"/>
      <c r="F209" s="93">
        <v>0.99100000000000021</v>
      </c>
      <c r="G209" s="94">
        <v>0.99100000000000021</v>
      </c>
      <c r="H209" s="94"/>
      <c r="I209" s="94"/>
      <c r="J209" s="94"/>
      <c r="K209" s="94"/>
      <c r="L209" s="94">
        <v>0.99100000000000021</v>
      </c>
      <c r="M209" s="94"/>
      <c r="N209" s="94"/>
      <c r="O209" s="94"/>
      <c r="P209" s="94"/>
      <c r="Q209" s="94">
        <v>0.99100000000000021</v>
      </c>
      <c r="R209" s="94">
        <v>0.99100000000000021</v>
      </c>
      <c r="S209" s="95">
        <v>0.99100000000000021</v>
      </c>
      <c r="T209" s="105"/>
      <c r="U209" s="105"/>
      <c r="V209" s="105"/>
      <c r="W209" s="70"/>
    </row>
    <row r="210" spans="2:23" ht="21.95" customHeight="1" x14ac:dyDescent="0.2">
      <c r="B210" s="71"/>
      <c r="C210" s="92">
        <v>20</v>
      </c>
      <c r="D210" s="270"/>
      <c r="E210" s="270"/>
      <c r="F210" s="93">
        <v>0.99400000000000022</v>
      </c>
      <c r="G210" s="94">
        <v>0.99400000000000022</v>
      </c>
      <c r="H210" s="94"/>
      <c r="I210" s="94"/>
      <c r="J210" s="94"/>
      <c r="K210" s="94"/>
      <c r="L210" s="94">
        <v>0.99400000000000022</v>
      </c>
      <c r="M210" s="94"/>
      <c r="N210" s="94"/>
      <c r="O210" s="94"/>
      <c r="P210" s="94"/>
      <c r="Q210" s="94">
        <v>0.99400000000000022</v>
      </c>
      <c r="R210" s="94">
        <v>0.99400000000000022</v>
      </c>
      <c r="S210" s="95">
        <v>0.99400000000000022</v>
      </c>
      <c r="T210" s="105"/>
      <c r="U210" s="105"/>
      <c r="V210" s="105"/>
      <c r="W210" s="70"/>
    </row>
    <row r="211" spans="2:23" ht="21.95" customHeight="1" x14ac:dyDescent="0.2">
      <c r="B211" s="71"/>
      <c r="C211" s="92">
        <v>21</v>
      </c>
      <c r="D211" s="270"/>
      <c r="E211" s="270"/>
      <c r="F211" s="93">
        <v>0.99700000000000022</v>
      </c>
      <c r="G211" s="94">
        <v>0.99700000000000022</v>
      </c>
      <c r="H211" s="94"/>
      <c r="I211" s="94"/>
      <c r="J211" s="94"/>
      <c r="K211" s="94"/>
      <c r="L211" s="94">
        <v>0.99700000000000022</v>
      </c>
      <c r="M211" s="94"/>
      <c r="N211" s="94"/>
      <c r="O211" s="94"/>
      <c r="P211" s="94"/>
      <c r="Q211" s="94">
        <v>0.99700000000000022</v>
      </c>
      <c r="R211" s="94">
        <v>0.99700000000000022</v>
      </c>
      <c r="S211" s="95">
        <v>0.99700000000000022</v>
      </c>
      <c r="T211" s="105"/>
      <c r="U211" s="105"/>
      <c r="V211" s="105"/>
      <c r="W211" s="70"/>
    </row>
    <row r="212" spans="2:23" ht="21.95" customHeight="1" x14ac:dyDescent="0.2">
      <c r="B212" s="71"/>
      <c r="C212" s="92">
        <v>22</v>
      </c>
      <c r="D212" s="270"/>
      <c r="E212" s="270"/>
      <c r="F212" s="93">
        <v>0.99800000000000022</v>
      </c>
      <c r="G212" s="94">
        <v>0.99800000000000022</v>
      </c>
      <c r="H212" s="94"/>
      <c r="I212" s="94"/>
      <c r="J212" s="94"/>
      <c r="K212" s="94"/>
      <c r="L212" s="94">
        <v>0.99800000000000022</v>
      </c>
      <c r="M212" s="94"/>
      <c r="N212" s="94"/>
      <c r="O212" s="94"/>
      <c r="P212" s="94"/>
      <c r="Q212" s="94">
        <v>0.99800000000000022</v>
      </c>
      <c r="R212" s="94">
        <v>0.99800000000000022</v>
      </c>
      <c r="S212" s="95">
        <v>0.99800000000000022</v>
      </c>
      <c r="T212" s="105"/>
      <c r="U212" s="105"/>
      <c r="V212" s="105"/>
      <c r="W212" s="70"/>
    </row>
    <row r="213" spans="2:23" ht="21.95" customHeight="1" x14ac:dyDescent="0.2">
      <c r="B213" s="71"/>
      <c r="C213" s="92">
        <v>23</v>
      </c>
      <c r="D213" s="270"/>
      <c r="E213" s="270"/>
      <c r="F213" s="93">
        <v>0.99900000000000022</v>
      </c>
      <c r="G213" s="94">
        <v>0.99900000000000022</v>
      </c>
      <c r="H213" s="94"/>
      <c r="I213" s="94"/>
      <c r="J213" s="94"/>
      <c r="K213" s="94"/>
      <c r="L213" s="94">
        <v>0.99900000000000022</v>
      </c>
      <c r="M213" s="94"/>
      <c r="N213" s="94"/>
      <c r="O213" s="94"/>
      <c r="P213" s="94"/>
      <c r="Q213" s="94">
        <v>0.99900000000000022</v>
      </c>
      <c r="R213" s="94">
        <v>0.99900000000000022</v>
      </c>
      <c r="S213" s="95">
        <v>0.99900000000000022</v>
      </c>
      <c r="T213" s="105"/>
      <c r="U213" s="105"/>
      <c r="V213" s="105"/>
      <c r="W213" s="70"/>
    </row>
    <row r="214" spans="2:23" ht="21.95" customHeight="1" x14ac:dyDescent="0.2">
      <c r="B214" s="71"/>
      <c r="C214" s="96">
        <v>24</v>
      </c>
      <c r="D214" s="271"/>
      <c r="E214" s="271"/>
      <c r="F214" s="97">
        <v>1.0000000000000002</v>
      </c>
      <c r="G214" s="98">
        <v>1.0000000000000002</v>
      </c>
      <c r="H214" s="98"/>
      <c r="I214" s="98"/>
      <c r="J214" s="98"/>
      <c r="K214" s="98"/>
      <c r="L214" s="98">
        <v>1.0000000000000002</v>
      </c>
      <c r="M214" s="98"/>
      <c r="N214" s="98"/>
      <c r="O214" s="98"/>
      <c r="P214" s="98"/>
      <c r="Q214" s="98">
        <v>1.0000000000000002</v>
      </c>
      <c r="R214" s="98">
        <v>1.0000000000000002</v>
      </c>
      <c r="S214" s="99">
        <v>1.0000000000000002</v>
      </c>
      <c r="T214" s="105"/>
      <c r="U214" s="105"/>
      <c r="V214" s="105"/>
      <c r="W214" s="70"/>
    </row>
    <row r="215" spans="2:23" ht="21.95" customHeight="1" x14ac:dyDescent="0.2">
      <c r="B215" s="71"/>
      <c r="C215" s="103" t="s">
        <v>146</v>
      </c>
      <c r="D215" s="103"/>
      <c r="E215" s="103"/>
      <c r="F215" s="105"/>
      <c r="G215" s="105"/>
      <c r="H215" s="105"/>
      <c r="I215" s="105"/>
      <c r="J215" s="105"/>
      <c r="K215" s="105"/>
      <c r="L215" s="105"/>
      <c r="M215" s="105"/>
      <c r="N215" s="105"/>
      <c r="O215" s="105"/>
      <c r="P215" s="105"/>
      <c r="Q215" s="105"/>
      <c r="R215" s="105"/>
      <c r="S215" s="105"/>
      <c r="T215" s="105"/>
      <c r="U215" s="105"/>
      <c r="V215" s="105"/>
      <c r="W215" s="70"/>
    </row>
    <row r="216" spans="2:23" ht="21.95" customHeight="1" x14ac:dyDescent="0.2">
      <c r="B216" s="71"/>
      <c r="C216" s="104" t="s">
        <v>147</v>
      </c>
      <c r="D216" s="104"/>
      <c r="E216" s="104"/>
      <c r="F216" s="105"/>
      <c r="G216" s="105"/>
      <c r="H216" s="105"/>
      <c r="I216" s="105"/>
      <c r="J216" s="105"/>
      <c r="K216" s="105"/>
      <c r="L216" s="105"/>
      <c r="M216" s="105"/>
      <c r="N216" s="105"/>
      <c r="O216" s="105"/>
      <c r="P216" s="105"/>
      <c r="Q216" s="105"/>
      <c r="R216" s="105"/>
      <c r="S216" s="105"/>
      <c r="T216" s="105"/>
      <c r="U216" s="105"/>
      <c r="V216" s="105"/>
      <c r="W216" s="70"/>
    </row>
    <row r="217" spans="2:23" ht="21.95" customHeight="1" thickBot="1" x14ac:dyDescent="0.25">
      <c r="B217" s="100"/>
      <c r="C217" s="101"/>
      <c r="D217" s="101"/>
      <c r="E217" s="101"/>
      <c r="F217" s="101"/>
      <c r="G217" s="101"/>
      <c r="H217" s="101"/>
      <c r="I217" s="101"/>
      <c r="J217" s="101"/>
      <c r="K217" s="101"/>
      <c r="L217" s="101"/>
      <c r="M217" s="101"/>
      <c r="N217" s="101"/>
      <c r="O217" s="101"/>
      <c r="P217" s="101"/>
      <c r="Q217" s="101"/>
      <c r="R217" s="101"/>
      <c r="S217" s="101"/>
      <c r="T217" s="101"/>
      <c r="U217" s="101"/>
      <c r="V217" s="101"/>
      <c r="W217" s="102"/>
    </row>
    <row r="218" spans="2:23" ht="21.95" customHeight="1" thickTop="1" x14ac:dyDescent="0.2">
      <c r="B218" s="73"/>
      <c r="C218" s="73"/>
      <c r="D218" s="73"/>
      <c r="E218" s="73"/>
      <c r="F218" s="73"/>
      <c r="G218" s="73"/>
      <c r="H218" s="73"/>
      <c r="I218" s="73"/>
      <c r="J218" s="73"/>
      <c r="K218" s="73"/>
      <c r="L218" s="73"/>
      <c r="M218" s="73"/>
      <c r="N218" s="73"/>
      <c r="O218" s="73"/>
      <c r="P218" s="73"/>
      <c r="Q218" s="73"/>
      <c r="R218" s="73"/>
      <c r="S218" s="73"/>
      <c r="T218" s="73"/>
      <c r="U218" s="73"/>
      <c r="V218" s="73"/>
      <c r="W218" s="73"/>
    </row>
  </sheetData>
  <mergeCells count="43">
    <mergeCell ref="X86:AW86"/>
    <mergeCell ref="AX86:BW86"/>
    <mergeCell ref="H86:H87"/>
    <mergeCell ref="J86:J87"/>
    <mergeCell ref="I86:I87"/>
    <mergeCell ref="K86:K87"/>
    <mergeCell ref="M86:M87"/>
    <mergeCell ref="O86:O87"/>
    <mergeCell ref="N86:N87"/>
    <mergeCell ref="P86:P87"/>
    <mergeCell ref="W86:W87"/>
    <mergeCell ref="V86:V87"/>
    <mergeCell ref="T86:T87"/>
    <mergeCell ref="U86:U87"/>
    <mergeCell ref="C120:C122"/>
    <mergeCell ref="C157:C165"/>
    <mergeCell ref="C124:C127"/>
    <mergeCell ref="C128:C136"/>
    <mergeCell ref="C146:C148"/>
    <mergeCell ref="C149:C151"/>
    <mergeCell ref="C153:C156"/>
    <mergeCell ref="C29:D29"/>
    <mergeCell ref="B177:G177"/>
    <mergeCell ref="S86:S87"/>
    <mergeCell ref="R86:R87"/>
    <mergeCell ref="Q86:Q87"/>
    <mergeCell ref="L86:L87"/>
    <mergeCell ref="C86:C87"/>
    <mergeCell ref="B86:B87"/>
    <mergeCell ref="F86:F87"/>
    <mergeCell ref="G86:G87"/>
    <mergeCell ref="D86:E86"/>
    <mergeCell ref="C88:C90"/>
    <mergeCell ref="C91:C93"/>
    <mergeCell ref="C95:C98"/>
    <mergeCell ref="C99:C107"/>
    <mergeCell ref="C117:C119"/>
    <mergeCell ref="A37:B45"/>
    <mergeCell ref="B53:C56"/>
    <mergeCell ref="C30:D30"/>
    <mergeCell ref="C31:D31"/>
    <mergeCell ref="C32:D32"/>
    <mergeCell ref="C33:D33"/>
  </mergeCells>
  <hyperlinks>
    <hyperlink ref="B177" location="'Vehicle Volume'!J9:J16" display="Referenced in: Vehicle Volume" xr:uid="{F338E8C2-00D8-4691-AA39-F4096E2F0A54}"/>
    <hyperlink ref="B177:G177" location="'Volume and Speed'!J7:L16" display="Used in: Volume and Speed" xr:uid="{BDDC6BF7-EA50-4157-8494-BDB60EB41FFA}"/>
  </hyperlinks>
  <pageMargins left="0.7" right="0.7" top="0.75" bottom="0.75" header="0.3" footer="0.3"/>
  <pageSetup orientation="portrait" horizontalDpi="90" verticalDpi="90" r:id="rId1"/>
  <ignoredErrors>
    <ignoredError sqref="S102 S159" formula="1"/>
  </ignoredError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7660D-8FE6-4AE7-B000-B63CB21B261E}">
  <sheetPr codeName="Sheet6">
    <tabColor theme="9" tint="0.59999389629810485"/>
  </sheetPr>
  <dimension ref="A2:O358"/>
  <sheetViews>
    <sheetView showGridLines="0" zoomScale="85" zoomScaleNormal="85" workbookViewId="0">
      <selection activeCell="N8" sqref="N8"/>
    </sheetView>
  </sheetViews>
  <sheetFormatPr defaultColWidth="11.625" defaultRowHeight="21.95" customHeight="1" x14ac:dyDescent="0.2"/>
  <cols>
    <col min="1" max="1" width="3.375" customWidth="1"/>
    <col min="2" max="2" width="11.625" style="2" customWidth="1"/>
    <col min="4" max="4" width="13.625" bestFit="1" customWidth="1"/>
    <col min="5" max="5" width="15" bestFit="1" customWidth="1"/>
    <col min="6" max="6" width="16" bestFit="1" customWidth="1"/>
    <col min="7" max="7" width="66" customWidth="1"/>
    <col min="10" max="10" width="60.75" bestFit="1" customWidth="1"/>
    <col min="11" max="12" width="16.875" customWidth="1"/>
    <col min="13" max="13" width="77.75" bestFit="1" customWidth="1"/>
    <col min="14" max="14" width="101.25" bestFit="1" customWidth="1"/>
  </cols>
  <sheetData>
    <row r="2" spans="1:15" ht="21.95" customHeight="1" x14ac:dyDescent="0.2">
      <c r="B2" s="1459" t="s">
        <v>68</v>
      </c>
      <c r="C2" s="1459"/>
      <c r="D2" s="1459"/>
    </row>
    <row r="3" spans="1:15" ht="21.95" customHeight="1" x14ac:dyDescent="0.2">
      <c r="B3"/>
    </row>
    <row r="4" spans="1:15" s="2" customFormat="1" ht="21.75" customHeight="1" x14ac:dyDescent="0.2">
      <c r="A4"/>
      <c r="B4" s="394" t="s">
        <v>46</v>
      </c>
      <c r="D4"/>
      <c r="E4"/>
      <c r="F4"/>
      <c r="G4"/>
      <c r="J4" s="395" t="s">
        <v>439</v>
      </c>
    </row>
    <row r="5" spans="1:15" s="2" customFormat="1" ht="21.75" customHeight="1" thickBot="1" x14ac:dyDescent="0.25">
      <c r="A5"/>
      <c r="B5" s="10"/>
      <c r="D5"/>
      <c r="E5"/>
      <c r="F5"/>
      <c r="G5"/>
      <c r="J5"/>
    </row>
    <row r="6" spans="1:15" s="2" customFormat="1" ht="21.75" customHeight="1" thickBot="1" x14ac:dyDescent="0.25">
      <c r="A6"/>
      <c r="B6" t="s">
        <v>184</v>
      </c>
      <c r="D6"/>
      <c r="E6"/>
      <c r="F6"/>
      <c r="G6"/>
      <c r="J6" s="870" t="s">
        <v>447</v>
      </c>
      <c r="K6" s="929" t="s">
        <v>448</v>
      </c>
      <c r="L6" s="485" t="s">
        <v>3</v>
      </c>
      <c r="M6" s="482" t="s">
        <v>460</v>
      </c>
      <c r="N6" s="485" t="s">
        <v>104</v>
      </c>
      <c r="O6" s="183"/>
    </row>
    <row r="7" spans="1:15" s="2" customFormat="1" ht="21.75" customHeight="1" x14ac:dyDescent="0.2">
      <c r="A7"/>
      <c r="B7" t="s">
        <v>641</v>
      </c>
      <c r="D7"/>
      <c r="E7"/>
      <c r="F7"/>
      <c r="G7"/>
      <c r="J7" s="492" t="s">
        <v>440</v>
      </c>
      <c r="K7" s="750" t="s">
        <v>444</v>
      </c>
      <c r="L7" s="116">
        <v>22.3</v>
      </c>
      <c r="M7" s="930" t="s">
        <v>450</v>
      </c>
      <c r="N7" s="930" t="s">
        <v>461</v>
      </c>
    </row>
    <row r="8" spans="1:15" s="2" customFormat="1" ht="21.75" customHeight="1" x14ac:dyDescent="0.2">
      <c r="A8"/>
      <c r="B8" s="1" t="s">
        <v>437</v>
      </c>
      <c r="D8"/>
      <c r="E8"/>
      <c r="F8"/>
      <c r="G8"/>
      <c r="J8" s="492" t="s">
        <v>440</v>
      </c>
      <c r="K8" s="750" t="s">
        <v>445</v>
      </c>
      <c r="L8" s="116">
        <v>6</v>
      </c>
      <c r="M8" s="931" t="s">
        <v>451</v>
      </c>
      <c r="N8" s="931" t="s">
        <v>462</v>
      </c>
    </row>
    <row r="9" spans="1:15" s="2" customFormat="1" ht="21.75" customHeight="1" x14ac:dyDescent="0.2">
      <c r="A9"/>
      <c r="B9"/>
      <c r="D9"/>
      <c r="E9"/>
      <c r="F9"/>
      <c r="G9"/>
      <c r="J9" s="492" t="s">
        <v>441</v>
      </c>
      <c r="K9" s="750" t="s">
        <v>444</v>
      </c>
      <c r="L9" s="116">
        <v>0.192</v>
      </c>
      <c r="M9" s="931" t="s">
        <v>453</v>
      </c>
      <c r="N9" s="931" t="s">
        <v>464</v>
      </c>
    </row>
    <row r="10" spans="1:15" ht="21.95" customHeight="1" thickBot="1" x14ac:dyDescent="0.25">
      <c r="B10" t="s">
        <v>436</v>
      </c>
      <c r="J10" s="492" t="s">
        <v>441</v>
      </c>
      <c r="K10" s="750" t="s">
        <v>445</v>
      </c>
      <c r="L10" s="116">
        <v>4.1689999999999996</v>
      </c>
      <c r="M10" s="931" t="s">
        <v>454</v>
      </c>
      <c r="N10" s="931" t="s">
        <v>464</v>
      </c>
    </row>
    <row r="11" spans="1:15" s="2" customFormat="1" ht="21.95" customHeight="1" thickBot="1" x14ac:dyDescent="0.25">
      <c r="A11"/>
      <c r="B11" s="870" t="s">
        <v>10</v>
      </c>
      <c r="C11" s="936" t="s">
        <v>43</v>
      </c>
      <c r="D11" s="936" t="s">
        <v>438</v>
      </c>
      <c r="E11" s="936" t="s">
        <v>41</v>
      </c>
      <c r="F11" s="936" t="s">
        <v>40</v>
      </c>
      <c r="G11" s="834" t="s">
        <v>4</v>
      </c>
      <c r="J11" s="492" t="s">
        <v>442</v>
      </c>
      <c r="K11" s="750" t="s">
        <v>446</v>
      </c>
      <c r="L11" s="116">
        <v>10</v>
      </c>
      <c r="M11" s="931" t="s">
        <v>455</v>
      </c>
      <c r="N11" s="931" t="s">
        <v>463</v>
      </c>
    </row>
    <row r="12" spans="1:15" ht="21.95" customHeight="1" x14ac:dyDescent="0.2">
      <c r="B12" s="492">
        <v>2021</v>
      </c>
      <c r="C12" s="174">
        <v>0</v>
      </c>
      <c r="D12" s="174">
        <v>0</v>
      </c>
      <c r="E12" s="174">
        <v>0</v>
      </c>
      <c r="F12" s="174">
        <v>0</v>
      </c>
      <c r="G12" s="1457" t="s">
        <v>183</v>
      </c>
      <c r="J12" s="492" t="s">
        <v>442</v>
      </c>
      <c r="K12" s="750" t="s">
        <v>445</v>
      </c>
      <c r="L12" s="116">
        <v>15</v>
      </c>
      <c r="M12" s="931" t="s">
        <v>455</v>
      </c>
      <c r="N12" s="931" t="s">
        <v>463</v>
      </c>
    </row>
    <row r="13" spans="1:15" ht="21.95" customHeight="1" x14ac:dyDescent="0.2">
      <c r="B13" s="492">
        <f t="shared" ref="B13:B41" si="0">B12+1</f>
        <v>2022</v>
      </c>
      <c r="C13" s="174">
        <v>16600</v>
      </c>
      <c r="D13" s="174">
        <v>44300</v>
      </c>
      <c r="E13" s="174">
        <v>796700</v>
      </c>
      <c r="F13" s="174">
        <v>56</v>
      </c>
      <c r="G13" s="1457"/>
      <c r="J13" s="492" t="s">
        <v>536</v>
      </c>
      <c r="K13" s="750" t="s">
        <v>444</v>
      </c>
      <c r="L13" s="116">
        <v>0.01</v>
      </c>
      <c r="M13" s="931" t="s">
        <v>457</v>
      </c>
      <c r="N13" s="931" t="s">
        <v>464</v>
      </c>
    </row>
    <row r="14" spans="1:15" ht="21.95" customHeight="1" x14ac:dyDescent="0.2">
      <c r="B14" s="492">
        <f t="shared" si="0"/>
        <v>2023</v>
      </c>
      <c r="C14" s="174">
        <v>16800</v>
      </c>
      <c r="D14" s="174">
        <v>45100</v>
      </c>
      <c r="E14" s="174">
        <v>810500</v>
      </c>
      <c r="F14" s="174">
        <v>57</v>
      </c>
      <c r="G14" s="1457"/>
      <c r="J14" s="492" t="s">
        <v>536</v>
      </c>
      <c r="K14" s="750" t="s">
        <v>445</v>
      </c>
      <c r="L14" s="116">
        <v>0.11899999999999999</v>
      </c>
      <c r="M14" s="931" t="s">
        <v>458</v>
      </c>
      <c r="N14" s="931" t="s">
        <v>464</v>
      </c>
    </row>
    <row r="15" spans="1:15" ht="21.95" customHeight="1" x14ac:dyDescent="0.2">
      <c r="B15" s="492">
        <f t="shared" si="0"/>
        <v>2024</v>
      </c>
      <c r="C15" s="174">
        <v>17000</v>
      </c>
      <c r="D15" s="174">
        <v>46000</v>
      </c>
      <c r="E15" s="174">
        <v>824500</v>
      </c>
      <c r="F15" s="174">
        <v>58</v>
      </c>
      <c r="G15" s="1457"/>
      <c r="J15" s="492" t="s">
        <v>537</v>
      </c>
      <c r="K15" s="750" t="s">
        <v>444</v>
      </c>
      <c r="L15" s="116">
        <v>8887</v>
      </c>
      <c r="M15" s="931" t="s">
        <v>450</v>
      </c>
      <c r="N15" s="931" t="s">
        <v>461</v>
      </c>
    </row>
    <row r="16" spans="1:15" ht="21.95" customHeight="1" x14ac:dyDescent="0.2">
      <c r="B16" s="492">
        <f t="shared" si="0"/>
        <v>2025</v>
      </c>
      <c r="C16" s="174">
        <v>17200</v>
      </c>
      <c r="D16" s="174">
        <v>46900</v>
      </c>
      <c r="E16" s="174">
        <v>838800</v>
      </c>
      <c r="F16" s="174">
        <v>59</v>
      </c>
      <c r="G16" s="1457"/>
      <c r="J16" s="492" t="s">
        <v>537</v>
      </c>
      <c r="K16" s="750" t="s">
        <v>445</v>
      </c>
      <c r="L16" s="116">
        <v>10180</v>
      </c>
      <c r="M16" s="931" t="s">
        <v>450</v>
      </c>
      <c r="N16" s="931" t="s">
        <v>461</v>
      </c>
    </row>
    <row r="17" spans="2:14" ht="21.95" customHeight="1" x14ac:dyDescent="0.2">
      <c r="B17" s="492">
        <f t="shared" si="0"/>
        <v>2026</v>
      </c>
      <c r="C17" s="174">
        <v>17500</v>
      </c>
      <c r="D17" s="174">
        <v>47800</v>
      </c>
      <c r="E17" s="174">
        <v>852100</v>
      </c>
      <c r="F17" s="174">
        <v>60</v>
      </c>
      <c r="G17" s="1457"/>
      <c r="J17" s="492"/>
      <c r="K17" s="750"/>
      <c r="L17" s="116"/>
      <c r="M17" s="931"/>
      <c r="N17" s="931"/>
    </row>
    <row r="18" spans="2:14" ht="21.95" customHeight="1" x14ac:dyDescent="0.2">
      <c r="B18" s="492">
        <f t="shared" si="0"/>
        <v>2027</v>
      </c>
      <c r="C18" s="174">
        <v>17900</v>
      </c>
      <c r="D18" s="174">
        <v>48700</v>
      </c>
      <c r="E18" s="174">
        <v>865600</v>
      </c>
      <c r="F18" s="174">
        <v>61</v>
      </c>
      <c r="G18" s="1457"/>
      <c r="J18" s="492" t="s">
        <v>449</v>
      </c>
      <c r="K18" s="750"/>
      <c r="L18" s="932">
        <v>9.9177700000000001E-12</v>
      </c>
      <c r="M18" s="931" t="s">
        <v>459</v>
      </c>
      <c r="N18" s="931" t="s">
        <v>465</v>
      </c>
    </row>
    <row r="19" spans="2:14" ht="21.95" customHeight="1" thickBot="1" x14ac:dyDescent="0.25">
      <c r="B19" s="492">
        <f t="shared" si="0"/>
        <v>2028</v>
      </c>
      <c r="C19" s="174">
        <v>18200</v>
      </c>
      <c r="D19" s="174">
        <v>49500</v>
      </c>
      <c r="E19" s="174">
        <v>879400</v>
      </c>
      <c r="F19" s="174">
        <v>62</v>
      </c>
      <c r="G19" s="1457"/>
      <c r="J19" s="795" t="s">
        <v>443</v>
      </c>
      <c r="K19" s="933"/>
      <c r="L19" s="934">
        <v>9.9999999999999995E-7</v>
      </c>
      <c r="M19" s="935"/>
      <c r="N19" s="935"/>
    </row>
    <row r="20" spans="2:14" ht="21.95" customHeight="1" x14ac:dyDescent="0.2">
      <c r="B20" s="492">
        <f t="shared" si="0"/>
        <v>2029</v>
      </c>
      <c r="C20" s="174">
        <v>18600</v>
      </c>
      <c r="D20" s="174">
        <v>50400</v>
      </c>
      <c r="E20" s="174">
        <v>893400</v>
      </c>
      <c r="F20" s="174">
        <v>63</v>
      </c>
      <c r="G20" s="1457"/>
    </row>
    <row r="21" spans="2:14" ht="21.95" customHeight="1" x14ac:dyDescent="0.2">
      <c r="B21" s="492">
        <f t="shared" si="0"/>
        <v>2030</v>
      </c>
      <c r="C21" s="174">
        <v>18900</v>
      </c>
      <c r="D21" s="174">
        <v>51300</v>
      </c>
      <c r="E21" s="174">
        <v>907600</v>
      </c>
      <c r="F21" s="174">
        <v>65</v>
      </c>
      <c r="G21" s="1457"/>
    </row>
    <row r="22" spans="2:14" ht="21.95" customHeight="1" x14ac:dyDescent="0.2">
      <c r="B22" s="492">
        <f t="shared" si="0"/>
        <v>2031</v>
      </c>
      <c r="C22" s="174">
        <v>18900</v>
      </c>
      <c r="D22" s="174">
        <v>51300</v>
      </c>
      <c r="E22" s="174">
        <v>907600</v>
      </c>
      <c r="F22" s="174">
        <v>66</v>
      </c>
      <c r="G22" s="1457"/>
    </row>
    <row r="23" spans="2:14" ht="21.95" customHeight="1" x14ac:dyDescent="0.2">
      <c r="B23" s="492">
        <f t="shared" si="0"/>
        <v>2032</v>
      </c>
      <c r="C23" s="174">
        <v>18900</v>
      </c>
      <c r="D23" s="174">
        <v>51300</v>
      </c>
      <c r="E23" s="174">
        <v>907600</v>
      </c>
      <c r="F23" s="174">
        <v>67</v>
      </c>
      <c r="G23" s="1457"/>
    </row>
    <row r="24" spans="2:14" ht="21.95" customHeight="1" x14ac:dyDescent="0.2">
      <c r="B24" s="492">
        <f t="shared" si="0"/>
        <v>2033</v>
      </c>
      <c r="C24" s="174">
        <v>18900</v>
      </c>
      <c r="D24" s="174">
        <v>51300</v>
      </c>
      <c r="E24" s="174">
        <v>907600</v>
      </c>
      <c r="F24" s="174">
        <v>68</v>
      </c>
      <c r="G24" s="1457"/>
    </row>
    <row r="25" spans="2:14" ht="21.95" customHeight="1" x14ac:dyDescent="0.2">
      <c r="B25" s="492">
        <f t="shared" si="0"/>
        <v>2034</v>
      </c>
      <c r="C25" s="174">
        <v>18900</v>
      </c>
      <c r="D25" s="174">
        <v>51300</v>
      </c>
      <c r="E25" s="174">
        <v>907600</v>
      </c>
      <c r="F25" s="174">
        <v>69</v>
      </c>
      <c r="G25" s="1457"/>
    </row>
    <row r="26" spans="2:14" ht="21.95" customHeight="1" x14ac:dyDescent="0.2">
      <c r="B26" s="492">
        <f t="shared" si="0"/>
        <v>2035</v>
      </c>
      <c r="C26" s="174">
        <v>18900</v>
      </c>
      <c r="D26" s="174">
        <v>51300</v>
      </c>
      <c r="E26" s="174">
        <v>907600</v>
      </c>
      <c r="F26" s="174">
        <v>70</v>
      </c>
      <c r="G26" s="1457"/>
    </row>
    <row r="27" spans="2:14" ht="21.95" customHeight="1" x14ac:dyDescent="0.2">
      <c r="B27" s="492">
        <f t="shared" si="0"/>
        <v>2036</v>
      </c>
      <c r="C27" s="174">
        <v>18900</v>
      </c>
      <c r="D27" s="174">
        <v>51300</v>
      </c>
      <c r="E27" s="174">
        <v>907600</v>
      </c>
      <c r="F27" s="174">
        <v>72</v>
      </c>
      <c r="G27" s="1457"/>
    </row>
    <row r="28" spans="2:14" ht="21.95" customHeight="1" x14ac:dyDescent="0.2">
      <c r="B28" s="492">
        <f t="shared" si="0"/>
        <v>2037</v>
      </c>
      <c r="C28" s="174">
        <v>18900</v>
      </c>
      <c r="D28" s="174">
        <v>51300</v>
      </c>
      <c r="E28" s="174">
        <v>907600</v>
      </c>
      <c r="F28" s="174">
        <v>73</v>
      </c>
      <c r="G28" s="1457"/>
    </row>
    <row r="29" spans="2:14" ht="21.95" customHeight="1" x14ac:dyDescent="0.2">
      <c r="B29" s="492">
        <f t="shared" si="0"/>
        <v>2038</v>
      </c>
      <c r="C29" s="174">
        <v>18900</v>
      </c>
      <c r="D29" s="174">
        <v>51300</v>
      </c>
      <c r="E29" s="174">
        <v>907600</v>
      </c>
      <c r="F29" s="174">
        <v>74</v>
      </c>
      <c r="G29" s="1457"/>
    </row>
    <row r="30" spans="2:14" ht="21.95" customHeight="1" x14ac:dyDescent="0.2">
      <c r="B30" s="492">
        <f t="shared" si="0"/>
        <v>2039</v>
      </c>
      <c r="C30" s="174">
        <v>18900</v>
      </c>
      <c r="D30" s="174">
        <v>51300</v>
      </c>
      <c r="E30" s="174">
        <v>907600</v>
      </c>
      <c r="F30" s="174">
        <v>75</v>
      </c>
      <c r="G30" s="1457"/>
    </row>
    <row r="31" spans="2:14" ht="21.95" customHeight="1" x14ac:dyDescent="0.2">
      <c r="B31" s="492">
        <f t="shared" si="0"/>
        <v>2040</v>
      </c>
      <c r="C31" s="174">
        <v>18900</v>
      </c>
      <c r="D31" s="174">
        <v>51300</v>
      </c>
      <c r="E31" s="174">
        <v>907600</v>
      </c>
      <c r="F31" s="174">
        <v>76</v>
      </c>
      <c r="G31" s="1457"/>
    </row>
    <row r="32" spans="2:14" ht="21.95" customHeight="1" x14ac:dyDescent="0.2">
      <c r="B32" s="492">
        <f t="shared" si="0"/>
        <v>2041</v>
      </c>
      <c r="C32" s="174">
        <v>18900</v>
      </c>
      <c r="D32" s="174">
        <v>51300</v>
      </c>
      <c r="E32" s="174">
        <v>907600</v>
      </c>
      <c r="F32" s="174">
        <v>78</v>
      </c>
      <c r="G32" s="1457"/>
    </row>
    <row r="33" spans="2:7" ht="21.95" customHeight="1" x14ac:dyDescent="0.2">
      <c r="B33" s="492">
        <f t="shared" si="0"/>
        <v>2042</v>
      </c>
      <c r="C33" s="174">
        <v>18900</v>
      </c>
      <c r="D33" s="174">
        <v>51300</v>
      </c>
      <c r="E33" s="174">
        <v>907600</v>
      </c>
      <c r="F33" s="174">
        <v>79</v>
      </c>
      <c r="G33" s="1457"/>
    </row>
    <row r="34" spans="2:7" ht="21.95" customHeight="1" x14ac:dyDescent="0.2">
      <c r="B34" s="492">
        <f t="shared" si="0"/>
        <v>2043</v>
      </c>
      <c r="C34" s="174">
        <v>18900</v>
      </c>
      <c r="D34" s="174">
        <v>51300</v>
      </c>
      <c r="E34" s="174">
        <v>907600</v>
      </c>
      <c r="F34" s="174">
        <v>80</v>
      </c>
      <c r="G34" s="1457"/>
    </row>
    <row r="35" spans="2:7" ht="21.95" customHeight="1" x14ac:dyDescent="0.2">
      <c r="B35" s="492">
        <f t="shared" si="0"/>
        <v>2044</v>
      </c>
      <c r="C35" s="174">
        <v>18900</v>
      </c>
      <c r="D35" s="174">
        <v>51300</v>
      </c>
      <c r="E35" s="174">
        <v>907600</v>
      </c>
      <c r="F35" s="174">
        <v>81</v>
      </c>
      <c r="G35" s="1457"/>
    </row>
    <row r="36" spans="2:7" ht="21.95" customHeight="1" x14ac:dyDescent="0.2">
      <c r="B36" s="492">
        <f t="shared" si="0"/>
        <v>2045</v>
      </c>
      <c r="C36" s="174">
        <v>18900</v>
      </c>
      <c r="D36" s="174">
        <v>51300</v>
      </c>
      <c r="E36" s="174">
        <v>907600</v>
      </c>
      <c r="F36" s="174">
        <v>82</v>
      </c>
      <c r="G36" s="1457"/>
    </row>
    <row r="37" spans="2:7" ht="21.95" customHeight="1" x14ac:dyDescent="0.2">
      <c r="B37" s="492">
        <f t="shared" si="0"/>
        <v>2046</v>
      </c>
      <c r="C37" s="174">
        <v>18900</v>
      </c>
      <c r="D37" s="174">
        <v>51300</v>
      </c>
      <c r="E37" s="174">
        <v>907600</v>
      </c>
      <c r="F37" s="174">
        <v>84</v>
      </c>
      <c r="G37" s="1457"/>
    </row>
    <row r="38" spans="2:7" ht="21.95" customHeight="1" x14ac:dyDescent="0.2">
      <c r="B38" s="492">
        <f t="shared" si="0"/>
        <v>2047</v>
      </c>
      <c r="C38" s="174">
        <v>18900</v>
      </c>
      <c r="D38" s="174">
        <v>51300</v>
      </c>
      <c r="E38" s="174">
        <v>907600</v>
      </c>
      <c r="F38" s="174">
        <v>85</v>
      </c>
      <c r="G38" s="1457"/>
    </row>
    <row r="39" spans="2:7" ht="21.95" customHeight="1" x14ac:dyDescent="0.2">
      <c r="B39" s="492">
        <f t="shared" si="0"/>
        <v>2048</v>
      </c>
      <c r="C39" s="174">
        <v>18900</v>
      </c>
      <c r="D39" s="174">
        <v>51300</v>
      </c>
      <c r="E39" s="174">
        <v>907600</v>
      </c>
      <c r="F39" s="174">
        <v>86</v>
      </c>
      <c r="G39" s="1457"/>
    </row>
    <row r="40" spans="2:7" ht="21.95" customHeight="1" x14ac:dyDescent="0.2">
      <c r="B40" s="492">
        <f t="shared" si="0"/>
        <v>2049</v>
      </c>
      <c r="C40" s="174">
        <v>18900</v>
      </c>
      <c r="D40" s="174">
        <v>51300</v>
      </c>
      <c r="E40" s="174">
        <v>907600</v>
      </c>
      <c r="F40" s="174">
        <v>87</v>
      </c>
      <c r="G40" s="1457"/>
    </row>
    <row r="41" spans="2:7" ht="21.95" customHeight="1" thickBot="1" x14ac:dyDescent="0.25">
      <c r="B41" s="795">
        <f t="shared" si="0"/>
        <v>2050</v>
      </c>
      <c r="C41" s="275">
        <v>18900</v>
      </c>
      <c r="D41" s="275">
        <v>51300</v>
      </c>
      <c r="E41" s="275">
        <v>907600</v>
      </c>
      <c r="F41" s="275">
        <v>88</v>
      </c>
      <c r="G41" s="1458"/>
    </row>
    <row r="42" spans="2:7" ht="21.95" customHeight="1" x14ac:dyDescent="0.2">
      <c r="B42"/>
      <c r="C42" s="23"/>
      <c r="D42" s="23"/>
      <c r="E42" s="23"/>
      <c r="F42" s="23"/>
    </row>
    <row r="43" spans="2:7" ht="21.95" customHeight="1" x14ac:dyDescent="0.2">
      <c r="B43"/>
    </row>
    <row r="44" spans="2:7" ht="21.95" customHeight="1" x14ac:dyDescent="0.2">
      <c r="B44"/>
    </row>
    <row r="45" spans="2:7" ht="21.95" customHeight="1" x14ac:dyDescent="0.2">
      <c r="B45"/>
    </row>
    <row r="46" spans="2:7" ht="21.95" customHeight="1" x14ac:dyDescent="0.2">
      <c r="B46"/>
    </row>
    <row r="47" spans="2:7" ht="21.95" customHeight="1" x14ac:dyDescent="0.2">
      <c r="B47"/>
    </row>
    <row r="48" spans="2:7" ht="21.95" customHeight="1" x14ac:dyDescent="0.2">
      <c r="B48"/>
    </row>
    <row r="49" spans="2:2" ht="21.95" customHeight="1" x14ac:dyDescent="0.2">
      <c r="B49"/>
    </row>
    <row r="50" spans="2:2" ht="21.95" customHeight="1" x14ac:dyDescent="0.2">
      <c r="B50"/>
    </row>
    <row r="51" spans="2:2" ht="21.95" customHeight="1" x14ac:dyDescent="0.2">
      <c r="B51"/>
    </row>
    <row r="52" spans="2:2" ht="21.95" customHeight="1" x14ac:dyDescent="0.2">
      <c r="B52"/>
    </row>
    <row r="53" spans="2:2" ht="21.95" customHeight="1" x14ac:dyDescent="0.2">
      <c r="B53"/>
    </row>
    <row r="54" spans="2:2" ht="21.95" customHeight="1" x14ac:dyDescent="0.2">
      <c r="B54"/>
    </row>
    <row r="55" spans="2:2" ht="21.95" customHeight="1" x14ac:dyDescent="0.2">
      <c r="B55"/>
    </row>
    <row r="56" spans="2:2" ht="21.95" customHeight="1" x14ac:dyDescent="0.2">
      <c r="B56"/>
    </row>
    <row r="57" spans="2:2" ht="21.95" customHeight="1" x14ac:dyDescent="0.2">
      <c r="B57"/>
    </row>
    <row r="58" spans="2:2" ht="21.95" customHeight="1" x14ac:dyDescent="0.2">
      <c r="B58"/>
    </row>
    <row r="59" spans="2:2" ht="21.95" customHeight="1" x14ac:dyDescent="0.2">
      <c r="B59"/>
    </row>
    <row r="60" spans="2:2" ht="21.95" customHeight="1" x14ac:dyDescent="0.2">
      <c r="B60"/>
    </row>
    <row r="61" spans="2:2" ht="21.95" customHeight="1" x14ac:dyDescent="0.2">
      <c r="B61"/>
    </row>
    <row r="62" spans="2:2" ht="21.95" customHeight="1" x14ac:dyDescent="0.2">
      <c r="B62"/>
    </row>
    <row r="63" spans="2:2" ht="21.95" customHeight="1" x14ac:dyDescent="0.2">
      <c r="B63"/>
    </row>
    <row r="64" spans="2:2" ht="21.95" customHeight="1" x14ac:dyDescent="0.2">
      <c r="B64"/>
    </row>
    <row r="65" spans="2:2" ht="21.95" customHeight="1" x14ac:dyDescent="0.2">
      <c r="B65"/>
    </row>
    <row r="66" spans="2:2" ht="21.95" customHeight="1" x14ac:dyDescent="0.2">
      <c r="B66"/>
    </row>
    <row r="67" spans="2:2" ht="21.95" customHeight="1" x14ac:dyDescent="0.2">
      <c r="B67"/>
    </row>
    <row r="68" spans="2:2" ht="21.95" customHeight="1" x14ac:dyDescent="0.2">
      <c r="B68"/>
    </row>
    <row r="69" spans="2:2" ht="21.95" customHeight="1" x14ac:dyDescent="0.2">
      <c r="B69"/>
    </row>
    <row r="70" spans="2:2" ht="21.95" customHeight="1" x14ac:dyDescent="0.2">
      <c r="B70"/>
    </row>
    <row r="71" spans="2:2" ht="21.95" customHeight="1" x14ac:dyDescent="0.2">
      <c r="B71"/>
    </row>
    <row r="72" spans="2:2" ht="21.95" customHeight="1" x14ac:dyDescent="0.2">
      <c r="B72"/>
    </row>
    <row r="73" spans="2:2" ht="21.95" customHeight="1" x14ac:dyDescent="0.2">
      <c r="B73"/>
    </row>
    <row r="74" spans="2:2" ht="21.95" customHeight="1" x14ac:dyDescent="0.2">
      <c r="B74"/>
    </row>
    <row r="75" spans="2:2" ht="21.95" customHeight="1" x14ac:dyDescent="0.2">
      <c r="B75"/>
    </row>
    <row r="76" spans="2:2" ht="21.95" customHeight="1" x14ac:dyDescent="0.2">
      <c r="B76"/>
    </row>
    <row r="77" spans="2:2" ht="21.95" customHeight="1" x14ac:dyDescent="0.2">
      <c r="B77"/>
    </row>
    <row r="78" spans="2:2" ht="21.95" customHeight="1" x14ac:dyDescent="0.2">
      <c r="B78"/>
    </row>
    <row r="79" spans="2:2" ht="21.95" customHeight="1" x14ac:dyDescent="0.2">
      <c r="B79"/>
    </row>
    <row r="80" spans="2:2" ht="21.95" customHeight="1" x14ac:dyDescent="0.2">
      <c r="B80"/>
    </row>
    <row r="81" spans="2:2" ht="21.95" customHeight="1" x14ac:dyDescent="0.2">
      <c r="B81"/>
    </row>
    <row r="82" spans="2:2" ht="21.95" customHeight="1" x14ac:dyDescent="0.2">
      <c r="B82"/>
    </row>
    <row r="83" spans="2:2" ht="21.95" customHeight="1" x14ac:dyDescent="0.2">
      <c r="B83"/>
    </row>
    <row r="84" spans="2:2" ht="21.95" customHeight="1" x14ac:dyDescent="0.2">
      <c r="B84"/>
    </row>
    <row r="85" spans="2:2" ht="21.95" customHeight="1" x14ac:dyDescent="0.2">
      <c r="B85"/>
    </row>
    <row r="86" spans="2:2" ht="21.95" customHeight="1" x14ac:dyDescent="0.2">
      <c r="B86"/>
    </row>
    <row r="87" spans="2:2" ht="21.95" customHeight="1" x14ac:dyDescent="0.2">
      <c r="B87"/>
    </row>
    <row r="88" spans="2:2" ht="21.95" customHeight="1" x14ac:dyDescent="0.2">
      <c r="B88"/>
    </row>
    <row r="89" spans="2:2" ht="21.95" customHeight="1" x14ac:dyDescent="0.2">
      <c r="B89"/>
    </row>
    <row r="90" spans="2:2" ht="21.95" customHeight="1" x14ac:dyDescent="0.2">
      <c r="B90"/>
    </row>
    <row r="91" spans="2:2" ht="21.95" customHeight="1" x14ac:dyDescent="0.2">
      <c r="B91"/>
    </row>
    <row r="92" spans="2:2" ht="21.95" customHeight="1" x14ac:dyDescent="0.2">
      <c r="B92"/>
    </row>
    <row r="93" spans="2:2" ht="21.95" customHeight="1" x14ac:dyDescent="0.2">
      <c r="B93"/>
    </row>
    <row r="94" spans="2:2" ht="21.95" customHeight="1" x14ac:dyDescent="0.2">
      <c r="B94"/>
    </row>
    <row r="95" spans="2:2" ht="21.95" customHeight="1" x14ac:dyDescent="0.2">
      <c r="B95"/>
    </row>
    <row r="96" spans="2:2" ht="21.95" customHeight="1" x14ac:dyDescent="0.2">
      <c r="B96"/>
    </row>
    <row r="97" spans="2:2" ht="21.95" customHeight="1" x14ac:dyDescent="0.2">
      <c r="B97"/>
    </row>
    <row r="98" spans="2:2" ht="21.95" customHeight="1" x14ac:dyDescent="0.2">
      <c r="B98"/>
    </row>
    <row r="99" spans="2:2" ht="21.95" customHeight="1" x14ac:dyDescent="0.2">
      <c r="B99"/>
    </row>
    <row r="100" spans="2:2" ht="21.95" customHeight="1" x14ac:dyDescent="0.2">
      <c r="B100"/>
    </row>
    <row r="101" spans="2:2" ht="21.95" customHeight="1" x14ac:dyDescent="0.2">
      <c r="B101"/>
    </row>
    <row r="102" spans="2:2" ht="21.95" customHeight="1" x14ac:dyDescent="0.2">
      <c r="B102"/>
    </row>
    <row r="103" spans="2:2" ht="21.95" customHeight="1" x14ac:dyDescent="0.2">
      <c r="B103"/>
    </row>
    <row r="104" spans="2:2" ht="21.95" customHeight="1" x14ac:dyDescent="0.2">
      <c r="B104"/>
    </row>
    <row r="105" spans="2:2" ht="21.95" customHeight="1" x14ac:dyDescent="0.2">
      <c r="B105"/>
    </row>
    <row r="106" spans="2:2" ht="21.95" customHeight="1" x14ac:dyDescent="0.2">
      <c r="B106"/>
    </row>
    <row r="107" spans="2:2" ht="21.95" customHeight="1" x14ac:dyDescent="0.2">
      <c r="B107"/>
    </row>
    <row r="108" spans="2:2" ht="21.95" customHeight="1" x14ac:dyDescent="0.2">
      <c r="B108"/>
    </row>
    <row r="109" spans="2:2" ht="21.95" customHeight="1" x14ac:dyDescent="0.2">
      <c r="B109"/>
    </row>
    <row r="110" spans="2:2" ht="21.95" customHeight="1" x14ac:dyDescent="0.2">
      <c r="B110"/>
    </row>
    <row r="111" spans="2:2" ht="21.95" customHeight="1" x14ac:dyDescent="0.2">
      <c r="B111"/>
    </row>
    <row r="112" spans="2:2" ht="21.95" customHeight="1" x14ac:dyDescent="0.2">
      <c r="B112"/>
    </row>
    <row r="113" spans="2:2" ht="21.95" customHeight="1" x14ac:dyDescent="0.2">
      <c r="B113"/>
    </row>
    <row r="114" spans="2:2" ht="21.95" customHeight="1" x14ac:dyDescent="0.2">
      <c r="B114"/>
    </row>
    <row r="115" spans="2:2" ht="21.95" customHeight="1" x14ac:dyDescent="0.2">
      <c r="B115"/>
    </row>
    <row r="116" spans="2:2" ht="21.95" customHeight="1" x14ac:dyDescent="0.2">
      <c r="B116"/>
    </row>
    <row r="117" spans="2:2" ht="21.95" customHeight="1" x14ac:dyDescent="0.2">
      <c r="B117"/>
    </row>
    <row r="118" spans="2:2" ht="21.95" customHeight="1" x14ac:dyDescent="0.2">
      <c r="B118"/>
    </row>
    <row r="119" spans="2:2" ht="21.95" customHeight="1" x14ac:dyDescent="0.2">
      <c r="B119"/>
    </row>
    <row r="120" spans="2:2" ht="21.95" customHeight="1" x14ac:dyDescent="0.2">
      <c r="B120"/>
    </row>
    <row r="121" spans="2:2" ht="21.95" customHeight="1" x14ac:dyDescent="0.2">
      <c r="B121"/>
    </row>
    <row r="122" spans="2:2" ht="21.95" customHeight="1" x14ac:dyDescent="0.2">
      <c r="B122"/>
    </row>
    <row r="123" spans="2:2" ht="21.95" customHeight="1" x14ac:dyDescent="0.2">
      <c r="B123"/>
    </row>
    <row r="124" spans="2:2" ht="21.95" customHeight="1" x14ac:dyDescent="0.2">
      <c r="B124"/>
    </row>
    <row r="125" spans="2:2" ht="21.95" customHeight="1" x14ac:dyDescent="0.2">
      <c r="B125"/>
    </row>
    <row r="126" spans="2:2" ht="21.95" customHeight="1" x14ac:dyDescent="0.2">
      <c r="B126"/>
    </row>
    <row r="127" spans="2:2" ht="21.95" customHeight="1" x14ac:dyDescent="0.2">
      <c r="B127"/>
    </row>
    <row r="128" spans="2:2" ht="21.95" customHeight="1" x14ac:dyDescent="0.2">
      <c r="B128"/>
    </row>
    <row r="129" spans="2:2" ht="21.95" customHeight="1" x14ac:dyDescent="0.2">
      <c r="B129"/>
    </row>
    <row r="130" spans="2:2" ht="21.95" customHeight="1" x14ac:dyDescent="0.2">
      <c r="B130"/>
    </row>
    <row r="131" spans="2:2" ht="21.95" customHeight="1" x14ac:dyDescent="0.2">
      <c r="B131"/>
    </row>
    <row r="132" spans="2:2" ht="21.95" customHeight="1" x14ac:dyDescent="0.2">
      <c r="B132"/>
    </row>
    <row r="133" spans="2:2" ht="21.95" customHeight="1" x14ac:dyDescent="0.2">
      <c r="B133"/>
    </row>
    <row r="134" spans="2:2" ht="21.95" customHeight="1" x14ac:dyDescent="0.2">
      <c r="B134"/>
    </row>
    <row r="135" spans="2:2" ht="21.95" customHeight="1" x14ac:dyDescent="0.2">
      <c r="B135"/>
    </row>
    <row r="136" spans="2:2" ht="21.95" customHeight="1" x14ac:dyDescent="0.2">
      <c r="B136"/>
    </row>
    <row r="137" spans="2:2" ht="21.95" customHeight="1" x14ac:dyDescent="0.2">
      <c r="B137"/>
    </row>
    <row r="138" spans="2:2" ht="21.95" customHeight="1" x14ac:dyDescent="0.2">
      <c r="B138"/>
    </row>
    <row r="139" spans="2:2" ht="21.95" customHeight="1" x14ac:dyDescent="0.2">
      <c r="B139"/>
    </row>
    <row r="140" spans="2:2" ht="21.95" customHeight="1" x14ac:dyDescent="0.2">
      <c r="B140"/>
    </row>
    <row r="141" spans="2:2" ht="21.95" customHeight="1" x14ac:dyDescent="0.2">
      <c r="B141"/>
    </row>
    <row r="142" spans="2:2" ht="21.95" customHeight="1" x14ac:dyDescent="0.2">
      <c r="B142"/>
    </row>
    <row r="143" spans="2:2" ht="21.95" customHeight="1" x14ac:dyDescent="0.2">
      <c r="B143"/>
    </row>
    <row r="144" spans="2:2" ht="21.95" customHeight="1" x14ac:dyDescent="0.2">
      <c r="B144"/>
    </row>
    <row r="145" spans="2:2" ht="21.95" customHeight="1" x14ac:dyDescent="0.2">
      <c r="B145"/>
    </row>
    <row r="146" spans="2:2" ht="21.95" customHeight="1" x14ac:dyDescent="0.2">
      <c r="B146"/>
    </row>
    <row r="147" spans="2:2" ht="21.95" customHeight="1" x14ac:dyDescent="0.2">
      <c r="B147"/>
    </row>
    <row r="148" spans="2:2" ht="21.95" customHeight="1" x14ac:dyDescent="0.2">
      <c r="B148"/>
    </row>
    <row r="149" spans="2:2" ht="21.95" customHeight="1" x14ac:dyDescent="0.2">
      <c r="B149"/>
    </row>
    <row r="150" spans="2:2" ht="21.95" customHeight="1" x14ac:dyDescent="0.2">
      <c r="B150"/>
    </row>
    <row r="151" spans="2:2" ht="21.95" customHeight="1" x14ac:dyDescent="0.2">
      <c r="B151"/>
    </row>
    <row r="152" spans="2:2" ht="21.95" customHeight="1" x14ac:dyDescent="0.2">
      <c r="B152"/>
    </row>
    <row r="153" spans="2:2" ht="21.95" customHeight="1" x14ac:dyDescent="0.2">
      <c r="B153"/>
    </row>
    <row r="154" spans="2:2" ht="21.95" customHeight="1" x14ac:dyDescent="0.2">
      <c r="B154"/>
    </row>
    <row r="155" spans="2:2" ht="21.95" customHeight="1" x14ac:dyDescent="0.2">
      <c r="B155"/>
    </row>
    <row r="156" spans="2:2" ht="21.95" customHeight="1" x14ac:dyDescent="0.2">
      <c r="B156"/>
    </row>
    <row r="157" spans="2:2" ht="21.95" customHeight="1" x14ac:dyDescent="0.2">
      <c r="B157"/>
    </row>
    <row r="158" spans="2:2" ht="21.95" customHeight="1" x14ac:dyDescent="0.2">
      <c r="B158"/>
    </row>
    <row r="159" spans="2:2" ht="21.95" customHeight="1" x14ac:dyDescent="0.2">
      <c r="B159"/>
    </row>
    <row r="160" spans="2:2" ht="21.95" customHeight="1" x14ac:dyDescent="0.2">
      <c r="B160"/>
    </row>
    <row r="161" spans="2:2" ht="21.95" customHeight="1" x14ac:dyDescent="0.2">
      <c r="B161"/>
    </row>
    <row r="162" spans="2:2" ht="21.95" customHeight="1" x14ac:dyDescent="0.2">
      <c r="B162"/>
    </row>
    <row r="163" spans="2:2" ht="21.95" customHeight="1" x14ac:dyDescent="0.2">
      <c r="B163"/>
    </row>
    <row r="164" spans="2:2" ht="21.95" customHeight="1" x14ac:dyDescent="0.2">
      <c r="B164"/>
    </row>
    <row r="165" spans="2:2" ht="21.95" customHeight="1" x14ac:dyDescent="0.2">
      <c r="B165"/>
    </row>
    <row r="166" spans="2:2" ht="21.95" customHeight="1" x14ac:dyDescent="0.2">
      <c r="B166"/>
    </row>
    <row r="167" spans="2:2" ht="21.95" customHeight="1" x14ac:dyDescent="0.2">
      <c r="B167"/>
    </row>
    <row r="168" spans="2:2" ht="21.95" customHeight="1" x14ac:dyDescent="0.2">
      <c r="B168"/>
    </row>
    <row r="169" spans="2:2" ht="21.95" customHeight="1" x14ac:dyDescent="0.2">
      <c r="B169"/>
    </row>
    <row r="170" spans="2:2" ht="21.95" customHeight="1" x14ac:dyDescent="0.2">
      <c r="B170"/>
    </row>
    <row r="171" spans="2:2" ht="21.95" customHeight="1" x14ac:dyDescent="0.2">
      <c r="B171"/>
    </row>
    <row r="172" spans="2:2" ht="21.95" customHeight="1" x14ac:dyDescent="0.2">
      <c r="B172"/>
    </row>
    <row r="173" spans="2:2" ht="21.95" customHeight="1" x14ac:dyDescent="0.2">
      <c r="B173"/>
    </row>
    <row r="174" spans="2:2" ht="21.95" customHeight="1" x14ac:dyDescent="0.2">
      <c r="B174"/>
    </row>
    <row r="175" spans="2:2" ht="21.95" customHeight="1" x14ac:dyDescent="0.2">
      <c r="B175"/>
    </row>
    <row r="176" spans="2:2" ht="21.95" customHeight="1" x14ac:dyDescent="0.2">
      <c r="B176"/>
    </row>
    <row r="177" spans="2:2" ht="21.95" customHeight="1" x14ac:dyDescent="0.2">
      <c r="B177"/>
    </row>
    <row r="178" spans="2:2" ht="21.95" customHeight="1" x14ac:dyDescent="0.2">
      <c r="B178"/>
    </row>
    <row r="179" spans="2:2" ht="21.95" customHeight="1" x14ac:dyDescent="0.2">
      <c r="B179"/>
    </row>
    <row r="180" spans="2:2" ht="21.95" customHeight="1" x14ac:dyDescent="0.2">
      <c r="B180"/>
    </row>
    <row r="181" spans="2:2" ht="21.95" customHeight="1" x14ac:dyDescent="0.2">
      <c r="B181"/>
    </row>
    <row r="182" spans="2:2" ht="21.95" customHeight="1" x14ac:dyDescent="0.2">
      <c r="B182"/>
    </row>
    <row r="183" spans="2:2" ht="21.95" customHeight="1" x14ac:dyDescent="0.2">
      <c r="B183"/>
    </row>
    <row r="184" spans="2:2" ht="21.95" customHeight="1" x14ac:dyDescent="0.2">
      <c r="B184"/>
    </row>
    <row r="185" spans="2:2" ht="21.95" customHeight="1" x14ac:dyDescent="0.2">
      <c r="B185"/>
    </row>
    <row r="186" spans="2:2" ht="21.95" customHeight="1" x14ac:dyDescent="0.2">
      <c r="B186"/>
    </row>
    <row r="187" spans="2:2" ht="21.95" customHeight="1" x14ac:dyDescent="0.2">
      <c r="B187"/>
    </row>
    <row r="188" spans="2:2" ht="21.95" customHeight="1" x14ac:dyDescent="0.2">
      <c r="B188"/>
    </row>
    <row r="189" spans="2:2" ht="21.95" customHeight="1" x14ac:dyDescent="0.2">
      <c r="B189"/>
    </row>
    <row r="190" spans="2:2" ht="21.95" customHeight="1" x14ac:dyDescent="0.2">
      <c r="B190"/>
    </row>
    <row r="191" spans="2:2" ht="21.95" customHeight="1" x14ac:dyDescent="0.2">
      <c r="B191"/>
    </row>
    <row r="192" spans="2:2" ht="21.95" customHeight="1" x14ac:dyDescent="0.2">
      <c r="B192"/>
    </row>
    <row r="193" spans="2:2" ht="21.95" customHeight="1" x14ac:dyDescent="0.2">
      <c r="B193"/>
    </row>
    <row r="194" spans="2:2" ht="21.95" customHeight="1" x14ac:dyDescent="0.2">
      <c r="B194"/>
    </row>
    <row r="195" spans="2:2" ht="21.95" customHeight="1" x14ac:dyDescent="0.2">
      <c r="B195"/>
    </row>
    <row r="196" spans="2:2" ht="21.95" customHeight="1" x14ac:dyDescent="0.2">
      <c r="B196"/>
    </row>
    <row r="197" spans="2:2" ht="21.95" customHeight="1" x14ac:dyDescent="0.2">
      <c r="B197"/>
    </row>
    <row r="198" spans="2:2" ht="21.95" customHeight="1" x14ac:dyDescent="0.2">
      <c r="B198"/>
    </row>
    <row r="199" spans="2:2" ht="21.95" customHeight="1" x14ac:dyDescent="0.2">
      <c r="B199"/>
    </row>
    <row r="200" spans="2:2" ht="21.95" customHeight="1" x14ac:dyDescent="0.2">
      <c r="B200"/>
    </row>
    <row r="201" spans="2:2" ht="21.95" customHeight="1" x14ac:dyDescent="0.2">
      <c r="B201"/>
    </row>
    <row r="202" spans="2:2" ht="21.95" customHeight="1" x14ac:dyDescent="0.2">
      <c r="B202"/>
    </row>
    <row r="203" spans="2:2" ht="21.95" customHeight="1" x14ac:dyDescent="0.2">
      <c r="B203"/>
    </row>
    <row r="204" spans="2:2" ht="21.95" customHeight="1" x14ac:dyDescent="0.2">
      <c r="B204"/>
    </row>
    <row r="205" spans="2:2" ht="21.95" customHeight="1" x14ac:dyDescent="0.2">
      <c r="B205"/>
    </row>
    <row r="206" spans="2:2" ht="21.95" customHeight="1" x14ac:dyDescent="0.2">
      <c r="B206"/>
    </row>
    <row r="207" spans="2:2" ht="21.95" customHeight="1" x14ac:dyDescent="0.2">
      <c r="B207"/>
    </row>
    <row r="208" spans="2:2" ht="21.95" customHeight="1" x14ac:dyDescent="0.2">
      <c r="B208"/>
    </row>
    <row r="209" spans="2:2" ht="21.95" customHeight="1" x14ac:dyDescent="0.2">
      <c r="B209"/>
    </row>
    <row r="210" spans="2:2" ht="21.95" customHeight="1" x14ac:dyDescent="0.2">
      <c r="B210"/>
    </row>
    <row r="211" spans="2:2" ht="21.95" customHeight="1" x14ac:dyDescent="0.2">
      <c r="B211"/>
    </row>
    <row r="212" spans="2:2" ht="21.95" customHeight="1" x14ac:dyDescent="0.2">
      <c r="B212"/>
    </row>
    <row r="213" spans="2:2" ht="21.95" customHeight="1" x14ac:dyDescent="0.2">
      <c r="B213"/>
    </row>
    <row r="214" spans="2:2" ht="21.95" customHeight="1" x14ac:dyDescent="0.2">
      <c r="B214"/>
    </row>
    <row r="215" spans="2:2" ht="21.95" customHeight="1" x14ac:dyDescent="0.2">
      <c r="B215"/>
    </row>
    <row r="216" spans="2:2" ht="21.95" customHeight="1" x14ac:dyDescent="0.2">
      <c r="B216"/>
    </row>
    <row r="217" spans="2:2" ht="21.95" customHeight="1" x14ac:dyDescent="0.2">
      <c r="B217"/>
    </row>
    <row r="218" spans="2:2" ht="21.95" customHeight="1" x14ac:dyDescent="0.2">
      <c r="B218"/>
    </row>
    <row r="219" spans="2:2" ht="21.95" customHeight="1" x14ac:dyDescent="0.2">
      <c r="B219"/>
    </row>
    <row r="220" spans="2:2" ht="21.95" customHeight="1" x14ac:dyDescent="0.2">
      <c r="B220"/>
    </row>
    <row r="221" spans="2:2" ht="21.95" customHeight="1" x14ac:dyDescent="0.2">
      <c r="B221"/>
    </row>
    <row r="222" spans="2:2" ht="21.95" customHeight="1" x14ac:dyDescent="0.2">
      <c r="B222"/>
    </row>
    <row r="223" spans="2:2" ht="21.95" customHeight="1" x14ac:dyDescent="0.2">
      <c r="B223"/>
    </row>
    <row r="224" spans="2:2" ht="21.95" customHeight="1" x14ac:dyDescent="0.2">
      <c r="B224"/>
    </row>
    <row r="225" spans="2:2" ht="21.95" customHeight="1" x14ac:dyDescent="0.2">
      <c r="B225"/>
    </row>
    <row r="226" spans="2:2" ht="21.95" customHeight="1" x14ac:dyDescent="0.2">
      <c r="B226"/>
    </row>
    <row r="227" spans="2:2" ht="21.95" customHeight="1" x14ac:dyDescent="0.2">
      <c r="B227"/>
    </row>
    <row r="228" spans="2:2" ht="21.95" customHeight="1" x14ac:dyDescent="0.2">
      <c r="B228"/>
    </row>
    <row r="229" spans="2:2" ht="21.95" customHeight="1" x14ac:dyDescent="0.2">
      <c r="B229"/>
    </row>
    <row r="230" spans="2:2" ht="21.95" customHeight="1" x14ac:dyDescent="0.2">
      <c r="B230"/>
    </row>
    <row r="231" spans="2:2" ht="21.95" customHeight="1" x14ac:dyDescent="0.2">
      <c r="B231"/>
    </row>
    <row r="232" spans="2:2" ht="21.95" customHeight="1" x14ac:dyDescent="0.2">
      <c r="B232"/>
    </row>
    <row r="233" spans="2:2" ht="21.95" customHeight="1" x14ac:dyDescent="0.2">
      <c r="B233"/>
    </row>
    <row r="234" spans="2:2" ht="21.95" customHeight="1" x14ac:dyDescent="0.2">
      <c r="B234"/>
    </row>
    <row r="235" spans="2:2" ht="21.95" customHeight="1" x14ac:dyDescent="0.2">
      <c r="B235"/>
    </row>
    <row r="236" spans="2:2" ht="21.95" customHeight="1" x14ac:dyDescent="0.2">
      <c r="B236"/>
    </row>
    <row r="237" spans="2:2" ht="21.95" customHeight="1" x14ac:dyDescent="0.2">
      <c r="B237"/>
    </row>
    <row r="238" spans="2:2" ht="21.95" customHeight="1" x14ac:dyDescent="0.2">
      <c r="B238"/>
    </row>
    <row r="239" spans="2:2" ht="21.95" customHeight="1" x14ac:dyDescent="0.2">
      <c r="B239"/>
    </row>
    <row r="240" spans="2:2" ht="21.95" customHeight="1" x14ac:dyDescent="0.2">
      <c r="B240"/>
    </row>
    <row r="241" spans="2:2" ht="21.95" customHeight="1" x14ac:dyDescent="0.2">
      <c r="B241"/>
    </row>
    <row r="242" spans="2:2" ht="21.95" customHeight="1" x14ac:dyDescent="0.2">
      <c r="B242"/>
    </row>
    <row r="243" spans="2:2" ht="21.95" customHeight="1" x14ac:dyDescent="0.2">
      <c r="B243"/>
    </row>
    <row r="244" spans="2:2" ht="21.95" customHeight="1" x14ac:dyDescent="0.2">
      <c r="B244"/>
    </row>
    <row r="245" spans="2:2" ht="21.95" customHeight="1" x14ac:dyDescent="0.2">
      <c r="B245"/>
    </row>
    <row r="246" spans="2:2" ht="21.95" customHeight="1" x14ac:dyDescent="0.2">
      <c r="B246"/>
    </row>
    <row r="247" spans="2:2" ht="21.95" customHeight="1" x14ac:dyDescent="0.2">
      <c r="B247"/>
    </row>
    <row r="248" spans="2:2" ht="21.95" customHeight="1" x14ac:dyDescent="0.2">
      <c r="B248"/>
    </row>
    <row r="249" spans="2:2" ht="21.95" customHeight="1" x14ac:dyDescent="0.2">
      <c r="B249"/>
    </row>
    <row r="250" spans="2:2" ht="21.95" customHeight="1" x14ac:dyDescent="0.2">
      <c r="B250"/>
    </row>
    <row r="251" spans="2:2" ht="21.95" customHeight="1" x14ac:dyDescent="0.2">
      <c r="B251"/>
    </row>
    <row r="252" spans="2:2" ht="21.95" customHeight="1" x14ac:dyDescent="0.2">
      <c r="B252"/>
    </row>
    <row r="253" spans="2:2" ht="21.95" customHeight="1" x14ac:dyDescent="0.2">
      <c r="B253"/>
    </row>
    <row r="254" spans="2:2" ht="21.95" customHeight="1" x14ac:dyDescent="0.2">
      <c r="B254"/>
    </row>
    <row r="255" spans="2:2" ht="21.95" customHeight="1" x14ac:dyDescent="0.2">
      <c r="B255"/>
    </row>
    <row r="256" spans="2:2" ht="21.95" customHeight="1" x14ac:dyDescent="0.2">
      <c r="B256"/>
    </row>
    <row r="257" spans="2:2" ht="21.95" customHeight="1" x14ac:dyDescent="0.2">
      <c r="B257"/>
    </row>
    <row r="258" spans="2:2" ht="21.95" customHeight="1" x14ac:dyDescent="0.2">
      <c r="B258"/>
    </row>
    <row r="259" spans="2:2" ht="21.95" customHeight="1" x14ac:dyDescent="0.2">
      <c r="B259"/>
    </row>
    <row r="260" spans="2:2" ht="21.95" customHeight="1" x14ac:dyDescent="0.2">
      <c r="B260"/>
    </row>
    <row r="261" spans="2:2" ht="21.95" customHeight="1" x14ac:dyDescent="0.2">
      <c r="B261"/>
    </row>
    <row r="262" spans="2:2" ht="21.95" customHeight="1" x14ac:dyDescent="0.2">
      <c r="B262"/>
    </row>
    <row r="263" spans="2:2" ht="21.95" customHeight="1" x14ac:dyDescent="0.2">
      <c r="B263"/>
    </row>
    <row r="264" spans="2:2" ht="21.95" customHeight="1" x14ac:dyDescent="0.2">
      <c r="B264"/>
    </row>
    <row r="265" spans="2:2" ht="21.95" customHeight="1" x14ac:dyDescent="0.2">
      <c r="B265"/>
    </row>
    <row r="266" spans="2:2" ht="21.95" customHeight="1" x14ac:dyDescent="0.2">
      <c r="B266"/>
    </row>
    <row r="267" spans="2:2" ht="21.95" customHeight="1" x14ac:dyDescent="0.2">
      <c r="B267"/>
    </row>
    <row r="268" spans="2:2" ht="21.95" customHeight="1" x14ac:dyDescent="0.2">
      <c r="B268"/>
    </row>
    <row r="269" spans="2:2" ht="21.95" customHeight="1" x14ac:dyDescent="0.2">
      <c r="B269"/>
    </row>
    <row r="270" spans="2:2" ht="21.95" customHeight="1" x14ac:dyDescent="0.2">
      <c r="B270"/>
    </row>
    <row r="271" spans="2:2" ht="21.95" customHeight="1" x14ac:dyDescent="0.2">
      <c r="B271"/>
    </row>
    <row r="272" spans="2:2" ht="21.95" customHeight="1" x14ac:dyDescent="0.2">
      <c r="B272"/>
    </row>
    <row r="273" spans="2:2" ht="21.95" customHeight="1" x14ac:dyDescent="0.2">
      <c r="B273"/>
    </row>
    <row r="274" spans="2:2" ht="21.95" customHeight="1" x14ac:dyDescent="0.2">
      <c r="B274"/>
    </row>
    <row r="275" spans="2:2" ht="21.95" customHeight="1" x14ac:dyDescent="0.2">
      <c r="B275"/>
    </row>
    <row r="276" spans="2:2" ht="21.95" customHeight="1" x14ac:dyDescent="0.2">
      <c r="B276"/>
    </row>
    <row r="277" spans="2:2" ht="21.95" customHeight="1" x14ac:dyDescent="0.2">
      <c r="B277"/>
    </row>
    <row r="278" spans="2:2" ht="21.95" customHeight="1" x14ac:dyDescent="0.2">
      <c r="B278"/>
    </row>
    <row r="279" spans="2:2" ht="21.95" customHeight="1" x14ac:dyDescent="0.2">
      <c r="B279"/>
    </row>
    <row r="280" spans="2:2" ht="21.95" customHeight="1" x14ac:dyDescent="0.2">
      <c r="B280"/>
    </row>
    <row r="281" spans="2:2" ht="21.95" customHeight="1" x14ac:dyDescent="0.2">
      <c r="B281"/>
    </row>
    <row r="282" spans="2:2" ht="21.95" customHeight="1" x14ac:dyDescent="0.2">
      <c r="B282"/>
    </row>
    <row r="283" spans="2:2" ht="21.95" customHeight="1" x14ac:dyDescent="0.2">
      <c r="B283"/>
    </row>
    <row r="284" spans="2:2" ht="21.95" customHeight="1" x14ac:dyDescent="0.2">
      <c r="B284"/>
    </row>
    <row r="285" spans="2:2" ht="21.95" customHeight="1" x14ac:dyDescent="0.2">
      <c r="B285"/>
    </row>
    <row r="286" spans="2:2" ht="21.95" customHeight="1" x14ac:dyDescent="0.2">
      <c r="B286"/>
    </row>
    <row r="287" spans="2:2" ht="21.95" customHeight="1" x14ac:dyDescent="0.2">
      <c r="B287"/>
    </row>
    <row r="288" spans="2:2" ht="21.95" customHeight="1" x14ac:dyDescent="0.2">
      <c r="B288"/>
    </row>
    <row r="289" spans="2:2" ht="21.95" customHeight="1" x14ac:dyDescent="0.2">
      <c r="B289"/>
    </row>
    <row r="290" spans="2:2" ht="21.95" customHeight="1" x14ac:dyDescent="0.2">
      <c r="B290"/>
    </row>
    <row r="291" spans="2:2" ht="21.95" customHeight="1" x14ac:dyDescent="0.2">
      <c r="B291"/>
    </row>
    <row r="292" spans="2:2" ht="21.95" customHeight="1" x14ac:dyDescent="0.2">
      <c r="B292"/>
    </row>
    <row r="293" spans="2:2" ht="21.95" customHeight="1" x14ac:dyDescent="0.2">
      <c r="B293"/>
    </row>
    <row r="294" spans="2:2" ht="21.95" customHeight="1" x14ac:dyDescent="0.2">
      <c r="B294"/>
    </row>
    <row r="295" spans="2:2" ht="21.95" customHeight="1" x14ac:dyDescent="0.2">
      <c r="B295"/>
    </row>
    <row r="296" spans="2:2" ht="21.95" customHeight="1" x14ac:dyDescent="0.2">
      <c r="B296"/>
    </row>
    <row r="297" spans="2:2" ht="21.95" customHeight="1" x14ac:dyDescent="0.2">
      <c r="B297"/>
    </row>
    <row r="298" spans="2:2" ht="21.95" customHeight="1" x14ac:dyDescent="0.2">
      <c r="B298"/>
    </row>
    <row r="299" spans="2:2" ht="21.95" customHeight="1" x14ac:dyDescent="0.2">
      <c r="B299"/>
    </row>
    <row r="300" spans="2:2" ht="21.95" customHeight="1" x14ac:dyDescent="0.2">
      <c r="B300"/>
    </row>
    <row r="301" spans="2:2" ht="21.95" customHeight="1" x14ac:dyDescent="0.2">
      <c r="B301"/>
    </row>
    <row r="302" spans="2:2" ht="21.95" customHeight="1" x14ac:dyDescent="0.2">
      <c r="B302"/>
    </row>
    <row r="303" spans="2:2" ht="21.95" customHeight="1" x14ac:dyDescent="0.2">
      <c r="B303"/>
    </row>
    <row r="304" spans="2:2" ht="21.95" customHeight="1" x14ac:dyDescent="0.2">
      <c r="B304"/>
    </row>
    <row r="305" spans="2:2" ht="21.95" customHeight="1" x14ac:dyDescent="0.2">
      <c r="B305"/>
    </row>
    <row r="306" spans="2:2" ht="21.95" customHeight="1" x14ac:dyDescent="0.2">
      <c r="B306"/>
    </row>
    <row r="307" spans="2:2" ht="21.95" customHeight="1" x14ac:dyDescent="0.2">
      <c r="B307"/>
    </row>
    <row r="308" spans="2:2" ht="21.95" customHeight="1" x14ac:dyDescent="0.2">
      <c r="B308"/>
    </row>
    <row r="309" spans="2:2" ht="21.95" customHeight="1" x14ac:dyDescent="0.2">
      <c r="B309"/>
    </row>
    <row r="310" spans="2:2" ht="21.95" customHeight="1" x14ac:dyDescent="0.2">
      <c r="B310"/>
    </row>
    <row r="311" spans="2:2" ht="21.95" customHeight="1" x14ac:dyDescent="0.2">
      <c r="B311"/>
    </row>
    <row r="312" spans="2:2" ht="21.95" customHeight="1" x14ac:dyDescent="0.2">
      <c r="B312"/>
    </row>
    <row r="313" spans="2:2" ht="21.95" customHeight="1" x14ac:dyDescent="0.2">
      <c r="B313"/>
    </row>
    <row r="314" spans="2:2" ht="21.95" customHeight="1" x14ac:dyDescent="0.2">
      <c r="B314"/>
    </row>
    <row r="315" spans="2:2" ht="21.95" customHeight="1" x14ac:dyDescent="0.2">
      <c r="B315"/>
    </row>
    <row r="316" spans="2:2" ht="21.95" customHeight="1" x14ac:dyDescent="0.2">
      <c r="B316"/>
    </row>
    <row r="317" spans="2:2" ht="21.95" customHeight="1" x14ac:dyDescent="0.2">
      <c r="B317"/>
    </row>
    <row r="318" spans="2:2" ht="21.95" customHeight="1" x14ac:dyDescent="0.2">
      <c r="B318"/>
    </row>
    <row r="319" spans="2:2" ht="21.95" customHeight="1" x14ac:dyDescent="0.2">
      <c r="B319"/>
    </row>
    <row r="320" spans="2:2" ht="21.95" customHeight="1" x14ac:dyDescent="0.2">
      <c r="B320"/>
    </row>
    <row r="321" spans="2:2" ht="21.95" customHeight="1" x14ac:dyDescent="0.2">
      <c r="B321"/>
    </row>
    <row r="322" spans="2:2" ht="21.95" customHeight="1" x14ac:dyDescent="0.2">
      <c r="B322"/>
    </row>
    <row r="323" spans="2:2" ht="21.95" customHeight="1" x14ac:dyDescent="0.2">
      <c r="B323"/>
    </row>
    <row r="324" spans="2:2" ht="21.95" customHeight="1" x14ac:dyDescent="0.2">
      <c r="B324"/>
    </row>
    <row r="325" spans="2:2" ht="21.95" customHeight="1" x14ac:dyDescent="0.2">
      <c r="B325"/>
    </row>
    <row r="326" spans="2:2" ht="21.95" customHeight="1" x14ac:dyDescent="0.2">
      <c r="B326"/>
    </row>
    <row r="327" spans="2:2" ht="21.95" customHeight="1" x14ac:dyDescent="0.2">
      <c r="B327"/>
    </row>
    <row r="328" spans="2:2" ht="21.95" customHeight="1" x14ac:dyDescent="0.2">
      <c r="B328"/>
    </row>
    <row r="329" spans="2:2" ht="21.95" customHeight="1" x14ac:dyDescent="0.2">
      <c r="B329"/>
    </row>
    <row r="330" spans="2:2" ht="21.95" customHeight="1" x14ac:dyDescent="0.2">
      <c r="B330"/>
    </row>
    <row r="331" spans="2:2" ht="21.95" customHeight="1" x14ac:dyDescent="0.2">
      <c r="B331"/>
    </row>
    <row r="332" spans="2:2" ht="21.95" customHeight="1" x14ac:dyDescent="0.2">
      <c r="B332"/>
    </row>
    <row r="333" spans="2:2" ht="21.95" customHeight="1" x14ac:dyDescent="0.2">
      <c r="B333"/>
    </row>
    <row r="334" spans="2:2" ht="21.95" customHeight="1" x14ac:dyDescent="0.2">
      <c r="B334"/>
    </row>
    <row r="335" spans="2:2" ht="21.95" customHeight="1" x14ac:dyDescent="0.2">
      <c r="B335"/>
    </row>
    <row r="336" spans="2:2" ht="21.95" customHeight="1" x14ac:dyDescent="0.2">
      <c r="B336"/>
    </row>
    <row r="337" spans="2:2" ht="21.95" customHeight="1" x14ac:dyDescent="0.2">
      <c r="B337"/>
    </row>
    <row r="338" spans="2:2" ht="21.95" customHeight="1" x14ac:dyDescent="0.2">
      <c r="B338"/>
    </row>
    <row r="339" spans="2:2" ht="21.95" customHeight="1" x14ac:dyDescent="0.2">
      <c r="B339"/>
    </row>
    <row r="340" spans="2:2" ht="21.95" customHeight="1" x14ac:dyDescent="0.2">
      <c r="B340"/>
    </row>
    <row r="341" spans="2:2" ht="21.95" customHeight="1" x14ac:dyDescent="0.2">
      <c r="B341"/>
    </row>
    <row r="342" spans="2:2" ht="21.95" customHeight="1" x14ac:dyDescent="0.2">
      <c r="B342"/>
    </row>
    <row r="343" spans="2:2" ht="21.95" customHeight="1" x14ac:dyDescent="0.2">
      <c r="B343"/>
    </row>
    <row r="344" spans="2:2" ht="21.95" customHeight="1" x14ac:dyDescent="0.2">
      <c r="B344"/>
    </row>
    <row r="345" spans="2:2" ht="21.95" customHeight="1" x14ac:dyDescent="0.2">
      <c r="B345"/>
    </row>
    <row r="346" spans="2:2" ht="21.95" customHeight="1" x14ac:dyDescent="0.2">
      <c r="B346"/>
    </row>
    <row r="347" spans="2:2" ht="21.95" customHeight="1" x14ac:dyDescent="0.2">
      <c r="B347"/>
    </row>
    <row r="348" spans="2:2" ht="21.95" customHeight="1" x14ac:dyDescent="0.2">
      <c r="B348"/>
    </row>
    <row r="349" spans="2:2" ht="21.95" customHeight="1" x14ac:dyDescent="0.2">
      <c r="B349"/>
    </row>
    <row r="350" spans="2:2" ht="21.95" customHeight="1" x14ac:dyDescent="0.2">
      <c r="B350"/>
    </row>
    <row r="351" spans="2:2" ht="21.95" customHeight="1" x14ac:dyDescent="0.2">
      <c r="B351"/>
    </row>
    <row r="352" spans="2:2" ht="21.95" customHeight="1" x14ac:dyDescent="0.2">
      <c r="B352"/>
    </row>
    <row r="353" spans="2:2" ht="21.95" customHeight="1" x14ac:dyDescent="0.2">
      <c r="B353"/>
    </row>
    <row r="354" spans="2:2" ht="21.95" customHeight="1" x14ac:dyDescent="0.2">
      <c r="B354"/>
    </row>
    <row r="355" spans="2:2" ht="21.95" customHeight="1" x14ac:dyDescent="0.2">
      <c r="B355"/>
    </row>
    <row r="356" spans="2:2" ht="21.95" customHeight="1" x14ac:dyDescent="0.2">
      <c r="B356"/>
    </row>
    <row r="357" spans="2:2" ht="21.95" customHeight="1" x14ac:dyDescent="0.2">
      <c r="B357"/>
    </row>
    <row r="358" spans="2:2" ht="21.95" customHeight="1" x14ac:dyDescent="0.2">
      <c r="B358"/>
    </row>
  </sheetData>
  <mergeCells count="2">
    <mergeCell ref="G12:G41"/>
    <mergeCell ref="B2:D2"/>
  </mergeCells>
  <hyperlinks>
    <hyperlink ref="B2" location="Emissions!A1" display="Back to Emissions Tab" xr:uid="{EFD77952-F3D3-4D1F-BEF6-51ABE85A7ADE}"/>
  </hyperlinks>
  <pageMargins left="0.7" right="0.7" top="0.75" bottom="0.75" header="0.3" footer="0.3"/>
  <pageSetup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81B7-3FA5-4460-A5C1-F27F6C841614}">
  <sheetPr codeName="Sheet7">
    <tabColor theme="1"/>
  </sheetPr>
  <dimension ref="A2:AR169"/>
  <sheetViews>
    <sheetView showGridLines="0" tabSelected="1" zoomScale="70" zoomScaleNormal="70" workbookViewId="0">
      <selection activeCell="S11" sqref="S11"/>
    </sheetView>
  </sheetViews>
  <sheetFormatPr defaultColWidth="11.625" defaultRowHeight="21.95" customHeight="1" x14ac:dyDescent="0.2"/>
  <cols>
    <col min="1" max="1" width="3.375" customWidth="1"/>
    <col min="2" max="2" width="19" customWidth="1"/>
    <col min="3" max="3" width="11" customWidth="1"/>
    <col min="4" max="4" width="17.125" bestFit="1" customWidth="1"/>
    <col min="5" max="5" width="18" style="2" bestFit="1" customWidth="1"/>
    <col min="6" max="9" width="18.625" style="2" customWidth="1"/>
    <col min="10" max="33" width="18.625" customWidth="1"/>
    <col min="34" max="43" width="13.125" customWidth="1"/>
  </cols>
  <sheetData>
    <row r="2" spans="1:16" ht="21.95" customHeight="1" x14ac:dyDescent="0.2">
      <c r="B2" s="394" t="s">
        <v>48</v>
      </c>
    </row>
    <row r="3" spans="1:16" ht="21.95" customHeight="1" x14ac:dyDescent="0.2">
      <c r="B3" s="10"/>
    </row>
    <row r="4" spans="1:16" ht="11.1" customHeight="1" x14ac:dyDescent="0.2">
      <c r="B4" s="51"/>
      <c r="C4" s="52"/>
      <c r="D4" s="52"/>
    </row>
    <row r="5" spans="1:16" ht="21.95" customHeight="1" x14ac:dyDescent="0.2">
      <c r="A5" s="1053"/>
      <c r="B5" s="1263" t="s">
        <v>71</v>
      </c>
      <c r="C5" s="1263"/>
      <c r="D5" s="1263"/>
      <c r="E5"/>
      <c r="F5" s="681" t="s">
        <v>96</v>
      </c>
      <c r="G5"/>
      <c r="H5"/>
      <c r="J5" s="2"/>
      <c r="K5" s="2"/>
      <c r="L5" s="2"/>
      <c r="M5" s="2"/>
    </row>
    <row r="6" spans="1:16" ht="21.75" customHeight="1" x14ac:dyDescent="0.2">
      <c r="B6" s="1263"/>
      <c r="C6" s="1263"/>
      <c r="D6" s="1263"/>
      <c r="E6"/>
      <c r="F6" s="120" t="s">
        <v>91</v>
      </c>
      <c r="G6" s="117"/>
      <c r="H6" s="117"/>
      <c r="I6" s="63" t="s">
        <v>95</v>
      </c>
      <c r="J6" s="63"/>
      <c r="K6" s="63"/>
      <c r="L6" s="1266" t="s">
        <v>92</v>
      </c>
      <c r="M6" s="1266"/>
      <c r="N6" s="117"/>
      <c r="O6" s="63" t="s">
        <v>93</v>
      </c>
      <c r="P6" s="41"/>
    </row>
    <row r="7" spans="1:16" ht="21.95" customHeight="1" x14ac:dyDescent="0.2">
      <c r="B7" s="53" t="s">
        <v>98</v>
      </c>
      <c r="C7" s="54"/>
      <c r="D7" s="54"/>
      <c r="F7" s="1264"/>
      <c r="G7" s="130"/>
      <c r="H7" s="130"/>
      <c r="I7" s="1265"/>
      <c r="J7" s="1265"/>
      <c r="K7" s="131"/>
      <c r="L7" s="1265">
        <f>F61</f>
        <v>0</v>
      </c>
      <c r="M7" s="1265"/>
      <c r="N7" s="132"/>
      <c r="O7" s="1265">
        <f>F62</f>
        <v>0</v>
      </c>
      <c r="P7" s="1265"/>
    </row>
    <row r="8" spans="1:16" ht="21.95" customHeight="1" x14ac:dyDescent="0.2">
      <c r="B8" s="54" t="str" cm="1">
        <f t="array" ref="B8:B13">Inputs!C6:C11</f>
        <v>Base Year</v>
      </c>
      <c r="C8" s="55"/>
      <c r="D8" s="56" cm="1">
        <f t="array" ref="D8:D13">Inputs!E6:E11</f>
        <v>2021</v>
      </c>
      <c r="F8" s="1264"/>
      <c r="G8" s="133"/>
      <c r="H8" s="133"/>
      <c r="I8" s="1265"/>
      <c r="J8" s="1265"/>
      <c r="K8" s="134"/>
      <c r="L8" s="1265"/>
      <c r="M8" s="1265"/>
      <c r="N8" s="134"/>
      <c r="O8" s="1265"/>
      <c r="P8" s="1265"/>
    </row>
    <row r="9" spans="1:16" ht="21.95" customHeight="1" x14ac:dyDescent="0.2">
      <c r="B9" s="54" t="str">
        <v>Construction Start</v>
      </c>
      <c r="C9" s="55"/>
      <c r="D9" s="56">
        <v>2025</v>
      </c>
      <c r="F9" s="128" t="s">
        <v>633</v>
      </c>
      <c r="G9" s="19">
        <f>D64</f>
        <v>4.6896007720923407</v>
      </c>
      <c r="H9" s="19"/>
      <c r="I9" s="129" t="s">
        <v>633</v>
      </c>
      <c r="J9" s="29">
        <f>D63</f>
        <v>211272508.46323705</v>
      </c>
      <c r="K9" s="37"/>
      <c r="L9" s="129" t="s">
        <v>633</v>
      </c>
      <c r="M9" s="29">
        <f>D61</f>
        <v>268534126.05104619</v>
      </c>
      <c r="N9" s="37"/>
      <c r="O9" s="129" t="s">
        <v>633</v>
      </c>
      <c r="P9" s="29">
        <f>D62</f>
        <v>57261617.58780916</v>
      </c>
    </row>
    <row r="10" spans="1:16" ht="21.95" customHeight="1" x14ac:dyDescent="0.2">
      <c r="B10" s="55" t="str">
        <v>Construction End</v>
      </c>
      <c r="C10" s="55"/>
      <c r="D10" s="56">
        <v>2028</v>
      </c>
      <c r="F10" s="128" t="s">
        <v>634</v>
      </c>
      <c r="G10" s="19">
        <f>E64</f>
        <v>4.7804091162754565</v>
      </c>
      <c r="H10" s="19"/>
      <c r="I10" s="129" t="s">
        <v>634</v>
      </c>
      <c r="J10" s="29">
        <f>E63</f>
        <v>281034793.58259821</v>
      </c>
      <c r="K10" s="37"/>
      <c r="L10" s="129" t="s">
        <v>634</v>
      </c>
      <c r="M10" s="29">
        <f>E61</f>
        <v>355374576.642766</v>
      </c>
      <c r="N10" s="37"/>
      <c r="O10" s="129" t="s">
        <v>634</v>
      </c>
      <c r="P10" s="29">
        <f>E62</f>
        <v>74339783.060167819</v>
      </c>
    </row>
    <row r="11" spans="1:16" ht="21.95" customHeight="1" x14ac:dyDescent="0.2">
      <c r="B11" s="55" t="str">
        <v>Construction Duration</v>
      </c>
      <c r="C11" s="55"/>
      <c r="D11" s="56">
        <v>4</v>
      </c>
      <c r="F11" s="121"/>
      <c r="G11" s="19"/>
      <c r="H11" s="19"/>
      <c r="I11" s="118"/>
      <c r="J11" s="29"/>
      <c r="K11" s="37"/>
      <c r="L11" s="118"/>
      <c r="M11" s="29"/>
      <c r="N11" s="37"/>
      <c r="O11" s="118"/>
      <c r="P11" s="29"/>
    </row>
    <row r="12" spans="1:16" ht="21.95" customHeight="1" x14ac:dyDescent="0.2">
      <c r="B12" s="54" t="str">
        <v>Years of Full Benefits</v>
      </c>
      <c r="C12" s="55"/>
      <c r="D12" s="56">
        <v>20</v>
      </c>
      <c r="F12" s="122"/>
      <c r="G12" s="19"/>
      <c r="H12" s="19"/>
      <c r="I12" s="119"/>
      <c r="J12" s="29"/>
      <c r="K12" s="37"/>
      <c r="L12" s="119"/>
      <c r="M12" s="29"/>
      <c r="N12" s="37"/>
      <c r="O12" s="119"/>
      <c r="P12" s="29"/>
    </row>
    <row r="13" spans="1:16" ht="21.95" customHeight="1" x14ac:dyDescent="0.2">
      <c r="B13" s="54" t="str">
        <v>Study Duration</v>
      </c>
      <c r="C13" s="55"/>
      <c r="D13" s="56">
        <v>28</v>
      </c>
      <c r="F13" s="1254" t="s">
        <v>733</v>
      </c>
      <c r="G13" s="19"/>
      <c r="H13" s="19"/>
      <c r="I13" s="119"/>
      <c r="J13" s="1255" t="s">
        <v>734</v>
      </c>
      <c r="L13" s="119"/>
      <c r="M13" s="2"/>
      <c r="N13" s="37"/>
      <c r="O13" s="119"/>
      <c r="P13" s="29"/>
    </row>
    <row r="14" spans="1:16" ht="21.95" customHeight="1" x14ac:dyDescent="0.2">
      <c r="B14" s="54"/>
      <c r="C14" s="55"/>
      <c r="D14" s="56"/>
      <c r="E14"/>
      <c r="G14" s="19"/>
      <c r="H14" s="19"/>
      <c r="I14" s="119"/>
      <c r="L14" s="119"/>
      <c r="M14" s="29"/>
      <c r="N14" s="37"/>
      <c r="O14" s="119"/>
      <c r="P14" s="29"/>
    </row>
    <row r="15" spans="1:16" ht="21.95" customHeight="1" x14ac:dyDescent="0.2">
      <c r="B15" s="53" t="s">
        <v>182</v>
      </c>
      <c r="C15" s="54"/>
      <c r="D15" s="57"/>
      <c r="F15" s="119"/>
      <c r="G15" s="19"/>
      <c r="H15" s="19"/>
      <c r="I15" s="119"/>
      <c r="J15" s="29"/>
      <c r="K15" s="37"/>
      <c r="L15" s="119"/>
      <c r="M15" s="29"/>
      <c r="N15" s="37"/>
      <c r="O15" s="119"/>
      <c r="P15" s="29"/>
    </row>
    <row r="16" spans="1:16" ht="21.95" customHeight="1" x14ac:dyDescent="0.2">
      <c r="B16" s="55" t="s">
        <v>72</v>
      </c>
      <c r="C16" s="58"/>
      <c r="D16" s="59">
        <f>discount</f>
        <v>7.0000000000000007E-2</v>
      </c>
      <c r="F16" s="119"/>
      <c r="G16" s="19"/>
      <c r="H16" s="19"/>
      <c r="I16" s="119"/>
      <c r="J16" s="29"/>
      <c r="K16" s="37"/>
      <c r="L16" s="119"/>
      <c r="M16" s="29"/>
      <c r="N16" s="37"/>
      <c r="O16" s="119"/>
      <c r="P16" s="29"/>
    </row>
    <row r="17" spans="2:16" ht="21.95" customHeight="1" x14ac:dyDescent="0.2">
      <c r="B17" s="55" t="s">
        <v>73</v>
      </c>
      <c r="C17" s="58"/>
      <c r="D17" s="59">
        <f>discountCO2</f>
        <v>0.03</v>
      </c>
      <c r="F17" s="119"/>
      <c r="G17" s="19"/>
      <c r="H17" s="19"/>
      <c r="I17" s="119"/>
      <c r="J17" s="29"/>
      <c r="K17" s="37"/>
      <c r="L17" s="119"/>
      <c r="M17" s="29"/>
      <c r="N17" s="37"/>
      <c r="O17" s="119"/>
      <c r="P17" s="29"/>
    </row>
    <row r="18" spans="2:16" ht="21.95" customHeight="1" x14ac:dyDescent="0.2">
      <c r="B18" s="54"/>
      <c r="C18" s="60"/>
      <c r="D18" s="61"/>
      <c r="F18" s="119"/>
      <c r="G18" s="19"/>
      <c r="H18" s="19"/>
      <c r="I18" s="119"/>
      <c r="J18" s="29"/>
      <c r="K18" s="37"/>
      <c r="L18" s="119"/>
      <c r="M18" s="29"/>
      <c r="N18" s="37"/>
      <c r="O18" s="119"/>
      <c r="P18" s="29"/>
    </row>
    <row r="19" spans="2:16" ht="21.95" customHeight="1" x14ac:dyDescent="0.2">
      <c r="B19" s="139"/>
      <c r="C19" s="1252"/>
      <c r="D19" s="1253"/>
      <c r="F19" s="119"/>
      <c r="G19" s="19"/>
      <c r="H19" s="19"/>
      <c r="I19" s="119"/>
      <c r="J19" s="29"/>
      <c r="K19" s="37"/>
      <c r="L19" s="119"/>
      <c r="M19" s="29"/>
      <c r="N19" s="37"/>
      <c r="O19" s="119"/>
      <c r="P19" s="29"/>
    </row>
    <row r="20" spans="2:16" ht="21.95" customHeight="1" x14ac:dyDescent="0.2">
      <c r="B20" s="139"/>
      <c r="C20" s="1252"/>
      <c r="D20" s="1253"/>
      <c r="F20" s="119"/>
      <c r="G20" s="19"/>
      <c r="H20" s="19"/>
      <c r="I20" s="119"/>
      <c r="J20" s="29"/>
      <c r="K20" s="37"/>
      <c r="L20" s="119"/>
      <c r="M20" s="29"/>
      <c r="N20" s="37"/>
      <c r="O20" s="119"/>
      <c r="P20" s="29"/>
    </row>
    <row r="21" spans="2:16" ht="21.95" customHeight="1" x14ac:dyDescent="0.2">
      <c r="B21" s="139"/>
      <c r="C21" s="1252"/>
      <c r="D21" s="1253"/>
      <c r="F21" s="119"/>
      <c r="G21" s="19"/>
      <c r="H21" s="19"/>
      <c r="I21" s="119"/>
      <c r="J21" s="29"/>
      <c r="K21" s="37"/>
      <c r="L21" s="119"/>
      <c r="M21" s="29"/>
      <c r="N21" s="37"/>
      <c r="O21" s="119"/>
      <c r="P21" s="29"/>
    </row>
    <row r="22" spans="2:16" ht="21.95" customHeight="1" x14ac:dyDescent="0.2">
      <c r="B22" s="139"/>
      <c r="C22" s="1252"/>
      <c r="D22" s="1253"/>
      <c r="F22" s="119"/>
      <c r="G22" s="19"/>
      <c r="H22" s="19"/>
      <c r="I22" s="119"/>
      <c r="J22" s="29"/>
      <c r="K22" s="37"/>
      <c r="L22" s="119"/>
      <c r="M22" s="29"/>
      <c r="N22" s="37"/>
      <c r="O22" s="119"/>
      <c r="P22" s="29"/>
    </row>
    <row r="23" spans="2:16" ht="21.95" customHeight="1" x14ac:dyDescent="0.2">
      <c r="B23" s="139"/>
      <c r="C23" s="1252"/>
      <c r="D23" s="1253"/>
      <c r="F23" s="119"/>
      <c r="G23" s="19"/>
      <c r="H23" s="19"/>
      <c r="I23" s="119"/>
      <c r="J23" s="29"/>
      <c r="K23" s="37"/>
      <c r="L23" s="119"/>
      <c r="M23" s="29"/>
      <c r="N23" s="37"/>
      <c r="O23" s="119"/>
      <c r="P23" s="29"/>
    </row>
    <row r="24" spans="2:16" ht="21.95" customHeight="1" x14ac:dyDescent="0.2">
      <c r="B24" s="139"/>
      <c r="C24" s="1252"/>
      <c r="D24" s="1253"/>
      <c r="F24" s="119"/>
      <c r="G24" s="19"/>
      <c r="H24" s="19"/>
      <c r="I24" s="119"/>
      <c r="J24" s="29"/>
      <c r="K24" s="37"/>
      <c r="L24" s="119"/>
      <c r="M24" s="29"/>
      <c r="N24" s="37"/>
      <c r="O24" s="119"/>
      <c r="P24" s="29"/>
    </row>
    <row r="25" spans="2:16" ht="21.95" customHeight="1" x14ac:dyDescent="0.2">
      <c r="B25" s="139"/>
      <c r="C25" s="1252"/>
      <c r="D25" s="1253"/>
      <c r="F25" s="119"/>
      <c r="G25" s="19"/>
      <c r="H25" s="19"/>
      <c r="I25" s="119"/>
      <c r="J25" s="29"/>
      <c r="K25" s="37"/>
      <c r="L25" s="119"/>
      <c r="M25" s="29"/>
      <c r="N25" s="37"/>
      <c r="O25" s="119"/>
      <c r="P25" s="29"/>
    </row>
    <row r="26" spans="2:16" ht="21.95" customHeight="1" x14ac:dyDescent="0.2">
      <c r="B26" s="139"/>
      <c r="C26" s="1252"/>
      <c r="D26" s="1253"/>
      <c r="F26" s="119"/>
      <c r="G26" s="19"/>
      <c r="H26" s="19"/>
      <c r="I26" s="119"/>
      <c r="J26" s="29"/>
      <c r="K26" s="37"/>
      <c r="L26" s="119"/>
      <c r="M26" s="29"/>
      <c r="N26" s="37"/>
      <c r="O26" s="119"/>
      <c r="P26" s="29"/>
    </row>
    <row r="27" spans="2:16" ht="21.95" customHeight="1" x14ac:dyDescent="0.2">
      <c r="B27" s="139"/>
      <c r="C27" s="1252"/>
      <c r="D27" s="1253"/>
      <c r="F27" s="119"/>
      <c r="G27" s="19"/>
      <c r="H27" s="19"/>
      <c r="I27" s="119"/>
      <c r="J27" s="29"/>
      <c r="K27" s="37"/>
      <c r="L27" s="119"/>
      <c r="M27" s="29"/>
      <c r="N27" s="37"/>
      <c r="O27" s="119"/>
      <c r="P27" s="29"/>
    </row>
    <row r="28" spans="2:16" ht="21.95" customHeight="1" x14ac:dyDescent="0.2">
      <c r="B28" s="139"/>
      <c r="C28" s="1252"/>
      <c r="D28" s="1253"/>
      <c r="F28" s="119"/>
      <c r="G28" s="19"/>
      <c r="H28" s="19"/>
      <c r="I28" s="119"/>
      <c r="J28" s="29"/>
      <c r="K28" s="37"/>
      <c r="L28" s="119"/>
      <c r="M28" s="29"/>
      <c r="N28" s="37"/>
      <c r="O28" s="119"/>
      <c r="P28" s="29"/>
    </row>
    <row r="29" spans="2:16" ht="21.95" customHeight="1" x14ac:dyDescent="0.2">
      <c r="B29" s="139"/>
      <c r="C29" s="1252"/>
      <c r="D29" s="1253"/>
      <c r="F29" s="119"/>
      <c r="G29" s="19"/>
      <c r="H29" s="19"/>
      <c r="I29" s="119"/>
      <c r="J29" s="29"/>
      <c r="K29" s="37"/>
      <c r="L29" s="119"/>
      <c r="M29" s="29"/>
      <c r="N29" s="37"/>
      <c r="O29" s="119"/>
      <c r="P29" s="29"/>
    </row>
    <row r="30" spans="2:16" ht="21.95" customHeight="1" x14ac:dyDescent="0.2">
      <c r="B30" s="139"/>
      <c r="C30" s="1252"/>
      <c r="D30" s="1253"/>
      <c r="F30" s="119"/>
      <c r="G30" s="19"/>
      <c r="H30" s="19"/>
      <c r="I30" s="119"/>
      <c r="J30" s="29"/>
      <c r="K30" s="37"/>
      <c r="L30" s="119"/>
      <c r="M30" s="29"/>
      <c r="N30" s="37"/>
      <c r="O30" s="119"/>
      <c r="P30" s="29"/>
    </row>
    <row r="31" spans="2:16" ht="21.95" customHeight="1" x14ac:dyDescent="0.2">
      <c r="B31" s="139"/>
      <c r="C31" s="1252"/>
      <c r="D31" s="1253"/>
      <c r="F31" s="122"/>
      <c r="G31" s="19"/>
      <c r="H31" s="19"/>
      <c r="I31" s="119"/>
      <c r="J31" s="29"/>
      <c r="K31" s="37"/>
      <c r="L31" s="119"/>
      <c r="M31" s="29"/>
      <c r="N31" s="37"/>
      <c r="O31" s="119"/>
      <c r="P31" s="29"/>
    </row>
    <row r="32" spans="2:16" ht="21.95" customHeight="1" x14ac:dyDescent="0.2">
      <c r="B32" s="139"/>
      <c r="C32" s="1252"/>
      <c r="D32" s="1253"/>
      <c r="F32" s="1254" t="s">
        <v>735</v>
      </c>
      <c r="G32" s="19"/>
      <c r="H32" s="19"/>
      <c r="I32" s="119"/>
      <c r="J32" s="1255" t="s">
        <v>736</v>
      </c>
      <c r="L32" s="119"/>
      <c r="M32" s="2"/>
      <c r="N32" s="37"/>
      <c r="O32" s="119"/>
      <c r="P32" s="29"/>
    </row>
    <row r="33" spans="2:16" ht="21.95" customHeight="1" x14ac:dyDescent="0.2">
      <c r="B33" s="139"/>
      <c r="C33" s="1252"/>
      <c r="D33" s="1253"/>
      <c r="E33"/>
      <c r="G33" s="19"/>
      <c r="H33" s="19"/>
      <c r="I33" s="119"/>
      <c r="L33" s="119"/>
      <c r="M33" s="29"/>
      <c r="N33" s="37"/>
      <c r="O33" s="119"/>
      <c r="P33" s="29"/>
    </row>
    <row r="34" spans="2:16" ht="21.95" customHeight="1" x14ac:dyDescent="0.2">
      <c r="B34" s="139"/>
      <c r="C34" s="1252"/>
      <c r="D34" s="1253"/>
      <c r="F34" s="119"/>
      <c r="G34" s="19"/>
      <c r="H34" s="19"/>
      <c r="I34" s="119"/>
      <c r="J34" s="29"/>
      <c r="K34" s="37"/>
      <c r="L34" s="119"/>
      <c r="M34" s="29"/>
      <c r="N34" s="37"/>
      <c r="O34" s="119"/>
      <c r="P34" s="29"/>
    </row>
    <row r="35" spans="2:16" ht="21.95" customHeight="1" x14ac:dyDescent="0.2">
      <c r="B35" s="139"/>
      <c r="C35" s="1252"/>
      <c r="D35" s="1253"/>
      <c r="F35" s="119"/>
      <c r="G35" s="19"/>
      <c r="H35" s="19"/>
      <c r="I35" s="119"/>
      <c r="J35" s="29"/>
      <c r="K35" s="37"/>
      <c r="L35" s="119"/>
      <c r="M35" s="29"/>
      <c r="N35" s="37"/>
      <c r="O35" s="119"/>
      <c r="P35" s="29"/>
    </row>
    <row r="36" spans="2:16" ht="21.95" customHeight="1" x14ac:dyDescent="0.2">
      <c r="B36" s="139"/>
      <c r="C36" s="1252"/>
      <c r="D36" s="1253"/>
      <c r="F36" s="119"/>
      <c r="G36" s="19"/>
      <c r="H36" s="19"/>
      <c r="I36" s="119"/>
      <c r="J36" s="29"/>
      <c r="K36" s="37"/>
      <c r="L36" s="119"/>
      <c r="M36" s="29"/>
      <c r="N36" s="37"/>
      <c r="O36" s="119"/>
      <c r="P36" s="29"/>
    </row>
    <row r="37" spans="2:16" ht="21.95" customHeight="1" x14ac:dyDescent="0.2">
      <c r="B37" s="139"/>
      <c r="C37" s="1252"/>
      <c r="D37" s="1253"/>
      <c r="F37" s="119"/>
      <c r="G37" s="19"/>
      <c r="H37" s="19"/>
      <c r="I37" s="119"/>
      <c r="J37" s="29"/>
      <c r="K37" s="37"/>
      <c r="L37" s="119"/>
      <c r="M37" s="29"/>
      <c r="N37" s="37"/>
      <c r="O37" s="119"/>
      <c r="P37" s="29"/>
    </row>
    <row r="38" spans="2:16" ht="21.95" customHeight="1" x14ac:dyDescent="0.2">
      <c r="B38" s="139"/>
      <c r="C38" s="1252"/>
      <c r="D38" s="1253"/>
      <c r="F38" s="119"/>
      <c r="G38" s="19"/>
      <c r="H38" s="19"/>
      <c r="I38" s="119"/>
      <c r="J38" s="29"/>
      <c r="K38" s="37"/>
      <c r="L38" s="119"/>
      <c r="M38" s="29"/>
      <c r="N38" s="37"/>
      <c r="O38" s="119"/>
      <c r="P38" s="29"/>
    </row>
    <row r="39" spans="2:16" ht="21.95" customHeight="1" x14ac:dyDescent="0.2">
      <c r="B39" s="139"/>
      <c r="C39" s="1252"/>
      <c r="D39" s="1253"/>
      <c r="F39" s="119"/>
      <c r="G39" s="19"/>
      <c r="H39" s="19"/>
      <c r="I39" s="119"/>
      <c r="J39" s="29"/>
      <c r="K39" s="37"/>
      <c r="L39" s="119"/>
      <c r="M39" s="29"/>
      <c r="N39" s="37"/>
      <c r="O39" s="119"/>
      <c r="P39" s="29"/>
    </row>
    <row r="40" spans="2:16" ht="21.95" customHeight="1" x14ac:dyDescent="0.2">
      <c r="F40" s="119"/>
      <c r="G40" s="19"/>
      <c r="H40" s="19"/>
      <c r="I40" s="119"/>
      <c r="J40" s="29"/>
      <c r="K40" s="37"/>
      <c r="L40" s="119"/>
      <c r="M40" s="29"/>
      <c r="N40" s="37"/>
      <c r="O40" s="119"/>
      <c r="P40" s="29"/>
    </row>
    <row r="41" spans="2:16" ht="21.95" customHeight="1" x14ac:dyDescent="0.2">
      <c r="F41" s="119"/>
      <c r="G41" s="19"/>
      <c r="H41" s="19"/>
      <c r="I41" s="119"/>
      <c r="J41" s="29"/>
      <c r="K41" s="37"/>
      <c r="L41" s="119"/>
      <c r="M41" s="29"/>
      <c r="N41" s="37"/>
      <c r="O41" s="119"/>
      <c r="P41" s="29"/>
    </row>
    <row r="42" spans="2:16" ht="21.95" customHeight="1" x14ac:dyDescent="0.2">
      <c r="F42" s="119"/>
      <c r="G42" s="19"/>
      <c r="H42" s="19"/>
      <c r="I42" s="119"/>
      <c r="J42" s="29"/>
      <c r="K42" s="37"/>
      <c r="L42" s="119"/>
      <c r="M42" s="29"/>
      <c r="N42" s="37"/>
      <c r="O42" s="119"/>
      <c r="P42" s="29"/>
    </row>
    <row r="43" spans="2:16" ht="21.95" customHeight="1" x14ac:dyDescent="0.2">
      <c r="F43" s="119"/>
      <c r="G43" s="19"/>
      <c r="H43" s="19"/>
      <c r="I43" s="119"/>
      <c r="J43" s="29"/>
      <c r="K43" s="37"/>
      <c r="L43" s="119"/>
      <c r="M43" s="29"/>
      <c r="N43" s="37"/>
      <c r="O43" s="119"/>
      <c r="P43" s="29"/>
    </row>
    <row r="44" spans="2:16" ht="21.95" customHeight="1" x14ac:dyDescent="0.2">
      <c r="F44" s="119"/>
      <c r="G44" s="19"/>
      <c r="H44" s="19"/>
      <c r="I44" s="119"/>
      <c r="J44" s="29"/>
      <c r="K44" s="37"/>
      <c r="L44" s="119"/>
      <c r="M44" s="29"/>
      <c r="N44" s="37"/>
      <c r="O44" s="119"/>
      <c r="P44" s="29"/>
    </row>
    <row r="45" spans="2:16" ht="21.95" customHeight="1" x14ac:dyDescent="0.2">
      <c r="F45" s="119"/>
      <c r="G45" s="19"/>
      <c r="H45" s="19"/>
      <c r="I45" s="119"/>
      <c r="J45" s="29"/>
      <c r="K45" s="37"/>
      <c r="L45" s="119"/>
      <c r="M45" s="29"/>
      <c r="N45" s="37"/>
      <c r="O45" s="119"/>
      <c r="P45" s="29"/>
    </row>
    <row r="46" spans="2:16" ht="21.95" customHeight="1" x14ac:dyDescent="0.2">
      <c r="F46" s="119"/>
      <c r="G46" s="19"/>
      <c r="H46" s="19"/>
      <c r="I46" s="119"/>
      <c r="J46" s="29"/>
      <c r="K46" s="37"/>
      <c r="L46" s="119"/>
      <c r="M46" s="29"/>
      <c r="N46" s="37"/>
      <c r="O46" s="119"/>
      <c r="P46" s="29"/>
    </row>
    <row r="47" spans="2:16" ht="21.95" customHeight="1" x14ac:dyDescent="0.2">
      <c r="F47" s="119"/>
      <c r="G47" s="19"/>
      <c r="H47" s="19"/>
      <c r="I47" s="119"/>
      <c r="J47" s="29"/>
      <c r="K47" s="37"/>
      <c r="L47" s="119"/>
      <c r="M47" s="29"/>
      <c r="N47" s="37"/>
      <c r="O47" s="119"/>
      <c r="P47" s="29"/>
    </row>
    <row r="48" spans="2:16" ht="21.75" customHeight="1" x14ac:dyDescent="0.2">
      <c r="F48" s="119"/>
      <c r="G48" s="19"/>
      <c r="H48" s="19"/>
      <c r="I48" s="119"/>
      <c r="J48" s="29"/>
      <c r="K48" s="37"/>
      <c r="L48" s="119"/>
      <c r="M48" s="29"/>
      <c r="N48" s="37"/>
      <c r="O48" s="119"/>
      <c r="P48" s="29"/>
    </row>
    <row r="49" spans="1:17" ht="14.25" x14ac:dyDescent="0.2"/>
    <row r="50" spans="1:17" ht="21.95" customHeight="1" x14ac:dyDescent="0.2">
      <c r="B50" s="36"/>
      <c r="C50" s="37"/>
      <c r="D50" s="37"/>
      <c r="E50" s="37"/>
      <c r="F50" s="37"/>
      <c r="G50" s="37"/>
      <c r="H50" s="37"/>
      <c r="I50" s="37"/>
      <c r="J50" s="37"/>
      <c r="K50" s="37"/>
      <c r="L50" s="37"/>
    </row>
    <row r="51" spans="1:17" ht="21.95" customHeight="1" x14ac:dyDescent="0.2">
      <c r="A51" s="1054"/>
      <c r="B51" s="227" t="s">
        <v>57</v>
      </c>
      <c r="C51" s="682"/>
      <c r="D51" s="2"/>
    </row>
    <row r="52" spans="1:17" ht="21.95" customHeight="1" x14ac:dyDescent="0.2">
      <c r="C52" s="2"/>
      <c r="D52" s="2"/>
    </row>
    <row r="53" spans="1:17" ht="21.95" customHeight="1" x14ac:dyDescent="0.2">
      <c r="B53" s="1048" t="s">
        <v>558</v>
      </c>
      <c r="E53"/>
      <c r="F53"/>
      <c r="G53"/>
      <c r="H53" s="1048" t="s">
        <v>559</v>
      </c>
      <c r="I53"/>
      <c r="N53" s="1048" t="s">
        <v>560</v>
      </c>
    </row>
    <row r="54" spans="1:17" ht="21.95" customHeight="1" x14ac:dyDescent="0.2">
      <c r="B54" s="1049"/>
      <c r="C54" s="1049"/>
      <c r="D54" s="484" t="s">
        <v>485</v>
      </c>
      <c r="E54" s="484" t="s">
        <v>486</v>
      </c>
      <c r="F54" s="484"/>
      <c r="H54" s="1049"/>
      <c r="I54" s="1049"/>
      <c r="J54" s="484" t="s">
        <v>485</v>
      </c>
      <c r="K54" s="484" t="s">
        <v>486</v>
      </c>
      <c r="L54" s="975"/>
      <c r="N54" s="1060"/>
      <c r="O54" s="1061"/>
      <c r="P54" s="1062" t="s">
        <v>633</v>
      </c>
      <c r="Q54" s="1062" t="s">
        <v>634</v>
      </c>
    </row>
    <row r="55" spans="1:17" ht="21.95" customHeight="1" x14ac:dyDescent="0.2">
      <c r="B55" s="1" t="s">
        <v>49</v>
      </c>
      <c r="C55" s="1"/>
      <c r="D55" s="26"/>
      <c r="E55"/>
      <c r="F55"/>
      <c r="H55" s="1" t="s">
        <v>49</v>
      </c>
      <c r="I55" s="1"/>
      <c r="J55" s="26"/>
      <c r="N55" s="182" t="s">
        <v>49</v>
      </c>
      <c r="O55" s="1063"/>
      <c r="P55" s="1064"/>
      <c r="Q55" s="181"/>
    </row>
    <row r="56" spans="1:17" ht="21.95" customHeight="1" x14ac:dyDescent="0.2">
      <c r="B56" t="s">
        <v>15</v>
      </c>
      <c r="D56" s="26">
        <f>E104</f>
        <v>8685961.083342554</v>
      </c>
      <c r="E56" s="972">
        <f>E117</f>
        <v>48366154.025280379</v>
      </c>
      <c r="F56" s="972"/>
      <c r="H56" t="s">
        <v>15</v>
      </c>
      <c r="I56"/>
      <c r="J56" s="26">
        <f>E75</f>
        <v>34769213.780154482</v>
      </c>
      <c r="K56" s="26">
        <f>E88</f>
        <v>197081770.47922838</v>
      </c>
      <c r="L56" s="26"/>
      <c r="N56" s="183" t="s">
        <v>15</v>
      </c>
      <c r="O56" s="1065"/>
      <c r="P56" s="1066">
        <f>D56/1000000</f>
        <v>8.6859610833425549</v>
      </c>
      <c r="Q56" s="1066">
        <f>E56/1000000</f>
        <v>48.36615402528038</v>
      </c>
    </row>
    <row r="57" spans="1:17" ht="21.95" customHeight="1" x14ac:dyDescent="0.2">
      <c r="B57" t="s">
        <v>16</v>
      </c>
      <c r="D57" s="26">
        <f>E105</f>
        <v>181458605.45613492</v>
      </c>
      <c r="E57" s="972">
        <f>E118</f>
        <v>214481432.36424521</v>
      </c>
      <c r="F57" s="972"/>
      <c r="H57" t="s">
        <v>16</v>
      </c>
      <c r="I57"/>
      <c r="J57" s="26">
        <f>E76</f>
        <v>584929779.40857196</v>
      </c>
      <c r="K57" s="26">
        <f>E89</f>
        <v>714347622.59334195</v>
      </c>
      <c r="L57" s="26"/>
      <c r="N57" s="183" t="s">
        <v>16</v>
      </c>
      <c r="O57" s="1065"/>
      <c r="P57" s="1066">
        <f t="shared" ref="P57:P60" si="0">D57/1000000</f>
        <v>181.4586054561349</v>
      </c>
      <c r="Q57" s="1066">
        <f t="shared" ref="Q57:Q60" si="1">E57/1000000</f>
        <v>214.48143236424519</v>
      </c>
    </row>
    <row r="58" spans="1:17" ht="21.95" customHeight="1" x14ac:dyDescent="0.2">
      <c r="B58" t="s">
        <v>208</v>
      </c>
      <c r="D58" s="26">
        <f>SUM(E106:E109)</f>
        <v>70820482.555292711</v>
      </c>
      <c r="E58" s="972">
        <f>SUM(E119:E122)</f>
        <v>84242591.994328514</v>
      </c>
      <c r="F58" s="972"/>
      <c r="H58" t="s">
        <v>208</v>
      </c>
      <c r="I58"/>
      <c r="J58" s="26">
        <f>SUM(E77:E80)</f>
        <v>127706967.45461822</v>
      </c>
      <c r="K58" s="26">
        <f>SUM(E90:E93)</f>
        <v>155836439.08436865</v>
      </c>
      <c r="L58" s="26"/>
      <c r="N58" s="183" t="s">
        <v>208</v>
      </c>
      <c r="O58" s="1065"/>
      <c r="P58" s="1066">
        <f t="shared" si="0"/>
        <v>70.820482555292713</v>
      </c>
      <c r="Q58" s="1066">
        <f t="shared" si="1"/>
        <v>84.242591994328507</v>
      </c>
    </row>
    <row r="59" spans="1:17" ht="21.95" customHeight="1" x14ac:dyDescent="0.2">
      <c r="B59" t="s">
        <v>214</v>
      </c>
      <c r="D59" s="26">
        <f>E110</f>
        <v>4002086.3508289917</v>
      </c>
      <c r="E59" s="972">
        <f>E123</f>
        <v>3701819.8561858609</v>
      </c>
      <c r="F59" s="972"/>
      <c r="H59" t="s">
        <v>214</v>
      </c>
      <c r="I59"/>
      <c r="J59" s="26">
        <f>E81</f>
        <v>6921925.820039846</v>
      </c>
      <c r="K59" s="26">
        <f>E94</f>
        <v>5572508.9341382999</v>
      </c>
      <c r="L59" s="26"/>
      <c r="N59" s="183" t="s">
        <v>214</v>
      </c>
      <c r="O59" s="1065"/>
      <c r="P59" s="1066">
        <f t="shared" si="0"/>
        <v>4.0020863508289919</v>
      </c>
      <c r="Q59" s="1066">
        <f t="shared" si="1"/>
        <v>3.7018198561858608</v>
      </c>
    </row>
    <row r="60" spans="1:17" ht="21.95" customHeight="1" x14ac:dyDescent="0.2">
      <c r="B60" s="45" t="s">
        <v>17</v>
      </c>
      <c r="C60" s="45"/>
      <c r="D60" s="252">
        <f>E111</f>
        <v>3566990.6054470208</v>
      </c>
      <c r="E60" s="252">
        <f>E124</f>
        <v>4582578.4027261008</v>
      </c>
      <c r="F60" s="252"/>
      <c r="H60" s="45" t="s">
        <v>17</v>
      </c>
      <c r="I60" s="45"/>
      <c r="J60" s="252">
        <f>E82</f>
        <v>22164807.458548132</v>
      </c>
      <c r="K60" s="252">
        <f>E95</f>
        <v>28475535.597155269</v>
      </c>
      <c r="L60" s="252"/>
      <c r="N60" s="184" t="s">
        <v>17</v>
      </c>
      <c r="O60" s="1067"/>
      <c r="P60" s="1066">
        <f t="shared" si="0"/>
        <v>3.5669906054470211</v>
      </c>
      <c r="Q60" s="1066">
        <f t="shared" si="1"/>
        <v>4.5825784027261012</v>
      </c>
    </row>
    <row r="61" spans="1:17" ht="21.95" customHeight="1" x14ac:dyDescent="0.2">
      <c r="B61" s="1" t="s">
        <v>52</v>
      </c>
      <c r="C61" s="1"/>
      <c r="D61" s="25">
        <f>E112</f>
        <v>268534126.05104619</v>
      </c>
      <c r="E61" s="1006">
        <f>E125</f>
        <v>355374576.642766</v>
      </c>
      <c r="F61" s="1006"/>
      <c r="H61" s="1" t="s">
        <v>52</v>
      </c>
      <c r="I61" s="1"/>
      <c r="J61" s="25">
        <f>E83</f>
        <v>776492693.92193282</v>
      </c>
      <c r="K61" s="25">
        <f>E96</f>
        <v>1101313876.6882324</v>
      </c>
      <c r="L61" s="25"/>
      <c r="N61" s="182" t="s">
        <v>52</v>
      </c>
      <c r="O61" s="1063"/>
      <c r="P61" s="1068">
        <f t="shared" ref="P61:Q63" si="2">D61/1000000</f>
        <v>268.5341260510462</v>
      </c>
      <c r="Q61" s="1068">
        <f t="shared" si="2"/>
        <v>355.37457664276599</v>
      </c>
    </row>
    <row r="62" spans="1:17" ht="21.95" customHeight="1" x14ac:dyDescent="0.2">
      <c r="B62" s="1" t="s">
        <v>53</v>
      </c>
      <c r="C62" s="1"/>
      <c r="D62" s="25">
        <f>E113</f>
        <v>57261617.58780916</v>
      </c>
      <c r="E62" s="1006">
        <f>E126</f>
        <v>74339783.060167819</v>
      </c>
      <c r="F62" s="1006"/>
      <c r="H62" s="1" t="s">
        <v>53</v>
      </c>
      <c r="I62" s="1"/>
      <c r="J62" s="25">
        <f>E84</f>
        <v>78483162.031052768</v>
      </c>
      <c r="K62" s="25">
        <f>E97</f>
        <v>101201783.33003847</v>
      </c>
      <c r="L62" s="25"/>
      <c r="N62" s="182" t="s">
        <v>53</v>
      </c>
      <c r="O62" s="1063"/>
      <c r="P62" s="1068">
        <f t="shared" si="2"/>
        <v>57.261617587809162</v>
      </c>
      <c r="Q62" s="1068">
        <f t="shared" si="2"/>
        <v>74.339783060167818</v>
      </c>
    </row>
    <row r="63" spans="1:17" ht="21.95" customHeight="1" x14ac:dyDescent="0.2">
      <c r="B63" s="1" t="s">
        <v>94</v>
      </c>
      <c r="C63" s="1"/>
      <c r="D63" s="25">
        <f>E114</f>
        <v>211272508.46323705</v>
      </c>
      <c r="E63" s="1006">
        <f>E127</f>
        <v>281034793.58259821</v>
      </c>
      <c r="F63" s="1006"/>
      <c r="H63" s="1" t="s">
        <v>94</v>
      </c>
      <c r="I63" s="1"/>
      <c r="J63" s="25">
        <f>E85</f>
        <v>698009531.89088011</v>
      </c>
      <c r="K63" s="25">
        <f>E98</f>
        <v>1000112093.358194</v>
      </c>
      <c r="L63" s="25"/>
      <c r="N63" s="182" t="s">
        <v>94</v>
      </c>
      <c r="O63" s="1063"/>
      <c r="P63" s="1068">
        <f t="shared" si="2"/>
        <v>211.27250846323705</v>
      </c>
      <c r="Q63" s="1068">
        <f t="shared" si="2"/>
        <v>281.03479358259818</v>
      </c>
    </row>
    <row r="64" spans="1:17" ht="21.95" customHeight="1" x14ac:dyDescent="0.2">
      <c r="B64" s="1024" t="s">
        <v>90</v>
      </c>
      <c r="C64" s="1050"/>
      <c r="D64" s="1051">
        <f>D61/D62</f>
        <v>4.6896007720923407</v>
      </c>
      <c r="E64" s="1051">
        <f>E61/E62</f>
        <v>4.7804091162754565</v>
      </c>
      <c r="F64" s="1051"/>
      <c r="H64" s="1024" t="s">
        <v>90</v>
      </c>
      <c r="I64" s="1050"/>
      <c r="J64" s="1051">
        <f>J61/J62</f>
        <v>9.8937488478701265</v>
      </c>
      <c r="K64" s="1051">
        <f>K61/K62</f>
        <v>10.882356421493444</v>
      </c>
      <c r="L64" s="1051"/>
      <c r="N64" s="1069" t="s">
        <v>90</v>
      </c>
      <c r="O64" s="1070"/>
      <c r="P64" s="1071">
        <f>P61/P62</f>
        <v>4.6896007720923407</v>
      </c>
      <c r="Q64" s="1071">
        <f>Q61/Q62</f>
        <v>4.7804091162754565</v>
      </c>
    </row>
    <row r="65" spans="1:33" ht="21.95" customHeight="1" x14ac:dyDescent="0.2">
      <c r="B65" t="s">
        <v>60</v>
      </c>
      <c r="D65" s="42" cm="1">
        <f t="array" ref="D65">IFERROR(COUNTIFS(D115:AO115, "&lt;= 0") - INDEX(_xlfn._xlws.FILTER(D115:AO115,D115:AO115 &lt;= 0), 1, COUNTIFS(D115:AO115, "&lt;= 0")) / INDEX(_xlfn._xlws.FILTER(D114:AO114,D115:AO115 &gt; 0), 1, 1), "N/A")</f>
        <v>13.501963577151344</v>
      </c>
      <c r="E65" s="42" cm="1">
        <f t="array" ref="E65">IFERROR(COUNTIFS(E115:AP115, "&lt;= 0") - INDEX(_xlfn._xlws.FILTER(E115:AP115,E115:AP115 &lt;= 0), 1, COUNTIFS(E115:AP115, "&lt;= 0")) / INDEX(_xlfn._xlws.FILTER(E114:AP114,E115:AP115 &gt; 0), 1, 1), "N/A")</f>
        <v>12.80111937646252</v>
      </c>
      <c r="F65" s="42"/>
      <c r="H65" t="s">
        <v>60</v>
      </c>
      <c r="I65"/>
      <c r="J65" s="17" cm="1">
        <f t="array" ref="J65">IFERROR(COUNTIFS(D86:AO86, "&lt;= 0") - INDEX(_xlfn._xlws.FILTER(D86:AO86, D86:AO86 &lt;= 0), 1, COUNTIFS(D86:AO86, "&lt;= 0")) / INDEX(_xlfn._xlws.FILTER(D85:AO85, D86:AO86 &gt; 0), 1, 1), "N/A")</f>
        <v>12.622520220797792</v>
      </c>
      <c r="K65" s="17" cm="1">
        <f t="array" ref="K65">IFERROR(COUNTIFS(E86:AP86, "&lt;= 0") - INDEX(_xlfn._xlws.FILTER(E86:AP86, E86:AP86 &lt;= 0), 1, COUNTIFS(E86:AP86, "&lt;= 0")) / INDEX(_xlfn._xlws.FILTER(E85:AP85, E86:AP86 &gt; 0), 1, 1), "N/A")</f>
        <v>11.998970859651246</v>
      </c>
      <c r="L65" s="17"/>
      <c r="N65" s="185" t="s">
        <v>60</v>
      </c>
      <c r="O65" s="1072"/>
      <c r="P65" s="1073"/>
      <c r="Q65" s="1073"/>
    </row>
    <row r="66" spans="1:33" ht="21.95" customHeight="1" x14ac:dyDescent="0.2">
      <c r="B66" s="45" t="s">
        <v>58</v>
      </c>
      <c r="C66" s="45"/>
      <c r="D66" s="1056">
        <f>IFERROR(D63/D62, 0)</f>
        <v>3.6896007720923407</v>
      </c>
      <c r="E66" s="1056">
        <f>IFERROR(E63/E62, 0)</f>
        <v>3.7804091162754569</v>
      </c>
      <c r="F66" s="1052"/>
      <c r="H66" t="s">
        <v>58</v>
      </c>
      <c r="I66"/>
      <c r="J66" s="1057">
        <f>IFERROR(J63/J62, 0)</f>
        <v>8.8937488478701283</v>
      </c>
      <c r="K66" s="1057">
        <f>IFERROR(K63/K62, 0)</f>
        <v>9.8823564214934443</v>
      </c>
      <c r="L66" s="1057"/>
      <c r="N66" s="1074" t="s">
        <v>58</v>
      </c>
      <c r="O66" s="186"/>
      <c r="P66" s="1075">
        <f>D66</f>
        <v>3.6896007720923407</v>
      </c>
      <c r="Q66" s="1075">
        <f>E66</f>
        <v>3.7804091162754569</v>
      </c>
    </row>
    <row r="67" spans="1:33" ht="21.95" customHeight="1" x14ac:dyDescent="0.2">
      <c r="E67"/>
      <c r="F67"/>
      <c r="G67"/>
      <c r="H67" s="45" t="s">
        <v>59</v>
      </c>
      <c r="I67" s="45"/>
      <c r="J67" s="1052">
        <f>IFERROR(IRR(F85:AG85), "N/A")</f>
        <v>0.24123333933523439</v>
      </c>
      <c r="K67" s="1052">
        <f>IFERROR(IRR(F98:AG98), "N/A")</f>
        <v>0.22058881416417742</v>
      </c>
      <c r="L67" s="1052"/>
      <c r="N67" s="185" t="s">
        <v>59</v>
      </c>
      <c r="O67" s="187"/>
      <c r="P67" s="1076">
        <f>IFERROR(IRR(F114:AG114), "N/A")</f>
        <v>0.17246184661700981</v>
      </c>
      <c r="Q67" s="1076">
        <f>IFERROR(IRR(G127:AH127), "N/A")</f>
        <v>0.15092737748006879</v>
      </c>
    </row>
    <row r="68" spans="1:33" ht="21.95" customHeight="1" x14ac:dyDescent="0.2">
      <c r="E68"/>
      <c r="F68"/>
      <c r="I68"/>
      <c r="J68" s="2"/>
    </row>
    <row r="70" spans="1:33" ht="21.95" customHeight="1" x14ac:dyDescent="0.2">
      <c r="A70" s="1054"/>
      <c r="B70" s="227" t="s">
        <v>56</v>
      </c>
      <c r="C70" s="682"/>
    </row>
    <row r="71" spans="1:33" ht="21.95" customHeight="1" x14ac:dyDescent="0.2">
      <c r="B71" s="3"/>
    </row>
    <row r="72" spans="1:33" ht="21.95" customHeight="1" x14ac:dyDescent="0.2">
      <c r="B72" s="563" t="s">
        <v>559</v>
      </c>
    </row>
    <row r="73" spans="1:33" ht="21.95" customHeight="1" x14ac:dyDescent="0.2">
      <c r="B73" s="33"/>
      <c r="C73" s="33"/>
      <c r="D73" s="33"/>
      <c r="E73" s="34" t="s">
        <v>25</v>
      </c>
      <c r="F73" s="33" cm="1">
        <f t="array" ref="F73:AG73">_xlfn.SEQUENCE(1, studyDuration, baseYear)</f>
        <v>2021</v>
      </c>
      <c r="G73" s="33">
        <v>2022</v>
      </c>
      <c r="H73" s="33">
        <v>2023</v>
      </c>
      <c r="I73" s="33">
        <v>2024</v>
      </c>
      <c r="J73" s="33">
        <v>2025</v>
      </c>
      <c r="K73" s="33">
        <v>2026</v>
      </c>
      <c r="L73" s="33">
        <v>2027</v>
      </c>
      <c r="M73" s="33">
        <v>2028</v>
      </c>
      <c r="N73" s="33">
        <v>2029</v>
      </c>
      <c r="O73" s="33">
        <v>2030</v>
      </c>
      <c r="P73" s="33">
        <v>2031</v>
      </c>
      <c r="Q73" s="33">
        <v>2032</v>
      </c>
      <c r="R73" s="33">
        <v>2033</v>
      </c>
      <c r="S73" s="33">
        <v>2034</v>
      </c>
      <c r="T73" s="33">
        <v>2035</v>
      </c>
      <c r="U73" s="33">
        <v>2036</v>
      </c>
      <c r="V73" s="33">
        <v>2037</v>
      </c>
      <c r="W73" s="33">
        <v>2038</v>
      </c>
      <c r="X73" s="33">
        <v>2039</v>
      </c>
      <c r="Y73" s="33">
        <v>2040</v>
      </c>
      <c r="Z73" s="33">
        <v>2041</v>
      </c>
      <c r="AA73" s="33">
        <v>2042</v>
      </c>
      <c r="AB73" s="33">
        <v>2043</v>
      </c>
      <c r="AC73" s="33">
        <v>2044</v>
      </c>
      <c r="AD73" s="33">
        <v>2045</v>
      </c>
      <c r="AE73">
        <v>2046</v>
      </c>
      <c r="AF73">
        <v>2047</v>
      </c>
      <c r="AG73">
        <v>2048</v>
      </c>
    </row>
    <row r="74" spans="1:33" ht="21.95" customHeight="1" x14ac:dyDescent="0.2">
      <c r="B74" s="1" t="s">
        <v>485</v>
      </c>
      <c r="C74" s="1" t="s">
        <v>49</v>
      </c>
      <c r="E74"/>
      <c r="F74"/>
      <c r="G74"/>
      <c r="H74"/>
      <c r="I74"/>
    </row>
    <row r="75" spans="1:33" ht="21.95" customHeight="1" x14ac:dyDescent="0.2">
      <c r="C75" t="s">
        <v>15</v>
      </c>
      <c r="D75" s="972"/>
      <c r="E75" s="973">
        <f t="shared" ref="E75:E82" si="3">SUM(_xlfn.ANCHORARRAY(F75))</f>
        <v>34769213.780154482</v>
      </c>
      <c r="F75" s="972" cm="1">
        <f t="array" ref="F75:AG75">_xlfn.ANCHORARRAY(Safety!E202)</f>
        <v>0</v>
      </c>
      <c r="G75" s="972">
        <v>0</v>
      </c>
      <c r="H75" s="972">
        <v>0</v>
      </c>
      <c r="I75" s="972">
        <v>0</v>
      </c>
      <c r="J75" s="972">
        <v>0</v>
      </c>
      <c r="K75" s="972">
        <v>0</v>
      </c>
      <c r="L75" s="972">
        <v>0</v>
      </c>
      <c r="M75" s="972">
        <v>0</v>
      </c>
      <c r="N75" s="972">
        <v>415455.7719501137</v>
      </c>
      <c r="O75" s="972">
        <v>464772.2162631168</v>
      </c>
      <c r="P75" s="972">
        <v>520892.45152210008</v>
      </c>
      <c r="Q75" s="972">
        <v>584856.97899041395</v>
      </c>
      <c r="R75" s="972">
        <v>657876.01959432231</v>
      </c>
      <c r="S75" s="972">
        <v>741358.38460831263</v>
      </c>
      <c r="T75" s="972">
        <v>836945.4095492576</v>
      </c>
      <c r="U75" s="972">
        <v>946550.86118260166</v>
      </c>
      <c r="V75" s="972">
        <v>1072407.894450505</v>
      </c>
      <c r="W75" s="972">
        <v>1217124.3341922509</v>
      </c>
      <c r="X75" s="972">
        <v>1383747.7916417024</v>
      </c>
      <c r="Y75" s="972">
        <v>1575842.4048865715</v>
      </c>
      <c r="Z75" s="972">
        <v>1797579.3241410712</v>
      </c>
      <c r="AA75" s="972">
        <v>2053843.4568101403</v>
      </c>
      <c r="AB75" s="972">
        <v>2350359.4558269046</v>
      </c>
      <c r="AC75" s="972">
        <v>2693840.4918406587</v>
      </c>
      <c r="AD75" s="972">
        <v>3092164.0124803637</v>
      </c>
      <c r="AE75">
        <v>3554579.480358134</v>
      </c>
      <c r="AF75">
        <v>4091954.0198661382</v>
      </c>
      <c r="AG75">
        <v>4717063.0199997947</v>
      </c>
    </row>
    <row r="76" spans="1:33" ht="21.95" customHeight="1" x14ac:dyDescent="0.2">
      <c r="C76" t="s">
        <v>16</v>
      </c>
      <c r="D76" s="972"/>
      <c r="E76" s="973">
        <f>SUM(H76:AG76)</f>
        <v>584929779.40857196</v>
      </c>
      <c r="F76" s="972" cm="1">
        <f t="array" ref="F76">_xlfn.ANCHORARRAY('Travel Time'!G955)</f>
        <v>0</v>
      </c>
      <c r="G76" s="972" cm="1">
        <f t="array" ref="G76">_xlfn.ANCHORARRAY('Travel Time'!H955)</f>
        <v>0</v>
      </c>
      <c r="H76" s="972" cm="1">
        <f t="array" ref="H76">_xlfn.ANCHORARRAY('Travel Time'!I955)</f>
        <v>65679.493994906545</v>
      </c>
      <c r="I76" s="972" cm="1">
        <f t="array" ref="I76">_xlfn.ANCHORARRAY('Travel Time'!J955)</f>
        <v>277214.51189100742</v>
      </c>
      <c r="J76" s="972" cm="1">
        <f t="array" ref="J76">_xlfn.ANCHORARRAY('Travel Time'!K955)</f>
        <v>797491.78074697405</v>
      </c>
      <c r="K76" s="972" cm="1">
        <f t="array" ref="K76">_xlfn.ANCHORARRAY('Travel Time'!L955)</f>
        <v>1626128.8045228124</v>
      </c>
      <c r="L76" s="972" cm="1">
        <f t="array" ref="L76">_xlfn.ANCHORARRAY('Travel Time'!M955)</f>
        <v>2708835.8183579147</v>
      </c>
      <c r="M76" s="972" cm="1">
        <f t="array" ref="M76">_xlfn.ANCHORARRAY('Travel Time'!N955)</f>
        <v>5122555.5031184703</v>
      </c>
      <c r="N76" s="972" cm="1">
        <f t="array" ref="N76">_xlfn.ANCHORARRAY('Travel Time'!O955)</f>
        <v>13138129.63410145</v>
      </c>
      <c r="O76" s="972" cm="1">
        <f t="array" ref="O76">_xlfn.ANCHORARRAY('Travel Time'!P955)</f>
        <v>15592172.696176469</v>
      </c>
      <c r="P76" s="972" cm="1">
        <f t="array" ref="P76">_xlfn.ANCHORARRAY('Travel Time'!Q955)</f>
        <v>19867981.841639891</v>
      </c>
      <c r="Q76" s="972" cm="1">
        <f t="array" ref="Q76">_xlfn.ANCHORARRAY('Travel Time'!R955)</f>
        <v>24548667.227752998</v>
      </c>
      <c r="R76" s="972" cm="1">
        <f t="array" ref="R76">_xlfn.ANCHORARRAY('Travel Time'!S955)</f>
        <v>29090056.577333391</v>
      </c>
      <c r="S76" s="972" cm="1">
        <f t="array" ref="S76">_xlfn.ANCHORARRAY('Travel Time'!T955)</f>
        <v>29276979.875622779</v>
      </c>
      <c r="T76" s="972" cm="1">
        <f t="array" ref="T76">_xlfn.ANCHORARRAY('Travel Time'!U955)</f>
        <v>28330967.593526989</v>
      </c>
      <c r="U76" s="972" cm="1">
        <f t="array" ref="U76">_xlfn.ANCHORARRAY('Travel Time'!V955)</f>
        <v>27971370.55532071</v>
      </c>
      <c r="V76" s="972" cm="1">
        <f t="array" ref="V76">_xlfn.ANCHORARRAY('Travel Time'!W955)</f>
        <v>27685495.533635467</v>
      </c>
      <c r="W76" s="972" cm="1">
        <f t="array" ref="W76">_xlfn.ANCHORARRAY('Travel Time'!X955)</f>
        <v>27629800.482162178</v>
      </c>
      <c r="X76" s="972" cm="1">
        <f t="array" ref="X76">_xlfn.ANCHORARRAY('Travel Time'!Y955)</f>
        <v>28402553.771053314</v>
      </c>
      <c r="Y76" s="972" cm="1">
        <f t="array" ref="Y76">_xlfn.ANCHORARRAY('Travel Time'!Z955)</f>
        <v>29229377.716250956</v>
      </c>
      <c r="Z76" s="972" cm="1">
        <f t="array" ref="Z76">_xlfn.ANCHORARRAY('Travel Time'!AA955)</f>
        <v>30119225.475928098</v>
      </c>
      <c r="AA76" s="972" cm="1">
        <f t="array" ref="AA76">_xlfn.ANCHORARRAY('Travel Time'!AB955)</f>
        <v>31081163.798840433</v>
      </c>
      <c r="AB76" s="972" cm="1">
        <f t="array" ref="AB76">_xlfn.ANCHORARRAY('Travel Time'!AC955)</f>
        <v>32127201.192332685</v>
      </c>
      <c r="AC76" s="972" cm="1">
        <f t="array" ref="AC76">_xlfn.ANCHORARRAY('Travel Time'!AD955)</f>
        <v>33269071.365215838</v>
      </c>
      <c r="AD76" s="972" cm="1">
        <f t="array" ref="AD76">_xlfn.ANCHORARRAY('Travel Time'!AE955)</f>
        <v>34521395.414126575</v>
      </c>
      <c r="AE76" s="972" cm="1">
        <f t="array" ref="AE76">_xlfn.ANCHORARRAY('Travel Time'!AF955)</f>
        <v>35902617.062663198</v>
      </c>
      <c r="AF76" s="972" cm="1">
        <f t="array" ref="AF76">_xlfn.ANCHORARRAY('Travel Time'!AG955)</f>
        <v>37427672.485093564</v>
      </c>
      <c r="AG76" s="972" cm="1">
        <f t="array" ref="AG76">_xlfn.ANCHORARRAY('Travel Time'!AH955)</f>
        <v>39119973.197163045</v>
      </c>
    </row>
    <row r="77" spans="1:33" ht="21.95" customHeight="1" x14ac:dyDescent="0.2">
      <c r="C77" t="s">
        <v>607</v>
      </c>
      <c r="D77" s="972"/>
      <c r="E77" s="973">
        <f>SUM(F77:AG77)</f>
        <v>4194895.5425868528</v>
      </c>
      <c r="F77" s="972" cm="1">
        <f t="array" ref="F77">_xlfn.ANCHORARRAY(Emissions!G933)</f>
        <v>0</v>
      </c>
      <c r="G77" s="972" cm="1">
        <f t="array" ref="G77">_xlfn.ANCHORARRAY(Emissions!H933)</f>
        <v>0</v>
      </c>
      <c r="H77" s="972" cm="1">
        <f t="array" ref="H77">_xlfn.ANCHORARRAY(Emissions!I933)</f>
        <v>1698.9591460803058</v>
      </c>
      <c r="I77" s="972" cm="1">
        <f t="array" ref="I77">_xlfn.ANCHORARRAY(Emissions!J933)</f>
        <v>9134.3761697378941</v>
      </c>
      <c r="J77" s="972" cm="1">
        <f t="array" ref="J77">_xlfn.ANCHORARRAY(Emissions!K933)</f>
        <v>17750.418314902578</v>
      </c>
      <c r="K77" s="972" cm="1">
        <f t="array" ref="K77">_xlfn.ANCHORARRAY(Emissions!L933)</f>
        <v>32983.666764286812</v>
      </c>
      <c r="L77" s="972" cm="1">
        <f t="array" ref="L77">_xlfn.ANCHORARRAY(Emissions!M933)</f>
        <v>49018.482026646379</v>
      </c>
      <c r="M77" s="972" cm="1">
        <f t="array" ref="M77">_xlfn.ANCHORARRAY(Emissions!N933)</f>
        <v>65374.669739593286</v>
      </c>
      <c r="N77" s="972" cm="1">
        <f t="array" ref="N77">_xlfn.ANCHORARRAY(Emissions!O933)</f>
        <v>82673.181680325419</v>
      </c>
      <c r="O77" s="972" cm="1">
        <f t="array" ref="O77">_xlfn.ANCHORARRAY(Emissions!P933)</f>
        <v>100140.32360770181</v>
      </c>
      <c r="P77" s="972" cm="1">
        <f t="array" ref="P77">_xlfn.ANCHORARRAY(Emissions!Q933)</f>
        <v>124317.6614462263</v>
      </c>
      <c r="Q77" s="972" cm="1">
        <f t="array" ref="Q77">_xlfn.ANCHORARRAY(Emissions!R933)</f>
        <v>149350.49903367506</v>
      </c>
      <c r="R77" s="972" cm="1">
        <f t="array" ref="R77">_xlfn.ANCHORARRAY(Emissions!S933)</f>
        <v>167949.96472172067</v>
      </c>
      <c r="S77" s="972" cm="1">
        <f t="array" ref="S77">_xlfn.ANCHORARRAY(Emissions!T933)</f>
        <v>183542.73311041016</v>
      </c>
      <c r="T77" s="972" cm="1">
        <f t="array" ref="T77">_xlfn.ANCHORARRAY(Emissions!U933)</f>
        <v>199213.82542364951</v>
      </c>
      <c r="U77" s="972" cm="1">
        <f t="array" ref="U77">_xlfn.ANCHORARRAY(Emissions!V933)</f>
        <v>209626.5082607381</v>
      </c>
      <c r="V77" s="972" cm="1">
        <f t="array" ref="V77">_xlfn.ANCHORARRAY(Emissions!W933)</f>
        <v>214898.28361880966</v>
      </c>
      <c r="W77" s="972" cm="1">
        <f t="array" ref="W77">_xlfn.ANCHORARRAY(Emissions!X933)</f>
        <v>218291.29167569615</v>
      </c>
      <c r="X77" s="972" cm="1">
        <f t="array" ref="X77">_xlfn.ANCHORARRAY(Emissions!Y933)</f>
        <v>221676.55422371533</v>
      </c>
      <c r="Y77" s="972" cm="1">
        <f t="array" ref="Y77">_xlfn.ANCHORARRAY(Emissions!Z933)</f>
        <v>225053.91403785255</v>
      </c>
      <c r="Z77" s="972" cm="1">
        <f t="array" ref="Z77">_xlfn.ANCHORARRAY(Emissions!AA933)</f>
        <v>228439.17658587359</v>
      </c>
      <c r="AA77" s="972" cm="1">
        <f t="array" ref="AA77">_xlfn.ANCHORARRAY(Emissions!AB933)</f>
        <v>231816.46209187433</v>
      </c>
      <c r="AB77" s="972" cm="1">
        <f t="array" ref="AB77">_xlfn.ANCHORARRAY(Emissions!AC933)</f>
        <v>235201.7246398963</v>
      </c>
      <c r="AC77" s="972" cm="1">
        <f t="array" ref="AC77">_xlfn.ANCHORARRAY(Emissions!AD933)</f>
        <v>238586.98718791455</v>
      </c>
      <c r="AD77" s="972" cm="1">
        <f t="array" ref="AD77">_xlfn.ANCHORARRAY(Emissions!AE933)</f>
        <v>241962.43975995947</v>
      </c>
      <c r="AE77" s="972" cm="1">
        <f t="array" ref="AE77">_xlfn.ANCHORARRAY(Emissions!AF933)</f>
        <v>245355.44781684689</v>
      </c>
      <c r="AF77" s="972" cm="1">
        <f t="array" ref="AF77">_xlfn.ANCHORARRAY(Emissions!AG933)</f>
        <v>248730.3529983582</v>
      </c>
      <c r="AG77" s="972" cm="1">
        <f t="array" ref="AG77">_xlfn.ANCHORARRAY(Emissions!AH933)</f>
        <v>252107.63850436173</v>
      </c>
    </row>
    <row r="78" spans="1:33" ht="21.95" customHeight="1" x14ac:dyDescent="0.2">
      <c r="C78" t="s">
        <v>608</v>
      </c>
      <c r="D78" s="972"/>
      <c r="E78" s="973">
        <f t="shared" ref="E78:E80" si="4">SUM(F78:AG78)</f>
        <v>15632.845781504335</v>
      </c>
      <c r="F78" s="972" cm="1">
        <f t="array" ref="F78">_xlfn.ANCHORARRAY(Emissions!G934)</f>
        <v>0</v>
      </c>
      <c r="G78" s="972" cm="1">
        <f t="array" ref="G78">_xlfn.ANCHORARRAY(Emissions!H934)</f>
        <v>0</v>
      </c>
      <c r="H78" s="972" cm="1">
        <f t="array" ref="H78">_xlfn.ANCHORARRAY(Emissions!I934)</f>
        <v>8.99730802600061</v>
      </c>
      <c r="I78" s="972" cm="1">
        <f t="array" ref="I78">_xlfn.ANCHORARRAY(Emissions!J934)</f>
        <v>38.481256376424426</v>
      </c>
      <c r="J78" s="972" cm="1">
        <f t="array" ref="J78">_xlfn.ANCHORARRAY(Emissions!K934)</f>
        <v>43.715807770531683</v>
      </c>
      <c r="K78" s="972" cm="1">
        <f t="array" ref="K78">_xlfn.ANCHORARRAY(Emissions!L934)</f>
        <v>82.512875316719146</v>
      </c>
      <c r="L78" s="972" cm="1">
        <f t="array" ref="L78">_xlfn.ANCHORARRAY(Emissions!M934)</f>
        <v>122.77310451837184</v>
      </c>
      <c r="M78" s="972" cm="1">
        <f t="array" ref="M78">_xlfn.ANCHORARRAY(Emissions!N934)</f>
        <v>164.16447121940837</v>
      </c>
      <c r="N78" s="972" cm="1">
        <f t="array" ref="N78">_xlfn.ANCHORARRAY(Emissions!O934)</f>
        <v>207.17212164878219</v>
      </c>
      <c r="O78" s="972" cm="1">
        <f t="array" ref="O78">_xlfn.ANCHORARRAY(Emissions!P934)</f>
        <v>251.64576491966181</v>
      </c>
      <c r="P78" s="972" cm="1">
        <f t="array" ref="P78">_xlfn.ANCHORARRAY(Emissions!Q934)</f>
        <v>368.80746540811742</v>
      </c>
      <c r="Q78" s="972" cm="1">
        <f t="array" ref="Q78">_xlfn.ANCHORARRAY(Emissions!R934)</f>
        <v>489.23725378429663</v>
      </c>
      <c r="R78" s="972" cm="1">
        <f t="array" ref="R78">_xlfn.ANCHORARRAY(Emissions!S934)</f>
        <v>585.02959706557158</v>
      </c>
      <c r="S78" s="972" cm="1">
        <f t="array" ref="S78">_xlfn.ANCHORARRAY(Emissions!T934)</f>
        <v>669.31041403446579</v>
      </c>
      <c r="T78" s="972" cm="1">
        <f t="array" ref="T78">_xlfn.ANCHORARRAY(Emissions!U934)</f>
        <v>753.89818908332018</v>
      </c>
      <c r="U78" s="972" cm="1">
        <f t="array" ref="U78">_xlfn.ANCHORARRAY(Emissions!V934)</f>
        <v>807.31330239574163</v>
      </c>
      <c r="V78" s="972" cm="1">
        <f t="array" ref="V78">_xlfn.ANCHORARRAY(Emissions!W934)</f>
        <v>830.76464715851398</v>
      </c>
      <c r="W78" s="972" cm="1">
        <f t="array" ref="W78">_xlfn.ANCHORARRAY(Emissions!X934)</f>
        <v>847.02278640115765</v>
      </c>
      <c r="X78" s="972" cm="1">
        <f t="array" ref="X78">_xlfn.ANCHORARRAY(Emissions!Y934)</f>
        <v>863.25125855610167</v>
      </c>
      <c r="Y78" s="972" cm="1">
        <f t="array" ref="Y78">_xlfn.ANCHORARRAY(Emissions!Z934)</f>
        <v>879.44353819047683</v>
      </c>
      <c r="Z78" s="972" cm="1">
        <f t="array" ref="Z78">_xlfn.ANCHORARRAY(Emissions!AA934)</f>
        <v>895.67201034541358</v>
      </c>
      <c r="AA78" s="972" cm="1">
        <f t="array" ref="AA78">_xlfn.ANCHORARRAY(Emissions!AB934)</f>
        <v>911.86389209778281</v>
      </c>
      <c r="AB78" s="972" cm="1">
        <f t="array" ref="AB78">_xlfn.ANCHORARRAY(Emissions!AC934)</f>
        <v>928.0923642527232</v>
      </c>
      <c r="AC78" s="972" cm="1">
        <f t="array" ref="AC78">_xlfn.ANCHORARRAY(Emissions!AD934)</f>
        <v>944.32083640767087</v>
      </c>
      <c r="AD78" s="972" cm="1">
        <f t="array" ref="AD78">_xlfn.ANCHORARRAY(Emissions!AE934)</f>
        <v>960.50290373705502</v>
      </c>
      <c r="AE78" s="972" cm="1">
        <f t="array" ref="AE78">_xlfn.ANCHORARRAY(Emissions!AF934)</f>
        <v>976.76104297971324</v>
      </c>
      <c r="AF78" s="972" cm="1">
        <f t="array" ref="AF78">_xlfn.ANCHORARRAY(Emissions!AG934)</f>
        <v>992.94984402897899</v>
      </c>
      <c r="AG78" s="972" cm="1">
        <f t="array" ref="AG78">_xlfn.ANCHORARRAY(Emissions!AH934)</f>
        <v>1009.1417257813337</v>
      </c>
    </row>
    <row r="79" spans="1:33" ht="21.95" customHeight="1" x14ac:dyDescent="0.2">
      <c r="C79" t="s">
        <v>609</v>
      </c>
      <c r="D79" s="972"/>
      <c r="E79" s="973">
        <f t="shared" si="4"/>
        <v>6238386.3641883796</v>
      </c>
      <c r="F79" s="972" cm="1">
        <f t="array" ref="F79">_xlfn.ANCHORARRAY(Emissions!G935)</f>
        <v>0</v>
      </c>
      <c r="G79" s="972" cm="1">
        <f t="array" ref="G79">_xlfn.ANCHORARRAY(Emissions!H935)</f>
        <v>0</v>
      </c>
      <c r="H79" s="972" cm="1">
        <f t="array" ref="H79">_xlfn.ANCHORARRAY(Emissions!I935)</f>
        <v>2639.7370641003363</v>
      </c>
      <c r="I79" s="972" cm="1">
        <f t="array" ref="I79">_xlfn.ANCHORARRAY(Emissions!J935)</f>
        <v>13884.16178177949</v>
      </c>
      <c r="J79" s="972" cm="1">
        <f t="array" ref="J79">_xlfn.ANCHORARRAY(Emissions!K935)</f>
        <v>25950.978921073489</v>
      </c>
      <c r="K79" s="972" cm="1">
        <f t="array" ref="K79">_xlfn.ANCHORARRAY(Emissions!L935)</f>
        <v>48189.063432696741</v>
      </c>
      <c r="L79" s="972" cm="1">
        <f t="array" ref="L79">_xlfn.ANCHORARRAY(Emissions!M935)</f>
        <v>71148.126794674899</v>
      </c>
      <c r="M79" s="972" cm="1">
        <f t="array" ref="M79">_xlfn.ANCHORARRAY(Emissions!N935)</f>
        <v>94829.856222641654</v>
      </c>
      <c r="N79" s="972" cm="1">
        <f t="array" ref="N79">_xlfn.ANCHORARRAY(Emissions!O935)</f>
        <v>119224.0511787273</v>
      </c>
      <c r="O79" s="972" cm="1">
        <f t="array" ref="O79">_xlfn.ANCHORARRAY(Emissions!P935)</f>
        <v>144390.43932404276</v>
      </c>
      <c r="P79" s="972" cm="1">
        <f t="array" ref="P79">_xlfn.ANCHORARRAY(Emissions!Q935)</f>
        <v>181329.18516090047</v>
      </c>
      <c r="Q79" s="972" cm="1">
        <f t="array" ref="Q79">_xlfn.ANCHORARRAY(Emissions!R935)</f>
        <v>219542.65546714049</v>
      </c>
      <c r="R79" s="972" cm="1">
        <f t="array" ref="R79">_xlfn.ANCHORARRAY(Emissions!S935)</f>
        <v>248167.91638777684</v>
      </c>
      <c r="S79" s="972" cm="1">
        <f t="array" ref="S79">_xlfn.ANCHORARRAY(Emissions!T935)</f>
        <v>272312.14796775579</v>
      </c>
      <c r="T79" s="972" cm="1">
        <f t="array" ref="T79">_xlfn.ANCHORARRAY(Emissions!U935)</f>
        <v>296573.37055346183</v>
      </c>
      <c r="U79" s="972" cm="1">
        <f t="array" ref="U79">_xlfn.ANCHORARRAY(Emissions!V935)</f>
        <v>312591.02329300717</v>
      </c>
      <c r="V79" s="972" cm="1">
        <f t="array" ref="V79">_xlfn.ANCHORARRAY(Emissions!W935)</f>
        <v>320568.18640254065</v>
      </c>
      <c r="W79" s="972" cm="1">
        <f t="array" ref="W79">_xlfn.ANCHORARRAY(Emissions!X935)</f>
        <v>325745.32607418858</v>
      </c>
      <c r="X79" s="972" cm="1">
        <f t="array" ref="X79">_xlfn.ANCHORARRAY(Emissions!Y935)</f>
        <v>330910.92177450471</v>
      </c>
      <c r="Y79" s="972" cm="1">
        <f t="array" ref="Y79">_xlfn.ANCHORARRAY(Emissions!Z935)</f>
        <v>336064.52097152453</v>
      </c>
      <c r="Z79" s="972" cm="1">
        <f t="array" ref="Z79">_xlfn.ANCHORARRAY(Emissions!AA935)</f>
        <v>341230.11667184066</v>
      </c>
      <c r="AA79" s="972" cm="1">
        <f t="array" ref="AA79">_xlfn.ANCHORARRAY(Emissions!AB935)</f>
        <v>346383.60094689764</v>
      </c>
      <c r="AB79" s="972" cm="1">
        <f t="array" ref="AB79">_xlfn.ANCHORARRAY(Emissions!AC935)</f>
        <v>351549.19664721563</v>
      </c>
      <c r="AC79" s="972" cm="1">
        <f t="array" ref="AC79">_xlfn.ANCHORARRAY(Emissions!AD935)</f>
        <v>356714.79234752897</v>
      </c>
      <c r="AD79" s="972" cm="1">
        <f t="array" ref="AD79">_xlfn.ANCHORARRAY(Emissions!AE935)</f>
        <v>361865.44188085664</v>
      </c>
      <c r="AE79" s="972" cm="1">
        <f t="array" ref="AE79">_xlfn.ANCHORARRAY(Emissions!AF935)</f>
        <v>367042.58155250549</v>
      </c>
      <c r="AF79" s="972" cm="1">
        <f t="array" ref="AF79">_xlfn.ANCHORARRAY(Emissions!AG935)</f>
        <v>372192.7405469697</v>
      </c>
      <c r="AG79" s="972" cm="1">
        <f t="array" ref="AG79">_xlfn.ANCHORARRAY(Emissions!AH935)</f>
        <v>377346.22482202668</v>
      </c>
    </row>
    <row r="80" spans="1:33" ht="21.95" customHeight="1" x14ac:dyDescent="0.2">
      <c r="C80" t="s">
        <v>610</v>
      </c>
      <c r="D80" s="972"/>
      <c r="E80" s="973">
        <f t="shared" si="4"/>
        <v>117258052.70206147</v>
      </c>
      <c r="F80" s="972" cm="1">
        <f t="array" ref="F80">_xlfn.ANCHORARRAY(Emissions!G936)</f>
        <v>0</v>
      </c>
      <c r="G80" s="972" cm="1">
        <f t="array" ref="G80">_xlfn.ANCHORARRAY(Emissions!H936)</f>
        <v>0</v>
      </c>
      <c r="H80" s="972" cm="1">
        <f t="array" ref="H80">_xlfn.ANCHORARRAY(Emissions!I936)</f>
        <v>53390.942764796317</v>
      </c>
      <c r="I80" s="972" cm="1">
        <f t="array" ref="I80">_xlfn.ANCHORARRAY(Emissions!J936)</f>
        <v>238397.05657333136</v>
      </c>
      <c r="J80" s="972" cm="1">
        <f t="array" ref="J80">_xlfn.ANCHORARRAY(Emissions!K936)</f>
        <v>311405.92158086598</v>
      </c>
      <c r="K80" s="972" cm="1">
        <f t="array" ref="K80">_xlfn.ANCHORARRAY(Emissions!L936)</f>
        <v>583926.10867168009</v>
      </c>
      <c r="L80" s="972" cm="1">
        <f t="array" ref="L80">_xlfn.ANCHORARRAY(Emissions!M936)</f>
        <v>865607.08840310574</v>
      </c>
      <c r="M80" s="972" cm="1">
        <f t="array" ref="M80">_xlfn.ANCHORARRAY(Emissions!N936)</f>
        <v>1156347.3259193599</v>
      </c>
      <c r="N80" s="972" cm="1">
        <f t="array" ref="N80">_xlfn.ANCHORARRAY(Emissions!O936)</f>
        <v>1455602.31589517</v>
      </c>
      <c r="O80" s="972" cm="1">
        <f t="array" ref="O80">_xlfn.ANCHORARRAY(Emissions!P936)</f>
        <v>1791593.6732277125</v>
      </c>
      <c r="P80" s="972" cm="1">
        <f t="array" ref="P80">_xlfn.ANCHORARRAY(Emissions!Q936)</f>
        <v>2539810.8986481279</v>
      </c>
      <c r="Q80" s="972" cm="1">
        <f t="array" ref="Q80">_xlfn.ANCHORARRAY(Emissions!R936)</f>
        <v>3331307.0654637218</v>
      </c>
      <c r="R80" s="972" cm="1">
        <f t="array" ref="R80">_xlfn.ANCHORARRAY(Emissions!S936)</f>
        <v>3981323.0845625401</v>
      </c>
      <c r="S80" s="972" cm="1">
        <f t="array" ref="S80">_xlfn.ANCHORARRAY(Emissions!T936)</f>
        <v>4571256.2941794246</v>
      </c>
      <c r="T80" s="972" cm="1">
        <f t="array" ref="T80">_xlfn.ANCHORARRAY(Emissions!U936)</f>
        <v>5178683.8663989007</v>
      </c>
      <c r="U80" s="972" cm="1">
        <f t="array" ref="U80">_xlfn.ANCHORARRAY(Emissions!V936)</f>
        <v>5681323.0382542014</v>
      </c>
      <c r="V80" s="972" cm="1">
        <f t="array" ref="V80">_xlfn.ANCHORARRAY(Emissions!W936)</f>
        <v>5922468.295170188</v>
      </c>
      <c r="W80" s="972" cm="1">
        <f t="array" ref="W80">_xlfn.ANCHORARRAY(Emissions!X936)</f>
        <v>6115962.0938281417</v>
      </c>
      <c r="X80" s="972" cm="1">
        <f t="array" ref="X80">_xlfn.ANCHORARRAY(Emissions!Y936)</f>
        <v>6312275.0144209862</v>
      </c>
      <c r="Y80" s="972" cm="1">
        <f t="array" ref="Y80">_xlfn.ANCHORARRAY(Emissions!Z936)</f>
        <v>6511359.8351255357</v>
      </c>
      <c r="Z80" s="972" cm="1">
        <f t="array" ref="Z80">_xlfn.ANCHORARRAY(Emissions!AA936)</f>
        <v>6800922.7852914035</v>
      </c>
      <c r="AA80" s="972" cm="1">
        <f t="array" ref="AA80">_xlfn.ANCHORARRAY(Emissions!AB936)</f>
        <v>7007568.7413600087</v>
      </c>
      <c r="AB80" s="972" cm="1">
        <f t="array" ref="AB80">_xlfn.ANCHORARRAY(Emissions!AC936)</f>
        <v>7217514.5796183646</v>
      </c>
      <c r="AC80" s="972" cm="1">
        <f t="array" ref="AC80">_xlfn.ANCHORARRAY(Emissions!AD936)</f>
        <v>7430491.4787885547</v>
      </c>
      <c r="AD80" s="972" cm="1">
        <f t="array" ref="AD80">_xlfn.ANCHORARRAY(Emissions!AE936)</f>
        <v>7646143.1742209494</v>
      </c>
      <c r="AE80" s="972" cm="1">
        <f t="array" ref="AE80">_xlfn.ANCHORARRAY(Emissions!AF936)</f>
        <v>7960182.9044327736</v>
      </c>
      <c r="AF80" s="972" cm="1">
        <f t="array" ref="AF80">_xlfn.ANCHORARRAY(Emissions!AG936)</f>
        <v>8183437.0811908543</v>
      </c>
      <c r="AG80" s="972" cm="1">
        <f t="array" ref="AG80">_xlfn.ANCHORARRAY(Emissions!AH936)</f>
        <v>8409752.0380707681</v>
      </c>
    </row>
    <row r="81" spans="2:33" ht="21.95" customHeight="1" x14ac:dyDescent="0.2">
      <c r="C81" t="s">
        <v>214</v>
      </c>
      <c r="D81" s="972"/>
      <c r="E81" s="973">
        <f>SUM(F81:AG81)</f>
        <v>6921925.820039846</v>
      </c>
      <c r="F81" s="972" cm="1">
        <f t="array" ref="F81">_xlfn.ANCHORARRAY('O&amp;M'!D22)</f>
        <v>0</v>
      </c>
      <c r="G81" s="972" cm="1">
        <f t="array" ref="G81">_xlfn.ANCHORARRAY('O&amp;M'!E22)</f>
        <v>0</v>
      </c>
      <c r="H81" s="972" cm="1">
        <f t="array" ref="H81">_xlfn.ANCHORARRAY('O&amp;M'!F22)</f>
        <v>0</v>
      </c>
      <c r="I81" s="972" cm="1">
        <f t="array" ref="I81">_xlfn.ANCHORARRAY('O&amp;M'!G22)</f>
        <v>0</v>
      </c>
      <c r="J81" s="972" cm="1">
        <f t="array" ref="J81">_xlfn.ANCHORARRAY('O&amp;M'!H22)</f>
        <v>2263971.851761736</v>
      </c>
      <c r="K81" s="972" cm="1">
        <f t="array" ref="K81">_xlfn.ANCHORARRAY('O&amp;M'!I22)</f>
        <v>0</v>
      </c>
      <c r="L81" s="972" cm="1">
        <f t="array" ref="L81">_xlfn.ANCHORARRAY('O&amp;M'!J22)</f>
        <v>0</v>
      </c>
      <c r="M81" s="972" cm="1">
        <f t="array" ref="M81">_xlfn.ANCHORARRAY('O&amp;M'!K22)</f>
        <v>-4483.1125777460111</v>
      </c>
      <c r="N81" s="972" cm="1">
        <f t="array" ref="N81">_xlfn.ANCHORARRAY('O&amp;M'!L22)</f>
        <v>-4483.1125777460111</v>
      </c>
      <c r="O81" s="972" cm="1">
        <f t="array" ref="O81">_xlfn.ANCHORARRAY('O&amp;M'!M22)</f>
        <v>-116560.92702139629</v>
      </c>
      <c r="P81" s="972" cm="1">
        <f t="array" ref="P81">_xlfn.ANCHORARRAY('O&amp;M'!N22)</f>
        <v>-4483.1125777460111</v>
      </c>
      <c r="Q81" s="972" cm="1">
        <f t="array" ref="Q81">_xlfn.ANCHORARRAY('O&amp;M'!O22)</f>
        <v>-4483.1125777460111</v>
      </c>
      <c r="R81" s="972" cm="1">
        <f t="array" ref="R81">_xlfn.ANCHORARRAY('O&amp;M'!P22)</f>
        <v>-4483.1125777460111</v>
      </c>
      <c r="S81" s="972" cm="1">
        <f t="array" ref="S81">_xlfn.ANCHORARRAY('O&amp;M'!Q22)</f>
        <v>-4483.1125777460111</v>
      </c>
      <c r="T81" s="972" cm="1">
        <f t="array" ref="T81">_xlfn.ANCHORARRAY('O&amp;M'!R22)</f>
        <v>7302990.3891482539</v>
      </c>
      <c r="U81" s="972" cm="1">
        <f t="array" ref="U81">_xlfn.ANCHORARRAY('O&amp;M'!S22)</f>
        <v>-4483.1125777460111</v>
      </c>
      <c r="V81" s="972" cm="1">
        <f t="array" ref="V81">_xlfn.ANCHORARRAY('O&amp;M'!T22)</f>
        <v>-4483.1125777460111</v>
      </c>
      <c r="W81" s="972" cm="1">
        <f t="array" ref="W81">_xlfn.ANCHORARRAY('O&amp;M'!U22)</f>
        <v>-4483.1125777460111</v>
      </c>
      <c r="X81" s="972" cm="1">
        <f t="array" ref="X81">_xlfn.ANCHORARRAY('O&amp;M'!V22)</f>
        <v>-4483.1125777460111</v>
      </c>
      <c r="Y81" s="972" cm="1">
        <f t="array" ref="Y81">_xlfn.ANCHORARRAY('O&amp;M'!W22)</f>
        <v>-116560.92702139629</v>
      </c>
      <c r="Z81" s="972" cm="1">
        <f t="array" ref="Z81">_xlfn.ANCHORARRAY('O&amp;M'!X22)</f>
        <v>-4483.1125777460111</v>
      </c>
      <c r="AA81" s="972" cm="1">
        <f t="array" ref="AA81">_xlfn.ANCHORARRAY('O&amp;M'!Y22)</f>
        <v>-4483.1125777460111</v>
      </c>
      <c r="AB81" s="972" cm="1">
        <f t="array" ref="AB81">_xlfn.ANCHORARRAY('O&amp;M'!Z22)</f>
        <v>-4483.1125777460111</v>
      </c>
      <c r="AC81" s="972" cm="1">
        <f t="array" ref="AC81">_xlfn.ANCHORARRAY('O&amp;M'!AA22)</f>
        <v>-4483.1125777460111</v>
      </c>
      <c r="AD81" s="972" cm="1">
        <f t="array" ref="AD81">_xlfn.ANCHORARRAY('O&amp;M'!AB22)</f>
        <v>-407963.24457488698</v>
      </c>
      <c r="AE81" s="972" cm="1">
        <f t="array" ref="AE81">_xlfn.ANCHORARRAY('O&amp;M'!AC22)</f>
        <v>-1932221.5210085311</v>
      </c>
      <c r="AF81" s="972" cm="1">
        <f t="array" ref="AF81">_xlfn.ANCHORARRAY('O&amp;M'!AD22)</f>
        <v>-4483.1125777460111</v>
      </c>
      <c r="AG81" s="972" cm="1">
        <f t="array" ref="AG81">_xlfn.ANCHORARRAY('O&amp;M'!AE22)</f>
        <v>-4483.1125777460111</v>
      </c>
    </row>
    <row r="82" spans="2:33" ht="21.95" customHeight="1" x14ac:dyDescent="0.2">
      <c r="C82" s="45" t="s">
        <v>17</v>
      </c>
      <c r="D82" s="252"/>
      <c r="E82" s="1000">
        <f t="shared" si="3"/>
        <v>22164807.458548132</v>
      </c>
      <c r="F82" s="252" cm="1">
        <f t="array" ref="F82:AG82">_xlfn.ANCHORARRAY('Residual Value'!E52)</f>
        <v>0</v>
      </c>
      <c r="G82" s="252">
        <v>0</v>
      </c>
      <c r="H82" s="252">
        <v>0</v>
      </c>
      <c r="I82" s="252">
        <v>0</v>
      </c>
      <c r="J82" s="252">
        <v>0</v>
      </c>
      <c r="K82" s="252">
        <v>0</v>
      </c>
      <c r="L82" s="252">
        <v>0</v>
      </c>
      <c r="M82" s="252">
        <v>0</v>
      </c>
      <c r="N82" s="252">
        <v>0</v>
      </c>
      <c r="O82" s="252">
        <v>0</v>
      </c>
      <c r="P82" s="252">
        <v>0</v>
      </c>
      <c r="Q82" s="252">
        <v>0</v>
      </c>
      <c r="R82" s="252">
        <v>0</v>
      </c>
      <c r="S82" s="252">
        <v>0</v>
      </c>
      <c r="T82" s="252">
        <v>0</v>
      </c>
      <c r="U82" s="252">
        <v>0</v>
      </c>
      <c r="V82" s="252">
        <v>0</v>
      </c>
      <c r="W82" s="252">
        <v>0</v>
      </c>
      <c r="X82" s="252">
        <v>0</v>
      </c>
      <c r="Y82" s="252">
        <v>0</v>
      </c>
      <c r="Z82" s="252">
        <v>0</v>
      </c>
      <c r="AA82" s="252">
        <v>0</v>
      </c>
      <c r="AB82" s="252">
        <v>0</v>
      </c>
      <c r="AC82" s="252">
        <v>0</v>
      </c>
      <c r="AD82" s="252">
        <v>0</v>
      </c>
      <c r="AE82">
        <v>0</v>
      </c>
      <c r="AF82">
        <v>0</v>
      </c>
      <c r="AG82">
        <v>22164807.458548132</v>
      </c>
    </row>
    <row r="83" spans="2:33" ht="21.95" customHeight="1" x14ac:dyDescent="0.2">
      <c r="C83" s="1" t="s">
        <v>52</v>
      </c>
      <c r="D83" s="1006"/>
      <c r="E83" s="1007">
        <f>SUM(F83:AG83)</f>
        <v>776492693.92193282</v>
      </c>
      <c r="F83" s="1006">
        <f>SUM(F75:F82)</f>
        <v>0</v>
      </c>
      <c r="G83" s="1006">
        <f t="shared" ref="G83:S83" si="5">SUM(G75:G82)</f>
        <v>0</v>
      </c>
      <c r="H83" s="1006">
        <f t="shared" si="5"/>
        <v>123418.1302779095</v>
      </c>
      <c r="I83" s="1006">
        <f t="shared" si="5"/>
        <v>538668.58767223265</v>
      </c>
      <c r="J83" s="1006">
        <f t="shared" si="5"/>
        <v>3416614.6671333225</v>
      </c>
      <c r="K83" s="1006">
        <f t="shared" si="5"/>
        <v>2291310.1562667927</v>
      </c>
      <c r="L83" s="1006">
        <f t="shared" si="5"/>
        <v>3694732.2886868599</v>
      </c>
      <c r="M83" s="1006">
        <f t="shared" si="5"/>
        <v>6434788.4068935383</v>
      </c>
      <c r="N83" s="1006">
        <f t="shared" si="5"/>
        <v>15206809.014349692</v>
      </c>
      <c r="O83" s="1006">
        <f t="shared" si="5"/>
        <v>17976760.067342568</v>
      </c>
      <c r="P83" s="1006">
        <f t="shared" si="5"/>
        <v>23230217.733304907</v>
      </c>
      <c r="Q83" s="1006">
        <f t="shared" si="5"/>
        <v>28829730.551383987</v>
      </c>
      <c r="R83" s="1006">
        <f t="shared" si="5"/>
        <v>34141475.479619078</v>
      </c>
      <c r="S83" s="1006">
        <f t="shared" si="5"/>
        <v>35041635.633324973</v>
      </c>
      <c r="T83" s="1006">
        <f t="shared" ref="T83" si="6">SUM(T75:T82)</f>
        <v>42146128.352789596</v>
      </c>
      <c r="U83" s="1006">
        <f t="shared" ref="U83" si="7">SUM(U75:U82)</f>
        <v>35117786.187035911</v>
      </c>
      <c r="V83" s="1006">
        <f t="shared" ref="V83" si="8">SUM(V75:V82)</f>
        <v>35212185.845346928</v>
      </c>
      <c r="W83" s="1006">
        <f t="shared" ref="W83" si="9">SUM(W75:W82)</f>
        <v>35503287.438141115</v>
      </c>
      <c r="X83" s="1006">
        <f t="shared" ref="X83" si="10">SUM(X75:X82)</f>
        <v>36647544.191795036</v>
      </c>
      <c r="Y83" s="1006">
        <f t="shared" ref="Y83" si="11">SUM(Y75:Y82)</f>
        <v>37762016.90778923</v>
      </c>
      <c r="Z83" s="1006">
        <f t="shared" ref="Z83" si="12">SUM(Z75:Z82)</f>
        <v>39283809.438050888</v>
      </c>
      <c r="AA83" s="1006">
        <f t="shared" ref="AA83" si="13">SUM(AA75:AA82)</f>
        <v>40717204.811363705</v>
      </c>
      <c r="AB83" s="1006">
        <f t="shared" ref="AB83" si="14">SUM(AB75:AB82)</f>
        <v>42278271.12885157</v>
      </c>
      <c r="AC83" s="1006">
        <f t="shared" ref="AC83" si="15">SUM(AC75:AC82)</f>
        <v>43985166.323639162</v>
      </c>
      <c r="AD83" s="1006">
        <f t="shared" ref="AD83" si="16">SUM(AD75:AD82)</f>
        <v>45456527.740797557</v>
      </c>
      <c r="AE83" s="1006">
        <f t="shared" ref="AE83" si="17">SUM(AE75:AE82)</f>
        <v>46098532.71685791</v>
      </c>
      <c r="AF83" s="1006">
        <f t="shared" ref="AF83" si="18">SUM(AF75:AF82)</f>
        <v>50320496.516962178</v>
      </c>
      <c r="AG83" s="1006">
        <f t="shared" ref="AG83" si="19">SUM(AG75:AG82)</f>
        <v>75037575.606256172</v>
      </c>
    </row>
    <row r="84" spans="2:33" ht="21.95" customHeight="1" x14ac:dyDescent="0.2">
      <c r="C84" s="1024" t="s">
        <v>53</v>
      </c>
      <c r="D84" s="1025"/>
      <c r="E84" s="1026">
        <f>SUM(F84:AG84)</f>
        <v>78483162.031052768</v>
      </c>
      <c r="F84" s="1025" cm="1">
        <f t="array" ref="F84">_xlfn.ANCHORARRAY('Project Costs'!D80)</f>
        <v>0</v>
      </c>
      <c r="G84" s="1025" cm="1">
        <f t="array" ref="G84">_xlfn.ANCHORARRAY('Project Costs'!E80)</f>
        <v>2021584.8983916014</v>
      </c>
      <c r="H84" s="1025" cm="1">
        <f t="array" ref="H84">_xlfn.ANCHORARRAY('Project Costs'!F80)</f>
        <v>4128871.9655611143</v>
      </c>
      <c r="I84" s="1025" cm="1">
        <f t="array" ref="I84">_xlfn.ANCHORARRAY('Project Costs'!G80)</f>
        <v>3451025.3438059175</v>
      </c>
      <c r="J84" s="1025" cm="1">
        <f t="array" ref="J84">_xlfn.ANCHORARRAY('Project Costs'!H80)</f>
        <v>23332807.722136889</v>
      </c>
      <c r="K84" s="1025" cm="1">
        <f t="array" ref="K84">_xlfn.ANCHORARRAY('Project Costs'!I80)</f>
        <v>23332807.722136889</v>
      </c>
      <c r="L84" s="1025" cm="1">
        <f t="array" ref="L84">_xlfn.ANCHORARRAY('Project Costs'!J80)</f>
        <v>15539364.816983223</v>
      </c>
      <c r="M84" s="1025" cm="1">
        <f t="array" ref="M84">_xlfn.ANCHORARRAY('Project Costs'!K80)</f>
        <v>6676699.5620371355</v>
      </c>
      <c r="N84" s="1025" cm="1">
        <f t="array" ref="N84">_xlfn.ANCHORARRAY('Project Costs'!L80)</f>
        <v>0</v>
      </c>
      <c r="O84" s="1025" cm="1">
        <f t="array" ref="O84">_xlfn.ANCHORARRAY('Project Costs'!M80)</f>
        <v>0</v>
      </c>
      <c r="P84" s="1025" cm="1">
        <f t="array" ref="P84">_xlfn.ANCHORARRAY('Project Costs'!N80)</f>
        <v>0</v>
      </c>
      <c r="Q84" s="1025" cm="1">
        <f t="array" ref="Q84">_xlfn.ANCHORARRAY('Project Costs'!O80)</f>
        <v>0</v>
      </c>
      <c r="R84" s="1025" cm="1">
        <f t="array" ref="R84">_xlfn.ANCHORARRAY('Project Costs'!P80)</f>
        <v>0</v>
      </c>
      <c r="S84" s="1025" cm="1">
        <f t="array" ref="S84">_xlfn.ANCHORARRAY('Project Costs'!Q80)</f>
        <v>0</v>
      </c>
      <c r="T84" s="1025" cm="1">
        <f t="array" ref="T84">_xlfn.ANCHORARRAY('Project Costs'!R80)</f>
        <v>0</v>
      </c>
      <c r="U84" s="1025" cm="1">
        <f t="array" ref="U84">_xlfn.ANCHORARRAY('Project Costs'!S80)</f>
        <v>0</v>
      </c>
      <c r="V84" s="1025" cm="1">
        <f t="array" ref="V84">_xlfn.ANCHORARRAY('Project Costs'!T80)</f>
        <v>0</v>
      </c>
      <c r="W84" s="1025" cm="1">
        <f t="array" ref="W84">_xlfn.ANCHORARRAY('Project Costs'!U80)</f>
        <v>0</v>
      </c>
      <c r="X84" s="1025" cm="1">
        <f t="array" ref="X84">_xlfn.ANCHORARRAY('Project Costs'!V80)</f>
        <v>0</v>
      </c>
      <c r="Y84" s="1025" cm="1">
        <f t="array" ref="Y84">_xlfn.ANCHORARRAY('Project Costs'!W80)</f>
        <v>0</v>
      </c>
      <c r="Z84" s="1025" cm="1">
        <f t="array" ref="Z84">_xlfn.ANCHORARRAY('Project Costs'!X80)</f>
        <v>0</v>
      </c>
      <c r="AA84" s="1025" cm="1">
        <f t="array" ref="AA84">_xlfn.ANCHORARRAY('Project Costs'!Y80)</f>
        <v>0</v>
      </c>
      <c r="AB84" s="1025" cm="1">
        <f t="array" ref="AB84">_xlfn.ANCHORARRAY('Project Costs'!Z80)</f>
        <v>0</v>
      </c>
      <c r="AC84" s="1025" cm="1">
        <f t="array" ref="AC84">_xlfn.ANCHORARRAY('Project Costs'!AA80)</f>
        <v>0</v>
      </c>
      <c r="AD84" s="1025" cm="1">
        <f t="array" ref="AD84">_xlfn.ANCHORARRAY('Project Costs'!AB80)</f>
        <v>0</v>
      </c>
      <c r="AE84" s="1025" cm="1">
        <f t="array" ref="AE84">_xlfn.ANCHORARRAY('Project Costs'!AC80)</f>
        <v>0</v>
      </c>
      <c r="AF84" s="1025" cm="1">
        <f t="array" ref="AF84">_xlfn.ANCHORARRAY('Project Costs'!AD80)</f>
        <v>0</v>
      </c>
      <c r="AG84" s="1025" cm="1">
        <f t="array" ref="AG84">_xlfn.ANCHORARRAY('Project Costs'!AE80)</f>
        <v>0</v>
      </c>
    </row>
    <row r="85" spans="2:33" ht="21.95" customHeight="1" x14ac:dyDescent="0.2">
      <c r="C85" s="1" t="s">
        <v>54</v>
      </c>
      <c r="D85" s="1006"/>
      <c r="E85" s="1007">
        <f>SUM(F85:AG85)</f>
        <v>698009531.89088011</v>
      </c>
      <c r="F85" s="1006" cm="1">
        <f t="array" ref="F85">_xlfn.ANCHORARRAY(F83) -_xlfn.ANCHORARRAY( F84)</f>
        <v>0</v>
      </c>
      <c r="G85" s="1006" cm="1">
        <f t="array" ref="G85">_xlfn.ANCHORARRAY(G83) -_xlfn.ANCHORARRAY( G84)</f>
        <v>-2021584.8983916014</v>
      </c>
      <c r="H85" s="1006" cm="1">
        <f t="array" ref="H85">_xlfn.ANCHORARRAY(H83) -_xlfn.ANCHORARRAY( H84)</f>
        <v>-4005453.8352832049</v>
      </c>
      <c r="I85" s="1006" cm="1">
        <f t="array" ref="I85">_xlfn.ANCHORARRAY(I83) -_xlfn.ANCHORARRAY( I84)</f>
        <v>-2912356.7561336849</v>
      </c>
      <c r="J85" s="1006" cm="1">
        <f t="array" ref="J85">_xlfn.ANCHORARRAY(J83) -_xlfn.ANCHORARRAY( J84)</f>
        <v>-19916193.055003565</v>
      </c>
      <c r="K85" s="1006" cm="1">
        <f t="array" ref="K85">_xlfn.ANCHORARRAY(K83) -_xlfn.ANCHORARRAY( K84)</f>
        <v>-21041497.565870095</v>
      </c>
      <c r="L85" s="1006" cm="1">
        <f t="array" ref="L85">_xlfn.ANCHORARRAY(L83) -_xlfn.ANCHORARRAY( L84)</f>
        <v>-11844632.528296363</v>
      </c>
      <c r="M85" s="1006" cm="1">
        <f t="array" ref="M85">_xlfn.ANCHORARRAY(M83) -_xlfn.ANCHORARRAY( M84)</f>
        <v>-241911.15514359716</v>
      </c>
      <c r="N85" s="1006" cm="1">
        <f t="array" ref="N85">_xlfn.ANCHORARRAY(N83) -_xlfn.ANCHORARRAY( N84)</f>
        <v>15206809.014349692</v>
      </c>
      <c r="O85" s="1006" cm="1">
        <f t="array" ref="O85">_xlfn.ANCHORARRAY(O83) -_xlfn.ANCHORARRAY( O84)</f>
        <v>17976760.067342568</v>
      </c>
      <c r="P85" s="1006" cm="1">
        <f t="array" ref="P85">_xlfn.ANCHORARRAY(P83) -_xlfn.ANCHORARRAY( P84)</f>
        <v>23230217.733304907</v>
      </c>
      <c r="Q85" s="1006" cm="1">
        <f t="array" ref="Q85">_xlfn.ANCHORARRAY(Q83) -_xlfn.ANCHORARRAY( Q84)</f>
        <v>28829730.551383987</v>
      </c>
      <c r="R85" s="1006" cm="1">
        <f t="array" ref="R85">_xlfn.ANCHORARRAY(R83) -_xlfn.ANCHORARRAY( R84)</f>
        <v>34141475.479619078</v>
      </c>
      <c r="S85" s="1006" cm="1">
        <f t="array" ref="S85">_xlfn.ANCHORARRAY(S83) -_xlfn.ANCHORARRAY( S84)</f>
        <v>35041635.633324973</v>
      </c>
      <c r="T85" s="1006" cm="1">
        <f t="array" ref="T85">_xlfn.ANCHORARRAY(T83) -_xlfn.ANCHORARRAY( T84)</f>
        <v>42146128.352789596</v>
      </c>
      <c r="U85" s="1006" cm="1">
        <f t="array" ref="U85">_xlfn.ANCHORARRAY(U83) -_xlfn.ANCHORARRAY( U84)</f>
        <v>35117786.187035911</v>
      </c>
      <c r="V85" s="1006" cm="1">
        <f t="array" ref="V85">_xlfn.ANCHORARRAY(V83) -_xlfn.ANCHORARRAY( V84)</f>
        <v>35212185.845346928</v>
      </c>
      <c r="W85" s="1006" cm="1">
        <f t="array" ref="W85">_xlfn.ANCHORARRAY(W83) -_xlfn.ANCHORARRAY( W84)</f>
        <v>35503287.438141115</v>
      </c>
      <c r="X85" s="1006" cm="1">
        <f t="array" ref="X85">_xlfn.ANCHORARRAY(X83) -_xlfn.ANCHORARRAY( X84)</f>
        <v>36647544.191795036</v>
      </c>
      <c r="Y85" s="1006" cm="1">
        <f t="array" ref="Y85">_xlfn.ANCHORARRAY(Y83) -_xlfn.ANCHORARRAY( Y84)</f>
        <v>37762016.90778923</v>
      </c>
      <c r="Z85" s="1006" cm="1">
        <f t="array" ref="Z85">_xlfn.ANCHORARRAY(Z83) -_xlfn.ANCHORARRAY( Z84)</f>
        <v>39283809.438050888</v>
      </c>
      <c r="AA85" s="1006" cm="1">
        <f t="array" ref="AA85">_xlfn.ANCHORARRAY(AA83) -_xlfn.ANCHORARRAY( AA84)</f>
        <v>40717204.811363705</v>
      </c>
      <c r="AB85" s="1006" cm="1">
        <f t="array" ref="AB85">_xlfn.ANCHORARRAY(AB83) -_xlfn.ANCHORARRAY( AB84)</f>
        <v>42278271.12885157</v>
      </c>
      <c r="AC85" s="1006" cm="1">
        <f t="array" ref="AC85">_xlfn.ANCHORARRAY(AC83) -_xlfn.ANCHORARRAY( AC84)</f>
        <v>43985166.323639162</v>
      </c>
      <c r="AD85" s="1006" cm="1">
        <f t="array" ref="AD85">_xlfn.ANCHORARRAY(AD83) -_xlfn.ANCHORARRAY( AD84)</f>
        <v>45456527.740797557</v>
      </c>
      <c r="AE85" s="1006" cm="1">
        <f t="array" ref="AE85">_xlfn.ANCHORARRAY(AE83) -_xlfn.ANCHORARRAY( AE84)</f>
        <v>46098532.71685791</v>
      </c>
      <c r="AF85" s="1006" cm="1">
        <f t="array" ref="AF85">_xlfn.ANCHORARRAY(AF83) -_xlfn.ANCHORARRAY( AF84)</f>
        <v>50320496.516962178</v>
      </c>
      <c r="AG85" s="1006" cm="1">
        <f t="array" ref="AG85">_xlfn.ANCHORARRAY(AG83) -_xlfn.ANCHORARRAY( AG84)</f>
        <v>75037575.606256172</v>
      </c>
    </row>
    <row r="86" spans="2:33" ht="21.95" customHeight="1" x14ac:dyDescent="0.2">
      <c r="B86" s="45"/>
      <c r="C86" s="1024" t="s">
        <v>55</v>
      </c>
      <c r="D86" s="1025"/>
      <c r="E86" s="1026"/>
      <c r="F86" s="1025">
        <f>F85</f>
        <v>0</v>
      </c>
      <c r="G86" s="1025">
        <f t="shared" ref="G86:AD86" si="20">F86+G85</f>
        <v>-2021584.8983916014</v>
      </c>
      <c r="H86" s="1025">
        <f t="shared" si="20"/>
        <v>-6027038.7336748065</v>
      </c>
      <c r="I86" s="1025">
        <f t="shared" si="20"/>
        <v>-8939395.4898084924</v>
      </c>
      <c r="J86" s="1025">
        <f t="shared" si="20"/>
        <v>-28855588.544812057</v>
      </c>
      <c r="K86" s="1025">
        <f t="shared" si="20"/>
        <v>-49897086.110682152</v>
      </c>
      <c r="L86" s="1025">
        <f t="shared" si="20"/>
        <v>-61741718.638978511</v>
      </c>
      <c r="M86" s="1025">
        <f t="shared" si="20"/>
        <v>-61983629.794122107</v>
      </c>
      <c r="N86" s="1025">
        <f t="shared" si="20"/>
        <v>-46776820.779772416</v>
      </c>
      <c r="O86" s="1025">
        <f t="shared" si="20"/>
        <v>-28800060.712429848</v>
      </c>
      <c r="P86" s="1025">
        <f t="shared" si="20"/>
        <v>-5569842.9791249409</v>
      </c>
      <c r="Q86" s="1025">
        <f t="shared" si="20"/>
        <v>23259887.572259046</v>
      </c>
      <c r="R86" s="1025">
        <f t="shared" si="20"/>
        <v>57401363.051878124</v>
      </c>
      <c r="S86" s="1025">
        <f t="shared" si="20"/>
        <v>92442998.685203105</v>
      </c>
      <c r="T86" s="1025">
        <f t="shared" si="20"/>
        <v>134589127.03799272</v>
      </c>
      <c r="U86" s="1025">
        <f t="shared" si="20"/>
        <v>169706913.22502863</v>
      </c>
      <c r="V86" s="1025">
        <f t="shared" si="20"/>
        <v>204919099.07037556</v>
      </c>
      <c r="W86" s="1025">
        <f t="shared" si="20"/>
        <v>240422386.50851667</v>
      </c>
      <c r="X86" s="1025">
        <f t="shared" si="20"/>
        <v>277069930.70031172</v>
      </c>
      <c r="Y86" s="1025">
        <f t="shared" si="20"/>
        <v>314831947.60810095</v>
      </c>
      <c r="Z86" s="1025">
        <f t="shared" si="20"/>
        <v>354115757.04615182</v>
      </c>
      <c r="AA86" s="1025">
        <f t="shared" si="20"/>
        <v>394832961.85751551</v>
      </c>
      <c r="AB86" s="1025">
        <f t="shared" si="20"/>
        <v>437111232.98636711</v>
      </c>
      <c r="AC86" s="1025">
        <f t="shared" si="20"/>
        <v>481096399.31000626</v>
      </c>
      <c r="AD86" s="1025">
        <f t="shared" si="20"/>
        <v>526552927.05080384</v>
      </c>
      <c r="AE86" s="1025">
        <f t="shared" ref="AE86" si="21">AD86+AE85</f>
        <v>572651459.76766181</v>
      </c>
      <c r="AF86" s="1025">
        <f t="shared" ref="AF86" si="22">AE86+AF85</f>
        <v>622971956.28462398</v>
      </c>
      <c r="AG86" s="1025">
        <f t="shared" ref="AG86" si="23">AF86+AG85</f>
        <v>698009531.89088011</v>
      </c>
    </row>
    <row r="87" spans="2:33" ht="21.95" customHeight="1" x14ac:dyDescent="0.2">
      <c r="B87" s="1" t="s">
        <v>486</v>
      </c>
      <c r="C87" s="1" t="str">
        <f t="shared" ref="C87:C93" si="24">C74</f>
        <v>Benefits</v>
      </c>
      <c r="E87"/>
      <c r="F87"/>
      <c r="G87"/>
      <c r="H87"/>
      <c r="I87"/>
    </row>
    <row r="88" spans="2:33" ht="21.95" customHeight="1" x14ac:dyDescent="0.2">
      <c r="C88" t="str">
        <f t="shared" si="24"/>
        <v>Improved Safety</v>
      </c>
      <c r="D88" s="972"/>
      <c r="E88" s="974">
        <f t="shared" ref="E88" si="25">SUM(_xlfn.ANCHORARRAY(F88))</f>
        <v>197081770.47922838</v>
      </c>
      <c r="F88" s="972" cm="1">
        <f t="array" ref="F88:AG88">_xlfn.ANCHORARRAY(Safety!E238)</f>
        <v>0</v>
      </c>
      <c r="G88" s="972">
        <v>0</v>
      </c>
      <c r="H88" s="972">
        <v>0</v>
      </c>
      <c r="I88" s="972">
        <v>0</v>
      </c>
      <c r="J88" s="972">
        <v>0</v>
      </c>
      <c r="K88" s="972">
        <v>0</v>
      </c>
      <c r="L88" s="972">
        <v>0</v>
      </c>
      <c r="M88" s="972">
        <v>0</v>
      </c>
      <c r="N88" s="972">
        <v>2303369.3523919596</v>
      </c>
      <c r="O88" s="972">
        <v>2544895.6630419018</v>
      </c>
      <c r="P88" s="972">
        <v>2819474.5085319285</v>
      </c>
      <c r="Q88" s="972">
        <v>3132993.3672073921</v>
      </c>
      <c r="R88" s="972">
        <v>3492586.7225449923</v>
      </c>
      <c r="S88" s="972">
        <v>3906923.9669590141</v>
      </c>
      <c r="T88" s="972">
        <v>4386566.4077799451</v>
      </c>
      <c r="U88" s="972">
        <v>4944410.2625344042</v>
      </c>
      <c r="V88" s="972">
        <v>5596236.6954655629</v>
      </c>
      <c r="W88" s="972">
        <v>6361395.1445088219</v>
      </c>
      <c r="X88" s="972">
        <v>7263652.6744398605</v>
      </c>
      <c r="Y88" s="972">
        <v>8332250.188390336</v>
      </c>
      <c r="Z88" s="972">
        <v>9603216.4370833673</v>
      </c>
      <c r="AA88" s="972">
        <v>11121003.383591207</v>
      </c>
      <c r="AB88" s="972">
        <v>12940522.236629643</v>
      </c>
      <c r="AC88" s="972">
        <v>15129679.138879977</v>
      </c>
      <c r="AD88" s="972">
        <v>17772534.065065179</v>
      </c>
      <c r="AE88" s="972">
        <v>20973237.16770846</v>
      </c>
      <c r="AF88" s="972">
        <v>24860935.13145474</v>
      </c>
      <c r="AG88" s="972">
        <v>29595887.965019692</v>
      </c>
    </row>
    <row r="89" spans="2:33" ht="21.75" customHeight="1" x14ac:dyDescent="0.2">
      <c r="C89" t="str">
        <f t="shared" si="24"/>
        <v>Travel Time Savings</v>
      </c>
      <c r="D89" s="972"/>
      <c r="E89" s="973">
        <f>SUM(H89:AG89)</f>
        <v>714347622.59334195</v>
      </c>
      <c r="F89" s="972" cm="1">
        <f t="array" ref="F89">_xlfn.ANCHORARRAY('Travel Time'!G956)</f>
        <v>0</v>
      </c>
      <c r="G89" s="972" cm="1">
        <f t="array" ref="G89">_xlfn.ANCHORARRAY('Travel Time'!H956)</f>
        <v>0</v>
      </c>
      <c r="H89" s="972" cm="1">
        <f t="array" ref="H89">_xlfn.ANCHORARRAY('Travel Time'!I956)</f>
        <v>36823.856609240174</v>
      </c>
      <c r="I89" s="972" cm="1">
        <f t="array" ref="I89">_xlfn.ANCHORARRAY('Travel Time'!J956)</f>
        <v>520232.57372887433</v>
      </c>
      <c r="J89" s="972" cm="1">
        <f t="array" ref="J89">_xlfn.ANCHORARRAY('Travel Time'!K956)</f>
        <v>12489.042807511985</v>
      </c>
      <c r="K89" s="972" cm="1">
        <f t="array" ref="K89">_xlfn.ANCHORARRAY('Travel Time'!L956)</f>
        <v>856664.29263730347</v>
      </c>
      <c r="L89" s="972" cm="1">
        <f t="array" ref="L89">_xlfn.ANCHORARRAY('Travel Time'!M956)</f>
        <v>1979872.3838904351</v>
      </c>
      <c r="M89" s="972" cm="1">
        <f t="array" ref="M89">_xlfn.ANCHORARRAY('Travel Time'!N956)</f>
        <v>4434811.5183933228</v>
      </c>
      <c r="N89" s="972" cm="1">
        <f t="array" ref="N89">_xlfn.ANCHORARRAY('Travel Time'!O956)</f>
        <v>12497955.169000953</v>
      </c>
      <c r="O89" s="972" cm="1">
        <f t="array" ref="O89">_xlfn.ANCHORARRAY('Travel Time'!P956)</f>
        <v>15044761.122851953</v>
      </c>
      <c r="P89" s="972" cm="1">
        <f t="array" ref="P89">_xlfn.ANCHORARRAY('Travel Time'!Q956)</f>
        <v>19679097.158527032</v>
      </c>
      <c r="Q89" s="972" cm="1">
        <f t="array" ref="Q89">_xlfn.ANCHORARRAY('Travel Time'!R956)</f>
        <v>24925719.792737409</v>
      </c>
      <c r="R89" s="972" cm="1">
        <f t="array" ref="R89">_xlfn.ANCHORARRAY('Travel Time'!S956)</f>
        <v>30715896.96085009</v>
      </c>
      <c r="S89" s="972" cm="1">
        <f t="array" ref="S89">_xlfn.ANCHORARRAY('Travel Time'!T956)</f>
        <v>33334544.87699452</v>
      </c>
      <c r="T89" s="972" cm="1">
        <f t="array" ref="T89">_xlfn.ANCHORARRAY('Travel Time'!U956)</f>
        <v>36415619.991918713</v>
      </c>
      <c r="U89" s="972" cm="1">
        <f t="array" ref="U89">_xlfn.ANCHORARRAY('Travel Time'!V956)</f>
        <v>37390655.320682973</v>
      </c>
      <c r="V89" s="972" cm="1">
        <f t="array" ref="V89">_xlfn.ANCHORARRAY('Travel Time'!W956)</f>
        <v>37181614.664041013</v>
      </c>
      <c r="W89" s="972" cm="1">
        <f t="array" ref="W89">_xlfn.ANCHORARRAY('Travel Time'!X956)</f>
        <v>37159637.776831821</v>
      </c>
      <c r="X89" s="972" cm="1">
        <f t="array" ref="X89">_xlfn.ANCHORARRAY('Travel Time'!Y956)</f>
        <v>37923863.737386405</v>
      </c>
      <c r="Y89" s="972" cm="1">
        <f t="array" ref="Y89">_xlfn.ANCHORARRAY('Travel Time'!Z956)</f>
        <v>38690198.252785176</v>
      </c>
      <c r="Z89" s="972" cm="1">
        <f t="array" ref="Z89">_xlfn.ANCHORARRAY('Travel Time'!AA956)</f>
        <v>39385946.975865334</v>
      </c>
      <c r="AA89" s="972" cm="1">
        <f t="array" ref="AA89">_xlfn.ANCHORARRAY('Travel Time'!AB956)</f>
        <v>40067572.311239809</v>
      </c>
      <c r="AB89" s="972" cm="1">
        <f t="array" ref="AB89">_xlfn.ANCHORARRAY('Travel Time'!AC956)</f>
        <v>41104173.046203792</v>
      </c>
      <c r="AC89" s="972" cm="1">
        <f t="array" ref="AC89">_xlfn.ANCHORARRAY('Travel Time'!AD956)</f>
        <v>42252651.595585942</v>
      </c>
      <c r="AD89" s="972" cm="1">
        <f t="array" ref="AD89">_xlfn.ANCHORARRAY('Travel Time'!AE956)</f>
        <v>43500465.322826773</v>
      </c>
      <c r="AE89" s="972" cm="1">
        <f t="array" ref="AE89">_xlfn.ANCHORARRAY('Travel Time'!AF956)</f>
        <v>44865605.664712757</v>
      </c>
      <c r="AF89" s="972" cm="1">
        <f t="array" ref="AF89">_xlfn.ANCHORARRAY('Travel Time'!AG956)</f>
        <v>46361302.483748585</v>
      </c>
      <c r="AG89" s="972" cm="1">
        <f t="array" ref="AG89">_xlfn.ANCHORARRAY('Travel Time'!AH956)</f>
        <v>48009446.700484157</v>
      </c>
    </row>
    <row r="90" spans="2:33" ht="21.95" customHeight="1" x14ac:dyDescent="0.2">
      <c r="C90" t="str">
        <f t="shared" si="24"/>
        <v>NOx Emissions Savings</v>
      </c>
      <c r="D90" s="972"/>
      <c r="E90" s="973">
        <f>SUM(F90:AG90)</f>
        <v>5015220.535585749</v>
      </c>
      <c r="F90" s="972" cm="1">
        <f t="array" ref="F90">_xlfn.ANCHORARRAY(Emissions!G937)</f>
        <v>0</v>
      </c>
      <c r="G90" s="972" cm="1">
        <f t="array" ref="G90">_xlfn.ANCHORARRAY(Emissions!H937)</f>
        <v>0</v>
      </c>
      <c r="H90" s="972" cm="1">
        <f t="array" ref="H90">_xlfn.ANCHORARRAY(Emissions!I937)</f>
        <v>1698.9591460803058</v>
      </c>
      <c r="I90" s="972" cm="1">
        <f t="array" ref="I90">_xlfn.ANCHORARRAY(Emissions!J937)</f>
        <v>-8069.6977711147629</v>
      </c>
      <c r="J90" s="972" cm="1">
        <f t="array" ref="J90">_xlfn.ANCHORARRAY(Emissions!K937)</f>
        <v>179.67212039651349</v>
      </c>
      <c r="K90" s="972" cm="1">
        <f t="array" ref="K90">_xlfn.ANCHORARRAY(Emissions!L937)</f>
        <v>16195.467869196087</v>
      </c>
      <c r="L90" s="972" cm="1">
        <f t="array" ref="L90">_xlfn.ANCHORARRAY(Emissions!M937)</f>
        <v>32959.91135808453</v>
      </c>
      <c r="M90" s="972" cm="1">
        <f t="array" ref="M90">_xlfn.ANCHORARRAY(Emissions!N937)</f>
        <v>50182.428676490672</v>
      </c>
      <c r="N90" s="972" cm="1">
        <f t="array" ref="N90">_xlfn.ANCHORARRAY(Emissions!O937)</f>
        <v>68304.5113082272</v>
      </c>
      <c r="O90" s="972" cm="1">
        <f t="array" ref="O90">_xlfn.ANCHORARRAY(Emissions!P937)</f>
        <v>86716.247915962245</v>
      </c>
      <c r="P90" s="972" cm="1">
        <f t="array" ref="P90">_xlfn.ANCHORARRAY(Emissions!Q937)</f>
        <v>116790.14552037744</v>
      </c>
      <c r="Q90" s="972" cm="1">
        <f t="array" ref="Q90">_xlfn.ANCHORARRAY(Emissions!R937)</f>
        <v>147504.83848789334</v>
      </c>
      <c r="R90" s="972" cm="1">
        <f t="array" ref="R90">_xlfn.ANCHORARRAY(Emissions!S937)</f>
        <v>178216.18129715603</v>
      </c>
      <c r="S90" s="972" cm="1">
        <f t="array" ref="S90">_xlfn.ANCHORARRAY(Emissions!T937)</f>
        <v>208936.55869984766</v>
      </c>
      <c r="T90" s="972" cm="1">
        <f t="array" ref="T90">_xlfn.ANCHORARRAY(Emissions!U937)</f>
        <v>239654.12659705617</v>
      </c>
      <c r="U90" s="972" cm="1">
        <f t="array" ref="U90">_xlfn.ANCHORARRAY(Emissions!V937)</f>
        <v>261522.35588447936</v>
      </c>
      <c r="V90" s="972" cm="1">
        <f t="array" ref="V90">_xlfn.ANCHORARRAY(Emissions!W937)</f>
        <v>270731.02777549904</v>
      </c>
      <c r="W90" s="972" cm="1">
        <f t="array" ref="W90">_xlfn.ANCHORARRAY(Emissions!X937)</f>
        <v>277878.9562817961</v>
      </c>
      <c r="X90" s="972" cm="1">
        <f t="array" ref="X90">_xlfn.ANCHORARRAY(Emissions!Y937)</f>
        <v>285019.13927922398</v>
      </c>
      <c r="Y90" s="972" cm="1">
        <f t="array" ref="Y90">_xlfn.ANCHORARRAY(Emissions!Z937)</f>
        <v>292151.70702941902</v>
      </c>
      <c r="Z90" s="972" cm="1">
        <f t="array" ref="Z90">_xlfn.ANCHORARRAY(Emissions!AA937)</f>
        <v>296639.49318460096</v>
      </c>
      <c r="AA90" s="972" cm="1">
        <f t="array" ref="AA90">_xlfn.ANCHORARRAY(Emissions!AB937)</f>
        <v>300762.71947375312</v>
      </c>
      <c r="AB90" s="972" cm="1">
        <f t="array" ref="AB90">_xlfn.ANCHORARRAY(Emissions!AC937)</f>
        <v>304891.95053243544</v>
      </c>
      <c r="AC90" s="972" cm="1">
        <f t="array" ref="AC90">_xlfn.ANCHORARRAY(Emissions!AD937)</f>
        <v>309021.18159111496</v>
      </c>
      <c r="AD90" s="972" cm="1">
        <f t="array" ref="AD90">_xlfn.ANCHORARRAY(Emissions!AE937)</f>
        <v>313140.18748790771</v>
      </c>
      <c r="AE90" s="972" cm="1">
        <f t="array" ref="AE90">_xlfn.ANCHORARRAY(Emissions!AF937)</f>
        <v>317277.16405545548</v>
      </c>
      <c r="AF90" s="972" cm="1">
        <f t="array" ref="AF90">_xlfn.ANCHORARRAY(Emissions!AG937)</f>
        <v>321396.03774762806</v>
      </c>
      <c r="AG90" s="972" cm="1">
        <f t="array" ref="AG90">_xlfn.ANCHORARRAY(Emissions!AH937)</f>
        <v>325519.26403678209</v>
      </c>
    </row>
    <row r="91" spans="2:33" ht="21.95" customHeight="1" x14ac:dyDescent="0.2">
      <c r="C91" t="str">
        <f t="shared" si="24"/>
        <v>SOx Emissions Savings</v>
      </c>
      <c r="D91" s="972"/>
      <c r="E91" s="973">
        <f t="shared" ref="E91:E93" si="26">SUM(F91:AG91)</f>
        <v>18967.017172838561</v>
      </c>
      <c r="F91" s="972" cm="1">
        <f t="array" ref="F91">_xlfn.ANCHORARRAY(Emissions!G938)</f>
        <v>0</v>
      </c>
      <c r="G91" s="972" cm="1">
        <f t="array" ref="G91">_xlfn.ANCHORARRAY(Emissions!H938)</f>
        <v>0</v>
      </c>
      <c r="H91" s="972" cm="1">
        <f t="array" ref="H91">_xlfn.ANCHORARRAY(Emissions!I938)</f>
        <v>8.99730802600061</v>
      </c>
      <c r="I91" s="972" cm="1">
        <f t="array" ref="I91">_xlfn.ANCHORARRAY(Emissions!J938)</f>
        <v>-53.645895849071167</v>
      </c>
      <c r="J91" s="972" cm="1">
        <f t="array" ref="J91">_xlfn.ANCHORARRAY(Emissions!K938)</f>
        <v>-51.396539956340348</v>
      </c>
      <c r="K91" s="972" cm="1">
        <f t="array" ref="K91">_xlfn.ANCHORARRAY(Emissions!L938)</f>
        <v>-8.8615371818523272</v>
      </c>
      <c r="L91" s="972" cm="1">
        <f t="array" ref="L91">_xlfn.ANCHORARRAY(Emissions!M938)</f>
        <v>35.343180964258863</v>
      </c>
      <c r="M91" s="972" cm="1">
        <f t="array" ref="M91">_xlfn.ANCHORARRAY(Emissions!N938)</f>
        <v>81.074821072023042</v>
      </c>
      <c r="N91" s="972" cm="1">
        <f t="array" ref="N91">_xlfn.ANCHORARRAY(Emissions!O938)</f>
        <v>128.43746588708018</v>
      </c>
      <c r="O91" s="972" cm="1">
        <f t="array" ref="O91">_xlfn.ANCHORARRAY(Emissions!P938)</f>
        <v>177.47673131824922</v>
      </c>
      <c r="P91" s="972" cm="1">
        <f t="array" ref="P91">_xlfn.ANCHORARRAY(Emissions!Q938)</f>
        <v>325.88435053699322</v>
      </c>
      <c r="Q91" s="972" cm="1">
        <f t="array" ref="Q91">_xlfn.ANCHORARRAY(Emissions!R938)</f>
        <v>476.73756567059172</v>
      </c>
      <c r="R91" s="972" cm="1">
        <f t="array" ref="R91">_xlfn.ANCHORARRAY(Emissions!S938)</f>
        <v>627.57695733522269</v>
      </c>
      <c r="S91" s="972" cm="1">
        <f t="array" ref="S91">_xlfn.ANCHORARRAY(Emissions!T938)</f>
        <v>778.46074347985268</v>
      </c>
      <c r="T91" s="972" cm="1">
        <f t="array" ref="T91">_xlfn.ANCHORARRAY(Emissions!U938)</f>
        <v>929.34402544341356</v>
      </c>
      <c r="U91" s="972" cm="1">
        <f t="array" ref="U91">_xlfn.ANCHORARRAY(Emissions!V938)</f>
        <v>1033.2546721328727</v>
      </c>
      <c r="V91" s="972" cm="1">
        <f t="array" ref="V91">_xlfn.ANCHORARRAY(Emissions!W938)</f>
        <v>1071.8004617328988</v>
      </c>
      <c r="W91" s="972" cm="1">
        <f t="array" ref="W91">_xlfn.ANCHORARRAY(Emissions!X938)</f>
        <v>1102.4560353871639</v>
      </c>
      <c r="X91" s="972" cm="1">
        <f t="array" ref="X91">_xlfn.ANCHORARRAY(Emissions!Y938)</f>
        <v>1133.0819419537183</v>
      </c>
      <c r="Y91" s="972" cm="1">
        <f t="array" ref="Y91">_xlfn.ANCHORARRAY(Emissions!Z938)</f>
        <v>1163.6718631983094</v>
      </c>
      <c r="Z91" s="972" cm="1">
        <f t="array" ref="Z91">_xlfn.ANCHORARRAY(Emissions!AA938)</f>
        <v>1184.138477312601</v>
      </c>
      <c r="AA91" s="972" cm="1">
        <f t="array" ref="AA91">_xlfn.ANCHORARRAY(Emissions!AB938)</f>
        <v>1203.2054516176722</v>
      </c>
      <c r="AB91" s="972" cm="1">
        <f t="array" ref="AB91">_xlfn.ANCHORARRAY(Emissions!AC938)</f>
        <v>1222.298716907404</v>
      </c>
      <c r="AC91" s="972" cm="1">
        <f t="array" ref="AC91">_xlfn.ANCHORARRAY(Emissions!AD938)</f>
        <v>1241.3919821971358</v>
      </c>
      <c r="AD91" s="972" cm="1">
        <f t="array" ref="AD91">_xlfn.ANCHORARRAY(Emissions!AE938)</f>
        <v>1260.4363584617131</v>
      </c>
      <c r="AE91" s="972" cm="1">
        <f t="array" ref="AE91">_xlfn.ANCHORARRAY(Emissions!AF938)</f>
        <v>1279.5592908391591</v>
      </c>
      <c r="AF91" s="972" cm="1">
        <f t="array" ref="AF91">_xlfn.ANCHORARRAY(Emissions!AG938)</f>
        <v>1298.6128850232162</v>
      </c>
      <c r="AG91" s="972" cm="1">
        <f t="array" ref="AG91">_xlfn.ANCHORARRAY(Emissions!AH938)</f>
        <v>1317.6798593282729</v>
      </c>
    </row>
    <row r="92" spans="2:33" ht="21.95" customHeight="1" x14ac:dyDescent="0.2">
      <c r="C92" t="str">
        <f t="shared" si="24"/>
        <v>PM2.5 Emissions Savings</v>
      </c>
      <c r="D92" s="972"/>
      <c r="E92" s="973">
        <f t="shared" si="26"/>
        <v>7466742.7614035932</v>
      </c>
      <c r="F92" s="972" cm="1">
        <f t="array" ref="F92">_xlfn.ANCHORARRAY(Emissions!G939)</f>
        <v>0</v>
      </c>
      <c r="G92" s="972" cm="1">
        <f t="array" ref="G92">_xlfn.ANCHORARRAY(Emissions!H939)</f>
        <v>0</v>
      </c>
      <c r="H92" s="972" cm="1">
        <f t="array" ref="H92">_xlfn.ANCHORARRAY(Emissions!I939)</f>
        <v>2639.7370641003363</v>
      </c>
      <c r="I92" s="972" cm="1">
        <f t="array" ref="I92">_xlfn.ANCHORARRAY(Emissions!J939)</f>
        <v>-12999.222065276466</v>
      </c>
      <c r="J92" s="972" cm="1">
        <f t="array" ref="J92">_xlfn.ANCHORARRAY(Emissions!K939)</f>
        <v>-1667.8076284425333</v>
      </c>
      <c r="K92" s="972" cm="1">
        <f t="array" ref="K92">_xlfn.ANCHORARRAY(Emissions!L939)</f>
        <v>21828.77214413695</v>
      </c>
      <c r="L92" s="972" cm="1">
        <f t="array" ref="L92">_xlfn.ANCHORARRAY(Emissions!M939)</f>
        <v>46092.646897073835</v>
      </c>
      <c r="M92" s="972" cm="1">
        <f t="array" ref="M92">_xlfn.ANCHORARRAY(Emissions!N939)</f>
        <v>71130.195757858455</v>
      </c>
      <c r="N92" s="972" cm="1">
        <f t="array" ref="N92">_xlfn.ANCHORARRAY(Emissions!O939)</f>
        <v>96925.734565638937</v>
      </c>
      <c r="O92" s="972" cm="1">
        <f t="array" ref="O92">_xlfn.ANCHORARRAY(Emissions!P939)</f>
        <v>123544.94591909274</v>
      </c>
      <c r="P92" s="972" cm="1">
        <f t="array" ref="P92">_xlfn.ANCHORARRAY(Emissions!Q939)</f>
        <v>169591.02193024289</v>
      </c>
      <c r="Q92" s="972" cm="1">
        <f t="array" ref="Q92">_xlfn.ANCHORARRAY(Emissions!R939)</f>
        <v>216591.82060491759</v>
      </c>
      <c r="R92" s="972" cm="1">
        <f t="array" ref="R92">_xlfn.ANCHORARRAY(Emissions!S939)</f>
        <v>263587.58964703232</v>
      </c>
      <c r="S92" s="972" cm="1">
        <f t="array" ref="S92">_xlfn.ANCHORARRAY(Emissions!T939)</f>
        <v>310597.18456779979</v>
      </c>
      <c r="T92" s="972" cm="1">
        <f t="array" ref="T92">_xlfn.ANCHORARRAY(Emissions!U939)</f>
        <v>357602.97002548724</v>
      </c>
      <c r="U92" s="972" cm="1">
        <f t="array" ref="U92">_xlfn.ANCHORARRAY(Emissions!V939)</f>
        <v>390937.86748038698</v>
      </c>
      <c r="V92" s="972" cm="1">
        <f t="array" ref="V92">_xlfn.ANCHORARRAY(Emissions!W939)</f>
        <v>404783.17493082024</v>
      </c>
      <c r="W92" s="972" cm="1">
        <f t="array" ref="W92">_xlfn.ANCHORARRAY(Emissions!X939)</f>
        <v>415557.24026328605</v>
      </c>
      <c r="X92" s="972" cm="1">
        <f t="array" ref="X92">_xlfn.ANCHORARRAY(Emissions!Y939)</f>
        <v>426319.76162442286</v>
      </c>
      <c r="Y92" s="972" cm="1">
        <f t="array" ref="Y92">_xlfn.ANCHORARRAY(Emissions!Z939)</f>
        <v>437070.68202333711</v>
      </c>
      <c r="Z92" s="972" cm="1">
        <f t="array" ref="Z92">_xlfn.ANCHORARRAY(Emissions!AA939)</f>
        <v>443880.04890056048</v>
      </c>
      <c r="AA92" s="972" cm="1">
        <f t="array" ref="AA92">_xlfn.ANCHORARRAY(Emissions!AB939)</f>
        <v>450145.95145045966</v>
      </c>
      <c r="AB92" s="972" cm="1">
        <f t="array" ref="AB92">_xlfn.ANCHORARRAY(Emissions!AC939)</f>
        <v>456420.92480674479</v>
      </c>
      <c r="AC92" s="972" cm="1">
        <f t="array" ref="AC92">_xlfn.ANCHORARRAY(Emissions!AD939)</f>
        <v>462695.89816302713</v>
      </c>
      <c r="AD92" s="972" cm="1">
        <f t="array" ref="AD92">_xlfn.ANCHORARRAY(Emissions!AE939)</f>
        <v>468955.27362431772</v>
      </c>
      <c r="AE92" s="972" cm="1">
        <f t="array" ref="AE92">_xlfn.ANCHORARRAY(Emissions!AF939)</f>
        <v>475241.79095193557</v>
      </c>
      <c r="AF92" s="972" cm="1">
        <f t="array" ref="AF92">_xlfn.ANCHORARRAY(Emissions!AG939)</f>
        <v>481501.32760236692</v>
      </c>
      <c r="AG92" s="972" cm="1">
        <f t="array" ref="AG92">_xlfn.ANCHORARRAY(Emissions!AH939)</f>
        <v>487767.2301522661</v>
      </c>
    </row>
    <row r="93" spans="2:33" ht="21.95" customHeight="1" x14ac:dyDescent="0.2">
      <c r="C93" t="str">
        <f t="shared" si="24"/>
        <v>CO2 Emissions Savings</v>
      </c>
      <c r="D93" s="972"/>
      <c r="E93" s="973">
        <f t="shared" si="26"/>
        <v>143335508.77020645</v>
      </c>
      <c r="F93" s="972" cm="1">
        <f t="array" ref="F93">_xlfn.ANCHORARRAY(Emissions!G940)</f>
        <v>0</v>
      </c>
      <c r="G93" s="972" cm="1">
        <f t="array" ref="G93">_xlfn.ANCHORARRAY(Emissions!H940)</f>
        <v>0</v>
      </c>
      <c r="H93" s="972" cm="1">
        <f t="array" ref="H93">_xlfn.ANCHORARRAY(Emissions!I940)</f>
        <v>53390.942764796317</v>
      </c>
      <c r="I93" s="972" cm="1">
        <f t="array" ref="I93">_xlfn.ANCHORARRAY(Emissions!J940)</f>
        <v>-306700.00614570081</v>
      </c>
      <c r="J93" s="972" cm="1">
        <f t="array" ref="J93">_xlfn.ANCHORARRAY(Emissions!K940)</f>
        <v>-249767.77533909678</v>
      </c>
      <c r="K93" s="972" cm="1">
        <f t="array" ref="K93">_xlfn.ANCHORARRAY(Emissions!L940)</f>
        <v>46340.298397377133</v>
      </c>
      <c r="L93" s="972" cm="1">
        <f t="array" ref="L93">_xlfn.ANCHORARRAY(Emissions!M940)</f>
        <v>352695.20739772916</v>
      </c>
      <c r="M93" s="972" cm="1">
        <f t="array" ref="M93">_xlfn.ANCHORARRAY(Emissions!N940)</f>
        <v>669320.96106395125</v>
      </c>
      <c r="N93" s="972" cm="1">
        <f t="array" ref="N93">_xlfn.ANCHORARRAY(Emissions!O940)</f>
        <v>995474.95758986473</v>
      </c>
      <c r="O93" s="972" cm="1">
        <f t="array" ref="O93">_xlfn.ANCHORARRAY(Emissions!P940)</f>
        <v>1352723.4476284385</v>
      </c>
      <c r="P93" s="972" cm="1">
        <f t="array" ref="P93">_xlfn.ANCHORARRAY(Emissions!Q940)</f>
        <v>2283278.111489296</v>
      </c>
      <c r="Q93" s="972" cm="1">
        <f t="array" ref="Q93">_xlfn.ANCHORARRAY(Emissions!R940)</f>
        <v>3257449.0162433833</v>
      </c>
      <c r="R93" s="972" cm="1">
        <f t="array" ref="R93">_xlfn.ANCHORARRAY(Emissions!S940)</f>
        <v>4259576.4705796242</v>
      </c>
      <c r="S93" s="972" cm="1">
        <f t="array" ref="S93">_xlfn.ANCHORARRAY(Emissions!T940)</f>
        <v>5290033.0367970467</v>
      </c>
      <c r="T93" s="972" cm="1">
        <f t="array" ref="T93">_xlfn.ANCHORARRAY(Emissions!U940)</f>
        <v>6348522.7966642231</v>
      </c>
      <c r="U93" s="972" cm="1">
        <f t="array" ref="U93">_xlfn.ANCHORARRAY(Emissions!V940)</f>
        <v>7229772.616597265</v>
      </c>
      <c r="V93" s="972" cm="1">
        <f t="array" ref="V93">_xlfn.ANCHORARRAY(Emissions!W940)</f>
        <v>7600232.7231676579</v>
      </c>
      <c r="W93" s="972" cm="1">
        <f t="array" ref="W93">_xlfn.ANCHORARRAY(Emissions!X940)</f>
        <v>7920947.4421337545</v>
      </c>
      <c r="X93" s="972" cm="1">
        <f t="array" ref="X93">_xlfn.ANCHORARRAY(Emissions!Y940)</f>
        <v>8247298.5221145153</v>
      </c>
      <c r="Y93" s="972" cm="1">
        <f t="array" ref="Y93">_xlfn.ANCHORARRAY(Emissions!Z940)</f>
        <v>8579241.7946892083</v>
      </c>
      <c r="Z93" s="972" cm="1">
        <f t="array" ref="Z93">_xlfn.ANCHORARRAY(Emissions!AA940)</f>
        <v>8955546.9222145379</v>
      </c>
      <c r="AA93" s="972" cm="1">
        <f t="array" ref="AA93">_xlfn.ANCHORARRAY(Emissions!AB940)</f>
        <v>9212012.2378009558</v>
      </c>
      <c r="AB93" s="972" cm="1">
        <f t="array" ref="AB93">_xlfn.ANCHORARRAY(Emissions!AC940)</f>
        <v>9472263.6140813529</v>
      </c>
      <c r="AC93" s="972" cm="1">
        <f t="array" ref="AC93">_xlfn.ANCHORARRAY(Emissions!AD940)</f>
        <v>9736106.08102265</v>
      </c>
      <c r="AD93" s="972" cm="1">
        <f t="array" ref="AD93">_xlfn.ANCHORARRAY(Emissions!AE940)</f>
        <v>10003165.070866972</v>
      </c>
      <c r="AE93" s="972" cm="1">
        <f t="array" ref="AE93">_xlfn.ANCHORARRAY(Emissions!AF940)</f>
        <v>10398214.389485389</v>
      </c>
      <c r="AF93" s="972" cm="1">
        <f t="array" ref="AF93">_xlfn.ANCHORARRAY(Emissions!AG940)</f>
        <v>10674294.014928073</v>
      </c>
      <c r="AG93" s="972" cm="1">
        <f t="array" ref="AG93">_xlfn.ANCHORARRAY(Emissions!AH940)</f>
        <v>10954075.875973195</v>
      </c>
    </row>
    <row r="94" spans="2:33" ht="21.95" customHeight="1" x14ac:dyDescent="0.2">
      <c r="C94" t="s">
        <v>214</v>
      </c>
      <c r="D94" s="972"/>
      <c r="E94" s="974">
        <f>SUM(F94:AG94)</f>
        <v>5572508.9341382999</v>
      </c>
      <c r="F94" s="972" cm="1">
        <f t="array" ref="F94">_xlfn.ANCHORARRAY('O&amp;M'!D23)</f>
        <v>0</v>
      </c>
      <c r="G94" s="972" cm="1">
        <f t="array" ref="G94">_xlfn.ANCHORARRAY('O&amp;M'!E23)</f>
        <v>0</v>
      </c>
      <c r="H94" s="972" cm="1">
        <f t="array" ref="H94">_xlfn.ANCHORARRAY('O&amp;M'!F23)</f>
        <v>0</v>
      </c>
      <c r="I94" s="972" cm="1">
        <f t="array" ref="I94">_xlfn.ANCHORARRAY('O&amp;M'!G23)</f>
        <v>0</v>
      </c>
      <c r="J94" s="972" cm="1">
        <f t="array" ref="J94">_xlfn.ANCHORARRAY('O&amp;M'!H23)</f>
        <v>2263971.851761736</v>
      </c>
      <c r="K94" s="972" cm="1">
        <f t="array" ref="K94">_xlfn.ANCHORARRAY('O&amp;M'!I23)</f>
        <v>0</v>
      </c>
      <c r="L94" s="972" cm="1">
        <f t="array" ref="L94">_xlfn.ANCHORARRAY('O&amp;M'!J23)</f>
        <v>0</v>
      </c>
      <c r="M94" s="972" cm="1">
        <f t="array" ref="M94">_xlfn.ANCHORARRAY('O&amp;M'!K23)</f>
        <v>-8966.2251554920222</v>
      </c>
      <c r="N94" s="972" cm="1">
        <f t="array" ref="N94">_xlfn.ANCHORARRAY('O&amp;M'!L23)</f>
        <v>-8966.2251554920222</v>
      </c>
      <c r="O94" s="972" cm="1">
        <f t="array" ref="O94">_xlfn.ANCHORARRAY('O&amp;M'!M23)</f>
        <v>-165875.16537660244</v>
      </c>
      <c r="P94" s="972" cm="1">
        <f t="array" ref="P94">_xlfn.ANCHORARRAY('O&amp;M'!N23)</f>
        <v>-8966.2251554920222</v>
      </c>
      <c r="Q94" s="972" cm="1">
        <f t="array" ref="Q94">_xlfn.ANCHORARRAY('O&amp;M'!O23)</f>
        <v>-8966.2251554920222</v>
      </c>
      <c r="R94" s="972" cm="1">
        <f t="array" ref="R94">_xlfn.ANCHORARRAY('O&amp;M'!P23)</f>
        <v>-8966.2251554920222</v>
      </c>
      <c r="S94" s="972" cm="1">
        <f t="array" ref="S94">_xlfn.ANCHORARRAY('O&amp;M'!Q23)</f>
        <v>-8966.2251554920222</v>
      </c>
      <c r="T94" s="972" cm="1">
        <f t="array" ref="T94">_xlfn.ANCHORARRAY('O&amp;M'!R23)</f>
        <v>7253676.1507930476</v>
      </c>
      <c r="U94" s="972" cm="1">
        <f t="array" ref="U94">_xlfn.ANCHORARRAY('O&amp;M'!S23)</f>
        <v>-8966.2251554920222</v>
      </c>
      <c r="V94" s="972" cm="1">
        <f t="array" ref="V94">_xlfn.ANCHORARRAY('O&amp;M'!T23)</f>
        <v>-8966.2251554920222</v>
      </c>
      <c r="W94" s="972" cm="1">
        <f t="array" ref="W94">_xlfn.ANCHORARRAY('O&amp;M'!U23)</f>
        <v>-8966.2251554920222</v>
      </c>
      <c r="X94" s="972" cm="1">
        <f t="array" ref="X94">_xlfn.ANCHORARRAY('O&amp;M'!V23)</f>
        <v>-8966.2251554920222</v>
      </c>
      <c r="Y94" s="972" cm="1">
        <f t="array" ref="Y94">_xlfn.ANCHORARRAY('O&amp;M'!W23)</f>
        <v>-165875.16537660244</v>
      </c>
      <c r="Z94" s="972" cm="1">
        <f t="array" ref="Z94">_xlfn.ANCHORARRAY('O&amp;M'!X23)</f>
        <v>-8966.2251554920222</v>
      </c>
      <c r="AA94" s="972" cm="1">
        <f t="array" ref="AA94">_xlfn.ANCHORARRAY('O&amp;M'!Y23)</f>
        <v>-8966.2251554920222</v>
      </c>
      <c r="AB94" s="972" cm="1">
        <f t="array" ref="AB94">_xlfn.ANCHORARRAY('O&amp;M'!Z23)</f>
        <v>-8966.2251554920222</v>
      </c>
      <c r="AC94" s="972" cm="1">
        <f t="array" ref="AC94">_xlfn.ANCHORARRAY('O&amp;M'!AA23)</f>
        <v>-8966.2251554920222</v>
      </c>
      <c r="AD94" s="972" cm="1">
        <f t="array" ref="AD94">_xlfn.ANCHORARRAY('O&amp;M'!AB23)</f>
        <v>-972835.42937088432</v>
      </c>
      <c r="AE94" s="972" cm="1">
        <f t="array" ref="AE94">_xlfn.ANCHORARRAY('O&amp;M'!AC23)</f>
        <v>-2497093.7058045282</v>
      </c>
      <c r="AF94" s="972" cm="1">
        <f t="array" ref="AF94">_xlfn.ANCHORARRAY('O&amp;M'!AD23)</f>
        <v>-8966.2251554920222</v>
      </c>
      <c r="AG94" s="972" cm="1">
        <f t="array" ref="AG94">_xlfn.ANCHORARRAY('O&amp;M'!AE23)</f>
        <v>-8966.2251554920222</v>
      </c>
    </row>
    <row r="95" spans="2:33" ht="21.95" customHeight="1" x14ac:dyDescent="0.2">
      <c r="C95" s="45" t="str">
        <f>C82</f>
        <v>Residual Value of Assets</v>
      </c>
      <c r="D95" s="252"/>
      <c r="E95" s="1000">
        <f t="shared" ref="E95" si="27">SUM(_xlfn.ANCHORARRAY(F95))</f>
        <v>28475535.597155269</v>
      </c>
      <c r="F95" s="252" cm="1">
        <f t="array" ref="F95:AG95">_xlfn.ANCHORARRAY('Residual Value'!E42)</f>
        <v>0</v>
      </c>
      <c r="G95" s="252">
        <v>0</v>
      </c>
      <c r="H95" s="252">
        <v>0</v>
      </c>
      <c r="I95" s="252">
        <v>0</v>
      </c>
      <c r="J95" s="252">
        <v>0</v>
      </c>
      <c r="K95" s="252">
        <v>0</v>
      </c>
      <c r="L95" s="252">
        <v>0</v>
      </c>
      <c r="M95" s="252">
        <v>0</v>
      </c>
      <c r="N95" s="252">
        <v>0</v>
      </c>
      <c r="O95" s="252">
        <v>0</v>
      </c>
      <c r="P95" s="252">
        <v>0</v>
      </c>
      <c r="Q95" s="252">
        <v>0</v>
      </c>
      <c r="R95" s="252">
        <v>0</v>
      </c>
      <c r="S95" s="252">
        <v>0</v>
      </c>
      <c r="T95" s="252">
        <v>0</v>
      </c>
      <c r="U95" s="252">
        <v>0</v>
      </c>
      <c r="V95" s="252">
        <v>0</v>
      </c>
      <c r="W95" s="252">
        <v>0</v>
      </c>
      <c r="X95" s="252">
        <v>0</v>
      </c>
      <c r="Y95" s="252">
        <v>0</v>
      </c>
      <c r="Z95" s="252">
        <v>0</v>
      </c>
      <c r="AA95" s="252">
        <v>0</v>
      </c>
      <c r="AB95" s="252">
        <v>0</v>
      </c>
      <c r="AC95" s="252">
        <v>0</v>
      </c>
      <c r="AD95" s="252">
        <v>0</v>
      </c>
      <c r="AE95">
        <v>0</v>
      </c>
      <c r="AF95">
        <v>0</v>
      </c>
      <c r="AG95">
        <v>28475535.597155269</v>
      </c>
    </row>
    <row r="96" spans="2:33" ht="21.95" customHeight="1" x14ac:dyDescent="0.2">
      <c r="C96" s="1" t="s">
        <v>52</v>
      </c>
      <c r="D96" s="25"/>
      <c r="E96" s="115">
        <f>SUM(F96:AG96)</f>
        <v>1101313876.6882324</v>
      </c>
      <c r="F96" s="25">
        <f>SUM(F88:F95)</f>
        <v>0</v>
      </c>
      <c r="G96" s="25">
        <f t="shared" ref="G96:AG96" si="28">SUM(G88:G95)</f>
        <v>0</v>
      </c>
      <c r="H96" s="25">
        <f t="shared" si="28"/>
        <v>94562.492892243143</v>
      </c>
      <c r="I96" s="25">
        <f t="shared" si="28"/>
        <v>192410.00185093319</v>
      </c>
      <c r="J96" s="25">
        <f t="shared" si="28"/>
        <v>2025153.5871821488</v>
      </c>
      <c r="K96" s="25">
        <f t="shared" si="28"/>
        <v>941019.96951083175</v>
      </c>
      <c r="L96" s="25">
        <f t="shared" si="28"/>
        <v>2411655.4927242869</v>
      </c>
      <c r="M96" s="25">
        <f t="shared" si="28"/>
        <v>5216559.9535572026</v>
      </c>
      <c r="N96" s="25">
        <f t="shared" si="28"/>
        <v>15953191.937167041</v>
      </c>
      <c r="O96" s="25">
        <f t="shared" si="28"/>
        <v>18986943.738712061</v>
      </c>
      <c r="P96" s="25">
        <f t="shared" si="28"/>
        <v>25059590.605193924</v>
      </c>
      <c r="Q96" s="25">
        <f t="shared" si="28"/>
        <v>31671769.347691175</v>
      </c>
      <c r="R96" s="25">
        <f t="shared" si="28"/>
        <v>38901525.276720732</v>
      </c>
      <c r="S96" s="25">
        <f t="shared" si="28"/>
        <v>43042847.859606214</v>
      </c>
      <c r="T96" s="25">
        <f t="shared" si="28"/>
        <v>55002571.787803911</v>
      </c>
      <c r="U96" s="25">
        <f t="shared" si="28"/>
        <v>50209365.452696145</v>
      </c>
      <c r="V96" s="25">
        <f t="shared" si="28"/>
        <v>51045703.860686786</v>
      </c>
      <c r="W96" s="25">
        <f t="shared" si="28"/>
        <v>52127552.790899374</v>
      </c>
      <c r="X96" s="25">
        <f t="shared" si="28"/>
        <v>54138320.691630892</v>
      </c>
      <c r="Y96" s="25">
        <f t="shared" si="28"/>
        <v>56166201.131404072</v>
      </c>
      <c r="Z96" s="25">
        <f t="shared" si="28"/>
        <v>58677447.790570214</v>
      </c>
      <c r="AA96" s="25">
        <f t="shared" si="28"/>
        <v>61143733.583852299</v>
      </c>
      <c r="AB96" s="25">
        <f t="shared" si="28"/>
        <v>64270527.845815383</v>
      </c>
      <c r="AC96" s="25">
        <f t="shared" si="28"/>
        <v>67882429.062069431</v>
      </c>
      <c r="AD96" s="25">
        <f t="shared" si="28"/>
        <v>71086684.926858723</v>
      </c>
      <c r="AE96" s="25">
        <f t="shared" si="28"/>
        <v>74533762.030400306</v>
      </c>
      <c r="AF96" s="25">
        <f t="shared" si="28"/>
        <v>82691761.383210927</v>
      </c>
      <c r="AG96" s="25">
        <f t="shared" si="28"/>
        <v>117840584.0875252</v>
      </c>
    </row>
    <row r="97" spans="1:33" ht="21.95" customHeight="1" x14ac:dyDescent="0.2">
      <c r="C97" s="1024" t="str">
        <f>C84</f>
        <v>Capital Costs</v>
      </c>
      <c r="D97" s="1025"/>
      <c r="E97" s="1026">
        <f>SUM(F97:AG97)</f>
        <v>101201783.33003847</v>
      </c>
      <c r="F97" s="1025" cm="1">
        <f t="array" ref="F97">_xlfn.ANCHORARRAY('Project Costs'!D111)</f>
        <v>0</v>
      </c>
      <c r="G97" s="1025" cm="1">
        <f t="array" ref="G97">_xlfn.ANCHORARRAY('Project Costs'!E111)</f>
        <v>2503295.3448704104</v>
      </c>
      <c r="H97" s="1025" cm="1">
        <f t="array" ref="H97">_xlfn.ANCHORARRAY('Project Costs'!F111)</f>
        <v>5454124.8746686131</v>
      </c>
      <c r="I97" s="1025" cm="1">
        <f t="array" ref="I97">_xlfn.ANCHORARRAY('Project Costs'!G111)</f>
        <v>4294567.8064346071</v>
      </c>
      <c r="J97" s="1025" cm="1">
        <f t="array" ref="J97">_xlfn.ANCHORARRAY('Project Costs'!H111)</f>
        <v>33176781.489225805</v>
      </c>
      <c r="K97" s="1025" cm="1">
        <f t="array" ref="K97">_xlfn.ANCHORARRAY('Project Costs'!I111)</f>
        <v>33176781.489225805</v>
      </c>
      <c r="L97" s="1025" cm="1">
        <f t="array" ref="L97">_xlfn.ANCHORARRAY('Project Costs'!J111)</f>
        <v>15919532.763576085</v>
      </c>
      <c r="M97" s="1025" cm="1">
        <f t="array" ref="M97">_xlfn.ANCHORARRAY('Project Costs'!K111)</f>
        <v>6676699.5620371355</v>
      </c>
      <c r="N97" s="1025" cm="1">
        <f t="array" ref="N97">_xlfn.ANCHORARRAY('Project Costs'!L111)</f>
        <v>0</v>
      </c>
      <c r="O97" s="1025" cm="1">
        <f t="array" ref="O97">_xlfn.ANCHORARRAY('Project Costs'!M111)</f>
        <v>0</v>
      </c>
      <c r="P97" s="1025" cm="1">
        <f t="array" ref="P97">_xlfn.ANCHORARRAY('Project Costs'!N111)</f>
        <v>0</v>
      </c>
      <c r="Q97" s="1025" cm="1">
        <f t="array" ref="Q97">_xlfn.ANCHORARRAY('Project Costs'!O111)</f>
        <v>0</v>
      </c>
      <c r="R97" s="1025" cm="1">
        <f t="array" ref="R97">_xlfn.ANCHORARRAY('Project Costs'!P111)</f>
        <v>0</v>
      </c>
      <c r="S97" s="1025" cm="1">
        <f t="array" ref="S97">_xlfn.ANCHORARRAY('Project Costs'!Q111)</f>
        <v>0</v>
      </c>
      <c r="T97" s="1025" cm="1">
        <f t="array" ref="T97">_xlfn.ANCHORARRAY('Project Costs'!R111)</f>
        <v>0</v>
      </c>
      <c r="U97" s="1025" cm="1">
        <f t="array" ref="U97">_xlfn.ANCHORARRAY('Project Costs'!S111)</f>
        <v>0</v>
      </c>
      <c r="V97" s="1025" cm="1">
        <f t="array" ref="V97">_xlfn.ANCHORARRAY('Project Costs'!T111)</f>
        <v>0</v>
      </c>
      <c r="W97" s="1025" cm="1">
        <f t="array" ref="W97">_xlfn.ANCHORARRAY('Project Costs'!U111)</f>
        <v>0</v>
      </c>
      <c r="X97" s="1025" cm="1">
        <f t="array" ref="X97">_xlfn.ANCHORARRAY('Project Costs'!V111)</f>
        <v>0</v>
      </c>
      <c r="Y97" s="1025" cm="1">
        <f t="array" ref="Y97">_xlfn.ANCHORARRAY('Project Costs'!W111)</f>
        <v>0</v>
      </c>
      <c r="Z97" s="1025" cm="1">
        <f t="array" ref="Z97">_xlfn.ANCHORARRAY('Project Costs'!X111)</f>
        <v>0</v>
      </c>
      <c r="AA97" s="1025" cm="1">
        <f t="array" ref="AA97">_xlfn.ANCHORARRAY('Project Costs'!Y111)</f>
        <v>0</v>
      </c>
      <c r="AB97" s="1025" cm="1">
        <f t="array" ref="AB97">_xlfn.ANCHORARRAY('Project Costs'!Z111)</f>
        <v>0</v>
      </c>
      <c r="AC97" s="1025" cm="1">
        <f t="array" ref="AC97">_xlfn.ANCHORARRAY('Project Costs'!AA111)</f>
        <v>0</v>
      </c>
      <c r="AD97" s="1025" cm="1">
        <f t="array" ref="AD97">_xlfn.ANCHORARRAY('Project Costs'!AB111)</f>
        <v>0</v>
      </c>
      <c r="AE97" s="1025" cm="1">
        <f t="array" ref="AE97">_xlfn.ANCHORARRAY('Project Costs'!AC111)</f>
        <v>0</v>
      </c>
      <c r="AF97" s="1025" cm="1">
        <f t="array" ref="AF97">_xlfn.ANCHORARRAY('Project Costs'!AD111)</f>
        <v>0</v>
      </c>
      <c r="AG97" s="1025" cm="1">
        <f t="array" ref="AG97">_xlfn.ANCHORARRAY('Project Costs'!AE111)</f>
        <v>0</v>
      </c>
    </row>
    <row r="98" spans="1:33" ht="21.95" customHeight="1" x14ac:dyDescent="0.2">
      <c r="C98" s="1" t="s">
        <v>54</v>
      </c>
      <c r="D98" s="25"/>
      <c r="E98" s="115">
        <f>SUM(F98:AG98)</f>
        <v>1000112093.358194</v>
      </c>
      <c r="F98" s="25" cm="1">
        <f t="array" ref="F98">_xlfn.ANCHORARRAY(F96) -_xlfn.ANCHORARRAY( F97)</f>
        <v>0</v>
      </c>
      <c r="G98" s="1006" cm="1">
        <f t="array" ref="G98">_xlfn.ANCHORARRAY(G96) -_xlfn.ANCHORARRAY( G97)</f>
        <v>-2503295.3448704104</v>
      </c>
      <c r="H98" s="1006" cm="1">
        <f t="array" ref="H98">_xlfn.ANCHORARRAY(H96) -_xlfn.ANCHORARRAY( H97)</f>
        <v>-5359562.3817763701</v>
      </c>
      <c r="I98" s="1006" cm="1">
        <f t="array" ref="I98">_xlfn.ANCHORARRAY(I96) -_xlfn.ANCHORARRAY( I97)</f>
        <v>-4102157.8045836738</v>
      </c>
      <c r="J98" s="1006" cm="1">
        <f t="array" ref="J98">_xlfn.ANCHORARRAY(J96) -_xlfn.ANCHORARRAY( J97)</f>
        <v>-31151627.902043656</v>
      </c>
      <c r="K98" s="1006" cm="1">
        <f t="array" ref="K98">_xlfn.ANCHORARRAY(K96) -_xlfn.ANCHORARRAY( K97)</f>
        <v>-32235761.519714974</v>
      </c>
      <c r="L98" s="1006" cm="1">
        <f t="array" ref="L98">_xlfn.ANCHORARRAY(L96) -_xlfn.ANCHORARRAY( L97)</f>
        <v>-13507877.270851798</v>
      </c>
      <c r="M98" s="1006" cm="1">
        <f t="array" ref="M98">_xlfn.ANCHORARRAY(M96) -_xlfn.ANCHORARRAY( M97)</f>
        <v>-1460139.6084799329</v>
      </c>
      <c r="N98" s="1006" cm="1">
        <f t="array" ref="N98">_xlfn.ANCHORARRAY(N96) -_xlfn.ANCHORARRAY( N97)</f>
        <v>15953191.937167041</v>
      </c>
      <c r="O98" s="1006" cm="1">
        <f t="array" ref="O98">_xlfn.ANCHORARRAY(O96) -_xlfn.ANCHORARRAY( O97)</f>
        <v>18986943.738712061</v>
      </c>
      <c r="P98" s="1006" cm="1">
        <f t="array" ref="P98">_xlfn.ANCHORARRAY(P96) -_xlfn.ANCHORARRAY( P97)</f>
        <v>25059590.605193924</v>
      </c>
      <c r="Q98" s="1006" cm="1">
        <f t="array" ref="Q98">_xlfn.ANCHORARRAY(Q96) -_xlfn.ANCHORARRAY( Q97)</f>
        <v>31671769.347691175</v>
      </c>
      <c r="R98" s="1006" cm="1">
        <f t="array" ref="R98">_xlfn.ANCHORARRAY(R96) -_xlfn.ANCHORARRAY( R97)</f>
        <v>38901525.276720732</v>
      </c>
      <c r="S98" s="1006" cm="1">
        <f t="array" ref="S98">_xlfn.ANCHORARRAY(S96) -_xlfn.ANCHORARRAY( S97)</f>
        <v>43042847.859606214</v>
      </c>
      <c r="T98" s="1006" cm="1">
        <f t="array" ref="T98">_xlfn.ANCHORARRAY(T96) -_xlfn.ANCHORARRAY( T97)</f>
        <v>55002571.787803911</v>
      </c>
      <c r="U98" s="1006" cm="1">
        <f t="array" ref="U98">_xlfn.ANCHORARRAY(U96) -_xlfn.ANCHORARRAY( U97)</f>
        <v>50209365.452696145</v>
      </c>
      <c r="V98" s="1006" cm="1">
        <f t="array" ref="V98">_xlfn.ANCHORARRAY(V96) -_xlfn.ANCHORARRAY( V97)</f>
        <v>51045703.860686786</v>
      </c>
      <c r="W98" s="1006" cm="1">
        <f t="array" ref="W98">_xlfn.ANCHORARRAY(W96) -_xlfn.ANCHORARRAY( W97)</f>
        <v>52127552.790899374</v>
      </c>
      <c r="X98" s="1006" cm="1">
        <f t="array" ref="X98">_xlfn.ANCHORARRAY(X96) -_xlfn.ANCHORARRAY( X97)</f>
        <v>54138320.691630892</v>
      </c>
      <c r="Y98" s="1006" cm="1">
        <f t="array" ref="Y98">_xlfn.ANCHORARRAY(Y96) -_xlfn.ANCHORARRAY( Y97)</f>
        <v>56166201.131404072</v>
      </c>
      <c r="Z98" s="1006" cm="1">
        <f t="array" ref="Z98">_xlfn.ANCHORARRAY(Z96) -_xlfn.ANCHORARRAY( Z97)</f>
        <v>58677447.790570214</v>
      </c>
      <c r="AA98" s="1006" cm="1">
        <f t="array" ref="AA98">_xlfn.ANCHORARRAY(AA96) -_xlfn.ANCHORARRAY( AA97)</f>
        <v>61143733.583852299</v>
      </c>
      <c r="AB98" s="1006" cm="1">
        <f t="array" ref="AB98">_xlfn.ANCHORARRAY(AB96) -_xlfn.ANCHORARRAY( AB97)</f>
        <v>64270527.845815383</v>
      </c>
      <c r="AC98" s="1006" cm="1">
        <f t="array" ref="AC98">_xlfn.ANCHORARRAY(AC96) -_xlfn.ANCHORARRAY( AC97)</f>
        <v>67882429.062069431</v>
      </c>
      <c r="AD98" s="1006" cm="1">
        <f t="array" ref="AD98">_xlfn.ANCHORARRAY(AD96) -_xlfn.ANCHORARRAY( AD97)</f>
        <v>71086684.926858723</v>
      </c>
      <c r="AE98" s="1006" cm="1">
        <f t="array" ref="AE98">_xlfn.ANCHORARRAY(AE96) -_xlfn.ANCHORARRAY( AE97)</f>
        <v>74533762.030400306</v>
      </c>
      <c r="AF98" s="1006" cm="1">
        <f t="array" ref="AF98">_xlfn.ANCHORARRAY(AF96) -_xlfn.ANCHORARRAY( AF97)</f>
        <v>82691761.383210927</v>
      </c>
      <c r="AG98" s="1006" cm="1">
        <f t="array" ref="AG98">_xlfn.ANCHORARRAY(AG96) -_xlfn.ANCHORARRAY( AG97)</f>
        <v>117840584.0875252</v>
      </c>
    </row>
    <row r="99" spans="1:33" ht="21.95" customHeight="1" x14ac:dyDescent="0.2">
      <c r="B99" s="45"/>
      <c r="C99" s="1024" t="s">
        <v>55</v>
      </c>
      <c r="D99" s="1025"/>
      <c r="E99" s="1026"/>
      <c r="F99" s="1025">
        <f>F98</f>
        <v>0</v>
      </c>
      <c r="G99" s="1025">
        <f>F99+G98</f>
        <v>-2503295.3448704104</v>
      </c>
      <c r="H99" s="1025">
        <f t="shared" ref="H99" si="29">G99+H98</f>
        <v>-7862857.726646781</v>
      </c>
      <c r="I99" s="1025">
        <f t="shared" ref="I99" si="30">H99+I98</f>
        <v>-11965015.531230455</v>
      </c>
      <c r="J99" s="1025">
        <f t="shared" ref="J99" si="31">I99+J98</f>
        <v>-43116643.433274113</v>
      </c>
      <c r="K99" s="1025">
        <f t="shared" ref="K99" si="32">J99+K98</f>
        <v>-75352404.952989087</v>
      </c>
      <c r="L99" s="1025">
        <f t="shared" ref="L99" si="33">K99+L98</f>
        <v>-88860282.223840892</v>
      </c>
      <c r="M99" s="1025">
        <f t="shared" ref="M99" si="34">L99+M98</f>
        <v>-90320421.832320824</v>
      </c>
      <c r="N99" s="1025">
        <f t="shared" ref="N99" si="35">M99+N98</f>
        <v>-74367229.895153791</v>
      </c>
      <c r="O99" s="1025">
        <f t="shared" ref="O99" si="36">N99+O98</f>
        <v>-55380286.156441733</v>
      </c>
      <c r="P99" s="1025">
        <f t="shared" ref="P99" si="37">O99+P98</f>
        <v>-30320695.551247809</v>
      </c>
      <c r="Q99" s="1025">
        <f t="shared" ref="Q99" si="38">P99+Q98</f>
        <v>1351073.7964433655</v>
      </c>
      <c r="R99" s="1025">
        <f t="shared" ref="R99" si="39">Q99+R98</f>
        <v>40252599.073164098</v>
      </c>
      <c r="S99" s="1025">
        <f t="shared" ref="S99" si="40">R99+S98</f>
        <v>83295446.932770312</v>
      </c>
      <c r="T99" s="1025">
        <f t="shared" ref="T99" si="41">S99+T98</f>
        <v>138298018.72057423</v>
      </c>
      <c r="U99" s="1025">
        <f t="shared" ref="U99" si="42">T99+U98</f>
        <v>188507384.17327037</v>
      </c>
      <c r="V99" s="1025">
        <f t="shared" ref="V99" si="43">U99+V98</f>
        <v>239553088.03395715</v>
      </c>
      <c r="W99" s="1025">
        <f t="shared" ref="W99" si="44">V99+W98</f>
        <v>291680640.82485652</v>
      </c>
      <c r="X99" s="1025">
        <f t="shared" ref="X99" si="45">W99+X98</f>
        <v>345818961.51648742</v>
      </c>
      <c r="Y99" s="1025">
        <f t="shared" ref="Y99" si="46">X99+Y98</f>
        <v>401985162.64789152</v>
      </c>
      <c r="Z99" s="1025">
        <f t="shared" ref="Z99" si="47">Y99+Z98</f>
        <v>460662610.43846172</v>
      </c>
      <c r="AA99" s="1025">
        <f t="shared" ref="AA99" si="48">Z99+AA98</f>
        <v>521806344.02231401</v>
      </c>
      <c r="AB99" s="1025">
        <f t="shared" ref="AB99" si="49">AA99+AB98</f>
        <v>586076871.86812937</v>
      </c>
      <c r="AC99" s="1025">
        <f t="shared" ref="AC99" si="50">AB99+AC98</f>
        <v>653959300.93019879</v>
      </c>
      <c r="AD99" s="1025">
        <f t="shared" ref="AD99" si="51">AC99+AD98</f>
        <v>725045985.85705757</v>
      </c>
      <c r="AE99" s="1025">
        <f>AD99+AE98</f>
        <v>799579747.88745785</v>
      </c>
      <c r="AF99" s="1025">
        <f>AE99+AF98</f>
        <v>882271509.27066875</v>
      </c>
      <c r="AG99" s="1025">
        <f>AF99+AG98</f>
        <v>1000112093.358194</v>
      </c>
    </row>
    <row r="100" spans="1:33" s="1001" customFormat="1" ht="21.95" customHeight="1" x14ac:dyDescent="0.2">
      <c r="A100"/>
      <c r="C100" s="1002"/>
      <c r="D100" s="1002"/>
      <c r="E100" s="1003"/>
      <c r="F100" s="1003"/>
      <c r="G100" s="1003"/>
      <c r="H100" s="1003"/>
      <c r="I100" s="1003"/>
      <c r="J100" s="1003"/>
      <c r="K100" s="1003"/>
      <c r="L100" s="1003"/>
      <c r="M100" s="1003"/>
      <c r="N100" s="1003"/>
      <c r="O100" s="1003"/>
      <c r="P100" s="1003"/>
      <c r="Q100" s="1003"/>
      <c r="R100" s="1003"/>
      <c r="S100" s="1003"/>
      <c r="T100" s="1003"/>
      <c r="U100" s="1003"/>
      <c r="V100" s="1003"/>
      <c r="W100" s="1003"/>
      <c r="X100" s="1003"/>
      <c r="Y100" s="1003"/>
      <c r="Z100" s="1003"/>
      <c r="AA100" s="1003"/>
      <c r="AB100" s="1003"/>
      <c r="AC100" s="1003"/>
      <c r="AD100" s="1003"/>
    </row>
    <row r="101" spans="1:33" s="1001" customFormat="1" ht="21.95" customHeight="1" x14ac:dyDescent="0.2">
      <c r="A101"/>
      <c r="B101" s="1004" t="s">
        <v>558</v>
      </c>
      <c r="C101" s="1002"/>
      <c r="D101" s="1002"/>
      <c r="E101" s="1003"/>
      <c r="F101" s="1003"/>
      <c r="G101" s="1003"/>
      <c r="H101" s="1003"/>
      <c r="I101" s="1003"/>
      <c r="J101" s="1003"/>
      <c r="K101" s="1003"/>
      <c r="L101" s="1003"/>
      <c r="M101" s="1003"/>
      <c r="N101" s="1003"/>
      <c r="O101" s="1003"/>
      <c r="P101" s="1003"/>
      <c r="Q101" s="1003"/>
      <c r="R101" s="1003"/>
      <c r="S101" s="1003"/>
      <c r="T101" s="1003"/>
      <c r="U101" s="1003"/>
      <c r="V101" s="1003"/>
      <c r="W101" s="1003"/>
      <c r="X101" s="1003"/>
      <c r="Y101" s="1003"/>
      <c r="Z101" s="1003"/>
      <c r="AA101" s="1003"/>
      <c r="AB101" s="1003"/>
      <c r="AC101" s="1003"/>
      <c r="AD101" s="1003"/>
    </row>
    <row r="102" spans="1:33" ht="21.95" customHeight="1" x14ac:dyDescent="0.2">
      <c r="B102" s="975"/>
      <c r="C102" s="975"/>
      <c r="D102" s="975"/>
      <c r="E102" s="976" t="s">
        <v>25</v>
      </c>
      <c r="F102" s="975" cm="1">
        <f t="array" ref="F102:AG102">_xlfn.SEQUENCE(1, studyDuration, baseYear)</f>
        <v>2021</v>
      </c>
      <c r="G102" s="975">
        <v>2022</v>
      </c>
      <c r="H102" s="975">
        <v>2023</v>
      </c>
      <c r="I102" s="975">
        <v>2024</v>
      </c>
      <c r="J102" s="975">
        <v>2025</v>
      </c>
      <c r="K102" s="975">
        <v>2026</v>
      </c>
      <c r="L102" s="975">
        <v>2027</v>
      </c>
      <c r="M102" s="975">
        <v>2028</v>
      </c>
      <c r="N102" s="975">
        <v>2029</v>
      </c>
      <c r="O102" s="975">
        <v>2030</v>
      </c>
      <c r="P102" s="975">
        <v>2031</v>
      </c>
      <c r="Q102" s="975">
        <v>2032</v>
      </c>
      <c r="R102" s="975">
        <v>2033</v>
      </c>
      <c r="S102" s="975">
        <v>2034</v>
      </c>
      <c r="T102" s="975">
        <v>2035</v>
      </c>
      <c r="U102" s="975">
        <v>2036</v>
      </c>
      <c r="V102" s="975">
        <v>2037</v>
      </c>
      <c r="W102" s="975">
        <v>2038</v>
      </c>
      <c r="X102" s="975">
        <v>2039</v>
      </c>
      <c r="Y102" s="975">
        <v>2040</v>
      </c>
      <c r="Z102" s="975">
        <v>2041</v>
      </c>
      <c r="AA102" s="975">
        <v>2042</v>
      </c>
      <c r="AB102" s="975">
        <v>2043</v>
      </c>
      <c r="AC102" s="975">
        <v>2044</v>
      </c>
      <c r="AD102" s="975">
        <v>2045</v>
      </c>
      <c r="AE102">
        <v>2046</v>
      </c>
      <c r="AF102">
        <v>2047</v>
      </c>
      <c r="AG102">
        <v>2048</v>
      </c>
    </row>
    <row r="103" spans="1:33" ht="21.95" customHeight="1" x14ac:dyDescent="0.2">
      <c r="B103" s="1" t="s">
        <v>485</v>
      </c>
      <c r="C103" s="1" t="s">
        <v>49</v>
      </c>
      <c r="E103"/>
      <c r="F103"/>
      <c r="G103"/>
      <c r="H103"/>
      <c r="I103"/>
    </row>
    <row r="104" spans="1:33" ht="21.95" customHeight="1" x14ac:dyDescent="0.2">
      <c r="C104" t="s">
        <v>15</v>
      </c>
      <c r="D104" s="972"/>
      <c r="E104" s="973">
        <f t="shared" ref="E104" si="52">SUM(_xlfn.ANCHORARRAY(F104))</f>
        <v>8685961.083342554</v>
      </c>
      <c r="F104" s="972" cm="1">
        <f t="array" ref="F104:AG104">_xlfn.ANCHORARRAY(F75) * discountAnnual</f>
        <v>0</v>
      </c>
      <c r="G104" s="972">
        <v>0</v>
      </c>
      <c r="H104" s="972">
        <v>0</v>
      </c>
      <c r="I104" s="972">
        <v>0</v>
      </c>
      <c r="J104" s="972">
        <v>0</v>
      </c>
      <c r="K104" s="972">
        <v>0</v>
      </c>
      <c r="L104" s="972">
        <v>0</v>
      </c>
      <c r="M104" s="972">
        <v>0</v>
      </c>
      <c r="N104" s="972">
        <v>241799.04181906246</v>
      </c>
      <c r="O104" s="972">
        <v>252805.29104112615</v>
      </c>
      <c r="P104" s="972">
        <v>264795.30900957738</v>
      </c>
      <c r="Q104" s="972">
        <v>277861.33763535181</v>
      </c>
      <c r="R104" s="972">
        <v>292104.82039757143</v>
      </c>
      <c r="S104" s="972">
        <v>307637.37275652657</v>
      </c>
      <c r="T104" s="972">
        <v>324581.8596135081</v>
      </c>
      <c r="U104" s="972">
        <v>343073.59202468168</v>
      </c>
      <c r="V104" s="972">
        <v>363261.65680058819</v>
      </c>
      <c r="W104" s="972">
        <v>385310.39421594777</v>
      </c>
      <c r="X104" s="972">
        <v>409401.04083647701</v>
      </c>
      <c r="Y104" s="972">
        <v>435733.55646297825</v>
      </c>
      <c r="Z104" s="972">
        <v>464528.65642336366</v>
      </c>
      <c r="AA104" s="972">
        <v>496030.07293893967</v>
      </c>
      <c r="AB104" s="972">
        <v>530507.07208396867</v>
      </c>
      <c r="AC104" s="972">
        <v>568257.25598292029</v>
      </c>
      <c r="AD104" s="972">
        <v>609609.68338781153</v>
      </c>
      <c r="AE104">
        <v>654928.34569341596</v>
      </c>
      <c r="AF104">
        <v>704616.03983098886</v>
      </c>
      <c r="AG104">
        <v>759118.68438774883</v>
      </c>
    </row>
    <row r="105" spans="1:33" ht="21.95" customHeight="1" x14ac:dyDescent="0.2">
      <c r="C105" t="s">
        <v>16</v>
      </c>
      <c r="D105" s="972"/>
      <c r="E105" s="974">
        <f>SUM(_xlfn.ANCHORARRAY(F105))</f>
        <v>181458605.45613492</v>
      </c>
      <c r="F105" s="972" cm="1">
        <f t="array" ref="F105:AG105">F76:AG76 * discountAnnual</f>
        <v>0</v>
      </c>
      <c r="G105" s="972">
        <v>0</v>
      </c>
      <c r="H105" s="972">
        <v>57367.013708539205</v>
      </c>
      <c r="I105" s="972">
        <v>226289.61749996318</v>
      </c>
      <c r="J105" s="972">
        <v>608402.66117912123</v>
      </c>
      <c r="K105" s="972">
        <v>1159407.3636850649</v>
      </c>
      <c r="L105" s="972">
        <v>1805011.6831584354</v>
      </c>
      <c r="M105" s="972">
        <v>3190070.1173565192</v>
      </c>
      <c r="N105" s="972">
        <v>7646511.0640027812</v>
      </c>
      <c r="O105" s="972">
        <v>8481108.8496496342</v>
      </c>
      <c r="P105" s="972">
        <v>10099874.505343067</v>
      </c>
      <c r="Q105" s="972">
        <v>11662894.960821478</v>
      </c>
      <c r="R105" s="972">
        <v>12916333.015325638</v>
      </c>
      <c r="S105" s="972">
        <v>12148905.789931633</v>
      </c>
      <c r="T105" s="972">
        <v>10987237.687472878</v>
      </c>
      <c r="U105" s="972">
        <v>10138111.921717491</v>
      </c>
      <c r="V105" s="972">
        <v>9378035.1943855174</v>
      </c>
      <c r="W105" s="972">
        <v>8746887.2462854683</v>
      </c>
      <c r="X105" s="972">
        <v>8403290.7922386117</v>
      </c>
      <c r="Y105" s="972">
        <v>8082166.5072647305</v>
      </c>
      <c r="Z105" s="972">
        <v>7783380.2130154092</v>
      </c>
      <c r="AA105" s="972">
        <v>7506507.8085895889</v>
      </c>
      <c r="AB105" s="972">
        <v>7251532.2694760645</v>
      </c>
      <c r="AC105" s="972">
        <v>7018006.9162817216</v>
      </c>
      <c r="AD105" s="972">
        <v>6805776.4218109334</v>
      </c>
      <c r="AE105">
        <v>6615027.6646916186</v>
      </c>
      <c r="AF105">
        <v>6444876.5158413518</v>
      </c>
      <c r="AG105">
        <v>6295591.655401649</v>
      </c>
    </row>
    <row r="106" spans="1:33" ht="21.95" customHeight="1" x14ac:dyDescent="0.2">
      <c r="C106" t="s">
        <v>607</v>
      </c>
      <c r="D106" s="972"/>
      <c r="E106" s="973">
        <f t="shared" ref="E106:E107" si="53">SUM(_xlfn.ANCHORARRAY(F106))</f>
        <v>1324546.7678849238</v>
      </c>
      <c r="F106" s="972" cm="1">
        <f t="array" ref="F106:AG106">F77:AG77 * discountAnnual</f>
        <v>0</v>
      </c>
      <c r="G106" s="972">
        <v>0</v>
      </c>
      <c r="H106" s="972">
        <v>1483.9367159405238</v>
      </c>
      <c r="I106" s="972">
        <v>7456.3718740794347</v>
      </c>
      <c r="J106" s="972">
        <v>13541.709144279877</v>
      </c>
      <c r="K106" s="972">
        <v>23516.898551631304</v>
      </c>
      <c r="L106" s="972">
        <v>32663.0843217453</v>
      </c>
      <c r="M106" s="972">
        <v>40712.058706122109</v>
      </c>
      <c r="N106" s="972">
        <v>48116.544441308935</v>
      </c>
      <c r="O106" s="972">
        <v>54469.701003524962</v>
      </c>
      <c r="P106" s="972">
        <v>63196.795196032632</v>
      </c>
      <c r="Q106" s="972">
        <v>70955.346227790244</v>
      </c>
      <c r="R106" s="972">
        <v>74571.792890503566</v>
      </c>
      <c r="S106" s="972">
        <v>76163.708909114561</v>
      </c>
      <c r="T106" s="972">
        <v>77258.556148306772</v>
      </c>
      <c r="U106" s="972">
        <v>75978.293530630763</v>
      </c>
      <c r="V106" s="972">
        <v>72793.483668796704</v>
      </c>
      <c r="W106" s="972">
        <v>69105.432605856797</v>
      </c>
      <c r="X106" s="972">
        <v>65586.093489305553</v>
      </c>
      <c r="Y106" s="972">
        <v>62229.282608171379</v>
      </c>
      <c r="Z106" s="972">
        <v>59033.024216942715</v>
      </c>
      <c r="AA106" s="972">
        <v>55986.709317402951</v>
      </c>
      <c r="AB106" s="972">
        <v>53088.125724119258</v>
      </c>
      <c r="AC106" s="972">
        <v>50329.181354014625</v>
      </c>
      <c r="AD106" s="972">
        <v>47702.077153240265</v>
      </c>
      <c r="AE106">
        <v>45206.539460854809</v>
      </c>
      <c r="AF106">
        <v>42830.245761461512</v>
      </c>
      <c r="AG106">
        <v>40571.774863745952</v>
      </c>
    </row>
    <row r="107" spans="1:33" ht="21.95" customHeight="1" x14ac:dyDescent="0.2">
      <c r="C107" t="s">
        <v>608</v>
      </c>
      <c r="D107" s="972"/>
      <c r="E107" s="973">
        <f t="shared" si="53"/>
        <v>4726.5604418760668</v>
      </c>
      <c r="F107" s="972" cm="1">
        <f t="array" ref="F107:AG107">F78:AG78 * discountAnnual</f>
        <v>0</v>
      </c>
      <c r="G107" s="972">
        <v>0</v>
      </c>
      <c r="H107" s="972">
        <v>7.8585972801123321</v>
      </c>
      <c r="I107" s="972">
        <v>31.412167880167814</v>
      </c>
      <c r="J107" s="972">
        <v>33.350580438928617</v>
      </c>
      <c r="K107" s="972">
        <v>58.830539730279867</v>
      </c>
      <c r="L107" s="26">
        <v>81.808903489629017</v>
      </c>
      <c r="M107" s="26">
        <v>102.23338207850695</v>
      </c>
      <c r="N107" s="26">
        <v>120.57606101164693</v>
      </c>
      <c r="O107" s="26">
        <v>136.87862271820237</v>
      </c>
      <c r="P107" s="26">
        <v>187.48301397421591</v>
      </c>
      <c r="Q107" s="26">
        <v>232.43309499736489</v>
      </c>
      <c r="R107" s="26">
        <v>259.76013760690233</v>
      </c>
      <c r="S107" s="26">
        <v>277.74002642586061</v>
      </c>
      <c r="T107" s="26">
        <v>292.37471569825078</v>
      </c>
      <c r="U107" s="26">
        <v>292.60749305766524</v>
      </c>
      <c r="V107" s="26">
        <v>281.40872861887175</v>
      </c>
      <c r="W107" s="26">
        <v>268.14572231415866</v>
      </c>
      <c r="X107" s="26">
        <v>255.40489812595683</v>
      </c>
      <c r="Y107" s="26">
        <v>243.1734667222033</v>
      </c>
      <c r="Z107" s="26">
        <v>231.45866776175487</v>
      </c>
      <c r="AA107" s="26">
        <v>220.22706326904878</v>
      </c>
      <c r="AB107" s="26">
        <v>209.48266511429341</v>
      </c>
      <c r="AC107" s="26">
        <v>199.20153731814207</v>
      </c>
      <c r="AD107" s="26">
        <v>189.35990092276452</v>
      </c>
      <c r="AE107">
        <v>179.96741880477705</v>
      </c>
      <c r="AF107">
        <v>170.98148792820137</v>
      </c>
      <c r="AG107">
        <v>162.40154858815978</v>
      </c>
    </row>
    <row r="108" spans="1:33" ht="21.95" customHeight="1" x14ac:dyDescent="0.2">
      <c r="C108" t="s">
        <v>609</v>
      </c>
      <c r="D108" s="972"/>
      <c r="E108" s="973">
        <f t="shared" ref="E108:E111" si="54">SUM(_xlfn.ANCHORARRAY(F108))</f>
        <v>1962929.8791722436</v>
      </c>
      <c r="F108" s="972" cm="1">
        <f t="array" ref="F108:AG108">F79:AG79 * discountAnnual</f>
        <v>0</v>
      </c>
      <c r="G108" s="972">
        <v>0</v>
      </c>
      <c r="H108" s="972">
        <v>2305.648584243459</v>
      </c>
      <c r="I108" s="972">
        <v>11333.611784875706</v>
      </c>
      <c r="J108" s="972">
        <v>19797.877566833216</v>
      </c>
      <c r="K108" s="972">
        <v>34358.136229774602</v>
      </c>
      <c r="L108" s="972">
        <v>47409.001028742874</v>
      </c>
      <c r="M108" s="972">
        <v>59055.268485602974</v>
      </c>
      <c r="N108" s="972">
        <v>69389.483269147386</v>
      </c>
      <c r="O108" s="972">
        <v>78538.832054895931</v>
      </c>
      <c r="P108" s="972">
        <v>92178.562919908931</v>
      </c>
      <c r="Q108" s="972">
        <v>104303.13411224027</v>
      </c>
      <c r="R108" s="972">
        <v>110189.52277602778</v>
      </c>
      <c r="S108" s="972">
        <v>112999.86013478154</v>
      </c>
      <c r="T108" s="972">
        <v>115016.26632725232</v>
      </c>
      <c r="U108" s="972">
        <v>113297.37216848259</v>
      </c>
      <c r="V108" s="972">
        <v>108587.53568744942</v>
      </c>
      <c r="W108" s="972">
        <v>103122.62804846907</v>
      </c>
      <c r="X108" s="972">
        <v>97904.601269795006</v>
      </c>
      <c r="Y108" s="972">
        <v>92924.640477922556</v>
      </c>
      <c r="Z108" s="972">
        <v>88180.346480397144</v>
      </c>
      <c r="AA108" s="972">
        <v>83656.172661471326</v>
      </c>
      <c r="AB108" s="972">
        <v>79349.281891510269</v>
      </c>
      <c r="AC108" s="972">
        <v>75247.87368884575</v>
      </c>
      <c r="AD108" s="972">
        <v>71340.548743088511</v>
      </c>
      <c r="AE108">
        <v>67627.293766688686</v>
      </c>
      <c r="AF108">
        <v>64089.912453764009</v>
      </c>
      <c r="AG108">
        <v>60726.466560031891</v>
      </c>
    </row>
    <row r="109" spans="1:33" ht="21.95" customHeight="1" x14ac:dyDescent="0.2">
      <c r="C109" t="s">
        <v>610</v>
      </c>
      <c r="D109" s="972"/>
      <c r="E109" s="973">
        <f t="shared" si="54"/>
        <v>67528279.347793669</v>
      </c>
      <c r="F109" s="972" cm="1">
        <f t="array" ref="F109:AG109">F80:AG80 * discountAnnualCO2</f>
        <v>0</v>
      </c>
      <c r="G109" s="972">
        <v>0</v>
      </c>
      <c r="H109" s="972">
        <v>50326.08423489143</v>
      </c>
      <c r="I109" s="972">
        <v>218167.07793742753</v>
      </c>
      <c r="J109" s="972">
        <v>276680.12796884816</v>
      </c>
      <c r="K109" s="972">
        <v>503699.79077145329</v>
      </c>
      <c r="L109" s="26">
        <v>724932.30901137739</v>
      </c>
      <c r="M109" s="26">
        <v>940216.19486961805</v>
      </c>
      <c r="N109" s="26">
        <v>1149065.9096563978</v>
      </c>
      <c r="O109" s="26">
        <v>1373107.3687226991</v>
      </c>
      <c r="P109" s="26">
        <v>1889857.8346724552</v>
      </c>
      <c r="Q109" s="26">
        <v>2406607.1029747785</v>
      </c>
      <c r="R109" s="26">
        <v>2792419.9080599933</v>
      </c>
      <c r="S109" s="26">
        <v>3112803.0989737278</v>
      </c>
      <c r="T109" s="26">
        <v>3423720.1147819245</v>
      </c>
      <c r="U109" s="26">
        <v>3646625.0691236784</v>
      </c>
      <c r="V109" s="26">
        <v>3690686.4401293746</v>
      </c>
      <c r="W109" s="26">
        <v>3700257.6489292476</v>
      </c>
      <c r="X109" s="26">
        <v>3707796.3052618806</v>
      </c>
      <c r="Y109" s="26">
        <v>3713337.5295164925</v>
      </c>
      <c r="Z109" s="26">
        <v>3765506.0523092477</v>
      </c>
      <c r="AA109" s="26">
        <v>3766913.5028010574</v>
      </c>
      <c r="AB109" s="26">
        <v>3766766.7341135512</v>
      </c>
      <c r="AC109" s="26">
        <v>3764968.7190793203</v>
      </c>
      <c r="AD109" s="26">
        <v>3761395.7802813482</v>
      </c>
      <c r="AE109">
        <v>3801827.6874985462</v>
      </c>
      <c r="AF109">
        <v>3794616.6268729437</v>
      </c>
      <c r="AG109">
        <v>3785978.3292413908</v>
      </c>
    </row>
    <row r="110" spans="1:33" ht="21.95" customHeight="1" x14ac:dyDescent="0.2">
      <c r="C110" t="s">
        <v>214</v>
      </c>
      <c r="D110" s="972"/>
      <c r="E110" s="974">
        <f>SUM(_xlfn.ANCHORARRAY(F110))</f>
        <v>4002086.3508289917</v>
      </c>
      <c r="F110" s="972" cm="1">
        <f t="array" ref="F110:AG110">F81:AG81 * discountAnnual</f>
        <v>0</v>
      </c>
      <c r="G110" s="972">
        <v>0</v>
      </c>
      <c r="H110" s="972">
        <v>0</v>
      </c>
      <c r="I110" s="972">
        <v>0</v>
      </c>
      <c r="J110" s="972">
        <v>1727173.2859193978</v>
      </c>
      <c r="K110" s="972">
        <v>0</v>
      </c>
      <c r="L110" s="26">
        <v>0</v>
      </c>
      <c r="M110" s="26">
        <v>-2791.8572006308923</v>
      </c>
      <c r="N110" s="26">
        <v>-2609.2123370382169</v>
      </c>
      <c r="O110" s="26">
        <v>-63401.421273825836</v>
      </c>
      <c r="P110" s="26">
        <v>-2278.9871054574346</v>
      </c>
      <c r="Q110" s="26">
        <v>-2129.8944910817145</v>
      </c>
      <c r="R110" s="26">
        <v>-1990.5555991417896</v>
      </c>
      <c r="S110" s="26">
        <v>-1860.3323356465321</v>
      </c>
      <c r="T110" s="26">
        <v>2832225.5838955157</v>
      </c>
      <c r="U110" s="26">
        <v>-1624.8863094126405</v>
      </c>
      <c r="V110" s="26">
        <v>-1518.5853358996642</v>
      </c>
      <c r="W110" s="26">
        <v>-1419.2386316819293</v>
      </c>
      <c r="X110" s="26">
        <v>-1326.3912445625504</v>
      </c>
      <c r="Y110" s="26">
        <v>-32230.067624884403</v>
      </c>
      <c r="Z110" s="26">
        <v>-1158.5214818434365</v>
      </c>
      <c r="AA110" s="26">
        <v>-1082.7303568630248</v>
      </c>
      <c r="AB110" s="26">
        <v>-1011.8975297785279</v>
      </c>
      <c r="AC110" s="26">
        <v>-945.69862596124096</v>
      </c>
      <c r="AD110" s="26">
        <v>-80428.574731283108</v>
      </c>
      <c r="AE110">
        <v>-356010.22603659262</v>
      </c>
      <c r="AF110">
        <v>-771.97178055075699</v>
      </c>
      <c r="AG110">
        <v>-721.46895378575402</v>
      </c>
    </row>
    <row r="111" spans="1:33" ht="21.95" customHeight="1" x14ac:dyDescent="0.2">
      <c r="C111" t="s">
        <v>17</v>
      </c>
      <c r="D111" s="26"/>
      <c r="E111" s="1000">
        <f t="shared" si="54"/>
        <v>3566990.6054470208</v>
      </c>
      <c r="F111" s="1037" cm="1">
        <f t="array" ref="F111:AG111">_xlfn.ANCHORARRAY(F82) * discountAnnual</f>
        <v>0</v>
      </c>
      <c r="G111" s="1037">
        <v>0</v>
      </c>
      <c r="H111" s="1037">
        <v>0</v>
      </c>
      <c r="I111" s="1037">
        <v>0</v>
      </c>
      <c r="J111" s="1037">
        <v>0</v>
      </c>
      <c r="K111" s="1037">
        <v>0</v>
      </c>
      <c r="L111" s="1037">
        <v>0</v>
      </c>
      <c r="M111" s="1037">
        <v>0</v>
      </c>
      <c r="N111" s="1037">
        <v>0</v>
      </c>
      <c r="O111" s="1037">
        <v>0</v>
      </c>
      <c r="P111" s="1037">
        <v>0</v>
      </c>
      <c r="Q111" s="1037">
        <v>0</v>
      </c>
      <c r="R111" s="1037">
        <v>0</v>
      </c>
      <c r="S111" s="1037">
        <v>0</v>
      </c>
      <c r="T111" s="1037">
        <v>0</v>
      </c>
      <c r="U111" s="1037">
        <v>0</v>
      </c>
      <c r="V111" s="1037">
        <v>0</v>
      </c>
      <c r="W111" s="1037">
        <v>0</v>
      </c>
      <c r="X111" s="1037">
        <v>0</v>
      </c>
      <c r="Y111" s="1037">
        <v>0</v>
      </c>
      <c r="Z111" s="1037">
        <v>0</v>
      </c>
      <c r="AA111" s="1037">
        <v>0</v>
      </c>
      <c r="AB111" s="1037">
        <v>0</v>
      </c>
      <c r="AC111" s="1037">
        <v>0</v>
      </c>
      <c r="AD111" s="1037">
        <v>0</v>
      </c>
      <c r="AE111" s="187">
        <v>0</v>
      </c>
      <c r="AF111" s="187">
        <v>0</v>
      </c>
      <c r="AG111" s="187">
        <v>3566990.6054470208</v>
      </c>
    </row>
    <row r="112" spans="1:33" ht="21.95" customHeight="1" x14ac:dyDescent="0.2">
      <c r="C112" s="1033" t="s">
        <v>52</v>
      </c>
      <c r="D112" s="1034"/>
      <c r="E112" s="115">
        <f>SUM(F112:AG112)</f>
        <v>268534126.05104619</v>
      </c>
      <c r="F112" s="1006">
        <f t="shared" ref="F112:AG112" si="55">SUM(F104:F111)</f>
        <v>0</v>
      </c>
      <c r="G112" s="1006">
        <f t="shared" si="55"/>
        <v>0</v>
      </c>
      <c r="H112" s="1006">
        <f t="shared" si="55"/>
        <v>111490.54184089473</v>
      </c>
      <c r="I112" s="1006">
        <f t="shared" si="55"/>
        <v>463278.09126422601</v>
      </c>
      <c r="J112" s="1006">
        <f t="shared" si="55"/>
        <v>2645629.0123589193</v>
      </c>
      <c r="K112" s="1006">
        <f t="shared" si="55"/>
        <v>1721041.0197776547</v>
      </c>
      <c r="L112" s="1006">
        <f t="shared" si="55"/>
        <v>2610097.8864237908</v>
      </c>
      <c r="M112" s="1006">
        <f t="shared" si="55"/>
        <v>4227364.0155993095</v>
      </c>
      <c r="N112" s="1006">
        <f t="shared" si="55"/>
        <v>9152393.4069126714</v>
      </c>
      <c r="O112" s="1006">
        <f t="shared" si="55"/>
        <v>10176765.499820774</v>
      </c>
      <c r="P112" s="1006">
        <f t="shared" si="55"/>
        <v>12407811.503049558</v>
      </c>
      <c r="Q112" s="1006">
        <f t="shared" si="55"/>
        <v>14520724.420375554</v>
      </c>
      <c r="R112" s="1006">
        <f t="shared" si="55"/>
        <v>16183888.263988199</v>
      </c>
      <c r="S112" s="1006">
        <f t="shared" si="55"/>
        <v>15756927.238396563</v>
      </c>
      <c r="T112" s="1006">
        <f t="shared" si="55"/>
        <v>17760332.442955084</v>
      </c>
      <c r="U112" s="1006">
        <f t="shared" si="55"/>
        <v>14315753.969748609</v>
      </c>
      <c r="V112" s="1006">
        <f t="shared" si="55"/>
        <v>13612127.134064447</v>
      </c>
      <c r="W112" s="1006">
        <f t="shared" si="55"/>
        <v>13003532.257175621</v>
      </c>
      <c r="X112" s="1006">
        <f t="shared" si="55"/>
        <v>12682907.846749634</v>
      </c>
      <c r="Y112" s="1006">
        <f t="shared" si="55"/>
        <v>12354404.622172132</v>
      </c>
      <c r="Z112" s="1006">
        <f t="shared" si="55"/>
        <v>12159701.229631277</v>
      </c>
      <c r="AA112" s="1006">
        <f t="shared" si="55"/>
        <v>11908231.763014866</v>
      </c>
      <c r="AB112" s="1006">
        <f t="shared" si="55"/>
        <v>11680441.068424549</v>
      </c>
      <c r="AC112" s="1006">
        <f t="shared" si="55"/>
        <v>11476063.449298179</v>
      </c>
      <c r="AD112" s="1006">
        <f t="shared" si="55"/>
        <v>11215585.296546061</v>
      </c>
      <c r="AE112" s="1006">
        <f t="shared" si="55"/>
        <v>10828787.272493336</v>
      </c>
      <c r="AF112" s="1006">
        <f t="shared" si="55"/>
        <v>11050428.350467887</v>
      </c>
      <c r="AG112" s="1006">
        <f t="shared" si="55"/>
        <v>14508418.448496388</v>
      </c>
    </row>
    <row r="113" spans="2:33" ht="21.95" customHeight="1" x14ac:dyDescent="0.2">
      <c r="C113" s="1024" t="s">
        <v>53</v>
      </c>
      <c r="D113" s="1025"/>
      <c r="E113" s="1026">
        <f>SUM(_xlfn.ANCHORARRAY(F113))</f>
        <v>57261617.58780916</v>
      </c>
      <c r="F113" s="1025" cm="1">
        <f t="array" ref="F113:AG113">F84:AG84 * discountAnnual</f>
        <v>0</v>
      </c>
      <c r="G113" s="1025">
        <v>1889331.6807398144</v>
      </c>
      <c r="H113" s="1025">
        <v>3606316.678802615</v>
      </c>
      <c r="I113" s="1025">
        <v>2817064.6612452925</v>
      </c>
      <c r="J113" s="1025">
        <v>17800487.294843756</v>
      </c>
      <c r="K113" s="1025">
        <v>16635969.434433416</v>
      </c>
      <c r="L113" s="1025">
        <v>10354534.908844676</v>
      </c>
      <c r="M113" s="1025">
        <v>4157912.9288995885</v>
      </c>
      <c r="N113" s="1025">
        <v>0</v>
      </c>
      <c r="O113" s="1025">
        <v>0</v>
      </c>
      <c r="P113" s="1025">
        <v>0</v>
      </c>
      <c r="Q113" s="1025">
        <v>0</v>
      </c>
      <c r="R113" s="1025">
        <v>0</v>
      </c>
      <c r="S113" s="1025">
        <v>0</v>
      </c>
      <c r="T113" s="1025">
        <v>0</v>
      </c>
      <c r="U113" s="1025">
        <v>0</v>
      </c>
      <c r="V113" s="1025">
        <v>0</v>
      </c>
      <c r="W113" s="1025">
        <v>0</v>
      </c>
      <c r="X113" s="1025">
        <v>0</v>
      </c>
      <c r="Y113" s="1025">
        <v>0</v>
      </c>
      <c r="Z113" s="1025">
        <v>0</v>
      </c>
      <c r="AA113" s="1025">
        <v>0</v>
      </c>
      <c r="AB113" s="1025">
        <v>0</v>
      </c>
      <c r="AC113" s="1025">
        <v>0</v>
      </c>
      <c r="AD113" s="1025">
        <v>0</v>
      </c>
      <c r="AE113">
        <v>0</v>
      </c>
      <c r="AF113">
        <v>0</v>
      </c>
      <c r="AG113">
        <v>0</v>
      </c>
    </row>
    <row r="114" spans="2:33" ht="21.95" customHeight="1" x14ac:dyDescent="0.2">
      <c r="C114" s="1" t="s">
        <v>54</v>
      </c>
      <c r="D114" s="25"/>
      <c r="E114" s="115">
        <f>SUM(F114:AG114)</f>
        <v>211272508.46323705</v>
      </c>
      <c r="F114" s="25">
        <f t="shared" ref="F114:AG114" si="56">F112-F113</f>
        <v>0</v>
      </c>
      <c r="G114" s="25">
        <f t="shared" si="56"/>
        <v>-1889331.6807398144</v>
      </c>
      <c r="H114" s="25">
        <f t="shared" si="56"/>
        <v>-3494826.1369617204</v>
      </c>
      <c r="I114" s="25">
        <f t="shared" si="56"/>
        <v>-2353786.5699810665</v>
      </c>
      <c r="J114" s="25">
        <f t="shared" si="56"/>
        <v>-15154858.282484837</v>
      </c>
      <c r="K114" s="25">
        <f t="shared" si="56"/>
        <v>-14914928.41465576</v>
      </c>
      <c r="L114" s="25">
        <f t="shared" si="56"/>
        <v>-7744437.022420885</v>
      </c>
      <c r="M114" s="25">
        <f t="shared" si="56"/>
        <v>69451.086699720938</v>
      </c>
      <c r="N114" s="25">
        <f t="shared" si="56"/>
        <v>9152393.4069126714</v>
      </c>
      <c r="O114" s="25">
        <f t="shared" si="56"/>
        <v>10176765.499820774</v>
      </c>
      <c r="P114" s="25">
        <f t="shared" si="56"/>
        <v>12407811.503049558</v>
      </c>
      <c r="Q114" s="25">
        <f t="shared" si="56"/>
        <v>14520724.420375554</v>
      </c>
      <c r="R114" s="25">
        <f t="shared" si="56"/>
        <v>16183888.263988199</v>
      </c>
      <c r="S114" s="25">
        <f t="shared" si="56"/>
        <v>15756927.238396563</v>
      </c>
      <c r="T114" s="25">
        <f t="shared" si="56"/>
        <v>17760332.442955084</v>
      </c>
      <c r="U114" s="25">
        <f t="shared" si="56"/>
        <v>14315753.969748609</v>
      </c>
      <c r="V114" s="25">
        <f t="shared" si="56"/>
        <v>13612127.134064447</v>
      </c>
      <c r="W114" s="25">
        <f t="shared" si="56"/>
        <v>13003532.257175621</v>
      </c>
      <c r="X114" s="25">
        <f t="shared" si="56"/>
        <v>12682907.846749634</v>
      </c>
      <c r="Y114" s="25">
        <f t="shared" si="56"/>
        <v>12354404.622172132</v>
      </c>
      <c r="Z114" s="25">
        <f t="shared" si="56"/>
        <v>12159701.229631277</v>
      </c>
      <c r="AA114" s="25">
        <f t="shared" si="56"/>
        <v>11908231.763014866</v>
      </c>
      <c r="AB114" s="25">
        <f t="shared" si="56"/>
        <v>11680441.068424549</v>
      </c>
      <c r="AC114" s="25">
        <f t="shared" si="56"/>
        <v>11476063.449298179</v>
      </c>
      <c r="AD114" s="25">
        <f t="shared" si="56"/>
        <v>11215585.296546061</v>
      </c>
      <c r="AE114" s="1006">
        <f t="shared" si="56"/>
        <v>10828787.272493336</v>
      </c>
      <c r="AF114" s="1006">
        <f t="shared" si="56"/>
        <v>11050428.350467887</v>
      </c>
      <c r="AG114" s="1006">
        <f t="shared" si="56"/>
        <v>14508418.448496388</v>
      </c>
    </row>
    <row r="115" spans="2:33" ht="21.95" customHeight="1" x14ac:dyDescent="0.2">
      <c r="B115" s="45"/>
      <c r="C115" s="1024" t="s">
        <v>55</v>
      </c>
      <c r="D115" s="1025"/>
      <c r="E115" s="1026"/>
      <c r="F115" s="1025">
        <f>F114</f>
        <v>0</v>
      </c>
      <c r="G115" s="1025">
        <f>F115+G114</f>
        <v>-1889331.6807398144</v>
      </c>
      <c r="H115" s="1025">
        <f t="shared" ref="H115" si="57">G115+H114</f>
        <v>-5384157.8177015353</v>
      </c>
      <c r="I115" s="1025">
        <f t="shared" ref="I115" si="58">H115+I114</f>
        <v>-7737944.3876826018</v>
      </c>
      <c r="J115" s="1025">
        <f t="shared" ref="J115" si="59">I115+J114</f>
        <v>-22892802.670167439</v>
      </c>
      <c r="K115" s="1025">
        <f t="shared" ref="K115" si="60">J115+K114</f>
        <v>-37807731.084823199</v>
      </c>
      <c r="L115" s="1025">
        <f t="shared" ref="L115" si="61">K115+L114</f>
        <v>-45552168.107244082</v>
      </c>
      <c r="M115" s="1025">
        <f t="shared" ref="M115" si="62">L115+M114</f>
        <v>-45482717.020544358</v>
      </c>
      <c r="N115" s="1025">
        <f t="shared" ref="N115" si="63">M115+N114</f>
        <v>-36330323.613631688</v>
      </c>
      <c r="O115" s="1025">
        <f t="shared" ref="O115" si="64">N115+O114</f>
        <v>-26153558.113810912</v>
      </c>
      <c r="P115" s="1025">
        <f t="shared" ref="P115" si="65">O115+P114</f>
        <v>-13745746.610761354</v>
      </c>
      <c r="Q115" s="1025">
        <f t="shared" ref="Q115" si="66">P115+Q114</f>
        <v>774977.80961420015</v>
      </c>
      <c r="R115" s="1025">
        <f t="shared" ref="R115" si="67">Q115+R114</f>
        <v>16958866.073602401</v>
      </c>
      <c r="S115" s="1025">
        <f t="shared" ref="S115" si="68">R115+S114</f>
        <v>32715793.311998963</v>
      </c>
      <c r="T115" s="1025">
        <f t="shared" ref="T115" si="69">S115+T114</f>
        <v>50476125.754954048</v>
      </c>
      <c r="U115" s="1025">
        <f t="shared" ref="U115" si="70">T115+U114</f>
        <v>64791879.724702656</v>
      </c>
      <c r="V115" s="1025">
        <f t="shared" ref="V115" si="71">U115+V114</f>
        <v>78404006.858767107</v>
      </c>
      <c r="W115" s="1025">
        <f t="shared" ref="W115" si="72">V115+W114</f>
        <v>91407539.115942731</v>
      </c>
      <c r="X115" s="1025">
        <f t="shared" ref="X115" si="73">W115+X114</f>
        <v>104090446.96269237</v>
      </c>
      <c r="Y115" s="1025">
        <f t="shared" ref="Y115" si="74">X115+Y114</f>
        <v>116444851.5848645</v>
      </c>
      <c r="Z115" s="1025">
        <f t="shared" ref="Z115" si="75">Y115+Z114</f>
        <v>128604552.81449577</v>
      </c>
      <c r="AA115" s="1025">
        <f t="shared" ref="AA115" si="76">Z115+AA114</f>
        <v>140512784.57751063</v>
      </c>
      <c r="AB115" s="1025">
        <f t="shared" ref="AB115" si="77">AA115+AB114</f>
        <v>152193225.64593518</v>
      </c>
      <c r="AC115" s="1025">
        <f t="shared" ref="AC115" si="78">AB115+AC114</f>
        <v>163669289.09523335</v>
      </c>
      <c r="AD115" s="1025">
        <f t="shared" ref="AD115" si="79">AC115+AD114</f>
        <v>174884874.39177942</v>
      </c>
      <c r="AE115" s="1025">
        <f t="shared" ref="AE115" si="80">AD115+AE114</f>
        <v>185713661.66427276</v>
      </c>
      <c r="AF115" s="1025">
        <f t="shared" ref="AF115" si="81">AE115+AF114</f>
        <v>196764090.01474065</v>
      </c>
      <c r="AG115" s="1025">
        <f t="shared" ref="AG115" si="82">AF115+AG114</f>
        <v>211272508.46323705</v>
      </c>
    </row>
    <row r="116" spans="2:33" ht="21.95" customHeight="1" x14ac:dyDescent="0.2">
      <c r="B116" s="1" t="s">
        <v>486</v>
      </c>
      <c r="C116" s="1" t="str">
        <f t="shared" ref="C116:C122" si="83">C103</f>
        <v>Benefits</v>
      </c>
      <c r="D116" s="25"/>
      <c r="E116" s="11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row>
    <row r="117" spans="2:33" ht="21.95" customHeight="1" x14ac:dyDescent="0.2">
      <c r="C117" t="str">
        <f t="shared" si="83"/>
        <v>Improved Safety</v>
      </c>
      <c r="D117" s="979"/>
      <c r="E117" s="973">
        <f t="shared" ref="E117" si="84">SUM(_xlfn.ANCHORARRAY(F117))</f>
        <v>48366154.025280379</v>
      </c>
      <c r="F117" s="979" cm="1">
        <f t="array" ref="F117:AG117">_xlfn.ANCHORARRAY(F88) * discountAnnual</f>
        <v>0</v>
      </c>
      <c r="G117" s="979">
        <v>0</v>
      </c>
      <c r="H117" s="979">
        <v>0</v>
      </c>
      <c r="I117" s="979">
        <v>0</v>
      </c>
      <c r="J117" s="979">
        <v>0</v>
      </c>
      <c r="K117" s="979">
        <v>0</v>
      </c>
      <c r="L117" s="979">
        <v>0</v>
      </c>
      <c r="M117" s="979">
        <v>0</v>
      </c>
      <c r="N117" s="979">
        <v>1340581.9342681968</v>
      </c>
      <c r="O117" s="979">
        <v>1384254.6224845487</v>
      </c>
      <c r="P117" s="979">
        <v>1433277.8706040871</v>
      </c>
      <c r="Q117" s="979">
        <v>1488462.579890321</v>
      </c>
      <c r="R117" s="979">
        <v>1550750.2734953803</v>
      </c>
      <c r="S117" s="979">
        <v>1621234.5468916423</v>
      </c>
      <c r="T117" s="979">
        <v>1701186.081804496</v>
      </c>
      <c r="U117" s="979">
        <v>1792081.8191344293</v>
      </c>
      <c r="V117" s="979">
        <v>1895638.9862130894</v>
      </c>
      <c r="W117" s="979">
        <v>2013854.7903742304</v>
      </c>
      <c r="X117" s="979">
        <v>2149052.7270596283</v>
      </c>
      <c r="Y117" s="979">
        <v>2303936.6098210653</v>
      </c>
      <c r="Z117" s="979">
        <v>2481653.6154768369</v>
      </c>
      <c r="AA117" s="979">
        <v>2685867.8548385976</v>
      </c>
      <c r="AB117" s="979">
        <v>2920846.2331037875</v>
      </c>
      <c r="AC117" s="979">
        <v>3191558.6603598036</v>
      </c>
      <c r="AD117" s="979">
        <v>3503795.018852442</v>
      </c>
      <c r="AE117">
        <v>3864301.6981291492</v>
      </c>
      <c r="AF117">
        <v>4280940.9816862503</v>
      </c>
      <c r="AG117">
        <v>4762877.1207924066</v>
      </c>
    </row>
    <row r="118" spans="2:33" ht="21.95" customHeight="1" x14ac:dyDescent="0.2">
      <c r="C118" t="str">
        <f t="shared" si="83"/>
        <v>Travel Time Savings</v>
      </c>
      <c r="D118" s="979"/>
      <c r="E118" s="974">
        <f>SUM(_xlfn.ANCHORARRAY(F118))</f>
        <v>214481432.36424521</v>
      </c>
      <c r="F118" s="999" cm="1">
        <f t="array" ref="F118:AG118">F89:AG89 * discountAnnual</f>
        <v>0</v>
      </c>
      <c r="G118" s="979">
        <v>0</v>
      </c>
      <c r="H118" s="979">
        <v>32163.382486889834</v>
      </c>
      <c r="I118" s="979">
        <v>424664.74542434368</v>
      </c>
      <c r="J118" s="979">
        <v>9527.8309609074749</v>
      </c>
      <c r="K118" s="979">
        <v>610789.80110755027</v>
      </c>
      <c r="L118" s="979">
        <v>1319272.5671544524</v>
      </c>
      <c r="M118" s="979">
        <v>2761777.7283862531</v>
      </c>
      <c r="N118" s="979">
        <v>7273923.6968042385</v>
      </c>
      <c r="O118" s="979">
        <v>8183353.2238373524</v>
      </c>
      <c r="P118" s="979">
        <v>10003855.110387553</v>
      </c>
      <c r="Q118" s="979">
        <v>11842029.918305034</v>
      </c>
      <c r="R118" s="979">
        <v>13638225.589423595</v>
      </c>
      <c r="S118" s="979">
        <v>13832651.01049771</v>
      </c>
      <c r="T118" s="979">
        <v>14122605.275201254</v>
      </c>
      <c r="U118" s="979">
        <v>13552094.192800961</v>
      </c>
      <c r="V118" s="979">
        <v>12594699.288652018</v>
      </c>
      <c r="W118" s="979">
        <v>11763789.679067656</v>
      </c>
      <c r="X118" s="979">
        <v>11220302.847389786</v>
      </c>
      <c r="Y118" s="979">
        <v>10698162.222736524</v>
      </c>
      <c r="Z118" s="979">
        <v>10178077.142383028</v>
      </c>
      <c r="AA118" s="979">
        <v>9676843.0671431478</v>
      </c>
      <c r="AB118" s="979">
        <v>9277753.0003394913</v>
      </c>
      <c r="AC118" s="979">
        <v>8913065.1671599578</v>
      </c>
      <c r="AD118" s="979">
        <v>8575969.7045951262</v>
      </c>
      <c r="AE118">
        <v>8266450.9427604582</v>
      </c>
      <c r="AF118">
        <v>7983207.3378415331</v>
      </c>
      <c r="AG118">
        <v>7726177.8913983786</v>
      </c>
    </row>
    <row r="119" spans="2:33" ht="21.95" customHeight="1" x14ac:dyDescent="0.2">
      <c r="C119" t="str">
        <f t="shared" si="83"/>
        <v>NOx Emissions Savings</v>
      </c>
      <c r="D119" s="979"/>
      <c r="E119" s="973">
        <f t="shared" ref="E119:E120" si="85">SUM(_xlfn.ANCHORARRAY(F119))</f>
        <v>1485732.7182121829</v>
      </c>
      <c r="F119" s="979" cm="1">
        <f t="array" ref="F119:AG119">F90:AG90 * discountAnnual</f>
        <v>0</v>
      </c>
      <c r="G119" s="979">
        <v>0</v>
      </c>
      <c r="H119" s="979">
        <v>1483.9367159405238</v>
      </c>
      <c r="I119" s="979">
        <v>-6587.2771577118201</v>
      </c>
      <c r="J119" s="979">
        <v>137.07100038892665</v>
      </c>
      <c r="K119" s="979">
        <v>11547.144761008625</v>
      </c>
      <c r="L119" s="979">
        <v>21962.580631141176</v>
      </c>
      <c r="M119" s="979">
        <v>31251.094505426467</v>
      </c>
      <c r="N119" s="979">
        <v>39753.847464253849</v>
      </c>
      <c r="O119" s="979">
        <v>47167.893271784174</v>
      </c>
      <c r="P119" s="979">
        <v>59370.187803594556</v>
      </c>
      <c r="Q119" s="979">
        <v>70078.486197912571</v>
      </c>
      <c r="R119" s="979">
        <v>79130.115826152338</v>
      </c>
      <c r="S119" s="979">
        <v>86701.243724613305</v>
      </c>
      <c r="T119" s="979">
        <v>92942.002175287023</v>
      </c>
      <c r="U119" s="979">
        <v>94787.736937822177</v>
      </c>
      <c r="V119" s="979">
        <v>91705.96580459323</v>
      </c>
      <c r="W119" s="979">
        <v>87969.361207712718</v>
      </c>
      <c r="X119" s="979">
        <v>84326.878773762277</v>
      </c>
      <c r="Y119" s="979">
        <v>80782.38149697581</v>
      </c>
      <c r="Z119" s="979">
        <v>76657.282023975975</v>
      </c>
      <c r="AA119" s="979">
        <v>72638.132757004307</v>
      </c>
      <c r="AB119" s="979">
        <v>68818.127192390035</v>
      </c>
      <c r="AC119" s="979">
        <v>65187.055144300539</v>
      </c>
      <c r="AD119" s="979">
        <v>61734.529533373381</v>
      </c>
      <c r="AE119">
        <v>58458.056523806343</v>
      </c>
      <c r="AF119">
        <v>55342.949171875836</v>
      </c>
      <c r="AG119">
        <v>52385.934724798528</v>
      </c>
    </row>
    <row r="120" spans="2:33" ht="21.95" customHeight="1" x14ac:dyDescent="0.2">
      <c r="C120" t="str">
        <f t="shared" si="83"/>
        <v>SOx Emissions Savings</v>
      </c>
      <c r="D120" s="979"/>
      <c r="E120" s="973">
        <f t="shared" si="85"/>
        <v>5315.9613287356624</v>
      </c>
      <c r="F120" s="979" cm="1">
        <f t="array" ref="F120:AG120">F91:AG91 * discountAnnual</f>
        <v>0</v>
      </c>
      <c r="G120" s="979">
        <v>0</v>
      </c>
      <c r="H120" s="979">
        <v>7.8585972801123321</v>
      </c>
      <c r="I120" s="979">
        <v>-43.791030885504554</v>
      </c>
      <c r="J120" s="979">
        <v>-39.210174248501374</v>
      </c>
      <c r="K120" s="979">
        <v>-6.3181535396413642</v>
      </c>
      <c r="L120" s="979">
        <v>23.550653800473686</v>
      </c>
      <c r="M120" s="979">
        <v>50.489323895941759</v>
      </c>
      <c r="N120" s="979">
        <v>74.751774513542202</v>
      </c>
      <c r="O120" s="979">
        <v>96.535582687536575</v>
      </c>
      <c r="P120" s="979">
        <v>165.66307891326275</v>
      </c>
      <c r="Q120" s="979">
        <v>226.49458321745217</v>
      </c>
      <c r="R120" s="979">
        <v>278.65167440075157</v>
      </c>
      <c r="S120" s="979">
        <v>323.03353262101757</v>
      </c>
      <c r="T120" s="979">
        <v>360.41563590339922</v>
      </c>
      <c r="U120" s="979">
        <v>374.49904319143104</v>
      </c>
      <c r="V120" s="979">
        <v>363.05589832330139</v>
      </c>
      <c r="W120" s="979">
        <v>349.0093474161709</v>
      </c>
      <c r="X120" s="979">
        <v>335.23806085970898</v>
      </c>
      <c r="Y120" s="979">
        <v>321.76496706458221</v>
      </c>
      <c r="Z120" s="979">
        <v>306.00388450065526</v>
      </c>
      <c r="AA120" s="979">
        <v>290.58986260490599</v>
      </c>
      <c r="AB120" s="979">
        <v>275.88891218786142</v>
      </c>
      <c r="AC120" s="979">
        <v>261.86776965422081</v>
      </c>
      <c r="AD120" s="979">
        <v>248.49076773129622</v>
      </c>
      <c r="AE120">
        <v>235.75774692805518</v>
      </c>
      <c r="AF120">
        <v>223.61528596757972</v>
      </c>
      <c r="AG120">
        <v>212.0547037460517</v>
      </c>
    </row>
    <row r="121" spans="2:33" ht="21.95" customHeight="1" x14ac:dyDescent="0.2">
      <c r="C121" t="str">
        <f t="shared" si="83"/>
        <v>PM2.5 Emissions Savings</v>
      </c>
      <c r="D121" s="979"/>
      <c r="E121" s="973">
        <f t="shared" ref="E121:E124" si="86">SUM(_xlfn.ANCHORARRAY(F121))</f>
        <v>2201148.9537430969</v>
      </c>
      <c r="F121" s="979" cm="1">
        <f t="array" ref="F121:AG121">F92:AG92 * discountAnnual</f>
        <v>0</v>
      </c>
      <c r="G121" s="979">
        <v>0</v>
      </c>
      <c r="H121" s="979">
        <v>2305.648584243459</v>
      </c>
      <c r="I121" s="979">
        <v>-10611.237373117894</v>
      </c>
      <c r="J121" s="979">
        <v>-1272.3624543551466</v>
      </c>
      <c r="K121" s="979">
        <v>15563.612853867728</v>
      </c>
      <c r="L121" s="979">
        <v>30713.476834985457</v>
      </c>
      <c r="M121" s="979">
        <v>44296.311048406787</v>
      </c>
      <c r="N121" s="979">
        <v>56411.659983856109</v>
      </c>
      <c r="O121" s="979">
        <v>67200.264811128291</v>
      </c>
      <c r="P121" s="979">
        <v>86211.475950642372</v>
      </c>
      <c r="Q121" s="979">
        <v>102901.21372586882</v>
      </c>
      <c r="R121" s="979">
        <v>117036.04211072177</v>
      </c>
      <c r="S121" s="979">
        <v>128886.78920991125</v>
      </c>
      <c r="T121" s="979">
        <v>138684.59721488561</v>
      </c>
      <c r="U121" s="979">
        <v>141693.87399573854</v>
      </c>
      <c r="V121" s="979">
        <v>137114.0659550213</v>
      </c>
      <c r="W121" s="979">
        <v>131554.78003929756</v>
      </c>
      <c r="X121" s="979">
        <v>126132.63427949196</v>
      </c>
      <c r="Y121" s="979">
        <v>120853.68569418363</v>
      </c>
      <c r="Z121" s="979">
        <v>114707.03960585411</v>
      </c>
      <c r="AA121" s="979">
        <v>108716.13821918498</v>
      </c>
      <c r="AB121" s="979">
        <v>103020.21159222879</v>
      </c>
      <c r="AC121" s="979">
        <v>97604.257654104222</v>
      </c>
      <c r="AD121" s="979">
        <v>92452.947102197169</v>
      </c>
      <c r="AE121">
        <v>87562.90910709025</v>
      </c>
      <c r="AF121">
        <v>82912.358492151921</v>
      </c>
      <c r="AG121">
        <v>78496.559505507874</v>
      </c>
    </row>
    <row r="122" spans="2:33" ht="21.95" customHeight="1" x14ac:dyDescent="0.2">
      <c r="C122" t="str">
        <f t="shared" si="83"/>
        <v>CO2 Emissions Savings</v>
      </c>
      <c r="D122" s="979"/>
      <c r="E122" s="973">
        <f t="shared" si="86"/>
        <v>80550394.361044496</v>
      </c>
      <c r="F122" s="979" cm="1">
        <f t="array" ref="F122:AG122">F93:AG93 * discountAnnualCO2</f>
        <v>0</v>
      </c>
      <c r="G122" s="979">
        <v>0</v>
      </c>
      <c r="H122" s="979">
        <v>50326.08423489143</v>
      </c>
      <c r="I122" s="979">
        <v>-280673.9525478009</v>
      </c>
      <c r="J122" s="979">
        <v>-221915.43337550314</v>
      </c>
      <c r="K122" s="979">
        <v>39973.548468560919</v>
      </c>
      <c r="L122" s="979">
        <v>295376.68360337452</v>
      </c>
      <c r="M122" s="979">
        <v>544219.19180527423</v>
      </c>
      <c r="N122" s="979">
        <v>785837.12404971279</v>
      </c>
      <c r="O122" s="979">
        <v>1036749.8844959931</v>
      </c>
      <c r="P122" s="979">
        <v>1698973.3487760716</v>
      </c>
      <c r="Q122" s="979">
        <v>2353250.4767699274</v>
      </c>
      <c r="R122" s="979">
        <v>2987581.2346079447</v>
      </c>
      <c r="S122" s="979">
        <v>3602255.0850151293</v>
      </c>
      <c r="T122" s="979">
        <v>4197121.4615201354</v>
      </c>
      <c r="U122" s="979">
        <v>4640515.9309245832</v>
      </c>
      <c r="V122" s="979">
        <v>4736213.7634569444</v>
      </c>
      <c r="W122" s="979">
        <v>4792303.4691629959</v>
      </c>
      <c r="X122" s="979">
        <v>4844418.6792918043</v>
      </c>
      <c r="Y122" s="979">
        <v>4892621.7161521176</v>
      </c>
      <c r="Z122" s="979">
        <v>4958469.196308245</v>
      </c>
      <c r="AA122" s="979">
        <v>4951910.5080953315</v>
      </c>
      <c r="AB122" s="979">
        <v>4943503.346572035</v>
      </c>
      <c r="AC122" s="979">
        <v>4933204.6130903494</v>
      </c>
      <c r="AD122" s="979">
        <v>4920894.368532463</v>
      </c>
      <c r="AE122">
        <v>4966245.1027949499</v>
      </c>
      <c r="AF122">
        <v>4949613.8538505323</v>
      </c>
      <c r="AG122">
        <v>4931405.0753884353</v>
      </c>
    </row>
    <row r="123" spans="2:33" ht="21.95" customHeight="1" x14ac:dyDescent="0.2">
      <c r="C123" t="s">
        <v>214</v>
      </c>
      <c r="D123" s="972"/>
      <c r="E123" s="974">
        <f t="shared" si="86"/>
        <v>3701819.8561858609</v>
      </c>
      <c r="F123" s="972" cm="1">
        <f t="array" ref="F123:AG123">F94:AG94 * discountAnnual</f>
        <v>0</v>
      </c>
      <c r="G123" s="979">
        <v>0</v>
      </c>
      <c r="H123" s="979">
        <v>0</v>
      </c>
      <c r="I123" s="979">
        <v>0</v>
      </c>
      <c r="J123" s="979">
        <v>1727173.2859193978</v>
      </c>
      <c r="K123" s="979">
        <v>0</v>
      </c>
      <c r="L123" s="979">
        <v>0</v>
      </c>
      <c r="M123" s="979">
        <v>-5583.7144012617846</v>
      </c>
      <c r="N123" s="979">
        <v>-5218.4246740764338</v>
      </c>
      <c r="O123" s="979">
        <v>-90225.099505059858</v>
      </c>
      <c r="P123" s="979">
        <v>-4557.9742109148692</v>
      </c>
      <c r="Q123" s="979">
        <v>-4259.788982163429</v>
      </c>
      <c r="R123" s="979">
        <v>-3981.1111982835791</v>
      </c>
      <c r="S123" s="979">
        <v>-3720.6646712930642</v>
      </c>
      <c r="T123" s="979">
        <v>2813100.672033729</v>
      </c>
      <c r="U123" s="979">
        <v>-3249.7726188252809</v>
      </c>
      <c r="V123" s="979">
        <v>-3037.1706717993284</v>
      </c>
      <c r="W123" s="979">
        <v>-2838.4772633638586</v>
      </c>
      <c r="X123" s="979">
        <v>-2652.7824891251007</v>
      </c>
      <c r="Y123" s="979">
        <v>-45865.865466181662</v>
      </c>
      <c r="Z123" s="979">
        <v>-2317.042963686873</v>
      </c>
      <c r="AA123" s="979">
        <v>-2165.4607137260496</v>
      </c>
      <c r="AB123" s="979">
        <v>-2023.7950595570558</v>
      </c>
      <c r="AC123" s="979">
        <v>-1891.3972519224819</v>
      </c>
      <c r="AD123" s="979">
        <v>-191791.21666690588</v>
      </c>
      <c r="AE123">
        <v>-460087.4614904456</v>
      </c>
      <c r="AF123">
        <v>-1543.943561101514</v>
      </c>
      <c r="AG123">
        <v>-1442.937907571508</v>
      </c>
    </row>
    <row r="124" spans="2:33" ht="21.95" customHeight="1" x14ac:dyDescent="0.2">
      <c r="C124" s="45" t="str">
        <f>C111</f>
        <v>Residual Value of Assets</v>
      </c>
      <c r="D124" s="1005"/>
      <c r="E124" s="1000">
        <f t="shared" si="86"/>
        <v>4582578.4027261008</v>
      </c>
      <c r="F124" s="1005" cm="1">
        <f t="array" ref="F124:AG124">_xlfn.ANCHORARRAY(F95) * discountAnnual</f>
        <v>0</v>
      </c>
      <c r="G124" s="1005">
        <v>0</v>
      </c>
      <c r="H124" s="1005">
        <v>0</v>
      </c>
      <c r="I124" s="1005">
        <v>0</v>
      </c>
      <c r="J124" s="1005">
        <v>0</v>
      </c>
      <c r="K124" s="1005">
        <v>0</v>
      </c>
      <c r="L124" s="1005">
        <v>0</v>
      </c>
      <c r="M124" s="1005">
        <v>0</v>
      </c>
      <c r="N124" s="1005">
        <v>0</v>
      </c>
      <c r="O124" s="1005">
        <v>0</v>
      </c>
      <c r="P124" s="1005">
        <v>0</v>
      </c>
      <c r="Q124" s="1005">
        <v>0</v>
      </c>
      <c r="R124" s="1005">
        <v>0</v>
      </c>
      <c r="S124" s="1005">
        <v>0</v>
      </c>
      <c r="T124" s="1005">
        <v>0</v>
      </c>
      <c r="U124" s="1005">
        <v>0</v>
      </c>
      <c r="V124" s="1005">
        <v>0</v>
      </c>
      <c r="W124" s="1005">
        <v>0</v>
      </c>
      <c r="X124" s="1005">
        <v>0</v>
      </c>
      <c r="Y124" s="1005">
        <v>0</v>
      </c>
      <c r="Z124" s="1005">
        <v>0</v>
      </c>
      <c r="AA124" s="1005">
        <v>0</v>
      </c>
      <c r="AB124" s="1005">
        <v>0</v>
      </c>
      <c r="AC124" s="1005">
        <v>0</v>
      </c>
      <c r="AD124" s="1005">
        <v>0</v>
      </c>
      <c r="AE124">
        <v>0</v>
      </c>
      <c r="AF124">
        <v>0</v>
      </c>
      <c r="AG124">
        <v>4582578.4027261008</v>
      </c>
    </row>
    <row r="125" spans="2:33" ht="21.95" customHeight="1" x14ac:dyDescent="0.2">
      <c r="C125" s="1" t="s">
        <v>52</v>
      </c>
      <c r="D125" s="25"/>
      <c r="E125" s="115">
        <f>SUM(F125:AG125)</f>
        <v>355374576.642766</v>
      </c>
      <c r="F125" s="1006">
        <f t="shared" ref="F125:AG125" si="87">SUM(F117:F124)</f>
        <v>0</v>
      </c>
      <c r="G125" s="1006">
        <f t="shared" si="87"/>
        <v>0</v>
      </c>
      <c r="H125" s="1006">
        <f t="shared" si="87"/>
        <v>86286.910619245362</v>
      </c>
      <c r="I125" s="1006">
        <f t="shared" si="87"/>
        <v>126748.48731482762</v>
      </c>
      <c r="J125" s="1006">
        <f t="shared" si="87"/>
        <v>1513611.1818765874</v>
      </c>
      <c r="K125" s="1006">
        <f t="shared" si="87"/>
        <v>677867.78903744789</v>
      </c>
      <c r="L125" s="1006">
        <f t="shared" si="87"/>
        <v>1667348.8588777538</v>
      </c>
      <c r="M125" s="1006">
        <f t="shared" si="87"/>
        <v>3376011.1006679945</v>
      </c>
      <c r="N125" s="1006">
        <f t="shared" si="87"/>
        <v>9491364.5896706954</v>
      </c>
      <c r="O125" s="1006">
        <f t="shared" si="87"/>
        <v>10628597.324978434</v>
      </c>
      <c r="P125" s="1006">
        <f t="shared" si="87"/>
        <v>13277295.682389947</v>
      </c>
      <c r="Q125" s="1006">
        <f t="shared" si="87"/>
        <v>15852689.380490117</v>
      </c>
      <c r="R125" s="1006">
        <f t="shared" si="87"/>
        <v>18369020.795939911</v>
      </c>
      <c r="S125" s="1006">
        <f t="shared" si="87"/>
        <v>19268331.044200331</v>
      </c>
      <c r="T125" s="1006">
        <f t="shared" si="87"/>
        <v>23066000.505585685</v>
      </c>
      <c r="U125" s="1006">
        <f t="shared" si="87"/>
        <v>20218298.280217897</v>
      </c>
      <c r="V125" s="1006">
        <f t="shared" si="87"/>
        <v>19452697.955308191</v>
      </c>
      <c r="W125" s="1006">
        <f t="shared" si="87"/>
        <v>18786982.611935943</v>
      </c>
      <c r="X125" s="1006">
        <f t="shared" si="87"/>
        <v>18421916.222366206</v>
      </c>
      <c r="Y125" s="1006">
        <f t="shared" si="87"/>
        <v>18050812.515401751</v>
      </c>
      <c r="Z125" s="1006">
        <f t="shared" si="87"/>
        <v>17807553.236718751</v>
      </c>
      <c r="AA125" s="1006">
        <f t="shared" si="87"/>
        <v>17494100.830202144</v>
      </c>
      <c r="AB125" s="1006">
        <f t="shared" si="87"/>
        <v>17312193.012652561</v>
      </c>
      <c r="AC125" s="1006">
        <f t="shared" si="87"/>
        <v>17198990.22392625</v>
      </c>
      <c r="AD125" s="1006">
        <f t="shared" si="87"/>
        <v>16963303.842716426</v>
      </c>
      <c r="AE125" s="1006">
        <f t="shared" si="87"/>
        <v>16783167.005571935</v>
      </c>
      <c r="AF125" s="1006">
        <f t="shared" si="87"/>
        <v>17350697.152767207</v>
      </c>
      <c r="AG125" s="1006">
        <f t="shared" si="87"/>
        <v>22132690.1013318</v>
      </c>
    </row>
    <row r="126" spans="2:33" ht="21.95" customHeight="1" x14ac:dyDescent="0.2">
      <c r="C126" s="1024" t="str">
        <f>C113</f>
        <v>Capital Costs</v>
      </c>
      <c r="D126" s="1025"/>
      <c r="E126" s="1026">
        <f>SUM(_xlfn.ANCHORARRAY(F126))</f>
        <v>74339783.060167819</v>
      </c>
      <c r="F126" s="1025" cm="1">
        <f t="array" ref="F126:AG126">F97:AG97 *discountAnnual</f>
        <v>0</v>
      </c>
      <c r="G126" s="1025">
        <v>2339528.3596919724</v>
      </c>
      <c r="H126" s="1025">
        <v>4763843.8943738425</v>
      </c>
      <c r="I126" s="1025">
        <v>3505646.5825563725</v>
      </c>
      <c r="J126" s="1025">
        <v>25310407.749277331</v>
      </c>
      <c r="K126" s="1025">
        <v>23654586.681567598</v>
      </c>
      <c r="L126" s="1025">
        <v>10607856.86380112</v>
      </c>
      <c r="M126" s="1025">
        <v>4157912.9288995885</v>
      </c>
      <c r="N126" s="1025">
        <v>0</v>
      </c>
      <c r="O126" s="1025">
        <v>0</v>
      </c>
      <c r="P126" s="1025">
        <v>0</v>
      </c>
      <c r="Q126" s="1025">
        <v>0</v>
      </c>
      <c r="R126" s="1025">
        <v>0</v>
      </c>
      <c r="S126" s="1025">
        <v>0</v>
      </c>
      <c r="T126" s="1025">
        <v>0</v>
      </c>
      <c r="U126" s="1025">
        <v>0</v>
      </c>
      <c r="V126" s="1025">
        <v>0</v>
      </c>
      <c r="W126" s="1025">
        <v>0</v>
      </c>
      <c r="X126" s="1025">
        <v>0</v>
      </c>
      <c r="Y126" s="1025">
        <v>0</v>
      </c>
      <c r="Z126" s="1025">
        <v>0</v>
      </c>
      <c r="AA126" s="1025">
        <v>0</v>
      </c>
      <c r="AB126" s="1025">
        <v>0</v>
      </c>
      <c r="AC126" s="1025">
        <v>0</v>
      </c>
      <c r="AD126" s="1025">
        <v>0</v>
      </c>
      <c r="AE126">
        <v>0</v>
      </c>
      <c r="AF126">
        <v>0</v>
      </c>
      <c r="AG126">
        <v>0</v>
      </c>
    </row>
    <row r="127" spans="2:33" ht="21.95" customHeight="1" x14ac:dyDescent="0.2">
      <c r="C127" s="1" t="s">
        <v>54</v>
      </c>
      <c r="D127" s="25"/>
      <c r="E127" s="115">
        <f>SUM(F127:AG127)</f>
        <v>281034793.58259821</v>
      </c>
      <c r="F127" s="25">
        <f>F125-F126</f>
        <v>0</v>
      </c>
      <c r="G127" s="25">
        <f t="shared" ref="G127:AG127" si="88">G125-G126</f>
        <v>-2339528.3596919724</v>
      </c>
      <c r="H127" s="25">
        <f t="shared" si="88"/>
        <v>-4677556.9837545976</v>
      </c>
      <c r="I127" s="25">
        <f t="shared" si="88"/>
        <v>-3378898.0952415448</v>
      </c>
      <c r="J127" s="25">
        <f t="shared" si="88"/>
        <v>-23796796.567400742</v>
      </c>
      <c r="K127" s="25">
        <f t="shared" si="88"/>
        <v>-22976718.892530151</v>
      </c>
      <c r="L127" s="25">
        <f t="shared" si="88"/>
        <v>-8940508.004923366</v>
      </c>
      <c r="M127" s="25">
        <f t="shared" si="88"/>
        <v>-781901.82823159406</v>
      </c>
      <c r="N127" s="25">
        <f t="shared" si="88"/>
        <v>9491364.5896706954</v>
      </c>
      <c r="O127" s="25">
        <f t="shared" si="88"/>
        <v>10628597.324978434</v>
      </c>
      <c r="P127" s="25">
        <f t="shared" si="88"/>
        <v>13277295.682389947</v>
      </c>
      <c r="Q127" s="25">
        <f t="shared" si="88"/>
        <v>15852689.380490117</v>
      </c>
      <c r="R127" s="25">
        <f t="shared" si="88"/>
        <v>18369020.795939911</v>
      </c>
      <c r="S127" s="25">
        <f t="shared" si="88"/>
        <v>19268331.044200331</v>
      </c>
      <c r="T127" s="25">
        <f t="shared" si="88"/>
        <v>23066000.505585685</v>
      </c>
      <c r="U127" s="25">
        <f t="shared" si="88"/>
        <v>20218298.280217897</v>
      </c>
      <c r="V127" s="25">
        <f t="shared" si="88"/>
        <v>19452697.955308191</v>
      </c>
      <c r="W127" s="25">
        <f t="shared" si="88"/>
        <v>18786982.611935943</v>
      </c>
      <c r="X127" s="25">
        <f t="shared" si="88"/>
        <v>18421916.222366206</v>
      </c>
      <c r="Y127" s="25">
        <f t="shared" si="88"/>
        <v>18050812.515401751</v>
      </c>
      <c r="Z127" s="25">
        <f t="shared" si="88"/>
        <v>17807553.236718751</v>
      </c>
      <c r="AA127" s="25">
        <f t="shared" si="88"/>
        <v>17494100.830202144</v>
      </c>
      <c r="AB127" s="25">
        <f t="shared" si="88"/>
        <v>17312193.012652561</v>
      </c>
      <c r="AC127" s="25">
        <f t="shared" si="88"/>
        <v>17198990.22392625</v>
      </c>
      <c r="AD127" s="25">
        <f t="shared" si="88"/>
        <v>16963303.842716426</v>
      </c>
      <c r="AE127" s="25">
        <f t="shared" si="88"/>
        <v>16783167.005571935</v>
      </c>
      <c r="AF127" s="25">
        <f t="shared" si="88"/>
        <v>17350697.152767207</v>
      </c>
      <c r="AG127" s="25">
        <f t="shared" si="88"/>
        <v>22132690.1013318</v>
      </c>
    </row>
    <row r="128" spans="2:33" ht="21.95" customHeight="1" x14ac:dyDescent="0.2">
      <c r="B128" s="45"/>
      <c r="C128" s="1024" t="s">
        <v>55</v>
      </c>
      <c r="D128" s="1025"/>
      <c r="E128" s="1026"/>
      <c r="F128" s="1025">
        <f>F127</f>
        <v>0</v>
      </c>
      <c r="G128" s="1025">
        <f>F128+G127</f>
        <v>-2339528.3596919724</v>
      </c>
      <c r="H128" s="1025">
        <f t="shared" ref="H128" si="89">G128+H127</f>
        <v>-7017085.3434465695</v>
      </c>
      <c r="I128" s="1025">
        <f t="shared" ref="I128" si="90">H128+I127</f>
        <v>-10395983.438688114</v>
      </c>
      <c r="J128" s="1025">
        <f t="shared" ref="J128" si="91">I128+J127</f>
        <v>-34192780.006088853</v>
      </c>
      <c r="K128" s="1025">
        <f t="shared" ref="K128" si="92">J128+K127</f>
        <v>-57169498.898619004</v>
      </c>
      <c r="L128" s="1025">
        <f t="shared" ref="L128" si="93">K128+L127</f>
        <v>-66110006.90354237</v>
      </c>
      <c r="M128" s="1025">
        <f t="shared" ref="M128" si="94">L128+M127</f>
        <v>-66891908.731773965</v>
      </c>
      <c r="N128" s="1025">
        <f t="shared" ref="N128" si="95">M128+N127</f>
        <v>-57400544.14210327</v>
      </c>
      <c r="O128" s="1025">
        <f t="shared" ref="O128" si="96">N128+O127</f>
        <v>-46771946.817124836</v>
      </c>
      <c r="P128" s="1025">
        <f t="shared" ref="P128" si="97">O128+P127</f>
        <v>-33494651.134734891</v>
      </c>
      <c r="Q128" s="1025">
        <f t="shared" ref="Q128" si="98">P128+Q127</f>
        <v>-17641961.754244775</v>
      </c>
      <c r="R128" s="1025">
        <f t="shared" ref="R128" si="99">Q128+R127</f>
        <v>727059.04169513658</v>
      </c>
      <c r="S128" s="1025">
        <f t="shared" ref="S128" si="100">R128+S127</f>
        <v>19995390.085895468</v>
      </c>
      <c r="T128" s="1025">
        <f t="shared" ref="T128" si="101">S128+T127</f>
        <v>43061390.591481149</v>
      </c>
      <c r="U128" s="1025">
        <f t="shared" ref="U128" si="102">T128+U127</f>
        <v>63279688.87169905</v>
      </c>
      <c r="V128" s="1025">
        <f t="shared" ref="V128" si="103">U128+V127</f>
        <v>82732386.827007234</v>
      </c>
      <c r="W128" s="1025">
        <f t="shared" ref="W128" si="104">V128+W127</f>
        <v>101519369.43894318</v>
      </c>
      <c r="X128" s="1025">
        <f t="shared" ref="X128" si="105">W128+X127</f>
        <v>119941285.66130939</v>
      </c>
      <c r="Y128" s="1025">
        <f t="shared" ref="Y128" si="106">X128+Y127</f>
        <v>137992098.17671114</v>
      </c>
      <c r="Z128" s="1025">
        <f t="shared" ref="Z128" si="107">Y128+Z127</f>
        <v>155799651.41342989</v>
      </c>
      <c r="AA128" s="1025">
        <f t="shared" ref="AA128" si="108">Z128+AA127</f>
        <v>173293752.24363202</v>
      </c>
      <c r="AB128" s="1025">
        <f t="shared" ref="AB128" si="109">AA128+AB127</f>
        <v>190605945.25628459</v>
      </c>
      <c r="AC128" s="1025">
        <f t="shared" ref="AC128" si="110">AB128+AC127</f>
        <v>207804935.48021084</v>
      </c>
      <c r="AD128" s="1025">
        <f t="shared" ref="AD128" si="111">AC128+AD127</f>
        <v>224768239.32292727</v>
      </c>
      <c r="AE128" s="1025">
        <f t="shared" ref="AE128" si="112">AD128+AE127</f>
        <v>241551406.3284992</v>
      </c>
      <c r="AF128" s="1025">
        <f t="shared" ref="AF128" si="113">AE128+AF127</f>
        <v>258902103.48126641</v>
      </c>
      <c r="AG128" s="1025">
        <f t="shared" ref="AG128" si="114">AF128+AG127</f>
        <v>281034793.58259821</v>
      </c>
    </row>
    <row r="129" spans="2:44" ht="21.95" customHeight="1" x14ac:dyDescent="0.2">
      <c r="C129" s="1"/>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row>
    <row r="130" spans="2:44" ht="21.95" customHeight="1" x14ac:dyDescent="0.2">
      <c r="C130" s="1"/>
      <c r="D130" s="1"/>
      <c r="E130" s="1"/>
      <c r="F130" s="5"/>
      <c r="G130" s="5"/>
      <c r="H130" s="5"/>
      <c r="I130" s="5"/>
      <c r="J130" s="5"/>
      <c r="K130" s="5"/>
      <c r="L130" s="5"/>
      <c r="M130" s="5"/>
      <c r="N130" s="5"/>
      <c r="O130" s="5"/>
      <c r="P130" s="5"/>
      <c r="Q130" s="5"/>
      <c r="R130" s="5"/>
      <c r="S130" s="5"/>
      <c r="T130" s="5"/>
      <c r="AR130" s="5"/>
    </row>
    <row r="131" spans="2:44" ht="21.95" customHeight="1" x14ac:dyDescent="0.2">
      <c r="B131" s="1256" t="s">
        <v>76</v>
      </c>
      <c r="C131" s="3"/>
      <c r="D131" s="3"/>
      <c r="E131" s="3"/>
      <c r="F131"/>
      <c r="G131"/>
      <c r="H131"/>
      <c r="I131"/>
      <c r="M131" s="2"/>
      <c r="N131" s="2"/>
      <c r="O131" s="2"/>
      <c r="P131" s="2"/>
    </row>
    <row r="132" spans="2:44" ht="21.95" customHeight="1" x14ac:dyDescent="0.2">
      <c r="B132" s="975"/>
      <c r="C132" s="975"/>
      <c r="D132" s="975"/>
      <c r="E132" s="975"/>
      <c r="F132" s="975" cm="1">
        <f t="array" ref="F132:AG132">_xlfn.SEQUENCE(1, studyDuration, baseYear)</f>
        <v>2021</v>
      </c>
      <c r="G132" s="975">
        <v>2022</v>
      </c>
      <c r="H132" s="975">
        <v>2023</v>
      </c>
      <c r="I132" s="975">
        <v>2024</v>
      </c>
      <c r="J132" s="975">
        <v>2025</v>
      </c>
      <c r="K132" s="975">
        <v>2026</v>
      </c>
      <c r="L132" s="975">
        <v>2027</v>
      </c>
      <c r="M132" s="975">
        <v>2028</v>
      </c>
      <c r="N132" s="975">
        <v>2029</v>
      </c>
      <c r="O132" s="975">
        <v>2030</v>
      </c>
      <c r="P132" s="975">
        <v>2031</v>
      </c>
      <c r="Q132" s="975">
        <v>2032</v>
      </c>
      <c r="R132" s="975">
        <v>2033</v>
      </c>
      <c r="S132" s="975">
        <v>2034</v>
      </c>
      <c r="T132" s="975">
        <v>2035</v>
      </c>
      <c r="U132" s="975">
        <v>2036</v>
      </c>
      <c r="V132" s="975">
        <v>2037</v>
      </c>
      <c r="W132" s="975">
        <v>2038</v>
      </c>
      <c r="X132" s="975">
        <v>2039</v>
      </c>
      <c r="Y132" s="975">
        <v>2040</v>
      </c>
      <c r="Z132" s="975">
        <v>2041</v>
      </c>
      <c r="AA132" s="975">
        <v>2042</v>
      </c>
      <c r="AB132" s="975">
        <v>2043</v>
      </c>
      <c r="AC132" s="975">
        <v>2044</v>
      </c>
      <c r="AD132" s="975">
        <v>2045</v>
      </c>
      <c r="AE132">
        <v>2046</v>
      </c>
      <c r="AF132">
        <v>2047</v>
      </c>
      <c r="AG132">
        <v>2048</v>
      </c>
    </row>
    <row r="133" spans="2:44" ht="21.95" customHeight="1" x14ac:dyDescent="0.2">
      <c r="B133" t="s">
        <v>29</v>
      </c>
      <c r="E133"/>
      <c r="F133" s="27" cm="1">
        <f t="array" ref="F133:AG133">1/(1 + discount)^(year - baseYear)</f>
        <v>1</v>
      </c>
      <c r="G133" s="27">
        <v>0.93457943925233644</v>
      </c>
      <c r="H133" s="27">
        <v>0.87343872827321156</v>
      </c>
      <c r="I133" s="27">
        <v>0.81629787689085187</v>
      </c>
      <c r="J133" s="27">
        <v>0.7628952120475252</v>
      </c>
      <c r="K133" s="27">
        <v>0.71298617948366838</v>
      </c>
      <c r="L133" s="27">
        <v>0.66634222381651254</v>
      </c>
      <c r="M133" s="27">
        <v>0.62274974188459109</v>
      </c>
      <c r="N133" s="27">
        <v>0.5820091045650384</v>
      </c>
      <c r="O133" s="27">
        <v>0.54393374258414806</v>
      </c>
      <c r="P133" s="27">
        <v>0.5083492921347178</v>
      </c>
      <c r="Q133" s="27">
        <v>0.47509279638758667</v>
      </c>
      <c r="R133" s="27">
        <v>0.44401195924073528</v>
      </c>
      <c r="S133" s="27">
        <v>0.41496444788853759</v>
      </c>
      <c r="T133" s="27">
        <v>0.3878172410173249</v>
      </c>
      <c r="U133" s="27">
        <v>0.36244601964235967</v>
      </c>
      <c r="V133" s="27">
        <v>0.33873459779659787</v>
      </c>
      <c r="W133" s="27">
        <v>0.31657439046411018</v>
      </c>
      <c r="X133" s="27">
        <v>0.29586391632159825</v>
      </c>
      <c r="Y133" s="27">
        <v>0.27650833301083949</v>
      </c>
      <c r="Z133" s="27">
        <v>0.2584190028138687</v>
      </c>
      <c r="AA133" s="27">
        <v>0.24151308674193336</v>
      </c>
      <c r="AB133" s="27">
        <v>0.22571316517937698</v>
      </c>
      <c r="AC133" s="27">
        <v>0.21094688334521211</v>
      </c>
      <c r="AD133" s="27">
        <v>0.19714661994879637</v>
      </c>
      <c r="AE133">
        <v>0.18424917752223957</v>
      </c>
      <c r="AF133">
        <v>0.17219549301143888</v>
      </c>
      <c r="AG133">
        <v>0.16093036730041013</v>
      </c>
    </row>
    <row r="134" spans="2:44" ht="21.95" customHeight="1" x14ac:dyDescent="0.2">
      <c r="B134" s="45" t="s">
        <v>51</v>
      </c>
      <c r="C134" s="45"/>
      <c r="D134" s="45"/>
      <c r="E134" s="45"/>
      <c r="F134" s="1257" cm="1">
        <f t="array" ref="F134:AG134">1/(1 + discountCO2)^(year - baseYear)</f>
        <v>1</v>
      </c>
      <c r="G134" s="1257">
        <v>0.970873786407767</v>
      </c>
      <c r="H134" s="1257">
        <v>0.94259590913375435</v>
      </c>
      <c r="I134" s="1257">
        <v>0.91514165935315961</v>
      </c>
      <c r="J134" s="1257">
        <v>0.888487047915689</v>
      </c>
      <c r="K134" s="1257">
        <v>0.86260878438416411</v>
      </c>
      <c r="L134" s="1257">
        <v>0.83748425668365445</v>
      </c>
      <c r="M134" s="1257">
        <v>0.81309151134335378</v>
      </c>
      <c r="N134" s="1257">
        <v>0.78940923431393573</v>
      </c>
      <c r="O134" s="1257">
        <v>0.76641673234362695</v>
      </c>
      <c r="P134" s="1257">
        <v>0.74409391489672516</v>
      </c>
      <c r="Q134" s="1257">
        <v>0.72242127659876232</v>
      </c>
      <c r="R134" s="1257">
        <v>0.70137988019297326</v>
      </c>
      <c r="S134" s="1257">
        <v>0.68095133999317792</v>
      </c>
      <c r="T134" s="1257">
        <v>0.66111780581861923</v>
      </c>
      <c r="U134" s="1257">
        <v>0.64186194739671765</v>
      </c>
      <c r="V134" s="1257">
        <v>0.62316693922011435</v>
      </c>
      <c r="W134" s="1257">
        <v>0.60501644584477121</v>
      </c>
      <c r="X134" s="1257">
        <v>0.5873946076162827</v>
      </c>
      <c r="Y134" s="1257">
        <v>0.57028602681192497</v>
      </c>
      <c r="Z134" s="1257">
        <v>0.55367575418633497</v>
      </c>
      <c r="AA134" s="1257">
        <v>0.5375492759090631</v>
      </c>
      <c r="AB134" s="1257">
        <v>0.52189250088258554</v>
      </c>
      <c r="AC134" s="1257">
        <v>0.50669174842969467</v>
      </c>
      <c r="AD134" s="1257">
        <v>0.49193373633950943</v>
      </c>
      <c r="AE134">
        <v>0.47760556926165965</v>
      </c>
      <c r="AF134">
        <v>0.46369472743850448</v>
      </c>
      <c r="AG134">
        <v>0.45018905576553836</v>
      </c>
    </row>
    <row r="135" spans="2:44" ht="21.95" customHeight="1" x14ac:dyDescent="0.2">
      <c r="E135"/>
      <c r="F135"/>
      <c r="G135"/>
      <c r="H135"/>
      <c r="I135"/>
      <c r="L135" s="2"/>
      <c r="M135" s="2"/>
      <c r="N135" s="2"/>
      <c r="O135" s="2"/>
    </row>
    <row r="136" spans="2:44" ht="21.95" customHeight="1" x14ac:dyDescent="0.2">
      <c r="J136" s="2"/>
      <c r="K136" s="2"/>
      <c r="L136" s="2"/>
      <c r="M136" s="2"/>
      <c r="N136" s="2"/>
    </row>
    <row r="137" spans="2:44" ht="21.95" customHeight="1" x14ac:dyDescent="0.2">
      <c r="B137" s="1048" t="s">
        <v>737</v>
      </c>
      <c r="J137" s="2"/>
      <c r="K137" s="2"/>
      <c r="L137" s="2"/>
      <c r="M137" s="2"/>
      <c r="N137" s="2"/>
    </row>
    <row r="138" spans="2:44" ht="21.95" customHeight="1" x14ac:dyDescent="0.2">
      <c r="B138" s="976"/>
      <c r="C138" s="976" t="s">
        <v>18</v>
      </c>
      <c r="D138" s="975"/>
      <c r="E138" s="975"/>
      <c r="F138" s="975" cm="1">
        <f t="array" ref="F138:AG138">year</f>
        <v>2021</v>
      </c>
      <c r="G138" s="975">
        <v>2022</v>
      </c>
      <c r="H138" s="975">
        <v>2023</v>
      </c>
      <c r="I138" s="975">
        <v>2024</v>
      </c>
      <c r="J138" s="975">
        <v>2025</v>
      </c>
      <c r="K138" s="975">
        <v>2026</v>
      </c>
      <c r="L138" s="975">
        <v>2027</v>
      </c>
      <c r="M138" s="975">
        <v>2028</v>
      </c>
      <c r="N138" s="975">
        <v>2029</v>
      </c>
      <c r="O138" s="975">
        <v>2030</v>
      </c>
      <c r="P138" s="975">
        <v>2031</v>
      </c>
      <c r="Q138" s="975">
        <v>2032</v>
      </c>
      <c r="R138" s="975">
        <v>2033</v>
      </c>
      <c r="S138" s="975">
        <v>2034</v>
      </c>
      <c r="T138" s="975">
        <v>2035</v>
      </c>
      <c r="U138" s="975">
        <v>2036</v>
      </c>
      <c r="V138" s="975">
        <v>2037</v>
      </c>
      <c r="W138" s="975">
        <v>2038</v>
      </c>
      <c r="X138" s="975">
        <v>2039</v>
      </c>
      <c r="Y138" s="975">
        <v>2040</v>
      </c>
      <c r="Z138" s="975">
        <v>2041</v>
      </c>
      <c r="AA138" s="975">
        <v>2042</v>
      </c>
      <c r="AB138" s="975">
        <v>2043</v>
      </c>
      <c r="AC138" s="975">
        <v>2044</v>
      </c>
      <c r="AD138" s="975">
        <v>2045</v>
      </c>
      <c r="AE138">
        <v>2046</v>
      </c>
      <c r="AF138">
        <v>2047</v>
      </c>
      <c r="AG138">
        <v>2048</v>
      </c>
    </row>
    <row r="139" spans="2:44" ht="21.95" customHeight="1" x14ac:dyDescent="0.2">
      <c r="B139" t="s">
        <v>52</v>
      </c>
      <c r="C139" t="s">
        <v>738</v>
      </c>
      <c r="E139" s="972"/>
      <c r="F139" s="252" cm="1">
        <f t="array" ref="F139">_xlfn.ANCHORARRAY(F112)</f>
        <v>0</v>
      </c>
      <c r="G139" s="252" cm="1">
        <f t="array" ref="G139">_xlfn.ANCHORARRAY(G112)</f>
        <v>0</v>
      </c>
      <c r="H139" s="252" cm="1">
        <f t="array" ref="H139">_xlfn.ANCHORARRAY(H112)</f>
        <v>111490.54184089473</v>
      </c>
      <c r="I139" s="252" cm="1">
        <f t="array" ref="I139">_xlfn.ANCHORARRAY(I112)</f>
        <v>463278.09126422601</v>
      </c>
      <c r="J139" s="252" cm="1">
        <f t="array" ref="J139">_xlfn.ANCHORARRAY(J112)</f>
        <v>2645629.0123589193</v>
      </c>
      <c r="K139" s="252" cm="1">
        <f t="array" ref="K139">_xlfn.ANCHORARRAY(K112)</f>
        <v>1721041.0197776547</v>
      </c>
      <c r="L139" s="252" cm="1">
        <f t="array" ref="L139">_xlfn.ANCHORARRAY(L112)</f>
        <v>2610097.8864237908</v>
      </c>
      <c r="M139" s="252" cm="1">
        <f t="array" ref="M139">_xlfn.ANCHORARRAY(M112)</f>
        <v>4227364.0155993095</v>
      </c>
      <c r="N139" s="252" cm="1">
        <f t="array" ref="N139">_xlfn.ANCHORARRAY(N112)</f>
        <v>9152393.4069126714</v>
      </c>
      <c r="O139" s="252" cm="1">
        <f t="array" ref="O139">_xlfn.ANCHORARRAY(O112)</f>
        <v>10176765.499820774</v>
      </c>
      <c r="P139" s="252" cm="1">
        <f t="array" ref="P139">_xlfn.ANCHORARRAY(P112)</f>
        <v>12407811.503049558</v>
      </c>
      <c r="Q139" s="252" cm="1">
        <f t="array" ref="Q139">_xlfn.ANCHORARRAY(Q112)</f>
        <v>14520724.420375554</v>
      </c>
      <c r="R139" s="252" cm="1">
        <f t="array" ref="R139">_xlfn.ANCHORARRAY(R112)</f>
        <v>16183888.263988199</v>
      </c>
      <c r="S139" s="252" cm="1">
        <f t="array" ref="S139">_xlfn.ANCHORARRAY(S112)</f>
        <v>15756927.238396563</v>
      </c>
      <c r="T139" s="252" cm="1">
        <f t="array" ref="T139">_xlfn.ANCHORARRAY(T112)</f>
        <v>17760332.442955084</v>
      </c>
      <c r="U139" s="252" cm="1">
        <f t="array" ref="U139">_xlfn.ANCHORARRAY(U112)</f>
        <v>14315753.969748609</v>
      </c>
      <c r="V139" s="252" cm="1">
        <f t="array" ref="V139">_xlfn.ANCHORARRAY(V112)</f>
        <v>13612127.134064447</v>
      </c>
      <c r="W139" s="252" cm="1">
        <f t="array" ref="W139">_xlfn.ANCHORARRAY(W112)</f>
        <v>13003532.257175621</v>
      </c>
      <c r="X139" s="252" cm="1">
        <f t="array" ref="X139">_xlfn.ANCHORARRAY(X112)</f>
        <v>12682907.846749634</v>
      </c>
      <c r="Y139" s="252" cm="1">
        <f t="array" ref="Y139">_xlfn.ANCHORARRAY(Y112)</f>
        <v>12354404.622172132</v>
      </c>
      <c r="Z139" s="252" cm="1">
        <f t="array" ref="Z139">_xlfn.ANCHORARRAY(Z112)</f>
        <v>12159701.229631277</v>
      </c>
      <c r="AA139" s="252" cm="1">
        <f t="array" ref="AA139">_xlfn.ANCHORARRAY(AA112)</f>
        <v>11908231.763014866</v>
      </c>
      <c r="AB139" s="252" cm="1">
        <f t="array" ref="AB139">_xlfn.ANCHORARRAY(AB112)</f>
        <v>11680441.068424549</v>
      </c>
      <c r="AC139" s="252" cm="1">
        <f t="array" ref="AC139">_xlfn.ANCHORARRAY(AC112)</f>
        <v>11476063.449298179</v>
      </c>
      <c r="AD139" s="252" cm="1">
        <f t="array" ref="AD139">_xlfn.ANCHORARRAY(AD112)</f>
        <v>11215585.296546061</v>
      </c>
      <c r="AE139" s="252" cm="1">
        <f t="array" ref="AE139">_xlfn.ANCHORARRAY(AE112)</f>
        <v>10828787.272493336</v>
      </c>
      <c r="AF139" s="252" cm="1">
        <f t="array" ref="AF139">_xlfn.ANCHORARRAY(AF112)</f>
        <v>11050428.350467887</v>
      </c>
      <c r="AG139" s="252" cm="1">
        <f t="array" ref="AG139">_xlfn.ANCHORARRAY(AG112)</f>
        <v>14508418.448496388</v>
      </c>
    </row>
    <row r="140" spans="2:44" ht="21.95" customHeight="1" x14ac:dyDescent="0.2">
      <c r="B140" s="45"/>
      <c r="C140" s="45" t="s">
        <v>53</v>
      </c>
      <c r="D140" s="45"/>
      <c r="E140" s="252"/>
      <c r="F140" s="252" cm="1">
        <f t="array" ref="F140:AG140">-_xlfn.ANCHORARRAY(F113)</f>
        <v>0</v>
      </c>
      <c r="G140" s="252">
        <v>-1889331.6807398144</v>
      </c>
      <c r="H140" s="252">
        <v>-3606316.678802615</v>
      </c>
      <c r="I140" s="252">
        <v>-2817064.6612452925</v>
      </c>
      <c r="J140" s="252">
        <v>-17800487.294843756</v>
      </c>
      <c r="K140" s="252">
        <v>-16635969.434433416</v>
      </c>
      <c r="L140" s="252">
        <v>-10354534.908844676</v>
      </c>
      <c r="M140" s="252">
        <v>-4157912.9288995885</v>
      </c>
      <c r="N140" s="252">
        <v>0</v>
      </c>
      <c r="O140" s="252">
        <v>0</v>
      </c>
      <c r="P140" s="252">
        <v>0</v>
      </c>
      <c r="Q140" s="252">
        <v>0</v>
      </c>
      <c r="R140" s="252">
        <v>0</v>
      </c>
      <c r="S140" s="252">
        <v>0</v>
      </c>
      <c r="T140" s="252">
        <v>0</v>
      </c>
      <c r="U140" s="252">
        <v>0</v>
      </c>
      <c r="V140" s="252">
        <v>0</v>
      </c>
      <c r="W140" s="252">
        <v>0</v>
      </c>
      <c r="X140" s="252">
        <v>0</v>
      </c>
      <c r="Y140" s="252">
        <v>0</v>
      </c>
      <c r="Z140" s="252">
        <v>0</v>
      </c>
      <c r="AA140" s="252">
        <v>0</v>
      </c>
      <c r="AB140" s="252">
        <v>0</v>
      </c>
      <c r="AC140" s="252">
        <v>0</v>
      </c>
      <c r="AD140" s="252">
        <v>0</v>
      </c>
      <c r="AE140">
        <v>0</v>
      </c>
      <c r="AF140">
        <v>0</v>
      </c>
      <c r="AG140">
        <v>0</v>
      </c>
    </row>
    <row r="143" spans="2:44" ht="21.95" customHeight="1" x14ac:dyDescent="0.2">
      <c r="B143" s="1048" t="s">
        <v>737</v>
      </c>
    </row>
    <row r="144" spans="2:44" ht="21.95" customHeight="1" x14ac:dyDescent="0.2">
      <c r="B144" t="s">
        <v>100</v>
      </c>
      <c r="E144" t="s">
        <v>101</v>
      </c>
    </row>
    <row r="145" spans="2:33" ht="21.95" customHeight="1" x14ac:dyDescent="0.2">
      <c r="B145" s="976" t="s">
        <v>97</v>
      </c>
      <c r="C145" s="975" t="s">
        <v>99</v>
      </c>
      <c r="E145" s="976" t="s">
        <v>97</v>
      </c>
      <c r="F145" s="975" t="s">
        <v>99</v>
      </c>
    </row>
    <row r="146" spans="2:33" ht="21.95" customHeight="1" x14ac:dyDescent="0.2">
      <c r="B146" t="s">
        <v>74</v>
      </c>
      <c r="C146" s="1258">
        <f>E104</f>
        <v>8685961.083342554</v>
      </c>
      <c r="E146" t="str" cm="1">
        <f t="array" ref="E146:F150">_xlfn._xlws.SORT(_xlfn._xlws.FILTER(B146:C150, C146:C150 &gt; 0), 2, -1)</f>
        <v>Travel Time</v>
      </c>
      <c r="F146" s="26">
        <v>181458605.45613492</v>
      </c>
    </row>
    <row r="147" spans="2:33" ht="21.95" customHeight="1" x14ac:dyDescent="0.2">
      <c r="B147" t="s">
        <v>13</v>
      </c>
      <c r="C147" s="1258">
        <f>E105</f>
        <v>181458605.45613492</v>
      </c>
      <c r="E147" t="str">
        <v>Environmental</v>
      </c>
      <c r="F147" s="26">
        <v>70820482.555292711</v>
      </c>
    </row>
    <row r="148" spans="2:33" ht="21.95" customHeight="1" x14ac:dyDescent="0.2">
      <c r="B148" t="s">
        <v>202</v>
      </c>
      <c r="C148" s="1258">
        <f>SUM(E106:E109)</f>
        <v>70820482.555292711</v>
      </c>
      <c r="E148" t="str">
        <v>Safety</v>
      </c>
      <c r="F148" s="26">
        <v>8685961.083342554</v>
      </c>
    </row>
    <row r="149" spans="2:33" ht="21.95" customHeight="1" x14ac:dyDescent="0.2">
      <c r="B149" t="s">
        <v>195</v>
      </c>
      <c r="C149" s="1258">
        <f>E110</f>
        <v>4002086.3508289917</v>
      </c>
      <c r="E149" t="str">
        <v>O&amp;M</v>
      </c>
      <c r="F149" s="26">
        <v>4002086.3508289917</v>
      </c>
    </row>
    <row r="150" spans="2:33" ht="21.95" customHeight="1" x14ac:dyDescent="0.2">
      <c r="B150" s="45" t="s">
        <v>81</v>
      </c>
      <c r="C150" s="1259">
        <f>E111</f>
        <v>3566990.6054470208</v>
      </c>
      <c r="E150" t="str">
        <v>Residual Value</v>
      </c>
      <c r="F150" s="26">
        <v>3566990.6054470208</v>
      </c>
    </row>
    <row r="151" spans="2:33" ht="21.95" customHeight="1" x14ac:dyDescent="0.2">
      <c r="E151"/>
      <c r="F151" s="22"/>
    </row>
    <row r="152" spans="2:33" ht="21.95" customHeight="1" x14ac:dyDescent="0.2">
      <c r="E152"/>
      <c r="F152"/>
      <c r="G152"/>
      <c r="H152"/>
      <c r="I152"/>
      <c r="L152" s="2"/>
      <c r="M152" s="2"/>
      <c r="N152" s="2"/>
      <c r="O152" s="2"/>
    </row>
    <row r="153" spans="2:33" ht="21.95" customHeight="1" x14ac:dyDescent="0.2">
      <c r="J153" s="2"/>
      <c r="K153" s="2"/>
      <c r="L153" s="2"/>
      <c r="M153" s="2"/>
      <c r="N153" s="2"/>
    </row>
    <row r="154" spans="2:33" ht="21.95" customHeight="1" x14ac:dyDescent="0.2">
      <c r="B154" s="1048" t="s">
        <v>739</v>
      </c>
      <c r="J154" s="2"/>
      <c r="K154" s="2"/>
      <c r="L154" s="2"/>
      <c r="M154" s="2"/>
      <c r="N154" s="2"/>
    </row>
    <row r="155" spans="2:33" ht="21.95" customHeight="1" x14ac:dyDescent="0.2">
      <c r="B155" s="976"/>
      <c r="C155" s="976" t="s">
        <v>18</v>
      </c>
      <c r="D155" s="975"/>
      <c r="E155" s="975"/>
      <c r="F155" s="975" cm="1">
        <f t="array" ref="F155:AG155">year</f>
        <v>2021</v>
      </c>
      <c r="G155" s="975">
        <v>2022</v>
      </c>
      <c r="H155" s="975">
        <v>2023</v>
      </c>
      <c r="I155" s="975">
        <v>2024</v>
      </c>
      <c r="J155" s="975">
        <v>2025</v>
      </c>
      <c r="K155" s="975">
        <v>2026</v>
      </c>
      <c r="L155" s="975">
        <v>2027</v>
      </c>
      <c r="M155" s="975">
        <v>2028</v>
      </c>
      <c r="N155" s="975">
        <v>2029</v>
      </c>
      <c r="O155" s="975">
        <v>2030</v>
      </c>
      <c r="P155" s="975">
        <v>2031</v>
      </c>
      <c r="Q155" s="975">
        <v>2032</v>
      </c>
      <c r="R155" s="975">
        <v>2033</v>
      </c>
      <c r="S155" s="975">
        <v>2034</v>
      </c>
      <c r="T155" s="975">
        <v>2035</v>
      </c>
      <c r="U155" s="975">
        <v>2036</v>
      </c>
      <c r="V155" s="975">
        <v>2037</v>
      </c>
      <c r="W155" s="975">
        <v>2038</v>
      </c>
      <c r="X155" s="975">
        <v>2039</v>
      </c>
      <c r="Y155" s="975">
        <v>2040</v>
      </c>
      <c r="Z155" s="975">
        <v>2041</v>
      </c>
      <c r="AA155" s="975">
        <v>2042</v>
      </c>
      <c r="AB155" s="975">
        <v>2043</v>
      </c>
      <c r="AC155" s="975">
        <v>2044</v>
      </c>
      <c r="AD155" s="975">
        <v>2045</v>
      </c>
      <c r="AE155">
        <v>2046</v>
      </c>
      <c r="AF155">
        <v>2047</v>
      </c>
      <c r="AG155">
        <v>2048</v>
      </c>
    </row>
    <row r="156" spans="2:33" ht="21.95" customHeight="1" x14ac:dyDescent="0.2">
      <c r="B156" t="s">
        <v>52</v>
      </c>
      <c r="C156" t="s">
        <v>740</v>
      </c>
      <c r="E156" s="972"/>
      <c r="F156" s="252">
        <f>F125</f>
        <v>0</v>
      </c>
      <c r="G156" s="252">
        <f t="shared" ref="G156:AG156" si="115">G125</f>
        <v>0</v>
      </c>
      <c r="H156" s="252">
        <f t="shared" si="115"/>
        <v>86286.910619245362</v>
      </c>
      <c r="I156" s="252">
        <f t="shared" si="115"/>
        <v>126748.48731482762</v>
      </c>
      <c r="J156" s="252">
        <f t="shared" si="115"/>
        <v>1513611.1818765874</v>
      </c>
      <c r="K156" s="252">
        <f t="shared" si="115"/>
        <v>677867.78903744789</v>
      </c>
      <c r="L156" s="252">
        <f t="shared" si="115"/>
        <v>1667348.8588777538</v>
      </c>
      <c r="M156" s="252">
        <f t="shared" si="115"/>
        <v>3376011.1006679945</v>
      </c>
      <c r="N156" s="252">
        <f t="shared" si="115"/>
        <v>9491364.5896706954</v>
      </c>
      <c r="O156" s="252">
        <f t="shared" si="115"/>
        <v>10628597.324978434</v>
      </c>
      <c r="P156" s="252">
        <f t="shared" si="115"/>
        <v>13277295.682389947</v>
      </c>
      <c r="Q156" s="252">
        <f t="shared" si="115"/>
        <v>15852689.380490117</v>
      </c>
      <c r="R156" s="252">
        <f t="shared" si="115"/>
        <v>18369020.795939911</v>
      </c>
      <c r="S156" s="252">
        <f t="shared" si="115"/>
        <v>19268331.044200331</v>
      </c>
      <c r="T156" s="252">
        <f t="shared" si="115"/>
        <v>23066000.505585685</v>
      </c>
      <c r="U156" s="252">
        <f t="shared" si="115"/>
        <v>20218298.280217897</v>
      </c>
      <c r="V156" s="252">
        <f t="shared" si="115"/>
        <v>19452697.955308191</v>
      </c>
      <c r="W156" s="252">
        <f t="shared" si="115"/>
        <v>18786982.611935943</v>
      </c>
      <c r="X156" s="252">
        <f t="shared" si="115"/>
        <v>18421916.222366206</v>
      </c>
      <c r="Y156" s="252">
        <f t="shared" si="115"/>
        <v>18050812.515401751</v>
      </c>
      <c r="Z156" s="252">
        <f t="shared" si="115"/>
        <v>17807553.236718751</v>
      </c>
      <c r="AA156" s="252">
        <f t="shared" si="115"/>
        <v>17494100.830202144</v>
      </c>
      <c r="AB156" s="252">
        <f t="shared" si="115"/>
        <v>17312193.012652561</v>
      </c>
      <c r="AC156" s="252">
        <f t="shared" si="115"/>
        <v>17198990.22392625</v>
      </c>
      <c r="AD156" s="252">
        <f t="shared" si="115"/>
        <v>16963303.842716426</v>
      </c>
      <c r="AE156" s="252">
        <f t="shared" si="115"/>
        <v>16783167.005571935</v>
      </c>
      <c r="AF156" s="252">
        <f t="shared" si="115"/>
        <v>17350697.152767207</v>
      </c>
      <c r="AG156" s="252">
        <f t="shared" si="115"/>
        <v>22132690.1013318</v>
      </c>
    </row>
    <row r="157" spans="2:33" ht="21.95" customHeight="1" x14ac:dyDescent="0.2">
      <c r="B157" s="45"/>
      <c r="C157" s="45" t="s">
        <v>53</v>
      </c>
      <c r="D157" s="45"/>
      <c r="E157" s="252"/>
      <c r="F157" s="252">
        <f>F126</f>
        <v>0</v>
      </c>
      <c r="G157" s="252">
        <f>-G126</f>
        <v>-2339528.3596919724</v>
      </c>
      <c r="H157" s="252">
        <f t="shared" ref="H157:AG157" si="116">-H126</f>
        <v>-4763843.8943738425</v>
      </c>
      <c r="I157" s="252">
        <f t="shared" si="116"/>
        <v>-3505646.5825563725</v>
      </c>
      <c r="J157" s="252">
        <f t="shared" si="116"/>
        <v>-25310407.749277331</v>
      </c>
      <c r="K157" s="252">
        <f t="shared" si="116"/>
        <v>-23654586.681567598</v>
      </c>
      <c r="L157" s="252">
        <f t="shared" si="116"/>
        <v>-10607856.86380112</v>
      </c>
      <c r="M157" s="252">
        <f t="shared" si="116"/>
        <v>-4157912.9288995885</v>
      </c>
      <c r="N157" s="252">
        <f t="shared" si="116"/>
        <v>0</v>
      </c>
      <c r="O157" s="252">
        <f t="shared" si="116"/>
        <v>0</v>
      </c>
      <c r="P157" s="252">
        <f t="shared" si="116"/>
        <v>0</v>
      </c>
      <c r="Q157" s="252">
        <f t="shared" si="116"/>
        <v>0</v>
      </c>
      <c r="R157" s="252">
        <f t="shared" si="116"/>
        <v>0</v>
      </c>
      <c r="S157" s="252">
        <f t="shared" si="116"/>
        <v>0</v>
      </c>
      <c r="T157" s="252">
        <f t="shared" si="116"/>
        <v>0</v>
      </c>
      <c r="U157" s="252">
        <f t="shared" si="116"/>
        <v>0</v>
      </c>
      <c r="V157" s="252">
        <f t="shared" si="116"/>
        <v>0</v>
      </c>
      <c r="W157" s="252">
        <f t="shared" si="116"/>
        <v>0</v>
      </c>
      <c r="X157" s="252">
        <f t="shared" si="116"/>
        <v>0</v>
      </c>
      <c r="Y157" s="252">
        <f t="shared" si="116"/>
        <v>0</v>
      </c>
      <c r="Z157" s="252">
        <f t="shared" si="116"/>
        <v>0</v>
      </c>
      <c r="AA157" s="252">
        <f t="shared" si="116"/>
        <v>0</v>
      </c>
      <c r="AB157" s="252">
        <f t="shared" si="116"/>
        <v>0</v>
      </c>
      <c r="AC157" s="252">
        <f t="shared" si="116"/>
        <v>0</v>
      </c>
      <c r="AD157" s="252">
        <f t="shared" si="116"/>
        <v>0</v>
      </c>
      <c r="AE157" s="252">
        <f t="shared" si="116"/>
        <v>0</v>
      </c>
      <c r="AF157" s="252">
        <f t="shared" si="116"/>
        <v>0</v>
      </c>
      <c r="AG157" s="252">
        <f t="shared" si="116"/>
        <v>0</v>
      </c>
    </row>
    <row r="160" spans="2:33" ht="21.95" customHeight="1" x14ac:dyDescent="0.2">
      <c r="B160" s="1048" t="s">
        <v>739</v>
      </c>
    </row>
    <row r="161" spans="2:6" ht="21.95" customHeight="1" x14ac:dyDescent="0.2">
      <c r="B161" t="s">
        <v>100</v>
      </c>
      <c r="E161" t="s">
        <v>101</v>
      </c>
    </row>
    <row r="162" spans="2:6" ht="21.95" customHeight="1" x14ac:dyDescent="0.2">
      <c r="B162" s="976" t="s">
        <v>97</v>
      </c>
      <c r="C162" s="975" t="s">
        <v>99</v>
      </c>
      <c r="E162" s="976" t="s">
        <v>97</v>
      </c>
      <c r="F162" s="975" t="s">
        <v>99</v>
      </c>
    </row>
    <row r="163" spans="2:6" ht="21.95" customHeight="1" x14ac:dyDescent="0.2">
      <c r="B163" t="s">
        <v>74</v>
      </c>
      <c r="C163" s="1258">
        <f>E117</f>
        <v>48366154.025280379</v>
      </c>
      <c r="E163" t="str" cm="1">
        <f t="array" ref="E163:F167">_xlfn._xlws.SORT(_xlfn._xlws.FILTER(B163:C167, C163:C167 &gt; 0), 2, -1)</f>
        <v>Travel Time</v>
      </c>
      <c r="F163" s="26">
        <v>214481432.36424521</v>
      </c>
    </row>
    <row r="164" spans="2:6" ht="21.95" customHeight="1" x14ac:dyDescent="0.2">
      <c r="B164" t="s">
        <v>13</v>
      </c>
      <c r="C164" s="1258">
        <f>E118</f>
        <v>214481432.36424521</v>
      </c>
      <c r="E164" t="str">
        <v>Environmental</v>
      </c>
      <c r="F164" s="26">
        <v>84242591.994328514</v>
      </c>
    </row>
    <row r="165" spans="2:6" ht="21.95" customHeight="1" x14ac:dyDescent="0.2">
      <c r="B165" t="s">
        <v>202</v>
      </c>
      <c r="C165" s="1258">
        <f>SUM(E119:E122)</f>
        <v>84242591.994328514</v>
      </c>
      <c r="E165" t="str">
        <v>Safety</v>
      </c>
      <c r="F165" s="26">
        <v>48366154.025280379</v>
      </c>
    </row>
    <row r="166" spans="2:6" ht="21.95" customHeight="1" x14ac:dyDescent="0.2">
      <c r="B166" t="s">
        <v>195</v>
      </c>
      <c r="C166" s="1258">
        <f>E123</f>
        <v>3701819.8561858609</v>
      </c>
      <c r="E166" t="str">
        <v>Residual Value</v>
      </c>
      <c r="F166" s="26">
        <v>4582578.4027261008</v>
      </c>
    </row>
    <row r="167" spans="2:6" ht="21.95" customHeight="1" x14ac:dyDescent="0.2">
      <c r="B167" s="45" t="s">
        <v>81</v>
      </c>
      <c r="C167" s="1259">
        <f>E124</f>
        <v>4582578.4027261008</v>
      </c>
      <c r="E167" t="str">
        <v>O&amp;M</v>
      </c>
      <c r="F167" s="26">
        <v>3701819.8561858609</v>
      </c>
    </row>
    <row r="168" spans="2:6" ht="21.95" customHeight="1" x14ac:dyDescent="0.2">
      <c r="E168"/>
      <c r="F168" s="22"/>
    </row>
    <row r="169" spans="2:6" ht="21.95" customHeight="1" x14ac:dyDescent="0.2">
      <c r="E169"/>
      <c r="F169" s="22"/>
    </row>
  </sheetData>
  <mergeCells count="6">
    <mergeCell ref="B5:D6"/>
    <mergeCell ref="F7:F8"/>
    <mergeCell ref="I7:J8"/>
    <mergeCell ref="L7:M8"/>
    <mergeCell ref="O7:P8"/>
    <mergeCell ref="L6:M6"/>
  </mergeCell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4BC75-5069-4BA9-B897-B2DCCE6FF4FC}">
  <sheetPr codeName="Sheet13">
    <tabColor theme="1"/>
    <pageSetUpPr autoPageBreaks="0"/>
  </sheetPr>
  <dimension ref="A2:O380"/>
  <sheetViews>
    <sheetView zoomScale="115" zoomScaleNormal="115" workbookViewId="0">
      <selection activeCell="I9" sqref="I9"/>
    </sheetView>
  </sheetViews>
  <sheetFormatPr defaultColWidth="9" defaultRowHeight="18" x14ac:dyDescent="0.2"/>
  <cols>
    <col min="1" max="1" width="18.375" style="143" bestFit="1" customWidth="1"/>
    <col min="2" max="2" width="1.5" style="1" customWidth="1"/>
    <col min="3" max="3" width="30.625" style="137" customWidth="1"/>
    <col min="4" max="9" width="16.125" style="137" customWidth="1"/>
    <col min="10" max="14" width="12.625" style="137" customWidth="1"/>
    <col min="15" max="16384" width="9" style="137"/>
  </cols>
  <sheetData>
    <row r="2" spans="1:4" ht="18.75" thickBot="1" x14ac:dyDescent="0.25">
      <c r="A2" s="548" t="s">
        <v>227</v>
      </c>
      <c r="B2" s="1" t="s">
        <v>87</v>
      </c>
      <c r="C2" s="547" t="s">
        <v>628</v>
      </c>
    </row>
    <row r="3" spans="1:4" x14ac:dyDescent="0.2">
      <c r="A3" s="548"/>
      <c r="C3" s="1035" t="s">
        <v>626</v>
      </c>
      <c r="D3" s="1038" t="s">
        <v>627</v>
      </c>
    </row>
    <row r="4" spans="1:4" x14ac:dyDescent="0.2">
      <c r="A4" s="548"/>
      <c r="C4" s="1012" t="s">
        <v>576</v>
      </c>
      <c r="D4" s="1039">
        <f>'Project Costs'!J8</f>
        <v>34282000</v>
      </c>
    </row>
    <row r="5" spans="1:4" x14ac:dyDescent="0.2">
      <c r="A5" s="548"/>
      <c r="C5" s="1012" t="s">
        <v>577</v>
      </c>
      <c r="D5" s="1039">
        <f>'Project Costs'!J9</f>
        <v>17250000</v>
      </c>
    </row>
    <row r="6" spans="1:4" x14ac:dyDescent="0.2">
      <c r="A6" s="548"/>
      <c r="C6" s="1012" t="s">
        <v>578</v>
      </c>
      <c r="D6" s="1039">
        <f>'Project Costs'!J10</f>
        <v>6720000</v>
      </c>
    </row>
    <row r="7" spans="1:4" x14ac:dyDescent="0.2">
      <c r="A7" s="548"/>
      <c r="C7" s="1012" t="s">
        <v>579</v>
      </c>
      <c r="D7" s="1039">
        <f>'Project Costs'!J11</f>
        <v>12960000</v>
      </c>
    </row>
    <row r="8" spans="1:4" x14ac:dyDescent="0.2">
      <c r="A8" s="548"/>
      <c r="C8" s="1012" t="s">
        <v>580</v>
      </c>
      <c r="D8" s="1039">
        <f>'Project Costs'!J12</f>
        <v>16320000</v>
      </c>
    </row>
    <row r="9" spans="1:4" x14ac:dyDescent="0.2">
      <c r="A9" s="548"/>
      <c r="C9" s="1040" t="s">
        <v>630</v>
      </c>
      <c r="D9" s="1041">
        <f>'Project Costs'!J13</f>
        <v>87532000</v>
      </c>
    </row>
    <row r="10" spans="1:4" x14ac:dyDescent="0.2">
      <c r="A10" s="548"/>
      <c r="C10" s="1012" t="s">
        <v>581</v>
      </c>
      <c r="D10" s="1039">
        <f>'Project Costs'!J15</f>
        <v>9210000</v>
      </c>
    </row>
    <row r="11" spans="1:4" x14ac:dyDescent="0.2">
      <c r="A11" s="548"/>
      <c r="C11" s="1012" t="s">
        <v>582</v>
      </c>
      <c r="D11" s="1039">
        <f>'Project Costs'!J16</f>
        <v>480000</v>
      </c>
    </row>
    <row r="12" spans="1:4" x14ac:dyDescent="0.2">
      <c r="A12" s="548"/>
      <c r="C12" s="1012" t="s">
        <v>583</v>
      </c>
      <c r="D12" s="1039">
        <f>'Project Costs'!J17</f>
        <v>7608000</v>
      </c>
    </row>
    <row r="13" spans="1:4" x14ac:dyDescent="0.2">
      <c r="A13" s="548"/>
      <c r="C13" s="1012" t="s">
        <v>584</v>
      </c>
      <c r="D13" s="1039">
        <f>'Project Costs'!J18</f>
        <v>8040000</v>
      </c>
    </row>
    <row r="14" spans="1:4" ht="18.75" thickBot="1" x14ac:dyDescent="0.25">
      <c r="A14" s="548"/>
      <c r="C14" s="1042" t="s">
        <v>629</v>
      </c>
      <c r="D14" s="1043">
        <f>SUM(D10:D13)+D9</f>
        <v>112870000</v>
      </c>
    </row>
    <row r="15" spans="1:4" x14ac:dyDescent="0.2">
      <c r="A15" s="548"/>
      <c r="C15" s="136"/>
    </row>
    <row r="16" spans="1:4" ht="18.75" thickBot="1" x14ac:dyDescent="0.25">
      <c r="B16" s="1" t="s">
        <v>87</v>
      </c>
      <c r="C16" s="547" t="s">
        <v>600</v>
      </c>
    </row>
    <row r="17" spans="2:8" ht="24" customHeight="1" x14ac:dyDescent="0.2">
      <c r="C17" s="545" t="s">
        <v>10</v>
      </c>
      <c r="D17" s="1077" t="s">
        <v>636</v>
      </c>
      <c r="E17" s="1077" t="s">
        <v>637</v>
      </c>
      <c r="F17" s="1077" t="s">
        <v>638</v>
      </c>
      <c r="G17" s="1078" t="s">
        <v>639</v>
      </c>
    </row>
    <row r="18" spans="2:8" x14ac:dyDescent="0.2">
      <c r="C18" s="472">
        <f>'Project Costs'!E83</f>
        <v>2022</v>
      </c>
      <c r="D18" s="154">
        <f>E18*1.115296556</f>
        <v>2254666.6748377634</v>
      </c>
      <c r="E18" s="154" cm="1">
        <f t="array" ref="E18:E24">TRANSPOSE('Project Costs'!E80:K80)</f>
        <v>2021584.8983916014</v>
      </c>
      <c r="F18" s="154">
        <f>G18*1.115296556</f>
        <v>2791916.6767848013</v>
      </c>
      <c r="G18" s="473" cm="1">
        <f t="array" ref="G18:G24">TRANSPOSE('Project Costs'!E111:K111)</f>
        <v>2503295.3448704104</v>
      </c>
    </row>
    <row r="19" spans="2:8" x14ac:dyDescent="0.2">
      <c r="C19" s="474">
        <f t="shared" ref="C19:C20" si="0">C18+1</f>
        <v>2023</v>
      </c>
      <c r="D19" s="154">
        <f t="shared" ref="D19:D23" si="1">E19*1.115296556</f>
        <v>4604916.6833552616</v>
      </c>
      <c r="E19" s="154">
        <v>4128871.9655611143</v>
      </c>
      <c r="F19" s="154">
        <f t="shared" ref="F19:F24" si="2">G19*1.115296556</f>
        <v>6082966.688711836</v>
      </c>
      <c r="G19" s="473">
        <v>5454124.8746686131</v>
      </c>
    </row>
    <row r="20" spans="2:8" x14ac:dyDescent="0.2">
      <c r="C20" s="472">
        <f t="shared" si="0"/>
        <v>2024</v>
      </c>
      <c r="D20" s="154">
        <f t="shared" si="1"/>
        <v>3848916.6806154563</v>
      </c>
      <c r="E20" s="154">
        <v>3451025.3438059175</v>
      </c>
      <c r="F20" s="154">
        <f t="shared" si="2"/>
        <v>4789716.6840249924</v>
      </c>
      <c r="G20" s="473">
        <v>4294567.8064346071</v>
      </c>
    </row>
    <row r="21" spans="2:8" x14ac:dyDescent="0.2">
      <c r="C21" s="472">
        <f t="shared" ref="C21:C22" si="3">C20+1</f>
        <v>2025</v>
      </c>
      <c r="D21" s="154">
        <f t="shared" si="1"/>
        <v>26023000.094309479</v>
      </c>
      <c r="E21" s="154">
        <v>23332807.722136889</v>
      </c>
      <c r="F21" s="154">
        <f t="shared" si="2"/>
        <v>37001950.134098098</v>
      </c>
      <c r="G21" s="473">
        <v>33176781.489225805</v>
      </c>
    </row>
    <row r="22" spans="2:8" x14ac:dyDescent="0.2">
      <c r="C22" s="472">
        <f t="shared" si="3"/>
        <v>2026</v>
      </c>
      <c r="D22" s="154">
        <f t="shared" si="1"/>
        <v>26023000.094309479</v>
      </c>
      <c r="E22" s="154">
        <v>23332807.722136889</v>
      </c>
      <c r="F22" s="154">
        <f t="shared" si="2"/>
        <v>37001950.134098098</v>
      </c>
      <c r="G22" s="473">
        <v>33176781.489225805</v>
      </c>
    </row>
    <row r="23" spans="2:8" x14ac:dyDescent="0.2">
      <c r="C23" s="472">
        <f>C22+1</f>
        <v>2027</v>
      </c>
      <c r="D23" s="154">
        <f t="shared" si="1"/>
        <v>17331000.062808961</v>
      </c>
      <c r="E23" s="154">
        <v>15539364.816983223</v>
      </c>
      <c r="F23" s="154">
        <f t="shared" si="2"/>
        <v>17755000.064345572</v>
      </c>
      <c r="G23" s="473">
        <v>15919532.763576085</v>
      </c>
    </row>
    <row r="24" spans="2:8" x14ac:dyDescent="0.2">
      <c r="C24" s="472">
        <f>C23+1</f>
        <v>2028</v>
      </c>
      <c r="D24" s="154">
        <f>E24*1.115296556</f>
        <v>7446500.0269867266</v>
      </c>
      <c r="E24" s="154">
        <v>6676699.5620371355</v>
      </c>
      <c r="F24" s="154">
        <f t="shared" si="2"/>
        <v>7446500.0269867266</v>
      </c>
      <c r="G24" s="473">
        <v>6676699.5620371355</v>
      </c>
      <c r="H24" s="994"/>
    </row>
    <row r="25" spans="2:8" ht="18.75" thickBot="1" x14ac:dyDescent="0.25">
      <c r="C25" s="475" t="s">
        <v>25</v>
      </c>
      <c r="D25" s="476">
        <f>SUM(D18:D24)</f>
        <v>87532000.317223132</v>
      </c>
      <c r="E25" s="476">
        <f>SUM(E18:E24)</f>
        <v>78483162.031052768</v>
      </c>
      <c r="F25" s="476">
        <f>SUM(F18:F24)</f>
        <v>112870000.40905012</v>
      </c>
      <c r="G25" s="477">
        <f>SUM(G18:G24)</f>
        <v>101201783.33003847</v>
      </c>
    </row>
    <row r="27" spans="2:8" ht="18.75" thickBot="1" x14ac:dyDescent="0.25">
      <c r="B27" s="1" t="s">
        <v>87</v>
      </c>
      <c r="C27" s="547" t="s">
        <v>252</v>
      </c>
    </row>
    <row r="28" spans="2:8" x14ac:dyDescent="0.2">
      <c r="C28" s="697" t="s">
        <v>109</v>
      </c>
      <c r="D28" s="479" t="s">
        <v>107</v>
      </c>
      <c r="E28" s="479" t="s">
        <v>110</v>
      </c>
      <c r="F28" s="479" t="s">
        <v>111</v>
      </c>
      <c r="G28" s="480" t="s">
        <v>112</v>
      </c>
    </row>
    <row r="29" spans="2:8" ht="48" x14ac:dyDescent="0.2">
      <c r="C29" s="698" t="s">
        <v>113</v>
      </c>
      <c r="D29" s="699" t="s">
        <v>16</v>
      </c>
      <c r="E29" s="175" t="s">
        <v>503</v>
      </c>
      <c r="F29" s="175" t="s">
        <v>115</v>
      </c>
      <c r="G29" s="481" t="s">
        <v>114</v>
      </c>
    </row>
    <row r="30" spans="2:8" ht="60" x14ac:dyDescent="0.2">
      <c r="C30" s="698" t="s">
        <v>74</v>
      </c>
      <c r="D30" s="175" t="s">
        <v>603</v>
      </c>
      <c r="E30" s="175" t="s">
        <v>504</v>
      </c>
      <c r="F30" s="175" t="s">
        <v>115</v>
      </c>
      <c r="G30" s="481" t="s">
        <v>114</v>
      </c>
    </row>
    <row r="31" spans="2:8" ht="48" x14ac:dyDescent="0.2">
      <c r="C31" s="698" t="s">
        <v>116</v>
      </c>
      <c r="D31" s="175" t="s">
        <v>604</v>
      </c>
      <c r="E31" s="175" t="s">
        <v>505</v>
      </c>
      <c r="F31" s="175" t="s">
        <v>115</v>
      </c>
      <c r="G31" s="481" t="s">
        <v>114</v>
      </c>
    </row>
    <row r="32" spans="2:8" ht="60" x14ac:dyDescent="0.2">
      <c r="C32" s="1305" t="s">
        <v>117</v>
      </c>
      <c r="D32" s="175" t="s">
        <v>602</v>
      </c>
      <c r="E32" s="175" t="s">
        <v>506</v>
      </c>
      <c r="F32" s="175" t="s">
        <v>115</v>
      </c>
      <c r="G32" s="481" t="s">
        <v>114</v>
      </c>
    </row>
    <row r="33" spans="1:11" ht="24" x14ac:dyDescent="0.2">
      <c r="C33" s="1306"/>
      <c r="D33" s="699" t="s">
        <v>17</v>
      </c>
      <c r="E33" s="699" t="s">
        <v>118</v>
      </c>
      <c r="F33" s="699" t="s">
        <v>115</v>
      </c>
      <c r="G33" s="995" t="s">
        <v>114</v>
      </c>
    </row>
    <row r="34" spans="1:11" ht="39" customHeight="1" thickBot="1" x14ac:dyDescent="0.25">
      <c r="C34" s="996" t="s">
        <v>601</v>
      </c>
      <c r="D34" s="997" t="s">
        <v>605</v>
      </c>
      <c r="E34" s="997" t="s">
        <v>606</v>
      </c>
      <c r="F34" s="997" t="s">
        <v>114</v>
      </c>
      <c r="G34" s="998" t="s">
        <v>115</v>
      </c>
    </row>
    <row r="35" spans="1:11" x14ac:dyDescent="0.2">
      <c r="C35" s="140"/>
      <c r="D35" s="140"/>
      <c r="E35" s="141"/>
      <c r="F35" s="141"/>
      <c r="G35" s="141"/>
      <c r="H35" s="141"/>
      <c r="I35" s="141"/>
    </row>
    <row r="36" spans="1:11" ht="18.75" thickBot="1" x14ac:dyDescent="0.25">
      <c r="A36" s="548" t="s">
        <v>228</v>
      </c>
      <c r="B36" s="1" t="s">
        <v>225</v>
      </c>
      <c r="C36" s="547" t="s">
        <v>625</v>
      </c>
      <c r="I36"/>
    </row>
    <row r="37" spans="1:11" x14ac:dyDescent="0.2">
      <c r="C37" s="1277" t="s">
        <v>596</v>
      </c>
      <c r="D37" s="1296" t="s">
        <v>18</v>
      </c>
      <c r="E37" s="1296"/>
      <c r="F37" s="1296" t="s">
        <v>612</v>
      </c>
      <c r="G37" s="1296"/>
      <c r="H37" s="1296" t="s">
        <v>613</v>
      </c>
      <c r="I37" s="1296"/>
      <c r="J37" s="1296" t="s">
        <v>614</v>
      </c>
      <c r="K37" s="1297"/>
    </row>
    <row r="38" spans="1:11" x14ac:dyDescent="0.2">
      <c r="C38" s="1278"/>
      <c r="D38" s="1194" t="s">
        <v>611</v>
      </c>
      <c r="E38" s="1194" t="s">
        <v>330</v>
      </c>
      <c r="F38" s="1194">
        <v>2023</v>
      </c>
      <c r="G38" s="1194">
        <v>2048</v>
      </c>
      <c r="H38" s="1194">
        <v>2023</v>
      </c>
      <c r="I38" s="1194">
        <v>2048</v>
      </c>
      <c r="J38" s="1194">
        <v>2023</v>
      </c>
      <c r="K38" s="1195">
        <v>2048</v>
      </c>
    </row>
    <row r="39" spans="1:11" x14ac:dyDescent="0.2">
      <c r="C39" s="1300" t="s">
        <v>331</v>
      </c>
      <c r="D39" s="1011" t="s">
        <v>332</v>
      </c>
      <c r="E39" s="1011" t="s">
        <v>282</v>
      </c>
      <c r="F39" s="176">
        <f>'Traffic Data'!J7</f>
        <v>16000</v>
      </c>
      <c r="G39" s="176">
        <f>'Traffic Data'!AI7</f>
        <v>42703.999999999993</v>
      </c>
      <c r="H39" s="176">
        <f>'Traffic Data'!J36</f>
        <v>16000</v>
      </c>
      <c r="I39" s="176">
        <f>'Traffic Data'!AI36</f>
        <v>42489.799999999996</v>
      </c>
      <c r="J39" s="176">
        <f>'Traffic Data'!J65</f>
        <v>16000</v>
      </c>
      <c r="K39" s="1015">
        <f>'Traffic Data'!AI65</f>
        <v>42489.799999999996</v>
      </c>
    </row>
    <row r="40" spans="1:11" x14ac:dyDescent="0.2">
      <c r="C40" s="1300"/>
      <c r="D40" s="1011" t="s">
        <v>282</v>
      </c>
      <c r="E40" s="1011" t="s">
        <v>280</v>
      </c>
      <c r="F40" s="176">
        <f>'Traffic Data'!J8</f>
        <v>13500</v>
      </c>
      <c r="G40" s="176">
        <f>'Traffic Data'!AI8</f>
        <v>42956.700000000004</v>
      </c>
      <c r="H40" s="176">
        <f>'Traffic Data'!J37</f>
        <v>13500</v>
      </c>
      <c r="I40" s="176">
        <f>'Traffic Data'!AI37</f>
        <v>42686.1</v>
      </c>
      <c r="J40" s="176">
        <f>'Traffic Data'!J66</f>
        <v>13500</v>
      </c>
      <c r="K40" s="1015">
        <f>'Traffic Data'!AI66</f>
        <v>42686.1</v>
      </c>
    </row>
    <row r="41" spans="1:11" x14ac:dyDescent="0.2">
      <c r="C41" s="1300"/>
      <c r="D41" s="1011" t="s">
        <v>280</v>
      </c>
      <c r="E41" s="1011" t="s">
        <v>333</v>
      </c>
      <c r="F41" s="176">
        <f>'Traffic Data'!J9</f>
        <v>12000</v>
      </c>
      <c r="G41" s="176">
        <f>'Traffic Data'!AI9</f>
        <v>27954.799999999999</v>
      </c>
      <c r="H41" s="176">
        <f>'Traffic Data'!J38</f>
        <v>12000</v>
      </c>
      <c r="I41" s="176">
        <f>'Traffic Data'!AI38</f>
        <v>27954.799999999999</v>
      </c>
      <c r="J41" s="176">
        <f>'Traffic Data'!J67</f>
        <v>12000</v>
      </c>
      <c r="K41" s="1015">
        <f>'Traffic Data'!AI67</f>
        <v>27954.799999999999</v>
      </c>
    </row>
    <row r="42" spans="1:11" x14ac:dyDescent="0.2">
      <c r="C42" s="1303" t="s">
        <v>280</v>
      </c>
      <c r="D42" s="1009" t="s">
        <v>281</v>
      </c>
      <c r="E42" s="1009" t="s">
        <v>335</v>
      </c>
      <c r="F42" s="1016">
        <f>'Traffic Data'!J10</f>
        <v>4000</v>
      </c>
      <c r="G42" s="1016">
        <f>'Traffic Data'!AI10</f>
        <v>27814.52</v>
      </c>
      <c r="H42" s="1016">
        <f>'Traffic Data'!J39</f>
        <v>4000</v>
      </c>
      <c r="I42" s="1016">
        <f>'Traffic Data'!AI39</f>
        <v>29056.799999999996</v>
      </c>
      <c r="J42" s="1016">
        <f>'Traffic Data'!J68</f>
        <v>4000</v>
      </c>
      <c r="K42" s="1017">
        <f>'Traffic Data'!AI68</f>
        <v>29056.799999999996</v>
      </c>
    </row>
    <row r="43" spans="1:11" x14ac:dyDescent="0.2">
      <c r="C43" s="1300"/>
      <c r="D43" s="1011" t="s">
        <v>335</v>
      </c>
      <c r="E43" s="1011" t="s">
        <v>323</v>
      </c>
      <c r="F43" s="176">
        <f>'Traffic Data'!J11</f>
        <v>2400</v>
      </c>
      <c r="G43" s="176">
        <f>'Traffic Data'!AI11</f>
        <v>21463.439999999999</v>
      </c>
      <c r="H43" s="176">
        <f>'Traffic Data'!J40</f>
        <v>2400</v>
      </c>
      <c r="I43" s="176">
        <f>'Traffic Data'!AI40</f>
        <v>14372.88</v>
      </c>
      <c r="J43" s="176">
        <f>'Traffic Data'!J69</f>
        <v>2400</v>
      </c>
      <c r="K43" s="1015">
        <f>'Traffic Data'!AI69</f>
        <v>11716.88</v>
      </c>
    </row>
    <row r="44" spans="1:11" x14ac:dyDescent="0.2">
      <c r="C44" s="1304"/>
      <c r="D44" s="1010" t="s">
        <v>323</v>
      </c>
      <c r="E44" s="1010" t="s">
        <v>338</v>
      </c>
      <c r="F44" s="1018">
        <f>'Traffic Data'!J12</f>
        <v>6000</v>
      </c>
      <c r="G44" s="1018">
        <f>'Traffic Data'!AI12</f>
        <v>14674.160000000002</v>
      </c>
      <c r="H44" s="1018">
        <f>'Traffic Data'!J41</f>
        <v>6000</v>
      </c>
      <c r="I44" s="1018">
        <f>'Traffic Data'!AI41</f>
        <v>12045.519999999999</v>
      </c>
      <c r="J44" s="1018">
        <f>'Traffic Data'!J70</f>
        <v>6000</v>
      </c>
      <c r="K44" s="1019">
        <f>'Traffic Data'!AI70</f>
        <v>12045.519999999999</v>
      </c>
    </row>
    <row r="45" spans="1:11" x14ac:dyDescent="0.2">
      <c r="C45" s="1012" t="s">
        <v>339</v>
      </c>
      <c r="D45" s="1011" t="s">
        <v>335</v>
      </c>
      <c r="E45" s="1011" t="s">
        <v>323</v>
      </c>
      <c r="F45" s="176">
        <f>'Traffic Data'!J13</f>
        <v>20</v>
      </c>
      <c r="G45" s="176">
        <f>'Traffic Data'!AI13</f>
        <v>1045.68</v>
      </c>
      <c r="H45" s="176">
        <f>'Traffic Data'!J42</f>
        <v>20</v>
      </c>
      <c r="I45" s="176">
        <f>'Traffic Data'!AI42</f>
        <v>11628.960000000003</v>
      </c>
      <c r="J45" s="176">
        <f>'Traffic Data'!J71</f>
        <v>20</v>
      </c>
      <c r="K45" s="1015">
        <f>'Traffic Data'!AI71</f>
        <v>8711.4599999999991</v>
      </c>
    </row>
    <row r="46" spans="1:11" x14ac:dyDescent="0.2">
      <c r="C46" s="1303" t="s">
        <v>323</v>
      </c>
      <c r="D46" s="1009" t="s">
        <v>282</v>
      </c>
      <c r="E46" s="1009" t="s">
        <v>339</v>
      </c>
      <c r="F46" s="1016">
        <f>'Traffic Data'!J14</f>
        <v>100</v>
      </c>
      <c r="G46" s="1016">
        <f>'Traffic Data'!AI14</f>
        <v>6522.4000000000005</v>
      </c>
      <c r="H46" s="1016">
        <f>'Traffic Data'!J43</f>
        <v>100</v>
      </c>
      <c r="I46" s="1016">
        <f>'Traffic Data'!AI43</f>
        <v>13247.199999999999</v>
      </c>
      <c r="J46" s="1016">
        <f>'Traffic Data'!J72</f>
        <v>100</v>
      </c>
      <c r="K46" s="1017">
        <f>'Traffic Data'!AI72</f>
        <v>13247.199999999999</v>
      </c>
    </row>
    <row r="47" spans="1:11" x14ac:dyDescent="0.2">
      <c r="C47" s="1300"/>
      <c r="D47" s="1011" t="s">
        <v>339</v>
      </c>
      <c r="E47" s="1011" t="s">
        <v>288</v>
      </c>
      <c r="F47" s="176">
        <f>'Traffic Data'!J15</f>
        <v>220</v>
      </c>
      <c r="G47" s="176">
        <f>'Traffic Data'!AI15</f>
        <v>13636</v>
      </c>
      <c r="H47" s="176">
        <f>'Traffic Data'!J44</f>
        <v>0</v>
      </c>
      <c r="I47" s="176">
        <f>'Traffic Data'!AI44</f>
        <v>13247.199999999999</v>
      </c>
      <c r="J47" s="176">
        <f>'Traffic Data'!J73</f>
        <v>0</v>
      </c>
      <c r="K47" s="1015">
        <f>'Traffic Data'!AI73</f>
        <v>13247.199999999999</v>
      </c>
    </row>
    <row r="48" spans="1:11" x14ac:dyDescent="0.2">
      <c r="C48" s="1300"/>
      <c r="D48" s="1011" t="s">
        <v>288</v>
      </c>
      <c r="E48" s="1011" t="s">
        <v>340</v>
      </c>
      <c r="F48" s="176">
        <f>'Traffic Data'!J16</f>
        <v>300</v>
      </c>
      <c r="G48" s="176">
        <f>'Traffic Data'!AI16</f>
        <v>18594.68</v>
      </c>
      <c r="H48" s="176">
        <f>'Traffic Data'!J45</f>
        <v>0</v>
      </c>
      <c r="I48" s="176">
        <f>'Traffic Data'!AI45</f>
        <v>13247.199999999999</v>
      </c>
      <c r="J48" s="176">
        <f>'Traffic Data'!J74</f>
        <v>0</v>
      </c>
      <c r="K48" s="1015">
        <f>'Traffic Data'!AI74</f>
        <v>13247.199999999999</v>
      </c>
    </row>
    <row r="49" spans="3:11" x14ac:dyDescent="0.2">
      <c r="C49" s="1304"/>
      <c r="D49" s="1010" t="s">
        <v>340</v>
      </c>
      <c r="E49" s="1010" t="s">
        <v>280</v>
      </c>
      <c r="F49" s="1018">
        <f>'Traffic Data'!J17</f>
        <v>300</v>
      </c>
      <c r="G49" s="1018">
        <f>'Traffic Data'!AI17</f>
        <v>18594.68</v>
      </c>
      <c r="H49" s="1018">
        <f>'Traffic Data'!J46</f>
        <v>300</v>
      </c>
      <c r="I49" s="1018">
        <f>'Traffic Data'!AI46</f>
        <v>11461.24</v>
      </c>
      <c r="J49" s="1018">
        <f>'Traffic Data'!J75</f>
        <v>300</v>
      </c>
      <c r="K49" s="1019">
        <f>'Traffic Data'!AI75</f>
        <v>8653.3199999999979</v>
      </c>
    </row>
    <row r="50" spans="3:11" x14ac:dyDescent="0.2">
      <c r="C50" s="1300" t="s">
        <v>334</v>
      </c>
      <c r="D50" s="1011" t="s">
        <v>336</v>
      </c>
      <c r="E50" s="1011" t="s">
        <v>337</v>
      </c>
      <c r="F50" s="176">
        <f>'Traffic Data'!J18</f>
        <v>14000</v>
      </c>
      <c r="G50" s="176">
        <f>'Traffic Data'!AI18</f>
        <v>28437.799999999996</v>
      </c>
      <c r="H50" s="176">
        <f>'Traffic Data'!J47</f>
        <v>14000</v>
      </c>
      <c r="I50" s="176">
        <f>'Traffic Data'!AI47</f>
        <v>28651.999999999996</v>
      </c>
      <c r="J50" s="176">
        <f>'Traffic Data'!J76</f>
        <v>14000</v>
      </c>
      <c r="K50" s="1015">
        <f>'Traffic Data'!AI76</f>
        <v>28651.999999999996</v>
      </c>
    </row>
    <row r="51" spans="3:11" x14ac:dyDescent="0.2">
      <c r="C51" s="1300"/>
      <c r="D51" s="1011" t="s">
        <v>337</v>
      </c>
      <c r="E51" s="1011" t="s">
        <v>342</v>
      </c>
      <c r="F51" s="176">
        <f>'Traffic Data'!J19</f>
        <v>22000</v>
      </c>
      <c r="G51" s="176">
        <f>'Traffic Data'!AI19</f>
        <v>39036</v>
      </c>
      <c r="H51" s="176">
        <f>'Traffic Data'!J48</f>
        <v>22000</v>
      </c>
      <c r="I51" s="176">
        <f>'Traffic Data'!AI48</f>
        <v>29142.719999999998</v>
      </c>
      <c r="J51" s="176">
        <f>'Traffic Data'!J77</f>
        <v>22000</v>
      </c>
      <c r="K51" s="1015">
        <f>'Traffic Data'!AI77</f>
        <v>26228.448</v>
      </c>
    </row>
    <row r="52" spans="3:11" x14ac:dyDescent="0.2">
      <c r="C52" s="1300"/>
      <c r="D52" s="1011" t="s">
        <v>342</v>
      </c>
      <c r="E52" s="1011" t="s">
        <v>341</v>
      </c>
      <c r="F52" s="176">
        <f>'Traffic Data'!J20</f>
        <v>22000</v>
      </c>
      <c r="G52" s="176">
        <f>'Traffic Data'!AI20</f>
        <v>39036</v>
      </c>
      <c r="H52" s="176">
        <f>'Traffic Data'!J49</f>
        <v>22000</v>
      </c>
      <c r="I52" s="176">
        <f>'Traffic Data'!AI49</f>
        <v>29142.719999999998</v>
      </c>
      <c r="J52" s="176">
        <f>'Traffic Data'!J78</f>
        <v>22000</v>
      </c>
      <c r="K52" s="1015">
        <f>'Traffic Data'!AI78</f>
        <v>26228.448</v>
      </c>
    </row>
    <row r="53" spans="3:11" x14ac:dyDescent="0.2">
      <c r="C53" s="1300"/>
      <c r="D53" s="1011" t="s">
        <v>341</v>
      </c>
      <c r="E53" s="1011" t="s">
        <v>344</v>
      </c>
      <c r="F53" s="176">
        <f>'Traffic Data'!J21</f>
        <v>26000</v>
      </c>
      <c r="G53" s="176">
        <f>'Traffic Data'!AI21</f>
        <v>46176</v>
      </c>
      <c r="H53" s="176">
        <f>'Traffic Data'!J50</f>
        <v>26000</v>
      </c>
      <c r="I53" s="176">
        <f>'Traffic Data'!AI50</f>
        <v>32639.846399999999</v>
      </c>
      <c r="J53" s="176">
        <f>'Traffic Data'!J79</f>
        <v>26000</v>
      </c>
      <c r="K53" s="1015">
        <f>'Traffic Data'!AI79</f>
        <v>29375.861760000003</v>
      </c>
    </row>
    <row r="54" spans="3:11" x14ac:dyDescent="0.2">
      <c r="C54" s="1300"/>
      <c r="D54" s="1011" t="s">
        <v>344</v>
      </c>
      <c r="E54" s="1011" t="s">
        <v>345</v>
      </c>
      <c r="F54" s="176">
        <f>'Traffic Data'!J22</f>
        <v>26000</v>
      </c>
      <c r="G54" s="176">
        <f>'Traffic Data'!AI22</f>
        <v>46176</v>
      </c>
      <c r="H54" s="176">
        <f>'Traffic Data'!J51</f>
        <v>26000</v>
      </c>
      <c r="I54" s="176">
        <f>'Traffic Data'!AI51</f>
        <v>32639.846399999999</v>
      </c>
      <c r="J54" s="176">
        <f>'Traffic Data'!J80</f>
        <v>26000</v>
      </c>
      <c r="K54" s="1015">
        <f>'Traffic Data'!AI80</f>
        <v>29375.861760000003</v>
      </c>
    </row>
    <row r="55" spans="3:11" x14ac:dyDescent="0.2">
      <c r="C55" s="1300"/>
      <c r="D55" s="1011" t="s">
        <v>345</v>
      </c>
      <c r="E55" s="1011" t="s">
        <v>323</v>
      </c>
      <c r="F55" s="176">
        <f>'Traffic Data'!J23</f>
        <v>28000</v>
      </c>
      <c r="G55" s="176">
        <f>'Traffic Data'!AI23</f>
        <v>49727.8</v>
      </c>
      <c r="H55" s="176">
        <f>'Traffic Data'!J52</f>
        <v>28000</v>
      </c>
      <c r="I55" s="176">
        <f>'Traffic Data'!AI52</f>
        <v>48571.199999999997</v>
      </c>
      <c r="J55" s="176">
        <f>'Traffic Data'!J81</f>
        <v>28000</v>
      </c>
      <c r="K55" s="1015">
        <f>'Traffic Data'!AI81</f>
        <v>48571.199999999997</v>
      </c>
    </row>
    <row r="56" spans="3:11" x14ac:dyDescent="0.2">
      <c r="C56" s="1300"/>
      <c r="D56" s="1011" t="s">
        <v>323</v>
      </c>
      <c r="E56" s="1011" t="s">
        <v>347</v>
      </c>
      <c r="F56" s="176">
        <f>'Traffic Data'!J24</f>
        <v>28000</v>
      </c>
      <c r="G56" s="176">
        <f>'Traffic Data'!AI24</f>
        <v>46873.4</v>
      </c>
      <c r="H56" s="176">
        <f>'Traffic Data'!J53</f>
        <v>28000</v>
      </c>
      <c r="I56" s="176">
        <f>'Traffic Data'!AI53</f>
        <v>48728.960000000006</v>
      </c>
      <c r="J56" s="176">
        <f>'Traffic Data'!J82</f>
        <v>28000</v>
      </c>
      <c r="K56" s="1015">
        <f>'Traffic Data'!AI82</f>
        <v>48728.960000000006</v>
      </c>
    </row>
    <row r="57" spans="3:11" x14ac:dyDescent="0.2">
      <c r="C57" s="1300"/>
      <c r="D57" s="1011" t="s">
        <v>347</v>
      </c>
      <c r="E57" s="1011" t="s">
        <v>348</v>
      </c>
      <c r="F57" s="176">
        <f>'Traffic Data'!J25</f>
        <v>28000</v>
      </c>
      <c r="G57" s="176">
        <f>'Traffic Data'!AI25</f>
        <v>46873.4</v>
      </c>
      <c r="H57" s="176">
        <f>'Traffic Data'!J54</f>
        <v>28000</v>
      </c>
      <c r="I57" s="176">
        <f>'Traffic Data'!AI54</f>
        <v>48728.960000000006</v>
      </c>
      <c r="J57" s="176">
        <f>'Traffic Data'!J83</f>
        <v>28000</v>
      </c>
      <c r="K57" s="1015">
        <f>'Traffic Data'!AI83</f>
        <v>48728.960000000006</v>
      </c>
    </row>
    <row r="58" spans="3:11" x14ac:dyDescent="0.2">
      <c r="C58" s="1300"/>
      <c r="D58" s="1011" t="s">
        <v>348</v>
      </c>
      <c r="E58" s="1011" t="s">
        <v>349</v>
      </c>
      <c r="F58" s="176">
        <f>'Traffic Data'!J26</f>
        <v>32000</v>
      </c>
      <c r="G58" s="176">
        <f>'Traffic Data'!AI26</f>
        <v>57782.799999999996</v>
      </c>
      <c r="H58" s="176">
        <f>'Traffic Data'!J55</f>
        <v>32000</v>
      </c>
      <c r="I58" s="176">
        <f>'Traffic Data'!AI55</f>
        <v>57782.799999999996</v>
      </c>
      <c r="J58" s="176">
        <f>'Traffic Data'!J84</f>
        <v>32000</v>
      </c>
      <c r="K58" s="1015">
        <f>'Traffic Data'!AI84</f>
        <v>57782.799999999996</v>
      </c>
    </row>
    <row r="59" spans="3:11" x14ac:dyDescent="0.2">
      <c r="C59" s="1013" t="s">
        <v>288</v>
      </c>
      <c r="D59" s="1008" t="s">
        <v>323</v>
      </c>
      <c r="E59" s="1008" t="s">
        <v>348</v>
      </c>
      <c r="F59" s="1020">
        <f>'Traffic Data'!J27</f>
        <v>1800</v>
      </c>
      <c r="G59" s="1020">
        <f>'Traffic Data'!AI27</f>
        <v>6791.92</v>
      </c>
      <c r="H59" s="1020">
        <f>'Traffic Data'!J56</f>
        <v>1800</v>
      </c>
      <c r="I59" s="1020">
        <f>'Traffic Data'!AI56</f>
        <v>5378.3399999999992</v>
      </c>
      <c r="J59" s="1020">
        <f>'Traffic Data'!J85</f>
        <v>1800</v>
      </c>
      <c r="K59" s="1021">
        <f>'Traffic Data'!AI85</f>
        <v>5378.3399999999992</v>
      </c>
    </row>
    <row r="60" spans="3:11" x14ac:dyDescent="0.2">
      <c r="C60" s="1012" t="s">
        <v>340</v>
      </c>
      <c r="D60" s="1011" t="s">
        <v>335</v>
      </c>
      <c r="E60" s="1011" t="s">
        <v>323</v>
      </c>
      <c r="F60" s="176">
        <f>'Traffic Data'!J28</f>
        <v>0</v>
      </c>
      <c r="G60" s="176">
        <f>'Traffic Data'!AI28</f>
        <v>0</v>
      </c>
      <c r="H60" s="176">
        <f>'Traffic Data'!J57</f>
        <v>0</v>
      </c>
      <c r="I60" s="176">
        <f>'Traffic Data'!AI57</f>
        <v>0</v>
      </c>
      <c r="J60" s="176">
        <f>'Traffic Data'!J86</f>
        <v>0</v>
      </c>
      <c r="K60" s="1015">
        <f>'Traffic Data'!AI86</f>
        <v>5378.3399999999992</v>
      </c>
    </row>
    <row r="61" spans="3:11" x14ac:dyDescent="0.2">
      <c r="C61" s="1013" t="s">
        <v>357</v>
      </c>
      <c r="D61" s="1008" t="s">
        <v>338</v>
      </c>
      <c r="E61" s="1008" t="s">
        <v>323</v>
      </c>
      <c r="F61" s="1020">
        <f>'Traffic Data'!J29</f>
        <v>3600</v>
      </c>
      <c r="G61" s="1020">
        <f>'Traffic Data'!AI29</f>
        <v>7961.8</v>
      </c>
      <c r="H61" s="1020">
        <f>'Traffic Data'!J58</f>
        <v>3600</v>
      </c>
      <c r="I61" s="1020">
        <f>'Traffic Data'!AI58</f>
        <v>5374.46</v>
      </c>
      <c r="J61" s="1020">
        <f>'Traffic Data'!J87</f>
        <v>3600</v>
      </c>
      <c r="K61" s="1021">
        <f>'Traffic Data'!AI87</f>
        <v>5374.46</v>
      </c>
    </row>
    <row r="62" spans="3:11" x14ac:dyDescent="0.2">
      <c r="C62" s="1300" t="s">
        <v>338</v>
      </c>
      <c r="D62" s="1011" t="s">
        <v>282</v>
      </c>
      <c r="E62" s="1011" t="s">
        <v>357</v>
      </c>
      <c r="F62" s="176">
        <f>'Traffic Data'!J30</f>
        <v>10000</v>
      </c>
      <c r="G62" s="176">
        <f>'Traffic Data'!AI30</f>
        <v>26230.92</v>
      </c>
      <c r="H62" s="176">
        <f>'Traffic Data'!J59</f>
        <v>10000</v>
      </c>
      <c r="I62" s="176">
        <f>'Traffic Data'!AI59</f>
        <v>18761.440000000002</v>
      </c>
      <c r="J62" s="176">
        <f>'Traffic Data'!J88</f>
        <v>10000</v>
      </c>
      <c r="K62" s="1015">
        <f>'Traffic Data'!AI88</f>
        <v>18761.440000000002</v>
      </c>
    </row>
    <row r="63" spans="3:11" x14ac:dyDescent="0.2">
      <c r="C63" s="1300"/>
      <c r="D63" s="1011" t="s">
        <v>357</v>
      </c>
      <c r="E63" s="1011" t="s">
        <v>346</v>
      </c>
      <c r="F63" s="176">
        <f>'Traffic Data'!J31</f>
        <v>7600</v>
      </c>
      <c r="G63" s="176">
        <f>'Traffic Data'!AI31</f>
        <v>18593.319999999996</v>
      </c>
      <c r="H63" s="176">
        <f>'Traffic Data'!J60</f>
        <v>7600</v>
      </c>
      <c r="I63" s="176">
        <f>'Traffic Data'!AI60</f>
        <v>14492.399999999998</v>
      </c>
      <c r="J63" s="176">
        <f>'Traffic Data'!J89</f>
        <v>7600</v>
      </c>
      <c r="K63" s="1015">
        <f>'Traffic Data'!AI89</f>
        <v>14492.399999999998</v>
      </c>
    </row>
    <row r="64" spans="3:11" x14ac:dyDescent="0.2">
      <c r="C64" s="1300"/>
      <c r="D64" s="1011" t="s">
        <v>346</v>
      </c>
      <c r="E64" s="1011" t="s">
        <v>343</v>
      </c>
      <c r="F64" s="176">
        <f>'Traffic Data'!J32</f>
        <v>7600</v>
      </c>
      <c r="G64" s="176">
        <f>'Traffic Data'!AI32</f>
        <v>18593.319999999996</v>
      </c>
      <c r="H64" s="176">
        <f>'Traffic Data'!J61</f>
        <v>7600</v>
      </c>
      <c r="I64" s="176">
        <f>'Traffic Data'!AI61</f>
        <v>14492.399999999998</v>
      </c>
      <c r="J64" s="176">
        <f>'Traffic Data'!J90</f>
        <v>7600</v>
      </c>
      <c r="K64" s="1015">
        <f>'Traffic Data'!AI90</f>
        <v>14492.399999999998</v>
      </c>
    </row>
    <row r="65" spans="3:11" x14ac:dyDescent="0.2">
      <c r="C65" s="1300"/>
      <c r="D65" s="1011" t="s">
        <v>343</v>
      </c>
      <c r="E65" s="1011" t="s">
        <v>350</v>
      </c>
      <c r="F65" s="176">
        <f>'Traffic Data'!J33</f>
        <v>6000</v>
      </c>
      <c r="G65" s="176">
        <f>'Traffic Data'!AI33</f>
        <v>13874.76</v>
      </c>
      <c r="H65" s="176">
        <f>'Traffic Data'!J62</f>
        <v>6000</v>
      </c>
      <c r="I65" s="176">
        <f>'Traffic Data'!AI62</f>
        <v>11270.639999999998</v>
      </c>
      <c r="J65" s="176">
        <f>'Traffic Data'!J91</f>
        <v>6000</v>
      </c>
      <c r="K65" s="1015">
        <f>'Traffic Data'!AI91</f>
        <v>11270.639999999998</v>
      </c>
    </row>
    <row r="66" spans="3:11" x14ac:dyDescent="0.2">
      <c r="C66" s="1300"/>
      <c r="D66" s="1011" t="s">
        <v>350</v>
      </c>
      <c r="E66" s="1011" t="s">
        <v>280</v>
      </c>
      <c r="F66" s="176">
        <f>'Traffic Data'!J34</f>
        <v>6000</v>
      </c>
      <c r="G66" s="176">
        <f>'Traffic Data'!AI34</f>
        <v>13874.76</v>
      </c>
      <c r="H66" s="176">
        <f>'Traffic Data'!J63</f>
        <v>6000</v>
      </c>
      <c r="I66" s="176">
        <f>'Traffic Data'!AI63</f>
        <v>11270.639999999998</v>
      </c>
      <c r="J66" s="176">
        <f>'Traffic Data'!J92</f>
        <v>6000</v>
      </c>
      <c r="K66" s="1015">
        <f>'Traffic Data'!AI92</f>
        <v>11270.639999999998</v>
      </c>
    </row>
    <row r="67" spans="3:11" ht="18.75" thickBot="1" x14ac:dyDescent="0.25">
      <c r="C67" s="1301"/>
      <c r="D67" s="1014" t="s">
        <v>280</v>
      </c>
      <c r="E67" s="1014" t="s">
        <v>333</v>
      </c>
      <c r="F67" s="1022">
        <f>'Traffic Data'!J35</f>
        <v>2400</v>
      </c>
      <c r="G67" s="1022">
        <f>'Traffic Data'!AI35</f>
        <v>5549.9040000000005</v>
      </c>
      <c r="H67" s="1022">
        <f>'Traffic Data'!J64</f>
        <v>2400</v>
      </c>
      <c r="I67" s="1022">
        <f>'Traffic Data'!AI64</f>
        <v>4508.2559999999994</v>
      </c>
      <c r="J67" s="1022">
        <f>'Traffic Data'!J93</f>
        <v>2400</v>
      </c>
      <c r="K67" s="1023">
        <f>'Traffic Data'!AI93</f>
        <v>4508.2559999999994</v>
      </c>
    </row>
    <row r="69" spans="3:11" ht="18.75" thickBot="1" x14ac:dyDescent="0.25">
      <c r="C69" s="547" t="s">
        <v>624</v>
      </c>
    </row>
    <row r="70" spans="3:11" x14ac:dyDescent="0.2">
      <c r="C70" s="1277" t="s">
        <v>596</v>
      </c>
      <c r="D70" s="1296" t="s">
        <v>18</v>
      </c>
      <c r="E70" s="1296"/>
      <c r="F70" s="1296" t="s">
        <v>615</v>
      </c>
      <c r="G70" s="1296"/>
      <c r="H70" s="1296" t="s">
        <v>616</v>
      </c>
      <c r="I70" s="1296"/>
      <c r="J70" s="1296" t="s">
        <v>617</v>
      </c>
      <c r="K70" s="1297"/>
    </row>
    <row r="71" spans="3:11" x14ac:dyDescent="0.2">
      <c r="C71" s="1278"/>
      <c r="D71" s="1194" t="s">
        <v>611</v>
      </c>
      <c r="E71" s="1194" t="s">
        <v>330</v>
      </c>
      <c r="F71" s="1194">
        <v>2023</v>
      </c>
      <c r="G71" s="1194">
        <v>2048</v>
      </c>
      <c r="H71" s="1194">
        <v>2023</v>
      </c>
      <c r="I71" s="1194">
        <v>2048</v>
      </c>
      <c r="J71" s="1194">
        <v>2023</v>
      </c>
      <c r="K71" s="1195">
        <v>2048</v>
      </c>
    </row>
    <row r="72" spans="3:11" x14ac:dyDescent="0.2">
      <c r="C72" s="1300" t="s">
        <v>331</v>
      </c>
      <c r="D72" s="1011" t="s">
        <v>332</v>
      </c>
      <c r="E72" s="1011" t="s">
        <v>282</v>
      </c>
      <c r="F72" s="176">
        <f>'Traffic Data'!AK7</f>
        <v>1520</v>
      </c>
      <c r="G72" s="176">
        <f>'Traffic Data'!BJ7</f>
        <v>4056.8799999999992</v>
      </c>
      <c r="H72" s="176">
        <f>'Traffic Data'!AK36</f>
        <v>1520</v>
      </c>
      <c r="I72" s="176">
        <f>'Traffic Data'!BJ36</f>
        <v>4036.5309999999995</v>
      </c>
      <c r="J72" s="176">
        <f>'Traffic Data'!AK65</f>
        <v>1520</v>
      </c>
      <c r="K72" s="1015">
        <f>'Traffic Data'!BJ65</f>
        <v>4036.5309999999995</v>
      </c>
    </row>
    <row r="73" spans="3:11" x14ac:dyDescent="0.2">
      <c r="C73" s="1300"/>
      <c r="D73" s="1011" t="s">
        <v>282</v>
      </c>
      <c r="E73" s="1011" t="s">
        <v>280</v>
      </c>
      <c r="F73" s="176">
        <f>'Traffic Data'!AK8</f>
        <v>48876.136363636368</v>
      </c>
      <c r="G73" s="176">
        <f>'Traffic Data'!BJ8</f>
        <v>155522.77977272728</v>
      </c>
      <c r="H73" s="176">
        <f>'Traffic Data'!AK37</f>
        <v>48876.136363636368</v>
      </c>
      <c r="I73" s="176">
        <f>'Traffic Data'!BJ37</f>
        <v>154543.08477272728</v>
      </c>
      <c r="J73" s="176">
        <f>'Traffic Data'!AK66</f>
        <v>48876.136363636368</v>
      </c>
      <c r="K73" s="1015">
        <f>'Traffic Data'!BJ66</f>
        <v>154543.08477272728</v>
      </c>
    </row>
    <row r="74" spans="3:11" x14ac:dyDescent="0.2">
      <c r="C74" s="1300"/>
      <c r="D74" s="1011" t="s">
        <v>280</v>
      </c>
      <c r="E74" s="1011" t="s">
        <v>333</v>
      </c>
      <c r="F74" s="176">
        <f>'Traffic Data'!AK9</f>
        <v>1140</v>
      </c>
      <c r="G74" s="176">
        <f>'Traffic Data'!BJ9</f>
        <v>2655.7060000000001</v>
      </c>
      <c r="H74" s="176">
        <f>'Traffic Data'!AK38</f>
        <v>1140</v>
      </c>
      <c r="I74" s="176">
        <f>'Traffic Data'!BJ38</f>
        <v>2655.7060000000001</v>
      </c>
      <c r="J74" s="176">
        <f>'Traffic Data'!AK67</f>
        <v>1140</v>
      </c>
      <c r="K74" s="1015">
        <f>'Traffic Data'!BJ67</f>
        <v>2655.7060000000001</v>
      </c>
    </row>
    <row r="75" spans="3:11" x14ac:dyDescent="0.2">
      <c r="C75" s="1303" t="s">
        <v>280</v>
      </c>
      <c r="D75" s="1009" t="s">
        <v>281</v>
      </c>
      <c r="E75" s="1009" t="s">
        <v>335</v>
      </c>
      <c r="F75" s="1016">
        <f>'Traffic Data'!AK10</f>
        <v>10360</v>
      </c>
      <c r="G75" s="1016">
        <f>'Traffic Data'!BJ10</f>
        <v>72039.606799999994</v>
      </c>
      <c r="H75" s="1016">
        <f>'Traffic Data'!AK39</f>
        <v>10360</v>
      </c>
      <c r="I75" s="1016">
        <f>'Traffic Data'!BJ39</f>
        <v>75257.111999999979</v>
      </c>
      <c r="J75" s="1016">
        <f>'Traffic Data'!AK68</f>
        <v>10360</v>
      </c>
      <c r="K75" s="1017">
        <f>'Traffic Data'!BJ68</f>
        <v>75257.111999999979</v>
      </c>
    </row>
    <row r="76" spans="3:11" x14ac:dyDescent="0.2">
      <c r="C76" s="1300"/>
      <c r="D76" s="1011" t="s">
        <v>335</v>
      </c>
      <c r="E76" s="1011" t="s">
        <v>323</v>
      </c>
      <c r="F76" s="176">
        <f>'Traffic Data'!AK11</f>
        <v>1200</v>
      </c>
      <c r="G76" s="176">
        <f>'Traffic Data'!BJ11</f>
        <v>10731.72</v>
      </c>
      <c r="H76" s="176">
        <f>'Traffic Data'!AK40</f>
        <v>1200</v>
      </c>
      <c r="I76" s="176">
        <f>'Traffic Data'!BJ40</f>
        <v>7186.44</v>
      </c>
      <c r="J76" s="176">
        <f>'Traffic Data'!AK69</f>
        <v>1200</v>
      </c>
      <c r="K76" s="1015">
        <f>'Traffic Data'!BJ69</f>
        <v>5858.44</v>
      </c>
    </row>
    <row r="77" spans="3:11" x14ac:dyDescent="0.2">
      <c r="C77" s="1304"/>
      <c r="D77" s="1010" t="s">
        <v>323</v>
      </c>
      <c r="E77" s="1010" t="s">
        <v>338</v>
      </c>
      <c r="F77" s="1018">
        <f>'Traffic Data'!AK12</f>
        <v>16080.000000000002</v>
      </c>
      <c r="G77" s="1018">
        <f>'Traffic Data'!BJ12</f>
        <v>39326.748800000008</v>
      </c>
      <c r="H77" s="1018">
        <f>'Traffic Data'!AK41</f>
        <v>16080.000000000002</v>
      </c>
      <c r="I77" s="1018">
        <f>'Traffic Data'!BJ41</f>
        <v>32281.993599999998</v>
      </c>
      <c r="J77" s="1018">
        <f>'Traffic Data'!AK70</f>
        <v>16080.000000000002</v>
      </c>
      <c r="K77" s="1019">
        <f>'Traffic Data'!BJ70</f>
        <v>32281.993599999998</v>
      </c>
    </row>
    <row r="78" spans="3:11" x14ac:dyDescent="0.2">
      <c r="C78" s="1012" t="s">
        <v>339</v>
      </c>
      <c r="D78" s="1011" t="s">
        <v>335</v>
      </c>
      <c r="E78" s="1011" t="s">
        <v>323</v>
      </c>
      <c r="F78" s="176">
        <f>'Traffic Data'!AK13</f>
        <v>47</v>
      </c>
      <c r="G78" s="176">
        <f>'Traffic Data'!BJ13</f>
        <v>2457.3480000000004</v>
      </c>
      <c r="H78" s="176">
        <f>'Traffic Data'!AK42</f>
        <v>47</v>
      </c>
      <c r="I78" s="176">
        <f>'Traffic Data'!BJ42</f>
        <v>27328.056000000008</v>
      </c>
      <c r="J78" s="176">
        <f>'Traffic Data'!AK71</f>
        <v>47</v>
      </c>
      <c r="K78" s="1015">
        <f>'Traffic Data'!BJ71</f>
        <v>20471.931</v>
      </c>
    </row>
    <row r="79" spans="3:11" x14ac:dyDescent="0.2">
      <c r="C79" s="1303" t="s">
        <v>323</v>
      </c>
      <c r="D79" s="1009" t="s">
        <v>282</v>
      </c>
      <c r="E79" s="1009" t="s">
        <v>339</v>
      </c>
      <c r="F79" s="1016">
        <f>'Traffic Data'!AK14</f>
        <v>135</v>
      </c>
      <c r="G79" s="1016">
        <f>'Traffic Data'!BJ14</f>
        <v>8805.2400000000016</v>
      </c>
      <c r="H79" s="1016">
        <f>'Traffic Data'!AK43</f>
        <v>135</v>
      </c>
      <c r="I79" s="1016">
        <f>'Traffic Data'!BJ43</f>
        <v>17883.72</v>
      </c>
      <c r="J79" s="1016">
        <f>'Traffic Data'!AK72</f>
        <v>135</v>
      </c>
      <c r="K79" s="1017">
        <f>'Traffic Data'!BJ72</f>
        <v>17883.72</v>
      </c>
    </row>
    <row r="80" spans="3:11" x14ac:dyDescent="0.2">
      <c r="C80" s="1300"/>
      <c r="D80" s="1011" t="s">
        <v>339</v>
      </c>
      <c r="E80" s="1011" t="s">
        <v>288</v>
      </c>
      <c r="F80" s="176">
        <f>'Traffic Data'!AK15</f>
        <v>61.600000000000009</v>
      </c>
      <c r="G80" s="176">
        <f>'Traffic Data'!BJ15</f>
        <v>3818.0800000000004</v>
      </c>
      <c r="H80" s="176">
        <f>'Traffic Data'!AK44</f>
        <v>0</v>
      </c>
      <c r="I80" s="176">
        <f>'Traffic Data'!BJ44</f>
        <v>3709.2159999999999</v>
      </c>
      <c r="J80" s="176">
        <f>'Traffic Data'!AK73</f>
        <v>0</v>
      </c>
      <c r="K80" s="1015">
        <f>'Traffic Data'!BJ73</f>
        <v>3709.2159999999999</v>
      </c>
    </row>
    <row r="81" spans="3:11" x14ac:dyDescent="0.2">
      <c r="C81" s="1300"/>
      <c r="D81" s="1011" t="s">
        <v>288</v>
      </c>
      <c r="E81" s="1011" t="s">
        <v>340</v>
      </c>
      <c r="F81" s="176">
        <f>'Traffic Data'!AK16</f>
        <v>219</v>
      </c>
      <c r="G81" s="176">
        <f>'Traffic Data'!BJ16</f>
        <v>13574.116399999999</v>
      </c>
      <c r="H81" s="176">
        <f>'Traffic Data'!AK45</f>
        <v>0</v>
      </c>
      <c r="I81" s="176">
        <f>'Traffic Data'!BJ45</f>
        <v>9670.4559999999983</v>
      </c>
      <c r="J81" s="176">
        <f>'Traffic Data'!AK74</f>
        <v>0</v>
      </c>
      <c r="K81" s="1015">
        <f>'Traffic Data'!BJ74</f>
        <v>9670.4559999999983</v>
      </c>
    </row>
    <row r="82" spans="3:11" x14ac:dyDescent="0.2">
      <c r="C82" s="1304"/>
      <c r="D82" s="1010" t="s">
        <v>340</v>
      </c>
      <c r="E82" s="1010" t="s">
        <v>280</v>
      </c>
      <c r="F82" s="1018">
        <f>'Traffic Data'!AK17</f>
        <v>315</v>
      </c>
      <c r="G82" s="1018">
        <f>'Traffic Data'!BJ17</f>
        <v>19524.414000000001</v>
      </c>
      <c r="H82" s="1018">
        <f>'Traffic Data'!AK46</f>
        <v>315</v>
      </c>
      <c r="I82" s="1018">
        <f>'Traffic Data'!BJ46</f>
        <v>12034.302</v>
      </c>
      <c r="J82" s="1018">
        <f>'Traffic Data'!AK75</f>
        <v>315</v>
      </c>
      <c r="K82" s="1019">
        <f>'Traffic Data'!BJ75</f>
        <v>9085.985999999999</v>
      </c>
    </row>
    <row r="83" spans="3:11" x14ac:dyDescent="0.2">
      <c r="C83" s="1300" t="s">
        <v>334</v>
      </c>
      <c r="D83" s="1011" t="s">
        <v>336</v>
      </c>
      <c r="E83" s="1011" t="s">
        <v>337</v>
      </c>
      <c r="F83" s="176">
        <f>'Traffic Data'!AK18</f>
        <v>7000</v>
      </c>
      <c r="G83" s="176">
        <f>'Traffic Data'!BJ18</f>
        <v>14218.899999999998</v>
      </c>
      <c r="H83" s="176">
        <f>'Traffic Data'!AK47</f>
        <v>7000</v>
      </c>
      <c r="I83" s="176">
        <f>'Traffic Data'!BJ47</f>
        <v>14325.999999999998</v>
      </c>
      <c r="J83" s="176">
        <f>'Traffic Data'!AK76</f>
        <v>7000</v>
      </c>
      <c r="K83" s="1015">
        <f>'Traffic Data'!BJ76</f>
        <v>14325.999999999998</v>
      </c>
    </row>
    <row r="84" spans="3:11" x14ac:dyDescent="0.2">
      <c r="C84" s="1300"/>
      <c r="D84" s="1011" t="s">
        <v>337</v>
      </c>
      <c r="E84" s="1011" t="s">
        <v>342</v>
      </c>
      <c r="F84" s="176">
        <f>'Traffic Data'!AK19</f>
        <v>11000</v>
      </c>
      <c r="G84" s="176">
        <f>'Traffic Data'!BJ19</f>
        <v>19518</v>
      </c>
      <c r="H84" s="176">
        <f>'Traffic Data'!AK48</f>
        <v>11000</v>
      </c>
      <c r="I84" s="176">
        <f>'Traffic Data'!BJ48</f>
        <v>14571.359999999999</v>
      </c>
      <c r="J84" s="176">
        <f>'Traffic Data'!AK77</f>
        <v>11000</v>
      </c>
      <c r="K84" s="1015">
        <f>'Traffic Data'!BJ77</f>
        <v>13114.224</v>
      </c>
    </row>
    <row r="85" spans="3:11" x14ac:dyDescent="0.2">
      <c r="C85" s="1300"/>
      <c r="D85" s="1011" t="s">
        <v>342</v>
      </c>
      <c r="E85" s="1011" t="s">
        <v>341</v>
      </c>
      <c r="F85" s="176">
        <f>'Traffic Data'!AK20</f>
        <v>14300</v>
      </c>
      <c r="G85" s="176">
        <f>'Traffic Data'!BJ20</f>
        <v>25373.4</v>
      </c>
      <c r="H85" s="176">
        <f>'Traffic Data'!AK49</f>
        <v>14300</v>
      </c>
      <c r="I85" s="176">
        <f>'Traffic Data'!BJ49</f>
        <v>18942.768</v>
      </c>
      <c r="J85" s="176">
        <f>'Traffic Data'!AK78</f>
        <v>14300</v>
      </c>
      <c r="K85" s="1015">
        <f>'Traffic Data'!BJ78</f>
        <v>17048.4912</v>
      </c>
    </row>
    <row r="86" spans="3:11" x14ac:dyDescent="0.2">
      <c r="C86" s="1300"/>
      <c r="D86" s="1011" t="s">
        <v>341</v>
      </c>
      <c r="E86" s="1011" t="s">
        <v>344</v>
      </c>
      <c r="F86" s="176">
        <f>'Traffic Data'!AK21</f>
        <v>15860</v>
      </c>
      <c r="G86" s="176">
        <f>'Traffic Data'!BJ21</f>
        <v>28167.360000000001</v>
      </c>
      <c r="H86" s="176">
        <f>'Traffic Data'!AK50</f>
        <v>15860</v>
      </c>
      <c r="I86" s="176">
        <f>'Traffic Data'!BJ50</f>
        <v>19910.306303999998</v>
      </c>
      <c r="J86" s="176">
        <f>'Traffic Data'!AK79</f>
        <v>15860</v>
      </c>
      <c r="K86" s="1015">
        <f>'Traffic Data'!BJ79</f>
        <v>17919.275673600001</v>
      </c>
    </row>
    <row r="87" spans="3:11" x14ac:dyDescent="0.2">
      <c r="C87" s="1300"/>
      <c r="D87" s="1011" t="s">
        <v>344</v>
      </c>
      <c r="E87" s="1011" t="s">
        <v>345</v>
      </c>
      <c r="F87" s="176">
        <f>'Traffic Data'!AK22</f>
        <v>6500</v>
      </c>
      <c r="G87" s="176">
        <f>'Traffic Data'!BJ22</f>
        <v>11544</v>
      </c>
      <c r="H87" s="176">
        <f>'Traffic Data'!AK51</f>
        <v>6500</v>
      </c>
      <c r="I87" s="176">
        <f>'Traffic Data'!BJ51</f>
        <v>8159.9615999999996</v>
      </c>
      <c r="J87" s="176">
        <f>'Traffic Data'!AK80</f>
        <v>6500</v>
      </c>
      <c r="K87" s="1015">
        <f>'Traffic Data'!BJ80</f>
        <v>7343.9654400000009</v>
      </c>
    </row>
    <row r="88" spans="3:11" x14ac:dyDescent="0.2">
      <c r="C88" s="1300"/>
      <c r="D88" s="1011" t="s">
        <v>345</v>
      </c>
      <c r="E88" s="1011" t="s">
        <v>323</v>
      </c>
      <c r="F88" s="176">
        <f>'Traffic Data'!AK23</f>
        <v>78400</v>
      </c>
      <c r="G88" s="176">
        <f>'Traffic Data'!BJ23</f>
        <v>139237.84</v>
      </c>
      <c r="H88" s="176">
        <f>'Traffic Data'!AK52</f>
        <v>78400</v>
      </c>
      <c r="I88" s="176">
        <f>'Traffic Data'!BJ52</f>
        <v>135999.35999999999</v>
      </c>
      <c r="J88" s="176">
        <f>'Traffic Data'!AK81</f>
        <v>78400</v>
      </c>
      <c r="K88" s="1015">
        <f>'Traffic Data'!BJ81</f>
        <v>135999.35999999999</v>
      </c>
    </row>
    <row r="89" spans="3:11" x14ac:dyDescent="0.2">
      <c r="C89" s="1300"/>
      <c r="D89" s="1011" t="s">
        <v>323</v>
      </c>
      <c r="E89" s="1011" t="s">
        <v>347</v>
      </c>
      <c r="F89" s="176">
        <f>'Traffic Data'!AK24</f>
        <v>14000</v>
      </c>
      <c r="G89" s="176">
        <f>'Traffic Data'!BJ24</f>
        <v>23436.7</v>
      </c>
      <c r="H89" s="176">
        <f>'Traffic Data'!AK53</f>
        <v>14000</v>
      </c>
      <c r="I89" s="176">
        <f>'Traffic Data'!BJ53</f>
        <v>24364.480000000003</v>
      </c>
      <c r="J89" s="176">
        <f>'Traffic Data'!AK82</f>
        <v>14000</v>
      </c>
      <c r="K89" s="1015">
        <f>'Traffic Data'!BJ82</f>
        <v>24364.480000000003</v>
      </c>
    </row>
    <row r="90" spans="3:11" x14ac:dyDescent="0.2">
      <c r="C90" s="1300"/>
      <c r="D90" s="1011" t="s">
        <v>347</v>
      </c>
      <c r="E90" s="1011" t="s">
        <v>348</v>
      </c>
      <c r="F90" s="176">
        <f>'Traffic Data'!AK25</f>
        <v>9800</v>
      </c>
      <c r="G90" s="176">
        <f>'Traffic Data'!BJ25</f>
        <v>16405.689999999999</v>
      </c>
      <c r="H90" s="176">
        <f>'Traffic Data'!AK54</f>
        <v>9800</v>
      </c>
      <c r="I90" s="176">
        <f>'Traffic Data'!BJ54</f>
        <v>17055.136000000002</v>
      </c>
      <c r="J90" s="176">
        <f>'Traffic Data'!AK83</f>
        <v>9800</v>
      </c>
      <c r="K90" s="1015">
        <f>'Traffic Data'!BJ83</f>
        <v>17055.136000000002</v>
      </c>
    </row>
    <row r="91" spans="3:11" x14ac:dyDescent="0.2">
      <c r="C91" s="1300"/>
      <c r="D91" s="1011" t="s">
        <v>348</v>
      </c>
      <c r="E91" s="1011" t="s">
        <v>349</v>
      </c>
      <c r="F91" s="176">
        <f>'Traffic Data'!AK26</f>
        <v>16000</v>
      </c>
      <c r="G91" s="176">
        <f>'Traffic Data'!BJ26</f>
        <v>28891.399999999998</v>
      </c>
      <c r="H91" s="176">
        <f>'Traffic Data'!AK55</f>
        <v>16000</v>
      </c>
      <c r="I91" s="176">
        <f>'Traffic Data'!BJ55</f>
        <v>28891.399999999998</v>
      </c>
      <c r="J91" s="176">
        <f>'Traffic Data'!AK84</f>
        <v>16000</v>
      </c>
      <c r="K91" s="1015">
        <f>'Traffic Data'!BJ84</f>
        <v>28891.399999999998</v>
      </c>
    </row>
    <row r="92" spans="3:11" x14ac:dyDescent="0.2">
      <c r="C92" s="1013" t="s">
        <v>288</v>
      </c>
      <c r="D92" s="1008" t="s">
        <v>323</v>
      </c>
      <c r="E92" s="1008" t="s">
        <v>348</v>
      </c>
      <c r="F92" s="1020">
        <f>'Traffic Data'!AK27</f>
        <v>1800</v>
      </c>
      <c r="G92" s="1020">
        <f>'Traffic Data'!BJ27</f>
        <v>6791.92</v>
      </c>
      <c r="H92" s="1020">
        <f>'Traffic Data'!AK56</f>
        <v>1800</v>
      </c>
      <c r="I92" s="1020">
        <f>'Traffic Data'!BJ56</f>
        <v>5378.3399999999992</v>
      </c>
      <c r="J92" s="1020">
        <f>'Traffic Data'!AK85</f>
        <v>1800</v>
      </c>
      <c r="K92" s="1021">
        <f>'Traffic Data'!BJ85</f>
        <v>5378.3399999999992</v>
      </c>
    </row>
    <row r="93" spans="3:11" x14ac:dyDescent="0.2">
      <c r="C93" s="1012" t="s">
        <v>340</v>
      </c>
      <c r="D93" s="1011" t="s">
        <v>335</v>
      </c>
      <c r="E93" s="1011" t="s">
        <v>323</v>
      </c>
      <c r="F93" s="176">
        <f>'Traffic Data'!AK28</f>
        <v>0</v>
      </c>
      <c r="G93" s="176">
        <f>'Traffic Data'!BJ28</f>
        <v>0</v>
      </c>
      <c r="H93" s="176">
        <f>'Traffic Data'!AK57</f>
        <v>0</v>
      </c>
      <c r="I93" s="176">
        <f>'Traffic Data'!BJ57</f>
        <v>0</v>
      </c>
      <c r="J93" s="176">
        <f>'Traffic Data'!AK86</f>
        <v>0</v>
      </c>
      <c r="K93" s="1015">
        <f>'Traffic Data'!BJ86</f>
        <v>8497.7771999999986</v>
      </c>
    </row>
    <row r="94" spans="3:11" x14ac:dyDescent="0.2">
      <c r="C94" s="1013" t="s">
        <v>357</v>
      </c>
      <c r="D94" s="1008" t="s">
        <v>338</v>
      </c>
      <c r="E94" s="1008" t="s">
        <v>323</v>
      </c>
      <c r="F94" s="1020">
        <f>'Traffic Data'!AK29</f>
        <v>3338.181818181818</v>
      </c>
      <c r="G94" s="1020">
        <f>'Traffic Data'!BJ29</f>
        <v>7382.76</v>
      </c>
      <c r="H94" s="1020">
        <f>'Traffic Data'!AK58</f>
        <v>3338.181818181818</v>
      </c>
      <c r="I94" s="1020">
        <f>'Traffic Data'!BJ58</f>
        <v>4983.5901818181819</v>
      </c>
      <c r="J94" s="1020">
        <f>'Traffic Data'!AK87</f>
        <v>3338.181818181818</v>
      </c>
      <c r="K94" s="1021">
        <f>'Traffic Data'!BJ87</f>
        <v>4983.5901818181819</v>
      </c>
    </row>
    <row r="95" spans="3:11" x14ac:dyDescent="0.2">
      <c r="C95" s="1300" t="s">
        <v>338</v>
      </c>
      <c r="D95" s="1011" t="s">
        <v>282</v>
      </c>
      <c r="E95" s="1011" t="s">
        <v>357</v>
      </c>
      <c r="F95" s="176">
        <f>'Traffic Data'!AK30</f>
        <v>11988.636363636364</v>
      </c>
      <c r="G95" s="176">
        <f>'Traffic Data'!BJ30</f>
        <v>31447.296136363639</v>
      </c>
      <c r="H95" s="176">
        <f>'Traffic Data'!AK59</f>
        <v>11988.636363636364</v>
      </c>
      <c r="I95" s="176">
        <f>'Traffic Data'!BJ59</f>
        <v>22492.408181818188</v>
      </c>
      <c r="J95" s="176">
        <f>'Traffic Data'!AK88</f>
        <v>11988.636363636364</v>
      </c>
      <c r="K95" s="1015">
        <f>'Traffic Data'!BJ88</f>
        <v>22492.408181818188</v>
      </c>
    </row>
    <row r="96" spans="3:11" x14ac:dyDescent="0.2">
      <c r="C96" s="1300"/>
      <c r="D96" s="1011" t="s">
        <v>357</v>
      </c>
      <c r="E96" s="1011" t="s">
        <v>346</v>
      </c>
      <c r="F96" s="176">
        <f>'Traffic Data'!AK31</f>
        <v>1745.9848484848485</v>
      </c>
      <c r="G96" s="176">
        <f>'Traffic Data'!BJ31</f>
        <v>4271.5335530303018</v>
      </c>
      <c r="H96" s="176">
        <f>'Traffic Data'!AK60</f>
        <v>1745.9848484848485</v>
      </c>
      <c r="I96" s="176">
        <f>'Traffic Data'!BJ60</f>
        <v>3329.4093181818175</v>
      </c>
      <c r="J96" s="176">
        <f>'Traffic Data'!AK89</f>
        <v>1745.9848484848485</v>
      </c>
      <c r="K96" s="1015">
        <f>'Traffic Data'!BJ89</f>
        <v>3329.4093181818175</v>
      </c>
    </row>
    <row r="97" spans="2:11" x14ac:dyDescent="0.2">
      <c r="C97" s="1300"/>
      <c r="D97" s="1011" t="s">
        <v>346</v>
      </c>
      <c r="E97" s="1011" t="s">
        <v>343</v>
      </c>
      <c r="F97" s="176">
        <f>'Traffic Data'!AK32</f>
        <v>431.81818181818181</v>
      </c>
      <c r="G97" s="176">
        <f>'Traffic Data'!BJ32</f>
        <v>1056.4386363636361</v>
      </c>
      <c r="H97" s="176">
        <f>'Traffic Data'!AK61</f>
        <v>431.81818181818181</v>
      </c>
      <c r="I97" s="176">
        <f>'Traffic Data'!BJ61</f>
        <v>823.43181818181802</v>
      </c>
      <c r="J97" s="176">
        <f>'Traffic Data'!AK90</f>
        <v>431.81818181818181</v>
      </c>
      <c r="K97" s="1015">
        <f>'Traffic Data'!BJ90</f>
        <v>823.43181818181802</v>
      </c>
    </row>
    <row r="98" spans="2:11" x14ac:dyDescent="0.2">
      <c r="C98" s="1300"/>
      <c r="D98" s="1011" t="s">
        <v>343</v>
      </c>
      <c r="E98" s="1011" t="s">
        <v>350</v>
      </c>
      <c r="F98" s="176">
        <f>'Traffic Data'!AK33</f>
        <v>1107.9545454545455</v>
      </c>
      <c r="G98" s="176">
        <f>'Traffic Data'!BJ33</f>
        <v>2562.1005681818183</v>
      </c>
      <c r="H98" s="176">
        <f>'Traffic Data'!AK62</f>
        <v>1107.9545454545455</v>
      </c>
      <c r="I98" s="176">
        <f>'Traffic Data'!BJ62</f>
        <v>2081.2261363636358</v>
      </c>
      <c r="J98" s="176">
        <f>'Traffic Data'!AK91</f>
        <v>1107.9545454545455</v>
      </c>
      <c r="K98" s="1015">
        <f>'Traffic Data'!BJ91</f>
        <v>2081.2261363636358</v>
      </c>
    </row>
    <row r="99" spans="2:11" x14ac:dyDescent="0.2">
      <c r="C99" s="1300"/>
      <c r="D99" s="1011" t="s">
        <v>350</v>
      </c>
      <c r="E99" s="1011" t="s">
        <v>280</v>
      </c>
      <c r="F99" s="176">
        <f>'Traffic Data'!AK34</f>
        <v>9198.863636363636</v>
      </c>
      <c r="G99" s="176">
        <f>'Traffic Data'!BJ34</f>
        <v>21272.004204545454</v>
      </c>
      <c r="H99" s="176">
        <f>'Traffic Data'!AK63</f>
        <v>9198.863636363636</v>
      </c>
      <c r="I99" s="176">
        <f>'Traffic Data'!BJ63</f>
        <v>17279.513409090905</v>
      </c>
      <c r="J99" s="176">
        <f>'Traffic Data'!AK92</f>
        <v>9198.863636363636</v>
      </c>
      <c r="K99" s="1015">
        <f>'Traffic Data'!BJ92</f>
        <v>17279.513409090905</v>
      </c>
    </row>
    <row r="100" spans="2:11" ht="18.75" thickBot="1" x14ac:dyDescent="0.25">
      <c r="C100" s="1301"/>
      <c r="D100" s="1014" t="s">
        <v>280</v>
      </c>
      <c r="E100" s="1014" t="s">
        <v>333</v>
      </c>
      <c r="F100" s="1022">
        <f>'Traffic Data'!AK35</f>
        <v>227.27272727272728</v>
      </c>
      <c r="G100" s="1022">
        <f>'Traffic Data'!BJ35</f>
        <v>525.55909090909097</v>
      </c>
      <c r="H100" s="1022">
        <f>'Traffic Data'!AK64</f>
        <v>227.27272727272728</v>
      </c>
      <c r="I100" s="1022">
        <f>'Traffic Data'!BJ64</f>
        <v>426.91818181818178</v>
      </c>
      <c r="J100" s="1022">
        <f>'Traffic Data'!AK93</f>
        <v>227.27272727272728</v>
      </c>
      <c r="K100" s="1023">
        <f>'Traffic Data'!BJ93</f>
        <v>426.91818181818178</v>
      </c>
    </row>
    <row r="102" spans="2:11" ht="18.75" thickBot="1" x14ac:dyDescent="0.25">
      <c r="C102" s="547" t="s">
        <v>623</v>
      </c>
    </row>
    <row r="103" spans="2:11" x14ac:dyDescent="0.2">
      <c r="C103" s="1277" t="s">
        <v>596</v>
      </c>
      <c r="D103" s="1296" t="s">
        <v>18</v>
      </c>
      <c r="E103" s="1296"/>
      <c r="F103" s="1296" t="s">
        <v>620</v>
      </c>
      <c r="G103" s="1296"/>
      <c r="H103" s="1296" t="s">
        <v>621</v>
      </c>
      <c r="I103" s="1296"/>
      <c r="J103" s="1296" t="s">
        <v>622</v>
      </c>
      <c r="K103" s="1297"/>
    </row>
    <row r="104" spans="2:11" x14ac:dyDescent="0.2">
      <c r="C104" s="1278"/>
      <c r="D104" s="1194" t="s">
        <v>611</v>
      </c>
      <c r="E104" s="1194" t="s">
        <v>330</v>
      </c>
      <c r="F104" s="1194">
        <v>2023</v>
      </c>
      <c r="G104" s="1194">
        <v>2048</v>
      </c>
      <c r="H104" s="1194">
        <v>2023</v>
      </c>
      <c r="I104" s="1194">
        <v>2048</v>
      </c>
      <c r="J104" s="1194">
        <v>2023</v>
      </c>
      <c r="K104" s="1195">
        <v>2048</v>
      </c>
    </row>
    <row r="105" spans="2:11" x14ac:dyDescent="0.2">
      <c r="C105" s="1300" t="s">
        <v>331</v>
      </c>
      <c r="D105" s="1011" t="s">
        <v>332</v>
      </c>
      <c r="E105" s="1011" t="s">
        <v>282</v>
      </c>
      <c r="F105" s="176">
        <f>'Traffic Data'!BK7</f>
        <v>21.175856323280648</v>
      </c>
      <c r="G105" s="176">
        <f>'Traffic Data'!CJ7</f>
        <v>58.541877573945087</v>
      </c>
      <c r="H105" s="176">
        <f>'Traffic Data'!BK36</f>
        <v>21.175856323280648</v>
      </c>
      <c r="I105" s="176">
        <f>'Traffic Data'!CJ36</f>
        <v>58.149490938130704</v>
      </c>
      <c r="J105" s="176">
        <f>'Traffic Data'!BK65</f>
        <v>21.175856323280648</v>
      </c>
      <c r="K105" s="1015">
        <f>'Traffic Data'!CJ65</f>
        <v>58.149490938130704</v>
      </c>
    </row>
    <row r="106" spans="2:11" x14ac:dyDescent="0.2">
      <c r="C106" s="1300"/>
      <c r="D106" s="1011" t="s">
        <v>282</v>
      </c>
      <c r="E106" s="1011" t="s">
        <v>280</v>
      </c>
      <c r="F106" s="176">
        <f>'Traffic Data'!BK8</f>
        <v>680.91604638444551</v>
      </c>
      <c r="G106" s="176">
        <f>'Traffic Data'!CJ8</f>
        <v>2248.9506342170339</v>
      </c>
      <c r="H106" s="176">
        <f>'Traffic Data'!BK37</f>
        <v>680.91604638444551</v>
      </c>
      <c r="I106" s="176">
        <f>'Traffic Data'!CJ37</f>
        <v>2229.776073039015</v>
      </c>
      <c r="J106" s="176">
        <f>'Traffic Data'!BK66</f>
        <v>680.91604638444551</v>
      </c>
      <c r="K106" s="1015">
        <f>'Traffic Data'!CJ66</f>
        <v>2229.776073039015</v>
      </c>
    </row>
    <row r="107" spans="2:11" x14ac:dyDescent="0.2">
      <c r="C107" s="1300"/>
      <c r="D107" s="1011" t="s">
        <v>280</v>
      </c>
      <c r="E107" s="1011" t="s">
        <v>333</v>
      </c>
      <c r="F107" s="176">
        <f>'Traffic Data'!BK9</f>
        <v>15.881862988392243</v>
      </c>
      <c r="G107" s="176">
        <f>'Traffic Data'!CJ9</f>
        <v>37.016996968011611</v>
      </c>
      <c r="H107" s="176">
        <f>'Traffic Data'!BK38</f>
        <v>15.881862988392243</v>
      </c>
      <c r="I107" s="176">
        <f>'Traffic Data'!CJ38</f>
        <v>37.016996968011611</v>
      </c>
      <c r="J107" s="176">
        <f>'Traffic Data'!BK67</f>
        <v>15.883648845893468</v>
      </c>
      <c r="K107" s="1015">
        <f>'Traffic Data'!CJ67</f>
        <v>56.599684878885469</v>
      </c>
    </row>
    <row r="108" spans="2:11" x14ac:dyDescent="0.2">
      <c r="C108" s="1303" t="s">
        <v>280</v>
      </c>
      <c r="D108" s="1009" t="s">
        <v>281</v>
      </c>
      <c r="E108" s="1009" t="s">
        <v>335</v>
      </c>
      <c r="F108" s="1016">
        <f>'Traffic Data'!BK10</f>
        <v>174.13425924047147</v>
      </c>
      <c r="G108" s="1016">
        <f>'Traffic Data'!CJ10</f>
        <v>3579.1087720037763</v>
      </c>
      <c r="H108" s="1016">
        <f>'Traffic Data'!BK39</f>
        <v>180.1739130441569</v>
      </c>
      <c r="I108" s="1016">
        <f>'Traffic Data'!CJ39</f>
        <v>1310.8363756674971</v>
      </c>
      <c r="J108" s="1016">
        <f>'Traffic Data'!BK68</f>
        <v>180.17391304455893</v>
      </c>
      <c r="K108" s="1017">
        <f>'Traffic Data'!CJ68</f>
        <v>1312.0311327134871</v>
      </c>
    </row>
    <row r="109" spans="2:11" x14ac:dyDescent="0.2">
      <c r="C109" s="1300"/>
      <c r="D109" s="1011" t="s">
        <v>335</v>
      </c>
      <c r="E109" s="1011" t="s">
        <v>323</v>
      </c>
      <c r="F109" s="176">
        <f>'Traffic Data'!BK11</f>
        <v>24.242438227745033</v>
      </c>
      <c r="G109" s="176">
        <f>'Traffic Data'!CJ11</f>
        <v>504.68593393683329</v>
      </c>
      <c r="H109" s="176">
        <f>'Traffic Data'!BK40</f>
        <v>24.242438227745033</v>
      </c>
      <c r="I109" s="176">
        <f>'Traffic Data'!CJ40</f>
        <v>334.48599992073434</v>
      </c>
      <c r="J109" s="176">
        <f>'Traffic Data'!BK69</f>
        <v>24.242438227745033</v>
      </c>
      <c r="K109" s="1015">
        <f>'Traffic Data'!CJ69</f>
        <v>272.63104305203188</v>
      </c>
    </row>
    <row r="110" spans="2:11" x14ac:dyDescent="0.2">
      <c r="B110" s="1" t="s">
        <v>87</v>
      </c>
      <c r="C110" s="1304"/>
      <c r="D110" s="1010" t="s">
        <v>323</v>
      </c>
      <c r="E110" s="1010" t="s">
        <v>338</v>
      </c>
      <c r="F110" s="1018">
        <f>'Traffic Data'!BK12</f>
        <v>344.00994144229037</v>
      </c>
      <c r="G110" s="1018">
        <f>'Traffic Data'!CJ12</f>
        <v>1858.8514603573021</v>
      </c>
      <c r="H110" s="1018">
        <f>'Traffic Data'!BK41</f>
        <v>344.00994144229037</v>
      </c>
      <c r="I110" s="1018">
        <f>'Traffic Data'!CJ41</f>
        <v>1525.548251527242</v>
      </c>
      <c r="J110" s="1018">
        <f>'Traffic Data'!BK70</f>
        <v>344.00994144229037</v>
      </c>
      <c r="K110" s="1019">
        <f>'Traffic Data'!CJ70</f>
        <v>1525.548251527242</v>
      </c>
    </row>
    <row r="111" spans="2:11" x14ac:dyDescent="0.2">
      <c r="C111" s="1012" t="s">
        <v>339</v>
      </c>
      <c r="D111" s="1011" t="s">
        <v>335</v>
      </c>
      <c r="E111" s="1011" t="s">
        <v>323</v>
      </c>
      <c r="F111" s="176">
        <f>'Traffic Data'!BK13</f>
        <v>2.3152709359605912</v>
      </c>
      <c r="G111" s="176">
        <f>'Traffic Data'!CJ13</f>
        <v>121.05162563731817</v>
      </c>
      <c r="H111" s="176">
        <f>'Traffic Data'!BK42</f>
        <v>1.087962962962963</v>
      </c>
      <c r="I111" s="176">
        <f>'Traffic Data'!CJ42</f>
        <v>1325.7073324092203</v>
      </c>
      <c r="J111" s="176">
        <f>'Traffic Data'!BK71</f>
        <v>1.087962962962963</v>
      </c>
      <c r="K111" s="1015">
        <f>'Traffic Data'!CJ71</f>
        <v>609.77069455348305</v>
      </c>
    </row>
    <row r="112" spans="2:11" x14ac:dyDescent="0.2">
      <c r="C112" s="1303" t="s">
        <v>323</v>
      </c>
      <c r="D112" s="1009" t="s">
        <v>282</v>
      </c>
      <c r="E112" s="1009" t="s">
        <v>339</v>
      </c>
      <c r="F112" s="1016">
        <f>'Traffic Data'!BK14</f>
        <v>6.6502463054187189</v>
      </c>
      <c r="G112" s="1016">
        <f>'Traffic Data'!CJ14</f>
        <v>440.64063093545963</v>
      </c>
      <c r="H112" s="1016">
        <f>'Traffic Data'!BK43</f>
        <v>3.2846715328467155</v>
      </c>
      <c r="I112" s="1016">
        <f>'Traffic Data'!CJ43</f>
        <v>435.12884943388639</v>
      </c>
      <c r="J112" s="1016">
        <f>'Traffic Data'!BK72</f>
        <v>3.2846715328467155</v>
      </c>
      <c r="K112" s="1017">
        <f>'Traffic Data'!CJ72</f>
        <v>435.12884943388639</v>
      </c>
    </row>
    <row r="113" spans="3:11" ht="17.45" customHeight="1" x14ac:dyDescent="0.2">
      <c r="C113" s="1300"/>
      <c r="D113" s="1011" t="s">
        <v>339</v>
      </c>
      <c r="E113" s="1011" t="s">
        <v>288</v>
      </c>
      <c r="F113" s="176">
        <f>'Traffic Data'!BK15</f>
        <v>1.6693766937669381</v>
      </c>
      <c r="G113" s="176">
        <f>'Traffic Data'!CJ15</f>
        <v>321.35277709302454</v>
      </c>
      <c r="H113" s="176">
        <f>'Traffic Data'!BK44</f>
        <v>0</v>
      </c>
      <c r="I113" s="176">
        <f>'Traffic Data'!CJ44</f>
        <v>90.248946549250491</v>
      </c>
      <c r="J113" s="176">
        <f>'Traffic Data'!BK73</f>
        <v>0</v>
      </c>
      <c r="K113" s="1015">
        <f>'Traffic Data'!CJ73</f>
        <v>90.248946549250491</v>
      </c>
    </row>
    <row r="114" spans="3:11" x14ac:dyDescent="0.2">
      <c r="C114" s="1300"/>
      <c r="D114" s="1011" t="s">
        <v>288</v>
      </c>
      <c r="E114" s="1011" t="s">
        <v>340</v>
      </c>
      <c r="F114" s="176">
        <f>'Traffic Data'!BK16</f>
        <v>5.3284671532846719</v>
      </c>
      <c r="G114" s="176">
        <f>'Traffic Data'!CJ16</f>
        <v>330.31198853740739</v>
      </c>
      <c r="H114" s="176">
        <f>'Traffic Data'!BK45</f>
        <v>0</v>
      </c>
      <c r="I114" s="176">
        <f>'Traffic Data'!CJ45</f>
        <v>235.29189636054591</v>
      </c>
      <c r="J114" s="176">
        <f>'Traffic Data'!BK74</f>
        <v>0</v>
      </c>
      <c r="K114" s="1015">
        <f>'Traffic Data'!CJ74</f>
        <v>235.29189636054591</v>
      </c>
    </row>
    <row r="115" spans="3:11" x14ac:dyDescent="0.2">
      <c r="C115" s="1304"/>
      <c r="D115" s="1010" t="s">
        <v>340</v>
      </c>
      <c r="E115" s="1010" t="s">
        <v>280</v>
      </c>
      <c r="F115" s="1018">
        <f>'Traffic Data'!BK17</f>
        <v>7.6642335766423351</v>
      </c>
      <c r="G115" s="1018">
        <f>'Traffic Data'!CJ17</f>
        <v>475.10628488257231</v>
      </c>
      <c r="H115" s="1018">
        <f>'Traffic Data'!BK46</f>
        <v>7.6642335766423351</v>
      </c>
      <c r="I115" s="1018">
        <f>'Traffic Data'!CJ46</f>
        <v>292.80569277249839</v>
      </c>
      <c r="J115" s="1018">
        <f>'Traffic Data'!BK75</f>
        <v>7.6642335766423351</v>
      </c>
      <c r="K115" s="1019">
        <f>'Traffic Data'!CJ75</f>
        <v>221.07023221608631</v>
      </c>
    </row>
    <row r="116" spans="3:11" ht="18" customHeight="1" x14ac:dyDescent="0.2">
      <c r="C116" s="1300" t="s">
        <v>334</v>
      </c>
      <c r="D116" s="1011" t="s">
        <v>336</v>
      </c>
      <c r="E116" s="1011" t="s">
        <v>337</v>
      </c>
      <c r="F116" s="176">
        <f>'Traffic Data'!BK18</f>
        <v>137.52526465138232</v>
      </c>
      <c r="G116" s="176">
        <f>'Traffic Data'!CJ18</f>
        <v>281.06634248933528</v>
      </c>
      <c r="H116" s="176">
        <f>'Traffic Data'!BK47</f>
        <v>137.52526465138232</v>
      </c>
      <c r="I116" s="176">
        <f>'Traffic Data'!CJ47</f>
        <v>283.31817878092693</v>
      </c>
      <c r="J116" s="176">
        <f>'Traffic Data'!BK76</f>
        <v>137.52526465138232</v>
      </c>
      <c r="K116" s="1015">
        <f>'Traffic Data'!CJ76</f>
        <v>283.31817878092693</v>
      </c>
    </row>
    <row r="117" spans="3:11" x14ac:dyDescent="0.2">
      <c r="C117" s="1300"/>
      <c r="D117" s="1011" t="s">
        <v>337</v>
      </c>
      <c r="E117" s="1011" t="s">
        <v>342</v>
      </c>
      <c r="F117" s="176">
        <f>'Traffic Data'!BK19</f>
        <v>227.31750368045189</v>
      </c>
      <c r="G117" s="176">
        <f>'Traffic Data'!CJ19</f>
        <v>427.84081426179239</v>
      </c>
      <c r="H117" s="176">
        <f>'Traffic Data'!BK48</f>
        <v>227.29953656203841</v>
      </c>
      <c r="I117" s="176">
        <f>'Traffic Data'!CJ48</f>
        <v>301.65199162535703</v>
      </c>
      <c r="J117" s="176">
        <f>'Traffic Data'!BK77</f>
        <v>227.31750368045189</v>
      </c>
      <c r="K117" s="1015">
        <f>'Traffic Data'!CJ77</f>
        <v>271.26471013685114</v>
      </c>
    </row>
    <row r="118" spans="3:11" x14ac:dyDescent="0.2">
      <c r="C118" s="1300"/>
      <c r="D118" s="1011" t="s">
        <v>342</v>
      </c>
      <c r="E118" s="1011" t="s">
        <v>341</v>
      </c>
      <c r="F118" s="176">
        <f>'Traffic Data'!BK20</f>
        <v>329.5778428757539</v>
      </c>
      <c r="G118" s="176">
        <f>'Traffic Data'!CJ20</f>
        <v>631.16006164124587</v>
      </c>
      <c r="H118" s="176">
        <f>'Traffic Data'!BK49</f>
        <v>329.55800303165972</v>
      </c>
      <c r="I118" s="176">
        <f>'Traffic Data'!CJ49</f>
        <v>437.89994377704721</v>
      </c>
      <c r="J118" s="176">
        <f>'Traffic Data'!BK78</f>
        <v>329.5778428757539</v>
      </c>
      <c r="K118" s="1015">
        <f>'Traffic Data'!CJ78</f>
        <v>393.40853653450756</v>
      </c>
    </row>
    <row r="119" spans="3:11" x14ac:dyDescent="0.2">
      <c r="C119" s="1300"/>
      <c r="D119" s="1011" t="s">
        <v>341</v>
      </c>
      <c r="E119" s="1011" t="s">
        <v>344</v>
      </c>
      <c r="F119" s="176">
        <f>'Traffic Data'!BK21</f>
        <v>340.69973792930529</v>
      </c>
      <c r="G119" s="176">
        <f>'Traffic Data'!CJ21</f>
        <v>802.05467461620037</v>
      </c>
      <c r="H119" s="176">
        <f>'Traffic Data'!BK50</f>
        <v>340.69973792930529</v>
      </c>
      <c r="I119" s="176">
        <f>'Traffic Data'!CJ50</f>
        <v>431.60937262920288</v>
      </c>
      <c r="J119" s="176">
        <f>'Traffic Data'!BK79</f>
        <v>340.69973792930529</v>
      </c>
      <c r="K119" s="1015">
        <f>'Traffic Data'!CJ79</f>
        <v>385.89875724973837</v>
      </c>
    </row>
    <row r="120" spans="3:11" x14ac:dyDescent="0.2">
      <c r="C120" s="1300"/>
      <c r="D120" s="1011" t="s">
        <v>344</v>
      </c>
      <c r="E120" s="1011" t="s">
        <v>345</v>
      </c>
      <c r="F120" s="176">
        <f>'Traffic Data'!BK22</f>
        <v>114.88519207754152</v>
      </c>
      <c r="G120" s="176">
        <f>'Traffic Data'!CJ22</f>
        <v>228.46630458593401</v>
      </c>
      <c r="H120" s="176">
        <f>'Traffic Data'!BK51</f>
        <v>114.88519207754152</v>
      </c>
      <c r="I120" s="176">
        <f>'Traffic Data'!CJ51</f>
        <v>144.70840635963043</v>
      </c>
      <c r="J120" s="176">
        <f>'Traffic Data'!BK80</f>
        <v>114.88519207754152</v>
      </c>
      <c r="K120" s="1015">
        <f>'Traffic Data'!CJ80</f>
        <v>129.92133207577805</v>
      </c>
    </row>
    <row r="121" spans="3:11" x14ac:dyDescent="0.2">
      <c r="C121" s="1300"/>
      <c r="D121" s="1011" t="s">
        <v>345</v>
      </c>
      <c r="E121" s="1011" t="s">
        <v>323</v>
      </c>
      <c r="F121" s="176">
        <f>'Traffic Data'!BK23</f>
        <v>1134.9564903201647</v>
      </c>
      <c r="G121" s="176">
        <f>'Traffic Data'!CJ23</f>
        <v>2219.5713799702307</v>
      </c>
      <c r="H121" s="176">
        <f>'Traffic Data'!BK52</f>
        <v>1134.9564903201647</v>
      </c>
      <c r="I121" s="176">
        <f>'Traffic Data'!CJ52</f>
        <v>2126.0517218603254</v>
      </c>
      <c r="J121" s="176">
        <f>'Traffic Data'!BK81</f>
        <v>1134.9564903201647</v>
      </c>
      <c r="K121" s="1015">
        <f>'Traffic Data'!CJ81</f>
        <v>2126.0517218603254</v>
      </c>
    </row>
    <row r="122" spans="3:11" x14ac:dyDescent="0.2">
      <c r="C122" s="1300"/>
      <c r="D122" s="1011" t="s">
        <v>323</v>
      </c>
      <c r="E122" s="1011" t="s">
        <v>347</v>
      </c>
      <c r="F122" s="176">
        <f>'Traffic Data'!BK24</f>
        <v>202.67080184288653</v>
      </c>
      <c r="G122" s="176">
        <f>'Traffic Data'!CJ24</f>
        <v>358.23480737843238</v>
      </c>
      <c r="H122" s="176">
        <f>'Traffic Data'!BK53</f>
        <v>202.67080184288653</v>
      </c>
      <c r="I122" s="176">
        <f>'Traffic Data'!CJ53</f>
        <v>381.81754971658847</v>
      </c>
      <c r="J122" s="176">
        <f>'Traffic Data'!BK82</f>
        <v>202.67080184288653</v>
      </c>
      <c r="K122" s="1015">
        <f>'Traffic Data'!CJ82</f>
        <v>381.81754971658847</v>
      </c>
    </row>
    <row r="123" spans="3:11" x14ac:dyDescent="0.2">
      <c r="C123" s="1300"/>
      <c r="D123" s="1011" t="s">
        <v>347</v>
      </c>
      <c r="E123" s="1011" t="s">
        <v>348</v>
      </c>
      <c r="F123" s="176">
        <f>'Traffic Data'!BK25</f>
        <v>165.90474437818594</v>
      </c>
      <c r="G123" s="176">
        <f>'Traffic Data'!CJ25</f>
        <v>301.92837859806184</v>
      </c>
      <c r="H123" s="176">
        <f>'Traffic Data'!BK54</f>
        <v>165.90474437818594</v>
      </c>
      <c r="I123" s="176">
        <f>'Traffic Data'!CJ54</f>
        <v>325.88216978264347</v>
      </c>
      <c r="J123" s="176">
        <f>'Traffic Data'!BK83</f>
        <v>165.90474437818594</v>
      </c>
      <c r="K123" s="1015">
        <f>'Traffic Data'!CJ83</f>
        <v>325.88216978264347</v>
      </c>
    </row>
    <row r="124" spans="3:11" x14ac:dyDescent="0.2">
      <c r="C124" s="1300"/>
      <c r="D124" s="1011" t="s">
        <v>348</v>
      </c>
      <c r="E124" s="1011" t="s">
        <v>349</v>
      </c>
      <c r="F124" s="176">
        <f>'Traffic Data'!BK26</f>
        <v>271.24951559126072</v>
      </c>
      <c r="G124" s="176">
        <f>'Traffic Data'!CJ26</f>
        <v>836.19268916470151</v>
      </c>
      <c r="H124" s="176">
        <f>'Traffic Data'!BK55</f>
        <v>271.24951559126072</v>
      </c>
      <c r="I124" s="176">
        <f>'Traffic Data'!CJ55</f>
        <v>836.19268916470151</v>
      </c>
      <c r="J124" s="176">
        <f>'Traffic Data'!BK84</f>
        <v>271.24951559126072</v>
      </c>
      <c r="K124" s="1015">
        <f>'Traffic Data'!CJ84</f>
        <v>836.19268916470151</v>
      </c>
    </row>
    <row r="125" spans="3:11" ht="18" customHeight="1" x14ac:dyDescent="0.2">
      <c r="C125" s="1013" t="s">
        <v>288</v>
      </c>
      <c r="D125" s="1008" t="s">
        <v>323</v>
      </c>
      <c r="E125" s="1008" t="s">
        <v>348</v>
      </c>
      <c r="F125" s="1020">
        <f>'Traffic Data'!BK27</f>
        <v>64.748204072359712</v>
      </c>
      <c r="G125" s="1020">
        <f>'Traffic Data'!CJ27</f>
        <v>250.12740238289575</v>
      </c>
      <c r="H125" s="1020">
        <f>'Traffic Data'!BK56</f>
        <v>64.748204072359712</v>
      </c>
      <c r="I125" s="1020">
        <f>'Traffic Data'!CJ56</f>
        <v>193.91180896010025</v>
      </c>
      <c r="J125" s="1020">
        <f>'Traffic Data'!BK85</f>
        <v>67.164179104477981</v>
      </c>
      <c r="K125" s="1021">
        <f>'Traffic Data'!CJ85</f>
        <v>200.68432841841332</v>
      </c>
    </row>
    <row r="126" spans="3:11" x14ac:dyDescent="0.2">
      <c r="C126" s="1012" t="s">
        <v>340</v>
      </c>
      <c r="D126" s="1011" t="s">
        <v>335</v>
      </c>
      <c r="E126" s="1011" t="s">
        <v>323</v>
      </c>
      <c r="F126" s="176">
        <v>0</v>
      </c>
      <c r="G126" s="176">
        <v>0</v>
      </c>
      <c r="H126" s="176">
        <v>0</v>
      </c>
      <c r="I126" s="176">
        <v>0</v>
      </c>
      <c r="J126" s="176">
        <f>'Traffic Data'!BK86</f>
        <v>0</v>
      </c>
      <c r="K126" s="1015">
        <f>'Traffic Data'!CJ86</f>
        <v>197.16162723989447</v>
      </c>
    </row>
    <row r="127" spans="3:11" x14ac:dyDescent="0.2">
      <c r="C127" s="1013" t="s">
        <v>357</v>
      </c>
      <c r="D127" s="1008" t="s">
        <v>338</v>
      </c>
      <c r="E127" s="1008" t="s">
        <v>323</v>
      </c>
      <c r="F127" s="1020">
        <f>'Traffic Data'!BK29</f>
        <v>104.64955645778389</v>
      </c>
      <c r="G127" s="1020">
        <f>'Traffic Data'!CJ29</f>
        <v>258.41949418517584</v>
      </c>
      <c r="H127" s="1020">
        <f>'Traffic Data'!BK58</f>
        <v>104.64955645778389</v>
      </c>
      <c r="I127" s="1020">
        <f>'Traffic Data'!CJ58</f>
        <v>156.5832316722751</v>
      </c>
      <c r="J127" s="1020">
        <f>'Traffic Data'!BK87</f>
        <v>104.64955645778389</v>
      </c>
      <c r="K127" s="1021">
        <f>'Traffic Data'!CJ87</f>
        <v>156.5832316722751</v>
      </c>
    </row>
    <row r="128" spans="3:11" x14ac:dyDescent="0.2">
      <c r="C128" s="1300" t="s">
        <v>338</v>
      </c>
      <c r="D128" s="1011" t="s">
        <v>282</v>
      </c>
      <c r="E128" s="1011" t="s">
        <v>357</v>
      </c>
      <c r="F128" s="176">
        <f>'Traffic Data'!BK30</f>
        <v>214.46577905864618</v>
      </c>
      <c r="G128" s="176">
        <f>'Traffic Data'!CJ30</f>
        <v>563.05968289317445</v>
      </c>
      <c r="H128" s="176">
        <f>'Traffic Data'!BK59</f>
        <v>214.46577905864618</v>
      </c>
      <c r="I128" s="176">
        <f>'Traffic Data'!CJ59</f>
        <v>402.38109743135249</v>
      </c>
      <c r="J128" s="176">
        <f>'Traffic Data'!BK88</f>
        <v>214.46577905864618</v>
      </c>
      <c r="K128" s="1015">
        <f>'Traffic Data'!CJ88</f>
        <v>402.38109743135249</v>
      </c>
    </row>
    <row r="129" spans="1:11" x14ac:dyDescent="0.2">
      <c r="C129" s="1300"/>
      <c r="D129" s="1011" t="s">
        <v>357</v>
      </c>
      <c r="E129" s="1011" t="s">
        <v>346</v>
      </c>
      <c r="F129" s="176">
        <f>'Traffic Data'!BK31</f>
        <v>31.234076116374347</v>
      </c>
      <c r="G129" s="176">
        <f>'Traffic Data'!CJ31</f>
        <v>76.415996555811134</v>
      </c>
      <c r="H129" s="176">
        <f>'Traffic Data'!BK60</f>
        <v>31.234076116374347</v>
      </c>
      <c r="I129" s="176">
        <f>'Traffic Data'!CJ60</f>
        <v>59.560234372457685</v>
      </c>
      <c r="J129" s="176">
        <f>'Traffic Data'!BK89</f>
        <v>31.234076116374347</v>
      </c>
      <c r="K129" s="1015">
        <f>'Traffic Data'!CJ89</f>
        <v>59.560234372457685</v>
      </c>
    </row>
    <row r="130" spans="1:11" ht="18" customHeight="1" x14ac:dyDescent="0.2">
      <c r="C130" s="1300"/>
      <c r="D130" s="1011" t="s">
        <v>346</v>
      </c>
      <c r="E130" s="1011" t="s">
        <v>343</v>
      </c>
      <c r="F130" s="176">
        <f>'Traffic Data'!BK32</f>
        <v>9.4078036195684422</v>
      </c>
      <c r="G130" s="176">
        <f>'Traffic Data'!CJ32</f>
        <v>23.017860970404612</v>
      </c>
      <c r="H130" s="176">
        <f>'Traffic Data'!BK61</f>
        <v>9.4078036195684422</v>
      </c>
      <c r="I130" s="176">
        <f>'Traffic Data'!CJ61</f>
        <v>17.939805122515388</v>
      </c>
      <c r="J130" s="176">
        <f>'Traffic Data'!BK90</f>
        <v>9.4078036195684422</v>
      </c>
      <c r="K130" s="1015">
        <f>'Traffic Data'!CJ90</f>
        <v>17.939805122515388</v>
      </c>
    </row>
    <row r="131" spans="1:11" x14ac:dyDescent="0.2">
      <c r="C131" s="1300"/>
      <c r="D131" s="1011" t="s">
        <v>343</v>
      </c>
      <c r="E131" s="1011" t="s">
        <v>350</v>
      </c>
      <c r="F131" s="176">
        <f>'Traffic Data'!BK33</f>
        <v>24.138443278803063</v>
      </c>
      <c r="G131" s="176">
        <f>'Traffic Data'!CJ33</f>
        <v>55.819414151919091</v>
      </c>
      <c r="H131" s="176">
        <f>'Traffic Data'!BK62</f>
        <v>24.138443278803063</v>
      </c>
      <c r="I131" s="176">
        <f>'Traffic Data'!CJ62</f>
        <v>45.342640686663643</v>
      </c>
      <c r="J131" s="176">
        <f>'Traffic Data'!BK91</f>
        <v>24.138443278803063</v>
      </c>
      <c r="K131" s="1015">
        <f>'Traffic Data'!CJ91</f>
        <v>45.342640686663643</v>
      </c>
    </row>
    <row r="132" spans="1:11" x14ac:dyDescent="0.2">
      <c r="C132" s="1300"/>
      <c r="D132" s="1011" t="s">
        <v>350</v>
      </c>
      <c r="E132" s="1011" t="s">
        <v>280</v>
      </c>
      <c r="F132" s="176">
        <f>'Traffic Data'!BK34</f>
        <v>164.55927798828586</v>
      </c>
      <c r="G132" s="176">
        <f>'Traffic Data'!CJ34</f>
        <v>380.53732334000637</v>
      </c>
      <c r="H132" s="176">
        <f>'Traffic Data'!BK63</f>
        <v>164.55927798828586</v>
      </c>
      <c r="I132" s="176">
        <f>'Traffic Data'!CJ63</f>
        <v>309.11478851580648</v>
      </c>
      <c r="J132" s="176">
        <f>'Traffic Data'!BK92</f>
        <v>164.55927798828586</v>
      </c>
      <c r="K132" s="1015">
        <f>'Traffic Data'!CJ92</f>
        <v>309.11478851580648</v>
      </c>
    </row>
    <row r="133" spans="1:11" ht="18.75" thickBot="1" x14ac:dyDescent="0.25">
      <c r="C133" s="1301"/>
      <c r="D133" s="1014" t="s">
        <v>280</v>
      </c>
      <c r="E133" s="1014" t="s">
        <v>333</v>
      </c>
      <c r="F133" s="1022">
        <f>'Traffic Data'!BK35</f>
        <v>4.1098166073256728</v>
      </c>
      <c r="G133" s="1022">
        <f>'Traffic Data'!CJ35</f>
        <v>9.5277546808111335</v>
      </c>
      <c r="H133" s="1022">
        <f>'Traffic Data'!BK64</f>
        <v>4.1098166073256728</v>
      </c>
      <c r="I133" s="1022">
        <f>'Traffic Data'!CJ64</f>
        <v>7.7224755158027385</v>
      </c>
      <c r="J133" s="1022">
        <f>'Traffic Data'!BK93</f>
        <v>4.1098166073256728</v>
      </c>
      <c r="K133" s="1023">
        <f>'Traffic Data'!CJ93</f>
        <v>7.7224755158027385</v>
      </c>
    </row>
    <row r="134" spans="1:11" x14ac:dyDescent="0.2">
      <c r="C134" s="140"/>
      <c r="D134" s="140"/>
      <c r="E134" s="141"/>
      <c r="F134" s="147"/>
      <c r="G134" s="141"/>
      <c r="H134" s="147"/>
      <c r="I134" s="142"/>
    </row>
    <row r="135" spans="1:11" ht="18.75" thickBot="1" x14ac:dyDescent="0.25">
      <c r="A135" s="548" t="s">
        <v>13</v>
      </c>
      <c r="B135" s="1" t="s">
        <v>87</v>
      </c>
      <c r="C135" s="547" t="s">
        <v>235</v>
      </c>
    </row>
    <row r="136" spans="1:11" x14ac:dyDescent="0.2">
      <c r="C136" s="478" t="s">
        <v>1</v>
      </c>
      <c r="D136" s="553" t="s">
        <v>2</v>
      </c>
      <c r="E136" s="553" t="s">
        <v>3</v>
      </c>
      <c r="F136" s="689" t="s">
        <v>104</v>
      </c>
    </row>
    <row r="137" spans="1:11" ht="63" customHeight="1" x14ac:dyDescent="0.2">
      <c r="C137" s="684" t="str" cm="1">
        <f t="array" ref="C137:C140">Inputs!C23:C26</f>
        <v>Value of Travel Time Savings – Automobiles</v>
      </c>
      <c r="D137" s="159" t="str" cm="1">
        <f t="array" ref="D137:D140">Inputs!D23:D26</f>
        <v>2021$/hour</v>
      </c>
      <c r="E137" s="1231" cm="1">
        <f t="array" ref="E137:E140">Inputs!E23:E26</f>
        <v>18.8</v>
      </c>
      <c r="F137" s="1285" t="str">
        <f>Inputs!F23</f>
        <v>Revised Departmental Guidance on Valuation of Travel Time in Economic Analysis (2016). Obtained from: U.S. DOT Benefit-Cost Analysis Guidance for Discretionary Grant Programs, January 2023.</v>
      </c>
    </row>
    <row r="138" spans="1:11" ht="63" customHeight="1" x14ac:dyDescent="0.2">
      <c r="C138" s="684" t="str">
        <v>Value of Travel Time Savings – Trucks</v>
      </c>
      <c r="D138" s="160" t="str">
        <v>2021$/hour</v>
      </c>
      <c r="E138" s="1231">
        <v>32.4</v>
      </c>
      <c r="F138" s="1285"/>
    </row>
    <row r="139" spans="1:11" ht="105.75" customHeight="1" x14ac:dyDescent="0.2">
      <c r="C139" s="684" t="str">
        <v>Vehicle Occupancy – Automobiles</v>
      </c>
      <c r="D139" s="160" t="str">
        <v>persons/vehicle</v>
      </c>
      <c r="E139" s="159">
        <v>1.67</v>
      </c>
      <c r="F139" s="700" t="str">
        <f>Inputs!F25</f>
        <v>2017 National Household Travel Survey. Obtained from: U.S. DOT Benefit-Cost Analysis Guidance for Discretionary Grant Programs, January 2023</v>
      </c>
    </row>
    <row r="140" spans="1:11" x14ac:dyDescent="0.2">
      <c r="C140" s="684" t="str">
        <v>Vehicle Occupancy – Trucks</v>
      </c>
      <c r="D140" s="160" t="str">
        <v>persons/vehicle</v>
      </c>
      <c r="E140" s="159">
        <v>1</v>
      </c>
      <c r="F140" s="700" t="str">
        <f>Inputs!F26</f>
        <v>Assumption</v>
      </c>
    </row>
    <row r="141" spans="1:11" x14ac:dyDescent="0.2">
      <c r="C141" s="504" t="str">
        <f>Inputs!C18</f>
        <v>Number of Peak Period Hours – AM</v>
      </c>
      <c r="D141" s="160" t="str">
        <f>Inputs!D18</f>
        <v>hours</v>
      </c>
      <c r="E141" s="159">
        <f>peakHoursAM</f>
        <v>2</v>
      </c>
      <c r="F141" s="1285" t="str">
        <f>Inputs!F18</f>
        <v>Assumption</v>
      </c>
    </row>
    <row r="142" spans="1:11" x14ac:dyDescent="0.2">
      <c r="C142" s="504" t="str">
        <f>Inputs!C19</f>
        <v>Number of Peak Period Hours – PM</v>
      </c>
      <c r="D142" s="160" t="str">
        <f>Inputs!D19</f>
        <v>hours</v>
      </c>
      <c r="E142" s="159">
        <f>peakHoursAM</f>
        <v>2</v>
      </c>
      <c r="F142" s="1285"/>
    </row>
    <row r="143" spans="1:11" ht="108" x14ac:dyDescent="0.2">
      <c r="C143" s="504" t="str">
        <f>Inputs!C20</f>
        <v>Number of Non-Peak Period Hours</v>
      </c>
      <c r="D143" s="160" t="str">
        <f>Inputs!D20</f>
        <v>hours</v>
      </c>
      <c r="E143" s="159">
        <f>nonpeakHours</f>
        <v>14</v>
      </c>
      <c r="F143" s="700" t="str">
        <f>Inputs!F20</f>
        <v xml:space="preserve">Assumed that volume is negligible for 6 hours each day (e.g., 12 AM to 6 AM); remaining 18 hours minus the peak period hours is the number of non-peak period hours. </v>
      </c>
    </row>
    <row r="144" spans="1:11" ht="60" x14ac:dyDescent="0.2">
      <c r="C144" s="504" t="str">
        <f>Inputs!C21</f>
        <v>Percent of Daily Travel during Peak Hours</v>
      </c>
      <c r="D144" s="160" t="str">
        <f>Inputs!D21</f>
        <v>%</v>
      </c>
      <c r="E144" s="161">
        <f>percentPeak</f>
        <v>0.32800000000000001</v>
      </c>
      <c r="F144" s="700" t="str">
        <f>Inputs!F21</f>
        <v>California DOT, Cal-B/C v8.1 Table: Demand for Travel during Peak Period. (2021)</v>
      </c>
    </row>
    <row r="145" spans="3:9" ht="24.75" thickBot="1" x14ac:dyDescent="0.25">
      <c r="C145" s="505" t="str">
        <f>Inputs!C22</f>
        <v>Percent of Daily Travel during Non-Peak Hours</v>
      </c>
      <c r="D145" s="685" t="str">
        <f>Inputs!D22</f>
        <v>%</v>
      </c>
      <c r="E145" s="686">
        <f>Inputs!E22</f>
        <v>0.67199999999999993</v>
      </c>
      <c r="F145" s="701" t="str">
        <f>Inputs!F22</f>
        <v>Calculated</v>
      </c>
    </row>
    <row r="146" spans="3:9" x14ac:dyDescent="0.2">
      <c r="C146" s="157"/>
      <c r="D146" s="156"/>
      <c r="E146" s="158"/>
      <c r="F146" s="157"/>
    </row>
    <row r="147" spans="3:9" ht="18.75" thickBot="1" x14ac:dyDescent="0.25">
      <c r="C147" s="547" t="s">
        <v>236</v>
      </c>
      <c r="D147" s="149"/>
      <c r="E147" s="150"/>
      <c r="F147" s="149"/>
    </row>
    <row r="148" spans="3:9" x14ac:dyDescent="0.2">
      <c r="C148" s="683" t="s">
        <v>596</v>
      </c>
      <c r="D148" s="982" t="s">
        <v>19</v>
      </c>
      <c r="E148" s="982" t="s">
        <v>467</v>
      </c>
      <c r="F148" s="702" t="s">
        <v>104</v>
      </c>
      <c r="G148" s="954"/>
      <c r="H148" s="954"/>
    </row>
    <row r="149" spans="3:9" x14ac:dyDescent="0.2">
      <c r="C149" s="978" t="str">
        <f>Emissions!E7</f>
        <v>US 412</v>
      </c>
      <c r="D149" s="981" cm="1">
        <f t="array" ref="D149:D157">TRANSPOSE(Inputs!D35:L35)</f>
        <v>0.22</v>
      </c>
      <c r="E149" s="983" cm="1">
        <f t="array" ref="E149:E157">TRANSPOSE(Inputs!D36:L36)</f>
        <v>0.78</v>
      </c>
      <c r="F149" s="1310" t="s">
        <v>597</v>
      </c>
      <c r="G149" s="977"/>
      <c r="H149" s="977"/>
    </row>
    <row r="150" spans="3:9" x14ac:dyDescent="0.2">
      <c r="C150" s="978" t="str">
        <f>Emissions!F7</f>
        <v>SH 412B</v>
      </c>
      <c r="D150" s="981">
        <v>0.2</v>
      </c>
      <c r="E150" s="983">
        <v>0.8</v>
      </c>
      <c r="F150" s="1311"/>
      <c r="G150" s="977"/>
      <c r="H150" s="977"/>
    </row>
    <row r="151" spans="3:9" x14ac:dyDescent="0.2">
      <c r="C151" s="978" t="str">
        <f>Emissions!G7</f>
        <v>Patrol Rd</v>
      </c>
      <c r="D151" s="981">
        <v>0.2</v>
      </c>
      <c r="E151" s="983">
        <v>0.8</v>
      </c>
      <c r="F151" s="1311"/>
      <c r="G151" s="977"/>
      <c r="H151" s="977"/>
    </row>
    <row r="152" spans="3:9" x14ac:dyDescent="0.2">
      <c r="C152" s="978" t="str">
        <f>Emissions!H7</f>
        <v>Williams St</v>
      </c>
      <c r="D152" s="981">
        <v>0.2</v>
      </c>
      <c r="E152" s="983">
        <v>0.8</v>
      </c>
      <c r="F152" s="1311"/>
      <c r="G152" s="977"/>
      <c r="H152" s="977"/>
    </row>
    <row r="153" spans="3:9" x14ac:dyDescent="0.2">
      <c r="C153" s="978" t="str">
        <f>Emissions!I7</f>
        <v>US 69</v>
      </c>
      <c r="D153" s="981">
        <v>0.28000000000000003</v>
      </c>
      <c r="E153" s="983">
        <v>0.72</v>
      </c>
      <c r="F153" s="1311"/>
      <c r="G153" s="977"/>
      <c r="H153" s="977"/>
    </row>
    <row r="154" spans="3:9" x14ac:dyDescent="0.2">
      <c r="C154" s="978" t="str">
        <f>Emissions!J7</f>
        <v>Zarrow Rd</v>
      </c>
      <c r="D154" s="981">
        <v>0.2</v>
      </c>
      <c r="E154" s="983">
        <v>0.8</v>
      </c>
      <c r="F154" s="1311"/>
      <c r="G154" s="977"/>
      <c r="H154" s="977"/>
    </row>
    <row r="155" spans="3:9" x14ac:dyDescent="0.2">
      <c r="C155" s="978" t="str">
        <f>Emissions!K7</f>
        <v>Rocket Rd</v>
      </c>
      <c r="D155" s="981">
        <v>0.2</v>
      </c>
      <c r="E155" s="983">
        <v>0.8</v>
      </c>
      <c r="F155" s="1311"/>
      <c r="G155" s="977"/>
      <c r="H155" s="977"/>
    </row>
    <row r="156" spans="3:9" x14ac:dyDescent="0.2">
      <c r="C156" s="978" t="str">
        <f>Emissions!L7</f>
        <v>Armin Rd</v>
      </c>
      <c r="D156" s="981">
        <v>0.2</v>
      </c>
      <c r="E156" s="983">
        <v>0.8</v>
      </c>
      <c r="F156" s="1311"/>
      <c r="G156" s="977"/>
      <c r="H156" s="977"/>
    </row>
    <row r="157" spans="3:9" ht="18.75" thickBot="1" x14ac:dyDescent="0.25">
      <c r="C157" s="980" t="str">
        <f>Emissions!M7</f>
        <v>SH 69A</v>
      </c>
      <c r="D157" s="984">
        <v>0.2</v>
      </c>
      <c r="E157" s="985">
        <v>0.8</v>
      </c>
      <c r="F157" s="1312"/>
      <c r="G157" s="977"/>
      <c r="H157" s="977"/>
    </row>
    <row r="158" spans="3:9" x14ac:dyDescent="0.2">
      <c r="C158" s="140"/>
      <c r="D158" s="140"/>
      <c r="E158" s="151"/>
      <c r="F158" s="151"/>
      <c r="G158" s="151"/>
      <c r="H158" s="151"/>
      <c r="I158" s="142"/>
    </row>
    <row r="159" spans="3:9" ht="18.75" thickBot="1" x14ac:dyDescent="0.25">
      <c r="C159" s="547" t="s">
        <v>237</v>
      </c>
    </row>
    <row r="160" spans="3:9" x14ac:dyDescent="0.2">
      <c r="C160" s="508"/>
      <c r="D160" s="1279" t="s">
        <v>120</v>
      </c>
      <c r="E160" s="1279"/>
      <c r="F160" s="1279"/>
      <c r="G160" s="1295"/>
    </row>
    <row r="161" spans="1:10" ht="24" x14ac:dyDescent="0.2">
      <c r="C161" s="509"/>
      <c r="D161" s="510" t="s">
        <v>534</v>
      </c>
      <c r="E161" s="510" t="s">
        <v>535</v>
      </c>
      <c r="F161" s="510" t="s">
        <v>532</v>
      </c>
      <c r="G161" s="564" t="s">
        <v>533</v>
      </c>
    </row>
    <row r="162" spans="1:10" x14ac:dyDescent="0.2">
      <c r="C162" s="512" t="s">
        <v>598</v>
      </c>
      <c r="D162" s="988">
        <f>ABS('Travel Time'!E953)</f>
        <v>20854419.098985188</v>
      </c>
      <c r="E162" s="956" t="s">
        <v>326</v>
      </c>
      <c r="F162" s="988">
        <f>ABS('Travel Time'!E954)</f>
        <v>25408627.619984478</v>
      </c>
      <c r="G162" s="957" t="s">
        <v>326</v>
      </c>
      <c r="H162" s="177"/>
    </row>
    <row r="163" spans="1:10" ht="18.75" thickBot="1" x14ac:dyDescent="0.25">
      <c r="C163" s="687" t="s">
        <v>599</v>
      </c>
      <c r="D163" s="986">
        <f>ABS('Travel Time'!E955)</f>
        <v>584929779.40857196</v>
      </c>
      <c r="E163" s="986">
        <f>ABS('Travel Time'!F955)</f>
        <v>181458605.45613492</v>
      </c>
      <c r="F163" s="986">
        <f>ABS('Travel Time'!E956)</f>
        <v>714347622.59334195</v>
      </c>
      <c r="G163" s="987">
        <f>ABS('Travel Time'!F956)</f>
        <v>214481432.36424521</v>
      </c>
      <c r="H163" s="177"/>
    </row>
    <row r="166" spans="1:10" ht="18.75" thickBot="1" x14ac:dyDescent="0.25">
      <c r="A166" s="548" t="s">
        <v>74</v>
      </c>
      <c r="B166" s="1" t="s">
        <v>87</v>
      </c>
      <c r="C166" s="547" t="s">
        <v>238</v>
      </c>
    </row>
    <row r="167" spans="1:10" ht="18.75" thickBot="1" x14ac:dyDescent="0.25">
      <c r="C167" s="499" t="s">
        <v>1</v>
      </c>
      <c r="D167" s="500" t="s">
        <v>2</v>
      </c>
      <c r="E167" s="500" t="s">
        <v>3</v>
      </c>
      <c r="F167" s="1116" t="s">
        <v>104</v>
      </c>
    </row>
    <row r="168" spans="1:10" ht="27" customHeight="1" x14ac:dyDescent="0.2">
      <c r="C168" s="501" t="str">
        <f>Inputs!C27</f>
        <v>Value of a Statistical Life</v>
      </c>
      <c r="D168" s="502" t="str">
        <f>Inputs!D27</f>
        <v>2021$/Crash</v>
      </c>
      <c r="E168" s="503">
        <f>costLife</f>
        <v>13046800</v>
      </c>
      <c r="F168" s="1302" t="s">
        <v>642</v>
      </c>
    </row>
    <row r="169" spans="1:10" ht="27" customHeight="1" x14ac:dyDescent="0.2">
      <c r="C169" s="504" t="str">
        <f>Inputs!C28</f>
        <v>Cost of Injury</v>
      </c>
      <c r="D169" s="160" t="str">
        <f>Inputs!D28</f>
        <v>2021$/Crash</v>
      </c>
      <c r="E169" s="164">
        <f>costInjury</f>
        <v>307800</v>
      </c>
      <c r="F169" s="1285"/>
    </row>
    <row r="170" spans="1:10" ht="27" customHeight="1" x14ac:dyDescent="0.2">
      <c r="C170" s="504" t="str">
        <f>Inputs!C29</f>
        <v>Cost of PDO</v>
      </c>
      <c r="D170" s="160" t="str">
        <f>Inputs!D29</f>
        <v>2021$/Crash</v>
      </c>
      <c r="E170" s="164">
        <f>costPDO</f>
        <v>4800</v>
      </c>
      <c r="F170" s="1285"/>
    </row>
    <row r="171" spans="1:10" ht="36.75" thickBot="1" x14ac:dyDescent="0.25">
      <c r="C171" s="505" t="str">
        <f>Inputs!C30</f>
        <v>Crash Modification Factor</v>
      </c>
      <c r="D171" s="685" t="str">
        <f>Inputs!D30</f>
        <v>factor</v>
      </c>
      <c r="E171" s="506" t="str">
        <f>Inputs!E30</f>
        <v>Varies</v>
      </c>
      <c r="F171" s="701" t="str">
        <f>Inputs!F30</f>
        <v>CMF Clearinghouse, individual CMFs identified</v>
      </c>
      <c r="G171"/>
      <c r="H171"/>
      <c r="I171"/>
      <c r="J171"/>
    </row>
    <row r="172" spans="1:10" x14ac:dyDescent="0.2">
      <c r="C172" s="1307" t="s">
        <v>427</v>
      </c>
      <c r="D172" s="1308"/>
      <c r="E172" s="1308"/>
      <c r="F172" s="1309"/>
      <c r="G172"/>
      <c r="H172"/>
      <c r="I172"/>
      <c r="J172"/>
    </row>
    <row r="173" spans="1:10" x14ac:dyDescent="0.2">
      <c r="C173" s="504" t="s">
        <v>222</v>
      </c>
      <c r="D173" s="159" t="s">
        <v>128</v>
      </c>
      <c r="E173" s="165" cm="1">
        <f t="array" ref="E173:E175">Safety!F8:F10</f>
        <v>0</v>
      </c>
      <c r="F173" s="1285" t="s">
        <v>515</v>
      </c>
    </row>
    <row r="174" spans="1:10" x14ac:dyDescent="0.2">
      <c r="C174" s="504" t="s">
        <v>223</v>
      </c>
      <c r="D174" s="159" t="s">
        <v>128</v>
      </c>
      <c r="E174" s="165">
        <v>0.55000000000000004</v>
      </c>
      <c r="F174" s="1285"/>
    </row>
    <row r="175" spans="1:10" x14ac:dyDescent="0.2">
      <c r="C175" s="504" t="s">
        <v>224</v>
      </c>
      <c r="D175" s="159" t="s">
        <v>128</v>
      </c>
      <c r="E175" s="165">
        <v>0.45</v>
      </c>
      <c r="F175" s="1285"/>
    </row>
    <row r="176" spans="1:10" x14ac:dyDescent="0.2">
      <c r="C176" s="504" t="s">
        <v>205</v>
      </c>
      <c r="D176" s="159" t="s">
        <v>221</v>
      </c>
      <c r="E176" s="155">
        <f>Safety!F32</f>
        <v>4</v>
      </c>
      <c r="F176" s="1285"/>
    </row>
    <row r="177" spans="1:6" x14ac:dyDescent="0.2">
      <c r="C177" s="1287" t="s">
        <v>428</v>
      </c>
      <c r="D177" s="1288"/>
      <c r="E177" s="1288"/>
      <c r="F177" s="1289"/>
    </row>
    <row r="178" spans="1:6" ht="18" customHeight="1" x14ac:dyDescent="0.2">
      <c r="C178" s="504" t="s">
        <v>222</v>
      </c>
      <c r="D178" s="159" t="s">
        <v>128</v>
      </c>
      <c r="E178" s="165" cm="1">
        <f t="array" ref="E178:E180">Safety!F11:F13</f>
        <v>0</v>
      </c>
      <c r="F178" s="1285" t="s">
        <v>515</v>
      </c>
    </row>
    <row r="179" spans="1:6" x14ac:dyDescent="0.2">
      <c r="C179" s="504" t="s">
        <v>223</v>
      </c>
      <c r="D179" s="159" t="s">
        <v>128</v>
      </c>
      <c r="E179" s="165">
        <v>1</v>
      </c>
      <c r="F179" s="1285"/>
    </row>
    <row r="180" spans="1:6" x14ac:dyDescent="0.2">
      <c r="C180" s="504" t="s">
        <v>224</v>
      </c>
      <c r="D180" s="159" t="s">
        <v>128</v>
      </c>
      <c r="E180" s="165">
        <v>0</v>
      </c>
      <c r="F180" s="1285"/>
    </row>
    <row r="181" spans="1:6" customFormat="1" x14ac:dyDescent="0.2">
      <c r="A181" s="50"/>
      <c r="B181" s="139"/>
      <c r="C181" s="504" t="s">
        <v>205</v>
      </c>
      <c r="D181" s="159" t="s">
        <v>221</v>
      </c>
      <c r="E181" s="155">
        <f>Safety!F33</f>
        <v>0.4</v>
      </c>
      <c r="F181" s="1285"/>
    </row>
    <row r="182" spans="1:6" customFormat="1" x14ac:dyDescent="0.2">
      <c r="A182" s="50"/>
      <c r="B182" s="139"/>
      <c r="C182" s="1287" t="s">
        <v>429</v>
      </c>
      <c r="D182" s="1288"/>
      <c r="E182" s="1288"/>
      <c r="F182" s="1289"/>
    </row>
    <row r="183" spans="1:6" customFormat="1" ht="18" customHeight="1" x14ac:dyDescent="0.2">
      <c r="A183" s="50"/>
      <c r="B183" s="139"/>
      <c r="C183" s="504" t="s">
        <v>222</v>
      </c>
      <c r="D183" s="159" t="s">
        <v>128</v>
      </c>
      <c r="E183" s="165" cm="1">
        <f t="array" ref="E183:E185">Safety!F14:F16</f>
        <v>0</v>
      </c>
      <c r="F183" s="1285" t="s">
        <v>515</v>
      </c>
    </row>
    <row r="184" spans="1:6" customFormat="1" x14ac:dyDescent="0.2">
      <c r="A184" s="50"/>
      <c r="B184" s="139"/>
      <c r="C184" s="504" t="s">
        <v>223</v>
      </c>
      <c r="D184" s="159" t="s">
        <v>128</v>
      </c>
      <c r="E184" s="165">
        <v>0</v>
      </c>
      <c r="F184" s="1285"/>
    </row>
    <row r="185" spans="1:6" customFormat="1" x14ac:dyDescent="0.2">
      <c r="A185" s="50"/>
      <c r="B185" s="139"/>
      <c r="C185" s="504" t="s">
        <v>224</v>
      </c>
      <c r="D185" s="159" t="s">
        <v>128</v>
      </c>
      <c r="E185" s="165">
        <v>0</v>
      </c>
      <c r="F185" s="1285"/>
    </row>
    <row r="186" spans="1:6" customFormat="1" x14ac:dyDescent="0.2">
      <c r="A186" s="50"/>
      <c r="B186" s="139"/>
      <c r="C186" s="504" t="s">
        <v>205</v>
      </c>
      <c r="D186" s="159" t="s">
        <v>221</v>
      </c>
      <c r="E186" s="155">
        <f>Safety!F34</f>
        <v>0</v>
      </c>
      <c r="F186" s="1285"/>
    </row>
    <row r="187" spans="1:6" customFormat="1" x14ac:dyDescent="0.2">
      <c r="A187" s="50"/>
      <c r="B187" s="139"/>
      <c r="C187" s="1287" t="s">
        <v>430</v>
      </c>
      <c r="D187" s="1288"/>
      <c r="E187" s="1288"/>
      <c r="F187" s="1289"/>
    </row>
    <row r="188" spans="1:6" customFormat="1" ht="18" customHeight="1" x14ac:dyDescent="0.2">
      <c r="A188" s="50"/>
      <c r="B188" s="139"/>
      <c r="C188" s="504" t="s">
        <v>222</v>
      </c>
      <c r="D188" s="159" t="s">
        <v>128</v>
      </c>
      <c r="E188" s="165" cm="1">
        <f t="array" ref="E188:E190">Safety!F17:F19</f>
        <v>0</v>
      </c>
      <c r="F188" s="1285" t="s">
        <v>515</v>
      </c>
    </row>
    <row r="189" spans="1:6" customFormat="1" x14ac:dyDescent="0.2">
      <c r="A189" s="50"/>
      <c r="B189" s="139"/>
      <c r="C189" s="504" t="s">
        <v>223</v>
      </c>
      <c r="D189" s="159" t="s">
        <v>128</v>
      </c>
      <c r="E189" s="165">
        <v>1</v>
      </c>
      <c r="F189" s="1285"/>
    </row>
    <row r="190" spans="1:6" customFormat="1" x14ac:dyDescent="0.2">
      <c r="A190" s="50"/>
      <c r="B190" s="139"/>
      <c r="C190" s="504" t="s">
        <v>224</v>
      </c>
      <c r="D190" s="159" t="s">
        <v>128</v>
      </c>
      <c r="E190" s="165">
        <v>0</v>
      </c>
      <c r="F190" s="1285"/>
    </row>
    <row r="191" spans="1:6" customFormat="1" x14ac:dyDescent="0.2">
      <c r="A191" s="50"/>
      <c r="B191" s="139"/>
      <c r="C191" s="504" t="s">
        <v>205</v>
      </c>
      <c r="D191" s="159" t="s">
        <v>221</v>
      </c>
      <c r="E191" s="155">
        <f>Safety!F35</f>
        <v>0.2</v>
      </c>
      <c r="F191" s="1285"/>
    </row>
    <row r="192" spans="1:6" customFormat="1" x14ac:dyDescent="0.2">
      <c r="A192" s="50"/>
      <c r="B192" s="139"/>
      <c r="C192" s="1287" t="s">
        <v>431</v>
      </c>
      <c r="D192" s="1288"/>
      <c r="E192" s="1288"/>
      <c r="F192" s="1289"/>
    </row>
    <row r="193" spans="1:6" customFormat="1" ht="18" customHeight="1" x14ac:dyDescent="0.2">
      <c r="A193" s="50"/>
      <c r="B193" s="139"/>
      <c r="C193" s="504" t="s">
        <v>222</v>
      </c>
      <c r="D193" s="159" t="s">
        <v>128</v>
      </c>
      <c r="E193" s="165" cm="1">
        <f t="array" ref="E193:E195">Safety!F20:F22</f>
        <v>0</v>
      </c>
      <c r="F193" s="1285" t="s">
        <v>515</v>
      </c>
    </row>
    <row r="194" spans="1:6" customFormat="1" x14ac:dyDescent="0.2">
      <c r="A194" s="50"/>
      <c r="B194" s="139"/>
      <c r="C194" s="504" t="s">
        <v>223</v>
      </c>
      <c r="D194" s="159" t="s">
        <v>128</v>
      </c>
      <c r="E194" s="165">
        <v>0</v>
      </c>
      <c r="F194" s="1285"/>
    </row>
    <row r="195" spans="1:6" customFormat="1" x14ac:dyDescent="0.2">
      <c r="A195" s="50"/>
      <c r="B195" s="139"/>
      <c r="C195" s="504" t="s">
        <v>224</v>
      </c>
      <c r="D195" s="159" t="s">
        <v>128</v>
      </c>
      <c r="E195" s="165">
        <v>0</v>
      </c>
      <c r="F195" s="1285"/>
    </row>
    <row r="196" spans="1:6" customFormat="1" x14ac:dyDescent="0.2">
      <c r="A196" s="50"/>
      <c r="B196" s="139"/>
      <c r="C196" s="504" t="s">
        <v>205</v>
      </c>
      <c r="D196" s="159" t="s">
        <v>221</v>
      </c>
      <c r="E196" s="155">
        <f>Safety!F36</f>
        <v>0</v>
      </c>
      <c r="F196" s="1285"/>
    </row>
    <row r="197" spans="1:6" customFormat="1" x14ac:dyDescent="0.2">
      <c r="A197" s="50"/>
      <c r="B197" s="139"/>
      <c r="C197" s="1287" t="s">
        <v>432</v>
      </c>
      <c r="D197" s="1288"/>
      <c r="E197" s="1288"/>
      <c r="F197" s="1289"/>
    </row>
    <row r="198" spans="1:6" customFormat="1" ht="18" customHeight="1" x14ac:dyDescent="0.2">
      <c r="A198" s="50"/>
      <c r="B198" s="139"/>
      <c r="C198" s="504" t="s">
        <v>222</v>
      </c>
      <c r="D198" s="159" t="s">
        <v>128</v>
      </c>
      <c r="E198" s="165" cm="1">
        <f t="array" ref="E198:E200">Safety!F23:F25</f>
        <v>0</v>
      </c>
      <c r="F198" s="1285" t="s">
        <v>515</v>
      </c>
    </row>
    <row r="199" spans="1:6" customFormat="1" x14ac:dyDescent="0.2">
      <c r="A199" s="50"/>
      <c r="B199" s="139"/>
      <c r="C199" s="504" t="s">
        <v>223</v>
      </c>
      <c r="D199" s="159" t="s">
        <v>128</v>
      </c>
      <c r="E199" s="165">
        <v>0.42857142857142855</v>
      </c>
      <c r="F199" s="1285"/>
    </row>
    <row r="200" spans="1:6" customFormat="1" x14ac:dyDescent="0.2">
      <c r="A200" s="50"/>
      <c r="B200" s="139"/>
      <c r="C200" s="504" t="s">
        <v>224</v>
      </c>
      <c r="D200" s="159" t="s">
        <v>128</v>
      </c>
      <c r="E200" s="165">
        <v>0.5714285714285714</v>
      </c>
      <c r="F200" s="1285"/>
    </row>
    <row r="201" spans="1:6" customFormat="1" x14ac:dyDescent="0.2">
      <c r="A201" s="50"/>
      <c r="B201" s="139"/>
      <c r="C201" s="504" t="s">
        <v>205</v>
      </c>
      <c r="D201" s="159" t="s">
        <v>221</v>
      </c>
      <c r="E201" s="155">
        <f>Safety!F37</f>
        <v>4.2</v>
      </c>
      <c r="F201" s="1285"/>
    </row>
    <row r="202" spans="1:6" customFormat="1" x14ac:dyDescent="0.2">
      <c r="A202" s="50"/>
      <c r="B202" s="139"/>
      <c r="C202" s="1287" t="s">
        <v>526</v>
      </c>
      <c r="D202" s="1288"/>
      <c r="E202" s="1288"/>
      <c r="F202" s="1289"/>
    </row>
    <row r="203" spans="1:6" customFormat="1" ht="18" customHeight="1" x14ac:dyDescent="0.2">
      <c r="A203" s="50"/>
      <c r="B203" s="139"/>
      <c r="C203" s="504" t="s">
        <v>222</v>
      </c>
      <c r="D203" s="159" t="s">
        <v>128</v>
      </c>
      <c r="E203" s="165" cm="1">
        <f t="array" ref="E203:E205">Safety!F26:F28</f>
        <v>0</v>
      </c>
      <c r="F203" s="1285" t="s">
        <v>515</v>
      </c>
    </row>
    <row r="204" spans="1:6" customFormat="1" x14ac:dyDescent="0.2">
      <c r="A204" s="50"/>
      <c r="B204" s="139"/>
      <c r="C204" s="504" t="s">
        <v>223</v>
      </c>
      <c r="D204" s="159" t="s">
        <v>128</v>
      </c>
      <c r="E204" s="165">
        <v>0.125</v>
      </c>
      <c r="F204" s="1285"/>
    </row>
    <row r="205" spans="1:6" customFormat="1" x14ac:dyDescent="0.2">
      <c r="A205" s="50"/>
      <c r="B205" s="139"/>
      <c r="C205" s="504" t="s">
        <v>224</v>
      </c>
      <c r="D205" s="159" t="s">
        <v>128</v>
      </c>
      <c r="E205" s="165">
        <v>0.87499999999999989</v>
      </c>
      <c r="F205" s="1285"/>
    </row>
    <row r="206" spans="1:6" customFormat="1" x14ac:dyDescent="0.2">
      <c r="A206" s="50"/>
      <c r="B206" s="139"/>
      <c r="C206" s="504" t="s">
        <v>205</v>
      </c>
      <c r="D206" s="159" t="s">
        <v>221</v>
      </c>
      <c r="E206" s="155">
        <f>Safety!F38</f>
        <v>1.6</v>
      </c>
      <c r="F206" s="1285"/>
    </row>
    <row r="207" spans="1:6" customFormat="1" x14ac:dyDescent="0.2">
      <c r="A207" s="50"/>
      <c r="B207" s="139"/>
      <c r="C207" s="1287" t="s">
        <v>434</v>
      </c>
      <c r="D207" s="1288"/>
      <c r="E207" s="1288"/>
      <c r="F207" s="1289"/>
    </row>
    <row r="208" spans="1:6" customFormat="1" x14ac:dyDescent="0.2">
      <c r="A208" s="50"/>
      <c r="B208" s="139"/>
      <c r="C208" s="504" t="s">
        <v>222</v>
      </c>
      <c r="D208" s="159" t="s">
        <v>128</v>
      </c>
      <c r="E208" s="165" cm="1">
        <f t="array" ref="E208:E210">Safety!F29:F31</f>
        <v>0.2</v>
      </c>
      <c r="F208" s="1285" t="s">
        <v>515</v>
      </c>
    </row>
    <row r="209" spans="1:6" customFormat="1" x14ac:dyDescent="0.2">
      <c r="A209" s="50"/>
      <c r="B209" s="139"/>
      <c r="C209" s="504" t="s">
        <v>223</v>
      </c>
      <c r="D209" s="159" t="s">
        <v>128</v>
      </c>
      <c r="E209" s="165">
        <v>0.6</v>
      </c>
      <c r="F209" s="1285"/>
    </row>
    <row r="210" spans="1:6" customFormat="1" x14ac:dyDescent="0.2">
      <c r="A210" s="50"/>
      <c r="B210" s="139"/>
      <c r="C210" s="504" t="s">
        <v>224</v>
      </c>
      <c r="D210" s="159" t="s">
        <v>128</v>
      </c>
      <c r="E210" s="165">
        <v>0.2</v>
      </c>
      <c r="F210" s="1285"/>
    </row>
    <row r="211" spans="1:6" customFormat="1" ht="18.75" thickBot="1" x14ac:dyDescent="0.25">
      <c r="A211" s="50"/>
      <c r="B211" s="139"/>
      <c r="C211" s="505" t="s">
        <v>205</v>
      </c>
      <c r="D211" s="506" t="s">
        <v>221</v>
      </c>
      <c r="E211" s="507">
        <f>Safety!F39</f>
        <v>1</v>
      </c>
      <c r="F211" s="1286"/>
    </row>
    <row r="212" spans="1:6" customFormat="1" x14ac:dyDescent="0.2">
      <c r="A212" s="50"/>
      <c r="B212" s="139"/>
      <c r="C212" s="149"/>
      <c r="D212" s="140"/>
      <c r="E212" s="152"/>
    </row>
    <row r="213" spans="1:6" customFormat="1" ht="18.75" thickBot="1" x14ac:dyDescent="0.25">
      <c r="A213" s="50"/>
      <c r="B213" s="139"/>
      <c r="C213" s="547" t="s">
        <v>632</v>
      </c>
      <c r="D213" s="137"/>
      <c r="E213" s="137"/>
      <c r="F213" s="137"/>
    </row>
    <row r="214" spans="1:6" customFormat="1" x14ac:dyDescent="0.2">
      <c r="A214" s="50"/>
      <c r="B214" s="139"/>
      <c r="C214" s="1035" t="s">
        <v>573</v>
      </c>
      <c r="D214" s="1290" t="s">
        <v>572</v>
      </c>
      <c r="E214" s="1290"/>
      <c r="F214" s="1291"/>
    </row>
    <row r="215" spans="1:6" customFormat="1" x14ac:dyDescent="0.2">
      <c r="A215" s="50"/>
      <c r="B215" s="139"/>
      <c r="C215" s="1012">
        <v>462</v>
      </c>
      <c r="D215" s="1044" t="s">
        <v>306</v>
      </c>
      <c r="E215" s="1011"/>
      <c r="F215" s="1045"/>
    </row>
    <row r="216" spans="1:6" customFormat="1" x14ac:dyDescent="0.2">
      <c r="A216" s="50"/>
      <c r="B216" s="139"/>
      <c r="C216" s="1012" t="s">
        <v>574</v>
      </c>
      <c r="D216" s="1044" t="s">
        <v>567</v>
      </c>
      <c r="E216" s="1011"/>
      <c r="F216" s="1045"/>
    </row>
    <row r="217" spans="1:6" customFormat="1" x14ac:dyDescent="0.2">
      <c r="A217" s="50"/>
      <c r="B217" s="139"/>
      <c r="C217" s="1012">
        <v>9157</v>
      </c>
      <c r="D217" s="1044" t="s">
        <v>307</v>
      </c>
      <c r="E217" s="1011"/>
      <c r="F217" s="1045"/>
    </row>
    <row r="218" spans="1:6" customFormat="1" x14ac:dyDescent="0.2">
      <c r="A218" s="50"/>
      <c r="B218" s="139"/>
      <c r="C218" s="1012">
        <v>2978</v>
      </c>
      <c r="D218" s="1044" t="s">
        <v>325</v>
      </c>
      <c r="E218" s="1011"/>
      <c r="F218" s="1045"/>
    </row>
    <row r="219" spans="1:6" customFormat="1" x14ac:dyDescent="0.2">
      <c r="A219" s="50"/>
      <c r="B219" s="139"/>
      <c r="C219" s="1012">
        <v>7570</v>
      </c>
      <c r="D219" s="1044" t="s">
        <v>567</v>
      </c>
      <c r="E219" s="1011"/>
      <c r="F219" s="1045"/>
    </row>
    <row r="220" spans="1:6" customFormat="1" x14ac:dyDescent="0.2">
      <c r="A220" s="50"/>
      <c r="B220" s="139"/>
      <c r="C220" s="1012">
        <v>9305</v>
      </c>
      <c r="D220" s="1044" t="s">
        <v>575</v>
      </c>
      <c r="E220" s="1011"/>
      <c r="F220" s="1045"/>
    </row>
    <row r="221" spans="1:6" customFormat="1" x14ac:dyDescent="0.2">
      <c r="A221" s="50"/>
      <c r="B221" s="139"/>
      <c r="C221" s="1012">
        <v>325</v>
      </c>
      <c r="D221" s="1044" t="s">
        <v>413</v>
      </c>
      <c r="E221" s="1011"/>
      <c r="F221" s="1045"/>
    </row>
    <row r="222" spans="1:6" customFormat="1" ht="18.75" thickBot="1" x14ac:dyDescent="0.25">
      <c r="A222" s="50"/>
      <c r="B222" s="139"/>
      <c r="C222" s="1036">
        <v>7570</v>
      </c>
      <c r="D222" s="1046" t="s">
        <v>567</v>
      </c>
      <c r="E222" s="1014"/>
      <c r="F222" s="1047"/>
    </row>
    <row r="223" spans="1:6" customFormat="1" x14ac:dyDescent="0.2">
      <c r="A223" s="50"/>
      <c r="B223" s="139"/>
      <c r="C223" s="149"/>
      <c r="D223" s="140"/>
      <c r="E223" s="152"/>
    </row>
    <row r="224" spans="1:6" ht="18.75" thickBot="1" x14ac:dyDescent="0.25">
      <c r="B224" s="1" t="s">
        <v>87</v>
      </c>
      <c r="C224" s="547" t="s">
        <v>585</v>
      </c>
    </row>
    <row r="225" spans="1:7" x14ac:dyDescent="0.2">
      <c r="C225" s="508"/>
      <c r="D225" s="1280" t="s">
        <v>120</v>
      </c>
      <c r="E225" s="1280"/>
      <c r="F225" s="1280"/>
      <c r="G225" s="1281"/>
    </row>
    <row r="226" spans="1:7" ht="36.75" customHeight="1" x14ac:dyDescent="0.2">
      <c r="C226" s="509"/>
      <c r="D226" s="510" t="s">
        <v>534</v>
      </c>
      <c r="E226" s="510" t="s">
        <v>535</v>
      </c>
      <c r="F226" s="510" t="s">
        <v>532</v>
      </c>
      <c r="G226" s="564" t="s">
        <v>533</v>
      </c>
    </row>
    <row r="227" spans="1:7" x14ac:dyDescent="0.2">
      <c r="C227" s="512" t="s">
        <v>253</v>
      </c>
      <c r="D227" s="163">
        <f>SUM(_xlfn.ANCHORARRAY(Safety!E206))</f>
        <v>0</v>
      </c>
      <c r="E227" s="163" cm="1">
        <f t="array" ref="E227:E229">Safety!D206:D208</f>
        <v>0</v>
      </c>
      <c r="F227" s="162">
        <f>SUM(_xlfn.ANCHORARRAY(Safety!E235))</f>
        <v>67689862.679128319</v>
      </c>
      <c r="G227" s="513" cm="1">
        <f t="array" ref="G227:G229">Safety!D235:D237</f>
        <v>18853860.977977969</v>
      </c>
    </row>
    <row r="228" spans="1:7" x14ac:dyDescent="0.2">
      <c r="C228" s="512" t="s">
        <v>254</v>
      </c>
      <c r="D228" s="163">
        <f>SUM(_xlfn.ANCHORARRAY(Safety!E207))</f>
        <v>34674266.188631989</v>
      </c>
      <c r="E228" s="163">
        <v>8658926.1506476626</v>
      </c>
      <c r="F228" s="162">
        <f>SUM(_xlfn.ANCHORARRAY(Safety!E236))</f>
        <v>127363658.43238369</v>
      </c>
      <c r="G228" s="513">
        <v>29056960.739999354</v>
      </c>
    </row>
    <row r="229" spans="1:7" x14ac:dyDescent="0.2">
      <c r="C229" s="512" t="s">
        <v>255</v>
      </c>
      <c r="D229" s="163">
        <f>SUM(_xlfn.ANCHORARRAY(Safety!E208))</f>
        <v>94947.591522483111</v>
      </c>
      <c r="E229" s="163">
        <v>27034.932694891308</v>
      </c>
      <c r="F229" s="162">
        <f>SUM(_xlfn.ANCHORARRAY(Safety!E237))</f>
        <v>2028249.3677163729</v>
      </c>
      <c r="G229" s="513">
        <v>455332.30730306823</v>
      </c>
    </row>
    <row r="230" spans="1:7" ht="18.75" thickBot="1" x14ac:dyDescent="0.25">
      <c r="C230" s="514" t="s">
        <v>233</v>
      </c>
      <c r="D230" s="515">
        <f>SUM(D227:D229)</f>
        <v>34769213.780154474</v>
      </c>
      <c r="E230" s="515">
        <f t="shared" ref="E230:G230" si="4">SUM(E227:E229)</f>
        <v>8685961.083342554</v>
      </c>
      <c r="F230" s="515">
        <f t="shared" si="4"/>
        <v>197081770.47922838</v>
      </c>
      <c r="G230" s="516">
        <f t="shared" si="4"/>
        <v>48366154.025280394</v>
      </c>
    </row>
    <row r="232" spans="1:7" ht="18.75" thickBot="1" x14ac:dyDescent="0.25">
      <c r="C232" s="547" t="s">
        <v>586</v>
      </c>
    </row>
    <row r="233" spans="1:7" x14ac:dyDescent="0.2">
      <c r="C233" s="508"/>
      <c r="D233" s="1280" t="s">
        <v>120</v>
      </c>
      <c r="E233" s="1281"/>
      <c r="F233" s="953"/>
      <c r="G233" s="953"/>
    </row>
    <row r="234" spans="1:7" x14ac:dyDescent="0.2">
      <c r="C234" s="509"/>
      <c r="D234" s="510" t="s">
        <v>359</v>
      </c>
      <c r="E234" s="564" t="s">
        <v>293</v>
      </c>
      <c r="F234" s="954"/>
      <c r="G234" s="954"/>
    </row>
    <row r="235" spans="1:7" x14ac:dyDescent="0.2">
      <c r="C235" s="512" t="s">
        <v>587</v>
      </c>
      <c r="D235" s="958" cm="1">
        <f t="array" ref="D235:D237">Safety!D190:D192</f>
        <v>0</v>
      </c>
      <c r="E235" s="959" cm="1">
        <f t="array" ref="E235:E237">Safety!D216:D218</f>
        <v>5.1882348682533905</v>
      </c>
      <c r="F235" s="162"/>
      <c r="G235" s="162"/>
    </row>
    <row r="236" spans="1:7" x14ac:dyDescent="0.2">
      <c r="C236" s="512" t="s">
        <v>588</v>
      </c>
      <c r="D236" s="958">
        <v>112.65193693512667</v>
      </c>
      <c r="E236" s="959">
        <v>413.7870644326955</v>
      </c>
      <c r="F236" s="162"/>
      <c r="G236" s="162"/>
    </row>
    <row r="237" spans="1:7" x14ac:dyDescent="0.2">
      <c r="C237" s="512" t="s">
        <v>589</v>
      </c>
      <c r="D237" s="958">
        <v>19.780748233850648</v>
      </c>
      <c r="E237" s="959">
        <v>422.55195160757768</v>
      </c>
      <c r="F237" s="162"/>
      <c r="G237" s="162"/>
    </row>
    <row r="238" spans="1:7" ht="18.75" thickBot="1" x14ac:dyDescent="0.25">
      <c r="C238" s="514" t="s">
        <v>233</v>
      </c>
      <c r="D238" s="960">
        <f>SUM(D235:D237)</f>
        <v>132.43268516897732</v>
      </c>
      <c r="E238" s="961">
        <f>SUM(E235:E237)</f>
        <v>841.52725090852664</v>
      </c>
      <c r="F238" s="955"/>
      <c r="G238" s="955"/>
    </row>
    <row r="239" spans="1:7" x14ac:dyDescent="0.2">
      <c r="B239" s="137"/>
    </row>
    <row r="240" spans="1:7" ht="18.75" thickBot="1" x14ac:dyDescent="0.25">
      <c r="A240" s="548" t="s">
        <v>39</v>
      </c>
      <c r="B240" s="549" t="s">
        <v>87</v>
      </c>
      <c r="C240" s="547" t="s">
        <v>239</v>
      </c>
    </row>
    <row r="241" spans="2:14" x14ac:dyDescent="0.2">
      <c r="B241" s="137"/>
      <c r="C241" s="535"/>
      <c r="D241" s="536" t="s">
        <v>258</v>
      </c>
      <c r="E241" s="536" t="s">
        <v>3</v>
      </c>
      <c r="F241" s="537" t="s">
        <v>104</v>
      </c>
    </row>
    <row r="242" spans="2:14" ht="20.25" customHeight="1" x14ac:dyDescent="0.2">
      <c r="B242" s="137"/>
      <c r="C242" s="538" t="s">
        <v>259</v>
      </c>
      <c r="D242" s="178" t="s">
        <v>260</v>
      </c>
      <c r="E242" s="178" t="s">
        <v>261</v>
      </c>
      <c r="F242" s="1292" t="s">
        <v>643</v>
      </c>
    </row>
    <row r="243" spans="2:14" ht="20.25" customHeight="1" x14ac:dyDescent="0.2">
      <c r="B243" s="137"/>
      <c r="C243" s="538" t="s">
        <v>262</v>
      </c>
      <c r="D243" s="178" t="s">
        <v>260</v>
      </c>
      <c r="E243" s="178" t="s">
        <v>261</v>
      </c>
      <c r="F243" s="1292"/>
    </row>
    <row r="244" spans="2:14" ht="20.25" customHeight="1" x14ac:dyDescent="0.2">
      <c r="B244" s="137"/>
      <c r="C244" s="538" t="s">
        <v>263</v>
      </c>
      <c r="D244" s="178" t="s">
        <v>260</v>
      </c>
      <c r="E244" s="178" t="s">
        <v>261</v>
      </c>
      <c r="F244" s="1292"/>
    </row>
    <row r="245" spans="2:14" ht="20.25" customHeight="1" x14ac:dyDescent="0.2">
      <c r="B245" s="137"/>
      <c r="C245" s="538" t="s">
        <v>264</v>
      </c>
      <c r="D245" s="178" t="s">
        <v>260</v>
      </c>
      <c r="E245" s="178" t="s">
        <v>261</v>
      </c>
      <c r="F245" s="1292"/>
    </row>
    <row r="246" spans="2:14" ht="18" customHeight="1" x14ac:dyDescent="0.2">
      <c r="B246" s="137"/>
      <c r="C246" s="538" t="s">
        <v>538</v>
      </c>
      <c r="D246" s="178" t="s">
        <v>265</v>
      </c>
      <c r="E246" s="178">
        <f>'Emissions Data'!L10</f>
        <v>4.1689999999999996</v>
      </c>
      <c r="F246" s="1282" t="s">
        <v>527</v>
      </c>
    </row>
    <row r="247" spans="2:14" ht="18" customHeight="1" x14ac:dyDescent="0.2">
      <c r="B247" s="137"/>
      <c r="C247" s="538" t="s">
        <v>539</v>
      </c>
      <c r="D247" s="178" t="s">
        <v>546</v>
      </c>
      <c r="E247" s="178">
        <f>'Emissions Data'!L12</f>
        <v>15</v>
      </c>
      <c r="F247" s="1283"/>
    </row>
    <row r="248" spans="2:14" ht="18" customHeight="1" x14ac:dyDescent="0.2">
      <c r="B248" s="137"/>
      <c r="C248" s="538" t="s">
        <v>540</v>
      </c>
      <c r="D248" s="178" t="s">
        <v>265</v>
      </c>
      <c r="E248" s="178">
        <f>'Emissions Data'!L14</f>
        <v>0.11899999999999999</v>
      </c>
      <c r="F248" s="1283"/>
    </row>
    <row r="249" spans="2:14" ht="18" customHeight="1" x14ac:dyDescent="0.2">
      <c r="B249" s="137"/>
      <c r="C249" s="538" t="s">
        <v>541</v>
      </c>
      <c r="D249" s="178" t="s">
        <v>265</v>
      </c>
      <c r="E249" s="178">
        <f>'Emissions Data'!L16</f>
        <v>10180</v>
      </c>
      <c r="F249" s="1283"/>
    </row>
    <row r="250" spans="2:14" ht="18" customHeight="1" x14ac:dyDescent="0.2">
      <c r="B250" s="137"/>
      <c r="C250" s="538" t="s">
        <v>542</v>
      </c>
      <c r="D250" s="178" t="s">
        <v>265</v>
      </c>
      <c r="E250" s="178">
        <f>'Emissions Data'!L9</f>
        <v>0.192</v>
      </c>
      <c r="F250" s="1283"/>
    </row>
    <row r="251" spans="2:14" ht="18" customHeight="1" x14ac:dyDescent="0.2">
      <c r="B251" s="137"/>
      <c r="C251" s="538" t="s">
        <v>543</v>
      </c>
      <c r="D251" s="178" t="s">
        <v>547</v>
      </c>
      <c r="E251" s="178">
        <f>'Emissions Data'!L11</f>
        <v>10</v>
      </c>
      <c r="F251" s="1283"/>
    </row>
    <row r="252" spans="2:14" ht="18" customHeight="1" x14ac:dyDescent="0.2">
      <c r="B252" s="137"/>
      <c r="C252" s="538" t="s">
        <v>544</v>
      </c>
      <c r="D252" s="178" t="s">
        <v>265</v>
      </c>
      <c r="E252" s="178">
        <f>'Emissions Data'!L13</f>
        <v>0.01</v>
      </c>
      <c r="F252" s="1283"/>
    </row>
    <row r="253" spans="2:14" ht="18" customHeight="1" thickBot="1" x14ac:dyDescent="0.25">
      <c r="B253" s="137"/>
      <c r="C253" s="539" t="s">
        <v>545</v>
      </c>
      <c r="D253" s="540" t="s">
        <v>265</v>
      </c>
      <c r="E253" s="540">
        <f>'Emissions Data'!L15</f>
        <v>8887</v>
      </c>
      <c r="F253" s="1284"/>
    </row>
    <row r="254" spans="2:14" x14ac:dyDescent="0.2">
      <c r="B254" s="137"/>
      <c r="C254" s="180"/>
      <c r="D254" s="180"/>
      <c r="E254" s="180"/>
      <c r="F254" s="180"/>
    </row>
    <row r="255" spans="2:14" ht="18.75" thickBot="1" x14ac:dyDescent="0.25">
      <c r="B255" s="137"/>
      <c r="C255" s="547" t="s">
        <v>239</v>
      </c>
      <c r="D255" s="180"/>
      <c r="E255" s="180"/>
      <c r="F255" s="180"/>
    </row>
    <row r="256" spans="2:14" x14ac:dyDescent="0.2">
      <c r="B256" s="137"/>
      <c r="C256" s="1035" t="s">
        <v>447</v>
      </c>
      <c r="D256" s="1082" t="s">
        <v>448</v>
      </c>
      <c r="E256" s="1082" t="s">
        <v>3</v>
      </c>
      <c r="F256" s="1290" t="s">
        <v>460</v>
      </c>
      <c r="G256" s="1290"/>
      <c r="H256" s="1290" t="s">
        <v>104</v>
      </c>
      <c r="I256" s="1290"/>
      <c r="J256" s="1290"/>
      <c r="K256" s="1290"/>
      <c r="L256" s="1290"/>
      <c r="M256" s="1290"/>
      <c r="N256" s="1291"/>
    </row>
    <row r="257" spans="2:14" ht="24" customHeight="1" x14ac:dyDescent="0.2">
      <c r="B257" s="137"/>
      <c r="C257" s="1055" t="str">
        <f>'Emissions Data'!J7</f>
        <v>Assumed miles per gallon (MPG)</v>
      </c>
      <c r="D257" s="1119" t="str">
        <f>'Emissions Data'!K7</f>
        <v>Gasoline</v>
      </c>
      <c r="E257" s="1119">
        <f>'Emissions Data'!L7</f>
        <v>22.3</v>
      </c>
      <c r="F257" s="1270" t="str">
        <f>'Emissions Data'!M7</f>
        <v>Based on EPA site reference in BCA guidance.</v>
      </c>
      <c r="G257" s="1270"/>
      <c r="H257" s="1293" t="str">
        <f>'Emissions Data'!N7</f>
        <v>https://www.epa.gov/energy/greenhouse-gases-equivalencies-calculator-calculations-and-references</v>
      </c>
      <c r="I257" s="1293"/>
      <c r="J257" s="1293"/>
      <c r="K257" s="1293"/>
      <c r="L257" s="1293"/>
      <c r="M257" s="1293"/>
      <c r="N257" s="1294"/>
    </row>
    <row r="258" spans="2:14" ht="18" customHeight="1" x14ac:dyDescent="0.2">
      <c r="B258" s="137"/>
      <c r="C258" s="1055" t="str">
        <f>'Emissions Data'!J8</f>
        <v>Assumed miles per gallon (MPG)</v>
      </c>
      <c r="D258" s="1119" t="str">
        <f>'Emissions Data'!K8</f>
        <v>Diesel</v>
      </c>
      <c r="E258" s="1119">
        <f>'Emissions Data'!L8</f>
        <v>6</v>
      </c>
      <c r="F258" s="1270" t="str">
        <f>'Emissions Data'!M8</f>
        <v>Based on Iowa specific data from Geotab.</v>
      </c>
      <c r="G258" s="1270"/>
      <c r="H258" s="1293" t="str">
        <f>'Emissions Data'!N8</f>
        <v>https://www.geotab.com/truck-mpg-benchmark/</v>
      </c>
      <c r="I258" s="1293"/>
      <c r="J258" s="1293"/>
      <c r="K258" s="1293"/>
      <c r="L258" s="1293"/>
      <c r="M258" s="1293"/>
      <c r="N258" s="1294"/>
    </row>
    <row r="259" spans="2:14" ht="18" customHeight="1" x14ac:dyDescent="0.2">
      <c r="B259" s="137"/>
      <c r="C259" s="1055" t="str">
        <f>'Emissions Data'!J9</f>
        <v>NOx emission rate (grams per mile)</v>
      </c>
      <c r="D259" s="1119" t="str">
        <f>'Emissions Data'!K9</f>
        <v>Gasoline</v>
      </c>
      <c r="E259" s="1119">
        <f>'Emissions Data'!L9</f>
        <v>0.192</v>
      </c>
      <c r="F259" s="1270" t="str">
        <f>'Emissions Data'!M9</f>
        <v>Based on light duty vehicles (2020) from BTS.</v>
      </c>
      <c r="G259" s="1270"/>
      <c r="H259" s="1293" t="str">
        <f>'Emissions Data'!N9</f>
        <v>https://www.bts.gov/content/estimated-national-average-vehicle-emissions-rates-vehicle-vehicle-type-using-gasoline-and</v>
      </c>
      <c r="I259" s="1293"/>
      <c r="J259" s="1293"/>
      <c r="K259" s="1293"/>
      <c r="L259" s="1293"/>
      <c r="M259" s="1293"/>
      <c r="N259" s="1294"/>
    </row>
    <row r="260" spans="2:14" ht="24" customHeight="1" x14ac:dyDescent="0.2">
      <c r="B260" s="137"/>
      <c r="C260" s="1055" t="str">
        <f>'Emissions Data'!J10</f>
        <v>NOx emission rate (grams per mile)</v>
      </c>
      <c r="D260" s="1119" t="str">
        <f>'Emissions Data'!K10</f>
        <v>Diesel</v>
      </c>
      <c r="E260" s="1119">
        <f>'Emissions Data'!L10</f>
        <v>4.1689999999999996</v>
      </c>
      <c r="F260" s="1270" t="str">
        <f>'Emissions Data'!M10</f>
        <v>Based on heavy duty vehicles (2020) from BTS.</v>
      </c>
      <c r="G260" s="1270"/>
      <c r="H260" s="1293" t="str">
        <f>'Emissions Data'!N10</f>
        <v>https://www.bts.gov/content/estimated-national-average-vehicle-emissions-rates-vehicle-vehicle-type-using-gasoline-and</v>
      </c>
      <c r="I260" s="1293"/>
      <c r="J260" s="1293"/>
      <c r="K260" s="1293"/>
      <c r="L260" s="1293"/>
      <c r="M260" s="1293"/>
      <c r="N260" s="1294"/>
    </row>
    <row r="261" spans="2:14" ht="18" customHeight="1" x14ac:dyDescent="0.2">
      <c r="B261" s="137"/>
      <c r="C261" s="1055" t="str">
        <f>'Emissions Data'!J11</f>
        <v>SOx ppm per gallon</v>
      </c>
      <c r="D261" s="1119" t="str">
        <f>'Emissions Data'!K11</f>
        <v>Gasoline (Tier 3)</v>
      </c>
      <c r="E261" s="1119">
        <f>'Emissions Data'!L11</f>
        <v>10</v>
      </c>
      <c r="F261" s="1270" t="str">
        <f>'Emissions Data'!M11</f>
        <v>Based on EPA requirement.</v>
      </c>
      <c r="G261" s="1270"/>
      <c r="H261" s="1293" t="str">
        <f>'Emissions Data'!N11</f>
        <v>https://www.transportpolicy.net/standard/us-fuels-diesel-and-gasoline/</v>
      </c>
      <c r="I261" s="1293"/>
      <c r="J261" s="1293"/>
      <c r="K261" s="1293"/>
      <c r="L261" s="1293"/>
      <c r="M261" s="1293"/>
      <c r="N261" s="1294"/>
    </row>
    <row r="262" spans="2:14" ht="18" customHeight="1" x14ac:dyDescent="0.2">
      <c r="B262" s="137"/>
      <c r="C262" s="1055" t="str">
        <f>'Emissions Data'!J12</f>
        <v>SOx ppm per gallon</v>
      </c>
      <c r="D262" s="1119" t="str">
        <f>'Emissions Data'!K12</f>
        <v>Diesel</v>
      </c>
      <c r="E262" s="1119">
        <f>'Emissions Data'!L12</f>
        <v>15</v>
      </c>
      <c r="F262" s="1270" t="str">
        <f>'Emissions Data'!M12</f>
        <v>Based on EPA requirement.</v>
      </c>
      <c r="G262" s="1270"/>
      <c r="H262" s="1293" t="str">
        <f>'Emissions Data'!N12</f>
        <v>https://www.transportpolicy.net/standard/us-fuels-diesel-and-gasoline/</v>
      </c>
      <c r="I262" s="1293"/>
      <c r="J262" s="1293"/>
      <c r="K262" s="1293"/>
      <c r="L262" s="1293"/>
      <c r="M262" s="1293"/>
      <c r="N262" s="1294"/>
    </row>
    <row r="263" spans="2:14" ht="31.5" customHeight="1" x14ac:dyDescent="0.2">
      <c r="B263" s="137"/>
      <c r="C263" s="1055" t="str">
        <f>'Emissions Data'!J13</f>
        <v>PM 2.5 emission rate (grams per mile)</v>
      </c>
      <c r="D263" s="1119" t="str">
        <f>'Emissions Data'!K13</f>
        <v>Gasoline</v>
      </c>
      <c r="E263" s="1119">
        <f>'Emissions Data'!L13</f>
        <v>0.01</v>
      </c>
      <c r="F263" s="1270" t="str">
        <f>'Emissions Data'!M13</f>
        <v>Based on avg. light duty vehicles/trucks (exhaust + breakwear + tirewear) (2020) from BTS</v>
      </c>
      <c r="G263" s="1270"/>
      <c r="H263" s="1293" t="str">
        <f>'Emissions Data'!N13</f>
        <v>https://www.bts.gov/content/estimated-national-average-vehicle-emissions-rates-vehicle-vehicle-type-using-gasoline-and</v>
      </c>
      <c r="I263" s="1293"/>
      <c r="J263" s="1293"/>
      <c r="K263" s="1293"/>
      <c r="L263" s="1293"/>
      <c r="M263" s="1293"/>
      <c r="N263" s="1294"/>
    </row>
    <row r="264" spans="2:14" ht="24" customHeight="1" x14ac:dyDescent="0.2">
      <c r="B264" s="137"/>
      <c r="C264" s="1055" t="str">
        <f>'Emissions Data'!J14</f>
        <v>PM 2.5 emission rate (grams per mile)</v>
      </c>
      <c r="D264" s="1119" t="str">
        <f>'Emissions Data'!K14</f>
        <v>Diesel</v>
      </c>
      <c r="E264" s="1119">
        <f>'Emissions Data'!L14</f>
        <v>0.11899999999999999</v>
      </c>
      <c r="F264" s="1270" t="str">
        <f>'Emissions Data'!M14</f>
        <v>Based on heavy duty vehicles/trucks (exhaust + breakwear + tirewear) (2020) from BTS</v>
      </c>
      <c r="G264" s="1270"/>
      <c r="H264" s="1293" t="str">
        <f>'Emissions Data'!N14</f>
        <v>https://www.bts.gov/content/estimated-national-average-vehicle-emissions-rates-vehicle-vehicle-type-using-gasoline-and</v>
      </c>
      <c r="I264" s="1293"/>
      <c r="J264" s="1293"/>
      <c r="K264" s="1293"/>
      <c r="L264" s="1293"/>
      <c r="M264" s="1293"/>
      <c r="N264" s="1294"/>
    </row>
    <row r="265" spans="2:14" ht="24" customHeight="1" x14ac:dyDescent="0.2">
      <c r="B265" s="137"/>
      <c r="C265" s="1055" t="str">
        <f>'Emissions Data'!J15</f>
        <v>CO2 emmission rate (grams per mile)</v>
      </c>
      <c r="D265" s="1119" t="str">
        <f>'Emissions Data'!K15</f>
        <v>Gasoline</v>
      </c>
      <c r="E265" s="1119">
        <f>'Emissions Data'!L15</f>
        <v>8887</v>
      </c>
      <c r="F265" s="1270" t="str">
        <f>'Emissions Data'!M15</f>
        <v>Based on EPA site reference in BCA guidance.</v>
      </c>
      <c r="G265" s="1270"/>
      <c r="H265" s="1293" t="str">
        <f>'Emissions Data'!N15</f>
        <v>https://www.epa.gov/energy/greenhouse-gases-equivalencies-calculator-calculations-and-references</v>
      </c>
      <c r="I265" s="1293"/>
      <c r="J265" s="1293"/>
      <c r="K265" s="1293"/>
      <c r="L265" s="1293"/>
      <c r="M265" s="1293"/>
      <c r="N265" s="1294"/>
    </row>
    <row r="266" spans="2:14" ht="24" customHeight="1" x14ac:dyDescent="0.2">
      <c r="B266" s="137"/>
      <c r="C266" s="1055" t="str">
        <f>'Emissions Data'!J16</f>
        <v>CO2 emmission rate (grams per mile)</v>
      </c>
      <c r="D266" s="1119" t="str">
        <f>'Emissions Data'!K16</f>
        <v>Diesel</v>
      </c>
      <c r="E266" s="1119">
        <f>'Emissions Data'!L16</f>
        <v>10180</v>
      </c>
      <c r="F266" s="1270" t="str">
        <f>'Emissions Data'!M16</f>
        <v>Based on EPA site reference in BCA guidance.</v>
      </c>
      <c r="G266" s="1270"/>
      <c r="H266" s="1293" t="str">
        <f>'Emissions Data'!N16</f>
        <v>https://www.epa.gov/energy/greenhouse-gases-equivalencies-calculator-calculations-and-references</v>
      </c>
      <c r="I266" s="1293"/>
      <c r="J266" s="1293"/>
      <c r="K266" s="1293"/>
      <c r="L266" s="1293"/>
      <c r="M266" s="1293"/>
      <c r="N266" s="1294"/>
    </row>
    <row r="267" spans="2:14" ht="24" x14ac:dyDescent="0.2">
      <c r="B267" s="137"/>
      <c r="C267" s="1055" t="str">
        <f>'Emissions Data'!J18</f>
        <v>Conversition rate SOx parts per million (ppm) to metric tons / gal</v>
      </c>
      <c r="D267" s="1119"/>
      <c r="E267" s="1119">
        <f>'Emissions Data'!L18</f>
        <v>9.9177700000000001E-12</v>
      </c>
      <c r="F267" s="1270" t="str">
        <f>'Emissions Data'!M18</f>
        <v>Based on SO2 molecular weight.</v>
      </c>
      <c r="G267" s="1270"/>
      <c r="H267" s="1293" t="str">
        <f>'Emissions Data'!N18</f>
        <v>https://teesing.com/en/library/tools/ppm-mg3-converter</v>
      </c>
      <c r="I267" s="1293"/>
      <c r="J267" s="1293"/>
      <c r="K267" s="1293"/>
      <c r="L267" s="1293"/>
      <c r="M267" s="1293"/>
      <c r="N267" s="1294"/>
    </row>
    <row r="268" spans="2:14" ht="18.75" thickBot="1" x14ac:dyDescent="0.25">
      <c r="B268" s="137"/>
      <c r="C268" s="1120" t="str">
        <f>'Emissions Data'!J19</f>
        <v>Coverstion rate grams to metric tons</v>
      </c>
      <c r="D268" s="997"/>
      <c r="E268" s="997">
        <f>'Emissions Data'!L19</f>
        <v>9.9999999999999995E-7</v>
      </c>
      <c r="F268" s="1271"/>
      <c r="G268" s="1271"/>
      <c r="H268" s="1298"/>
      <c r="I268" s="1298"/>
      <c r="J268" s="1298"/>
      <c r="K268" s="1298"/>
      <c r="L268" s="1298"/>
      <c r="M268" s="1298"/>
      <c r="N268" s="1299"/>
    </row>
    <row r="269" spans="2:14" x14ac:dyDescent="0.2">
      <c r="B269" s="137"/>
      <c r="C269" s="180"/>
      <c r="D269" s="180"/>
      <c r="E269" s="180"/>
      <c r="F269" s="180"/>
    </row>
    <row r="270" spans="2:14" ht="18.75" thickBot="1" x14ac:dyDescent="0.25">
      <c r="B270" s="137"/>
      <c r="C270" s="547" t="s">
        <v>590</v>
      </c>
    </row>
    <row r="271" spans="2:14" x14ac:dyDescent="0.2">
      <c r="C271" s="508"/>
      <c r="D271" s="1280" t="s">
        <v>120</v>
      </c>
      <c r="E271" s="1280"/>
      <c r="F271" s="1280"/>
      <c r="G271" s="1281"/>
    </row>
    <row r="272" spans="2:14" ht="24" x14ac:dyDescent="0.2">
      <c r="C272" s="509"/>
      <c r="D272" s="510" t="s">
        <v>534</v>
      </c>
      <c r="E272" s="510" t="s">
        <v>535</v>
      </c>
      <c r="F272" s="510" t="s">
        <v>532</v>
      </c>
      <c r="G272" s="564" t="s">
        <v>533</v>
      </c>
    </row>
    <row r="273" spans="1:8" x14ac:dyDescent="0.2">
      <c r="C273" s="512" t="s">
        <v>549</v>
      </c>
      <c r="D273" s="163">
        <f>SUM(Emissions!G933:AH933)</f>
        <v>4194895.5425868528</v>
      </c>
      <c r="E273" s="163">
        <f>Emissions!F933</f>
        <v>1324546.7678849238</v>
      </c>
      <c r="F273" s="163">
        <f>SUM(Emissions!G937:AH937)</f>
        <v>5015220.535585749</v>
      </c>
      <c r="G273" s="513">
        <f>Emissions!F937</f>
        <v>1485732.7182121829</v>
      </c>
      <c r="H273" s="177"/>
    </row>
    <row r="274" spans="1:8" x14ac:dyDescent="0.2">
      <c r="C274" s="541" t="s">
        <v>551</v>
      </c>
      <c r="D274" s="163">
        <f>SUM(Emissions!G934:AH934)</f>
        <v>15632.845781504335</v>
      </c>
      <c r="E274" s="163">
        <f>Emissions!F934</f>
        <v>4726.5604418760668</v>
      </c>
      <c r="F274" s="163">
        <f>SUM(Emissions!G938:AH938)</f>
        <v>18967.017172838561</v>
      </c>
      <c r="G274" s="513">
        <f>Emissions!F938</f>
        <v>5315.9613287356624</v>
      </c>
      <c r="H274" s="177"/>
    </row>
    <row r="275" spans="1:8" x14ac:dyDescent="0.2">
      <c r="C275" s="541" t="s">
        <v>550</v>
      </c>
      <c r="D275" s="163">
        <f>SUM(Emissions!G935:AH935)</f>
        <v>6238386.3641883796</v>
      </c>
      <c r="E275" s="163">
        <f>Emissions!F935</f>
        <v>1962929.8791722436</v>
      </c>
      <c r="F275" s="163">
        <f>SUM(Emissions!G939:AH939)</f>
        <v>7466742.7614035932</v>
      </c>
      <c r="G275" s="513">
        <f>Emissions!F939</f>
        <v>2201148.9537430969</v>
      </c>
      <c r="H275" s="177"/>
    </row>
    <row r="276" spans="1:8" x14ac:dyDescent="0.2">
      <c r="C276" s="541" t="s">
        <v>552</v>
      </c>
      <c r="D276" s="163">
        <f>SUM(Emissions!G936:AH936)</f>
        <v>117258052.70206147</v>
      </c>
      <c r="E276" s="163">
        <f>Emissions!F936</f>
        <v>67528279.347793669</v>
      </c>
      <c r="F276" s="163">
        <f>SUM(Emissions!G940:AH940)</f>
        <v>143335508.77020645</v>
      </c>
      <c r="G276" s="513">
        <f>Emissions!F940</f>
        <v>80550394.361044496</v>
      </c>
      <c r="H276" s="177"/>
    </row>
    <row r="277" spans="1:8" ht="18.75" thickBot="1" x14ac:dyDescent="0.25">
      <c r="C277" s="514" t="s">
        <v>548</v>
      </c>
      <c r="D277" s="515">
        <f>SUM(D273:D276)</f>
        <v>127706967.45461822</v>
      </c>
      <c r="E277" s="515">
        <f>SUM(E273:E276)</f>
        <v>70820482.555292711</v>
      </c>
      <c r="F277" s="515">
        <f>SUM(F273:F276)</f>
        <v>155836439.08436865</v>
      </c>
      <c r="G277" s="516">
        <f>SUM(G273:G276)</f>
        <v>84242591.994328514</v>
      </c>
    </row>
    <row r="279" spans="1:8" ht="18.75" thickBot="1" x14ac:dyDescent="0.25">
      <c r="C279" s="547" t="s">
        <v>591</v>
      </c>
    </row>
    <row r="280" spans="1:8" x14ac:dyDescent="0.2">
      <c r="C280" s="508"/>
      <c r="D280" s="1280" t="s">
        <v>120</v>
      </c>
      <c r="E280" s="1281"/>
      <c r="F280" s="953"/>
      <c r="G280" s="953"/>
    </row>
    <row r="281" spans="1:8" x14ac:dyDescent="0.2">
      <c r="C281" s="509"/>
      <c r="D281" s="510" t="s">
        <v>485</v>
      </c>
      <c r="E281" s="511" t="s">
        <v>486</v>
      </c>
      <c r="F281" s="954"/>
      <c r="G281" s="963"/>
    </row>
    <row r="282" spans="1:8" x14ac:dyDescent="0.2">
      <c r="C282" s="512" t="s">
        <v>592</v>
      </c>
      <c r="D282" s="958">
        <f>Emissions!F905</f>
        <v>222.5983185168958</v>
      </c>
      <c r="E282" s="959">
        <f>Emissions!F909</f>
        <v>265.64642903219703</v>
      </c>
      <c r="F282" s="162"/>
      <c r="G282" s="162"/>
    </row>
    <row r="283" spans="1:8" x14ac:dyDescent="0.2">
      <c r="C283" s="541" t="s">
        <v>593</v>
      </c>
      <c r="D283" s="956">
        <f>Emissions!F906</f>
        <v>0.30535834542708035</v>
      </c>
      <c r="E283" s="957">
        <f>Emissions!F910</f>
        <v>0.3696633725539667</v>
      </c>
      <c r="F283" s="162"/>
      <c r="G283" s="162"/>
    </row>
    <row r="284" spans="1:8" x14ac:dyDescent="0.2">
      <c r="C284" s="541" t="s">
        <v>594</v>
      </c>
      <c r="D284" s="956">
        <f>Emissions!F907</f>
        <v>6.8904333998970912</v>
      </c>
      <c r="E284" s="957">
        <f>Emissions!F911</f>
        <v>8.2339046028237295</v>
      </c>
      <c r="F284" s="162"/>
      <c r="G284" s="162"/>
    </row>
    <row r="285" spans="1:8" ht="18.75" thickBot="1" x14ac:dyDescent="0.25">
      <c r="C285" s="687" t="s">
        <v>595</v>
      </c>
      <c r="D285" s="964">
        <f>Emissions!F908</f>
        <v>1542995.057348798</v>
      </c>
      <c r="E285" s="965">
        <f>Emissions!F912</f>
        <v>1861762.8053586851</v>
      </c>
      <c r="F285" s="162"/>
      <c r="G285" s="162"/>
    </row>
    <row r="287" spans="1:8" ht="18.75" thickBot="1" x14ac:dyDescent="0.25">
      <c r="A287" s="548" t="s">
        <v>231</v>
      </c>
      <c r="B287" s="1" t="s">
        <v>106</v>
      </c>
      <c r="C287" s="547" t="s">
        <v>240</v>
      </c>
      <c r="D287" s="138"/>
      <c r="E287" s="138"/>
      <c r="F287" s="138"/>
    </row>
    <row r="288" spans="1:8" x14ac:dyDescent="0.2">
      <c r="C288" s="478" t="s">
        <v>1</v>
      </c>
      <c r="D288" s="553" t="s">
        <v>2</v>
      </c>
      <c r="E288" s="553" t="s">
        <v>3</v>
      </c>
      <c r="F288" s="554" t="s">
        <v>226</v>
      </c>
    </row>
    <row r="289" spans="3:15" x14ac:dyDescent="0.2">
      <c r="C289" s="555" t="s">
        <v>229</v>
      </c>
      <c r="D289" s="166" t="s">
        <v>555</v>
      </c>
      <c r="E289" s="167">
        <f>'Project Cost Data'!D61</f>
        <v>40000</v>
      </c>
      <c r="F289" s="556"/>
      <c r="H289" s="153"/>
      <c r="I289" s="153"/>
      <c r="J289" s="153"/>
      <c r="K289" s="153"/>
      <c r="L289" s="153"/>
      <c r="M289" s="153"/>
      <c r="N289" s="153"/>
      <c r="O289" s="12"/>
    </row>
    <row r="290" spans="3:15" x14ac:dyDescent="0.2">
      <c r="C290" s="555" t="s">
        <v>553</v>
      </c>
      <c r="D290" s="166" t="s">
        <v>555</v>
      </c>
      <c r="E290" s="167">
        <f>'Project Cost Data'!H61</f>
        <v>45000</v>
      </c>
      <c r="F290" s="556"/>
      <c r="H290" s="153"/>
      <c r="I290" s="153"/>
      <c r="J290" s="153"/>
      <c r="K290" s="153"/>
      <c r="L290" s="153"/>
      <c r="M290" s="153"/>
      <c r="N290" s="153"/>
      <c r="O290" s="12"/>
    </row>
    <row r="291" spans="3:15" x14ac:dyDescent="0.2">
      <c r="C291" s="555" t="s">
        <v>554</v>
      </c>
      <c r="D291" s="166" t="s">
        <v>555</v>
      </c>
      <c r="E291" s="167">
        <f>'Project Cost Data'!L61</f>
        <v>50000</v>
      </c>
      <c r="F291" s="556"/>
      <c r="H291" s="153"/>
      <c r="I291" s="153"/>
      <c r="J291" s="153"/>
      <c r="K291" s="153"/>
      <c r="L291" s="153"/>
      <c r="M291" s="153"/>
      <c r="N291" s="153"/>
      <c r="O291" s="12"/>
    </row>
    <row r="292" spans="3:15" ht="180" x14ac:dyDescent="0.2">
      <c r="C292" s="555" t="s">
        <v>230</v>
      </c>
      <c r="D292" s="166" t="s">
        <v>555</v>
      </c>
      <c r="E292" s="167">
        <f>'Project Cost Data'!D53</f>
        <v>12875000</v>
      </c>
      <c r="F292" s="556" t="s">
        <v>562</v>
      </c>
      <c r="H292"/>
      <c r="I292" s="149"/>
      <c r="J292" s="153"/>
      <c r="K292" s="153"/>
      <c r="L292" s="153"/>
      <c r="M292" s="153"/>
      <c r="N292" s="153"/>
      <c r="O292" s="12"/>
    </row>
    <row r="293" spans="3:15" ht="72" x14ac:dyDescent="0.2">
      <c r="C293" s="555" t="s">
        <v>556</v>
      </c>
      <c r="D293" s="166" t="s">
        <v>555</v>
      </c>
      <c r="E293" s="168">
        <f>'Project Cost Data'!H53</f>
        <v>5050000</v>
      </c>
      <c r="F293" s="556" t="s">
        <v>563</v>
      </c>
      <c r="H293" s="153"/>
      <c r="I293" s="153"/>
      <c r="J293" s="153"/>
      <c r="K293" s="153"/>
      <c r="L293" s="153"/>
      <c r="M293" s="153"/>
      <c r="N293" s="153"/>
      <c r="O293" s="12"/>
    </row>
    <row r="294" spans="3:15" ht="72" x14ac:dyDescent="0.2">
      <c r="C294" s="555" t="s">
        <v>557</v>
      </c>
      <c r="D294" s="166" t="s">
        <v>555</v>
      </c>
      <c r="E294" s="168">
        <f>'Project Cost Data'!L53</f>
        <v>6450000</v>
      </c>
      <c r="F294" s="556" t="s">
        <v>564</v>
      </c>
      <c r="H294" s="153"/>
      <c r="I294" s="153"/>
      <c r="J294" s="153"/>
      <c r="K294" s="153"/>
      <c r="L294" s="153"/>
      <c r="M294" s="153"/>
      <c r="N294" s="153"/>
      <c r="O294" s="12"/>
    </row>
    <row r="295" spans="3:15" ht="18.75" thickBot="1" x14ac:dyDescent="0.25">
      <c r="C295" s="557" t="str">
        <f>Inputs!C32</f>
        <v>Useful Life of Project</v>
      </c>
      <c r="D295" s="558" t="str">
        <f>Inputs!D32</f>
        <v>years</v>
      </c>
      <c r="E295" s="559">
        <f>usefulLife</f>
        <v>30</v>
      </c>
      <c r="F295" s="560" t="str">
        <f>Inputs!F32</f>
        <v>Assumption</v>
      </c>
    </row>
    <row r="296" spans="3:15" x14ac:dyDescent="0.2">
      <c r="C296" s="140"/>
      <c r="D296" s="140"/>
      <c r="E296" s="148"/>
      <c r="F296" s="149"/>
    </row>
    <row r="297" spans="3:15" ht="18.75" thickBot="1" x14ac:dyDescent="0.25">
      <c r="C297" s="547" t="s">
        <v>266</v>
      </c>
      <c r="D297" s="140"/>
      <c r="E297" s="148"/>
      <c r="F297" s="149"/>
    </row>
    <row r="298" spans="3:15" x14ac:dyDescent="0.2">
      <c r="C298" s="1277" t="s">
        <v>10</v>
      </c>
      <c r="D298" s="1279" t="s">
        <v>126</v>
      </c>
      <c r="E298" s="1279"/>
      <c r="F298" s="1279" t="s">
        <v>485</v>
      </c>
      <c r="G298" s="1279"/>
      <c r="H298" s="1279" t="s">
        <v>486</v>
      </c>
      <c r="I298" s="1295"/>
    </row>
    <row r="299" spans="3:15" x14ac:dyDescent="0.2">
      <c r="C299" s="1278"/>
      <c r="D299" s="510" t="s">
        <v>256</v>
      </c>
      <c r="E299" s="510" t="s">
        <v>565</v>
      </c>
      <c r="F299" s="523" t="s">
        <v>256</v>
      </c>
      <c r="G299" s="510" t="s">
        <v>565</v>
      </c>
      <c r="H299" s="523" t="s">
        <v>566</v>
      </c>
      <c r="I299" s="564" t="s">
        <v>565</v>
      </c>
    </row>
    <row r="300" spans="3:15" x14ac:dyDescent="0.2">
      <c r="C300" s="565">
        <v>2024</v>
      </c>
      <c r="D300" s="179">
        <f>'Project Cost Data'!C27*adjust2023to2021</f>
        <v>0</v>
      </c>
      <c r="E300" s="179">
        <v>0</v>
      </c>
      <c r="F300" s="179">
        <f>'Project Cost Data'!G27*adjust2023to2021</f>
        <v>0</v>
      </c>
      <c r="G300" s="179">
        <v>0</v>
      </c>
      <c r="H300" s="179">
        <f>'Project Cost Data'!K27*adjust2023to2021</f>
        <v>0</v>
      </c>
      <c r="I300" s="566">
        <v>0</v>
      </c>
    </row>
    <row r="301" spans="3:15" x14ac:dyDescent="0.2">
      <c r="C301" s="567">
        <f>C300+1</f>
        <v>2025</v>
      </c>
      <c r="D301" s="179">
        <f>'Project Cost Data'!C28*adjust2023to2021</f>
        <v>2263971.851761736</v>
      </c>
      <c r="E301" s="179">
        <v>0</v>
      </c>
      <c r="F301" s="179">
        <f>'Project Cost Data'!G28*adjust2023to2021</f>
        <v>0</v>
      </c>
      <c r="G301" s="179">
        <v>0</v>
      </c>
      <c r="H301" s="179">
        <f>'Project Cost Data'!K28*adjust2023to2021</f>
        <v>0</v>
      </c>
      <c r="I301" s="566">
        <v>0</v>
      </c>
    </row>
    <row r="302" spans="3:15" x14ac:dyDescent="0.2">
      <c r="C302" s="567">
        <f t="shared" ref="C302:C324" si="5">C301+1</f>
        <v>2026</v>
      </c>
      <c r="D302" s="179">
        <f>'Project Cost Data'!C29*adjust2023to2021</f>
        <v>0</v>
      </c>
      <c r="E302" s="179">
        <v>0</v>
      </c>
      <c r="F302" s="179">
        <f>'Project Cost Data'!G29*adjust2023to2021</f>
        <v>0</v>
      </c>
      <c r="G302" s="179">
        <v>0</v>
      </c>
      <c r="H302" s="179">
        <f>'Project Cost Data'!K29*adjust2023to2021</f>
        <v>0</v>
      </c>
      <c r="I302" s="566">
        <v>0</v>
      </c>
    </row>
    <row r="303" spans="3:15" x14ac:dyDescent="0.2">
      <c r="C303" s="567">
        <f t="shared" si="5"/>
        <v>2027</v>
      </c>
      <c r="D303" s="179">
        <f>'Project Cost Data'!C30*adjust2023to2021</f>
        <v>0</v>
      </c>
      <c r="E303" s="179">
        <v>0</v>
      </c>
      <c r="F303" s="179">
        <f>'Project Cost Data'!G30*adjust2023to2021</f>
        <v>0</v>
      </c>
      <c r="G303" s="179">
        <v>0</v>
      </c>
      <c r="H303" s="179">
        <f>'Project Cost Data'!K30*adjust2023to2021</f>
        <v>0</v>
      </c>
      <c r="I303" s="566">
        <v>0</v>
      </c>
    </row>
    <row r="304" spans="3:15" x14ac:dyDescent="0.2">
      <c r="C304" s="567">
        <f t="shared" si="5"/>
        <v>2028</v>
      </c>
      <c r="D304" s="179">
        <f>'Project Cost Data'!C31*adjust2023to2021</f>
        <v>0</v>
      </c>
      <c r="E304" s="179">
        <f>'Project Cost Data'!$D$61*adjust2023to2021</f>
        <v>35864.900621968096</v>
      </c>
      <c r="F304" s="179">
        <f>'Project Cost Data'!G31*adjust2023to2021</f>
        <v>0</v>
      </c>
      <c r="G304" s="179">
        <f>'Project Cost Data'!$H$61*adjust2023to2021</f>
        <v>40348.013199714107</v>
      </c>
      <c r="H304" s="179">
        <f>'Project Cost Data'!K31*adjust2023to2021</f>
        <v>0</v>
      </c>
      <c r="I304" s="566">
        <f>'Project Cost Data'!$L$61*adjust2023to2021</f>
        <v>44831.125777460118</v>
      </c>
    </row>
    <row r="305" spans="3:9" x14ac:dyDescent="0.2">
      <c r="C305" s="567">
        <f t="shared" si="5"/>
        <v>2029</v>
      </c>
      <c r="D305" s="179">
        <f>'Project Cost Data'!C32*adjust2023to2021</f>
        <v>0</v>
      </c>
      <c r="E305" s="179">
        <f>'Project Cost Data'!$D$61*adjust2023to2021</f>
        <v>35864.900621968096</v>
      </c>
      <c r="F305" s="179">
        <f>'Project Cost Data'!G32*adjust2023to2021</f>
        <v>0</v>
      </c>
      <c r="G305" s="179">
        <f>'Project Cost Data'!$H$61*adjust2023to2021</f>
        <v>40348.013199714107</v>
      </c>
      <c r="H305" s="179">
        <f>'Project Cost Data'!K32*adjust2023to2021</f>
        <v>0</v>
      </c>
      <c r="I305" s="566">
        <f>'Project Cost Data'!$L$61*adjust2023to2021</f>
        <v>44831.125777460118</v>
      </c>
    </row>
    <row r="306" spans="3:9" x14ac:dyDescent="0.2">
      <c r="C306" s="567">
        <f t="shared" si="5"/>
        <v>2030</v>
      </c>
      <c r="D306" s="179">
        <f>'Project Cost Data'!C33*adjust2023to2021</f>
        <v>112077.81444365029</v>
      </c>
      <c r="E306" s="179">
        <f>'Project Cost Data'!$D$61*adjust2023to2021</f>
        <v>35864.900621968096</v>
      </c>
      <c r="F306" s="179">
        <f>'Project Cost Data'!G33*adjust2023to2021</f>
        <v>224155.62888730058</v>
      </c>
      <c r="G306" s="179">
        <f>'Project Cost Data'!$H$61*adjust2023to2021</f>
        <v>40348.013199714107</v>
      </c>
      <c r="H306" s="179">
        <f>'Project Cost Data'!K33*adjust2023to2021</f>
        <v>268986.75466476072</v>
      </c>
      <c r="I306" s="566">
        <f>'Project Cost Data'!$L$61*adjust2023to2021</f>
        <v>44831.125777460118</v>
      </c>
    </row>
    <row r="307" spans="3:9" x14ac:dyDescent="0.2">
      <c r="C307" s="567">
        <f t="shared" si="5"/>
        <v>2031</v>
      </c>
      <c r="D307" s="179">
        <f>'Project Cost Data'!C34*adjust2023to2021</f>
        <v>0</v>
      </c>
      <c r="E307" s="179">
        <f>'Project Cost Data'!$D$61*adjust2023to2021</f>
        <v>35864.900621968096</v>
      </c>
      <c r="F307" s="179">
        <f>'Project Cost Data'!G34*adjust2023to2021</f>
        <v>0</v>
      </c>
      <c r="G307" s="179">
        <f>'Project Cost Data'!$H$61*adjust2023to2021</f>
        <v>40348.013199714107</v>
      </c>
      <c r="H307" s="179">
        <f>'Project Cost Data'!K34*adjust2023to2021</f>
        <v>0</v>
      </c>
      <c r="I307" s="566">
        <f>'Project Cost Data'!$L$61*adjust2023to2021</f>
        <v>44831.125777460118</v>
      </c>
    </row>
    <row r="308" spans="3:9" x14ac:dyDescent="0.2">
      <c r="C308" s="567">
        <f t="shared" si="5"/>
        <v>2032</v>
      </c>
      <c r="D308" s="179">
        <f>'Project Cost Data'!C35*adjust2023to2021</f>
        <v>0</v>
      </c>
      <c r="E308" s="179">
        <f>'Project Cost Data'!$D$61*adjust2023to2021</f>
        <v>35864.900621968096</v>
      </c>
      <c r="F308" s="179">
        <f>'Project Cost Data'!G35*adjust2023to2021</f>
        <v>0</v>
      </c>
      <c r="G308" s="179">
        <f>'Project Cost Data'!$H$61*adjust2023to2021</f>
        <v>40348.013199714107</v>
      </c>
      <c r="H308" s="179">
        <f>'Project Cost Data'!K35*adjust2023to2021</f>
        <v>0</v>
      </c>
      <c r="I308" s="566">
        <f>'Project Cost Data'!$L$61*adjust2023to2021</f>
        <v>44831.125777460118</v>
      </c>
    </row>
    <row r="309" spans="3:9" x14ac:dyDescent="0.2">
      <c r="C309" s="567">
        <f t="shared" si="5"/>
        <v>2033</v>
      </c>
      <c r="D309" s="179">
        <f>'Project Cost Data'!C36*adjust2023to2021</f>
        <v>0</v>
      </c>
      <c r="E309" s="179">
        <f>'Project Cost Data'!$D$61*adjust2023to2021</f>
        <v>35864.900621968096</v>
      </c>
      <c r="F309" s="179">
        <f>'Project Cost Data'!G36*adjust2023to2021</f>
        <v>0</v>
      </c>
      <c r="G309" s="179">
        <f>'Project Cost Data'!$H$61*adjust2023to2021</f>
        <v>40348.013199714107</v>
      </c>
      <c r="H309" s="179">
        <f>'Project Cost Data'!K36*adjust2023to2021</f>
        <v>0</v>
      </c>
      <c r="I309" s="566">
        <f>'Project Cost Data'!$L$61*adjust2023to2021</f>
        <v>44831.125777460118</v>
      </c>
    </row>
    <row r="310" spans="3:9" x14ac:dyDescent="0.2">
      <c r="C310" s="567">
        <f t="shared" si="5"/>
        <v>2034</v>
      </c>
      <c r="D310" s="179">
        <f>'Project Cost Data'!C37*adjust2023to2021</f>
        <v>0</v>
      </c>
      <c r="E310" s="179">
        <f>'Project Cost Data'!$D$61*adjust2023to2021</f>
        <v>35864.900621968096</v>
      </c>
      <c r="F310" s="179">
        <f>'Project Cost Data'!G37*adjust2023to2021</f>
        <v>0</v>
      </c>
      <c r="G310" s="179">
        <f>'Project Cost Data'!$H$61*adjust2023to2021</f>
        <v>40348.013199714107</v>
      </c>
      <c r="H310" s="179">
        <f>'Project Cost Data'!K37*adjust2023to2021</f>
        <v>0</v>
      </c>
      <c r="I310" s="566">
        <f>'Project Cost Data'!$L$61*adjust2023to2021</f>
        <v>44831.125777460118</v>
      </c>
    </row>
    <row r="311" spans="3:9" x14ac:dyDescent="0.2">
      <c r="C311" s="567">
        <f t="shared" si="5"/>
        <v>2035</v>
      </c>
      <c r="D311" s="179">
        <f>'Project Cost Data'!C38*adjust2023to2021</f>
        <v>7531629.1306133</v>
      </c>
      <c r="E311" s="179">
        <f>'Project Cost Data'!$D$61*adjust2023to2021</f>
        <v>35864.900621968096</v>
      </c>
      <c r="F311" s="179">
        <f>'Project Cost Data'!G38*adjust2023to2021</f>
        <v>224155.62888730058</v>
      </c>
      <c r="G311" s="179">
        <f>'Project Cost Data'!$H$61*adjust2023to2021</f>
        <v>40348.013199714107</v>
      </c>
      <c r="H311" s="179">
        <f>'Project Cost Data'!K38*adjust2023to2021</f>
        <v>268986.75466476072</v>
      </c>
      <c r="I311" s="566">
        <f>'Project Cost Data'!$L$61*adjust2023to2021</f>
        <v>44831.125777460118</v>
      </c>
    </row>
    <row r="312" spans="3:9" x14ac:dyDescent="0.2">
      <c r="C312" s="567">
        <f t="shared" si="5"/>
        <v>2036</v>
      </c>
      <c r="D312" s="179">
        <f>'Project Cost Data'!C39*adjust2023to2021</f>
        <v>0</v>
      </c>
      <c r="E312" s="179">
        <f>'Project Cost Data'!$D$61*adjust2023to2021</f>
        <v>35864.900621968096</v>
      </c>
      <c r="F312" s="179">
        <f>'Project Cost Data'!G39*adjust2023to2021</f>
        <v>0</v>
      </c>
      <c r="G312" s="179">
        <f>'Project Cost Data'!$H$61*adjust2023to2021</f>
        <v>40348.013199714107</v>
      </c>
      <c r="H312" s="179">
        <f>'Project Cost Data'!K39*adjust2023to2021</f>
        <v>0</v>
      </c>
      <c r="I312" s="566">
        <f>'Project Cost Data'!$L$61*adjust2023to2021</f>
        <v>44831.125777460118</v>
      </c>
    </row>
    <row r="313" spans="3:9" x14ac:dyDescent="0.2">
      <c r="C313" s="567">
        <f t="shared" si="5"/>
        <v>2037</v>
      </c>
      <c r="D313" s="179">
        <f>'Project Cost Data'!C40*adjust2023to2021</f>
        <v>0</v>
      </c>
      <c r="E313" s="179">
        <f>'Project Cost Data'!$D$61*adjust2023to2021</f>
        <v>35864.900621968096</v>
      </c>
      <c r="F313" s="179">
        <f>'Project Cost Data'!G40*adjust2023to2021</f>
        <v>0</v>
      </c>
      <c r="G313" s="179">
        <f>'Project Cost Data'!$H$61*adjust2023to2021</f>
        <v>40348.013199714107</v>
      </c>
      <c r="H313" s="179">
        <f>'Project Cost Data'!K40*adjust2023to2021</f>
        <v>0</v>
      </c>
      <c r="I313" s="566">
        <f>'Project Cost Data'!$L$61*adjust2023to2021</f>
        <v>44831.125777460118</v>
      </c>
    </row>
    <row r="314" spans="3:9" x14ac:dyDescent="0.2">
      <c r="C314" s="567">
        <f t="shared" si="5"/>
        <v>2038</v>
      </c>
      <c r="D314" s="179">
        <f>'Project Cost Data'!C41*adjust2023to2021</f>
        <v>0</v>
      </c>
      <c r="E314" s="179">
        <f>'Project Cost Data'!$D$61*adjust2023to2021</f>
        <v>35864.900621968096</v>
      </c>
      <c r="F314" s="179">
        <f>'Project Cost Data'!G41*adjust2023to2021</f>
        <v>0</v>
      </c>
      <c r="G314" s="179">
        <f>'Project Cost Data'!$H$61*adjust2023to2021</f>
        <v>40348.013199714107</v>
      </c>
      <c r="H314" s="179">
        <f>'Project Cost Data'!K41*adjust2023to2021</f>
        <v>0</v>
      </c>
      <c r="I314" s="566">
        <f>'Project Cost Data'!$L$61*adjust2023to2021</f>
        <v>44831.125777460118</v>
      </c>
    </row>
    <row r="315" spans="3:9" x14ac:dyDescent="0.2">
      <c r="C315" s="567">
        <f t="shared" si="5"/>
        <v>2039</v>
      </c>
      <c r="D315" s="179">
        <f>'Project Cost Data'!C42*adjust2023to2021</f>
        <v>0</v>
      </c>
      <c r="E315" s="179">
        <f>'Project Cost Data'!$D$61*adjust2023to2021</f>
        <v>35864.900621968096</v>
      </c>
      <c r="F315" s="179">
        <f>'Project Cost Data'!G42*adjust2023to2021</f>
        <v>0</v>
      </c>
      <c r="G315" s="179">
        <f>'Project Cost Data'!$H$61*adjust2023to2021</f>
        <v>40348.013199714107</v>
      </c>
      <c r="H315" s="179">
        <f>'Project Cost Data'!K42*adjust2023to2021</f>
        <v>0</v>
      </c>
      <c r="I315" s="566">
        <f>'Project Cost Data'!$L$61*adjust2023to2021</f>
        <v>44831.125777460118</v>
      </c>
    </row>
    <row r="316" spans="3:9" x14ac:dyDescent="0.2">
      <c r="C316" s="567">
        <f t="shared" si="5"/>
        <v>2040</v>
      </c>
      <c r="D316" s="179">
        <f>'Project Cost Data'!C43*adjust2023to2021</f>
        <v>112077.81444365029</v>
      </c>
      <c r="E316" s="179">
        <f>'Project Cost Data'!$D$61*adjust2023to2021</f>
        <v>35864.900621968096</v>
      </c>
      <c r="F316" s="179">
        <f>'Project Cost Data'!G43*adjust2023to2021</f>
        <v>224155.62888730058</v>
      </c>
      <c r="G316" s="179">
        <f>'Project Cost Data'!$H$61*adjust2023to2021</f>
        <v>40348.013199714107</v>
      </c>
      <c r="H316" s="179">
        <f>'Project Cost Data'!K43*adjust2023to2021</f>
        <v>268986.75466476072</v>
      </c>
      <c r="I316" s="566">
        <f>'Project Cost Data'!$L$61*adjust2023to2021</f>
        <v>44831.125777460118</v>
      </c>
    </row>
    <row r="317" spans="3:9" x14ac:dyDescent="0.2">
      <c r="C317" s="567">
        <f t="shared" si="5"/>
        <v>2041</v>
      </c>
      <c r="D317" s="179">
        <f>'Project Cost Data'!C44*adjust2023to2021</f>
        <v>0</v>
      </c>
      <c r="E317" s="179">
        <f>'Project Cost Data'!$D$61*adjust2023to2021</f>
        <v>35864.900621968096</v>
      </c>
      <c r="F317" s="179">
        <f>'Project Cost Data'!G44*adjust2023to2021</f>
        <v>0</v>
      </c>
      <c r="G317" s="179">
        <f>'Project Cost Data'!$H$61*adjust2023to2021</f>
        <v>40348.013199714107</v>
      </c>
      <c r="H317" s="179">
        <f>'Project Cost Data'!K44*adjust2023to2021</f>
        <v>0</v>
      </c>
      <c r="I317" s="566">
        <f>'Project Cost Data'!$L$61*adjust2023to2021</f>
        <v>44831.125777460118</v>
      </c>
    </row>
    <row r="318" spans="3:9" x14ac:dyDescent="0.2">
      <c r="C318" s="567">
        <f t="shared" si="5"/>
        <v>2042</v>
      </c>
      <c r="D318" s="179">
        <f>'Project Cost Data'!C45*adjust2023to2021</f>
        <v>0</v>
      </c>
      <c r="E318" s="179">
        <f>'Project Cost Data'!$D$61*adjust2023to2021</f>
        <v>35864.900621968096</v>
      </c>
      <c r="F318" s="179">
        <f>'Project Cost Data'!G45*adjust2023to2021</f>
        <v>0</v>
      </c>
      <c r="G318" s="179">
        <f>'Project Cost Data'!$H$61*adjust2023to2021</f>
        <v>40348.013199714107</v>
      </c>
      <c r="H318" s="179">
        <f>'Project Cost Data'!K45*adjust2023to2021</f>
        <v>0</v>
      </c>
      <c r="I318" s="566">
        <f>'Project Cost Data'!$L$61*adjust2023to2021</f>
        <v>44831.125777460118</v>
      </c>
    </row>
    <row r="319" spans="3:9" x14ac:dyDescent="0.2">
      <c r="C319" s="567">
        <f t="shared" si="5"/>
        <v>2043</v>
      </c>
      <c r="D319" s="179">
        <f>'Project Cost Data'!C46*adjust2023to2021</f>
        <v>0</v>
      </c>
      <c r="E319" s="179">
        <f>'Project Cost Data'!$D$61*adjust2023to2021</f>
        <v>35864.900621968096</v>
      </c>
      <c r="F319" s="179">
        <f>'Project Cost Data'!G46*adjust2023to2021</f>
        <v>0</v>
      </c>
      <c r="G319" s="179">
        <f>'Project Cost Data'!$H$61*adjust2023to2021</f>
        <v>40348.013199714107</v>
      </c>
      <c r="H319" s="179">
        <f>'Project Cost Data'!K46*adjust2023to2021</f>
        <v>0</v>
      </c>
      <c r="I319" s="566">
        <f>'Project Cost Data'!$L$61*adjust2023to2021</f>
        <v>44831.125777460118</v>
      </c>
    </row>
    <row r="320" spans="3:9" x14ac:dyDescent="0.2">
      <c r="C320" s="567">
        <f t="shared" si="5"/>
        <v>2044</v>
      </c>
      <c r="D320" s="179">
        <f>'Project Cost Data'!C47*adjust2023to2021</f>
        <v>0</v>
      </c>
      <c r="E320" s="179">
        <f>'Project Cost Data'!$D$61*adjust2023to2021</f>
        <v>35864.900621968096</v>
      </c>
      <c r="F320" s="179">
        <f>'Project Cost Data'!G47*adjust2023to2021</f>
        <v>0</v>
      </c>
      <c r="G320" s="179">
        <f>'Project Cost Data'!$H$61*adjust2023to2021</f>
        <v>40348.013199714107</v>
      </c>
      <c r="H320" s="179">
        <f>'Project Cost Data'!K47*adjust2023to2021</f>
        <v>0</v>
      </c>
      <c r="I320" s="566">
        <f>'Project Cost Data'!$L$61*adjust2023to2021</f>
        <v>44831.125777460118</v>
      </c>
    </row>
    <row r="321" spans="1:9" x14ac:dyDescent="0.2">
      <c r="C321" s="567">
        <f t="shared" si="5"/>
        <v>2045</v>
      </c>
      <c r="D321" s="179">
        <f>'Project Cost Data'!C48*adjust2023to2021</f>
        <v>1524258.2764336441</v>
      </c>
      <c r="E321" s="179">
        <f>'Project Cost Data'!$D$61*adjust2023to2021</f>
        <v>35864.900621968096</v>
      </c>
      <c r="F321" s="179">
        <f>'Project Cost Data'!G48*adjust2023to2021</f>
        <v>1927738.4084307852</v>
      </c>
      <c r="G321" s="179">
        <f>'Project Cost Data'!$H$61*adjust2023to2021</f>
        <v>40348.013199714107</v>
      </c>
      <c r="H321" s="179">
        <f>'Project Cost Data'!K48*adjust2023to2021</f>
        <v>2488127.4806490364</v>
      </c>
      <c r="I321" s="566">
        <f>'Project Cost Data'!$L$61*adjust2023to2021</f>
        <v>44831.125777460118</v>
      </c>
    </row>
    <row r="322" spans="1:9" x14ac:dyDescent="0.2">
      <c r="C322" s="567">
        <f t="shared" si="5"/>
        <v>2046</v>
      </c>
      <c r="D322" s="179">
        <f>'Project Cost Data'!C49*adjust2023to2021</f>
        <v>0</v>
      </c>
      <c r="E322" s="179">
        <f>'Project Cost Data'!$D$61*adjust2023to2021</f>
        <v>35864.900621968096</v>
      </c>
      <c r="F322" s="179">
        <f>'Project Cost Data'!G49*adjust2023to2021</f>
        <v>1927738.4084307852</v>
      </c>
      <c r="G322" s="179">
        <f>'Project Cost Data'!$H$61*adjust2023to2021</f>
        <v>40348.013199714107</v>
      </c>
      <c r="H322" s="179">
        <f>'Project Cost Data'!K49*adjust2023to2021</f>
        <v>2488127.4806490364</v>
      </c>
      <c r="I322" s="566">
        <f>'Project Cost Data'!$L$61*adjust2023to2021</f>
        <v>44831.125777460118</v>
      </c>
    </row>
    <row r="323" spans="1:9" x14ac:dyDescent="0.2">
      <c r="C323" s="567">
        <f t="shared" si="5"/>
        <v>2047</v>
      </c>
      <c r="D323" s="179">
        <f>'Project Cost Data'!C50*adjust2023to2021</f>
        <v>0</v>
      </c>
      <c r="E323" s="179">
        <f>'Project Cost Data'!$D$61*adjust2023to2021</f>
        <v>35864.900621968096</v>
      </c>
      <c r="F323" s="179">
        <f>'Project Cost Data'!G50*adjust2023to2021</f>
        <v>0</v>
      </c>
      <c r="G323" s="179">
        <f>'Project Cost Data'!$H$61*adjust2023to2021</f>
        <v>40348.013199714107</v>
      </c>
      <c r="H323" s="179">
        <f>'Project Cost Data'!K50*adjust2023to2021</f>
        <v>0</v>
      </c>
      <c r="I323" s="566">
        <f>'Project Cost Data'!$L$61*adjust2023to2021</f>
        <v>44831.125777460118</v>
      </c>
    </row>
    <row r="324" spans="1:9" x14ac:dyDescent="0.2">
      <c r="C324" s="567">
        <f t="shared" si="5"/>
        <v>2048</v>
      </c>
      <c r="D324" s="179">
        <f>'Project Cost Data'!C51*adjust2023to2021</f>
        <v>0</v>
      </c>
      <c r="E324" s="179">
        <f>'Project Cost Data'!$D$61*adjust2023to2021</f>
        <v>35864.900621968096</v>
      </c>
      <c r="F324" s="179">
        <f>'Project Cost Data'!G51*adjust2023to2021</f>
        <v>0</v>
      </c>
      <c r="G324" s="179">
        <f>'Project Cost Data'!$H$61*adjust2023to2021</f>
        <v>40348.013199714107</v>
      </c>
      <c r="H324" s="179">
        <f>'Project Cost Data'!K51*adjust2023to2021</f>
        <v>0</v>
      </c>
      <c r="I324" s="566">
        <f>'Project Cost Data'!$L$61*adjust2023to2021</f>
        <v>44831.125777460118</v>
      </c>
    </row>
    <row r="325" spans="1:9" x14ac:dyDescent="0.2">
      <c r="C325" s="568" t="s">
        <v>25</v>
      </c>
      <c r="D325" s="524">
        <f>SUM(D300:D324)</f>
        <v>11544014.887695981</v>
      </c>
      <c r="E325" s="524">
        <f t="shared" ref="E325:I325" si="6">SUM(E300:E324)</f>
        <v>753162.91306132998</v>
      </c>
      <c r="F325" s="524">
        <f>SUM(F300:F324)</f>
        <v>4527943.703523472</v>
      </c>
      <c r="G325" s="524">
        <f t="shared" si="6"/>
        <v>847308.27719399647</v>
      </c>
      <c r="H325" s="524">
        <f>SUM(H300:H324)</f>
        <v>5783215.2252923548</v>
      </c>
      <c r="I325" s="569">
        <f t="shared" si="6"/>
        <v>941453.64132666297</v>
      </c>
    </row>
    <row r="326" spans="1:9" ht="18.75" thickBot="1" x14ac:dyDescent="0.25">
      <c r="C326" s="514" t="s">
        <v>181</v>
      </c>
      <c r="D326" s="515"/>
      <c r="E326" s="515">
        <f>D325+E325</f>
        <v>12297177.800757311</v>
      </c>
      <c r="F326" s="515"/>
      <c r="G326" s="515">
        <f>F325+G325</f>
        <v>5375251.9807174681</v>
      </c>
      <c r="H326" s="515"/>
      <c r="I326" s="516">
        <f>H325+I325</f>
        <v>6724668.8666190179</v>
      </c>
    </row>
    <row r="327" spans="1:9" x14ac:dyDescent="0.2">
      <c r="C327" s="140"/>
      <c r="D327" s="140"/>
      <c r="E327" s="148"/>
      <c r="F327" s="149"/>
    </row>
    <row r="328" spans="1:9" ht="18.75" thickBot="1" x14ac:dyDescent="0.25">
      <c r="B328" s="1" t="s">
        <v>87</v>
      </c>
      <c r="C328" s="547" t="s">
        <v>241</v>
      </c>
    </row>
    <row r="329" spans="1:9" x14ac:dyDescent="0.2">
      <c r="C329" s="508"/>
      <c r="D329" s="1280" t="s">
        <v>120</v>
      </c>
      <c r="E329" s="1280"/>
      <c r="F329" s="1280"/>
      <c r="G329" s="1281"/>
    </row>
    <row r="330" spans="1:9" ht="37.5" customHeight="1" x14ac:dyDescent="0.2">
      <c r="C330" s="509"/>
      <c r="D330" s="510" t="s">
        <v>568</v>
      </c>
      <c r="E330" s="510" t="s">
        <v>569</v>
      </c>
      <c r="F330" s="962" t="s">
        <v>570</v>
      </c>
      <c r="G330" s="564" t="s">
        <v>571</v>
      </c>
    </row>
    <row r="331" spans="1:9" x14ac:dyDescent="0.2">
      <c r="C331" s="512" t="s">
        <v>257</v>
      </c>
      <c r="D331" s="163">
        <f>SUM('O&amp;M'!D22:AE22)</f>
        <v>6921925.820039846</v>
      </c>
      <c r="E331" s="163">
        <f>'O&amp;M'!C22</f>
        <v>4002086.3508289917</v>
      </c>
      <c r="F331" s="163">
        <f>SUM('O&amp;M'!F23:AG23)</f>
        <v>5572508.9341382999</v>
      </c>
      <c r="G331" s="513">
        <f>'O&amp;M'!C23</f>
        <v>3701819.8561858609</v>
      </c>
    </row>
    <row r="332" spans="1:9" x14ac:dyDescent="0.2">
      <c r="C332" s="541" t="str">
        <f>'Results Summary'!B60</f>
        <v>Residual Value of Assets</v>
      </c>
      <c r="D332" s="162">
        <f>SUM(_xlfn.ANCHORARRAY('Residual Value'!E52))</f>
        <v>22164807.458548132</v>
      </c>
      <c r="E332" s="162">
        <f>'Residual Value'!D52</f>
        <v>3566990.6054470208</v>
      </c>
      <c r="F332" s="162">
        <f>SUM(_xlfn.ANCHORARRAY('Residual Value'!E42))</f>
        <v>28475535.597155269</v>
      </c>
      <c r="G332" s="542">
        <f>'Residual Value'!D42</f>
        <v>4582578.4027261008</v>
      </c>
    </row>
    <row r="333" spans="1:9" ht="18.75" thickBot="1" x14ac:dyDescent="0.25">
      <c r="C333" s="514" t="s">
        <v>234</v>
      </c>
      <c r="D333" s="515">
        <f>SUM(D331:D332)</f>
        <v>29086733.278587978</v>
      </c>
      <c r="E333" s="515">
        <f>SUM(E331:E332)</f>
        <v>7569076.9562760126</v>
      </c>
      <c r="F333" s="515">
        <f>SUM(F331:F332)</f>
        <v>34048044.531293571</v>
      </c>
      <c r="G333" s="516">
        <f>SUM(G331:G332)</f>
        <v>8284398.2589119617</v>
      </c>
    </row>
    <row r="336" spans="1:9" ht="18.75" thickBot="1" x14ac:dyDescent="0.25">
      <c r="A336" s="548" t="s">
        <v>232</v>
      </c>
      <c r="C336" s="547" t="s">
        <v>49</v>
      </c>
    </row>
    <row r="337" spans="1:8" ht="24" x14ac:dyDescent="0.2">
      <c r="B337" s="1" t="s">
        <v>87</v>
      </c>
      <c r="C337" s="478" t="s">
        <v>109</v>
      </c>
      <c r="D337" s="688" t="s">
        <v>107</v>
      </c>
      <c r="E337" s="553" t="s">
        <v>534</v>
      </c>
      <c r="F337" s="553" t="s">
        <v>535</v>
      </c>
      <c r="G337" s="553" t="s">
        <v>532</v>
      </c>
      <c r="H337" s="689" t="s">
        <v>533</v>
      </c>
    </row>
    <row r="338" spans="1:8" ht="35.25" customHeight="1" x14ac:dyDescent="0.2">
      <c r="C338" s="1058" t="str">
        <f t="shared" ref="C338:D341" si="7">C29</f>
        <v>Economic Competitiveness</v>
      </c>
      <c r="D338" s="1059" t="str">
        <f t="shared" si="7"/>
        <v>Travel Time Savings</v>
      </c>
      <c r="E338" s="169" cm="1">
        <f t="array" ref="E338:H338">D163:G163</f>
        <v>584929779.40857196</v>
      </c>
      <c r="F338" s="169">
        <v>181458605.45613492</v>
      </c>
      <c r="G338" s="169">
        <v>714347622.59334195</v>
      </c>
      <c r="H338" s="690">
        <v>214481432.36424521</v>
      </c>
    </row>
    <row r="339" spans="1:8" ht="35.25" customHeight="1" x14ac:dyDescent="0.2">
      <c r="C339" s="1058" t="str">
        <f t="shared" si="7"/>
        <v>Safety</v>
      </c>
      <c r="D339" s="1059" t="str">
        <f t="shared" si="7"/>
        <v>Safety Benefits</v>
      </c>
      <c r="E339" s="169" cm="1">
        <f t="array" ref="E339:H339">D230:G230</f>
        <v>34769213.780154474</v>
      </c>
      <c r="F339" s="169">
        <v>8685961.083342554</v>
      </c>
      <c r="G339" s="169">
        <v>197081770.47922838</v>
      </c>
      <c r="H339" s="690">
        <v>48366154.025280394</v>
      </c>
    </row>
    <row r="340" spans="1:8" ht="35.25" customHeight="1" x14ac:dyDescent="0.2">
      <c r="C340" s="1058" t="str">
        <f t="shared" si="7"/>
        <v>Environmental Sustainability</v>
      </c>
      <c r="D340" s="1059" t="str">
        <f t="shared" si="7"/>
        <v>Emissinon Reduction Benefits</v>
      </c>
      <c r="E340" s="169" cm="1">
        <f t="array" ref="E340:H340">D277:G277</f>
        <v>127706967.45461822</v>
      </c>
      <c r="F340" s="169">
        <v>70820482.555292711</v>
      </c>
      <c r="G340" s="169">
        <v>155836439.08436865</v>
      </c>
      <c r="H340" s="690">
        <v>84242591.994328514</v>
      </c>
    </row>
    <row r="341" spans="1:8" ht="35.25" customHeight="1" x14ac:dyDescent="0.2">
      <c r="C341" s="1275" t="str">
        <f t="shared" si="7"/>
        <v>State of Good Repair</v>
      </c>
      <c r="D341" s="1059" t="str">
        <f t="shared" si="7"/>
        <v>Operating Cost Savings</v>
      </c>
      <c r="E341" s="169" cm="1">
        <f t="array" ref="E341:H341">D331:G331</f>
        <v>6921925.820039846</v>
      </c>
      <c r="F341" s="169">
        <v>4002086.3508289917</v>
      </c>
      <c r="G341" s="169">
        <v>5572508.9341382999</v>
      </c>
      <c r="H341" s="690">
        <v>3701819.8561858609</v>
      </c>
    </row>
    <row r="342" spans="1:8" ht="35.25" customHeight="1" x14ac:dyDescent="0.2">
      <c r="C342" s="1276"/>
      <c r="D342" s="1059" t="str">
        <f>D33</f>
        <v>Residual Value of Assets</v>
      </c>
      <c r="E342" s="169" cm="1">
        <f t="array" ref="E342:H342">D332:G332</f>
        <v>22164807.458548132</v>
      </c>
      <c r="F342" s="169">
        <v>3566990.6054470208</v>
      </c>
      <c r="G342" s="169">
        <v>28475535.597155269</v>
      </c>
      <c r="H342" s="690">
        <v>4582578.4027261008</v>
      </c>
    </row>
    <row r="343" spans="1:8" ht="35.25" customHeight="1" x14ac:dyDescent="0.2">
      <c r="C343" s="1058" t="str">
        <f>C34</f>
        <v>Pedestrian and Bike Elements</v>
      </c>
      <c r="D343" s="1059" t="str">
        <f>D34</f>
        <v>Facility and Vechicle Amenity Benefits / Heath Benefits</v>
      </c>
      <c r="E343" s="169" t="s">
        <v>326</v>
      </c>
      <c r="F343" s="169" t="s">
        <v>326</v>
      </c>
      <c r="G343" s="169" t="s">
        <v>326</v>
      </c>
      <c r="H343" s="690" t="s">
        <v>326</v>
      </c>
    </row>
    <row r="344" spans="1:8" ht="18.75" thickBot="1" x14ac:dyDescent="0.25">
      <c r="C344" s="691" t="s">
        <v>635</v>
      </c>
      <c r="D344" s="692"/>
      <c r="E344" s="693">
        <f>SUM(E338:E343)</f>
        <v>776492693.9219327</v>
      </c>
      <c r="F344" s="693">
        <f>SUM(F338:F343)</f>
        <v>268534126.05104619</v>
      </c>
      <c r="G344" s="693">
        <f>SUM(G338:G343)</f>
        <v>1101313876.6882327</v>
      </c>
      <c r="H344" s="694">
        <f>SUM(H338:H343)</f>
        <v>355374576.64276606</v>
      </c>
    </row>
    <row r="345" spans="1:8" x14ac:dyDescent="0.2">
      <c r="A345" s="170"/>
      <c r="C345" s="171"/>
      <c r="D345" s="172"/>
      <c r="E345" s="173"/>
      <c r="F345" s="173"/>
    </row>
    <row r="346" spans="1:8" ht="18.75" thickBot="1" x14ac:dyDescent="0.25">
      <c r="B346" s="1" t="s">
        <v>87</v>
      </c>
      <c r="C346" s="547" t="s">
        <v>561</v>
      </c>
      <c r="D346" s="140"/>
      <c r="E346" s="140"/>
      <c r="F346" s="140"/>
    </row>
    <row r="347" spans="1:8" ht="24" x14ac:dyDescent="0.2">
      <c r="C347" s="478" t="s">
        <v>121</v>
      </c>
      <c r="D347" s="1125" t="s">
        <v>534</v>
      </c>
      <c r="E347" s="553" t="s">
        <v>535</v>
      </c>
      <c r="F347" s="553" t="s">
        <v>532</v>
      </c>
      <c r="G347" s="689" t="s">
        <v>533</v>
      </c>
    </row>
    <row r="348" spans="1:8" x14ac:dyDescent="0.2">
      <c r="C348" s="695" t="s">
        <v>52</v>
      </c>
      <c r="D348" s="1126">
        <f>'Results Summary'!J61</f>
        <v>776492693.92193282</v>
      </c>
      <c r="E348" s="1123">
        <f>'Results Summary'!D61</f>
        <v>268534126.05104619</v>
      </c>
      <c r="F348" s="1123">
        <f>'Results Summary'!K61</f>
        <v>1101313876.6882324</v>
      </c>
      <c r="G348" s="1124">
        <f>'Results Summary'!E61</f>
        <v>355374576.642766</v>
      </c>
    </row>
    <row r="349" spans="1:8" x14ac:dyDescent="0.2">
      <c r="C349" s="695" t="s">
        <v>89</v>
      </c>
      <c r="D349" s="1126">
        <f>'Results Summary'!J62</f>
        <v>78483162.031052768</v>
      </c>
      <c r="E349" s="1123">
        <f>'Results Summary'!D62</f>
        <v>57261617.58780916</v>
      </c>
      <c r="F349" s="1123">
        <f>'Results Summary'!K62</f>
        <v>101201783.33003847</v>
      </c>
      <c r="G349" s="1124">
        <f>'Results Summary'!E62</f>
        <v>74339783.060167819</v>
      </c>
    </row>
    <row r="350" spans="1:8" x14ac:dyDescent="0.2">
      <c r="C350" s="695" t="s">
        <v>702</v>
      </c>
      <c r="D350" s="1126">
        <f>'Results Summary'!J63</f>
        <v>698009531.89088011</v>
      </c>
      <c r="E350" s="1123">
        <f>'Results Summary'!D63</f>
        <v>211272508.46323705</v>
      </c>
      <c r="F350" s="1123">
        <f>'Results Summary'!K63</f>
        <v>1000112093.358194</v>
      </c>
      <c r="G350" s="1124">
        <f>'Results Summary'!E63</f>
        <v>281034793.58259821</v>
      </c>
    </row>
    <row r="351" spans="1:8" x14ac:dyDescent="0.2">
      <c r="C351" s="695" t="s">
        <v>123</v>
      </c>
      <c r="D351" s="1127">
        <f>'Results Summary'!J64</f>
        <v>9.8937488478701265</v>
      </c>
      <c r="E351" s="1121">
        <f>'Results Summary'!D64</f>
        <v>4.6896007720923407</v>
      </c>
      <c r="F351" s="1121">
        <f>'Results Summary'!K64</f>
        <v>10.882356421493444</v>
      </c>
      <c r="G351" s="1122">
        <f>'Results Summary'!E64</f>
        <v>4.7804091162754565</v>
      </c>
    </row>
    <row r="352" spans="1:8" x14ac:dyDescent="0.2">
      <c r="C352" s="695" t="s">
        <v>60</v>
      </c>
      <c r="D352" s="1127">
        <f>'Results Summary'!J65</f>
        <v>12.622520220797792</v>
      </c>
      <c r="E352" s="1121">
        <f>'Results Summary'!D65</f>
        <v>13.501963577151344</v>
      </c>
      <c r="F352" s="1121">
        <f>'Results Summary'!K65</f>
        <v>11.998970859651246</v>
      </c>
      <c r="G352" s="1122">
        <f>'Results Summary'!E65</f>
        <v>12.80111937646252</v>
      </c>
    </row>
    <row r="353" spans="1:7" x14ac:dyDescent="0.2">
      <c r="C353" s="695" t="s">
        <v>122</v>
      </c>
      <c r="D353" s="1127">
        <f>'Results Summary'!J66</f>
        <v>8.8937488478701283</v>
      </c>
      <c r="E353" s="1121">
        <f>'Results Summary'!D66</f>
        <v>3.6896007720923407</v>
      </c>
      <c r="F353" s="1121">
        <f>'Results Summary'!K66</f>
        <v>9.8823564214934443</v>
      </c>
      <c r="G353" s="1122">
        <f>'Results Summary'!E66</f>
        <v>3.7804091162754569</v>
      </c>
    </row>
    <row r="354" spans="1:7" ht="18.75" thickBot="1" x14ac:dyDescent="0.25">
      <c r="C354" s="696" t="s">
        <v>124</v>
      </c>
      <c r="D354" s="1272">
        <f>'Results Summary'!J67</f>
        <v>0.24123333933523439</v>
      </c>
      <c r="E354" s="1273"/>
      <c r="F354" s="1273">
        <f>'Results Summary'!K67</f>
        <v>0.22058881416417742</v>
      </c>
      <c r="G354" s="1274"/>
    </row>
    <row r="356" spans="1:7" ht="18.75" thickBot="1" x14ac:dyDescent="0.25">
      <c r="A356" s="548" t="s">
        <v>732</v>
      </c>
      <c r="C356" s="547" t="s">
        <v>701</v>
      </c>
      <c r="D356" s="140"/>
      <c r="E356" s="140"/>
      <c r="F356" s="140"/>
    </row>
    <row r="357" spans="1:7" ht="24" customHeight="1" x14ac:dyDescent="0.2">
      <c r="C357" s="499" t="s">
        <v>698</v>
      </c>
      <c r="D357" s="982" t="s">
        <v>695</v>
      </c>
      <c r="E357" s="982" t="s">
        <v>133</v>
      </c>
      <c r="F357" s="982" t="s">
        <v>696</v>
      </c>
      <c r="G357" s="1211" t="s">
        <v>697</v>
      </c>
    </row>
    <row r="358" spans="1:7" x14ac:dyDescent="0.2">
      <c r="C358" s="1247" t="s">
        <v>699</v>
      </c>
      <c r="D358" s="1248" t="s">
        <v>700</v>
      </c>
      <c r="E358" s="1249">
        <f>E350</f>
        <v>211272508.46323705</v>
      </c>
      <c r="F358" s="1250" t="s">
        <v>114</v>
      </c>
      <c r="G358" s="1251">
        <f>E351</f>
        <v>4.6896007720923407</v>
      </c>
    </row>
    <row r="359" spans="1:7" ht="24" x14ac:dyDescent="0.2">
      <c r="C359" s="1215" t="s">
        <v>72</v>
      </c>
      <c r="D359" s="1241" t="s">
        <v>703</v>
      </c>
      <c r="E359" s="1240">
        <v>383708636</v>
      </c>
      <c r="F359" s="1242">
        <f t="shared" ref="F359:F367" si="8">(E359-$E$358)/$E$358</f>
        <v>0.81617872950454462</v>
      </c>
      <c r="G359" s="1212">
        <v>6.62</v>
      </c>
    </row>
    <row r="360" spans="1:7" ht="24" x14ac:dyDescent="0.2">
      <c r="C360" s="1269" t="s">
        <v>729</v>
      </c>
      <c r="D360" s="1243" t="s">
        <v>704</v>
      </c>
      <c r="E360" s="1240">
        <v>199820185</v>
      </c>
      <c r="F360" s="1242">
        <f t="shared" si="8"/>
        <v>-5.4206406439434286E-2</v>
      </c>
      <c r="G360" s="1212">
        <v>3.91</v>
      </c>
    </row>
    <row r="361" spans="1:7" ht="24" x14ac:dyDescent="0.2">
      <c r="C361" s="1269"/>
      <c r="D361" s="1243" t="s">
        <v>705</v>
      </c>
      <c r="E361" s="1240">
        <v>222724832</v>
      </c>
      <c r="F361" s="1242">
        <f t="shared" si="8"/>
        <v>5.4206406787448827E-2</v>
      </c>
      <c r="G361" s="1212">
        <v>5.86</v>
      </c>
    </row>
    <row r="362" spans="1:7" ht="24" customHeight="1" x14ac:dyDescent="0.2">
      <c r="C362" s="1269" t="s">
        <v>710</v>
      </c>
      <c r="D362" s="1210" t="s">
        <v>707</v>
      </c>
      <c r="E362" s="1240">
        <v>385948395</v>
      </c>
      <c r="F362" s="1242">
        <f t="shared" si="8"/>
        <v>0.82678000941687979</v>
      </c>
      <c r="G362" s="1212">
        <v>7.74</v>
      </c>
    </row>
    <row r="363" spans="1:7" ht="24" x14ac:dyDescent="0.2">
      <c r="C363" s="1269"/>
      <c r="D363" s="1243" t="s">
        <v>706</v>
      </c>
      <c r="E363" s="1240">
        <v>145686418</v>
      </c>
      <c r="F363" s="1242">
        <f t="shared" si="8"/>
        <v>-0.31043362404460445</v>
      </c>
      <c r="G363" s="1212">
        <v>3.54</v>
      </c>
    </row>
    <row r="364" spans="1:7" ht="51" x14ac:dyDescent="0.2">
      <c r="C364" s="1267" t="s">
        <v>711</v>
      </c>
      <c r="D364" s="1210" t="s">
        <v>730</v>
      </c>
      <c r="E364" s="1240">
        <v>234285591</v>
      </c>
      <c r="F364" s="1242">
        <f t="shared" si="8"/>
        <v>0.10892606285671756</v>
      </c>
      <c r="G364" s="1245">
        <v>5.09</v>
      </c>
    </row>
    <row r="365" spans="1:7" ht="51" x14ac:dyDescent="0.2">
      <c r="C365" s="1267"/>
      <c r="D365" s="1210" t="s">
        <v>731</v>
      </c>
      <c r="E365" s="1240">
        <v>195739549</v>
      </c>
      <c r="F365" s="1242">
        <f t="shared" si="8"/>
        <v>-7.3520968611682364E-2</v>
      </c>
      <c r="G365" s="1245">
        <v>4.42</v>
      </c>
    </row>
    <row r="366" spans="1:7" ht="25.5" x14ac:dyDescent="0.2">
      <c r="C366" s="1267" t="s">
        <v>712</v>
      </c>
      <c r="D366" s="1210" t="s">
        <v>708</v>
      </c>
      <c r="E366" s="1240">
        <v>402216953</v>
      </c>
      <c r="F366" s="1242">
        <f t="shared" si="8"/>
        <v>0.90378273030250256</v>
      </c>
      <c r="G366" s="1245">
        <v>8.02</v>
      </c>
    </row>
    <row r="367" spans="1:7" ht="26.25" thickBot="1" x14ac:dyDescent="0.25">
      <c r="C367" s="1268"/>
      <c r="D367" s="1213" t="s">
        <v>709</v>
      </c>
      <c r="E367" s="1244">
        <v>148931942</v>
      </c>
      <c r="F367" s="1214">
        <f t="shared" si="8"/>
        <v>-0.29507183360813249</v>
      </c>
      <c r="G367" s="1246">
        <v>3.6</v>
      </c>
    </row>
    <row r="369" spans="3:7" ht="18.75" thickBot="1" x14ac:dyDescent="0.25">
      <c r="C369" s="547" t="s">
        <v>713</v>
      </c>
      <c r="D369" s="140"/>
      <c r="E369" s="140"/>
      <c r="F369" s="140"/>
    </row>
    <row r="370" spans="3:7" ht="24" customHeight="1" x14ac:dyDescent="0.2">
      <c r="C370" s="499" t="s">
        <v>698</v>
      </c>
      <c r="D370" s="982" t="s">
        <v>695</v>
      </c>
      <c r="E370" s="982" t="s">
        <v>133</v>
      </c>
      <c r="F370" s="982" t="s">
        <v>696</v>
      </c>
      <c r="G370" s="1211" t="s">
        <v>697</v>
      </c>
    </row>
    <row r="371" spans="3:7" x14ac:dyDescent="0.2">
      <c r="C371" s="1247" t="s">
        <v>699</v>
      </c>
      <c r="D371" s="1248" t="s">
        <v>700</v>
      </c>
      <c r="E371" s="1249">
        <f>G350</f>
        <v>281034793.58259821</v>
      </c>
      <c r="F371" s="1250" t="s">
        <v>114</v>
      </c>
      <c r="G371" s="1251">
        <f>G351</f>
        <v>4.7804091162754565</v>
      </c>
    </row>
    <row r="372" spans="3:7" ht="24" x14ac:dyDescent="0.2">
      <c r="C372" s="1215" t="s">
        <v>72</v>
      </c>
      <c r="D372" s="1241" t="s">
        <v>703</v>
      </c>
      <c r="E372" s="1240">
        <v>537072334</v>
      </c>
      <c r="F372" s="1242">
        <f t="shared" ref="F372:F380" si="9">(E372-$E$371)/$E$371</f>
        <v>0.91105281717422104</v>
      </c>
      <c r="G372" s="1212">
        <v>7.08</v>
      </c>
    </row>
    <row r="373" spans="3:7" ht="24" x14ac:dyDescent="0.2">
      <c r="C373" s="1269" t="s">
        <v>729</v>
      </c>
      <c r="D373" s="1243" t="s">
        <v>704</v>
      </c>
      <c r="E373" s="1240">
        <v>266166837</v>
      </c>
      <c r="F373" s="1242">
        <f t="shared" si="9"/>
        <v>-5.2904326873776955E-2</v>
      </c>
      <c r="G373" s="1212">
        <v>3.98</v>
      </c>
    </row>
    <row r="374" spans="3:7" ht="24" x14ac:dyDescent="0.2">
      <c r="C374" s="1269"/>
      <c r="D374" s="1243" t="s">
        <v>705</v>
      </c>
      <c r="E374" s="1240">
        <v>295902750</v>
      </c>
      <c r="F374" s="1242">
        <f t="shared" si="9"/>
        <v>5.2904326285962124E-2</v>
      </c>
      <c r="G374" s="1212">
        <v>5.98</v>
      </c>
    </row>
    <row r="375" spans="3:7" ht="24" customHeight="1" x14ac:dyDescent="0.2">
      <c r="C375" s="1269" t="s">
        <v>710</v>
      </c>
      <c r="D375" s="1210" t="s">
        <v>707</v>
      </c>
      <c r="E375" s="1240">
        <v>527684172</v>
      </c>
      <c r="F375" s="1242">
        <f t="shared" si="9"/>
        <v>0.8776471243049474</v>
      </c>
      <c r="G375" s="1212">
        <v>8.1</v>
      </c>
    </row>
    <row r="376" spans="3:7" ht="24" x14ac:dyDescent="0.2">
      <c r="C376" s="1269"/>
      <c r="D376" s="1243" t="s">
        <v>706</v>
      </c>
      <c r="E376" s="1240">
        <v>156280373</v>
      </c>
      <c r="F376" s="1242">
        <f t="shared" si="9"/>
        <v>-0.44391094423663224</v>
      </c>
      <c r="G376" s="1212">
        <v>3.1</v>
      </c>
    </row>
    <row r="377" spans="3:7" ht="51" x14ac:dyDescent="0.2">
      <c r="C377" s="1267" t="s">
        <v>711</v>
      </c>
      <c r="D377" s="1210" t="s">
        <v>730</v>
      </c>
      <c r="E377" s="1240">
        <v>310336942</v>
      </c>
      <c r="F377" s="1242">
        <f t="shared" si="9"/>
        <v>0.1042651980698243</v>
      </c>
      <c r="G377" s="1245">
        <v>5.17</v>
      </c>
    </row>
    <row r="378" spans="3:7" ht="51" x14ac:dyDescent="0.2">
      <c r="C378" s="1267"/>
      <c r="D378" s="1210" t="s">
        <v>731</v>
      </c>
      <c r="E378" s="1240">
        <v>254328046</v>
      </c>
      <c r="F378" s="1242">
        <f t="shared" si="9"/>
        <v>-9.5030039669265709E-2</v>
      </c>
      <c r="G378" s="1245">
        <v>4.42</v>
      </c>
    </row>
    <row r="379" spans="3:7" ht="25.5" x14ac:dyDescent="0.2">
      <c r="C379" s="1267" t="s">
        <v>712</v>
      </c>
      <c r="D379" s="1210" t="s">
        <v>708</v>
      </c>
      <c r="E379" s="1240">
        <v>452521567</v>
      </c>
      <c r="F379" s="1242">
        <f t="shared" si="9"/>
        <v>0.6101976599812029</v>
      </c>
      <c r="G379" s="1245">
        <v>7.09</v>
      </c>
    </row>
    <row r="380" spans="3:7" ht="26.25" thickBot="1" x14ac:dyDescent="0.25">
      <c r="C380" s="1268"/>
      <c r="D380" s="1213" t="s">
        <v>709</v>
      </c>
      <c r="E380" s="1244">
        <v>190159359</v>
      </c>
      <c r="F380" s="1214">
        <f t="shared" si="9"/>
        <v>-0.32336008443698</v>
      </c>
      <c r="G380" s="1246">
        <v>3.56</v>
      </c>
    </row>
  </sheetData>
  <mergeCells count="101">
    <mergeCell ref="C32:C33"/>
    <mergeCell ref="F137:F138"/>
    <mergeCell ref="C172:F172"/>
    <mergeCell ref="C37:C38"/>
    <mergeCell ref="D37:E37"/>
    <mergeCell ref="F37:G37"/>
    <mergeCell ref="C39:C41"/>
    <mergeCell ref="C42:C44"/>
    <mergeCell ref="C46:C49"/>
    <mergeCell ref="C50:C58"/>
    <mergeCell ref="C62:C67"/>
    <mergeCell ref="C70:C71"/>
    <mergeCell ref="F149:F157"/>
    <mergeCell ref="F141:F142"/>
    <mergeCell ref="D160:G160"/>
    <mergeCell ref="D70:E70"/>
    <mergeCell ref="F70:G70"/>
    <mergeCell ref="C72:C74"/>
    <mergeCell ref="C75:C77"/>
    <mergeCell ref="C79:C82"/>
    <mergeCell ref="C83:C91"/>
    <mergeCell ref="C95:C100"/>
    <mergeCell ref="C192:F192"/>
    <mergeCell ref="F193:F196"/>
    <mergeCell ref="C197:F197"/>
    <mergeCell ref="F103:G103"/>
    <mergeCell ref="C128:C133"/>
    <mergeCell ref="F198:F201"/>
    <mergeCell ref="C187:F187"/>
    <mergeCell ref="F173:F176"/>
    <mergeCell ref="C182:F182"/>
    <mergeCell ref="F183:F186"/>
    <mergeCell ref="C177:F177"/>
    <mergeCell ref="F178:F181"/>
    <mergeCell ref="F168:F170"/>
    <mergeCell ref="C103:C104"/>
    <mergeCell ref="D103:E103"/>
    <mergeCell ref="C105:C107"/>
    <mergeCell ref="C108:C110"/>
    <mergeCell ref="C112:C115"/>
    <mergeCell ref="C116:C124"/>
    <mergeCell ref="F188:F191"/>
    <mergeCell ref="H256:N256"/>
    <mergeCell ref="F257:G257"/>
    <mergeCell ref="F258:G258"/>
    <mergeCell ref="H258:N258"/>
    <mergeCell ref="H257:N257"/>
    <mergeCell ref="H298:I298"/>
    <mergeCell ref="J70:K70"/>
    <mergeCell ref="H37:I37"/>
    <mergeCell ref="J37:K37"/>
    <mergeCell ref="H70:I70"/>
    <mergeCell ref="J103:K103"/>
    <mergeCell ref="H259:N259"/>
    <mergeCell ref="H268:N268"/>
    <mergeCell ref="H267:N267"/>
    <mergeCell ref="H266:N266"/>
    <mergeCell ref="H265:N265"/>
    <mergeCell ref="H260:N260"/>
    <mergeCell ref="H261:N261"/>
    <mergeCell ref="H262:N262"/>
    <mergeCell ref="H263:N263"/>
    <mergeCell ref="H264:N264"/>
    <mergeCell ref="F203:F206"/>
    <mergeCell ref="H103:I103"/>
    <mergeCell ref="F298:G298"/>
    <mergeCell ref="F259:G259"/>
    <mergeCell ref="F260:G260"/>
    <mergeCell ref="F246:F253"/>
    <mergeCell ref="F208:F211"/>
    <mergeCell ref="D225:G225"/>
    <mergeCell ref="C202:F202"/>
    <mergeCell ref="D214:F214"/>
    <mergeCell ref="F256:G256"/>
    <mergeCell ref="D233:E233"/>
    <mergeCell ref="F242:F245"/>
    <mergeCell ref="C207:F207"/>
    <mergeCell ref="C366:C367"/>
    <mergeCell ref="C373:C374"/>
    <mergeCell ref="C375:C376"/>
    <mergeCell ref="C377:C378"/>
    <mergeCell ref="C379:C380"/>
    <mergeCell ref="C360:C361"/>
    <mergeCell ref="C362:C363"/>
    <mergeCell ref="C364:C365"/>
    <mergeCell ref="F261:G261"/>
    <mergeCell ref="F265:G265"/>
    <mergeCell ref="F266:G266"/>
    <mergeCell ref="F267:G267"/>
    <mergeCell ref="F268:G268"/>
    <mergeCell ref="F262:G262"/>
    <mergeCell ref="F263:G263"/>
    <mergeCell ref="F264:G264"/>
    <mergeCell ref="D354:E354"/>
    <mergeCell ref="F354:G354"/>
    <mergeCell ref="C341:C342"/>
    <mergeCell ref="C298:C299"/>
    <mergeCell ref="D298:E298"/>
    <mergeCell ref="D329:G329"/>
    <mergeCell ref="D271:G271"/>
    <mergeCell ref="D280:E280"/>
  </mergeCells>
  <hyperlinks>
    <hyperlink ref="D215" r:id="rId1" xr:uid="{8B1CB547-2250-4C7A-99C6-4A2CF75775F9}"/>
    <hyperlink ref="D217" r:id="rId2" xr:uid="{2E236CA8-12BD-4DAE-A475-E7E1E666D93F}"/>
    <hyperlink ref="D218" r:id="rId3" xr:uid="{9E192AF2-BC5A-4789-8EB7-560977C7414D}"/>
    <hyperlink ref="D216" r:id="rId4" xr:uid="{389517CD-477C-4A05-B3A9-011C58FE013C}"/>
    <hyperlink ref="D222" r:id="rId5" xr:uid="{2B3B7512-AF65-4214-9447-43C74EFF1C31}"/>
    <hyperlink ref="D219" r:id="rId6" xr:uid="{4AEA10FB-16C7-4A81-9CA3-91993AB175C5}"/>
    <hyperlink ref="D221" r:id="rId7" xr:uid="{380A23E0-3A47-4803-B146-E259A4F79947}"/>
  </hyperlinks>
  <pageMargins left="0.7" right="0.7" top="0.75" bottom="0.75" header="0.3" footer="0.3"/>
  <pageSetup orientation="portrait" horizontalDpi="90" verticalDpi="90"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01E5D-FCA2-4264-A1F2-382A6C6A5AC3}">
  <sheetPr codeName="Sheet1">
    <tabColor theme="1"/>
  </sheetPr>
  <dimension ref="B2:X36"/>
  <sheetViews>
    <sheetView zoomScale="80" zoomScaleNormal="80" workbookViewId="0">
      <selection activeCell="E21" sqref="E21"/>
    </sheetView>
  </sheetViews>
  <sheetFormatPr defaultRowHeight="21.95" customHeight="1" x14ac:dyDescent="0.2"/>
  <cols>
    <col min="1" max="1" width="3.375" customWidth="1"/>
    <col min="2" max="2" width="16.375" customWidth="1"/>
    <col min="3" max="3" width="40.875" customWidth="1"/>
    <col min="4" max="5" width="18.875" customWidth="1"/>
    <col min="6" max="6" width="13.75" customWidth="1"/>
    <col min="7" max="13" width="18.875" customWidth="1"/>
    <col min="14" max="14" width="13.75" customWidth="1"/>
  </cols>
  <sheetData>
    <row r="2" spans="2:24" ht="23.25" x14ac:dyDescent="0.2">
      <c r="B2" s="394" t="s">
        <v>0</v>
      </c>
    </row>
    <row r="4" spans="2:24" ht="21.95" customHeight="1" thickBot="1" x14ac:dyDescent="0.25">
      <c r="B4" s="194" t="s">
        <v>171</v>
      </c>
      <c r="D4" s="202"/>
    </row>
    <row r="5" spans="2:24" ht="21.95" customHeight="1" x14ac:dyDescent="0.2">
      <c r="B5" s="490" t="s">
        <v>14</v>
      </c>
      <c r="C5" s="942" t="s">
        <v>1</v>
      </c>
      <c r="D5" s="942" t="s">
        <v>2</v>
      </c>
      <c r="E5" s="1094" t="s">
        <v>3</v>
      </c>
      <c r="F5" s="1325" t="s">
        <v>4</v>
      </c>
      <c r="G5" s="1325"/>
      <c r="H5" s="1325"/>
      <c r="I5" s="1325"/>
      <c r="J5" s="1325"/>
      <c r="K5" s="1325"/>
      <c r="L5" s="1325"/>
      <c r="M5" s="1325"/>
      <c r="N5" s="1325"/>
      <c r="O5" s="1325"/>
      <c r="P5" s="1325"/>
      <c r="Q5" s="1325"/>
      <c r="R5" s="1325"/>
      <c r="S5" s="1325"/>
      <c r="T5" s="1325"/>
      <c r="U5" s="1325"/>
      <c r="V5" s="1325"/>
      <c r="W5" s="1325"/>
      <c r="X5" s="1326"/>
    </row>
    <row r="6" spans="2:24" ht="21.95" customHeight="1" x14ac:dyDescent="0.2">
      <c r="B6" s="1328" t="s">
        <v>7</v>
      </c>
      <c r="C6" s="116" t="s">
        <v>5</v>
      </c>
      <c r="D6" s="571" t="s">
        <v>6</v>
      </c>
      <c r="E6" s="571">
        <v>2021</v>
      </c>
      <c r="F6" s="1313"/>
      <c r="G6" s="1313"/>
      <c r="H6" s="1313"/>
      <c r="I6" s="1313"/>
      <c r="J6" s="1313"/>
      <c r="K6" s="1313"/>
      <c r="L6" s="1313"/>
      <c r="M6" s="1313"/>
      <c r="N6" s="1313"/>
      <c r="O6" s="1313"/>
      <c r="P6" s="1313"/>
      <c r="Q6" s="1313"/>
      <c r="R6" s="1313"/>
      <c r="S6" s="1313"/>
      <c r="T6" s="1313"/>
      <c r="U6" s="1313"/>
      <c r="V6" s="1313"/>
      <c r="W6" s="1313"/>
      <c r="X6" s="1314"/>
    </row>
    <row r="7" spans="2:24" ht="21.95" customHeight="1" x14ac:dyDescent="0.2">
      <c r="B7" s="1328"/>
      <c r="C7" s="116" t="s">
        <v>125</v>
      </c>
      <c r="D7" s="571" t="s">
        <v>6</v>
      </c>
      <c r="E7" s="571">
        <v>2025</v>
      </c>
      <c r="F7" s="1313"/>
      <c r="G7" s="1313"/>
      <c r="H7" s="1313"/>
      <c r="I7" s="1313"/>
      <c r="J7" s="1313"/>
      <c r="K7" s="1313"/>
      <c r="L7" s="1313"/>
      <c r="M7" s="1313"/>
      <c r="N7" s="1313"/>
      <c r="O7" s="1313"/>
      <c r="P7" s="1313"/>
      <c r="Q7" s="1313"/>
      <c r="R7" s="1313"/>
      <c r="S7" s="1313"/>
      <c r="T7" s="1313"/>
      <c r="U7" s="1313"/>
      <c r="V7" s="1313"/>
      <c r="W7" s="1313"/>
      <c r="X7" s="1314"/>
    </row>
    <row r="8" spans="2:24" ht="21.95" customHeight="1" x14ac:dyDescent="0.2">
      <c r="B8" s="1328"/>
      <c r="C8" s="116" t="s">
        <v>84</v>
      </c>
      <c r="D8" s="571" t="s">
        <v>6</v>
      </c>
      <c r="E8" s="571">
        <v>2028</v>
      </c>
      <c r="F8" s="1319" t="s">
        <v>166</v>
      </c>
      <c r="G8" s="1319"/>
      <c r="H8" s="1319"/>
      <c r="I8" s="1319"/>
      <c r="J8" s="1319"/>
      <c r="K8" s="1319"/>
      <c r="L8" s="1319"/>
      <c r="M8" s="1319"/>
      <c r="N8" s="1319"/>
      <c r="O8" s="1319"/>
      <c r="P8" s="1319"/>
      <c r="Q8" s="1319"/>
      <c r="R8" s="1319"/>
      <c r="S8" s="1319"/>
      <c r="T8" s="1319"/>
      <c r="U8" s="1319"/>
      <c r="V8" s="1319"/>
      <c r="W8" s="1319"/>
      <c r="X8" s="1320"/>
    </row>
    <row r="9" spans="2:24" ht="21.95" customHeight="1" x14ac:dyDescent="0.2">
      <c r="B9" s="1328"/>
      <c r="C9" s="116" t="s">
        <v>80</v>
      </c>
      <c r="D9" s="571" t="s">
        <v>79</v>
      </c>
      <c r="E9" s="571">
        <f>E8-E7+1</f>
        <v>4</v>
      </c>
      <c r="F9" s="1319"/>
      <c r="G9" s="1319"/>
      <c r="H9" s="1319"/>
      <c r="I9" s="1319"/>
      <c r="J9" s="1319"/>
      <c r="K9" s="1319"/>
      <c r="L9" s="1319"/>
      <c r="M9" s="1319"/>
      <c r="N9" s="1319"/>
      <c r="O9" s="1319"/>
      <c r="P9" s="1319"/>
      <c r="Q9" s="1319"/>
      <c r="R9" s="1319"/>
      <c r="S9" s="1319"/>
      <c r="T9" s="1319"/>
      <c r="U9" s="1319"/>
      <c r="V9" s="1319"/>
      <c r="W9" s="1319"/>
      <c r="X9" s="1320"/>
    </row>
    <row r="10" spans="2:24" ht="21.95" customHeight="1" x14ac:dyDescent="0.2">
      <c r="B10" s="1328"/>
      <c r="C10" s="116" t="s">
        <v>83</v>
      </c>
      <c r="D10" s="571" t="s">
        <v>79</v>
      </c>
      <c r="E10" s="571">
        <v>20</v>
      </c>
      <c r="F10" s="1313" t="s">
        <v>63</v>
      </c>
      <c r="G10" s="1313"/>
      <c r="H10" s="1313"/>
      <c r="I10" s="1313"/>
      <c r="J10" s="1313"/>
      <c r="K10" s="1313"/>
      <c r="L10" s="1313"/>
      <c r="M10" s="1313"/>
      <c r="N10" s="1313"/>
      <c r="O10" s="1313"/>
      <c r="P10" s="1313"/>
      <c r="Q10" s="1313"/>
      <c r="R10" s="1313"/>
      <c r="S10" s="1313"/>
      <c r="T10" s="1313"/>
      <c r="U10" s="1313"/>
      <c r="V10" s="1313"/>
      <c r="W10" s="1313"/>
      <c r="X10" s="1314"/>
    </row>
    <row r="11" spans="2:24" ht="21.95" customHeight="1" x14ac:dyDescent="0.2">
      <c r="B11" s="1328"/>
      <c r="C11" s="124" t="s">
        <v>82</v>
      </c>
      <c r="D11" s="943" t="s">
        <v>79</v>
      </c>
      <c r="E11" s="943">
        <f>yearsOfBenefits + constructionDuration + startYear - baseYear</f>
        <v>28</v>
      </c>
      <c r="F11" s="1313" t="s">
        <v>188</v>
      </c>
      <c r="G11" s="1313"/>
      <c r="H11" s="1313"/>
      <c r="I11" s="1313"/>
      <c r="J11" s="1313"/>
      <c r="K11" s="1313"/>
      <c r="L11" s="1313"/>
      <c r="M11" s="1313"/>
      <c r="N11" s="1313"/>
      <c r="O11" s="1313"/>
      <c r="P11" s="1313"/>
      <c r="Q11" s="1313"/>
      <c r="R11" s="1313"/>
      <c r="S11" s="1313"/>
      <c r="T11" s="1313"/>
      <c r="U11" s="1313"/>
      <c r="V11" s="1313"/>
      <c r="W11" s="1313"/>
      <c r="X11" s="1314"/>
    </row>
    <row r="12" spans="2:24" ht="21.95" customHeight="1" x14ac:dyDescent="0.2">
      <c r="B12" s="1327" t="s">
        <v>75</v>
      </c>
      <c r="C12" s="116" t="s">
        <v>28</v>
      </c>
      <c r="D12" s="571" t="s">
        <v>12</v>
      </c>
      <c r="E12" s="1095">
        <v>7.0000000000000007E-2</v>
      </c>
      <c r="F12" s="1317" t="s">
        <v>327</v>
      </c>
      <c r="G12" s="1317"/>
      <c r="H12" s="1317"/>
      <c r="I12" s="1317"/>
      <c r="J12" s="1317"/>
      <c r="K12" s="1317"/>
      <c r="L12" s="1317"/>
      <c r="M12" s="1317"/>
      <c r="N12" s="1317"/>
      <c r="O12" s="1317"/>
      <c r="P12" s="1317"/>
      <c r="Q12" s="1317"/>
      <c r="R12" s="1317"/>
      <c r="S12" s="1317"/>
      <c r="T12" s="1317"/>
      <c r="U12" s="1317"/>
      <c r="V12" s="1317"/>
      <c r="W12" s="1317"/>
      <c r="X12" s="1318"/>
    </row>
    <row r="13" spans="2:24" ht="21.95" customHeight="1" x14ac:dyDescent="0.2">
      <c r="B13" s="1327"/>
      <c r="C13" s="124" t="s">
        <v>50</v>
      </c>
      <c r="D13" s="943" t="s">
        <v>12</v>
      </c>
      <c r="E13" s="1096">
        <v>0.03</v>
      </c>
      <c r="F13" s="1315"/>
      <c r="G13" s="1315"/>
      <c r="H13" s="1315"/>
      <c r="I13" s="1315"/>
      <c r="J13" s="1315"/>
      <c r="K13" s="1315"/>
      <c r="L13" s="1315"/>
      <c r="M13" s="1315"/>
      <c r="N13" s="1315"/>
      <c r="O13" s="1315"/>
      <c r="P13" s="1315"/>
      <c r="Q13" s="1315"/>
      <c r="R13" s="1315"/>
      <c r="S13" s="1315"/>
      <c r="T13" s="1315"/>
      <c r="U13" s="1315"/>
      <c r="V13" s="1315"/>
      <c r="W13" s="1315"/>
      <c r="X13" s="1316"/>
    </row>
    <row r="14" spans="2:24" ht="21.95" customHeight="1" x14ac:dyDescent="0.2">
      <c r="B14" s="1327" t="s">
        <v>21</v>
      </c>
      <c r="C14" s="116" t="s">
        <v>66</v>
      </c>
      <c r="D14" s="571" t="s">
        <v>22</v>
      </c>
      <c r="E14" s="571">
        <v>365</v>
      </c>
      <c r="F14" s="1313" t="s">
        <v>62</v>
      </c>
      <c r="G14" s="1313"/>
      <c r="H14" s="1313"/>
      <c r="I14" s="1313"/>
      <c r="J14" s="1313"/>
      <c r="K14" s="1313"/>
      <c r="L14" s="1313"/>
      <c r="M14" s="1313"/>
      <c r="N14" s="1313"/>
      <c r="O14" s="1313"/>
      <c r="P14" s="1313"/>
      <c r="Q14" s="1313"/>
      <c r="R14" s="1313"/>
      <c r="S14" s="1313"/>
      <c r="T14" s="1313"/>
      <c r="U14" s="1313"/>
      <c r="V14" s="1313"/>
      <c r="W14" s="1313"/>
      <c r="X14" s="1314"/>
    </row>
    <row r="15" spans="2:24" ht="21.95" customHeight="1" x14ac:dyDescent="0.2">
      <c r="B15" s="1327"/>
      <c r="C15" s="116" t="s">
        <v>44</v>
      </c>
      <c r="D15" s="571" t="s">
        <v>45</v>
      </c>
      <c r="E15" s="1097">
        <v>1000000</v>
      </c>
      <c r="F15" s="1313" t="s">
        <v>62</v>
      </c>
      <c r="G15" s="1313"/>
      <c r="H15" s="1313"/>
      <c r="I15" s="1313"/>
      <c r="J15" s="1313"/>
      <c r="K15" s="1313"/>
      <c r="L15" s="1313"/>
      <c r="M15" s="1313"/>
      <c r="N15" s="1313"/>
      <c r="O15" s="1313"/>
      <c r="P15" s="1313"/>
      <c r="Q15" s="1313"/>
      <c r="R15" s="1313"/>
      <c r="S15" s="1313"/>
      <c r="T15" s="1313"/>
      <c r="U15" s="1313"/>
      <c r="V15" s="1313"/>
      <c r="W15" s="1313"/>
      <c r="X15" s="1314"/>
    </row>
    <row r="16" spans="2:24" ht="21.95" customHeight="1" x14ac:dyDescent="0.2">
      <c r="B16" s="1327"/>
      <c r="C16" s="116" t="s">
        <v>77</v>
      </c>
      <c r="D16" s="571" t="s">
        <v>78</v>
      </c>
      <c r="E16" s="1097">
        <v>5280</v>
      </c>
      <c r="F16" s="1313" t="s">
        <v>62</v>
      </c>
      <c r="G16" s="1313"/>
      <c r="H16" s="1313"/>
      <c r="I16" s="1313"/>
      <c r="J16" s="1313"/>
      <c r="K16" s="1313"/>
      <c r="L16" s="1313"/>
      <c r="M16" s="1313"/>
      <c r="N16" s="1313"/>
      <c r="O16" s="1313"/>
      <c r="P16" s="1313"/>
      <c r="Q16" s="1313"/>
      <c r="R16" s="1313"/>
      <c r="S16" s="1313"/>
      <c r="T16" s="1313"/>
      <c r="U16" s="1313"/>
      <c r="V16" s="1313"/>
      <c r="W16" s="1313"/>
      <c r="X16" s="1314"/>
    </row>
    <row r="17" spans="2:24" ht="21.95" customHeight="1" x14ac:dyDescent="0.2">
      <c r="B17" s="1327"/>
      <c r="C17" s="124" t="s">
        <v>313</v>
      </c>
      <c r="D17" s="943" t="s">
        <v>312</v>
      </c>
      <c r="E17" s="1098">
        <f>'Price Deflators'!$E$16</f>
        <v>0.89662251554920236</v>
      </c>
      <c r="F17" s="1319" t="s">
        <v>190</v>
      </c>
      <c r="G17" s="1319"/>
      <c r="H17" s="1319"/>
      <c r="I17" s="1319"/>
      <c r="J17" s="1319"/>
      <c r="K17" s="1319"/>
      <c r="L17" s="1319"/>
      <c r="M17" s="1319"/>
      <c r="N17" s="1319"/>
      <c r="O17" s="1319"/>
      <c r="P17" s="1319"/>
      <c r="Q17" s="1319"/>
      <c r="R17" s="1319"/>
      <c r="S17" s="1319"/>
      <c r="T17" s="1319"/>
      <c r="U17" s="1319"/>
      <c r="V17" s="1319"/>
      <c r="W17" s="1319"/>
      <c r="X17" s="1320"/>
    </row>
    <row r="18" spans="2:24" ht="21.95" customHeight="1" x14ac:dyDescent="0.2">
      <c r="B18" s="1327" t="s">
        <v>64</v>
      </c>
      <c r="C18" s="116" t="s">
        <v>243</v>
      </c>
      <c r="D18" s="571" t="s">
        <v>129</v>
      </c>
      <c r="E18" s="1099">
        <v>2</v>
      </c>
      <c r="F18" s="1317" t="s">
        <v>108</v>
      </c>
      <c r="G18" s="1317"/>
      <c r="H18" s="1317"/>
      <c r="I18" s="1317"/>
      <c r="J18" s="1317"/>
      <c r="K18" s="1317"/>
      <c r="L18" s="1317"/>
      <c r="M18" s="1317"/>
      <c r="N18" s="1317"/>
      <c r="O18" s="1317"/>
      <c r="P18" s="1317"/>
      <c r="Q18" s="1317"/>
      <c r="R18" s="1317"/>
      <c r="S18" s="1317"/>
      <c r="T18" s="1317"/>
      <c r="U18" s="1317"/>
      <c r="V18" s="1317"/>
      <c r="W18" s="1317"/>
      <c r="X18" s="1318"/>
    </row>
    <row r="19" spans="2:24" ht="21.95" customHeight="1" x14ac:dyDescent="0.2">
      <c r="B19" s="1327"/>
      <c r="C19" s="116" t="s">
        <v>244</v>
      </c>
      <c r="D19" s="571" t="s">
        <v>129</v>
      </c>
      <c r="E19" s="1099">
        <v>2</v>
      </c>
      <c r="F19" s="1313" t="s">
        <v>108</v>
      </c>
      <c r="G19" s="1313"/>
      <c r="H19" s="1313"/>
      <c r="I19" s="1313"/>
      <c r="J19" s="1313"/>
      <c r="K19" s="1313"/>
      <c r="L19" s="1313"/>
      <c r="M19" s="1313"/>
      <c r="N19" s="1313"/>
      <c r="O19" s="1313"/>
      <c r="P19" s="1313"/>
      <c r="Q19" s="1313"/>
      <c r="R19" s="1313"/>
      <c r="S19" s="1313"/>
      <c r="T19" s="1313"/>
      <c r="U19" s="1313"/>
      <c r="V19" s="1313"/>
      <c r="W19" s="1313"/>
      <c r="X19" s="1314"/>
    </row>
    <row r="20" spans="2:24" ht="21.95" customHeight="1" x14ac:dyDescent="0.2">
      <c r="B20" s="1327"/>
      <c r="C20" s="124" t="s">
        <v>245</v>
      </c>
      <c r="D20" s="943" t="s">
        <v>129</v>
      </c>
      <c r="E20" s="1100">
        <f>18 - (peakHoursAM + peakHoursPM)</f>
        <v>14</v>
      </c>
      <c r="F20" s="1315" t="s">
        <v>246</v>
      </c>
      <c r="G20" s="1315"/>
      <c r="H20" s="1315"/>
      <c r="I20" s="1315"/>
      <c r="J20" s="1315"/>
      <c r="K20" s="1315"/>
      <c r="L20" s="1315"/>
      <c r="M20" s="1315"/>
      <c r="N20" s="1315"/>
      <c r="O20" s="1315"/>
      <c r="P20" s="1315"/>
      <c r="Q20" s="1315"/>
      <c r="R20" s="1315"/>
      <c r="S20" s="1315"/>
      <c r="T20" s="1315"/>
      <c r="U20" s="1315"/>
      <c r="V20" s="1315"/>
      <c r="W20" s="1315"/>
      <c r="X20" s="1316"/>
    </row>
    <row r="21" spans="2:24" ht="21.95" customHeight="1" x14ac:dyDescent="0.2">
      <c r="B21" s="1327"/>
      <c r="C21" s="228" t="s">
        <v>148</v>
      </c>
      <c r="D21" s="571" t="s">
        <v>128</v>
      </c>
      <c r="E21" s="1095">
        <f>_xlfn.XLOOKUP(E18+E19, Speed!C191:C214, Speed!F191:F214)</f>
        <v>0.32800000000000001</v>
      </c>
      <c r="F21" s="1319" t="s">
        <v>177</v>
      </c>
      <c r="G21" s="1319"/>
      <c r="H21" s="1319"/>
      <c r="I21" s="1319"/>
      <c r="J21" s="1319"/>
      <c r="K21" s="1319"/>
      <c r="L21" s="1319"/>
      <c r="M21" s="1319"/>
      <c r="N21" s="1319"/>
      <c r="O21" s="1319"/>
      <c r="P21" s="1319"/>
      <c r="Q21" s="1319"/>
      <c r="R21" s="1319"/>
      <c r="S21" s="1319"/>
      <c r="T21" s="1319"/>
      <c r="U21" s="1319"/>
      <c r="V21" s="1319"/>
      <c r="W21" s="1319"/>
      <c r="X21" s="1320"/>
    </row>
    <row r="22" spans="2:24" ht="21.95" customHeight="1" x14ac:dyDescent="0.2">
      <c r="B22" s="1327"/>
      <c r="C22" s="944" t="s">
        <v>247</v>
      </c>
      <c r="D22" s="943" t="s">
        <v>128</v>
      </c>
      <c r="E22" s="1096">
        <f>1 - percentPeak</f>
        <v>0.67199999999999993</v>
      </c>
      <c r="F22" s="1313" t="s">
        <v>188</v>
      </c>
      <c r="G22" s="1313"/>
      <c r="H22" s="1313"/>
      <c r="I22" s="1313"/>
      <c r="J22" s="1313"/>
      <c r="K22" s="1313"/>
      <c r="L22" s="1313"/>
      <c r="M22" s="1313"/>
      <c r="N22" s="1313"/>
      <c r="O22" s="1313"/>
      <c r="P22" s="1313"/>
      <c r="Q22" s="1313"/>
      <c r="R22" s="1313"/>
      <c r="S22" s="1313"/>
      <c r="T22" s="1313"/>
      <c r="U22" s="1313"/>
      <c r="V22" s="1313"/>
      <c r="W22" s="1313"/>
      <c r="X22" s="1314"/>
    </row>
    <row r="23" spans="2:24" ht="21.95" customHeight="1" x14ac:dyDescent="0.2">
      <c r="B23" s="1327" t="s">
        <v>13</v>
      </c>
      <c r="C23" s="116" t="s">
        <v>172</v>
      </c>
      <c r="D23" s="571" t="s">
        <v>314</v>
      </c>
      <c r="E23" s="1101">
        <v>18.8</v>
      </c>
      <c r="F23" s="1317" t="s">
        <v>315</v>
      </c>
      <c r="G23" s="1317"/>
      <c r="H23" s="1317"/>
      <c r="I23" s="1317"/>
      <c r="J23" s="1317"/>
      <c r="K23" s="1317"/>
      <c r="L23" s="1317"/>
      <c r="M23" s="1317"/>
      <c r="N23" s="1317"/>
      <c r="O23" s="1317"/>
      <c r="P23" s="1317"/>
      <c r="Q23" s="1317"/>
      <c r="R23" s="1317"/>
      <c r="S23" s="1317"/>
      <c r="T23" s="1317"/>
      <c r="U23" s="1317"/>
      <c r="V23" s="1317"/>
      <c r="W23" s="1317"/>
      <c r="X23" s="1318"/>
    </row>
    <row r="24" spans="2:24" ht="21.95" customHeight="1" x14ac:dyDescent="0.2">
      <c r="B24" s="1327"/>
      <c r="C24" s="116" t="s">
        <v>173</v>
      </c>
      <c r="D24" s="571" t="s">
        <v>314</v>
      </c>
      <c r="E24" s="1101">
        <v>32.4</v>
      </c>
      <c r="F24" s="1315" t="s">
        <v>315</v>
      </c>
      <c r="G24" s="1315"/>
      <c r="H24" s="1315"/>
      <c r="I24" s="1315"/>
      <c r="J24" s="1315"/>
      <c r="K24" s="1315"/>
      <c r="L24" s="1315"/>
      <c r="M24" s="1315"/>
      <c r="N24" s="1315"/>
      <c r="O24" s="1315"/>
      <c r="P24" s="1315"/>
      <c r="Q24" s="1315"/>
      <c r="R24" s="1315"/>
      <c r="S24" s="1315"/>
      <c r="T24" s="1315"/>
      <c r="U24" s="1315"/>
      <c r="V24" s="1315"/>
      <c r="W24" s="1315"/>
      <c r="X24" s="1316"/>
    </row>
    <row r="25" spans="2:24" ht="21.95" customHeight="1" x14ac:dyDescent="0.2">
      <c r="B25" s="1327"/>
      <c r="C25" s="945" t="s">
        <v>175</v>
      </c>
      <c r="D25" s="946" t="s">
        <v>11</v>
      </c>
      <c r="E25" s="946">
        <v>1.67</v>
      </c>
      <c r="F25" s="1313" t="s">
        <v>316</v>
      </c>
      <c r="G25" s="1313"/>
      <c r="H25" s="1313"/>
      <c r="I25" s="1313"/>
      <c r="J25" s="1313"/>
      <c r="K25" s="1313"/>
      <c r="L25" s="1313"/>
      <c r="M25" s="1313"/>
      <c r="N25" s="1313"/>
      <c r="O25" s="1313"/>
      <c r="P25" s="1313"/>
      <c r="Q25" s="1313"/>
      <c r="R25" s="1313"/>
      <c r="S25" s="1313"/>
      <c r="T25" s="1313"/>
      <c r="U25" s="1313"/>
      <c r="V25" s="1313"/>
      <c r="W25" s="1313"/>
      <c r="X25" s="1314"/>
    </row>
    <row r="26" spans="2:24" ht="21.95" customHeight="1" x14ac:dyDescent="0.2">
      <c r="B26" s="1327"/>
      <c r="C26" s="124" t="s">
        <v>174</v>
      </c>
      <c r="D26" s="943" t="s">
        <v>11</v>
      </c>
      <c r="E26" s="1102">
        <v>1</v>
      </c>
      <c r="F26" s="1313" t="s">
        <v>108</v>
      </c>
      <c r="G26" s="1313"/>
      <c r="H26" s="1313"/>
      <c r="I26" s="1313"/>
      <c r="J26" s="1313"/>
      <c r="K26" s="1313"/>
      <c r="L26" s="1313"/>
      <c r="M26" s="1313"/>
      <c r="N26" s="1313"/>
      <c r="O26" s="1313"/>
      <c r="P26" s="1313"/>
      <c r="Q26" s="1313"/>
      <c r="R26" s="1313"/>
      <c r="S26" s="1313"/>
      <c r="T26" s="1313"/>
      <c r="U26" s="1313"/>
      <c r="V26" s="1313"/>
      <c r="W26" s="1313"/>
      <c r="X26" s="1314"/>
    </row>
    <row r="27" spans="2:24" ht="21.95" customHeight="1" x14ac:dyDescent="0.2">
      <c r="B27" s="1327" t="s">
        <v>74</v>
      </c>
      <c r="C27" s="116" t="s">
        <v>34</v>
      </c>
      <c r="D27" s="571" t="s">
        <v>401</v>
      </c>
      <c r="E27" s="1103">
        <v>13046800</v>
      </c>
      <c r="F27" s="1317" t="s">
        <v>644</v>
      </c>
      <c r="G27" s="1317"/>
      <c r="H27" s="1317"/>
      <c r="I27" s="1317"/>
      <c r="J27" s="1317"/>
      <c r="K27" s="1317"/>
      <c r="L27" s="1317"/>
      <c r="M27" s="1317"/>
      <c r="N27" s="1317"/>
      <c r="O27" s="1317"/>
      <c r="P27" s="1317"/>
      <c r="Q27" s="1317"/>
      <c r="R27" s="1317"/>
      <c r="S27" s="1317"/>
      <c r="T27" s="1317"/>
      <c r="U27" s="1317"/>
      <c r="V27" s="1317"/>
      <c r="W27" s="1317"/>
      <c r="X27" s="1318"/>
    </row>
    <row r="28" spans="2:24" ht="21.95" customHeight="1" x14ac:dyDescent="0.2">
      <c r="B28" s="1327"/>
      <c r="C28" s="116" t="s">
        <v>35</v>
      </c>
      <c r="D28" s="571" t="s">
        <v>401</v>
      </c>
      <c r="E28" s="1103">
        <v>307800</v>
      </c>
      <c r="F28" s="1313" t="s">
        <v>644</v>
      </c>
      <c r="G28" s="1313"/>
      <c r="H28" s="1313"/>
      <c r="I28" s="1313"/>
      <c r="J28" s="1313"/>
      <c r="K28" s="1313"/>
      <c r="L28" s="1313"/>
      <c r="M28" s="1313"/>
      <c r="N28" s="1313"/>
      <c r="O28" s="1313"/>
      <c r="P28" s="1313"/>
      <c r="Q28" s="1313"/>
      <c r="R28" s="1313"/>
      <c r="S28" s="1313"/>
      <c r="T28" s="1313"/>
      <c r="U28" s="1313"/>
      <c r="V28" s="1313"/>
      <c r="W28" s="1313"/>
      <c r="X28" s="1314"/>
    </row>
    <row r="29" spans="2:24" ht="21.95" customHeight="1" x14ac:dyDescent="0.2">
      <c r="B29" s="1327"/>
      <c r="C29" s="124" t="s">
        <v>36</v>
      </c>
      <c r="D29" s="571" t="s">
        <v>401</v>
      </c>
      <c r="E29" s="1104">
        <v>4800</v>
      </c>
      <c r="F29" s="1315" t="s">
        <v>317</v>
      </c>
      <c r="G29" s="1315"/>
      <c r="H29" s="1315"/>
      <c r="I29" s="1315"/>
      <c r="J29" s="1315"/>
      <c r="K29" s="1315"/>
      <c r="L29" s="1315"/>
      <c r="M29" s="1315"/>
      <c r="N29" s="1315"/>
      <c r="O29" s="1315"/>
      <c r="P29" s="1315"/>
      <c r="Q29" s="1315"/>
      <c r="R29" s="1315"/>
      <c r="S29" s="1315"/>
      <c r="T29" s="1315"/>
      <c r="U29" s="1315"/>
      <c r="V29" s="1315"/>
      <c r="W29" s="1315"/>
      <c r="X29" s="1316"/>
    </row>
    <row r="30" spans="2:24" ht="21.95" customHeight="1" x14ac:dyDescent="0.2">
      <c r="B30" s="1327"/>
      <c r="C30" s="124" t="s">
        <v>206</v>
      </c>
      <c r="D30" s="947" t="s">
        <v>86</v>
      </c>
      <c r="E30" s="1105" t="s">
        <v>509</v>
      </c>
      <c r="F30" s="1313" t="s">
        <v>294</v>
      </c>
      <c r="G30" s="1313"/>
      <c r="H30" s="1313"/>
      <c r="I30" s="1313"/>
      <c r="J30" s="1313"/>
      <c r="K30" s="1313"/>
      <c r="L30" s="1313"/>
      <c r="M30" s="1313"/>
      <c r="N30" s="1313"/>
      <c r="O30" s="1313"/>
      <c r="P30" s="1313"/>
      <c r="Q30" s="1313"/>
      <c r="R30" s="1313"/>
      <c r="S30" s="1313"/>
      <c r="T30" s="1313"/>
      <c r="U30" s="1313"/>
      <c r="V30" s="1313"/>
      <c r="W30" s="1313"/>
      <c r="X30" s="1314"/>
    </row>
    <row r="31" spans="2:24" ht="21.95" customHeight="1" x14ac:dyDescent="0.2">
      <c r="B31" s="550" t="s">
        <v>39</v>
      </c>
      <c r="C31" s="124" t="s">
        <v>187</v>
      </c>
      <c r="D31" s="943" t="s">
        <v>127</v>
      </c>
      <c r="E31" s="1106">
        <v>2.5</v>
      </c>
      <c r="F31" s="1321" t="s">
        <v>220</v>
      </c>
      <c r="G31" s="1321"/>
      <c r="H31" s="1321"/>
      <c r="I31" s="1321"/>
      <c r="J31" s="1321"/>
      <c r="K31" s="1321"/>
      <c r="L31" s="1321"/>
      <c r="M31" s="1321"/>
      <c r="N31" s="1321"/>
      <c r="O31" s="1321"/>
      <c r="P31" s="1321"/>
      <c r="Q31" s="1321"/>
      <c r="R31" s="1321"/>
      <c r="S31" s="1321"/>
      <c r="T31" s="1321"/>
      <c r="U31" s="1321"/>
      <c r="V31" s="1321"/>
      <c r="W31" s="1321"/>
      <c r="X31" s="1322"/>
    </row>
    <row r="32" spans="2:24" ht="21.95" customHeight="1" thickBot="1" x14ac:dyDescent="0.25">
      <c r="B32" s="948" t="s">
        <v>81</v>
      </c>
      <c r="C32" s="857" t="s">
        <v>200</v>
      </c>
      <c r="D32" s="1118" t="s">
        <v>79</v>
      </c>
      <c r="E32" s="1107">
        <v>30</v>
      </c>
      <c r="F32" s="1323" t="s">
        <v>108</v>
      </c>
      <c r="G32" s="1323"/>
      <c r="H32" s="1323"/>
      <c r="I32" s="1323"/>
      <c r="J32" s="1323"/>
      <c r="K32" s="1323"/>
      <c r="L32" s="1323"/>
      <c r="M32" s="1323"/>
      <c r="N32" s="1323"/>
      <c r="O32" s="1323"/>
      <c r="P32" s="1323"/>
      <c r="Q32" s="1323"/>
      <c r="R32" s="1323"/>
      <c r="S32" s="1323"/>
      <c r="T32" s="1323"/>
      <c r="U32" s="1323"/>
      <c r="V32" s="1323"/>
      <c r="W32" s="1323"/>
      <c r="X32" s="1324"/>
    </row>
    <row r="33" spans="2:12" ht="21.95" customHeight="1" thickBot="1" x14ac:dyDescent="0.25">
      <c r="D33" s="35"/>
      <c r="E33" s="35"/>
      <c r="F33" s="23"/>
      <c r="G33" s="23"/>
      <c r="H33" s="23"/>
      <c r="I33" s="23"/>
      <c r="J33" s="23"/>
      <c r="K33" s="23"/>
      <c r="L33" s="35"/>
    </row>
    <row r="34" spans="2:12" ht="21.95" customHeight="1" thickBot="1" x14ac:dyDescent="0.25">
      <c r="B34" s="234" t="s">
        <v>647</v>
      </c>
      <c r="C34" s="434"/>
      <c r="D34" s="435" t="s">
        <v>281</v>
      </c>
      <c r="E34" s="435" t="s">
        <v>280</v>
      </c>
      <c r="F34" s="435" t="s">
        <v>339</v>
      </c>
      <c r="G34" s="435" t="s">
        <v>323</v>
      </c>
      <c r="H34" s="435" t="s">
        <v>282</v>
      </c>
      <c r="I34" s="435" t="s">
        <v>343</v>
      </c>
      <c r="J34" s="435" t="s">
        <v>340</v>
      </c>
      <c r="K34" s="435" t="s">
        <v>357</v>
      </c>
      <c r="L34" s="436" t="s">
        <v>338</v>
      </c>
    </row>
    <row r="35" spans="2:12" ht="21.95" customHeight="1" x14ac:dyDescent="0.2">
      <c r="B35" s="197" t="s">
        <v>19</v>
      </c>
      <c r="C35" s="48"/>
      <c r="D35" s="437">
        <v>0.22</v>
      </c>
      <c r="E35" s="437">
        <v>0.2</v>
      </c>
      <c r="F35" s="437">
        <v>0.2</v>
      </c>
      <c r="G35" s="437">
        <v>0.2</v>
      </c>
      <c r="H35" s="437">
        <v>0.28000000000000003</v>
      </c>
      <c r="I35" s="437">
        <v>0.2</v>
      </c>
      <c r="J35" s="437">
        <v>0.2</v>
      </c>
      <c r="K35" s="437">
        <v>0.2</v>
      </c>
      <c r="L35" s="438">
        <v>0.2</v>
      </c>
    </row>
    <row r="36" spans="2:12" ht="21.95" customHeight="1" thickBot="1" x14ac:dyDescent="0.25">
      <c r="B36" s="201" t="s">
        <v>467</v>
      </c>
      <c r="C36" s="203"/>
      <c r="D36" s="439">
        <f t="shared" ref="D36:L36" si="0">1-D35</f>
        <v>0.78</v>
      </c>
      <c r="E36" s="439">
        <f t="shared" si="0"/>
        <v>0.8</v>
      </c>
      <c r="F36" s="439">
        <f t="shared" si="0"/>
        <v>0.8</v>
      </c>
      <c r="G36" s="439">
        <f t="shared" si="0"/>
        <v>0.8</v>
      </c>
      <c r="H36" s="439">
        <f t="shared" si="0"/>
        <v>0.72</v>
      </c>
      <c r="I36" s="439">
        <f t="shared" si="0"/>
        <v>0.8</v>
      </c>
      <c r="J36" s="439">
        <f t="shared" si="0"/>
        <v>0.8</v>
      </c>
      <c r="K36" s="439">
        <f t="shared" si="0"/>
        <v>0.8</v>
      </c>
      <c r="L36" s="440">
        <f t="shared" si="0"/>
        <v>0.8</v>
      </c>
    </row>
  </sheetData>
  <scenarios current="0" sqref="C63:C64">
    <scenario name="test" locked="1" count="1" user="Lee, Jessica" comment="Created by Lee, Jessica on 5/16/2022_x000a_Modified by Lee, Jessica on 5/16/2022">
      <inputCells r="E23" val="25" numFmtId="164"/>
    </scenario>
    <scenario name="test2" locked="1" count="1" user="Lee, Jessica" comment="Created by Lee, Jessica on 5/16/2022">
      <inputCells r="E23" val="30" numFmtId="164"/>
    </scenario>
  </scenarios>
  <mergeCells count="34">
    <mergeCell ref="F22:X22"/>
    <mergeCell ref="F21:X21"/>
    <mergeCell ref="F20:X20"/>
    <mergeCell ref="F27:X27"/>
    <mergeCell ref="F26:X26"/>
    <mergeCell ref="F25:X25"/>
    <mergeCell ref="F24:X24"/>
    <mergeCell ref="F23:X23"/>
    <mergeCell ref="B18:B22"/>
    <mergeCell ref="B23:B26"/>
    <mergeCell ref="B27:B30"/>
    <mergeCell ref="B6:B11"/>
    <mergeCell ref="B12:B13"/>
    <mergeCell ref="B14:B17"/>
    <mergeCell ref="F9:X9"/>
    <mergeCell ref="F8:X8"/>
    <mergeCell ref="F7:X7"/>
    <mergeCell ref="F6:X6"/>
    <mergeCell ref="F5:X5"/>
    <mergeCell ref="F31:X31"/>
    <mergeCell ref="F32:X32"/>
    <mergeCell ref="F30:X30"/>
    <mergeCell ref="F29:X29"/>
    <mergeCell ref="F28:X28"/>
    <mergeCell ref="F19:X19"/>
    <mergeCell ref="F18:X18"/>
    <mergeCell ref="F17:X17"/>
    <mergeCell ref="F16:X16"/>
    <mergeCell ref="F15:X15"/>
    <mergeCell ref="F14:X14"/>
    <mergeCell ref="F13:X13"/>
    <mergeCell ref="F12:X12"/>
    <mergeCell ref="F11:X11"/>
    <mergeCell ref="F10:X10"/>
  </mergeCells>
  <hyperlinks>
    <hyperlink ref="F21" location="Speed!B62:J95" display="California DOT, Cal-B/C v8.1 Table: Demand for Travel during Peak Period. (2021)" xr:uid="{0CDA7C55-2669-4032-BFBE-0B3C6D76051E}"/>
    <hyperlink ref="F17" location="'Price Deflators'!A1" display="'Price Deflators'!A1" xr:uid="{906E4B51-7775-4010-B6CF-D37040738ED2}"/>
    <hyperlink ref="F8:F9" location="'Project Cost Data'!A1" display="Project Cost Data" xr:uid="{19DC379E-8A00-4F73-AECA-FE1F6E96B0EE}"/>
  </hyperlinks>
  <pageMargins left="0.7" right="0.7" top="0.75" bottom="0.75" header="0.3" footer="0.3"/>
  <pageSetup orientation="portrait" horizontalDpi="90" verticalDpi="9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DB12-12CB-43F3-BB75-F8E0DDA29A3B}">
  <sheetPr codeName="Sheet4">
    <tabColor theme="9" tint="-0.249977111117893"/>
  </sheetPr>
  <dimension ref="A2:AP238"/>
  <sheetViews>
    <sheetView showGridLines="0" zoomScale="90" zoomScaleNormal="90" workbookViewId="0">
      <selection activeCell="E1" sqref="E1"/>
    </sheetView>
  </sheetViews>
  <sheetFormatPr defaultColWidth="11.625" defaultRowHeight="21.95" customHeight="1" x14ac:dyDescent="0.2"/>
  <cols>
    <col min="1" max="1" width="3.375" customWidth="1"/>
    <col min="2" max="2" width="39.375" customWidth="1"/>
    <col min="3" max="3" width="18.75" customWidth="1"/>
    <col min="4" max="13" width="15.625" style="2" customWidth="1"/>
    <col min="14" max="32" width="15.625" customWidth="1"/>
    <col min="33" max="37" width="13.75" customWidth="1"/>
  </cols>
  <sheetData>
    <row r="2" spans="1:42" ht="23.25" x14ac:dyDescent="0.2">
      <c r="B2" s="394" t="s">
        <v>406</v>
      </c>
    </row>
    <row r="4" spans="1:42" ht="21.95" customHeight="1" x14ac:dyDescent="0.2">
      <c r="A4" s="226"/>
      <c r="B4" s="227" t="s">
        <v>0</v>
      </c>
      <c r="D4" s="519"/>
    </row>
    <row r="5" spans="1:42" ht="21.95" customHeight="1" x14ac:dyDescent="0.2">
      <c r="B5" s="3"/>
      <c r="F5"/>
      <c r="H5"/>
      <c r="I5"/>
      <c r="J5"/>
      <c r="K5"/>
      <c r="L5"/>
      <c r="O5" s="1335"/>
      <c r="P5" s="1335"/>
      <c r="Q5" s="1335"/>
    </row>
    <row r="6" spans="1:42" ht="21.95" customHeight="1" thickBot="1" x14ac:dyDescent="0.25">
      <c r="B6" s="561" t="s">
        <v>397</v>
      </c>
      <c r="C6" s="2"/>
      <c r="D6"/>
      <c r="E6"/>
      <c r="F6"/>
      <c r="G6"/>
      <c r="H6" s="561" t="s">
        <v>31</v>
      </c>
      <c r="I6"/>
      <c r="J6"/>
      <c r="L6"/>
      <c r="M6"/>
      <c r="O6" s="1335"/>
      <c r="P6" s="1335"/>
      <c r="Q6" s="1335"/>
    </row>
    <row r="7" spans="1:42" ht="21.95" customHeight="1" thickBot="1" x14ac:dyDescent="0.25">
      <c r="B7" s="234"/>
      <c r="C7" s="485" t="str">
        <f>'Crash Data'!N9</f>
        <v>Segment</v>
      </c>
      <c r="D7" s="485" t="str">
        <f>'Crash Data'!O9</f>
        <v>Crash Type</v>
      </c>
      <c r="E7" s="485"/>
      <c r="F7" s="834" t="str">
        <f>'Crash Data'!Q9</f>
        <v>Value</v>
      </c>
      <c r="H7" s="490" t="s">
        <v>1</v>
      </c>
      <c r="I7" s="248"/>
      <c r="J7" s="248"/>
      <c r="K7" s="248" t="s">
        <v>2</v>
      </c>
      <c r="L7" s="248"/>
      <c r="M7" s="498" t="s">
        <v>3</v>
      </c>
      <c r="O7" s="1335"/>
      <c r="P7" s="1335"/>
      <c r="Q7" s="1335"/>
    </row>
    <row r="8" spans="1:42" s="4" customFormat="1" ht="21.95" customHeight="1" x14ac:dyDescent="0.2">
      <c r="A8"/>
      <c r="B8" s="199" t="str">
        <f>'Crash Data'!K10</f>
        <v>Crash Distribution</v>
      </c>
      <c r="C8" s="116" t="str">
        <f>'Crash Data'!N10</f>
        <v>US-412/SH-412B</v>
      </c>
      <c r="D8" s="116" t="str">
        <f>'Crash Data'!O10</f>
        <v>Fatality</v>
      </c>
      <c r="E8" s="116"/>
      <c r="F8" s="835">
        <f>'Crash Data'!Q10</f>
        <v>0</v>
      </c>
      <c r="H8" s="1084" t="s">
        <v>289</v>
      </c>
      <c r="I8" s="249"/>
      <c r="J8" s="249"/>
      <c r="K8" s="249" t="s">
        <v>128</v>
      </c>
      <c r="L8" s="937"/>
      <c r="M8" s="938">
        <f>AVERAGE('Traffic Data'!AJ65:AJ67)</f>
        <v>6.8628166666666657E-2</v>
      </c>
      <c r="O8" s="1335"/>
      <c r="P8" s="1335"/>
      <c r="Q8" s="1335"/>
      <c r="AL8"/>
      <c r="AM8"/>
      <c r="AN8"/>
      <c r="AO8"/>
      <c r="AP8"/>
    </row>
    <row r="9" spans="1:42" ht="21.95" customHeight="1" x14ac:dyDescent="0.2">
      <c r="B9" s="199"/>
      <c r="C9" s="116" t="str">
        <f>'Crash Data'!N11</f>
        <v>(Interchange)</v>
      </c>
      <c r="D9" s="116" t="str">
        <f>'Crash Data'!O11</f>
        <v>Injury</v>
      </c>
      <c r="E9" s="116"/>
      <c r="F9" s="835">
        <f>'Crash Data'!Q11</f>
        <v>0.55000000000000004</v>
      </c>
      <c r="H9" s="1085" t="s">
        <v>301</v>
      </c>
      <c r="I9" s="228"/>
      <c r="J9" s="228"/>
      <c r="K9" s="228" t="s">
        <v>128</v>
      </c>
      <c r="L9" s="939"/>
      <c r="M9" s="940">
        <f>AVERAGE('Traffic Data'!AJ68:AJ70)</f>
        <v>0.14871759999999998</v>
      </c>
    </row>
    <row r="10" spans="1:42" ht="21.95" customHeight="1" x14ac:dyDescent="0.2">
      <c r="B10" s="199"/>
      <c r="C10" s="116"/>
      <c r="D10" s="116" t="str">
        <f>'Crash Data'!O12</f>
        <v>PDO</v>
      </c>
      <c r="E10" s="116"/>
      <c r="F10" s="835">
        <f>'Crash Data'!Q12</f>
        <v>0.45</v>
      </c>
      <c r="H10" s="1085" t="s">
        <v>320</v>
      </c>
      <c r="I10" s="228"/>
      <c r="J10" s="228"/>
      <c r="K10" s="228" t="s">
        <v>128</v>
      </c>
      <c r="L10" s="939"/>
      <c r="M10" s="940">
        <f>AVERAGE('Traffic Data'!AJ68:AJ69)</f>
        <v>0.20292466666666664</v>
      </c>
    </row>
    <row r="11" spans="1:42" ht="21.95" customHeight="1" x14ac:dyDescent="0.2">
      <c r="B11" s="199"/>
      <c r="C11" s="220" t="str">
        <f>'Crash Data'!N13</f>
        <v>SH-412B South</v>
      </c>
      <c r="D11" s="220" t="str">
        <f>'Crash Data'!O13</f>
        <v>Fatality</v>
      </c>
      <c r="E11" s="220"/>
      <c r="F11" s="836">
        <f>'Crash Data'!Q13</f>
        <v>0</v>
      </c>
      <c r="H11" s="1085" t="s">
        <v>321</v>
      </c>
      <c r="I11" s="228"/>
      <c r="J11" s="228"/>
      <c r="K11" s="228" t="s">
        <v>128</v>
      </c>
      <c r="L11" s="939"/>
      <c r="M11" s="1083">
        <v>0.2</v>
      </c>
      <c r="N11" s="366" t="s">
        <v>507</v>
      </c>
      <c r="O11" s="366"/>
    </row>
    <row r="12" spans="1:42" ht="21.95" customHeight="1" x14ac:dyDescent="0.2">
      <c r="B12" s="199"/>
      <c r="C12" s="116" t="str">
        <f>'Crash Data'!N14</f>
        <v>(Widening)</v>
      </c>
      <c r="D12" s="116" t="str">
        <f>'Crash Data'!O14</f>
        <v>Injury</v>
      </c>
      <c r="E12" s="116"/>
      <c r="F12" s="835">
        <f>'Crash Data'!Q14</f>
        <v>1</v>
      </c>
      <c r="H12" s="1085" t="s">
        <v>322</v>
      </c>
      <c r="I12" s="228"/>
      <c r="J12" s="228"/>
      <c r="K12" s="228" t="s">
        <v>128</v>
      </c>
      <c r="L12" s="939"/>
      <c r="M12" s="1083">
        <v>0.2</v>
      </c>
      <c r="N12" s="366" t="s">
        <v>508</v>
      </c>
      <c r="O12" s="366"/>
    </row>
    <row r="13" spans="1:42" ht="21.95" customHeight="1" x14ac:dyDescent="0.2">
      <c r="B13" s="199"/>
      <c r="C13" s="254"/>
      <c r="D13" s="254" t="str">
        <f>'Crash Data'!O15</f>
        <v>PDO</v>
      </c>
      <c r="E13" s="254"/>
      <c r="F13" s="837">
        <f>'Crash Data'!Q15</f>
        <v>0</v>
      </c>
      <c r="G13" s="393"/>
      <c r="H13" s="1085" t="s">
        <v>415</v>
      </c>
      <c r="I13" s="228"/>
      <c r="J13" s="228"/>
      <c r="K13" s="228" t="s">
        <v>128</v>
      </c>
      <c r="L13" s="939"/>
      <c r="M13" s="941">
        <f>'Traffic Data'!AJ68</f>
        <v>0.25056799999999996</v>
      </c>
    </row>
    <row r="14" spans="1:42" ht="21.95" customHeight="1" x14ac:dyDescent="0.2">
      <c r="B14" s="199"/>
      <c r="C14" s="116" t="str">
        <f>'Crash Data'!N16</f>
        <v>SH-412B</v>
      </c>
      <c r="D14" s="116" t="str">
        <f>'Crash Data'!O16</f>
        <v>Fatality</v>
      </c>
      <c r="E14" s="116"/>
      <c r="F14" s="835">
        <f>'Crash Data'!Q16</f>
        <v>0</v>
      </c>
      <c r="H14" s="1085" t="s">
        <v>302</v>
      </c>
      <c r="I14" s="116"/>
      <c r="J14" s="116"/>
      <c r="K14" s="228" t="s">
        <v>128</v>
      </c>
      <c r="L14" s="939"/>
      <c r="M14" s="940">
        <f>AVERAGE('Traffic Data'!AJ81:AJ82)</f>
        <v>2.9500114285714286E-2</v>
      </c>
    </row>
    <row r="15" spans="1:42" ht="21.95" customHeight="1" x14ac:dyDescent="0.2">
      <c r="B15" s="199"/>
      <c r="C15" s="116" t="str">
        <f>'Crash Data'!N17</f>
        <v>(Roundabout)</v>
      </c>
      <c r="D15" s="116" t="str">
        <f>'Crash Data'!O17</f>
        <v>Injury</v>
      </c>
      <c r="E15" s="116"/>
      <c r="F15" s="835">
        <f>'Crash Data'!Q17</f>
        <v>0</v>
      </c>
      <c r="H15" s="1085" t="s">
        <v>290</v>
      </c>
      <c r="I15" s="116"/>
      <c r="J15" s="116"/>
      <c r="K15" s="228" t="s">
        <v>128</v>
      </c>
      <c r="L15" s="116"/>
      <c r="M15" s="940">
        <f>'Traffic Data'!AJ85</f>
        <v>7.9518666666666654E-2</v>
      </c>
    </row>
    <row r="16" spans="1:42" ht="21.95" customHeight="1" x14ac:dyDescent="0.2">
      <c r="B16" s="199"/>
      <c r="C16" s="116"/>
      <c r="D16" s="116" t="str">
        <f>'Crash Data'!O18</f>
        <v>PDO</v>
      </c>
      <c r="E16" s="116"/>
      <c r="F16" s="835">
        <f>'Crash Data'!Q18</f>
        <v>0</v>
      </c>
      <c r="H16" s="1086" t="s">
        <v>34</v>
      </c>
      <c r="I16" s="229"/>
      <c r="J16" s="229"/>
      <c r="K16" s="229" t="s">
        <v>401</v>
      </c>
      <c r="L16" s="220"/>
      <c r="M16" s="867">
        <f>costLife</f>
        <v>13046800</v>
      </c>
    </row>
    <row r="17" spans="2:21" ht="21.95" customHeight="1" x14ac:dyDescent="0.2">
      <c r="B17" s="199"/>
      <c r="C17" s="220" t="str">
        <f>'Crash Data'!N19</f>
        <v>Patrol Rd</v>
      </c>
      <c r="D17" s="220" t="str">
        <f>'Crash Data'!O19</f>
        <v>Fatality</v>
      </c>
      <c r="E17" s="220"/>
      <c r="F17" s="836">
        <f>'Crash Data'!Q19</f>
        <v>0</v>
      </c>
      <c r="H17" s="1085" t="s">
        <v>35</v>
      </c>
      <c r="I17" s="228"/>
      <c r="J17" s="228"/>
      <c r="K17" s="228" t="s">
        <v>401</v>
      </c>
      <c r="L17" s="847"/>
      <c r="M17" s="848">
        <f>costInjury</f>
        <v>307800</v>
      </c>
    </row>
    <row r="18" spans="2:21" ht="21.95" customHeight="1" thickBot="1" x14ac:dyDescent="0.25">
      <c r="B18" s="199"/>
      <c r="C18" s="116"/>
      <c r="D18" s="116" t="str">
        <f>'Crash Data'!O20</f>
        <v>Injury</v>
      </c>
      <c r="E18" s="116"/>
      <c r="F18" s="835">
        <f>'Crash Data'!Q20</f>
        <v>1</v>
      </c>
      <c r="H18" s="1085" t="s">
        <v>36</v>
      </c>
      <c r="I18" s="228"/>
      <c r="J18" s="228"/>
      <c r="K18" s="228" t="s">
        <v>401</v>
      </c>
      <c r="L18" s="847"/>
      <c r="M18" s="848">
        <f>costPDO</f>
        <v>4800</v>
      </c>
      <c r="O18" s="181" t="s">
        <v>573</v>
      </c>
      <c r="P18" s="1336" t="s">
        <v>572</v>
      </c>
      <c r="Q18" s="1336"/>
      <c r="R18" s="1336"/>
      <c r="S18" s="1336"/>
    </row>
    <row r="19" spans="2:21" ht="21.95" customHeight="1" x14ac:dyDescent="0.2">
      <c r="B19" s="199"/>
      <c r="C19" s="254"/>
      <c r="D19" s="254" t="str">
        <f>'Crash Data'!O21</f>
        <v>PDO</v>
      </c>
      <c r="E19" s="254"/>
      <c r="F19" s="837">
        <f>'Crash Data'!Q21</f>
        <v>0</v>
      </c>
      <c r="H19" s="1084" t="s">
        <v>291</v>
      </c>
      <c r="I19" s="249"/>
      <c r="J19" s="249"/>
      <c r="K19" s="249" t="s">
        <v>86</v>
      </c>
      <c r="L19" s="726"/>
      <c r="M19" s="949">
        <v>0.84</v>
      </c>
      <c r="O19" s="181">
        <v>462</v>
      </c>
      <c r="P19" s="1337" t="s">
        <v>306</v>
      </c>
      <c r="Q19" s="1337"/>
      <c r="R19" s="1337"/>
      <c r="S19" s="1337"/>
    </row>
    <row r="20" spans="2:21" ht="21.95" customHeight="1" x14ac:dyDescent="0.2">
      <c r="B20" s="199"/>
      <c r="C20" s="116" t="str">
        <f>'Crash Data'!N22</f>
        <v>Williams St</v>
      </c>
      <c r="D20" s="116" t="str">
        <f>'Crash Data'!O22</f>
        <v>Fatality</v>
      </c>
      <c r="E20" s="116"/>
      <c r="F20" s="835">
        <f>'Crash Data'!Q22</f>
        <v>0</v>
      </c>
      <c r="H20" s="1085" t="s">
        <v>303</v>
      </c>
      <c r="I20" s="116"/>
      <c r="J20" s="116"/>
      <c r="K20" s="228" t="s">
        <v>86</v>
      </c>
      <c r="L20" s="116"/>
      <c r="M20" s="950">
        <f>0.691*0.784*0.953</f>
        <v>0.516282032</v>
      </c>
      <c r="O20" s="181" t="s">
        <v>574</v>
      </c>
      <c r="P20" s="1329" t="s">
        <v>567</v>
      </c>
      <c r="Q20" s="1330"/>
      <c r="R20" s="1330"/>
      <c r="S20" s="1331"/>
    </row>
    <row r="21" spans="2:21" ht="21.95" customHeight="1" x14ac:dyDescent="0.2">
      <c r="B21" s="199"/>
      <c r="C21" s="116"/>
      <c r="D21" s="116" t="str">
        <f>'Crash Data'!O23</f>
        <v>Injury</v>
      </c>
      <c r="E21" s="116"/>
      <c r="F21" s="835">
        <f>'Crash Data'!Q23</f>
        <v>0</v>
      </c>
      <c r="H21" s="1085" t="s">
        <v>304</v>
      </c>
      <c r="I21" s="116"/>
      <c r="J21" s="116"/>
      <c r="K21" s="228" t="s">
        <v>86</v>
      </c>
      <c r="L21" s="116"/>
      <c r="M21" s="1088">
        <v>0.56000000000000005</v>
      </c>
      <c r="O21" s="181">
        <v>9157</v>
      </c>
      <c r="P21" s="1329" t="s">
        <v>307</v>
      </c>
      <c r="Q21" s="1330"/>
      <c r="R21" s="1330"/>
      <c r="S21" s="1331"/>
    </row>
    <row r="22" spans="2:21" ht="21.95" customHeight="1" x14ac:dyDescent="0.2">
      <c r="B22" s="199"/>
      <c r="C22" s="116"/>
      <c r="D22" s="116" t="str">
        <f>'Crash Data'!O24</f>
        <v>PDO</v>
      </c>
      <c r="E22" s="116"/>
      <c r="F22" s="835">
        <f>'Crash Data'!Q24</f>
        <v>0</v>
      </c>
      <c r="H22" s="1085" t="s">
        <v>324</v>
      </c>
      <c r="I22" s="228"/>
      <c r="J22" s="228"/>
      <c r="K22" s="228" t="s">
        <v>86</v>
      </c>
      <c r="L22" s="577"/>
      <c r="M22" s="950">
        <f>EXP(0.1123-(0.0003*'Traffic Data'!AI13))</f>
        <v>0.81758206167072156</v>
      </c>
      <c r="O22" s="181">
        <v>2978</v>
      </c>
      <c r="P22" s="1329" t="s">
        <v>325</v>
      </c>
      <c r="Q22" s="1330"/>
      <c r="R22" s="1330"/>
      <c r="S22" s="1331"/>
      <c r="U22" s="244"/>
    </row>
    <row r="23" spans="2:21" ht="21.95" customHeight="1" x14ac:dyDescent="0.2">
      <c r="B23" s="199"/>
      <c r="C23" s="220" t="str">
        <f>'Crash Data'!N25</f>
        <v>SH-412B North</v>
      </c>
      <c r="D23" s="220" t="str">
        <f>'Crash Data'!O25</f>
        <v>Fatality</v>
      </c>
      <c r="E23" s="220"/>
      <c r="F23" s="836">
        <f>'Crash Data'!Q25</f>
        <v>0</v>
      </c>
      <c r="H23" s="1085" t="s">
        <v>318</v>
      </c>
      <c r="I23" s="116"/>
      <c r="J23" s="116"/>
      <c r="K23" s="228" t="s">
        <v>86</v>
      </c>
      <c r="L23" s="116"/>
      <c r="M23" s="1089">
        <v>0.69099999999999995</v>
      </c>
      <c r="O23" s="181">
        <v>7570</v>
      </c>
      <c r="P23" s="1329" t="s">
        <v>567</v>
      </c>
      <c r="Q23" s="1330"/>
      <c r="R23" s="1330"/>
      <c r="S23" s="1331"/>
      <c r="U23" s="244"/>
    </row>
    <row r="24" spans="2:21" ht="21.95" customHeight="1" x14ac:dyDescent="0.2">
      <c r="B24" s="199"/>
      <c r="C24" s="116" t="str">
        <f>'Crash Data'!N26</f>
        <v>(Reconstruction)</v>
      </c>
      <c r="D24" s="116" t="str">
        <f>'Crash Data'!O26</f>
        <v>Injury</v>
      </c>
      <c r="E24" s="116"/>
      <c r="F24" s="835">
        <f>'Crash Data'!Q26</f>
        <v>0.42857142857142855</v>
      </c>
      <c r="H24" s="1085" t="s">
        <v>410</v>
      </c>
      <c r="I24" s="228"/>
      <c r="J24" s="228"/>
      <c r="K24" s="228" t="s">
        <v>86</v>
      </c>
      <c r="L24" s="577"/>
      <c r="M24" s="950">
        <v>0.92400000000000004</v>
      </c>
      <c r="O24" s="952">
        <v>9305</v>
      </c>
      <c r="P24" s="1332" t="s">
        <v>575</v>
      </c>
      <c r="Q24" s="1333"/>
      <c r="R24" s="1333"/>
      <c r="S24" s="1334"/>
    </row>
    <row r="25" spans="2:21" ht="21.95" customHeight="1" x14ac:dyDescent="0.2">
      <c r="B25" s="199"/>
      <c r="C25" s="254"/>
      <c r="D25" s="254" t="str">
        <f>'Crash Data'!O27</f>
        <v>PDO</v>
      </c>
      <c r="E25" s="254"/>
      <c r="F25" s="837">
        <f>'Crash Data'!Q27</f>
        <v>0.5714285714285714</v>
      </c>
      <c r="H25" s="1085" t="s">
        <v>416</v>
      </c>
      <c r="I25" s="228"/>
      <c r="J25" s="228"/>
      <c r="K25" s="228" t="s">
        <v>86</v>
      </c>
      <c r="L25" s="577"/>
      <c r="M25" s="950">
        <v>0.56000000000000005</v>
      </c>
      <c r="O25" s="181">
        <v>325</v>
      </c>
      <c r="P25" s="1329" t="s">
        <v>413</v>
      </c>
      <c r="Q25" s="1330"/>
      <c r="R25" s="1330"/>
      <c r="S25" s="1331"/>
    </row>
    <row r="26" spans="2:21" ht="21.95" customHeight="1" thickBot="1" x14ac:dyDescent="0.25">
      <c r="B26" s="199"/>
      <c r="C26" s="116" t="str">
        <f>'Crash Data'!N28</f>
        <v>US 69/Main St</v>
      </c>
      <c r="D26" s="116" t="str">
        <f>'Crash Data'!O28</f>
        <v>Fatality</v>
      </c>
      <c r="E26" s="116"/>
      <c r="F26" s="835">
        <f>'Crash Data'!Q28</f>
        <v>0</v>
      </c>
      <c r="H26" s="1087" t="s">
        <v>305</v>
      </c>
      <c r="I26" s="231"/>
      <c r="J26" s="231"/>
      <c r="K26" s="231" t="s">
        <v>86</v>
      </c>
      <c r="L26" s="735"/>
      <c r="M26" s="951">
        <v>0.69099999999999995</v>
      </c>
      <c r="O26" s="181">
        <v>7570</v>
      </c>
      <c r="P26" s="1329" t="s">
        <v>567</v>
      </c>
      <c r="Q26" s="1330"/>
      <c r="R26" s="1330"/>
      <c r="S26" s="1331"/>
    </row>
    <row r="27" spans="2:21" ht="21.95" customHeight="1" x14ac:dyDescent="0.2">
      <c r="B27" s="199"/>
      <c r="C27" s="116" t="str">
        <f>'Crash Data'!N29</f>
        <v>(Intersection)</v>
      </c>
      <c r="D27" s="116" t="str">
        <f>'Crash Data'!O29</f>
        <v>Injury</v>
      </c>
      <c r="E27" s="116"/>
      <c r="F27" s="835">
        <f>'Crash Data'!Q29</f>
        <v>0.125</v>
      </c>
    </row>
    <row r="28" spans="2:21" ht="21.95" customHeight="1" x14ac:dyDescent="0.2">
      <c r="B28" s="199"/>
      <c r="C28" s="116"/>
      <c r="D28" s="116" t="str">
        <f>'Crash Data'!O30</f>
        <v>PDO</v>
      </c>
      <c r="E28" s="116"/>
      <c r="F28" s="835">
        <f>'Crash Data'!Q30</f>
        <v>0.87499999999999989</v>
      </c>
      <c r="J28"/>
      <c r="K28"/>
      <c r="L28"/>
    </row>
    <row r="29" spans="2:21" ht="21.95" customHeight="1" x14ac:dyDescent="0.2">
      <c r="B29" s="199"/>
      <c r="C29" s="220" t="str">
        <f>'Crash Data'!N31</f>
        <v>Zarrow St</v>
      </c>
      <c r="D29" s="220" t="str">
        <f>'Crash Data'!O31</f>
        <v>Fatality</v>
      </c>
      <c r="E29" s="220"/>
      <c r="F29" s="836">
        <f>'Crash Data'!Q31</f>
        <v>0.2</v>
      </c>
      <c r="J29"/>
      <c r="K29"/>
      <c r="L29"/>
    </row>
    <row r="30" spans="2:21" ht="21.95" customHeight="1" x14ac:dyDescent="0.2">
      <c r="B30" s="199"/>
      <c r="C30" s="116"/>
      <c r="D30" s="116" t="str">
        <f>'Crash Data'!O32</f>
        <v>Injury</v>
      </c>
      <c r="E30" s="116"/>
      <c r="F30" s="835">
        <f>'Crash Data'!Q32</f>
        <v>0.6</v>
      </c>
      <c r="J30"/>
      <c r="K30"/>
      <c r="L30"/>
    </row>
    <row r="31" spans="2:21" ht="21.95" customHeight="1" x14ac:dyDescent="0.2">
      <c r="B31" s="199"/>
      <c r="C31" s="254"/>
      <c r="D31" s="254" t="str">
        <f>'Crash Data'!O33</f>
        <v>PDO</v>
      </c>
      <c r="E31" s="254"/>
      <c r="F31" s="837">
        <f>'Crash Data'!Q33</f>
        <v>0.2</v>
      </c>
      <c r="J31"/>
      <c r="K31"/>
      <c r="L31"/>
    </row>
    <row r="32" spans="2:21" ht="21.95" customHeight="1" x14ac:dyDescent="0.2">
      <c r="B32" s="204" t="str">
        <f>'Crash Data'!K34</f>
        <v>Average Number of Crashes</v>
      </c>
      <c r="C32" s="116" t="str">
        <f>'Crash Data'!N34</f>
        <v>US-412/SH-412B</v>
      </c>
      <c r="D32" s="116" t="str">
        <f>'Crash Data'!O34</f>
        <v>All</v>
      </c>
      <c r="E32" s="116"/>
      <c r="F32" s="838">
        <f>'Crash Data'!Q34</f>
        <v>4</v>
      </c>
      <c r="J32"/>
      <c r="K32"/>
      <c r="L32"/>
    </row>
    <row r="33" spans="1:42" ht="21.95" customHeight="1" x14ac:dyDescent="0.2">
      <c r="B33" s="199" t="str">
        <f>'Crash Data'!K35</f>
        <v>(Per Year)</v>
      </c>
      <c r="C33" s="116" t="str">
        <f>'Crash Data'!N35</f>
        <v>SH 412B (Wide)</v>
      </c>
      <c r="D33" s="116" t="str">
        <f>'Crash Data'!O35</f>
        <v>All</v>
      </c>
      <c r="E33" s="116"/>
      <c r="F33" s="838">
        <f>'Crash Data'!Q35</f>
        <v>0.4</v>
      </c>
      <c r="J33"/>
      <c r="K33"/>
      <c r="L33"/>
    </row>
    <row r="34" spans="1:42" ht="21.95" customHeight="1" x14ac:dyDescent="0.2">
      <c r="B34" s="199"/>
      <c r="C34" s="116" t="str">
        <f>'Crash Data'!N36</f>
        <v>SH 412B (Rbt)</v>
      </c>
      <c r="D34" s="116" t="str">
        <f>'Crash Data'!O36</f>
        <v>All</v>
      </c>
      <c r="E34" s="116"/>
      <c r="F34" s="838">
        <f>'Crash Data'!Q36</f>
        <v>0</v>
      </c>
      <c r="J34"/>
      <c r="K34"/>
      <c r="L34"/>
    </row>
    <row r="35" spans="1:42" ht="21.95" customHeight="1" x14ac:dyDescent="0.2">
      <c r="B35" s="199"/>
      <c r="C35" s="116" t="str">
        <f>'Crash Data'!N37</f>
        <v>Patrol Rd</v>
      </c>
      <c r="D35" s="116" t="str">
        <f>'Crash Data'!O37</f>
        <v>All</v>
      </c>
      <c r="E35" s="116"/>
      <c r="F35" s="838">
        <f>'Crash Data'!Q37</f>
        <v>0.2</v>
      </c>
      <c r="J35"/>
      <c r="K35"/>
      <c r="L35"/>
    </row>
    <row r="36" spans="1:42" ht="21.95" customHeight="1" x14ac:dyDescent="0.2">
      <c r="B36" s="199"/>
      <c r="C36" s="116" t="str">
        <f>'Crash Data'!N38</f>
        <v>Williams St</v>
      </c>
      <c r="D36" s="116" t="str">
        <f>'Crash Data'!O38</f>
        <v>All</v>
      </c>
      <c r="E36" s="116"/>
      <c r="F36" s="838">
        <f>'Crash Data'!Q38</f>
        <v>0</v>
      </c>
      <c r="J36"/>
      <c r="K36"/>
      <c r="L36"/>
    </row>
    <row r="37" spans="1:42" ht="21.95" customHeight="1" x14ac:dyDescent="0.2">
      <c r="B37" s="199"/>
      <c r="C37" s="116" t="str">
        <f>'Crash Data'!N39</f>
        <v>SH412B (Recon)</v>
      </c>
      <c r="D37" s="116" t="str">
        <f>'Crash Data'!O39</f>
        <v>All</v>
      </c>
      <c r="E37" s="116"/>
      <c r="F37" s="838">
        <f>'Crash Data'!Q39</f>
        <v>4.2</v>
      </c>
      <c r="J37"/>
      <c r="K37"/>
      <c r="L37"/>
    </row>
    <row r="38" spans="1:42" ht="21.95" customHeight="1" x14ac:dyDescent="0.2">
      <c r="B38" s="199"/>
      <c r="C38" s="116" t="str">
        <f>'Crash Data'!N40</f>
        <v>US 69/Main St</v>
      </c>
      <c r="D38" s="116" t="str">
        <f>'Crash Data'!O40</f>
        <v>All</v>
      </c>
      <c r="E38" s="116"/>
      <c r="F38" s="838">
        <f>'Crash Data'!Q40</f>
        <v>1.6</v>
      </c>
      <c r="J38"/>
      <c r="K38"/>
      <c r="L38"/>
    </row>
    <row r="39" spans="1:42" ht="21.95" customHeight="1" thickBot="1" x14ac:dyDescent="0.25">
      <c r="B39" s="211"/>
      <c r="C39" s="278" t="str">
        <f>'Crash Data'!N41</f>
        <v>Zarrow St</v>
      </c>
      <c r="D39" s="278" t="str">
        <f>'Crash Data'!O41</f>
        <v>All</v>
      </c>
      <c r="E39" s="278"/>
      <c r="F39" s="839">
        <f>'Crash Data'!Q41</f>
        <v>1</v>
      </c>
      <c r="J39"/>
      <c r="K39"/>
      <c r="L39"/>
    </row>
    <row r="40" spans="1:42" ht="21.95" customHeight="1" x14ac:dyDescent="0.2">
      <c r="B40" s="20" t="s">
        <v>402</v>
      </c>
      <c r="D40"/>
      <c r="E40"/>
      <c r="I40"/>
      <c r="J40"/>
      <c r="K40"/>
    </row>
    <row r="41" spans="1:42" ht="21.95" customHeight="1" x14ac:dyDescent="0.2">
      <c r="B41" s="392" t="s">
        <v>414</v>
      </c>
      <c r="D41"/>
      <c r="E41"/>
      <c r="I41"/>
      <c r="J41"/>
      <c r="K41"/>
    </row>
    <row r="42" spans="1:42" ht="21.95" customHeight="1" x14ac:dyDescent="0.2">
      <c r="B42" s="20"/>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row>
    <row r="43" spans="1:42" ht="21.95" customHeight="1" x14ac:dyDescent="0.2">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row>
    <row r="44" spans="1:42" ht="21.95" customHeight="1" x14ac:dyDescent="0.2">
      <c r="A44" s="227"/>
      <c r="B44" s="227" t="s">
        <v>9</v>
      </c>
    </row>
    <row r="45" spans="1:42" ht="21.95" customHeight="1" thickBot="1" x14ac:dyDescent="0.25">
      <c r="B45" s="1"/>
    </row>
    <row r="46" spans="1:42" s="6" customFormat="1" ht="21.95" customHeight="1" thickBot="1" x14ac:dyDescent="0.25">
      <c r="A46"/>
      <c r="B46" s="234"/>
      <c r="C46" s="485" t="s">
        <v>18</v>
      </c>
      <c r="D46" s="485" t="s">
        <v>37</v>
      </c>
      <c r="E46" s="485" cm="1">
        <f t="array" ref="E46:AF46">year</f>
        <v>2021</v>
      </c>
      <c r="F46" s="485">
        <v>2022</v>
      </c>
      <c r="G46" s="485">
        <v>2023</v>
      </c>
      <c r="H46" s="485">
        <v>2024</v>
      </c>
      <c r="I46" s="485">
        <v>2025</v>
      </c>
      <c r="J46" s="485">
        <v>2026</v>
      </c>
      <c r="K46" s="485">
        <v>2027</v>
      </c>
      <c r="L46" s="485">
        <v>2028</v>
      </c>
      <c r="M46" s="485">
        <v>2029</v>
      </c>
      <c r="N46" s="485">
        <v>2030</v>
      </c>
      <c r="O46" s="485">
        <v>2031</v>
      </c>
      <c r="P46" s="485">
        <v>2032</v>
      </c>
      <c r="Q46" s="485">
        <v>2033</v>
      </c>
      <c r="R46" s="485">
        <v>2034</v>
      </c>
      <c r="S46" s="485">
        <v>2035</v>
      </c>
      <c r="T46" s="485">
        <v>2036</v>
      </c>
      <c r="U46" s="485">
        <v>2037</v>
      </c>
      <c r="V46" s="485">
        <v>2038</v>
      </c>
      <c r="W46" s="485">
        <v>2039</v>
      </c>
      <c r="X46" s="485">
        <v>2040</v>
      </c>
      <c r="Y46" s="485">
        <v>2041</v>
      </c>
      <c r="Z46" s="485">
        <v>2042</v>
      </c>
      <c r="AA46" s="485">
        <v>2043</v>
      </c>
      <c r="AB46" s="485">
        <v>2044</v>
      </c>
      <c r="AC46" s="485">
        <v>2045</v>
      </c>
      <c r="AD46" s="485">
        <v>2046</v>
      </c>
      <c r="AE46" s="485">
        <v>2047</v>
      </c>
      <c r="AF46" s="834">
        <v>2048</v>
      </c>
      <c r="AG46" s="251"/>
      <c r="AH46" s="251"/>
      <c r="AI46" s="251"/>
      <c r="AJ46" s="251"/>
      <c r="AK46" s="251"/>
      <c r="AL46"/>
      <c r="AM46"/>
      <c r="AN46"/>
      <c r="AO46"/>
      <c r="AP46"/>
    </row>
    <row r="47" spans="1:42" s="7" customFormat="1" ht="21.95" customHeight="1" x14ac:dyDescent="0.2">
      <c r="B47" s="199" t="s">
        <v>407</v>
      </c>
      <c r="C47" s="228" t="str">
        <f>C8</f>
        <v>US-412/SH-412B</v>
      </c>
      <c r="D47" s="116" t="s">
        <v>32</v>
      </c>
      <c r="E47" s="577" cm="1">
        <f t="array" ref="E47:AF47">F8 * $F$32 * (1 + $M$8) ^ (year - baseYear)</f>
        <v>0</v>
      </c>
      <c r="F47" s="577">
        <v>0</v>
      </c>
      <c r="G47" s="577">
        <v>0</v>
      </c>
      <c r="H47" s="577">
        <v>0</v>
      </c>
      <c r="I47" s="577">
        <v>0</v>
      </c>
      <c r="J47" s="577">
        <v>0</v>
      </c>
      <c r="K47" s="577">
        <v>0</v>
      </c>
      <c r="L47" s="577">
        <v>0</v>
      </c>
      <c r="M47" s="577">
        <v>0</v>
      </c>
      <c r="N47" s="577">
        <v>0</v>
      </c>
      <c r="O47" s="577">
        <v>0</v>
      </c>
      <c r="P47" s="577">
        <v>0</v>
      </c>
      <c r="Q47" s="577">
        <v>0</v>
      </c>
      <c r="R47" s="577">
        <v>0</v>
      </c>
      <c r="S47" s="577">
        <v>0</v>
      </c>
      <c r="T47" s="577">
        <v>0</v>
      </c>
      <c r="U47" s="577">
        <v>0</v>
      </c>
      <c r="V47" s="577">
        <v>0</v>
      </c>
      <c r="W47" s="577">
        <v>0</v>
      </c>
      <c r="X47" s="577">
        <v>0</v>
      </c>
      <c r="Y47" s="577">
        <v>0</v>
      </c>
      <c r="Z47" s="577">
        <v>0</v>
      </c>
      <c r="AA47" s="577">
        <v>0</v>
      </c>
      <c r="AB47" s="577">
        <v>0</v>
      </c>
      <c r="AC47" s="577">
        <v>0</v>
      </c>
      <c r="AD47" s="577">
        <v>0</v>
      </c>
      <c r="AE47" s="577">
        <v>0</v>
      </c>
      <c r="AF47" s="752">
        <v>0</v>
      </c>
      <c r="AG47" s="17"/>
      <c r="AH47" s="17"/>
      <c r="AI47" s="17"/>
      <c r="AJ47" s="17"/>
      <c r="AK47" s="17"/>
      <c r="AL47"/>
      <c r="AM47"/>
      <c r="AN47"/>
      <c r="AO47"/>
      <c r="AP47"/>
    </row>
    <row r="48" spans="1:42" s="7" customFormat="1" ht="21.95" customHeight="1" x14ac:dyDescent="0.2">
      <c r="B48" s="232" t="s">
        <v>69</v>
      </c>
      <c r="C48" s="228" t="str">
        <f>C9</f>
        <v>(Interchange)</v>
      </c>
      <c r="D48" s="116" t="s">
        <v>33</v>
      </c>
      <c r="E48" s="577" cm="1">
        <f t="array" ref="E48:AF48">F9 * $F$32 * (1 + $M$8) ^ (year - baseYear)</f>
        <v>2.2000000000000002</v>
      </c>
      <c r="F48" s="577">
        <v>2.3509819666666667</v>
      </c>
      <c r="G48" s="577">
        <v>2.5123255489053942</v>
      </c>
      <c r="H48" s="577">
        <v>2.6847418453965979</v>
      </c>
      <c r="I48" s="577">
        <v>2.8689907562194499</v>
      </c>
      <c r="J48" s="577">
        <v>3.0658843320024043</v>
      </c>
      <c r="K48" s="577">
        <v>3.2762903529197867</v>
      </c>
      <c r="L48" s="577">
        <v>3.5011361533083578</v>
      </c>
      <c r="M48" s="577">
        <v>3.7414127087602953</v>
      </c>
      <c r="N48" s="577">
        <v>3.9981790037058813</v>
      </c>
      <c r="O48" s="577">
        <v>4.2725666987353756</v>
      </c>
      <c r="P48" s="577">
        <v>4.5657851182306359</v>
      </c>
      <c r="Q48" s="577">
        <v>4.8791265802887542</v>
      </c>
      <c r="R48" s="577">
        <v>5.2139720924285733</v>
      </c>
      <c r="S48" s="577">
        <v>5.5717974381831104</v>
      </c>
      <c r="T48" s="577">
        <v>5.9541796814036463</v>
      </c>
      <c r="U48" s="577">
        <v>6.3628041169422955</v>
      </c>
      <c r="V48" s="577">
        <v>6.7994716983471637</v>
      </c>
      <c r="W48" s="577">
        <v>7.2661069753066148</v>
      </c>
      <c r="X48" s="577">
        <v>7.764766575825786</v>
      </c>
      <c r="Y48" s="577">
        <v>8.2976482705193195</v>
      </c>
      <c r="Z48" s="577">
        <v>8.8671006589698962</v>
      </c>
      <c r="AA48" s="577">
        <v>9.4756335208437932</v>
      </c>
      <c r="AB48" s="577">
        <v>10.125928877384514</v>
      </c>
      <c r="AC48" s="577">
        <v>10.820852812036469</v>
      </c>
      <c r="AD48" s="577">
        <v>11.563468102296376</v>
      </c>
      <c r="AE48" s="577">
        <v>12.357047718465454</v>
      </c>
      <c r="AF48" s="752">
        <v>13.205089248796252</v>
      </c>
      <c r="AG48" s="17"/>
      <c r="AH48" s="17"/>
      <c r="AI48" s="17"/>
      <c r="AJ48" s="17"/>
      <c r="AK48" s="17"/>
      <c r="AL48"/>
      <c r="AM48"/>
      <c r="AN48"/>
      <c r="AO48"/>
      <c r="AP48"/>
    </row>
    <row r="49" spans="2:42" s="7" customFormat="1" ht="21.95" customHeight="1" x14ac:dyDescent="0.2">
      <c r="B49" s="199"/>
      <c r="C49" s="116"/>
      <c r="D49" s="124" t="s">
        <v>30</v>
      </c>
      <c r="E49" s="840" cm="1">
        <f t="array" ref="E49:AF49">F10 * $F$32 * (1 + $M$8) ^ (year - baseYear)</f>
        <v>1.8</v>
      </c>
      <c r="F49" s="840">
        <v>1.9235306999999999</v>
      </c>
      <c r="G49" s="840">
        <v>2.0555390854680495</v>
      </c>
      <c r="H49" s="840">
        <v>2.1966069644153983</v>
      </c>
      <c r="I49" s="840">
        <v>2.347356073270459</v>
      </c>
      <c r="J49" s="840">
        <v>2.5084508170928759</v>
      </c>
      <c r="K49" s="840">
        <v>2.6806011978434618</v>
      </c>
      <c r="L49" s="840">
        <v>2.8645659436159288</v>
      </c>
      <c r="M49" s="840">
        <v>3.0611558526220599</v>
      </c>
      <c r="N49" s="840">
        <v>3.2712373666684482</v>
      </c>
      <c r="O49" s="840">
        <v>3.4957363898743981</v>
      </c>
      <c r="P49" s="840">
        <v>3.7356423694614294</v>
      </c>
      <c r="Q49" s="840">
        <v>3.9920126565998895</v>
      </c>
      <c r="R49" s="840">
        <v>4.2659771665324691</v>
      </c>
      <c r="S49" s="840">
        <v>4.5587433585134534</v>
      </c>
      <c r="T49" s="840">
        <v>4.8716015575120739</v>
      </c>
      <c r="U49" s="840">
        <v>5.2059306411346054</v>
      </c>
      <c r="V49" s="840">
        <v>5.563204116829497</v>
      </c>
      <c r="W49" s="840">
        <v>5.9449966161599574</v>
      </c>
      <c r="X49" s="840">
        <v>6.3529908347665511</v>
      </c>
      <c r="Y49" s="840">
        <v>6.788984948606716</v>
      </c>
      <c r="Z49" s="840">
        <v>7.2549005391571875</v>
      </c>
      <c r="AA49" s="840">
        <v>7.7527910625085577</v>
      </c>
      <c r="AB49" s="840">
        <v>8.2848508996782382</v>
      </c>
      <c r="AC49" s="840">
        <v>8.8534250280298377</v>
      </c>
      <c r="AD49" s="840">
        <v>9.4610193564243072</v>
      </c>
      <c r="AE49" s="577">
        <v>10.110311769653553</v>
      </c>
      <c r="AF49" s="752">
        <v>10.804163930833296</v>
      </c>
      <c r="AG49" s="17"/>
      <c r="AH49" s="17"/>
      <c r="AI49" s="17"/>
      <c r="AJ49" s="17"/>
      <c r="AK49" s="17"/>
      <c r="AL49"/>
      <c r="AM49"/>
      <c r="AN49"/>
      <c r="AO49"/>
      <c r="AP49"/>
    </row>
    <row r="50" spans="2:42" s="7" customFormat="1" ht="21.95" customHeight="1" x14ac:dyDescent="0.2">
      <c r="B50" s="199"/>
      <c r="C50" s="124"/>
      <c r="D50" s="720" t="s">
        <v>25</v>
      </c>
      <c r="E50" s="841" cm="1">
        <f t="array" ref="E50:AF50">_xlfn.ANCHORARRAY(E47) +_xlfn.ANCHORARRAY( E48) +_xlfn.ANCHORARRAY( E49)</f>
        <v>4</v>
      </c>
      <c r="F50" s="841">
        <v>4.2745126666666664</v>
      </c>
      <c r="G50" s="841">
        <v>4.5678646343734437</v>
      </c>
      <c r="H50" s="841">
        <v>4.8813488098119961</v>
      </c>
      <c r="I50" s="841">
        <v>5.2163468294899094</v>
      </c>
      <c r="J50" s="841">
        <v>5.5743351490952797</v>
      </c>
      <c r="K50" s="841">
        <v>5.9568915507632489</v>
      </c>
      <c r="L50" s="841">
        <v>6.3657020969242861</v>
      </c>
      <c r="M50" s="841">
        <v>6.8025685613823548</v>
      </c>
      <c r="N50" s="841">
        <v>7.26941637037433</v>
      </c>
      <c r="O50" s="841">
        <v>7.7683030886097733</v>
      </c>
      <c r="P50" s="841">
        <v>8.3014274876920648</v>
      </c>
      <c r="Q50" s="841">
        <v>8.8711392368886433</v>
      </c>
      <c r="R50" s="841">
        <v>9.4799492589610423</v>
      </c>
      <c r="S50" s="841">
        <v>10.130540796696565</v>
      </c>
      <c r="T50" s="841">
        <v>10.82578123891572</v>
      </c>
      <c r="U50" s="841">
        <v>11.5687347580769</v>
      </c>
      <c r="V50" s="841">
        <v>12.362675815176662</v>
      </c>
      <c r="W50" s="841">
        <v>13.211103591466571</v>
      </c>
      <c r="X50" s="841">
        <v>14.117757410592336</v>
      </c>
      <c r="Y50" s="841">
        <v>15.086633219126035</v>
      </c>
      <c r="Z50" s="841">
        <v>16.122001198127084</v>
      </c>
      <c r="AA50" s="841">
        <v>17.22842458335235</v>
      </c>
      <c r="AB50" s="841">
        <v>18.41077977706275</v>
      </c>
      <c r="AC50" s="841">
        <v>19.674277840066306</v>
      </c>
      <c r="AD50" s="841">
        <v>21.024487458720685</v>
      </c>
      <c r="AE50" s="842">
        <v>22.467359488119008</v>
      </c>
      <c r="AF50" s="843">
        <v>24.009253179629546</v>
      </c>
      <c r="AG50" s="17"/>
      <c r="AH50" s="17"/>
      <c r="AI50" s="17"/>
      <c r="AJ50" s="17"/>
      <c r="AK50" s="17"/>
      <c r="AL50"/>
      <c r="AM50"/>
      <c r="AN50"/>
      <c r="AO50"/>
      <c r="AP50"/>
    </row>
    <row r="51" spans="2:42" s="7" customFormat="1" ht="21.95" customHeight="1" x14ac:dyDescent="0.2">
      <c r="B51" s="197"/>
      <c r="C51" s="228" t="str">
        <f>C11</f>
        <v>SH-412B South</v>
      </c>
      <c r="D51" s="116" t="s">
        <v>32</v>
      </c>
      <c r="E51" s="577" cm="1">
        <f t="array" ref="E51:AF51">F11 * $F$33 * (1 + $M$9) ^ (year - baseYear)</f>
        <v>0</v>
      </c>
      <c r="F51" s="577">
        <v>0</v>
      </c>
      <c r="G51" s="577">
        <v>0</v>
      </c>
      <c r="H51" s="577">
        <v>0</v>
      </c>
      <c r="I51" s="577">
        <v>0</v>
      </c>
      <c r="J51" s="577">
        <v>0</v>
      </c>
      <c r="K51" s="577">
        <v>0</v>
      </c>
      <c r="L51" s="577">
        <v>0</v>
      </c>
      <c r="M51" s="577">
        <v>0</v>
      </c>
      <c r="N51" s="577">
        <v>0</v>
      </c>
      <c r="O51" s="577">
        <v>0</v>
      </c>
      <c r="P51" s="577">
        <v>0</v>
      </c>
      <c r="Q51" s="577">
        <v>0</v>
      </c>
      <c r="R51" s="577">
        <v>0</v>
      </c>
      <c r="S51" s="577">
        <v>0</v>
      </c>
      <c r="T51" s="577">
        <v>0</v>
      </c>
      <c r="U51" s="577">
        <v>0</v>
      </c>
      <c r="V51" s="577">
        <v>0</v>
      </c>
      <c r="W51" s="577">
        <v>0</v>
      </c>
      <c r="X51" s="577">
        <v>0</v>
      </c>
      <c r="Y51" s="577">
        <v>0</v>
      </c>
      <c r="Z51" s="577">
        <v>0</v>
      </c>
      <c r="AA51" s="577">
        <v>0</v>
      </c>
      <c r="AB51" s="577">
        <v>0</v>
      </c>
      <c r="AC51" s="577">
        <v>0</v>
      </c>
      <c r="AD51" s="577">
        <v>0</v>
      </c>
      <c r="AE51" s="577">
        <v>0</v>
      </c>
      <c r="AF51" s="752">
        <v>0</v>
      </c>
      <c r="AG51" s="17"/>
      <c r="AH51" s="17"/>
      <c r="AI51" s="17"/>
      <c r="AJ51" s="17"/>
      <c r="AK51" s="17"/>
      <c r="AL51"/>
      <c r="AM51"/>
      <c r="AN51"/>
      <c r="AO51"/>
      <c r="AP51"/>
    </row>
    <row r="52" spans="2:42" s="7" customFormat="1" ht="21.95" customHeight="1" x14ac:dyDescent="0.2">
      <c r="B52" s="197"/>
      <c r="C52" s="228" t="str">
        <f>C12</f>
        <v>(Widening)</v>
      </c>
      <c r="D52" s="116" t="s">
        <v>33</v>
      </c>
      <c r="E52" s="577" cm="1">
        <f t="array" ref="E52:AF52">F12 * $F$33 * (1 + $M$9) ^ (year - baseYear)</f>
        <v>0.4</v>
      </c>
      <c r="F52" s="577">
        <v>0.45948703999999996</v>
      </c>
      <c r="G52" s="577">
        <v>0.52782084981990385</v>
      </c>
      <c r="H52" s="577">
        <v>0.60631709983508042</v>
      </c>
      <c r="I52" s="577">
        <v>0.69648712376151378</v>
      </c>
      <c r="J52" s="577">
        <v>0.80006701723822893</v>
      </c>
      <c r="K52" s="577">
        <v>0.91905106388105695</v>
      </c>
      <c r="L52" s="577">
        <v>1.0557301323788943</v>
      </c>
      <c r="M52" s="577">
        <v>1.2127357839139656</v>
      </c>
      <c r="N52" s="577">
        <v>1.393090939131769</v>
      </c>
      <c r="O52" s="577">
        <v>1.6002680801811917</v>
      </c>
      <c r="P52" s="577">
        <v>1.8382561084223459</v>
      </c>
      <c r="Q52" s="577">
        <v>2.1116371450522564</v>
      </c>
      <c r="R52" s="577">
        <v>2.4256747533352794</v>
      </c>
      <c r="S52" s="577">
        <v>2.7864152810318941</v>
      </c>
      <c r="T52" s="577">
        <v>3.2008042742302827</v>
      </c>
      <c r="U52" s="577">
        <v>3.6768202039635511</v>
      </c>
      <c r="V52" s="577">
        <v>4.2236280803285204</v>
      </c>
      <c r="W52" s="577">
        <v>4.8517559117275848</v>
      </c>
      <c r="X52" s="577">
        <v>5.5732974067055228</v>
      </c>
      <c r="Y52" s="577">
        <v>6.4021448211169911</v>
      </c>
      <c r="Z52" s="577">
        <v>7.3542564337659373</v>
      </c>
      <c r="AA52" s="577">
        <v>8.4479638003801654</v>
      </c>
      <c r="AB52" s="577">
        <v>9.7043247016595835</v>
      </c>
      <c r="AC52" s="577">
        <v>11.147528580911111</v>
      </c>
      <c r="AD52" s="577">
        <v>12.805362277395615</v>
      </c>
      <c r="AE52" s="577">
        <v>14.709745022420424</v>
      </c>
      <c r="AF52" s="752">
        <v>16.897342998766732</v>
      </c>
      <c r="AG52" s="17"/>
      <c r="AH52" s="17"/>
      <c r="AI52" s="17"/>
      <c r="AJ52" s="17"/>
      <c r="AK52" s="17"/>
      <c r="AL52"/>
      <c r="AM52"/>
      <c r="AN52"/>
      <c r="AO52"/>
      <c r="AP52"/>
    </row>
    <row r="53" spans="2:42" s="7" customFormat="1" ht="21.95" customHeight="1" x14ac:dyDescent="0.2">
      <c r="B53" s="199"/>
      <c r="C53" s="116"/>
      <c r="D53" s="124" t="s">
        <v>30</v>
      </c>
      <c r="E53" s="840" cm="1">
        <f t="array" ref="E53:AF53">F13 * $F$33 * (1 + $M$9) ^ (year - baseYear)</f>
        <v>0</v>
      </c>
      <c r="F53" s="840">
        <v>0</v>
      </c>
      <c r="G53" s="840">
        <v>0</v>
      </c>
      <c r="H53" s="840">
        <v>0</v>
      </c>
      <c r="I53" s="840">
        <v>0</v>
      </c>
      <c r="J53" s="840">
        <v>0</v>
      </c>
      <c r="K53" s="840">
        <v>0</v>
      </c>
      <c r="L53" s="840">
        <v>0</v>
      </c>
      <c r="M53" s="840">
        <v>0</v>
      </c>
      <c r="N53" s="840">
        <v>0</v>
      </c>
      <c r="O53" s="840">
        <v>0</v>
      </c>
      <c r="P53" s="840">
        <v>0</v>
      </c>
      <c r="Q53" s="840">
        <v>0</v>
      </c>
      <c r="R53" s="840">
        <v>0</v>
      </c>
      <c r="S53" s="840">
        <v>0</v>
      </c>
      <c r="T53" s="840">
        <v>0</v>
      </c>
      <c r="U53" s="840">
        <v>0</v>
      </c>
      <c r="V53" s="840">
        <v>0</v>
      </c>
      <c r="W53" s="840">
        <v>0</v>
      </c>
      <c r="X53" s="840">
        <v>0</v>
      </c>
      <c r="Y53" s="840">
        <v>0</v>
      </c>
      <c r="Z53" s="840">
        <v>0</v>
      </c>
      <c r="AA53" s="840">
        <v>0</v>
      </c>
      <c r="AB53" s="840">
        <v>0</v>
      </c>
      <c r="AC53" s="840">
        <v>0</v>
      </c>
      <c r="AD53" s="840">
        <v>0</v>
      </c>
      <c r="AE53" s="577">
        <v>0</v>
      </c>
      <c r="AF53" s="752">
        <v>0</v>
      </c>
      <c r="AG53" s="17"/>
      <c r="AH53" s="17"/>
      <c r="AI53" s="17"/>
      <c r="AJ53" s="17"/>
      <c r="AK53" s="17"/>
      <c r="AL53"/>
      <c r="AM53"/>
      <c r="AN53"/>
      <c r="AO53"/>
      <c r="AP53"/>
    </row>
    <row r="54" spans="2:42" s="7" customFormat="1" ht="21.95" customHeight="1" x14ac:dyDescent="0.2">
      <c r="B54" s="199"/>
      <c r="C54" s="228"/>
      <c r="D54" s="720" t="s">
        <v>25</v>
      </c>
      <c r="E54" s="841">
        <f>E51 + E52 + E53</f>
        <v>0.4</v>
      </c>
      <c r="F54" s="841">
        <f>F51 + F52 + F53</f>
        <v>0.45948703999999996</v>
      </c>
      <c r="G54" s="841">
        <f t="shared" ref="G54:AF54" si="0">G51 + G52 + G53</f>
        <v>0.52782084981990385</v>
      </c>
      <c r="H54" s="841">
        <f t="shared" si="0"/>
        <v>0.60631709983508042</v>
      </c>
      <c r="I54" s="841">
        <f t="shared" si="0"/>
        <v>0.69648712376151378</v>
      </c>
      <c r="J54" s="841">
        <f t="shared" si="0"/>
        <v>0.80006701723822893</v>
      </c>
      <c r="K54" s="841">
        <f t="shared" si="0"/>
        <v>0.91905106388105695</v>
      </c>
      <c r="L54" s="841">
        <f t="shared" si="0"/>
        <v>1.0557301323788943</v>
      </c>
      <c r="M54" s="841">
        <f t="shared" si="0"/>
        <v>1.2127357839139656</v>
      </c>
      <c r="N54" s="841">
        <f t="shared" si="0"/>
        <v>1.393090939131769</v>
      </c>
      <c r="O54" s="841">
        <f t="shared" si="0"/>
        <v>1.6002680801811917</v>
      </c>
      <c r="P54" s="841">
        <f t="shared" si="0"/>
        <v>1.8382561084223459</v>
      </c>
      <c r="Q54" s="841">
        <f t="shared" si="0"/>
        <v>2.1116371450522564</v>
      </c>
      <c r="R54" s="841">
        <f t="shared" si="0"/>
        <v>2.4256747533352794</v>
      </c>
      <c r="S54" s="841">
        <f t="shared" si="0"/>
        <v>2.7864152810318941</v>
      </c>
      <c r="T54" s="841">
        <f t="shared" si="0"/>
        <v>3.2008042742302827</v>
      </c>
      <c r="U54" s="841">
        <f t="shared" si="0"/>
        <v>3.6768202039635511</v>
      </c>
      <c r="V54" s="841">
        <f t="shared" si="0"/>
        <v>4.2236280803285204</v>
      </c>
      <c r="W54" s="841">
        <f t="shared" si="0"/>
        <v>4.8517559117275848</v>
      </c>
      <c r="X54" s="841">
        <f t="shared" si="0"/>
        <v>5.5732974067055228</v>
      </c>
      <c r="Y54" s="841">
        <f t="shared" si="0"/>
        <v>6.4021448211169911</v>
      </c>
      <c r="Z54" s="841">
        <f t="shared" si="0"/>
        <v>7.3542564337659373</v>
      </c>
      <c r="AA54" s="841">
        <f t="shared" si="0"/>
        <v>8.4479638003801654</v>
      </c>
      <c r="AB54" s="841">
        <f t="shared" si="0"/>
        <v>9.7043247016595835</v>
      </c>
      <c r="AC54" s="841">
        <f t="shared" si="0"/>
        <v>11.147528580911111</v>
      </c>
      <c r="AD54" s="841">
        <f t="shared" si="0"/>
        <v>12.805362277395615</v>
      </c>
      <c r="AE54" s="842">
        <f t="shared" si="0"/>
        <v>14.709745022420424</v>
      </c>
      <c r="AF54" s="843">
        <f t="shared" si="0"/>
        <v>16.897342998766732</v>
      </c>
      <c r="AG54" s="17"/>
      <c r="AH54" s="17"/>
      <c r="AI54" s="17"/>
      <c r="AJ54" s="17"/>
      <c r="AK54" s="17"/>
      <c r="AL54"/>
      <c r="AM54"/>
      <c r="AN54"/>
      <c r="AO54"/>
      <c r="AP54"/>
    </row>
    <row r="55" spans="2:42" s="7" customFormat="1" ht="21.95" customHeight="1" x14ac:dyDescent="0.2">
      <c r="B55" s="199"/>
      <c r="C55" s="229" t="str">
        <f>C14</f>
        <v>SH-412B</v>
      </c>
      <c r="D55" s="116" t="s">
        <v>32</v>
      </c>
      <c r="E55" s="577" cm="1">
        <f t="array" ref="E55:AF55">F14 * $F$34 * (1 + $M$10) ^ (year - baseYear)</f>
        <v>0</v>
      </c>
      <c r="F55" s="577">
        <v>0</v>
      </c>
      <c r="G55" s="577">
        <v>0</v>
      </c>
      <c r="H55" s="577">
        <v>0</v>
      </c>
      <c r="I55" s="577">
        <v>0</v>
      </c>
      <c r="J55" s="577">
        <v>0</v>
      </c>
      <c r="K55" s="577">
        <v>0</v>
      </c>
      <c r="L55" s="577">
        <v>0</v>
      </c>
      <c r="M55" s="577">
        <v>0</v>
      </c>
      <c r="N55" s="577">
        <v>0</v>
      </c>
      <c r="O55" s="577">
        <v>0</v>
      </c>
      <c r="P55" s="577">
        <v>0</v>
      </c>
      <c r="Q55" s="577">
        <v>0</v>
      </c>
      <c r="R55" s="577">
        <v>0</v>
      </c>
      <c r="S55" s="577">
        <v>0</v>
      </c>
      <c r="T55" s="577">
        <v>0</v>
      </c>
      <c r="U55" s="577">
        <v>0</v>
      </c>
      <c r="V55" s="577">
        <v>0</v>
      </c>
      <c r="W55" s="577">
        <v>0</v>
      </c>
      <c r="X55" s="577">
        <v>0</v>
      </c>
      <c r="Y55" s="577">
        <v>0</v>
      </c>
      <c r="Z55" s="577">
        <v>0</v>
      </c>
      <c r="AA55" s="577">
        <v>0</v>
      </c>
      <c r="AB55" s="577">
        <v>0</v>
      </c>
      <c r="AC55" s="577">
        <v>0</v>
      </c>
      <c r="AD55" s="577">
        <v>0</v>
      </c>
      <c r="AE55" s="577">
        <v>0</v>
      </c>
      <c r="AF55" s="752">
        <v>0</v>
      </c>
      <c r="AG55" s="17"/>
      <c r="AH55" s="17"/>
      <c r="AI55" s="17"/>
      <c r="AJ55" s="17"/>
      <c r="AK55" s="17"/>
      <c r="AL55"/>
      <c r="AM55"/>
      <c r="AN55"/>
      <c r="AO55"/>
      <c r="AP55"/>
    </row>
    <row r="56" spans="2:42" s="7" customFormat="1" ht="21.95" customHeight="1" x14ac:dyDescent="0.2">
      <c r="B56" s="199"/>
      <c r="C56" s="228" t="str">
        <f>C15</f>
        <v>(Roundabout)</v>
      </c>
      <c r="D56" s="116" t="s">
        <v>33</v>
      </c>
      <c r="E56" s="577" cm="1">
        <f t="array" ref="E56:AF56">F15 * $F$34 * (1 + $M$10) ^ (year - baseYear)</f>
        <v>0</v>
      </c>
      <c r="F56" s="577">
        <v>0</v>
      </c>
      <c r="G56" s="577">
        <v>0</v>
      </c>
      <c r="H56" s="577">
        <v>0</v>
      </c>
      <c r="I56" s="577">
        <v>0</v>
      </c>
      <c r="J56" s="577">
        <v>0</v>
      </c>
      <c r="K56" s="577">
        <v>0</v>
      </c>
      <c r="L56" s="577">
        <v>0</v>
      </c>
      <c r="M56" s="577">
        <v>0</v>
      </c>
      <c r="N56" s="577">
        <v>0</v>
      </c>
      <c r="O56" s="577">
        <v>0</v>
      </c>
      <c r="P56" s="577">
        <v>0</v>
      </c>
      <c r="Q56" s="577">
        <v>0</v>
      </c>
      <c r="R56" s="577">
        <v>0</v>
      </c>
      <c r="S56" s="577">
        <v>0</v>
      </c>
      <c r="T56" s="577">
        <v>0</v>
      </c>
      <c r="U56" s="577">
        <v>0</v>
      </c>
      <c r="V56" s="577">
        <v>0</v>
      </c>
      <c r="W56" s="577">
        <v>0</v>
      </c>
      <c r="X56" s="577">
        <v>0</v>
      </c>
      <c r="Y56" s="577">
        <v>0</v>
      </c>
      <c r="Z56" s="577">
        <v>0</v>
      </c>
      <c r="AA56" s="577">
        <v>0</v>
      </c>
      <c r="AB56" s="577">
        <v>0</v>
      </c>
      <c r="AC56" s="577">
        <v>0</v>
      </c>
      <c r="AD56" s="577">
        <v>0</v>
      </c>
      <c r="AE56" s="577">
        <v>0</v>
      </c>
      <c r="AF56" s="752">
        <v>0</v>
      </c>
      <c r="AG56" s="17"/>
      <c r="AH56" s="17"/>
      <c r="AI56" s="17"/>
      <c r="AJ56" s="17"/>
      <c r="AK56" s="17"/>
      <c r="AL56"/>
      <c r="AM56"/>
      <c r="AN56"/>
      <c r="AO56"/>
      <c r="AP56"/>
    </row>
    <row r="57" spans="2:42" s="7" customFormat="1" ht="21.95" customHeight="1" x14ac:dyDescent="0.2">
      <c r="B57" s="199"/>
      <c r="C57" s="116"/>
      <c r="D57" s="124" t="s">
        <v>30</v>
      </c>
      <c r="E57" s="840" cm="1">
        <f t="array" ref="E57:AF57">F16 * $F$34 * (1 + $M$10) ^ (year - baseYear)</f>
        <v>0</v>
      </c>
      <c r="F57" s="840">
        <v>0</v>
      </c>
      <c r="G57" s="840">
        <v>0</v>
      </c>
      <c r="H57" s="840">
        <v>0</v>
      </c>
      <c r="I57" s="840">
        <v>0</v>
      </c>
      <c r="J57" s="840">
        <v>0</v>
      </c>
      <c r="K57" s="840">
        <v>0</v>
      </c>
      <c r="L57" s="840">
        <v>0</v>
      </c>
      <c r="M57" s="840">
        <v>0</v>
      </c>
      <c r="N57" s="840">
        <v>0</v>
      </c>
      <c r="O57" s="840">
        <v>0</v>
      </c>
      <c r="P57" s="840">
        <v>0</v>
      </c>
      <c r="Q57" s="840">
        <v>0</v>
      </c>
      <c r="R57" s="840">
        <v>0</v>
      </c>
      <c r="S57" s="840">
        <v>0</v>
      </c>
      <c r="T57" s="840">
        <v>0</v>
      </c>
      <c r="U57" s="840">
        <v>0</v>
      </c>
      <c r="V57" s="840">
        <v>0</v>
      </c>
      <c r="W57" s="840">
        <v>0</v>
      </c>
      <c r="X57" s="840">
        <v>0</v>
      </c>
      <c r="Y57" s="840">
        <v>0</v>
      </c>
      <c r="Z57" s="840">
        <v>0</v>
      </c>
      <c r="AA57" s="840">
        <v>0</v>
      </c>
      <c r="AB57" s="840">
        <v>0</v>
      </c>
      <c r="AC57" s="840">
        <v>0</v>
      </c>
      <c r="AD57" s="840">
        <v>0</v>
      </c>
      <c r="AE57" s="577">
        <v>0</v>
      </c>
      <c r="AF57" s="752">
        <v>0</v>
      </c>
      <c r="AG57" s="17"/>
      <c r="AH57" s="17"/>
      <c r="AI57" s="17"/>
      <c r="AJ57" s="17"/>
      <c r="AK57" s="17"/>
      <c r="AL57"/>
      <c r="AM57"/>
      <c r="AN57"/>
      <c r="AO57"/>
      <c r="AP57"/>
    </row>
    <row r="58" spans="2:42" s="7" customFormat="1" ht="21.95" customHeight="1" x14ac:dyDescent="0.2">
      <c r="B58" s="199"/>
      <c r="C58" s="228"/>
      <c r="D58" s="720" t="s">
        <v>25</v>
      </c>
      <c r="E58" s="841">
        <f>E55 + E56 + E57</f>
        <v>0</v>
      </c>
      <c r="F58" s="841">
        <f>F55 + F56 + F57</f>
        <v>0</v>
      </c>
      <c r="G58" s="841">
        <f t="shared" ref="G58" si="1">G55 + G56 + G57</f>
        <v>0</v>
      </c>
      <c r="H58" s="841">
        <f t="shared" ref="H58" si="2">H55 + H56 + H57</f>
        <v>0</v>
      </c>
      <c r="I58" s="841">
        <f t="shared" ref="I58" si="3">I55 + I56 + I57</f>
        <v>0</v>
      </c>
      <c r="J58" s="841">
        <f t="shared" ref="J58" si="4">J55 + J56 + J57</f>
        <v>0</v>
      </c>
      <c r="K58" s="841">
        <f t="shared" ref="K58" si="5">K55 + K56 + K57</f>
        <v>0</v>
      </c>
      <c r="L58" s="841">
        <f t="shared" ref="L58" si="6">L55 + L56 + L57</f>
        <v>0</v>
      </c>
      <c r="M58" s="841">
        <f t="shared" ref="M58" si="7">M55 + M56 + M57</f>
        <v>0</v>
      </c>
      <c r="N58" s="841">
        <f t="shared" ref="N58" si="8">N55 + N56 + N57</f>
        <v>0</v>
      </c>
      <c r="O58" s="841">
        <f t="shared" ref="O58" si="9">O55 + O56 + O57</f>
        <v>0</v>
      </c>
      <c r="P58" s="841">
        <f t="shared" ref="P58" si="10">P55 + P56 + P57</f>
        <v>0</v>
      </c>
      <c r="Q58" s="841">
        <f t="shared" ref="Q58" si="11">Q55 + Q56 + Q57</f>
        <v>0</v>
      </c>
      <c r="R58" s="841">
        <f t="shared" ref="R58" si="12">R55 + R56 + R57</f>
        <v>0</v>
      </c>
      <c r="S58" s="841">
        <f t="shared" ref="S58" si="13">S55 + S56 + S57</f>
        <v>0</v>
      </c>
      <c r="T58" s="841">
        <f t="shared" ref="T58" si="14">T55 + T56 + T57</f>
        <v>0</v>
      </c>
      <c r="U58" s="841">
        <f t="shared" ref="U58" si="15">U55 + U56 + U57</f>
        <v>0</v>
      </c>
      <c r="V58" s="841">
        <f t="shared" ref="V58" si="16">V55 + V56 + V57</f>
        <v>0</v>
      </c>
      <c r="W58" s="841">
        <f t="shared" ref="W58" si="17">W55 + W56 + W57</f>
        <v>0</v>
      </c>
      <c r="X58" s="841">
        <f t="shared" ref="X58" si="18">X55 + X56 + X57</f>
        <v>0</v>
      </c>
      <c r="Y58" s="841">
        <f t="shared" ref="Y58" si="19">Y55 + Y56 + Y57</f>
        <v>0</v>
      </c>
      <c r="Z58" s="841">
        <f t="shared" ref="Z58" si="20">Z55 + Z56 + Z57</f>
        <v>0</v>
      </c>
      <c r="AA58" s="841">
        <f t="shared" ref="AA58" si="21">AA55 + AA56 + AA57</f>
        <v>0</v>
      </c>
      <c r="AB58" s="841">
        <f t="shared" ref="AB58" si="22">AB55 + AB56 + AB57</f>
        <v>0</v>
      </c>
      <c r="AC58" s="841">
        <f t="shared" ref="AC58" si="23">AC55 + AC56 + AC57</f>
        <v>0</v>
      </c>
      <c r="AD58" s="841">
        <f t="shared" ref="AD58:AF58" si="24">AD55 + AD56 + AD57</f>
        <v>0</v>
      </c>
      <c r="AE58" s="842">
        <f t="shared" si="24"/>
        <v>0</v>
      </c>
      <c r="AF58" s="843">
        <f t="shared" si="24"/>
        <v>0</v>
      </c>
      <c r="AG58" s="17"/>
      <c r="AH58" s="17"/>
      <c r="AI58" s="17"/>
      <c r="AJ58" s="17"/>
      <c r="AK58" s="17"/>
      <c r="AL58"/>
      <c r="AM58"/>
      <c r="AN58"/>
      <c r="AO58"/>
      <c r="AP58"/>
    </row>
    <row r="59" spans="2:42" s="7" customFormat="1" ht="21.95" customHeight="1" x14ac:dyDescent="0.2">
      <c r="B59" s="199"/>
      <c r="C59" s="229" t="str">
        <f>C17</f>
        <v>Patrol Rd</v>
      </c>
      <c r="D59" s="116" t="s">
        <v>32</v>
      </c>
      <c r="E59" s="577" cm="1">
        <f t="array" ref="E59:AF59">F17 * $F$35 * (1 + $M$11) ^ (year - baseYear)</f>
        <v>0</v>
      </c>
      <c r="F59" s="577">
        <v>0</v>
      </c>
      <c r="G59" s="577">
        <v>0</v>
      </c>
      <c r="H59" s="577">
        <v>0</v>
      </c>
      <c r="I59" s="577">
        <v>0</v>
      </c>
      <c r="J59" s="577">
        <v>0</v>
      </c>
      <c r="K59" s="577">
        <v>0</v>
      </c>
      <c r="L59" s="577">
        <v>0</v>
      </c>
      <c r="M59" s="577">
        <v>0</v>
      </c>
      <c r="N59" s="577">
        <v>0</v>
      </c>
      <c r="O59" s="577">
        <v>0</v>
      </c>
      <c r="P59" s="577">
        <v>0</v>
      </c>
      <c r="Q59" s="577">
        <v>0</v>
      </c>
      <c r="R59" s="577">
        <v>0</v>
      </c>
      <c r="S59" s="577">
        <v>0</v>
      </c>
      <c r="T59" s="577">
        <v>0</v>
      </c>
      <c r="U59" s="577">
        <v>0</v>
      </c>
      <c r="V59" s="577">
        <v>0</v>
      </c>
      <c r="W59" s="577">
        <v>0</v>
      </c>
      <c r="X59" s="577">
        <v>0</v>
      </c>
      <c r="Y59" s="577">
        <v>0</v>
      </c>
      <c r="Z59" s="577">
        <v>0</v>
      </c>
      <c r="AA59" s="577">
        <v>0</v>
      </c>
      <c r="AB59" s="577">
        <v>0</v>
      </c>
      <c r="AC59" s="577">
        <v>0</v>
      </c>
      <c r="AD59" s="577">
        <v>0</v>
      </c>
      <c r="AE59" s="577">
        <v>0</v>
      </c>
      <c r="AF59" s="752">
        <v>0</v>
      </c>
      <c r="AG59" s="17"/>
      <c r="AH59" s="17"/>
      <c r="AI59" s="17"/>
      <c r="AJ59" s="17"/>
      <c r="AK59" s="17"/>
      <c r="AL59"/>
      <c r="AM59"/>
      <c r="AN59"/>
      <c r="AO59"/>
      <c r="AP59"/>
    </row>
    <row r="60" spans="2:42" s="7" customFormat="1" ht="21.95" customHeight="1" x14ac:dyDescent="0.2">
      <c r="B60" s="199"/>
      <c r="C60" s="228"/>
      <c r="D60" s="116" t="s">
        <v>33</v>
      </c>
      <c r="E60" s="577" cm="1">
        <f t="array" ref="E60:AF60">F18 * $F$35 * (1 + $M$11) ^ (year - baseYear)</f>
        <v>0.2</v>
      </c>
      <c r="F60" s="577">
        <v>0.24</v>
      </c>
      <c r="G60" s="577">
        <v>0.28799999999999998</v>
      </c>
      <c r="H60" s="577">
        <v>0.34560000000000002</v>
      </c>
      <c r="I60" s="577">
        <v>0.41471999999999998</v>
      </c>
      <c r="J60" s="577">
        <v>0.497664</v>
      </c>
      <c r="K60" s="577">
        <v>0.59719679999999997</v>
      </c>
      <c r="L60" s="577">
        <v>0.71663615999999997</v>
      </c>
      <c r="M60" s="577">
        <v>0.85996339199999994</v>
      </c>
      <c r="N60" s="577">
        <v>1.0319560703999999</v>
      </c>
      <c r="O60" s="577">
        <v>1.2383472844799999</v>
      </c>
      <c r="P60" s="577">
        <v>1.4860167413759999</v>
      </c>
      <c r="Q60" s="577">
        <v>1.7832200896511996</v>
      </c>
      <c r="R60" s="577">
        <v>2.1398641075814395</v>
      </c>
      <c r="S60" s="577">
        <v>2.5678369290977274</v>
      </c>
      <c r="T60" s="577">
        <v>3.0814043149172732</v>
      </c>
      <c r="U60" s="577">
        <v>3.6976851779007269</v>
      </c>
      <c r="V60" s="577">
        <v>4.4372222134808723</v>
      </c>
      <c r="W60" s="577">
        <v>5.3246666561770475</v>
      </c>
      <c r="X60" s="577">
        <v>6.3895999874124563</v>
      </c>
      <c r="Y60" s="577">
        <v>7.6675199848949482</v>
      </c>
      <c r="Z60" s="577">
        <v>9.2010239818739361</v>
      </c>
      <c r="AA60" s="577">
        <v>11.041228778248723</v>
      </c>
      <c r="AB60" s="577">
        <v>13.249474533898468</v>
      </c>
      <c r="AC60" s="577">
        <v>15.899369440678161</v>
      </c>
      <c r="AD60" s="577">
        <v>19.079243328813796</v>
      </c>
      <c r="AE60" s="577">
        <v>22.895091994576553</v>
      </c>
      <c r="AF60" s="752">
        <v>27.474110393491863</v>
      </c>
      <c r="AG60" s="17"/>
      <c r="AH60" s="17"/>
      <c r="AI60" s="17"/>
      <c r="AJ60" s="17"/>
      <c r="AK60" s="17"/>
      <c r="AL60"/>
      <c r="AM60"/>
      <c r="AN60"/>
      <c r="AO60"/>
      <c r="AP60"/>
    </row>
    <row r="61" spans="2:42" s="7" customFormat="1" ht="21.95" customHeight="1" x14ac:dyDescent="0.2">
      <c r="B61" s="199"/>
      <c r="C61" s="116"/>
      <c r="D61" s="124" t="s">
        <v>30</v>
      </c>
      <c r="E61" s="840" cm="1">
        <f t="array" ref="E61:AF61">F19 * $F$35 * (1 + $M$11) ^ (year - baseYear)</f>
        <v>0</v>
      </c>
      <c r="F61" s="840">
        <v>0</v>
      </c>
      <c r="G61" s="840">
        <v>0</v>
      </c>
      <c r="H61" s="840">
        <v>0</v>
      </c>
      <c r="I61" s="840">
        <v>0</v>
      </c>
      <c r="J61" s="840">
        <v>0</v>
      </c>
      <c r="K61" s="840">
        <v>0</v>
      </c>
      <c r="L61" s="840">
        <v>0</v>
      </c>
      <c r="M61" s="840">
        <v>0</v>
      </c>
      <c r="N61" s="840">
        <v>0</v>
      </c>
      <c r="O61" s="840">
        <v>0</v>
      </c>
      <c r="P61" s="840">
        <v>0</v>
      </c>
      <c r="Q61" s="840">
        <v>0</v>
      </c>
      <c r="R61" s="840">
        <v>0</v>
      </c>
      <c r="S61" s="840">
        <v>0</v>
      </c>
      <c r="T61" s="840">
        <v>0</v>
      </c>
      <c r="U61" s="840">
        <v>0</v>
      </c>
      <c r="V61" s="840">
        <v>0</v>
      </c>
      <c r="W61" s="840">
        <v>0</v>
      </c>
      <c r="X61" s="840">
        <v>0</v>
      </c>
      <c r="Y61" s="840">
        <v>0</v>
      </c>
      <c r="Z61" s="840">
        <v>0</v>
      </c>
      <c r="AA61" s="840">
        <v>0</v>
      </c>
      <c r="AB61" s="840">
        <v>0</v>
      </c>
      <c r="AC61" s="840">
        <v>0</v>
      </c>
      <c r="AD61" s="840">
        <v>0</v>
      </c>
      <c r="AE61" s="577">
        <v>0</v>
      </c>
      <c r="AF61" s="752">
        <v>0</v>
      </c>
      <c r="AG61" s="17"/>
      <c r="AH61" s="17"/>
      <c r="AI61" s="17"/>
      <c r="AJ61" s="17"/>
      <c r="AK61" s="17"/>
      <c r="AL61"/>
      <c r="AM61"/>
      <c r="AN61"/>
      <c r="AO61"/>
      <c r="AP61"/>
    </row>
    <row r="62" spans="2:42" s="7" customFormat="1" ht="21.95" customHeight="1" x14ac:dyDescent="0.2">
      <c r="B62" s="199"/>
      <c r="C62" s="228"/>
      <c r="D62" s="720" t="s">
        <v>25</v>
      </c>
      <c r="E62" s="841">
        <f>E59 + E60 + E61</f>
        <v>0.2</v>
      </c>
      <c r="F62" s="841">
        <f>F59 + F60 + F61</f>
        <v>0.24</v>
      </c>
      <c r="G62" s="841">
        <f t="shared" ref="G62" si="25">G59 + G60 + G61</f>
        <v>0.28799999999999998</v>
      </c>
      <c r="H62" s="841">
        <f t="shared" ref="H62" si="26">H59 + H60 + H61</f>
        <v>0.34560000000000002</v>
      </c>
      <c r="I62" s="841">
        <f t="shared" ref="I62" si="27">I59 + I60 + I61</f>
        <v>0.41471999999999998</v>
      </c>
      <c r="J62" s="841">
        <f t="shared" ref="J62" si="28">J59 + J60 + J61</f>
        <v>0.497664</v>
      </c>
      <c r="K62" s="841">
        <f t="shared" ref="K62" si="29">K59 + K60 + K61</f>
        <v>0.59719679999999997</v>
      </c>
      <c r="L62" s="841">
        <f t="shared" ref="L62" si="30">L59 + L60 + L61</f>
        <v>0.71663615999999997</v>
      </c>
      <c r="M62" s="841">
        <f t="shared" ref="M62" si="31">M59 + M60 + M61</f>
        <v>0.85996339199999994</v>
      </c>
      <c r="N62" s="841">
        <f t="shared" ref="N62" si="32">N59 + N60 + N61</f>
        <v>1.0319560703999999</v>
      </c>
      <c r="O62" s="841">
        <f t="shared" ref="O62" si="33">O59 + O60 + O61</f>
        <v>1.2383472844799999</v>
      </c>
      <c r="P62" s="841">
        <f t="shared" ref="P62" si="34">P59 + P60 + P61</f>
        <v>1.4860167413759999</v>
      </c>
      <c r="Q62" s="841">
        <f t="shared" ref="Q62" si="35">Q59 + Q60 + Q61</f>
        <v>1.7832200896511996</v>
      </c>
      <c r="R62" s="841">
        <f t="shared" ref="R62" si="36">R59 + R60 + R61</f>
        <v>2.1398641075814395</v>
      </c>
      <c r="S62" s="841">
        <f t="shared" ref="S62" si="37">S59 + S60 + S61</f>
        <v>2.5678369290977274</v>
      </c>
      <c r="T62" s="841">
        <f t="shared" ref="T62" si="38">T59 + T60 + T61</f>
        <v>3.0814043149172732</v>
      </c>
      <c r="U62" s="841">
        <f t="shared" ref="U62" si="39">U59 + U60 + U61</f>
        <v>3.6976851779007269</v>
      </c>
      <c r="V62" s="841">
        <f t="shared" ref="V62" si="40">V59 + V60 + V61</f>
        <v>4.4372222134808723</v>
      </c>
      <c r="W62" s="841">
        <f t="shared" ref="W62" si="41">W59 + W60 + W61</f>
        <v>5.3246666561770475</v>
      </c>
      <c r="X62" s="841">
        <f t="shared" ref="X62" si="42">X59 + X60 + X61</f>
        <v>6.3895999874124563</v>
      </c>
      <c r="Y62" s="841">
        <f t="shared" ref="Y62" si="43">Y59 + Y60 + Y61</f>
        <v>7.6675199848949482</v>
      </c>
      <c r="Z62" s="841">
        <f t="shared" ref="Z62" si="44">Z59 + Z60 + Z61</f>
        <v>9.2010239818739361</v>
      </c>
      <c r="AA62" s="841">
        <f t="shared" ref="AA62" si="45">AA59 + AA60 + AA61</f>
        <v>11.041228778248723</v>
      </c>
      <c r="AB62" s="841">
        <f t="shared" ref="AB62" si="46">AB59 + AB60 + AB61</f>
        <v>13.249474533898468</v>
      </c>
      <c r="AC62" s="841">
        <f t="shared" ref="AC62" si="47">AC59 + AC60 + AC61</f>
        <v>15.899369440678161</v>
      </c>
      <c r="AD62" s="841">
        <f t="shared" ref="AD62:AF62" si="48">AD59 + AD60 + AD61</f>
        <v>19.079243328813796</v>
      </c>
      <c r="AE62" s="842">
        <f t="shared" si="48"/>
        <v>22.895091994576553</v>
      </c>
      <c r="AF62" s="843">
        <f t="shared" si="48"/>
        <v>27.474110393491863</v>
      </c>
      <c r="AG62" s="17"/>
      <c r="AH62" s="17"/>
      <c r="AI62" s="17"/>
      <c r="AJ62" s="17"/>
      <c r="AK62" s="17"/>
      <c r="AL62"/>
      <c r="AM62"/>
      <c r="AN62"/>
      <c r="AO62"/>
      <c r="AP62"/>
    </row>
    <row r="63" spans="2:42" s="7" customFormat="1" ht="21.95" customHeight="1" x14ac:dyDescent="0.2">
      <c r="B63" s="199"/>
      <c r="C63" s="229" t="str">
        <f>C20</f>
        <v>Williams St</v>
      </c>
      <c r="D63" s="116" t="s">
        <v>32</v>
      </c>
      <c r="E63" s="577" cm="1">
        <f t="array" ref="E63:AF63">F20 * $F$36 * (1 + $M$12) ^ (year - baseYear)</f>
        <v>0</v>
      </c>
      <c r="F63" s="577">
        <v>0</v>
      </c>
      <c r="G63" s="577">
        <v>0</v>
      </c>
      <c r="H63" s="577">
        <v>0</v>
      </c>
      <c r="I63" s="577">
        <v>0</v>
      </c>
      <c r="J63" s="577">
        <v>0</v>
      </c>
      <c r="K63" s="577">
        <v>0</v>
      </c>
      <c r="L63" s="577">
        <v>0</v>
      </c>
      <c r="M63" s="577">
        <v>0</v>
      </c>
      <c r="N63" s="577">
        <v>0</v>
      </c>
      <c r="O63" s="577">
        <v>0</v>
      </c>
      <c r="P63" s="577">
        <v>0</v>
      </c>
      <c r="Q63" s="577">
        <v>0</v>
      </c>
      <c r="R63" s="577">
        <v>0</v>
      </c>
      <c r="S63" s="577">
        <v>0</v>
      </c>
      <c r="T63" s="577">
        <v>0</v>
      </c>
      <c r="U63" s="577">
        <v>0</v>
      </c>
      <c r="V63" s="577">
        <v>0</v>
      </c>
      <c r="W63" s="577">
        <v>0</v>
      </c>
      <c r="X63" s="577">
        <v>0</v>
      </c>
      <c r="Y63" s="577">
        <v>0</v>
      </c>
      <c r="Z63" s="577">
        <v>0</v>
      </c>
      <c r="AA63" s="577">
        <v>0</v>
      </c>
      <c r="AB63" s="577">
        <v>0</v>
      </c>
      <c r="AC63" s="577">
        <v>0</v>
      </c>
      <c r="AD63" s="577">
        <v>0</v>
      </c>
      <c r="AE63" s="577">
        <v>0</v>
      </c>
      <c r="AF63" s="752">
        <v>0</v>
      </c>
      <c r="AG63" s="17"/>
      <c r="AH63" s="17"/>
      <c r="AI63" s="17"/>
      <c r="AJ63" s="17"/>
      <c r="AK63" s="17"/>
      <c r="AL63"/>
      <c r="AM63"/>
      <c r="AN63"/>
      <c r="AO63"/>
      <c r="AP63"/>
    </row>
    <row r="64" spans="2:42" s="7" customFormat="1" ht="21.95" customHeight="1" x14ac:dyDescent="0.2">
      <c r="B64" s="199"/>
      <c r="C64" s="228"/>
      <c r="D64" s="116" t="s">
        <v>33</v>
      </c>
      <c r="E64" s="577" cm="1">
        <f t="array" ref="E64:AF64">F21 * $F$36 * (1 + $M$12) ^ (year - baseYear)</f>
        <v>0</v>
      </c>
      <c r="F64" s="577">
        <v>0</v>
      </c>
      <c r="G64" s="577">
        <v>0</v>
      </c>
      <c r="H64" s="577">
        <v>0</v>
      </c>
      <c r="I64" s="577">
        <v>0</v>
      </c>
      <c r="J64" s="577">
        <v>0</v>
      </c>
      <c r="K64" s="577">
        <v>0</v>
      </c>
      <c r="L64" s="577">
        <v>0</v>
      </c>
      <c r="M64" s="577">
        <v>0</v>
      </c>
      <c r="N64" s="577">
        <v>0</v>
      </c>
      <c r="O64" s="577">
        <v>0</v>
      </c>
      <c r="P64" s="577">
        <v>0</v>
      </c>
      <c r="Q64" s="577">
        <v>0</v>
      </c>
      <c r="R64" s="577">
        <v>0</v>
      </c>
      <c r="S64" s="577">
        <v>0</v>
      </c>
      <c r="T64" s="577">
        <v>0</v>
      </c>
      <c r="U64" s="577">
        <v>0</v>
      </c>
      <c r="V64" s="577">
        <v>0</v>
      </c>
      <c r="W64" s="577">
        <v>0</v>
      </c>
      <c r="X64" s="577">
        <v>0</v>
      </c>
      <c r="Y64" s="577">
        <v>0</v>
      </c>
      <c r="Z64" s="577">
        <v>0</v>
      </c>
      <c r="AA64" s="577">
        <v>0</v>
      </c>
      <c r="AB64" s="577">
        <v>0</v>
      </c>
      <c r="AC64" s="577">
        <v>0</v>
      </c>
      <c r="AD64" s="577">
        <v>0</v>
      </c>
      <c r="AE64" s="577">
        <v>0</v>
      </c>
      <c r="AF64" s="752">
        <v>0</v>
      </c>
      <c r="AG64" s="17"/>
      <c r="AH64" s="17"/>
      <c r="AI64" s="17"/>
      <c r="AJ64" s="17"/>
      <c r="AK64" s="17"/>
      <c r="AL64"/>
      <c r="AM64"/>
      <c r="AN64"/>
      <c r="AO64"/>
      <c r="AP64"/>
    </row>
    <row r="65" spans="2:42" s="7" customFormat="1" ht="21.95" customHeight="1" x14ac:dyDescent="0.2">
      <c r="B65" s="199"/>
      <c r="C65" s="116"/>
      <c r="D65" s="124" t="s">
        <v>30</v>
      </c>
      <c r="E65" s="840" cm="1">
        <f t="array" ref="E65:AF65">F22 * $F$36 * (1 + $M$12) ^ (year - baseYear)</f>
        <v>0</v>
      </c>
      <c r="F65" s="840">
        <v>0</v>
      </c>
      <c r="G65" s="840">
        <v>0</v>
      </c>
      <c r="H65" s="840">
        <v>0</v>
      </c>
      <c r="I65" s="840">
        <v>0</v>
      </c>
      <c r="J65" s="840">
        <v>0</v>
      </c>
      <c r="K65" s="840">
        <v>0</v>
      </c>
      <c r="L65" s="840">
        <v>0</v>
      </c>
      <c r="M65" s="840">
        <v>0</v>
      </c>
      <c r="N65" s="840">
        <v>0</v>
      </c>
      <c r="O65" s="840">
        <v>0</v>
      </c>
      <c r="P65" s="840">
        <v>0</v>
      </c>
      <c r="Q65" s="840">
        <v>0</v>
      </c>
      <c r="R65" s="840">
        <v>0</v>
      </c>
      <c r="S65" s="840">
        <v>0</v>
      </c>
      <c r="T65" s="840">
        <v>0</v>
      </c>
      <c r="U65" s="840">
        <v>0</v>
      </c>
      <c r="V65" s="840">
        <v>0</v>
      </c>
      <c r="W65" s="840">
        <v>0</v>
      </c>
      <c r="X65" s="840">
        <v>0</v>
      </c>
      <c r="Y65" s="840">
        <v>0</v>
      </c>
      <c r="Z65" s="840">
        <v>0</v>
      </c>
      <c r="AA65" s="840">
        <v>0</v>
      </c>
      <c r="AB65" s="840">
        <v>0</v>
      </c>
      <c r="AC65" s="840">
        <v>0</v>
      </c>
      <c r="AD65" s="840">
        <v>0</v>
      </c>
      <c r="AE65" s="577">
        <v>0</v>
      </c>
      <c r="AF65" s="752">
        <v>0</v>
      </c>
      <c r="AG65" s="17"/>
      <c r="AH65" s="17"/>
      <c r="AI65" s="17"/>
      <c r="AJ65" s="17"/>
      <c r="AK65" s="17"/>
      <c r="AL65"/>
      <c r="AM65"/>
      <c r="AN65"/>
      <c r="AO65"/>
      <c r="AP65"/>
    </row>
    <row r="66" spans="2:42" s="7" customFormat="1" ht="21.95" customHeight="1" x14ac:dyDescent="0.2">
      <c r="B66" s="199"/>
      <c r="C66" s="116"/>
      <c r="D66" s="720" t="s">
        <v>25</v>
      </c>
      <c r="E66" s="841">
        <f>E63 + E64 + E65</f>
        <v>0</v>
      </c>
      <c r="F66" s="841">
        <f t="shared" ref="F66:AF66" si="49">F63 + F64 + F65</f>
        <v>0</v>
      </c>
      <c r="G66" s="841">
        <f t="shared" si="49"/>
        <v>0</v>
      </c>
      <c r="H66" s="841">
        <f t="shared" si="49"/>
        <v>0</v>
      </c>
      <c r="I66" s="841">
        <f t="shared" si="49"/>
        <v>0</v>
      </c>
      <c r="J66" s="841">
        <f t="shared" si="49"/>
        <v>0</v>
      </c>
      <c r="K66" s="841">
        <f t="shared" si="49"/>
        <v>0</v>
      </c>
      <c r="L66" s="841">
        <f t="shared" si="49"/>
        <v>0</v>
      </c>
      <c r="M66" s="841">
        <f t="shared" si="49"/>
        <v>0</v>
      </c>
      <c r="N66" s="841">
        <f t="shared" si="49"/>
        <v>0</v>
      </c>
      <c r="O66" s="841">
        <f t="shared" si="49"/>
        <v>0</v>
      </c>
      <c r="P66" s="841">
        <f t="shared" si="49"/>
        <v>0</v>
      </c>
      <c r="Q66" s="841">
        <f t="shared" si="49"/>
        <v>0</v>
      </c>
      <c r="R66" s="841">
        <f t="shared" si="49"/>
        <v>0</v>
      </c>
      <c r="S66" s="841">
        <f t="shared" si="49"/>
        <v>0</v>
      </c>
      <c r="T66" s="841">
        <f t="shared" si="49"/>
        <v>0</v>
      </c>
      <c r="U66" s="841">
        <f t="shared" si="49"/>
        <v>0</v>
      </c>
      <c r="V66" s="841">
        <f t="shared" si="49"/>
        <v>0</v>
      </c>
      <c r="W66" s="841">
        <f t="shared" si="49"/>
        <v>0</v>
      </c>
      <c r="X66" s="841">
        <f t="shared" si="49"/>
        <v>0</v>
      </c>
      <c r="Y66" s="841">
        <f t="shared" si="49"/>
        <v>0</v>
      </c>
      <c r="Z66" s="841">
        <f t="shared" si="49"/>
        <v>0</v>
      </c>
      <c r="AA66" s="841">
        <f t="shared" si="49"/>
        <v>0</v>
      </c>
      <c r="AB66" s="841">
        <f t="shared" si="49"/>
        <v>0</v>
      </c>
      <c r="AC66" s="841">
        <f t="shared" si="49"/>
        <v>0</v>
      </c>
      <c r="AD66" s="841">
        <f t="shared" si="49"/>
        <v>0</v>
      </c>
      <c r="AE66" s="842">
        <f t="shared" si="49"/>
        <v>0</v>
      </c>
      <c r="AF66" s="843">
        <f t="shared" si="49"/>
        <v>0</v>
      </c>
      <c r="AG66" s="17"/>
      <c r="AH66" s="17"/>
      <c r="AI66" s="17"/>
      <c r="AJ66" s="17"/>
      <c r="AK66" s="17"/>
      <c r="AL66"/>
      <c r="AM66"/>
      <c r="AN66"/>
      <c r="AO66"/>
      <c r="AP66"/>
    </row>
    <row r="67" spans="2:42" s="7" customFormat="1" ht="21.95" customHeight="1" x14ac:dyDescent="0.2">
      <c r="B67" s="199"/>
      <c r="C67" s="220" t="str">
        <f>C23</f>
        <v>SH-412B North</v>
      </c>
      <c r="D67" s="116" t="s">
        <v>32</v>
      </c>
      <c r="E67" s="577" cm="1">
        <f t="array" ref="E67:AF67">F23 * $F$37 * (1 + $M$13) ^ (year - baseYear)</f>
        <v>0</v>
      </c>
      <c r="F67" s="577">
        <v>0</v>
      </c>
      <c r="G67" s="577">
        <v>0</v>
      </c>
      <c r="H67" s="577">
        <v>0</v>
      </c>
      <c r="I67" s="577">
        <v>0</v>
      </c>
      <c r="J67" s="577">
        <v>0</v>
      </c>
      <c r="K67" s="577">
        <v>0</v>
      </c>
      <c r="L67" s="577">
        <v>0</v>
      </c>
      <c r="M67" s="577">
        <v>0</v>
      </c>
      <c r="N67" s="577">
        <v>0</v>
      </c>
      <c r="O67" s="577">
        <v>0</v>
      </c>
      <c r="P67" s="577">
        <v>0</v>
      </c>
      <c r="Q67" s="577">
        <v>0</v>
      </c>
      <c r="R67" s="577">
        <v>0</v>
      </c>
      <c r="S67" s="577">
        <v>0</v>
      </c>
      <c r="T67" s="577">
        <v>0</v>
      </c>
      <c r="U67" s="577">
        <v>0</v>
      </c>
      <c r="V67" s="577">
        <v>0</v>
      </c>
      <c r="W67" s="577">
        <v>0</v>
      </c>
      <c r="X67" s="577">
        <v>0</v>
      </c>
      <c r="Y67" s="577">
        <v>0</v>
      </c>
      <c r="Z67" s="577">
        <v>0</v>
      </c>
      <c r="AA67" s="577">
        <v>0</v>
      </c>
      <c r="AB67" s="577">
        <v>0</v>
      </c>
      <c r="AC67" s="577">
        <v>0</v>
      </c>
      <c r="AD67" s="577">
        <v>0</v>
      </c>
      <c r="AE67" s="577">
        <v>0</v>
      </c>
      <c r="AF67" s="752">
        <v>0</v>
      </c>
      <c r="AG67" s="17"/>
      <c r="AH67" s="17"/>
      <c r="AI67" s="17"/>
      <c r="AJ67" s="17"/>
      <c r="AK67" s="17"/>
      <c r="AL67"/>
      <c r="AM67"/>
      <c r="AN67"/>
      <c r="AO67"/>
      <c r="AP67"/>
    </row>
    <row r="68" spans="2:42" s="7" customFormat="1" ht="21.95" customHeight="1" x14ac:dyDescent="0.2">
      <c r="B68" s="199"/>
      <c r="C68" s="116" t="str">
        <f>C24</f>
        <v>(Reconstruction)</v>
      </c>
      <c r="D68" s="116" t="s">
        <v>33</v>
      </c>
      <c r="E68" s="577" cm="1">
        <f t="array" ref="E68:AF68">F24 * $F$37 * (1 + $M$13) ^ (year - baseYear)</f>
        <v>1.8</v>
      </c>
      <c r="F68" s="577">
        <v>2.2510224000000001</v>
      </c>
      <c r="G68" s="577">
        <v>2.8150565807231995</v>
      </c>
      <c r="H68" s="577">
        <v>3.5204196780418497</v>
      </c>
      <c r="I68" s="577">
        <v>4.4025241959294403</v>
      </c>
      <c r="J68" s="577">
        <v>5.5056558786550873</v>
      </c>
      <c r="K68" s="577">
        <v>6.8851970608579345</v>
      </c>
      <c r="L68" s="577">
        <v>8.6104071180029855</v>
      </c>
      <c r="M68" s="577">
        <v>10.767899608746756</v>
      </c>
      <c r="N68" s="577">
        <v>13.465990677911213</v>
      </c>
      <c r="O68" s="577">
        <v>16.840137030094066</v>
      </c>
      <c r="P68" s="577">
        <v>21.059736485450674</v>
      </c>
      <c r="Q68" s="577">
        <v>26.336632537137081</v>
      </c>
      <c r="R68" s="577">
        <v>32.935749878702438</v>
      </c>
      <c r="S68" s="577">
        <v>41.188394854309152</v>
      </c>
      <c r="T68" s="577">
        <v>51.508888576163685</v>
      </c>
      <c r="U68" s="577">
        <v>64.415367768915871</v>
      </c>
      <c r="V68" s="577">
        <v>80.555797640037568</v>
      </c>
      <c r="W68" s="577">
        <v>100.74050274310649</v>
      </c>
      <c r="X68" s="577">
        <v>125.98284903444119</v>
      </c>
      <c r="Y68" s="577">
        <v>157.55011955130306</v>
      </c>
      <c r="Z68" s="577">
        <v>197.02713790703393</v>
      </c>
      <c r="AA68" s="577">
        <v>246.39583379812359</v>
      </c>
      <c r="AB68" s="577">
        <v>308.13474508125176</v>
      </c>
      <c r="AC68" s="577">
        <v>385.34345188677094</v>
      </c>
      <c r="AD68" s="577">
        <v>481.89818993913531</v>
      </c>
      <c r="AE68" s="577">
        <v>602.64645559580447</v>
      </c>
      <c r="AF68" s="752">
        <v>753.6503726815339</v>
      </c>
      <c r="AG68" s="17"/>
      <c r="AH68" s="17"/>
      <c r="AI68" s="17"/>
      <c r="AJ68" s="17"/>
      <c r="AK68" s="17"/>
      <c r="AL68"/>
      <c r="AM68"/>
      <c r="AN68"/>
      <c r="AO68"/>
      <c r="AP68"/>
    </row>
    <row r="69" spans="2:42" s="7" customFormat="1" ht="21.95" customHeight="1" x14ac:dyDescent="0.2">
      <c r="B69" s="199"/>
      <c r="C69" s="116"/>
      <c r="D69" s="116" t="s">
        <v>30</v>
      </c>
      <c r="E69" s="577" cm="1">
        <f t="array" ref="E69:AF69">F25 * $F$37 * (1 + $M$13) ^ (year - baseYear)</f>
        <v>2.4</v>
      </c>
      <c r="F69" s="577">
        <v>3.0013631999999997</v>
      </c>
      <c r="G69" s="577">
        <v>3.7534087742975992</v>
      </c>
      <c r="H69" s="577">
        <v>4.6938929040557991</v>
      </c>
      <c r="I69" s="577">
        <v>5.8700322612392535</v>
      </c>
      <c r="J69" s="577">
        <v>7.3408745048734492</v>
      </c>
      <c r="K69" s="577">
        <v>9.1802627478105787</v>
      </c>
      <c r="L69" s="577">
        <v>11.48054282400398</v>
      </c>
      <c r="M69" s="577">
        <v>14.357199478329008</v>
      </c>
      <c r="N69" s="577">
        <v>17.95465423721495</v>
      </c>
      <c r="O69" s="577">
        <v>22.453516040125422</v>
      </c>
      <c r="P69" s="577">
        <v>28.079648647267565</v>
      </c>
      <c r="Q69" s="577">
        <v>35.115510049516104</v>
      </c>
      <c r="R69" s="577">
        <v>43.914333171603253</v>
      </c>
      <c r="S69" s="577">
        <v>54.917859805745536</v>
      </c>
      <c r="T69" s="577">
        <v>68.678518101551575</v>
      </c>
      <c r="U69" s="577">
        <v>85.887157025221157</v>
      </c>
      <c r="V69" s="577">
        <v>107.40773018671676</v>
      </c>
      <c r="W69" s="577">
        <v>134.32067032414199</v>
      </c>
      <c r="X69" s="577">
        <v>167.97713204592156</v>
      </c>
      <c r="Y69" s="577">
        <v>210.06682606840405</v>
      </c>
      <c r="Z69" s="577">
        <v>262.70285054271193</v>
      </c>
      <c r="AA69" s="577">
        <v>328.52777839749808</v>
      </c>
      <c r="AB69" s="577">
        <v>410.84632677500235</v>
      </c>
      <c r="AC69" s="577">
        <v>513.79126918236113</v>
      </c>
      <c r="AD69" s="577">
        <v>642.53091991884696</v>
      </c>
      <c r="AE69" s="577">
        <v>803.52860746107251</v>
      </c>
      <c r="AF69" s="752">
        <v>1004.8671635753784</v>
      </c>
      <c r="AG69" s="17"/>
      <c r="AH69" s="17"/>
      <c r="AI69" s="17"/>
      <c r="AJ69" s="17"/>
      <c r="AK69" s="17"/>
      <c r="AL69"/>
      <c r="AM69"/>
      <c r="AN69"/>
      <c r="AO69"/>
      <c r="AP69"/>
    </row>
    <row r="70" spans="2:42" s="7" customFormat="1" ht="21.95" customHeight="1" x14ac:dyDescent="0.2">
      <c r="B70" s="199"/>
      <c r="C70" s="116"/>
      <c r="D70" s="844" t="s">
        <v>25</v>
      </c>
      <c r="E70" s="842">
        <f>E67 + E68 + E69</f>
        <v>4.2</v>
      </c>
      <c r="F70" s="842">
        <f t="shared" ref="F70:AF70" si="50">F67 + F68 + F69</f>
        <v>5.2523856000000002</v>
      </c>
      <c r="G70" s="842">
        <f t="shared" si="50"/>
        <v>6.5684653550207983</v>
      </c>
      <c r="H70" s="842">
        <f t="shared" si="50"/>
        <v>8.2143125820976479</v>
      </c>
      <c r="I70" s="842">
        <f t="shared" si="50"/>
        <v>10.272556457168694</v>
      </c>
      <c r="J70" s="842">
        <f t="shared" si="50"/>
        <v>12.846530383528536</v>
      </c>
      <c r="K70" s="842">
        <f t="shared" si="50"/>
        <v>16.065459808668514</v>
      </c>
      <c r="L70" s="842">
        <f t="shared" si="50"/>
        <v>20.090949942006965</v>
      </c>
      <c r="M70" s="842">
        <f t="shared" si="50"/>
        <v>25.125099087075764</v>
      </c>
      <c r="N70" s="842">
        <f t="shared" si="50"/>
        <v>31.420644915126161</v>
      </c>
      <c r="O70" s="842">
        <f t="shared" si="50"/>
        <v>39.293653070219491</v>
      </c>
      <c r="P70" s="842">
        <f t="shared" si="50"/>
        <v>49.139385132718239</v>
      </c>
      <c r="Q70" s="842">
        <f t="shared" si="50"/>
        <v>61.452142586653181</v>
      </c>
      <c r="R70" s="842">
        <f t="shared" si="50"/>
        <v>76.850083050305699</v>
      </c>
      <c r="S70" s="842">
        <f t="shared" si="50"/>
        <v>96.106254660054688</v>
      </c>
      <c r="T70" s="842">
        <f t="shared" si="50"/>
        <v>120.18740667771526</v>
      </c>
      <c r="U70" s="842">
        <f t="shared" si="50"/>
        <v>150.30252479413701</v>
      </c>
      <c r="V70" s="842">
        <f t="shared" si="50"/>
        <v>187.96352782675433</v>
      </c>
      <c r="W70" s="842">
        <f t="shared" si="50"/>
        <v>235.06117306724849</v>
      </c>
      <c r="X70" s="842">
        <f t="shared" si="50"/>
        <v>293.95998108036275</v>
      </c>
      <c r="Y70" s="842">
        <f t="shared" si="50"/>
        <v>367.61694561970711</v>
      </c>
      <c r="Z70" s="842">
        <f t="shared" si="50"/>
        <v>459.72998844974586</v>
      </c>
      <c r="AA70" s="842">
        <f t="shared" si="50"/>
        <v>574.92361219562167</v>
      </c>
      <c r="AB70" s="842">
        <f t="shared" si="50"/>
        <v>718.98107185625418</v>
      </c>
      <c r="AC70" s="842">
        <f t="shared" si="50"/>
        <v>899.13472106913207</v>
      </c>
      <c r="AD70" s="842">
        <f t="shared" si="50"/>
        <v>1124.4291098579822</v>
      </c>
      <c r="AE70" s="842">
        <f t="shared" si="50"/>
        <v>1406.175063056877</v>
      </c>
      <c r="AF70" s="843">
        <f t="shared" si="50"/>
        <v>1758.5175362569123</v>
      </c>
      <c r="AG70" s="17"/>
      <c r="AH70" s="17"/>
      <c r="AI70" s="17"/>
      <c r="AJ70" s="17"/>
      <c r="AK70" s="17"/>
      <c r="AL70"/>
      <c r="AM70"/>
      <c r="AN70"/>
      <c r="AO70"/>
      <c r="AP70"/>
    </row>
    <row r="71" spans="2:42" s="7" customFormat="1" ht="21.95" customHeight="1" x14ac:dyDescent="0.2">
      <c r="B71" s="199"/>
      <c r="C71" s="220" t="str">
        <f>C26</f>
        <v>US 69/Main St</v>
      </c>
      <c r="D71" s="116" t="s">
        <v>32</v>
      </c>
      <c r="E71" s="577" cm="1">
        <f t="array" ref="E71:AF71">F26 * $F$38 * (1 + $M$14) ^ (year - baseYear)</f>
        <v>0</v>
      </c>
      <c r="F71" s="577">
        <v>0</v>
      </c>
      <c r="G71" s="577">
        <v>0</v>
      </c>
      <c r="H71" s="577">
        <v>0</v>
      </c>
      <c r="I71" s="577">
        <v>0</v>
      </c>
      <c r="J71" s="577">
        <v>0</v>
      </c>
      <c r="K71" s="577">
        <v>0</v>
      </c>
      <c r="L71" s="577">
        <v>0</v>
      </c>
      <c r="M71" s="577">
        <v>0</v>
      </c>
      <c r="N71" s="577">
        <v>0</v>
      </c>
      <c r="O71" s="577">
        <v>0</v>
      </c>
      <c r="P71" s="577">
        <v>0</v>
      </c>
      <c r="Q71" s="577">
        <v>0</v>
      </c>
      <c r="R71" s="577">
        <v>0</v>
      </c>
      <c r="S71" s="577">
        <v>0</v>
      </c>
      <c r="T71" s="577">
        <v>0</v>
      </c>
      <c r="U71" s="577">
        <v>0</v>
      </c>
      <c r="V71" s="577">
        <v>0</v>
      </c>
      <c r="W71" s="577">
        <v>0</v>
      </c>
      <c r="X71" s="577">
        <v>0</v>
      </c>
      <c r="Y71" s="577">
        <v>0</v>
      </c>
      <c r="Z71" s="577">
        <v>0</v>
      </c>
      <c r="AA71" s="577">
        <v>0</v>
      </c>
      <c r="AB71" s="577">
        <v>0</v>
      </c>
      <c r="AC71" s="577">
        <v>0</v>
      </c>
      <c r="AD71" s="577">
        <v>0</v>
      </c>
      <c r="AE71" s="577">
        <v>0</v>
      </c>
      <c r="AF71" s="752">
        <v>0</v>
      </c>
      <c r="AG71" s="17"/>
      <c r="AH71" s="17"/>
      <c r="AI71" s="17"/>
      <c r="AJ71" s="17"/>
      <c r="AK71" s="17"/>
      <c r="AL71"/>
      <c r="AM71"/>
      <c r="AN71"/>
      <c r="AO71"/>
      <c r="AP71"/>
    </row>
    <row r="72" spans="2:42" s="7" customFormat="1" ht="21.95" customHeight="1" x14ac:dyDescent="0.2">
      <c r="B72" s="199"/>
      <c r="C72" s="116" t="str">
        <f>C27</f>
        <v>(Intersection)</v>
      </c>
      <c r="D72" s="116" t="s">
        <v>33</v>
      </c>
      <c r="E72" s="577" cm="1">
        <f t="array" ref="E72:AF72">F27 * $F$38 * (1 + $M$14) ^ (year - baseYear)</f>
        <v>0.2</v>
      </c>
      <c r="F72" s="577">
        <v>0.20590002285714287</v>
      </c>
      <c r="G72" s="577">
        <v>0.21197409706285977</v>
      </c>
      <c r="H72" s="577">
        <v>0.21822735715182523</v>
      </c>
      <c r="I72" s="577">
        <v>0.22466508912807348</v>
      </c>
      <c r="J72" s="577">
        <v>0.23129273493336183</v>
      </c>
      <c r="K72" s="577">
        <v>0.23811589704735148</v>
      </c>
      <c r="L72" s="577">
        <v>0.24514034322349368</v>
      </c>
      <c r="M72" s="577">
        <v>0.252372011364626</v>
      </c>
      <c r="N72" s="577">
        <v>0.25981701454239808</v>
      </c>
      <c r="O72" s="577">
        <v>0.26748164616477194</v>
      </c>
      <c r="P72" s="577">
        <v>0.2753723852959637</v>
      </c>
      <c r="Q72" s="577">
        <v>0.28349590213332437</v>
      </c>
      <c r="R72" s="577">
        <v>0.29185906364578912</v>
      </c>
      <c r="S72" s="577">
        <v>0.30046893937866148</v>
      </c>
      <c r="T72" s="577">
        <v>0.30933280742963931</v>
      </c>
      <c r="U72" s="577">
        <v>0.31845816060113458</v>
      </c>
      <c r="V72" s="577">
        <v>0.32785271273408645</v>
      </c>
      <c r="W72" s="577">
        <v>0.33752440522862343</v>
      </c>
      <c r="X72" s="577">
        <v>0.34748141375708558</v>
      </c>
      <c r="Y72" s="577">
        <v>0.35773215517508117</v>
      </c>
      <c r="Z72" s="577">
        <v>0.36828529463642096</v>
      </c>
      <c r="AA72" s="577">
        <v>0.37914975291794339</v>
      </c>
      <c r="AB72" s="577">
        <v>0.39033471396042302</v>
      </c>
      <c r="AC72" s="577">
        <v>0.40184963263193718</v>
      </c>
      <c r="AD72" s="577">
        <v>0.41370424272025152</v>
      </c>
      <c r="AE72" s="577">
        <v>0.42590856516098391</v>
      </c>
      <c r="AF72" s="752">
        <v>0.43847291650849751</v>
      </c>
      <c r="AG72" s="17"/>
      <c r="AH72" s="17"/>
      <c r="AI72" s="17"/>
      <c r="AJ72" s="17"/>
      <c r="AK72" s="17"/>
      <c r="AL72"/>
      <c r="AM72"/>
      <c r="AN72"/>
      <c r="AO72"/>
      <c r="AP72"/>
    </row>
    <row r="73" spans="2:42" s="7" customFormat="1" ht="21.95" customHeight="1" x14ac:dyDescent="0.2">
      <c r="B73" s="199"/>
      <c r="C73" s="116"/>
      <c r="D73" s="116" t="s">
        <v>30</v>
      </c>
      <c r="E73" s="577" cm="1">
        <f t="array" ref="E73:AF73">F28 * $F$38 * (1 + $M$14) ^ (year - baseYear)</f>
        <v>1.4</v>
      </c>
      <c r="F73" s="577">
        <v>1.4413001599999999</v>
      </c>
      <c r="G73" s="577">
        <v>1.4838186794400183</v>
      </c>
      <c r="H73" s="577">
        <v>1.5275915000627764</v>
      </c>
      <c r="I73" s="577">
        <v>1.5726556238965144</v>
      </c>
      <c r="J73" s="577">
        <v>1.6190491445335327</v>
      </c>
      <c r="K73" s="577">
        <v>1.66681127933146</v>
      </c>
      <c r="L73" s="577">
        <v>1.7159824025644557</v>
      </c>
      <c r="M73" s="577">
        <v>1.7666040795523819</v>
      </c>
      <c r="N73" s="577">
        <v>1.8187191017967863</v>
      </c>
      <c r="O73" s="577">
        <v>1.8723715231534033</v>
      </c>
      <c r="P73" s="577">
        <v>1.9276066970717456</v>
      </c>
      <c r="Q73" s="577">
        <v>1.9844713149332704</v>
      </c>
      <c r="R73" s="577">
        <v>2.0430134455205233</v>
      </c>
      <c r="S73" s="577">
        <v>2.1032825756506304</v>
      </c>
      <c r="T73" s="577">
        <v>2.165329652007475</v>
      </c>
      <c r="U73" s="577">
        <v>2.2292071242079419</v>
      </c>
      <c r="V73" s="577">
        <v>2.2949689891386047</v>
      </c>
      <c r="W73" s="577">
        <v>2.3626708366003637</v>
      </c>
      <c r="X73" s="577">
        <v>2.4323698962995985</v>
      </c>
      <c r="Y73" s="577">
        <v>2.5041250862255682</v>
      </c>
      <c r="Z73" s="577">
        <v>2.5779970624549464</v>
      </c>
      <c r="AA73" s="577">
        <v>2.6540482704256037</v>
      </c>
      <c r="AB73" s="577">
        <v>2.7323429977229607</v>
      </c>
      <c r="AC73" s="577">
        <v>2.8129474284235596</v>
      </c>
      <c r="AD73" s="577">
        <v>2.8959296990417607</v>
      </c>
      <c r="AE73" s="577">
        <v>2.9813599561268869</v>
      </c>
      <c r="AF73" s="752">
        <v>3.0693104155594826</v>
      </c>
      <c r="AG73" s="17"/>
      <c r="AH73" s="17"/>
      <c r="AI73" s="17"/>
      <c r="AJ73" s="17"/>
      <c r="AK73" s="17"/>
      <c r="AL73"/>
      <c r="AM73"/>
      <c r="AN73"/>
      <c r="AO73"/>
      <c r="AP73"/>
    </row>
    <row r="74" spans="2:42" s="7" customFormat="1" ht="21.95" customHeight="1" x14ac:dyDescent="0.2">
      <c r="B74" s="199"/>
      <c r="C74" s="116"/>
      <c r="D74" s="844" t="s">
        <v>25</v>
      </c>
      <c r="E74" s="842">
        <f>E71 + E72 + E73</f>
        <v>1.5999999999999999</v>
      </c>
      <c r="F74" s="842">
        <f t="shared" ref="F74:AD74" si="51">F71 + F72 + F73</f>
        <v>1.6472001828571428</v>
      </c>
      <c r="G74" s="842">
        <f t="shared" si="51"/>
        <v>1.6957927765028782</v>
      </c>
      <c r="H74" s="842">
        <f t="shared" si="51"/>
        <v>1.7458188572146016</v>
      </c>
      <c r="I74" s="842">
        <f t="shared" si="51"/>
        <v>1.7973207130245878</v>
      </c>
      <c r="J74" s="842">
        <f t="shared" si="51"/>
        <v>1.8503418794668944</v>
      </c>
      <c r="K74" s="842">
        <f t="shared" si="51"/>
        <v>1.9049271763788114</v>
      </c>
      <c r="L74" s="842">
        <f t="shared" si="51"/>
        <v>1.9611227457879494</v>
      </c>
      <c r="M74" s="842">
        <f t="shared" si="51"/>
        <v>2.018976090917008</v>
      </c>
      <c r="N74" s="842">
        <f t="shared" si="51"/>
        <v>2.0785361163391842</v>
      </c>
      <c r="O74" s="842">
        <f t="shared" si="51"/>
        <v>2.139853169318175</v>
      </c>
      <c r="P74" s="842">
        <f t="shared" si="51"/>
        <v>2.2029790823677091</v>
      </c>
      <c r="Q74" s="842">
        <f t="shared" si="51"/>
        <v>2.267967217066595</v>
      </c>
      <c r="R74" s="842">
        <f t="shared" si="51"/>
        <v>2.3348725091663125</v>
      </c>
      <c r="S74" s="842">
        <f t="shared" si="51"/>
        <v>2.4037515150292919</v>
      </c>
      <c r="T74" s="842">
        <f t="shared" si="51"/>
        <v>2.4746624594371145</v>
      </c>
      <c r="U74" s="842">
        <f t="shared" si="51"/>
        <v>2.5476652848090766</v>
      </c>
      <c r="V74" s="842">
        <f t="shared" si="51"/>
        <v>2.6228217018726911</v>
      </c>
      <c r="W74" s="842">
        <f t="shared" si="51"/>
        <v>2.700195241828987</v>
      </c>
      <c r="X74" s="842">
        <f t="shared" si="51"/>
        <v>2.7798513100566842</v>
      </c>
      <c r="Y74" s="842">
        <f t="shared" si="51"/>
        <v>2.8618572414006493</v>
      </c>
      <c r="Z74" s="842">
        <f t="shared" si="51"/>
        <v>2.9462823570913672</v>
      </c>
      <c r="AA74" s="842">
        <f t="shared" si="51"/>
        <v>3.0331980233435472</v>
      </c>
      <c r="AB74" s="842">
        <f t="shared" si="51"/>
        <v>3.1226777116833837</v>
      </c>
      <c r="AC74" s="842">
        <f t="shared" si="51"/>
        <v>3.2147970610554966</v>
      </c>
      <c r="AD74" s="842">
        <f t="shared" si="51"/>
        <v>3.3096339417620122</v>
      </c>
      <c r="AE74" s="842">
        <f t="shared" ref="AE74:AF74" si="52">AE71 + AE72 + AE73</f>
        <v>3.4072685212878708</v>
      </c>
      <c r="AF74" s="843">
        <f t="shared" si="52"/>
        <v>3.5077833320679801</v>
      </c>
      <c r="AG74" s="17"/>
      <c r="AH74" s="17"/>
      <c r="AI74" s="17"/>
      <c r="AJ74" s="17"/>
      <c r="AK74" s="17"/>
      <c r="AL74"/>
      <c r="AM74"/>
      <c r="AN74"/>
      <c r="AO74"/>
      <c r="AP74"/>
    </row>
    <row r="75" spans="2:42" s="7" customFormat="1" ht="21.95" customHeight="1" x14ac:dyDescent="0.2">
      <c r="B75" s="199"/>
      <c r="C75" s="220" t="str">
        <f>C29</f>
        <v>Zarrow St</v>
      </c>
      <c r="D75" s="116" t="s">
        <v>32</v>
      </c>
      <c r="E75" s="577" cm="1">
        <f t="array" ref="E75:AF75">F29 * $F$39 * (1 + $M$15) ^ (year - baseYear)</f>
        <v>0.2</v>
      </c>
      <c r="F75" s="583">
        <v>0.21590373333333335</v>
      </c>
      <c r="G75" s="583">
        <v>0.23307211033635561</v>
      </c>
      <c r="H75" s="583">
        <v>0.25160569378748882</v>
      </c>
      <c r="I75" s="583">
        <v>0.2716130430832116</v>
      </c>
      <c r="J75" s="583">
        <v>0.2932113501184645</v>
      </c>
      <c r="K75" s="583">
        <v>0.316527125731418</v>
      </c>
      <c r="L75" s="583">
        <v>0.34169694073341272</v>
      </c>
      <c r="M75" s="583">
        <v>0.36886822586461276</v>
      </c>
      <c r="N75" s="583">
        <v>0.39820013536106569</v>
      </c>
      <c r="O75" s="583">
        <v>0.42986447919146387</v>
      </c>
      <c r="P75" s="583">
        <v>0.46404672942413017</v>
      </c>
      <c r="Q75" s="583">
        <v>0.50094710661896447</v>
      </c>
      <c r="R75" s="583">
        <v>0.54078175260782901</v>
      </c>
      <c r="S75" s="583">
        <v>0.58378399653286683</v>
      </c>
      <c r="T75" s="583">
        <v>0.63020572155849841</v>
      </c>
      <c r="U75" s="583">
        <v>0.68031884026253486</v>
      </c>
      <c r="V75" s="583">
        <v>0.7344168873484247</v>
      </c>
      <c r="W75" s="583">
        <v>0.7928167390078551</v>
      </c>
      <c r="X75" s="583">
        <v>0.85586046900477442</v>
      </c>
      <c r="Y75" s="583">
        <v>0.92391735235274219</v>
      </c>
      <c r="Z75" s="583">
        <v>0.99738602832202905</v>
      </c>
      <c r="AA75" s="583">
        <v>1.0766968354461592</v>
      </c>
      <c r="AB75" s="583">
        <v>1.1623143322050573</v>
      </c>
      <c r="AC75" s="583">
        <v>1.2547400181495607</v>
      </c>
      <c r="AD75" s="583">
        <v>1.354515271406123</v>
      </c>
      <c r="AE75" s="577">
        <v>1.4622245197679762</v>
      </c>
      <c r="AF75" s="752">
        <v>1.5784986639472329</v>
      </c>
      <c r="AG75" s="17"/>
      <c r="AH75" s="17"/>
      <c r="AI75" s="17"/>
      <c r="AJ75" s="17"/>
      <c r="AK75" s="17"/>
      <c r="AL75"/>
      <c r="AM75"/>
      <c r="AN75"/>
      <c r="AO75"/>
      <c r="AP75"/>
    </row>
    <row r="76" spans="2:42" s="7" customFormat="1" ht="21.95" customHeight="1" x14ac:dyDescent="0.2">
      <c r="B76" s="199"/>
      <c r="C76" s="116"/>
      <c r="D76" s="116" t="s">
        <v>33</v>
      </c>
      <c r="E76" s="577" cm="1">
        <f t="array" ref="E76:AF76">F30 * $F$39 * (1 + $M$15) ^ (year - baseYear)</f>
        <v>0.6</v>
      </c>
      <c r="F76" s="577">
        <v>0.64771120000000004</v>
      </c>
      <c r="G76" s="577">
        <v>0.69921633100906677</v>
      </c>
      <c r="H76" s="577">
        <v>0.7548170813624665</v>
      </c>
      <c r="I76" s="577">
        <v>0.81483912924963475</v>
      </c>
      <c r="J76" s="577">
        <v>0.87963405035539333</v>
      </c>
      <c r="K76" s="577">
        <v>0.94958137719425395</v>
      </c>
      <c r="L76" s="577">
        <v>1.0250908222002382</v>
      </c>
      <c r="M76" s="577">
        <v>1.1066046775938383</v>
      </c>
      <c r="N76" s="577">
        <v>1.194600406083197</v>
      </c>
      <c r="O76" s="577">
        <v>1.2895934375743914</v>
      </c>
      <c r="P76" s="577">
        <v>1.3921401882723905</v>
      </c>
      <c r="Q76" s="577">
        <v>1.5028413198568933</v>
      </c>
      <c r="R76" s="577">
        <v>1.6223452578234869</v>
      </c>
      <c r="S76" s="577">
        <v>1.7513519895986005</v>
      </c>
      <c r="T76" s="577">
        <v>1.8906171646754952</v>
      </c>
      <c r="U76" s="577">
        <v>2.0409565207876046</v>
      </c>
      <c r="V76" s="577">
        <v>2.2032506620452739</v>
      </c>
      <c r="W76" s="577">
        <v>2.3784502170235648</v>
      </c>
      <c r="X76" s="577">
        <v>2.5675814070143232</v>
      </c>
      <c r="Y76" s="577">
        <v>2.7717520570582264</v>
      </c>
      <c r="Z76" s="577">
        <v>2.9921580849660869</v>
      </c>
      <c r="AA76" s="577">
        <v>3.2300905063384779</v>
      </c>
      <c r="AB76" s="577">
        <v>3.4869429966151722</v>
      </c>
      <c r="AC76" s="577">
        <v>3.7642200544486815</v>
      </c>
      <c r="AD76" s="577">
        <v>4.0635458142183687</v>
      </c>
      <c r="AE76" s="577">
        <v>4.3866735593039277</v>
      </c>
      <c r="AF76" s="752">
        <v>4.7354959918416979</v>
      </c>
      <c r="AG76" s="17"/>
      <c r="AH76" s="17"/>
      <c r="AI76" s="17"/>
      <c r="AJ76" s="17"/>
      <c r="AK76" s="17"/>
      <c r="AL76"/>
      <c r="AM76"/>
      <c r="AN76"/>
      <c r="AO76"/>
      <c r="AP76"/>
    </row>
    <row r="77" spans="2:42" s="7" customFormat="1" ht="21.95" customHeight="1" x14ac:dyDescent="0.2">
      <c r="B77" s="199"/>
      <c r="C77" s="116"/>
      <c r="D77" s="116" t="s">
        <v>30</v>
      </c>
      <c r="E77" s="577" cm="1">
        <f t="array" ref="E77:AF77">F31 * $F$39 * (1 + $M$15) ^ (year - baseYear)</f>
        <v>0.2</v>
      </c>
      <c r="F77" s="577">
        <v>0.21590373333333335</v>
      </c>
      <c r="G77" s="577">
        <v>0.23307211033635561</v>
      </c>
      <c r="H77" s="577">
        <v>0.25160569378748882</v>
      </c>
      <c r="I77" s="577">
        <v>0.2716130430832116</v>
      </c>
      <c r="J77" s="577">
        <v>0.2932113501184645</v>
      </c>
      <c r="K77" s="577">
        <v>0.316527125731418</v>
      </c>
      <c r="L77" s="577">
        <v>0.34169694073341272</v>
      </c>
      <c r="M77" s="577">
        <v>0.36886822586461276</v>
      </c>
      <c r="N77" s="577">
        <v>0.39820013536106569</v>
      </c>
      <c r="O77" s="577">
        <v>0.42986447919146387</v>
      </c>
      <c r="P77" s="577">
        <v>0.46404672942413017</v>
      </c>
      <c r="Q77" s="577">
        <v>0.50094710661896447</v>
      </c>
      <c r="R77" s="577">
        <v>0.54078175260782901</v>
      </c>
      <c r="S77" s="577">
        <v>0.58378399653286683</v>
      </c>
      <c r="T77" s="577">
        <v>0.63020572155849841</v>
      </c>
      <c r="U77" s="577">
        <v>0.68031884026253486</v>
      </c>
      <c r="V77" s="577">
        <v>0.7344168873484247</v>
      </c>
      <c r="W77" s="577">
        <v>0.7928167390078551</v>
      </c>
      <c r="X77" s="577">
        <v>0.85586046900477442</v>
      </c>
      <c r="Y77" s="577">
        <v>0.92391735235274219</v>
      </c>
      <c r="Z77" s="577">
        <v>0.99738602832202905</v>
      </c>
      <c r="AA77" s="577">
        <v>1.0766968354461592</v>
      </c>
      <c r="AB77" s="577">
        <v>1.1623143322050573</v>
      </c>
      <c r="AC77" s="577">
        <v>1.2547400181495607</v>
      </c>
      <c r="AD77" s="577">
        <v>1.354515271406123</v>
      </c>
      <c r="AE77" s="577">
        <v>1.4622245197679762</v>
      </c>
      <c r="AF77" s="752">
        <v>1.5784986639472329</v>
      </c>
      <c r="AG77" s="17"/>
      <c r="AH77" s="17"/>
      <c r="AI77" s="17"/>
      <c r="AJ77" s="17"/>
      <c r="AK77" s="17"/>
      <c r="AL77"/>
      <c r="AM77"/>
      <c r="AN77"/>
      <c r="AO77"/>
      <c r="AP77"/>
    </row>
    <row r="78" spans="2:42" s="7" customFormat="1" ht="21.95" customHeight="1" x14ac:dyDescent="0.2">
      <c r="B78" s="199"/>
      <c r="C78" s="116"/>
      <c r="D78" s="844" t="s">
        <v>25</v>
      </c>
      <c r="E78" s="842">
        <f t="shared" ref="E78:AF78" si="53">E75 + E76 + E77</f>
        <v>1</v>
      </c>
      <c r="F78" s="842">
        <f t="shared" si="53"/>
        <v>1.0795186666666667</v>
      </c>
      <c r="G78" s="842">
        <f t="shared" si="53"/>
        <v>1.165360551681778</v>
      </c>
      <c r="H78" s="842">
        <f t="shared" si="53"/>
        <v>1.2580284689374441</v>
      </c>
      <c r="I78" s="842">
        <f t="shared" si="53"/>
        <v>1.358065215416058</v>
      </c>
      <c r="J78" s="842">
        <f t="shared" si="53"/>
        <v>1.4660567505923223</v>
      </c>
      <c r="K78" s="842">
        <f t="shared" si="53"/>
        <v>1.58263562865709</v>
      </c>
      <c r="L78" s="842">
        <f t="shared" si="53"/>
        <v>1.7084847036670636</v>
      </c>
      <c r="M78" s="842">
        <f t="shared" si="53"/>
        <v>1.8443411293230638</v>
      </c>
      <c r="N78" s="842">
        <f t="shared" si="53"/>
        <v>1.9910006768053283</v>
      </c>
      <c r="O78" s="842">
        <f t="shared" si="53"/>
        <v>2.1493223959573191</v>
      </c>
      <c r="P78" s="842">
        <f t="shared" si="53"/>
        <v>2.3202336471206508</v>
      </c>
      <c r="Q78" s="842">
        <f t="shared" si="53"/>
        <v>2.5047355330948222</v>
      </c>
      <c r="R78" s="842">
        <f t="shared" si="53"/>
        <v>2.703908763039145</v>
      </c>
      <c r="S78" s="842">
        <f t="shared" si="53"/>
        <v>2.9189199826643342</v>
      </c>
      <c r="T78" s="842">
        <f t="shared" si="53"/>
        <v>3.1510286077924921</v>
      </c>
      <c r="U78" s="842">
        <f t="shared" si="53"/>
        <v>3.4015942013126743</v>
      </c>
      <c r="V78" s="842">
        <f t="shared" si="53"/>
        <v>3.6720844367421233</v>
      </c>
      <c r="W78" s="842">
        <f t="shared" si="53"/>
        <v>3.964083695039275</v>
      </c>
      <c r="X78" s="842">
        <f t="shared" si="53"/>
        <v>4.2793023450238721</v>
      </c>
      <c r="Y78" s="842">
        <f t="shared" si="53"/>
        <v>4.6195867617637107</v>
      </c>
      <c r="Z78" s="842">
        <f t="shared" si="53"/>
        <v>4.986930141610145</v>
      </c>
      <c r="AA78" s="842">
        <f t="shared" si="53"/>
        <v>5.3834841772307964</v>
      </c>
      <c r="AB78" s="842">
        <f t="shared" si="53"/>
        <v>5.8115716610252868</v>
      </c>
      <c r="AC78" s="842">
        <f t="shared" si="53"/>
        <v>6.2737000907478029</v>
      </c>
      <c r="AD78" s="842">
        <f t="shared" si="53"/>
        <v>6.7725763570306157</v>
      </c>
      <c r="AE78" s="842">
        <f t="shared" si="53"/>
        <v>7.31112259883988</v>
      </c>
      <c r="AF78" s="843">
        <f t="shared" si="53"/>
        <v>7.8924933197361637</v>
      </c>
      <c r="AG78" s="17"/>
      <c r="AH78" s="17"/>
      <c r="AI78" s="17"/>
      <c r="AJ78" s="17"/>
      <c r="AK78" s="17"/>
      <c r="AL78"/>
      <c r="AM78"/>
      <c r="AN78"/>
      <c r="AO78"/>
      <c r="AP78"/>
    </row>
    <row r="79" spans="2:42" s="7" customFormat="1" ht="21.95" customHeight="1" thickBot="1" x14ac:dyDescent="0.25">
      <c r="B79" s="211"/>
      <c r="C79" s="845" t="s">
        <v>25</v>
      </c>
      <c r="D79" s="845"/>
      <c r="E79" s="846">
        <f>E50 + E54 + E58 + E62 + E66 + E70 +  E74 + E78</f>
        <v>11.4</v>
      </c>
      <c r="F79" s="846">
        <f t="shared" ref="F79:AE79" si="54">F50 + F54 + F58 + F62 + F66 + F70 +  F74 + F78</f>
        <v>12.953104156190477</v>
      </c>
      <c r="G79" s="846">
        <f t="shared" si="54"/>
        <v>14.813304167398801</v>
      </c>
      <c r="H79" s="846">
        <f t="shared" si="54"/>
        <v>17.051425817896771</v>
      </c>
      <c r="I79" s="846">
        <f t="shared" si="54"/>
        <v>19.755496338860763</v>
      </c>
      <c r="J79" s="846">
        <f t="shared" si="54"/>
        <v>23.034995179921264</v>
      </c>
      <c r="K79" s="846">
        <f t="shared" si="54"/>
        <v>27.026162028348722</v>
      </c>
      <c r="L79" s="846">
        <f t="shared" si="54"/>
        <v>31.898625780765158</v>
      </c>
      <c r="M79" s="846">
        <f t="shared" si="54"/>
        <v>37.86368404461215</v>
      </c>
      <c r="N79" s="846">
        <f t="shared" si="54"/>
        <v>45.184645088176772</v>
      </c>
      <c r="O79" s="846">
        <f t="shared" si="54"/>
        <v>54.189747088765948</v>
      </c>
      <c r="P79" s="846">
        <f t="shared" si="54"/>
        <v>65.28829819969701</v>
      </c>
      <c r="Q79" s="846">
        <f t="shared" si="54"/>
        <v>78.990841808406699</v>
      </c>
      <c r="R79" s="846">
        <f t="shared" si="54"/>
        <v>95.934352442388928</v>
      </c>
      <c r="S79" s="846">
        <f t="shared" si="54"/>
        <v>116.9137191645745</v>
      </c>
      <c r="T79" s="846">
        <f t="shared" si="54"/>
        <v>142.92108757300815</v>
      </c>
      <c r="U79" s="846">
        <f t="shared" si="54"/>
        <v>175.19502442019993</v>
      </c>
      <c r="V79" s="846">
        <f t="shared" si="54"/>
        <v>215.2819600743552</v>
      </c>
      <c r="W79" s="846">
        <f t="shared" si="54"/>
        <v>265.11297816348792</v>
      </c>
      <c r="X79" s="846">
        <f t="shared" si="54"/>
        <v>327.09978954015367</v>
      </c>
      <c r="Y79" s="846">
        <f t="shared" si="54"/>
        <v>404.25468764800939</v>
      </c>
      <c r="Z79" s="846">
        <f t="shared" si="54"/>
        <v>500.34048256221433</v>
      </c>
      <c r="AA79" s="846">
        <f t="shared" si="54"/>
        <v>620.05791155817724</v>
      </c>
      <c r="AB79" s="846">
        <f t="shared" si="54"/>
        <v>769.27990024158362</v>
      </c>
      <c r="AC79" s="846">
        <f t="shared" si="54"/>
        <v>955.34439408259084</v>
      </c>
      <c r="AD79" s="846">
        <f t="shared" si="54"/>
        <v>1187.4204132217051</v>
      </c>
      <c r="AE79" s="846">
        <f t="shared" si="54"/>
        <v>1476.9656506821207</v>
      </c>
      <c r="AF79" s="768">
        <f>AF50 + AF54 + AF58 + AF62 + AF66 + AF70 + AF74 + AF78</f>
        <v>1838.2985194806045</v>
      </c>
      <c r="AG79" s="17"/>
      <c r="AH79" s="17"/>
      <c r="AI79" s="17"/>
      <c r="AJ79" s="17"/>
      <c r="AK79" s="17"/>
      <c r="AL79"/>
      <c r="AM79"/>
      <c r="AN79"/>
      <c r="AO79"/>
      <c r="AP79"/>
    </row>
    <row r="80" spans="2:42" s="7" customFormat="1" ht="21.95" customHeight="1" x14ac:dyDescent="0.2">
      <c r="B80" s="199" t="s">
        <v>403</v>
      </c>
      <c r="C80" s="228" t="str">
        <f>C8</f>
        <v>US-412/SH-412B</v>
      </c>
      <c r="D80" s="116" t="s">
        <v>32</v>
      </c>
      <c r="E80" s="847" cm="1">
        <f t="array" ref="E80:AF80">_xlfn.ANCHORARRAY(E47) * costLife</f>
        <v>0</v>
      </c>
      <c r="F80" s="847">
        <v>0</v>
      </c>
      <c r="G80" s="847">
        <v>0</v>
      </c>
      <c r="H80" s="847">
        <v>0</v>
      </c>
      <c r="I80" s="847">
        <v>0</v>
      </c>
      <c r="J80" s="847">
        <v>0</v>
      </c>
      <c r="K80" s="847">
        <v>0</v>
      </c>
      <c r="L80" s="847">
        <v>0</v>
      </c>
      <c r="M80" s="847">
        <v>0</v>
      </c>
      <c r="N80" s="847">
        <v>0</v>
      </c>
      <c r="O80" s="847">
        <v>0</v>
      </c>
      <c r="P80" s="847">
        <v>0</v>
      </c>
      <c r="Q80" s="847">
        <v>0</v>
      </c>
      <c r="R80" s="847">
        <v>0</v>
      </c>
      <c r="S80" s="847">
        <v>0</v>
      </c>
      <c r="T80" s="847">
        <v>0</v>
      </c>
      <c r="U80" s="847">
        <v>0</v>
      </c>
      <c r="V80" s="847">
        <v>0</v>
      </c>
      <c r="W80" s="847">
        <v>0</v>
      </c>
      <c r="X80" s="847">
        <v>0</v>
      </c>
      <c r="Y80" s="847">
        <v>0</v>
      </c>
      <c r="Z80" s="847">
        <v>0</v>
      </c>
      <c r="AA80" s="847">
        <v>0</v>
      </c>
      <c r="AB80" s="847">
        <v>0</v>
      </c>
      <c r="AC80" s="847">
        <v>0</v>
      </c>
      <c r="AD80" s="847">
        <v>0</v>
      </c>
      <c r="AE80" s="847">
        <v>0</v>
      </c>
      <c r="AF80" s="848">
        <v>0</v>
      </c>
      <c r="AG80" s="21"/>
      <c r="AH80" s="21"/>
      <c r="AI80" s="21"/>
      <c r="AJ80" s="21"/>
      <c r="AK80" s="21"/>
      <c r="AL80"/>
      <c r="AM80"/>
      <c r="AN80"/>
      <c r="AO80"/>
      <c r="AP80"/>
    </row>
    <row r="81" spans="2:42" s="7" customFormat="1" ht="21.95" customHeight="1" x14ac:dyDescent="0.2">
      <c r="B81" s="232" t="s">
        <v>408</v>
      </c>
      <c r="C81" s="228" t="str">
        <f>C9</f>
        <v>(Interchange)</v>
      </c>
      <c r="D81" s="116" t="s">
        <v>33</v>
      </c>
      <c r="E81" s="847" cm="1">
        <f t="array" ref="E81:AF81">_xlfn.ANCHORARRAY(E48) * costInjury</f>
        <v>677160</v>
      </c>
      <c r="F81" s="847">
        <v>723632.24933999998</v>
      </c>
      <c r="G81" s="847">
        <v>773293.80395308032</v>
      </c>
      <c r="H81" s="847">
        <v>826363.54001307278</v>
      </c>
      <c r="I81" s="847">
        <v>883075.35476434662</v>
      </c>
      <c r="J81" s="847">
        <v>943679.19739034004</v>
      </c>
      <c r="K81" s="847">
        <v>1008442.1706287103</v>
      </c>
      <c r="L81" s="847">
        <v>1077649.7079883125</v>
      </c>
      <c r="M81" s="847">
        <v>1151606.8317564188</v>
      </c>
      <c r="N81" s="847">
        <v>1230639.4973406703</v>
      </c>
      <c r="O81" s="847">
        <v>1315096.0298707485</v>
      </c>
      <c r="P81" s="847">
        <v>1405348.6593913897</v>
      </c>
      <c r="Q81" s="847">
        <v>1501795.1614128787</v>
      </c>
      <c r="R81" s="847">
        <v>1604860.6100495148</v>
      </c>
      <c r="S81" s="847">
        <v>1714999.2514727614</v>
      </c>
      <c r="T81" s="847">
        <v>1832696.5059360424</v>
      </c>
      <c r="U81" s="847">
        <v>1958471.1071948386</v>
      </c>
      <c r="V81" s="847">
        <v>2092877.388751257</v>
      </c>
      <c r="W81" s="847">
        <v>2236507.726999376</v>
      </c>
      <c r="X81" s="847">
        <v>2389995.1520391768</v>
      </c>
      <c r="Y81" s="847">
        <v>2554016.1376658464</v>
      </c>
      <c r="Z81" s="847">
        <v>2729293.5828309339</v>
      </c>
      <c r="AA81" s="847">
        <v>2916599.9977157195</v>
      </c>
      <c r="AB81" s="847">
        <v>3116760.9084589533</v>
      </c>
      <c r="AC81" s="847">
        <v>3330658.4955448252</v>
      </c>
      <c r="AD81" s="847">
        <v>3559235.4818868246</v>
      </c>
      <c r="AE81" s="847">
        <v>3803499.2877436667</v>
      </c>
      <c r="AF81" s="848">
        <v>4064526.4707794865</v>
      </c>
      <c r="AG81" s="21"/>
      <c r="AH81" s="21"/>
      <c r="AI81" s="21"/>
      <c r="AJ81" s="21"/>
      <c r="AK81" s="21"/>
      <c r="AL81"/>
      <c r="AM81"/>
      <c r="AN81"/>
      <c r="AO81"/>
      <c r="AP81"/>
    </row>
    <row r="82" spans="2:42" s="7" customFormat="1" ht="21.95" customHeight="1" x14ac:dyDescent="0.2">
      <c r="B82" s="199"/>
      <c r="C82" s="116"/>
      <c r="D82" s="124" t="s">
        <v>30</v>
      </c>
      <c r="E82" s="849" cm="1">
        <f t="array" ref="E82:AF82">_xlfn.ANCHORARRAY(E49) * costPDO</f>
        <v>8640</v>
      </c>
      <c r="F82" s="849">
        <v>9232.9473600000001</v>
      </c>
      <c r="G82" s="849">
        <v>9866.5876102466373</v>
      </c>
      <c r="H82" s="849">
        <v>10543.713429193911</v>
      </c>
      <c r="I82" s="849">
        <v>11267.309151698204</v>
      </c>
      <c r="J82" s="849">
        <v>12040.563922045803</v>
      </c>
      <c r="K82" s="849">
        <v>12866.885749648616</v>
      </c>
      <c r="L82" s="849">
        <v>13749.916529356458</v>
      </c>
      <c r="M82" s="849">
        <v>14693.548092585888</v>
      </c>
      <c r="N82" s="849">
        <v>15701.939360008551</v>
      </c>
      <c r="O82" s="849">
        <v>16779.534671397112</v>
      </c>
      <c r="P82" s="849">
        <v>17931.083373414862</v>
      </c>
      <c r="Q82" s="849">
        <v>19161.660751679468</v>
      </c>
      <c r="R82" s="849">
        <v>20476.690399355852</v>
      </c>
      <c r="S82" s="849">
        <v>21881.968120864578</v>
      </c>
      <c r="T82" s="849">
        <v>23383.687476057956</v>
      </c>
      <c r="U82" s="849">
        <v>24988.467077446105</v>
      </c>
      <c r="V82" s="849">
        <v>26703.379760781587</v>
      </c>
      <c r="W82" s="849">
        <v>28535.983757567796</v>
      </c>
      <c r="X82" s="849">
        <v>30494.356006879447</v>
      </c>
      <c r="Y82" s="849">
        <v>32587.127753312237</v>
      </c>
      <c r="Z82" s="849">
        <v>34823.522587954503</v>
      </c>
      <c r="AA82" s="849">
        <v>37213.397100041075</v>
      </c>
      <c r="AB82" s="849">
        <v>39767.284318455546</v>
      </c>
      <c r="AC82" s="849">
        <v>42496.44013454322</v>
      </c>
      <c r="AD82" s="849">
        <v>45412.892910836672</v>
      </c>
      <c r="AE82" s="847">
        <v>48529.496494337051</v>
      </c>
      <c r="AF82" s="848">
        <v>51859.986867999818</v>
      </c>
      <c r="AG82" s="22"/>
      <c r="AH82" s="22"/>
      <c r="AI82" s="22"/>
      <c r="AJ82" s="22"/>
      <c r="AK82" s="22"/>
      <c r="AL82"/>
      <c r="AM82"/>
      <c r="AN82"/>
      <c r="AO82"/>
      <c r="AP82"/>
    </row>
    <row r="83" spans="2:42" s="7" customFormat="1" ht="21.95" customHeight="1" x14ac:dyDescent="0.2">
      <c r="B83" s="199"/>
      <c r="C83" s="124"/>
      <c r="D83" s="720" t="s">
        <v>25</v>
      </c>
      <c r="E83" s="850" cm="1">
        <f t="array" ref="E83:AF83">_xlfn.ANCHORARRAY(E80) +_xlfn.ANCHORARRAY( E81) +_xlfn.ANCHORARRAY( E82)</f>
        <v>685800</v>
      </c>
      <c r="F83" s="850">
        <v>732865.19669999997</v>
      </c>
      <c r="G83" s="850">
        <v>783160.39156332694</v>
      </c>
      <c r="H83" s="850">
        <v>836907.25344226672</v>
      </c>
      <c r="I83" s="850">
        <v>894342.66391604487</v>
      </c>
      <c r="J83" s="850">
        <v>955719.76131238579</v>
      </c>
      <c r="K83" s="850">
        <v>1021309.056378359</v>
      </c>
      <c r="L83" s="850">
        <v>1091399.624517669</v>
      </c>
      <c r="M83" s="850">
        <v>1166300.3798490048</v>
      </c>
      <c r="N83" s="850">
        <v>1246341.4367006789</v>
      </c>
      <c r="O83" s="850">
        <v>1331875.5645421457</v>
      </c>
      <c r="P83" s="850">
        <v>1423279.7427648045</v>
      </c>
      <c r="Q83" s="850">
        <v>1520956.8221645581</v>
      </c>
      <c r="R83" s="850">
        <v>1625337.3004488708</v>
      </c>
      <c r="S83" s="850">
        <v>1736881.219593626</v>
      </c>
      <c r="T83" s="850">
        <v>1856080.1934121004</v>
      </c>
      <c r="U83" s="850">
        <v>1983459.5742722847</v>
      </c>
      <c r="V83" s="850">
        <v>2119580.7685120385</v>
      </c>
      <c r="W83" s="850">
        <v>2265043.7107569436</v>
      </c>
      <c r="X83" s="850">
        <v>2420489.5080460561</v>
      </c>
      <c r="Y83" s="850">
        <v>2586603.2654191586</v>
      </c>
      <c r="Z83" s="850">
        <v>2764117.1054188884</v>
      </c>
      <c r="AA83" s="850">
        <v>2953813.3948157607</v>
      </c>
      <c r="AB83" s="850">
        <v>3156528.1927774088</v>
      </c>
      <c r="AC83" s="850">
        <v>3373154.9356793682</v>
      </c>
      <c r="AD83" s="850">
        <v>3604648.3747976613</v>
      </c>
      <c r="AE83" s="851">
        <v>3852028.7842380037</v>
      </c>
      <c r="AF83" s="852">
        <v>4116386.4576474861</v>
      </c>
      <c r="AG83" s="22"/>
      <c r="AH83" s="22"/>
      <c r="AI83" s="22"/>
      <c r="AJ83" s="22"/>
      <c r="AK83" s="22"/>
      <c r="AL83"/>
      <c r="AM83"/>
      <c r="AN83"/>
      <c r="AO83"/>
      <c r="AP83"/>
    </row>
    <row r="84" spans="2:42" s="7" customFormat="1" ht="21.95" customHeight="1" x14ac:dyDescent="0.2">
      <c r="B84" s="197"/>
      <c r="C84" s="228" t="str">
        <f>C11</f>
        <v>SH-412B South</v>
      </c>
      <c r="D84" s="116" t="s">
        <v>32</v>
      </c>
      <c r="E84" s="847" cm="1">
        <f t="array" ref="E84:AF84">_xlfn.ANCHORARRAY(E51) * costLife</f>
        <v>0</v>
      </c>
      <c r="F84" s="847">
        <v>0</v>
      </c>
      <c r="G84" s="847">
        <v>0</v>
      </c>
      <c r="H84" s="847">
        <v>0</v>
      </c>
      <c r="I84" s="847">
        <v>0</v>
      </c>
      <c r="J84" s="847">
        <v>0</v>
      </c>
      <c r="K84" s="847">
        <v>0</v>
      </c>
      <c r="L84" s="847">
        <v>0</v>
      </c>
      <c r="M84" s="847">
        <v>0</v>
      </c>
      <c r="N84" s="847">
        <v>0</v>
      </c>
      <c r="O84" s="847">
        <v>0</v>
      </c>
      <c r="P84" s="847">
        <v>0</v>
      </c>
      <c r="Q84" s="847">
        <v>0</v>
      </c>
      <c r="R84" s="847">
        <v>0</v>
      </c>
      <c r="S84" s="847">
        <v>0</v>
      </c>
      <c r="T84" s="847">
        <v>0</v>
      </c>
      <c r="U84" s="847">
        <v>0</v>
      </c>
      <c r="V84" s="847">
        <v>0</v>
      </c>
      <c r="W84" s="847">
        <v>0</v>
      </c>
      <c r="X84" s="847">
        <v>0</v>
      </c>
      <c r="Y84" s="847">
        <v>0</v>
      </c>
      <c r="Z84" s="847">
        <v>0</v>
      </c>
      <c r="AA84" s="847">
        <v>0</v>
      </c>
      <c r="AB84" s="847">
        <v>0</v>
      </c>
      <c r="AC84" s="847">
        <v>0</v>
      </c>
      <c r="AD84" s="847">
        <v>0</v>
      </c>
      <c r="AE84" s="847">
        <v>0</v>
      </c>
      <c r="AF84" s="848">
        <v>0</v>
      </c>
      <c r="AG84" s="22"/>
      <c r="AH84" s="22"/>
      <c r="AI84" s="22"/>
      <c r="AJ84" s="22"/>
      <c r="AK84" s="22"/>
      <c r="AL84"/>
      <c r="AM84"/>
      <c r="AN84"/>
      <c r="AO84"/>
      <c r="AP84"/>
    </row>
    <row r="85" spans="2:42" s="7" customFormat="1" ht="21.95" customHeight="1" x14ac:dyDescent="0.2">
      <c r="B85" s="197"/>
      <c r="C85" s="228" t="str">
        <f>C12</f>
        <v>(Widening)</v>
      </c>
      <c r="D85" s="116" t="s">
        <v>33</v>
      </c>
      <c r="E85" s="847" cm="1">
        <f t="array" ref="E85:AF85">_xlfn.ANCHORARRAY(E52) * costInjury</f>
        <v>123120</v>
      </c>
      <c r="F85" s="847">
        <v>141430.11091199997</v>
      </c>
      <c r="G85" s="847">
        <v>162463.25757456641</v>
      </c>
      <c r="H85" s="847">
        <v>186624.40332923774</v>
      </c>
      <c r="I85" s="847">
        <v>214378.73669379394</v>
      </c>
      <c r="J85" s="847">
        <v>246260.62790592687</v>
      </c>
      <c r="K85" s="847">
        <v>282883.91746258934</v>
      </c>
      <c r="L85" s="847">
        <v>324953.73474622366</v>
      </c>
      <c r="M85" s="847">
        <v>373280.07428871864</v>
      </c>
      <c r="N85" s="847">
        <v>428793.39106475847</v>
      </c>
      <c r="O85" s="847">
        <v>492562.51507977082</v>
      </c>
      <c r="P85" s="847">
        <v>565815.23017239803</v>
      </c>
      <c r="Q85" s="847">
        <v>649961.91324708448</v>
      </c>
      <c r="R85" s="847">
        <v>746622.68907659897</v>
      </c>
      <c r="S85" s="847">
        <v>857658.623501617</v>
      </c>
      <c r="T85" s="847">
        <v>985207.55560808105</v>
      </c>
      <c r="U85" s="847">
        <v>1131725.2587799809</v>
      </c>
      <c r="V85" s="847">
        <v>1300032.7231251185</v>
      </c>
      <c r="W85" s="847">
        <v>1493370.4696297506</v>
      </c>
      <c r="X85" s="847">
        <v>1715460.94178396</v>
      </c>
      <c r="Y85" s="847">
        <v>1970580.1759398098</v>
      </c>
      <c r="Z85" s="847">
        <v>2263640.1303131557</v>
      </c>
      <c r="AA85" s="847">
        <v>2600283.2577570151</v>
      </c>
      <c r="AB85" s="847">
        <v>2986991.1431708196</v>
      </c>
      <c r="AC85" s="847">
        <v>3431209.29720444</v>
      </c>
      <c r="AD85" s="847">
        <v>3941490.5089823701</v>
      </c>
      <c r="AE85" s="847">
        <v>4527659.5179010071</v>
      </c>
      <c r="AF85" s="848">
        <v>5201002.1750204004</v>
      </c>
      <c r="AG85" s="22"/>
      <c r="AH85" s="22"/>
      <c r="AI85" s="22"/>
      <c r="AJ85" s="22"/>
      <c r="AK85" s="22"/>
      <c r="AL85"/>
      <c r="AM85"/>
      <c r="AN85"/>
      <c r="AO85"/>
      <c r="AP85"/>
    </row>
    <row r="86" spans="2:42" s="7" customFormat="1" ht="21.95" customHeight="1" x14ac:dyDescent="0.2">
      <c r="B86" s="199"/>
      <c r="C86" s="116"/>
      <c r="D86" s="124" t="s">
        <v>30</v>
      </c>
      <c r="E86" s="849" cm="1">
        <f t="array" ref="E86:AF86">_xlfn.ANCHORARRAY(E53) * costPDO</f>
        <v>0</v>
      </c>
      <c r="F86" s="849">
        <v>0</v>
      </c>
      <c r="G86" s="849">
        <v>0</v>
      </c>
      <c r="H86" s="849">
        <v>0</v>
      </c>
      <c r="I86" s="849">
        <v>0</v>
      </c>
      <c r="J86" s="849">
        <v>0</v>
      </c>
      <c r="K86" s="849">
        <v>0</v>
      </c>
      <c r="L86" s="849">
        <v>0</v>
      </c>
      <c r="M86" s="849">
        <v>0</v>
      </c>
      <c r="N86" s="849">
        <v>0</v>
      </c>
      <c r="O86" s="849">
        <v>0</v>
      </c>
      <c r="P86" s="849">
        <v>0</v>
      </c>
      <c r="Q86" s="849">
        <v>0</v>
      </c>
      <c r="R86" s="849">
        <v>0</v>
      </c>
      <c r="S86" s="849">
        <v>0</v>
      </c>
      <c r="T86" s="849">
        <v>0</v>
      </c>
      <c r="U86" s="849">
        <v>0</v>
      </c>
      <c r="V86" s="849">
        <v>0</v>
      </c>
      <c r="W86" s="849">
        <v>0</v>
      </c>
      <c r="X86" s="849">
        <v>0</v>
      </c>
      <c r="Y86" s="849">
        <v>0</v>
      </c>
      <c r="Z86" s="849">
        <v>0</v>
      </c>
      <c r="AA86" s="849">
        <v>0</v>
      </c>
      <c r="AB86" s="849">
        <v>0</v>
      </c>
      <c r="AC86" s="849">
        <v>0</v>
      </c>
      <c r="AD86" s="849">
        <v>0</v>
      </c>
      <c r="AE86" s="847">
        <v>0</v>
      </c>
      <c r="AF86" s="848">
        <v>0</v>
      </c>
      <c r="AG86" s="22"/>
      <c r="AH86" s="22"/>
      <c r="AI86" s="22"/>
      <c r="AJ86" s="22"/>
      <c r="AK86" s="22"/>
      <c r="AL86"/>
      <c r="AM86"/>
      <c r="AN86"/>
      <c r="AO86"/>
      <c r="AP86"/>
    </row>
    <row r="87" spans="2:42" s="7" customFormat="1" ht="21.95" customHeight="1" x14ac:dyDescent="0.2">
      <c r="B87" s="199"/>
      <c r="C87" s="228"/>
      <c r="D87" s="240" t="s">
        <v>25</v>
      </c>
      <c r="E87" s="853" cm="1">
        <f t="array" ref="E87:AF87">_xlfn.ANCHORARRAY(E84) +_xlfn.ANCHORARRAY( E85) +_xlfn.ANCHORARRAY( E86)</f>
        <v>123120</v>
      </c>
      <c r="F87" s="853">
        <v>141430.11091199997</v>
      </c>
      <c r="G87" s="853">
        <v>162463.25757456641</v>
      </c>
      <c r="H87" s="853">
        <v>186624.40332923774</v>
      </c>
      <c r="I87" s="853">
        <v>214378.73669379394</v>
      </c>
      <c r="J87" s="853">
        <v>246260.62790592687</v>
      </c>
      <c r="K87" s="853">
        <v>282883.91746258934</v>
      </c>
      <c r="L87" s="853">
        <v>324953.73474622366</v>
      </c>
      <c r="M87" s="853">
        <v>373280.07428871864</v>
      </c>
      <c r="N87" s="853">
        <v>428793.39106475847</v>
      </c>
      <c r="O87" s="853">
        <v>492562.51507977082</v>
      </c>
      <c r="P87" s="853">
        <v>565815.23017239803</v>
      </c>
      <c r="Q87" s="853">
        <v>649961.91324708448</v>
      </c>
      <c r="R87" s="853">
        <v>746622.68907659897</v>
      </c>
      <c r="S87" s="853">
        <v>857658.623501617</v>
      </c>
      <c r="T87" s="853">
        <v>985207.55560808105</v>
      </c>
      <c r="U87" s="853">
        <v>1131725.2587799809</v>
      </c>
      <c r="V87" s="853">
        <v>1300032.7231251185</v>
      </c>
      <c r="W87" s="853">
        <v>1493370.4696297506</v>
      </c>
      <c r="X87" s="853">
        <v>1715460.94178396</v>
      </c>
      <c r="Y87" s="853">
        <v>1970580.1759398098</v>
      </c>
      <c r="Z87" s="853">
        <v>2263640.1303131557</v>
      </c>
      <c r="AA87" s="853">
        <v>2600283.2577570151</v>
      </c>
      <c r="AB87" s="853">
        <v>2986991.1431708196</v>
      </c>
      <c r="AC87" s="853">
        <v>3431209.29720444</v>
      </c>
      <c r="AD87" s="853">
        <v>3941490.5089823701</v>
      </c>
      <c r="AE87" s="851">
        <v>4527659.5179010071</v>
      </c>
      <c r="AF87" s="852">
        <v>5201002.1750204004</v>
      </c>
      <c r="AG87" s="22"/>
      <c r="AH87" s="22"/>
      <c r="AI87" s="22"/>
      <c r="AJ87" s="22"/>
      <c r="AK87" s="22"/>
      <c r="AL87"/>
      <c r="AM87"/>
      <c r="AN87"/>
      <c r="AO87"/>
      <c r="AP87"/>
    </row>
    <row r="88" spans="2:42" s="7" customFormat="1" ht="21.95" customHeight="1" x14ac:dyDescent="0.2">
      <c r="B88" s="199"/>
      <c r="C88" s="229" t="str">
        <f>C14</f>
        <v>SH-412B</v>
      </c>
      <c r="D88" s="220" t="s">
        <v>32</v>
      </c>
      <c r="E88" s="854" cm="1">
        <f t="array" ref="E88:AF88">_xlfn.ANCHORARRAY(E55) * costLife</f>
        <v>0</v>
      </c>
      <c r="F88" s="854">
        <v>0</v>
      </c>
      <c r="G88" s="854">
        <v>0</v>
      </c>
      <c r="H88" s="854">
        <v>0</v>
      </c>
      <c r="I88" s="854">
        <v>0</v>
      </c>
      <c r="J88" s="854">
        <v>0</v>
      </c>
      <c r="K88" s="854">
        <v>0</v>
      </c>
      <c r="L88" s="854">
        <v>0</v>
      </c>
      <c r="M88" s="854">
        <v>0</v>
      </c>
      <c r="N88" s="854">
        <v>0</v>
      </c>
      <c r="O88" s="854">
        <v>0</v>
      </c>
      <c r="P88" s="854">
        <v>0</v>
      </c>
      <c r="Q88" s="854">
        <v>0</v>
      </c>
      <c r="R88" s="854">
        <v>0</v>
      </c>
      <c r="S88" s="854">
        <v>0</v>
      </c>
      <c r="T88" s="854">
        <v>0</v>
      </c>
      <c r="U88" s="854">
        <v>0</v>
      </c>
      <c r="V88" s="854">
        <v>0</v>
      </c>
      <c r="W88" s="854">
        <v>0</v>
      </c>
      <c r="X88" s="854">
        <v>0</v>
      </c>
      <c r="Y88" s="854">
        <v>0</v>
      </c>
      <c r="Z88" s="854">
        <v>0</v>
      </c>
      <c r="AA88" s="854">
        <v>0</v>
      </c>
      <c r="AB88" s="854">
        <v>0</v>
      </c>
      <c r="AC88" s="854">
        <v>0</v>
      </c>
      <c r="AD88" s="854">
        <v>0</v>
      </c>
      <c r="AE88" s="847">
        <v>0</v>
      </c>
      <c r="AF88" s="848">
        <v>0</v>
      </c>
      <c r="AG88" s="22"/>
      <c r="AH88" s="22"/>
      <c r="AI88" s="22"/>
      <c r="AJ88" s="22"/>
      <c r="AK88" s="22"/>
      <c r="AL88"/>
      <c r="AM88"/>
      <c r="AN88"/>
      <c r="AO88"/>
      <c r="AP88"/>
    </row>
    <row r="89" spans="2:42" s="7" customFormat="1" ht="21.95" customHeight="1" x14ac:dyDescent="0.2">
      <c r="B89" s="199"/>
      <c r="C89" s="228" t="str">
        <f>C15</f>
        <v>(Roundabout)</v>
      </c>
      <c r="D89" s="116" t="s">
        <v>33</v>
      </c>
      <c r="E89" s="847" cm="1">
        <f t="array" ref="E89:AF89">_xlfn.ANCHORARRAY(E56) * costInjury</f>
        <v>0</v>
      </c>
      <c r="F89" s="847">
        <v>0</v>
      </c>
      <c r="G89" s="847">
        <v>0</v>
      </c>
      <c r="H89" s="847">
        <v>0</v>
      </c>
      <c r="I89" s="847">
        <v>0</v>
      </c>
      <c r="J89" s="847">
        <v>0</v>
      </c>
      <c r="K89" s="847">
        <v>0</v>
      </c>
      <c r="L89" s="847">
        <v>0</v>
      </c>
      <c r="M89" s="847">
        <v>0</v>
      </c>
      <c r="N89" s="847">
        <v>0</v>
      </c>
      <c r="O89" s="847">
        <v>0</v>
      </c>
      <c r="P89" s="847">
        <v>0</v>
      </c>
      <c r="Q89" s="847">
        <v>0</v>
      </c>
      <c r="R89" s="847">
        <v>0</v>
      </c>
      <c r="S89" s="847">
        <v>0</v>
      </c>
      <c r="T89" s="847">
        <v>0</v>
      </c>
      <c r="U89" s="847">
        <v>0</v>
      </c>
      <c r="V89" s="847">
        <v>0</v>
      </c>
      <c r="W89" s="847">
        <v>0</v>
      </c>
      <c r="X89" s="847">
        <v>0</v>
      </c>
      <c r="Y89" s="847">
        <v>0</v>
      </c>
      <c r="Z89" s="847">
        <v>0</v>
      </c>
      <c r="AA89" s="847">
        <v>0</v>
      </c>
      <c r="AB89" s="847">
        <v>0</v>
      </c>
      <c r="AC89" s="847">
        <v>0</v>
      </c>
      <c r="AD89" s="847">
        <v>0</v>
      </c>
      <c r="AE89" s="847">
        <v>0</v>
      </c>
      <c r="AF89" s="848">
        <v>0</v>
      </c>
      <c r="AG89" s="22"/>
      <c r="AH89" s="22"/>
      <c r="AI89" s="22"/>
      <c r="AJ89" s="22"/>
      <c r="AK89" s="22"/>
      <c r="AL89"/>
      <c r="AM89"/>
      <c r="AN89"/>
      <c r="AO89"/>
      <c r="AP89"/>
    </row>
    <row r="90" spans="2:42" s="7" customFormat="1" ht="21.95" customHeight="1" x14ac:dyDescent="0.2">
      <c r="B90" s="199"/>
      <c r="C90" s="116"/>
      <c r="D90" s="124" t="s">
        <v>30</v>
      </c>
      <c r="E90" s="849" cm="1">
        <f t="array" ref="E90:AF90">_xlfn.ANCHORARRAY(E57) * costPDO</f>
        <v>0</v>
      </c>
      <c r="F90" s="849">
        <v>0</v>
      </c>
      <c r="G90" s="849">
        <v>0</v>
      </c>
      <c r="H90" s="849">
        <v>0</v>
      </c>
      <c r="I90" s="849">
        <v>0</v>
      </c>
      <c r="J90" s="849">
        <v>0</v>
      </c>
      <c r="K90" s="849">
        <v>0</v>
      </c>
      <c r="L90" s="849">
        <v>0</v>
      </c>
      <c r="M90" s="849">
        <v>0</v>
      </c>
      <c r="N90" s="849">
        <v>0</v>
      </c>
      <c r="O90" s="849">
        <v>0</v>
      </c>
      <c r="P90" s="849">
        <v>0</v>
      </c>
      <c r="Q90" s="849">
        <v>0</v>
      </c>
      <c r="R90" s="849">
        <v>0</v>
      </c>
      <c r="S90" s="849">
        <v>0</v>
      </c>
      <c r="T90" s="849">
        <v>0</v>
      </c>
      <c r="U90" s="849">
        <v>0</v>
      </c>
      <c r="V90" s="849">
        <v>0</v>
      </c>
      <c r="W90" s="849">
        <v>0</v>
      </c>
      <c r="X90" s="849">
        <v>0</v>
      </c>
      <c r="Y90" s="849">
        <v>0</v>
      </c>
      <c r="Z90" s="849">
        <v>0</v>
      </c>
      <c r="AA90" s="849">
        <v>0</v>
      </c>
      <c r="AB90" s="849">
        <v>0</v>
      </c>
      <c r="AC90" s="849">
        <v>0</v>
      </c>
      <c r="AD90" s="849">
        <v>0</v>
      </c>
      <c r="AE90" s="847">
        <v>0</v>
      </c>
      <c r="AF90" s="848">
        <v>0</v>
      </c>
      <c r="AG90" s="22"/>
      <c r="AH90" s="22"/>
      <c r="AI90" s="22"/>
      <c r="AJ90" s="22"/>
      <c r="AK90" s="22"/>
      <c r="AL90"/>
      <c r="AM90"/>
      <c r="AN90"/>
      <c r="AO90"/>
      <c r="AP90"/>
    </row>
    <row r="91" spans="2:42" s="7" customFormat="1" ht="21.95" customHeight="1" x14ac:dyDescent="0.2">
      <c r="B91" s="199"/>
      <c r="C91" s="228"/>
      <c r="D91" s="240" t="s">
        <v>25</v>
      </c>
      <c r="E91" s="853" cm="1">
        <f t="array" ref="E91:AF91">_xlfn.ANCHORARRAY(E88) +_xlfn.ANCHORARRAY( E89) +_xlfn.ANCHORARRAY( E90)</f>
        <v>0</v>
      </c>
      <c r="F91" s="853">
        <v>0</v>
      </c>
      <c r="G91" s="853">
        <v>0</v>
      </c>
      <c r="H91" s="853">
        <v>0</v>
      </c>
      <c r="I91" s="853">
        <v>0</v>
      </c>
      <c r="J91" s="853">
        <v>0</v>
      </c>
      <c r="K91" s="853">
        <v>0</v>
      </c>
      <c r="L91" s="853">
        <v>0</v>
      </c>
      <c r="M91" s="853">
        <v>0</v>
      </c>
      <c r="N91" s="853">
        <v>0</v>
      </c>
      <c r="O91" s="853">
        <v>0</v>
      </c>
      <c r="P91" s="853">
        <v>0</v>
      </c>
      <c r="Q91" s="853">
        <v>0</v>
      </c>
      <c r="R91" s="853">
        <v>0</v>
      </c>
      <c r="S91" s="853">
        <v>0</v>
      </c>
      <c r="T91" s="853">
        <v>0</v>
      </c>
      <c r="U91" s="853">
        <v>0</v>
      </c>
      <c r="V91" s="853">
        <v>0</v>
      </c>
      <c r="W91" s="853">
        <v>0</v>
      </c>
      <c r="X91" s="853">
        <v>0</v>
      </c>
      <c r="Y91" s="853">
        <v>0</v>
      </c>
      <c r="Z91" s="853">
        <v>0</v>
      </c>
      <c r="AA91" s="853">
        <v>0</v>
      </c>
      <c r="AB91" s="853">
        <v>0</v>
      </c>
      <c r="AC91" s="853">
        <v>0</v>
      </c>
      <c r="AD91" s="853">
        <v>0</v>
      </c>
      <c r="AE91" s="851">
        <v>0</v>
      </c>
      <c r="AF91" s="852">
        <v>0</v>
      </c>
      <c r="AG91" s="22"/>
      <c r="AH91" s="22"/>
      <c r="AI91" s="22"/>
      <c r="AJ91" s="22"/>
      <c r="AK91" s="22"/>
      <c r="AL91"/>
      <c r="AM91"/>
      <c r="AN91"/>
      <c r="AO91"/>
      <c r="AP91"/>
    </row>
    <row r="92" spans="2:42" s="7" customFormat="1" ht="21.95" customHeight="1" x14ac:dyDescent="0.2">
      <c r="B92" s="199"/>
      <c r="C92" s="229" t="str">
        <f>C17</f>
        <v>Patrol Rd</v>
      </c>
      <c r="D92" s="220" t="s">
        <v>32</v>
      </c>
      <c r="E92" s="854" cm="1">
        <f t="array" ref="E92:AF92">_xlfn.ANCHORARRAY(E59) * costLife</f>
        <v>0</v>
      </c>
      <c r="F92" s="854">
        <v>0</v>
      </c>
      <c r="G92" s="854">
        <v>0</v>
      </c>
      <c r="H92" s="854">
        <v>0</v>
      </c>
      <c r="I92" s="854">
        <v>0</v>
      </c>
      <c r="J92" s="854">
        <v>0</v>
      </c>
      <c r="K92" s="854">
        <v>0</v>
      </c>
      <c r="L92" s="854">
        <v>0</v>
      </c>
      <c r="M92" s="854">
        <v>0</v>
      </c>
      <c r="N92" s="854">
        <v>0</v>
      </c>
      <c r="O92" s="854">
        <v>0</v>
      </c>
      <c r="P92" s="854">
        <v>0</v>
      </c>
      <c r="Q92" s="854">
        <v>0</v>
      </c>
      <c r="R92" s="854">
        <v>0</v>
      </c>
      <c r="S92" s="854">
        <v>0</v>
      </c>
      <c r="T92" s="854">
        <v>0</v>
      </c>
      <c r="U92" s="854">
        <v>0</v>
      </c>
      <c r="V92" s="854">
        <v>0</v>
      </c>
      <c r="W92" s="854">
        <v>0</v>
      </c>
      <c r="X92" s="854">
        <v>0</v>
      </c>
      <c r="Y92" s="854">
        <v>0</v>
      </c>
      <c r="Z92" s="854">
        <v>0</v>
      </c>
      <c r="AA92" s="854">
        <v>0</v>
      </c>
      <c r="AB92" s="854">
        <v>0</v>
      </c>
      <c r="AC92" s="854">
        <v>0</v>
      </c>
      <c r="AD92" s="854">
        <v>0</v>
      </c>
      <c r="AE92" s="847">
        <v>0</v>
      </c>
      <c r="AF92" s="848">
        <v>0</v>
      </c>
      <c r="AG92" s="22"/>
      <c r="AH92" s="22"/>
      <c r="AI92" s="22"/>
      <c r="AJ92" s="22"/>
      <c r="AK92" s="22"/>
      <c r="AL92"/>
      <c r="AM92"/>
      <c r="AN92"/>
      <c r="AO92"/>
      <c r="AP92"/>
    </row>
    <row r="93" spans="2:42" s="7" customFormat="1" ht="21.95" customHeight="1" x14ac:dyDescent="0.2">
      <c r="B93" s="199"/>
      <c r="C93" s="228"/>
      <c r="D93" s="116" t="s">
        <v>33</v>
      </c>
      <c r="E93" s="847" cm="1">
        <f t="array" ref="E93:AF93">_xlfn.ANCHORARRAY(E60) * costInjury</f>
        <v>61560</v>
      </c>
      <c r="F93" s="847">
        <v>73872</v>
      </c>
      <c r="G93" s="847">
        <v>88646.399999999994</v>
      </c>
      <c r="H93" s="847">
        <v>106375.68000000001</v>
      </c>
      <c r="I93" s="847">
        <v>127650.81599999999</v>
      </c>
      <c r="J93" s="847">
        <v>153180.9792</v>
      </c>
      <c r="K93" s="847">
        <v>183817.17504</v>
      </c>
      <c r="L93" s="847">
        <v>220580.610048</v>
      </c>
      <c r="M93" s="847">
        <v>264696.73205759999</v>
      </c>
      <c r="N93" s="847">
        <v>317636.07846911997</v>
      </c>
      <c r="O93" s="847">
        <v>381163.29416294396</v>
      </c>
      <c r="P93" s="847">
        <v>457395.95299553277</v>
      </c>
      <c r="Q93" s="847">
        <v>548875.14359463926</v>
      </c>
      <c r="R93" s="847">
        <v>658650.17231356713</v>
      </c>
      <c r="S93" s="847">
        <v>790380.20677628054</v>
      </c>
      <c r="T93" s="847">
        <v>948456.24813153665</v>
      </c>
      <c r="U93" s="847">
        <v>1138147.4977578437</v>
      </c>
      <c r="V93" s="847">
        <v>1365776.9973094126</v>
      </c>
      <c r="W93" s="847">
        <v>1638932.3967712952</v>
      </c>
      <c r="X93" s="847">
        <v>1966718.8761255541</v>
      </c>
      <c r="Y93" s="847">
        <v>2360062.6513506649</v>
      </c>
      <c r="Z93" s="847">
        <v>2832075.1816207976</v>
      </c>
      <c r="AA93" s="847">
        <v>3398490.2179449569</v>
      </c>
      <c r="AB93" s="847">
        <v>4078188.2615339486</v>
      </c>
      <c r="AC93" s="847">
        <v>4893825.9138407381</v>
      </c>
      <c r="AD93" s="847">
        <v>5872591.0966088865</v>
      </c>
      <c r="AE93" s="847">
        <v>7047109.3159306627</v>
      </c>
      <c r="AF93" s="848">
        <v>8456531.1791167948</v>
      </c>
      <c r="AG93" s="22"/>
      <c r="AH93" s="22"/>
      <c r="AI93" s="22"/>
      <c r="AJ93" s="22"/>
      <c r="AK93" s="22"/>
      <c r="AL93"/>
      <c r="AM93"/>
      <c r="AN93"/>
      <c r="AO93"/>
      <c r="AP93"/>
    </row>
    <row r="94" spans="2:42" s="7" customFormat="1" ht="21.95" customHeight="1" x14ac:dyDescent="0.2">
      <c r="B94" s="199"/>
      <c r="C94" s="116"/>
      <c r="D94" s="124" t="s">
        <v>30</v>
      </c>
      <c r="E94" s="849" cm="1">
        <f t="array" ref="E94:AF94">_xlfn.ANCHORARRAY(E61) * costPDO</f>
        <v>0</v>
      </c>
      <c r="F94" s="849">
        <v>0</v>
      </c>
      <c r="G94" s="849">
        <v>0</v>
      </c>
      <c r="H94" s="849">
        <v>0</v>
      </c>
      <c r="I94" s="849">
        <v>0</v>
      </c>
      <c r="J94" s="849">
        <v>0</v>
      </c>
      <c r="K94" s="849">
        <v>0</v>
      </c>
      <c r="L94" s="849">
        <v>0</v>
      </c>
      <c r="M94" s="849">
        <v>0</v>
      </c>
      <c r="N94" s="849">
        <v>0</v>
      </c>
      <c r="O94" s="849">
        <v>0</v>
      </c>
      <c r="P94" s="849">
        <v>0</v>
      </c>
      <c r="Q94" s="849">
        <v>0</v>
      </c>
      <c r="R94" s="849">
        <v>0</v>
      </c>
      <c r="S94" s="849">
        <v>0</v>
      </c>
      <c r="T94" s="849">
        <v>0</v>
      </c>
      <c r="U94" s="849">
        <v>0</v>
      </c>
      <c r="V94" s="849">
        <v>0</v>
      </c>
      <c r="W94" s="849">
        <v>0</v>
      </c>
      <c r="X94" s="849">
        <v>0</v>
      </c>
      <c r="Y94" s="849">
        <v>0</v>
      </c>
      <c r="Z94" s="849">
        <v>0</v>
      </c>
      <c r="AA94" s="849">
        <v>0</v>
      </c>
      <c r="AB94" s="849">
        <v>0</v>
      </c>
      <c r="AC94" s="849">
        <v>0</v>
      </c>
      <c r="AD94" s="849">
        <v>0</v>
      </c>
      <c r="AE94" s="847">
        <v>0</v>
      </c>
      <c r="AF94" s="848">
        <v>0</v>
      </c>
      <c r="AG94" s="22"/>
      <c r="AH94" s="22"/>
      <c r="AI94" s="22"/>
      <c r="AJ94" s="22"/>
      <c r="AK94" s="22"/>
      <c r="AL94"/>
      <c r="AM94"/>
      <c r="AN94"/>
      <c r="AO94"/>
      <c r="AP94"/>
    </row>
    <row r="95" spans="2:42" s="7" customFormat="1" ht="21.95" customHeight="1" x14ac:dyDescent="0.2">
      <c r="B95" s="199"/>
      <c r="C95" s="228"/>
      <c r="D95" s="240" t="s">
        <v>25</v>
      </c>
      <c r="E95" s="853" cm="1">
        <f t="array" ref="E95:AF95">_xlfn.ANCHORARRAY(E92) +_xlfn.ANCHORARRAY( E93) +_xlfn.ANCHORARRAY( E94)</f>
        <v>61560</v>
      </c>
      <c r="F95" s="853">
        <v>73872</v>
      </c>
      <c r="G95" s="853">
        <v>88646.399999999994</v>
      </c>
      <c r="H95" s="853">
        <v>106375.68000000001</v>
      </c>
      <c r="I95" s="853">
        <v>127650.81599999999</v>
      </c>
      <c r="J95" s="853">
        <v>153180.9792</v>
      </c>
      <c r="K95" s="853">
        <v>183817.17504</v>
      </c>
      <c r="L95" s="853">
        <v>220580.610048</v>
      </c>
      <c r="M95" s="853">
        <v>264696.73205759999</v>
      </c>
      <c r="N95" s="853">
        <v>317636.07846911997</v>
      </c>
      <c r="O95" s="853">
        <v>381163.29416294396</v>
      </c>
      <c r="P95" s="853">
        <v>457395.95299553277</v>
      </c>
      <c r="Q95" s="853">
        <v>548875.14359463926</v>
      </c>
      <c r="R95" s="853">
        <v>658650.17231356713</v>
      </c>
      <c r="S95" s="853">
        <v>790380.20677628054</v>
      </c>
      <c r="T95" s="853">
        <v>948456.24813153665</v>
      </c>
      <c r="U95" s="853">
        <v>1138147.4977578437</v>
      </c>
      <c r="V95" s="853">
        <v>1365776.9973094126</v>
      </c>
      <c r="W95" s="853">
        <v>1638932.3967712952</v>
      </c>
      <c r="X95" s="853">
        <v>1966718.8761255541</v>
      </c>
      <c r="Y95" s="853">
        <v>2360062.6513506649</v>
      </c>
      <c r="Z95" s="853">
        <v>2832075.1816207976</v>
      </c>
      <c r="AA95" s="853">
        <v>3398490.2179449569</v>
      </c>
      <c r="AB95" s="853">
        <v>4078188.2615339486</v>
      </c>
      <c r="AC95" s="853">
        <v>4893825.9138407381</v>
      </c>
      <c r="AD95" s="853">
        <v>5872591.0966088865</v>
      </c>
      <c r="AE95" s="851">
        <v>7047109.3159306627</v>
      </c>
      <c r="AF95" s="852">
        <v>8456531.1791167948</v>
      </c>
      <c r="AG95" s="22"/>
      <c r="AH95" s="22"/>
      <c r="AI95" s="22"/>
      <c r="AJ95" s="22"/>
      <c r="AK95" s="22"/>
      <c r="AL95"/>
      <c r="AM95"/>
      <c r="AN95"/>
      <c r="AO95"/>
      <c r="AP95"/>
    </row>
    <row r="96" spans="2:42" s="7" customFormat="1" ht="21.95" customHeight="1" x14ac:dyDescent="0.2">
      <c r="B96" s="199"/>
      <c r="C96" s="229" t="str">
        <f>C20</f>
        <v>Williams St</v>
      </c>
      <c r="D96" s="220" t="s">
        <v>32</v>
      </c>
      <c r="E96" s="854" cm="1">
        <f t="array" ref="E96:AF96">_xlfn.ANCHORARRAY(E63) * costLife</f>
        <v>0</v>
      </c>
      <c r="F96" s="854">
        <v>0</v>
      </c>
      <c r="G96" s="854">
        <v>0</v>
      </c>
      <c r="H96" s="854">
        <v>0</v>
      </c>
      <c r="I96" s="854">
        <v>0</v>
      </c>
      <c r="J96" s="854">
        <v>0</v>
      </c>
      <c r="K96" s="854">
        <v>0</v>
      </c>
      <c r="L96" s="854">
        <v>0</v>
      </c>
      <c r="M96" s="854">
        <v>0</v>
      </c>
      <c r="N96" s="854">
        <v>0</v>
      </c>
      <c r="O96" s="854">
        <v>0</v>
      </c>
      <c r="P96" s="854">
        <v>0</v>
      </c>
      <c r="Q96" s="854">
        <v>0</v>
      </c>
      <c r="R96" s="854">
        <v>0</v>
      </c>
      <c r="S96" s="854">
        <v>0</v>
      </c>
      <c r="T96" s="854">
        <v>0</v>
      </c>
      <c r="U96" s="854">
        <v>0</v>
      </c>
      <c r="V96" s="854">
        <v>0</v>
      </c>
      <c r="W96" s="854">
        <v>0</v>
      </c>
      <c r="X96" s="854">
        <v>0</v>
      </c>
      <c r="Y96" s="854">
        <v>0</v>
      </c>
      <c r="Z96" s="854">
        <v>0</v>
      </c>
      <c r="AA96" s="854">
        <v>0</v>
      </c>
      <c r="AB96" s="854">
        <v>0</v>
      </c>
      <c r="AC96" s="854">
        <v>0</v>
      </c>
      <c r="AD96" s="854">
        <v>0</v>
      </c>
      <c r="AE96" s="847">
        <v>0</v>
      </c>
      <c r="AF96" s="848">
        <v>0</v>
      </c>
      <c r="AG96" s="22"/>
      <c r="AH96" s="22"/>
      <c r="AI96" s="22"/>
      <c r="AJ96" s="22"/>
      <c r="AK96" s="22"/>
      <c r="AL96"/>
      <c r="AM96"/>
      <c r="AN96"/>
      <c r="AO96"/>
      <c r="AP96"/>
    </row>
    <row r="97" spans="2:42" s="7" customFormat="1" ht="21.95" customHeight="1" x14ac:dyDescent="0.2">
      <c r="B97" s="199"/>
      <c r="C97" s="228"/>
      <c r="D97" s="116" t="s">
        <v>33</v>
      </c>
      <c r="E97" s="847" cm="1">
        <f t="array" ref="E97:AF97">_xlfn.ANCHORARRAY(E64) * costInjury</f>
        <v>0</v>
      </c>
      <c r="F97" s="847">
        <v>0</v>
      </c>
      <c r="G97" s="847">
        <v>0</v>
      </c>
      <c r="H97" s="847">
        <v>0</v>
      </c>
      <c r="I97" s="847">
        <v>0</v>
      </c>
      <c r="J97" s="847">
        <v>0</v>
      </c>
      <c r="K97" s="847">
        <v>0</v>
      </c>
      <c r="L97" s="847">
        <v>0</v>
      </c>
      <c r="M97" s="847">
        <v>0</v>
      </c>
      <c r="N97" s="847">
        <v>0</v>
      </c>
      <c r="O97" s="847">
        <v>0</v>
      </c>
      <c r="P97" s="847">
        <v>0</v>
      </c>
      <c r="Q97" s="847">
        <v>0</v>
      </c>
      <c r="R97" s="847">
        <v>0</v>
      </c>
      <c r="S97" s="847">
        <v>0</v>
      </c>
      <c r="T97" s="847">
        <v>0</v>
      </c>
      <c r="U97" s="847">
        <v>0</v>
      </c>
      <c r="V97" s="847">
        <v>0</v>
      </c>
      <c r="W97" s="847">
        <v>0</v>
      </c>
      <c r="X97" s="847">
        <v>0</v>
      </c>
      <c r="Y97" s="847">
        <v>0</v>
      </c>
      <c r="Z97" s="847">
        <v>0</v>
      </c>
      <c r="AA97" s="847">
        <v>0</v>
      </c>
      <c r="AB97" s="847">
        <v>0</v>
      </c>
      <c r="AC97" s="847">
        <v>0</v>
      </c>
      <c r="AD97" s="847">
        <v>0</v>
      </c>
      <c r="AE97" s="847">
        <v>0</v>
      </c>
      <c r="AF97" s="848">
        <v>0</v>
      </c>
      <c r="AG97" s="22"/>
      <c r="AH97" s="22"/>
      <c r="AI97" s="22"/>
      <c r="AJ97" s="22"/>
      <c r="AK97" s="22"/>
      <c r="AL97"/>
      <c r="AM97"/>
      <c r="AN97"/>
      <c r="AO97"/>
      <c r="AP97"/>
    </row>
    <row r="98" spans="2:42" s="7" customFormat="1" ht="21.95" customHeight="1" x14ac:dyDescent="0.2">
      <c r="B98" s="199"/>
      <c r="C98" s="116"/>
      <c r="D98" s="124" t="s">
        <v>30</v>
      </c>
      <c r="E98" s="849" cm="1">
        <f t="array" ref="E98:AF98">_xlfn.ANCHORARRAY(E65) * costPDO</f>
        <v>0</v>
      </c>
      <c r="F98" s="849">
        <v>0</v>
      </c>
      <c r="G98" s="849">
        <v>0</v>
      </c>
      <c r="H98" s="849">
        <v>0</v>
      </c>
      <c r="I98" s="849">
        <v>0</v>
      </c>
      <c r="J98" s="849">
        <v>0</v>
      </c>
      <c r="K98" s="849">
        <v>0</v>
      </c>
      <c r="L98" s="849">
        <v>0</v>
      </c>
      <c r="M98" s="849">
        <v>0</v>
      </c>
      <c r="N98" s="849">
        <v>0</v>
      </c>
      <c r="O98" s="849">
        <v>0</v>
      </c>
      <c r="P98" s="849">
        <v>0</v>
      </c>
      <c r="Q98" s="849">
        <v>0</v>
      </c>
      <c r="R98" s="849">
        <v>0</v>
      </c>
      <c r="S98" s="849">
        <v>0</v>
      </c>
      <c r="T98" s="849">
        <v>0</v>
      </c>
      <c r="U98" s="849">
        <v>0</v>
      </c>
      <c r="V98" s="849">
        <v>0</v>
      </c>
      <c r="W98" s="849">
        <v>0</v>
      </c>
      <c r="X98" s="849">
        <v>0</v>
      </c>
      <c r="Y98" s="849">
        <v>0</v>
      </c>
      <c r="Z98" s="849">
        <v>0</v>
      </c>
      <c r="AA98" s="849">
        <v>0</v>
      </c>
      <c r="AB98" s="849">
        <v>0</v>
      </c>
      <c r="AC98" s="849">
        <v>0</v>
      </c>
      <c r="AD98" s="849">
        <v>0</v>
      </c>
      <c r="AE98" s="847">
        <v>0</v>
      </c>
      <c r="AF98" s="848">
        <v>0</v>
      </c>
      <c r="AG98" s="22"/>
      <c r="AH98" s="22"/>
      <c r="AI98" s="22"/>
      <c r="AJ98" s="22"/>
      <c r="AK98" s="22"/>
      <c r="AL98"/>
      <c r="AM98"/>
      <c r="AN98"/>
      <c r="AO98"/>
      <c r="AP98"/>
    </row>
    <row r="99" spans="2:42" s="7" customFormat="1" ht="21.95" customHeight="1" x14ac:dyDescent="0.2">
      <c r="B99" s="199"/>
      <c r="C99" s="116"/>
      <c r="D99" s="240" t="s">
        <v>25</v>
      </c>
      <c r="E99" s="853" cm="1">
        <f t="array" ref="E99:AF99">_xlfn.ANCHORARRAY(E96) +_xlfn.ANCHORARRAY( E97) +_xlfn.ANCHORARRAY( E98)</f>
        <v>0</v>
      </c>
      <c r="F99" s="853">
        <v>0</v>
      </c>
      <c r="G99" s="853">
        <v>0</v>
      </c>
      <c r="H99" s="853">
        <v>0</v>
      </c>
      <c r="I99" s="853">
        <v>0</v>
      </c>
      <c r="J99" s="853">
        <v>0</v>
      </c>
      <c r="K99" s="853">
        <v>0</v>
      </c>
      <c r="L99" s="853">
        <v>0</v>
      </c>
      <c r="M99" s="853">
        <v>0</v>
      </c>
      <c r="N99" s="853">
        <v>0</v>
      </c>
      <c r="O99" s="853">
        <v>0</v>
      </c>
      <c r="P99" s="853">
        <v>0</v>
      </c>
      <c r="Q99" s="853">
        <v>0</v>
      </c>
      <c r="R99" s="853">
        <v>0</v>
      </c>
      <c r="S99" s="853">
        <v>0</v>
      </c>
      <c r="T99" s="853">
        <v>0</v>
      </c>
      <c r="U99" s="853">
        <v>0</v>
      </c>
      <c r="V99" s="853">
        <v>0</v>
      </c>
      <c r="W99" s="853">
        <v>0</v>
      </c>
      <c r="X99" s="853">
        <v>0</v>
      </c>
      <c r="Y99" s="853">
        <v>0</v>
      </c>
      <c r="Z99" s="853">
        <v>0</v>
      </c>
      <c r="AA99" s="853">
        <v>0</v>
      </c>
      <c r="AB99" s="853">
        <v>0</v>
      </c>
      <c r="AC99" s="853">
        <v>0</v>
      </c>
      <c r="AD99" s="853">
        <v>0</v>
      </c>
      <c r="AE99" s="851">
        <v>0</v>
      </c>
      <c r="AF99" s="852">
        <v>0</v>
      </c>
      <c r="AG99" s="22"/>
      <c r="AH99" s="22"/>
      <c r="AI99" s="22"/>
      <c r="AJ99" s="22"/>
      <c r="AK99" s="22"/>
      <c r="AL99"/>
      <c r="AM99"/>
      <c r="AN99"/>
      <c r="AO99"/>
      <c r="AP99"/>
    </row>
    <row r="100" spans="2:42" s="7" customFormat="1" ht="21.95" customHeight="1" x14ac:dyDescent="0.2">
      <c r="B100" s="199"/>
      <c r="C100" s="220" t="str">
        <f>C23</f>
        <v>SH-412B North</v>
      </c>
      <c r="D100" s="220" t="s">
        <v>32</v>
      </c>
      <c r="E100" s="854" cm="1">
        <f t="array" ref="E100:AF100">_xlfn.ANCHORARRAY(E67) * costLife</f>
        <v>0</v>
      </c>
      <c r="F100" s="854">
        <v>0</v>
      </c>
      <c r="G100" s="854">
        <v>0</v>
      </c>
      <c r="H100" s="854">
        <v>0</v>
      </c>
      <c r="I100" s="854">
        <v>0</v>
      </c>
      <c r="J100" s="854">
        <v>0</v>
      </c>
      <c r="K100" s="854">
        <v>0</v>
      </c>
      <c r="L100" s="854">
        <v>0</v>
      </c>
      <c r="M100" s="854">
        <v>0</v>
      </c>
      <c r="N100" s="854">
        <v>0</v>
      </c>
      <c r="O100" s="854">
        <v>0</v>
      </c>
      <c r="P100" s="854">
        <v>0</v>
      </c>
      <c r="Q100" s="854">
        <v>0</v>
      </c>
      <c r="R100" s="854">
        <v>0</v>
      </c>
      <c r="S100" s="854">
        <v>0</v>
      </c>
      <c r="T100" s="854">
        <v>0</v>
      </c>
      <c r="U100" s="854">
        <v>0</v>
      </c>
      <c r="V100" s="854">
        <v>0</v>
      </c>
      <c r="W100" s="854">
        <v>0</v>
      </c>
      <c r="X100" s="854">
        <v>0</v>
      </c>
      <c r="Y100" s="854">
        <v>0</v>
      </c>
      <c r="Z100" s="854">
        <v>0</v>
      </c>
      <c r="AA100" s="854">
        <v>0</v>
      </c>
      <c r="AB100" s="854">
        <v>0</v>
      </c>
      <c r="AC100" s="854">
        <v>0</v>
      </c>
      <c r="AD100" s="854">
        <v>0</v>
      </c>
      <c r="AE100" s="847">
        <v>0</v>
      </c>
      <c r="AF100" s="848">
        <v>0</v>
      </c>
      <c r="AG100" s="22"/>
      <c r="AH100" s="22"/>
      <c r="AI100" s="22"/>
      <c r="AJ100" s="22"/>
      <c r="AK100" s="22"/>
      <c r="AL100"/>
      <c r="AM100"/>
      <c r="AN100"/>
      <c r="AO100"/>
      <c r="AP100"/>
    </row>
    <row r="101" spans="2:42" s="7" customFormat="1" ht="21.95" customHeight="1" x14ac:dyDescent="0.2">
      <c r="B101" s="199"/>
      <c r="C101" s="116" t="str">
        <f>C24</f>
        <v>(Reconstruction)</v>
      </c>
      <c r="D101" s="116" t="s">
        <v>33</v>
      </c>
      <c r="E101" s="847" cm="1">
        <f t="array" ref="E101:AF101">_xlfn.ANCHORARRAY(E68) * costInjury</f>
        <v>554040</v>
      </c>
      <c r="F101" s="847">
        <v>692864.69472000003</v>
      </c>
      <c r="G101" s="847">
        <v>866474.41554660082</v>
      </c>
      <c r="H101" s="847">
        <v>1083585.1769012813</v>
      </c>
      <c r="I101" s="847">
        <v>1355096.9475070818</v>
      </c>
      <c r="J101" s="847">
        <v>1694640.879450036</v>
      </c>
      <c r="K101" s="847">
        <v>2119263.6553320722</v>
      </c>
      <c r="L101" s="847">
        <v>2650283.3109213188</v>
      </c>
      <c r="M101" s="847">
        <v>3314359.4995722515</v>
      </c>
      <c r="N101" s="847">
        <v>4144831.9306610716</v>
      </c>
      <c r="O101" s="847">
        <v>5183394.1778629534</v>
      </c>
      <c r="P101" s="847">
        <v>6482186.8902217178</v>
      </c>
      <c r="Q101" s="847">
        <v>8106415.4949307935</v>
      </c>
      <c r="R101" s="847">
        <v>10137623.812664611</v>
      </c>
      <c r="S101" s="847">
        <v>12677787.936156357</v>
      </c>
      <c r="T101" s="847">
        <v>15854435.903743181</v>
      </c>
      <c r="U101" s="847">
        <v>19827050.199272305</v>
      </c>
      <c r="V101" s="847">
        <v>24795074.513603564</v>
      </c>
      <c r="W101" s="847">
        <v>31007926.744328178</v>
      </c>
      <c r="X101" s="847">
        <v>38777520.932801001</v>
      </c>
      <c r="Y101" s="847">
        <v>48493926.79789108</v>
      </c>
      <c r="Z101" s="847">
        <v>60644953.047785044</v>
      </c>
      <c r="AA101" s="847">
        <v>75840637.643062443</v>
      </c>
      <c r="AB101" s="847">
        <v>94843874.536009297</v>
      </c>
      <c r="AC101" s="847">
        <v>118608714.49074809</v>
      </c>
      <c r="AD101" s="847">
        <v>148328262.86326584</v>
      </c>
      <c r="AE101" s="847">
        <v>185494579.03238863</v>
      </c>
      <c r="AF101" s="848">
        <v>231973584.71137613</v>
      </c>
      <c r="AG101" s="22"/>
      <c r="AH101" s="22"/>
      <c r="AI101" s="22"/>
      <c r="AJ101" s="22"/>
      <c r="AK101" s="22"/>
      <c r="AL101"/>
      <c r="AM101"/>
      <c r="AN101"/>
      <c r="AO101"/>
      <c r="AP101"/>
    </row>
    <row r="102" spans="2:42" s="7" customFormat="1" ht="21.95" customHeight="1" x14ac:dyDescent="0.2">
      <c r="B102" s="199"/>
      <c r="C102" s="116"/>
      <c r="D102" s="124" t="s">
        <v>30</v>
      </c>
      <c r="E102" s="849" cm="1">
        <f t="array" ref="E102:AF102">_xlfn.ANCHORARRAY(E69) * costPDO</f>
        <v>11520</v>
      </c>
      <c r="F102" s="849">
        <v>14406.543359999998</v>
      </c>
      <c r="G102" s="849">
        <v>18016.362116628476</v>
      </c>
      <c r="H102" s="849">
        <v>22530.685939467836</v>
      </c>
      <c r="I102" s="849">
        <v>28176.154853948417</v>
      </c>
      <c r="J102" s="849">
        <v>35236.197623392552</v>
      </c>
      <c r="K102" s="849">
        <v>44065.261189490775</v>
      </c>
      <c r="L102" s="849">
        <v>55106.605555219103</v>
      </c>
      <c r="M102" s="849">
        <v>68914.557495979243</v>
      </c>
      <c r="N102" s="849">
        <v>86182.340338631751</v>
      </c>
      <c r="O102" s="849">
        <v>107776.87699260202</v>
      </c>
      <c r="P102" s="849">
        <v>134782.3135068843</v>
      </c>
      <c r="Q102" s="849">
        <v>168554.44823767731</v>
      </c>
      <c r="R102" s="849">
        <v>210788.79922369562</v>
      </c>
      <c r="S102" s="849">
        <v>263605.72706757858</v>
      </c>
      <c r="T102" s="849">
        <v>329656.88688744756</v>
      </c>
      <c r="U102" s="849">
        <v>412258.35372106155</v>
      </c>
      <c r="V102" s="849">
        <v>515557.10489624046</v>
      </c>
      <c r="W102" s="849">
        <v>644739.21755588148</v>
      </c>
      <c r="X102" s="849">
        <v>806290.23382042348</v>
      </c>
      <c r="Y102" s="849">
        <v>1008320.7651283394</v>
      </c>
      <c r="Z102" s="849">
        <v>1260973.6826050172</v>
      </c>
      <c r="AA102" s="849">
        <v>1576933.3363079908</v>
      </c>
      <c r="AB102" s="849">
        <v>1972062.3685200112</v>
      </c>
      <c r="AC102" s="849">
        <v>2466198.0920753335</v>
      </c>
      <c r="AD102" s="849">
        <v>3084148.4156104652</v>
      </c>
      <c r="AE102" s="847">
        <v>3856937.3158131479</v>
      </c>
      <c r="AF102" s="848">
        <v>4823362.3851618161</v>
      </c>
      <c r="AG102" s="22"/>
      <c r="AH102" s="22"/>
      <c r="AI102" s="22"/>
      <c r="AJ102" s="22"/>
      <c r="AK102" s="22"/>
      <c r="AL102"/>
      <c r="AM102"/>
      <c r="AN102"/>
      <c r="AO102"/>
      <c r="AP102"/>
    </row>
    <row r="103" spans="2:42" s="7" customFormat="1" ht="21.95" customHeight="1" x14ac:dyDescent="0.2">
      <c r="B103" s="199"/>
      <c r="C103" s="116"/>
      <c r="D103" s="240" t="s">
        <v>25</v>
      </c>
      <c r="E103" s="853" cm="1">
        <f t="array" ref="E103:AF103">_xlfn.ANCHORARRAY(E100) +_xlfn.ANCHORARRAY( E101) +_xlfn.ANCHORARRAY( E102)</f>
        <v>565560</v>
      </c>
      <c r="F103" s="853">
        <v>707271.23808000004</v>
      </c>
      <c r="G103" s="853">
        <v>884490.77766322927</v>
      </c>
      <c r="H103" s="853">
        <v>1106115.8628407491</v>
      </c>
      <c r="I103" s="853">
        <v>1383273.1023610302</v>
      </c>
      <c r="J103" s="853">
        <v>1729877.0770734285</v>
      </c>
      <c r="K103" s="853">
        <v>2163328.9165215627</v>
      </c>
      <c r="L103" s="853">
        <v>2705389.9164765379</v>
      </c>
      <c r="M103" s="853">
        <v>3383274.0570682306</v>
      </c>
      <c r="N103" s="853">
        <v>4231014.2709997036</v>
      </c>
      <c r="O103" s="853">
        <v>5291171.0548555553</v>
      </c>
      <c r="P103" s="853">
        <v>6616969.2037286023</v>
      </c>
      <c r="Q103" s="853">
        <v>8274969.9431684706</v>
      </c>
      <c r="R103" s="853">
        <v>10348412.611888306</v>
      </c>
      <c r="S103" s="853">
        <v>12941393.663223935</v>
      </c>
      <c r="T103" s="853">
        <v>16184092.790630629</v>
      </c>
      <c r="U103" s="853">
        <v>20239308.552993365</v>
      </c>
      <c r="V103" s="853">
        <v>25310631.618499804</v>
      </c>
      <c r="W103" s="853">
        <v>31652665.961884059</v>
      </c>
      <c r="X103" s="853">
        <v>39583811.166621424</v>
      </c>
      <c r="Y103" s="853">
        <v>49502247.563019417</v>
      </c>
      <c r="Z103" s="853">
        <v>61905926.730390064</v>
      </c>
      <c r="AA103" s="853">
        <v>77417570.97937043</v>
      </c>
      <c r="AB103" s="853">
        <v>96815936.904529303</v>
      </c>
      <c r="AC103" s="853">
        <v>121074912.58282343</v>
      </c>
      <c r="AD103" s="853">
        <v>151412411.2788763</v>
      </c>
      <c r="AE103" s="851">
        <v>189351516.34820178</v>
      </c>
      <c r="AF103" s="852">
        <v>236796947.09653795</v>
      </c>
      <c r="AG103" s="22"/>
      <c r="AH103" s="22"/>
      <c r="AI103" s="22"/>
      <c r="AJ103" s="22"/>
      <c r="AK103" s="22"/>
      <c r="AL103"/>
      <c r="AM103"/>
      <c r="AN103"/>
      <c r="AO103"/>
      <c r="AP103"/>
    </row>
    <row r="104" spans="2:42" s="7" customFormat="1" ht="21.95" customHeight="1" x14ac:dyDescent="0.2">
      <c r="B104" s="199"/>
      <c r="C104" s="220" t="str">
        <f>C26</f>
        <v>US 69/Main St</v>
      </c>
      <c r="D104" s="220" t="s">
        <v>32</v>
      </c>
      <c r="E104" s="854" cm="1">
        <f t="array" ref="E104:AF104">_xlfn.ANCHORARRAY(E71) * costLife</f>
        <v>0</v>
      </c>
      <c r="F104" s="854">
        <v>0</v>
      </c>
      <c r="G104" s="854">
        <v>0</v>
      </c>
      <c r="H104" s="854">
        <v>0</v>
      </c>
      <c r="I104" s="854">
        <v>0</v>
      </c>
      <c r="J104" s="854">
        <v>0</v>
      </c>
      <c r="K104" s="854">
        <v>0</v>
      </c>
      <c r="L104" s="854">
        <v>0</v>
      </c>
      <c r="M104" s="854">
        <v>0</v>
      </c>
      <c r="N104" s="854">
        <v>0</v>
      </c>
      <c r="O104" s="854">
        <v>0</v>
      </c>
      <c r="P104" s="854">
        <v>0</v>
      </c>
      <c r="Q104" s="854">
        <v>0</v>
      </c>
      <c r="R104" s="854">
        <v>0</v>
      </c>
      <c r="S104" s="854">
        <v>0</v>
      </c>
      <c r="T104" s="854">
        <v>0</v>
      </c>
      <c r="U104" s="854">
        <v>0</v>
      </c>
      <c r="V104" s="854">
        <v>0</v>
      </c>
      <c r="W104" s="854">
        <v>0</v>
      </c>
      <c r="X104" s="854">
        <v>0</v>
      </c>
      <c r="Y104" s="854">
        <v>0</v>
      </c>
      <c r="Z104" s="854">
        <v>0</v>
      </c>
      <c r="AA104" s="854">
        <v>0</v>
      </c>
      <c r="AB104" s="854">
        <v>0</v>
      </c>
      <c r="AC104" s="854">
        <v>0</v>
      </c>
      <c r="AD104" s="854">
        <v>0</v>
      </c>
      <c r="AE104" s="847">
        <v>0</v>
      </c>
      <c r="AF104" s="848">
        <v>0</v>
      </c>
      <c r="AG104" s="22"/>
      <c r="AH104" s="22"/>
      <c r="AI104" s="22"/>
      <c r="AJ104" s="22"/>
      <c r="AK104" s="22"/>
      <c r="AL104"/>
      <c r="AM104"/>
      <c r="AN104"/>
      <c r="AO104"/>
      <c r="AP104"/>
    </row>
    <row r="105" spans="2:42" s="7" customFormat="1" ht="21.95" customHeight="1" x14ac:dyDescent="0.2">
      <c r="B105" s="199"/>
      <c r="C105" s="116" t="str">
        <f>+C27</f>
        <v>(Intersection)</v>
      </c>
      <c r="D105" s="116" t="s">
        <v>33</v>
      </c>
      <c r="E105" s="847" cm="1">
        <f t="array" ref="E105:AF105">_xlfn.ANCHORARRAY(E72) * costInjury</f>
        <v>61560</v>
      </c>
      <c r="F105" s="847">
        <v>63376.027035428575</v>
      </c>
      <c r="G105" s="847">
        <v>65245.627075948236</v>
      </c>
      <c r="H105" s="847">
        <v>67170.380531331801</v>
      </c>
      <c r="I105" s="847">
        <v>69151.914433621016</v>
      </c>
      <c r="J105" s="847">
        <v>71191.903812488774</v>
      </c>
      <c r="K105" s="847">
        <v>73292.073111174788</v>
      </c>
      <c r="L105" s="847">
        <v>75454.197644191358</v>
      </c>
      <c r="M105" s="847">
        <v>77680.105098031883</v>
      </c>
      <c r="N105" s="847">
        <v>79971.677076150125</v>
      </c>
      <c r="O105" s="847">
        <v>82330.850689516796</v>
      </c>
      <c r="P105" s="847">
        <v>84759.620194097632</v>
      </c>
      <c r="Q105" s="847">
        <v>87260.038676637239</v>
      </c>
      <c r="R105" s="847">
        <v>89834.219790173884</v>
      </c>
      <c r="S105" s="847">
        <v>92484.339540752</v>
      </c>
      <c r="T105" s="847">
        <v>95212.638126842983</v>
      </c>
      <c r="U105" s="847">
        <v>98021.421833029221</v>
      </c>
      <c r="V105" s="847">
        <v>100913.06497955181</v>
      </c>
      <c r="W105" s="847">
        <v>103890.01192937029</v>
      </c>
      <c r="X105" s="847">
        <v>106954.77915443094</v>
      </c>
      <c r="Y105" s="847">
        <v>110109.95736288998</v>
      </c>
      <c r="Z105" s="847">
        <v>113358.21368909036</v>
      </c>
      <c r="AA105" s="847">
        <v>116702.29394814298</v>
      </c>
      <c r="AB105" s="847">
        <v>120145.02495701821</v>
      </c>
      <c r="AC105" s="847">
        <v>123689.31692411026</v>
      </c>
      <c r="AD105" s="847">
        <v>127338.16590929341</v>
      </c>
      <c r="AE105" s="847">
        <v>131094.65635655084</v>
      </c>
      <c r="AF105" s="848">
        <v>134961.96370131554</v>
      </c>
      <c r="AG105" s="22"/>
      <c r="AH105" s="22"/>
      <c r="AI105" s="22"/>
      <c r="AJ105" s="22"/>
      <c r="AK105" s="22"/>
      <c r="AL105"/>
      <c r="AM105"/>
      <c r="AN105"/>
      <c r="AO105"/>
      <c r="AP105"/>
    </row>
    <row r="106" spans="2:42" s="7" customFormat="1" ht="21.95" customHeight="1" x14ac:dyDescent="0.2">
      <c r="B106" s="199"/>
      <c r="C106" s="116"/>
      <c r="D106" s="124" t="s">
        <v>30</v>
      </c>
      <c r="E106" s="849" cm="1">
        <f t="array" ref="E106:AF106">_xlfn.ANCHORARRAY(E73) * costPDO</f>
        <v>6720</v>
      </c>
      <c r="F106" s="849">
        <v>6918.2407679999997</v>
      </c>
      <c r="G106" s="849">
        <v>7122.3296613120883</v>
      </c>
      <c r="H106" s="849">
        <v>7332.4392003013272</v>
      </c>
      <c r="I106" s="849">
        <v>7548.7469947032687</v>
      </c>
      <c r="J106" s="849">
        <v>7771.4358937609568</v>
      </c>
      <c r="K106" s="849">
        <v>8000.6941407910081</v>
      </c>
      <c r="L106" s="849">
        <v>8236.7155323093866</v>
      </c>
      <c r="M106" s="849">
        <v>8479.6995818514333</v>
      </c>
      <c r="N106" s="849">
        <v>8729.8516886245743</v>
      </c>
      <c r="O106" s="849">
        <v>8987.3833111363365</v>
      </c>
      <c r="P106" s="849">
        <v>9252.5121459443781</v>
      </c>
      <c r="Q106" s="849">
        <v>9525.4623116796975</v>
      </c>
      <c r="R106" s="849">
        <v>9806.4645384985124</v>
      </c>
      <c r="S106" s="849">
        <v>10095.756363123026</v>
      </c>
      <c r="T106" s="849">
        <v>10393.582329635879</v>
      </c>
      <c r="U106" s="849">
        <v>10700.194196198121</v>
      </c>
      <c r="V106" s="849">
        <v>11015.851147865302</v>
      </c>
      <c r="W106" s="849">
        <v>11340.820015681746</v>
      </c>
      <c r="X106" s="849">
        <v>11675.375502238074</v>
      </c>
      <c r="Y106" s="849">
        <v>12019.800413882727</v>
      </c>
      <c r="Z106" s="849">
        <v>12374.385899783743</v>
      </c>
      <c r="AA106" s="849">
        <v>12739.431698042898</v>
      </c>
      <c r="AB106" s="849">
        <v>13115.246389070211</v>
      </c>
      <c r="AC106" s="849">
        <v>13502.147656433086</v>
      </c>
      <c r="AD106" s="849">
        <v>13900.462555400451</v>
      </c>
      <c r="AE106" s="847">
        <v>14310.527789409058</v>
      </c>
      <c r="AF106" s="848">
        <v>14732.689994685516</v>
      </c>
      <c r="AG106" s="22"/>
      <c r="AH106" s="22"/>
      <c r="AI106" s="22"/>
      <c r="AJ106" s="22"/>
      <c r="AK106" s="22"/>
      <c r="AL106"/>
      <c r="AM106"/>
      <c r="AN106"/>
      <c r="AO106"/>
      <c r="AP106"/>
    </row>
    <row r="107" spans="2:42" s="7" customFormat="1" ht="21.95" customHeight="1" x14ac:dyDescent="0.2">
      <c r="B107" s="199"/>
      <c r="C107" s="116"/>
      <c r="D107" s="240" t="s">
        <v>25</v>
      </c>
      <c r="E107" s="853" cm="1">
        <f t="array" ref="E107:AF107">_xlfn.ANCHORARRAY(E104) +_xlfn.ANCHORARRAY( E105) +_xlfn.ANCHORARRAY( E106)</f>
        <v>68280</v>
      </c>
      <c r="F107" s="853">
        <v>70294.267803428578</v>
      </c>
      <c r="G107" s="853">
        <v>72367.95673726032</v>
      </c>
      <c r="H107" s="853">
        <v>74502.819731633121</v>
      </c>
      <c r="I107" s="853">
        <v>76700.661428324282</v>
      </c>
      <c r="J107" s="853">
        <v>78963.339706249724</v>
      </c>
      <c r="K107" s="853">
        <v>81292.767251965794</v>
      </c>
      <c r="L107" s="853">
        <v>83690.913176500748</v>
      </c>
      <c r="M107" s="853">
        <v>86159.804679883324</v>
      </c>
      <c r="N107" s="853">
        <v>88701.528764774703</v>
      </c>
      <c r="O107" s="853">
        <v>91318.23400065313</v>
      </c>
      <c r="P107" s="853">
        <v>94012.132340042008</v>
      </c>
      <c r="Q107" s="853">
        <v>96785.50098831694</v>
      </c>
      <c r="R107" s="853">
        <v>99640.684328672389</v>
      </c>
      <c r="S107" s="853">
        <v>102580.09590387503</v>
      </c>
      <c r="T107" s="853">
        <v>105606.22045647886</v>
      </c>
      <c r="U107" s="853">
        <v>108721.61602922734</v>
      </c>
      <c r="V107" s="853">
        <v>111928.91612741712</v>
      </c>
      <c r="W107" s="853">
        <v>115230.83194505204</v>
      </c>
      <c r="X107" s="853">
        <v>118630.15465666902</v>
      </c>
      <c r="Y107" s="853">
        <v>122129.75777677271</v>
      </c>
      <c r="Z107" s="853">
        <v>125732.5995888741</v>
      </c>
      <c r="AA107" s="853">
        <v>129441.72564618588</v>
      </c>
      <c r="AB107" s="853">
        <v>133260.27134608841</v>
      </c>
      <c r="AC107" s="853">
        <v>137191.46458054334</v>
      </c>
      <c r="AD107" s="853">
        <v>141238.62846469387</v>
      </c>
      <c r="AE107" s="851">
        <v>145405.18414595991</v>
      </c>
      <c r="AF107" s="852">
        <v>149694.65369600107</v>
      </c>
      <c r="AG107" s="22"/>
      <c r="AH107" s="22"/>
      <c r="AI107" s="22"/>
      <c r="AJ107" s="22"/>
      <c r="AK107" s="22"/>
      <c r="AL107"/>
      <c r="AM107"/>
      <c r="AN107"/>
      <c r="AO107"/>
      <c r="AP107"/>
    </row>
    <row r="108" spans="2:42" s="7" customFormat="1" ht="21.95" customHeight="1" x14ac:dyDescent="0.2">
      <c r="B108" s="199"/>
      <c r="C108" s="220" t="str">
        <f>C29</f>
        <v>Zarrow St</v>
      </c>
      <c r="D108" s="220" t="s">
        <v>32</v>
      </c>
      <c r="E108" s="854" cm="1">
        <f t="array" ref="E108:AF108">_xlfn.ANCHORARRAY(E75) * costLife</f>
        <v>2609360</v>
      </c>
      <c r="F108" s="854">
        <v>2816852.8280533333</v>
      </c>
      <c r="G108" s="854">
        <v>3040845.2091363645</v>
      </c>
      <c r="H108" s="854">
        <v>3282649.1657066089</v>
      </c>
      <c r="I108" s="854">
        <v>3543681.050498045</v>
      </c>
      <c r="J108" s="854">
        <v>3825469.8427255824</v>
      </c>
      <c r="K108" s="854">
        <v>4129666.1039926643</v>
      </c>
      <c r="L108" s="854">
        <v>4458051.6463606888</v>
      </c>
      <c r="M108" s="854">
        <v>4812549.96921043</v>
      </c>
      <c r="N108" s="854">
        <v>5195237.5260287514</v>
      </c>
      <c r="O108" s="854">
        <v>5608355.8871151907</v>
      </c>
      <c r="P108" s="854">
        <v>6054324.8694507414</v>
      </c>
      <c r="Q108" s="854">
        <v>6535756.7106363056</v>
      </c>
      <c r="R108" s="854">
        <v>7055471.3699238235</v>
      </c>
      <c r="S108" s="854">
        <v>7616513.0459650066</v>
      </c>
      <c r="T108" s="854">
        <v>8222168.0080294171</v>
      </c>
      <c r="U108" s="854">
        <v>8875983.8451372404</v>
      </c>
      <c r="V108" s="854">
        <v>9581790.2458574269</v>
      </c>
      <c r="W108" s="854">
        <v>10343721.430487683</v>
      </c>
      <c r="X108" s="854">
        <v>11166240.367011491</v>
      </c>
      <c r="Y108" s="854">
        <v>12054164.912675757</v>
      </c>
      <c r="Z108" s="854">
        <v>13012696.034311848</v>
      </c>
      <c r="AA108" s="854">
        <v>14047448.27269895</v>
      </c>
      <c r="AB108" s="854">
        <v>15164482.629412942</v>
      </c>
      <c r="AC108" s="854">
        <v>16370342.068793688</v>
      </c>
      <c r="AD108" s="854">
        <v>17672089.842981406</v>
      </c>
      <c r="AE108" s="855">
        <v>19077350.86450883</v>
      </c>
      <c r="AF108" s="848">
        <v>20594356.36878676</v>
      </c>
      <c r="AG108" s="22"/>
      <c r="AH108" s="22"/>
      <c r="AI108" s="22"/>
      <c r="AJ108" s="22"/>
      <c r="AK108" s="22"/>
      <c r="AL108"/>
      <c r="AM108"/>
      <c r="AN108"/>
      <c r="AO108"/>
      <c r="AP108"/>
    </row>
    <row r="109" spans="2:42" s="7" customFormat="1" ht="21.95" customHeight="1" x14ac:dyDescent="0.2">
      <c r="B109" s="199"/>
      <c r="C109" s="116"/>
      <c r="D109" s="116" t="s">
        <v>33</v>
      </c>
      <c r="E109" s="855" cm="1">
        <f t="array" ref="E109:AF109">_xlfn.ANCHORARRAY(E76) * costInjury</f>
        <v>184680</v>
      </c>
      <c r="F109" s="855">
        <v>199365.50736000002</v>
      </c>
      <c r="G109" s="855">
        <v>215218.78668459074</v>
      </c>
      <c r="H109" s="855">
        <v>232332.6976433672</v>
      </c>
      <c r="I109" s="855">
        <v>250807.48398303759</v>
      </c>
      <c r="J109" s="855">
        <v>270751.36069939006</v>
      </c>
      <c r="K109" s="855">
        <v>292281.14790039137</v>
      </c>
      <c r="L109" s="855">
        <v>315522.95507323329</v>
      </c>
      <c r="M109" s="855">
        <v>340612.91976338346</v>
      </c>
      <c r="N109" s="855">
        <v>367698.00499240804</v>
      </c>
      <c r="O109" s="855">
        <v>396936.86008539767</v>
      </c>
      <c r="P109" s="855">
        <v>428500.74995024182</v>
      </c>
      <c r="Q109" s="855">
        <v>462574.55825195176</v>
      </c>
      <c r="R109" s="855">
        <v>499357.87035806925</v>
      </c>
      <c r="S109" s="855">
        <v>539066.14239844924</v>
      </c>
      <c r="T109" s="855">
        <v>581931.96328711743</v>
      </c>
      <c r="U109" s="855">
        <v>628206.41709842475</v>
      </c>
      <c r="V109" s="855">
        <v>678160.55377753533</v>
      </c>
      <c r="W109" s="855">
        <v>732086.97679985326</v>
      </c>
      <c r="X109" s="855">
        <v>790301.55707900866</v>
      </c>
      <c r="Y109" s="855">
        <v>853145.28316252213</v>
      </c>
      <c r="Z109" s="855">
        <v>920986.25855256151</v>
      </c>
      <c r="AA109" s="855">
        <v>994221.85785098351</v>
      </c>
      <c r="AB109" s="855">
        <v>1073281.0543581499</v>
      </c>
      <c r="AC109" s="855">
        <v>1158626.9327593041</v>
      </c>
      <c r="AD109" s="855">
        <v>1250759.4016164138</v>
      </c>
      <c r="AE109" s="855">
        <v>1350218.1215537488</v>
      </c>
      <c r="AF109" s="848">
        <v>1457585.6662888746</v>
      </c>
      <c r="AG109" s="22"/>
      <c r="AH109" s="22"/>
      <c r="AI109" s="22"/>
      <c r="AJ109" s="22"/>
      <c r="AK109" s="22"/>
      <c r="AL109"/>
      <c r="AM109"/>
      <c r="AN109"/>
      <c r="AO109"/>
      <c r="AP109"/>
    </row>
    <row r="110" spans="2:42" s="7" customFormat="1" ht="21.95" customHeight="1" x14ac:dyDescent="0.2">
      <c r="B110" s="199"/>
      <c r="C110" s="116"/>
      <c r="D110" s="124" t="s">
        <v>30</v>
      </c>
      <c r="E110" s="849" cm="1">
        <f t="array" ref="E110:AF110">_xlfn.ANCHORARRAY(E77) * costPDO</f>
        <v>960</v>
      </c>
      <c r="F110" s="849">
        <v>1036.3379200000002</v>
      </c>
      <c r="G110" s="849">
        <v>1118.746129614507</v>
      </c>
      <c r="H110" s="849">
        <v>1207.7073301799462</v>
      </c>
      <c r="I110" s="849">
        <v>1303.7426067994156</v>
      </c>
      <c r="J110" s="849">
        <v>1407.4144805686296</v>
      </c>
      <c r="K110" s="849">
        <v>1519.3302035108063</v>
      </c>
      <c r="L110" s="849">
        <v>1640.145315520381</v>
      </c>
      <c r="M110" s="849">
        <v>1770.5674841501414</v>
      </c>
      <c r="N110" s="849">
        <v>1911.3606497331152</v>
      </c>
      <c r="O110" s="849">
        <v>2063.3495001190267</v>
      </c>
      <c r="P110" s="849">
        <v>2227.4243012358247</v>
      </c>
      <c r="Q110" s="849">
        <v>2404.5461117710292</v>
      </c>
      <c r="R110" s="849">
        <v>2595.7524125175792</v>
      </c>
      <c r="S110" s="849">
        <v>2802.1631833577608</v>
      </c>
      <c r="T110" s="849">
        <v>3024.9874634807925</v>
      </c>
      <c r="U110" s="849">
        <v>3265.5304332601672</v>
      </c>
      <c r="V110" s="849">
        <v>3525.2010592724387</v>
      </c>
      <c r="W110" s="849">
        <v>3805.5203472377043</v>
      </c>
      <c r="X110" s="849">
        <v>4108.1302512229177</v>
      </c>
      <c r="Y110" s="849">
        <v>4434.8032912931621</v>
      </c>
      <c r="Z110" s="849">
        <v>4787.4529359457392</v>
      </c>
      <c r="AA110" s="849">
        <v>5168.1448101415644</v>
      </c>
      <c r="AB110" s="849">
        <v>5579.1087945842755</v>
      </c>
      <c r="AC110" s="849">
        <v>6022.7520871178913</v>
      </c>
      <c r="AD110" s="849">
        <v>6501.673302749391</v>
      </c>
      <c r="AE110" s="855">
        <v>7018.6776948862853</v>
      </c>
      <c r="AF110" s="848">
        <v>7576.7935869467183</v>
      </c>
      <c r="AG110" s="22"/>
      <c r="AH110" s="22"/>
      <c r="AI110" s="22"/>
      <c r="AJ110" s="22"/>
      <c r="AK110" s="22"/>
      <c r="AL110"/>
      <c r="AM110"/>
      <c r="AN110"/>
      <c r="AO110"/>
      <c r="AP110"/>
    </row>
    <row r="111" spans="2:42" s="7" customFormat="1" ht="21.95" customHeight="1" x14ac:dyDescent="0.2">
      <c r="B111" s="199"/>
      <c r="C111" s="116"/>
      <c r="D111" s="240" t="s">
        <v>25</v>
      </c>
      <c r="E111" s="856" cm="1">
        <f t="array" ref="E111:AF111">_xlfn.ANCHORARRAY(E108) +_xlfn.ANCHORARRAY( E109) +_xlfn.ANCHORARRAY( E110)</f>
        <v>2795000</v>
      </c>
      <c r="F111" s="853">
        <v>3017254.6733333333</v>
      </c>
      <c r="G111" s="853">
        <v>3257182.7419505697</v>
      </c>
      <c r="H111" s="853">
        <v>3516189.5706801559</v>
      </c>
      <c r="I111" s="853">
        <v>3795792.2770878822</v>
      </c>
      <c r="J111" s="853">
        <v>4097628.6179055413</v>
      </c>
      <c r="K111" s="853">
        <v>4423466.5820965664</v>
      </c>
      <c r="L111" s="853">
        <v>4775214.746749443</v>
      </c>
      <c r="M111" s="853">
        <v>5154933.4564579632</v>
      </c>
      <c r="N111" s="853">
        <v>5564846.891670892</v>
      </c>
      <c r="O111" s="853">
        <v>6007356.0967007075</v>
      </c>
      <c r="P111" s="853">
        <v>6485053.0437022196</v>
      </c>
      <c r="Q111" s="853">
        <v>7000735.8150000283</v>
      </c>
      <c r="R111" s="853">
        <v>7557424.9926944105</v>
      </c>
      <c r="S111" s="853">
        <v>8158381.3515468137</v>
      </c>
      <c r="T111" s="853">
        <v>8807124.9587800168</v>
      </c>
      <c r="U111" s="853">
        <v>9507455.7926689256</v>
      </c>
      <c r="V111" s="853">
        <v>10263476.000694234</v>
      </c>
      <c r="W111" s="853">
        <v>11079613.927634774</v>
      </c>
      <c r="X111" s="853">
        <v>11960650.054341722</v>
      </c>
      <c r="Y111" s="853">
        <v>12911744.999129573</v>
      </c>
      <c r="Z111" s="853">
        <v>13938469.745800354</v>
      </c>
      <c r="AA111" s="853">
        <v>15046838.275360076</v>
      </c>
      <c r="AB111" s="853">
        <v>16243342.792565677</v>
      </c>
      <c r="AC111" s="853">
        <v>17534991.753640108</v>
      </c>
      <c r="AD111" s="853">
        <v>18929350.91790057</v>
      </c>
      <c r="AE111" s="851">
        <v>20434587.663757466</v>
      </c>
      <c r="AF111" s="852">
        <v>22059518.828662582</v>
      </c>
      <c r="AG111" s="22"/>
      <c r="AH111" s="22"/>
      <c r="AI111" s="22"/>
      <c r="AJ111" s="22"/>
      <c r="AK111" s="22"/>
      <c r="AL111"/>
      <c r="AM111"/>
      <c r="AN111"/>
      <c r="AO111"/>
      <c r="AP111"/>
    </row>
    <row r="112" spans="2:42" ht="21.95" customHeight="1" thickBot="1" x14ac:dyDescent="0.25">
      <c r="B112" s="201"/>
      <c r="C112" s="845" t="s">
        <v>25</v>
      </c>
      <c r="D112" s="857"/>
      <c r="E112" s="858" cm="1">
        <f t="array" ref="E112:AF112">_xlfn.ANCHORARRAY(E87)+_xlfn.ANCHORARRAY(E83)+_xlfn.ANCHORARRAY(E91)+_xlfn.ANCHORARRAY(E95)+_xlfn.ANCHORARRAY(E99)+_xlfn.ANCHORARRAY(E103)+_xlfn.ANCHORARRAY(E107)+_xlfn.ANCHORARRAY(E111)</f>
        <v>4299320</v>
      </c>
      <c r="F112" s="858">
        <v>4742987.4868287621</v>
      </c>
      <c r="G112" s="858">
        <v>5248311.5254889522</v>
      </c>
      <c r="H112" s="858">
        <v>5826715.5900240429</v>
      </c>
      <c r="I112" s="858">
        <v>6492138.2574870754</v>
      </c>
      <c r="J112" s="858">
        <v>7261630.4031035323</v>
      </c>
      <c r="K112" s="858">
        <v>8156098.4147510435</v>
      </c>
      <c r="L112" s="858">
        <v>9201229.5457143746</v>
      </c>
      <c r="M112" s="858">
        <v>10428644.504401401</v>
      </c>
      <c r="N112" s="858">
        <v>11877333.597669927</v>
      </c>
      <c r="O112" s="858">
        <v>13595446.759341776</v>
      </c>
      <c r="P112" s="858">
        <v>15642525.305703599</v>
      </c>
      <c r="Q112" s="858">
        <v>18092285.138163097</v>
      </c>
      <c r="R112" s="858">
        <v>21036088.450750425</v>
      </c>
      <c r="S112" s="858">
        <v>24587275.160546146</v>
      </c>
      <c r="T112" s="858">
        <v>28886567.967018843</v>
      </c>
      <c r="U112" s="858">
        <v>34108818.292501628</v>
      </c>
      <c r="V112" s="858">
        <v>40471427.024268024</v>
      </c>
      <c r="W112" s="858">
        <v>48244857.298621878</v>
      </c>
      <c r="X112" s="858">
        <v>57765760.701575384</v>
      </c>
      <c r="Y112" s="858">
        <v>69453368.412635401</v>
      </c>
      <c r="Z112" s="858">
        <v>83829961.493132144</v>
      </c>
      <c r="AA112" s="858">
        <v>101546437.85089442</v>
      </c>
      <c r="AB112" s="858">
        <v>123414247.56592324</v>
      </c>
      <c r="AC112" s="858">
        <v>150445285.94776863</v>
      </c>
      <c r="AD112" s="858">
        <v>183901730.80563048</v>
      </c>
      <c r="AE112" s="859">
        <v>225358306.81417489</v>
      </c>
      <c r="AF112" s="860">
        <v>276780080.39068121</v>
      </c>
      <c r="AG112" s="29"/>
      <c r="AH112" s="29"/>
      <c r="AI112" s="29"/>
      <c r="AJ112" s="29"/>
      <c r="AK112" s="29"/>
    </row>
    <row r="114" spans="1:42" ht="21.95" customHeight="1" x14ac:dyDescent="0.2">
      <c r="E114"/>
    </row>
    <row r="115" spans="1:42" ht="21.95" customHeight="1" x14ac:dyDescent="0.2">
      <c r="A115" s="226"/>
      <c r="B115" s="227" t="s">
        <v>531</v>
      </c>
      <c r="D115"/>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row>
    <row r="116" spans="1:42" ht="21.95" customHeight="1" thickBot="1" x14ac:dyDescent="0.25">
      <c r="D116"/>
      <c r="E116"/>
      <c r="F116"/>
      <c r="G116"/>
      <c r="H116"/>
      <c r="I116"/>
      <c r="J116"/>
      <c r="K116"/>
      <c r="L116"/>
      <c r="M116"/>
    </row>
    <row r="117" spans="1:42" s="6" customFormat="1" ht="21.95" customHeight="1" thickBot="1" x14ac:dyDescent="0.25">
      <c r="A117"/>
      <c r="B117" s="196"/>
      <c r="C117" s="482" t="s">
        <v>18</v>
      </c>
      <c r="D117" s="482" t="s">
        <v>37</v>
      </c>
      <c r="E117" s="482" cm="1">
        <f t="array" ref="E117:AF117">year</f>
        <v>2021</v>
      </c>
      <c r="F117" s="482">
        <v>2022</v>
      </c>
      <c r="G117" s="482">
        <v>2023</v>
      </c>
      <c r="H117" s="482">
        <v>2024</v>
      </c>
      <c r="I117" s="482">
        <v>2025</v>
      </c>
      <c r="J117" s="482">
        <v>2026</v>
      </c>
      <c r="K117" s="482">
        <v>2027</v>
      </c>
      <c r="L117" s="482">
        <v>2028</v>
      </c>
      <c r="M117" s="482">
        <v>2029</v>
      </c>
      <c r="N117" s="482">
        <v>2030</v>
      </c>
      <c r="O117" s="482">
        <v>2031</v>
      </c>
      <c r="P117" s="482">
        <v>2032</v>
      </c>
      <c r="Q117" s="482">
        <v>2033</v>
      </c>
      <c r="R117" s="482">
        <v>2034</v>
      </c>
      <c r="S117" s="482">
        <v>2035</v>
      </c>
      <c r="T117" s="482">
        <v>2036</v>
      </c>
      <c r="U117" s="482">
        <v>2037</v>
      </c>
      <c r="V117" s="482">
        <v>2038</v>
      </c>
      <c r="W117" s="482">
        <v>2039</v>
      </c>
      <c r="X117" s="482">
        <v>2040</v>
      </c>
      <c r="Y117" s="482">
        <v>2041</v>
      </c>
      <c r="Z117" s="482">
        <v>2042</v>
      </c>
      <c r="AA117" s="482">
        <v>2043</v>
      </c>
      <c r="AB117" s="482">
        <v>2044</v>
      </c>
      <c r="AC117" s="482">
        <v>2045</v>
      </c>
      <c r="AD117" s="482">
        <v>2046</v>
      </c>
      <c r="AE117" s="482">
        <v>2047</v>
      </c>
      <c r="AF117" s="494">
        <v>2048</v>
      </c>
      <c r="AG117" s="251"/>
      <c r="AH117" s="251"/>
      <c r="AI117" s="251"/>
      <c r="AJ117" s="251"/>
      <c r="AK117" s="251"/>
      <c r="AL117"/>
      <c r="AM117"/>
      <c r="AN117"/>
      <c r="AO117"/>
      <c r="AP117"/>
    </row>
    <row r="118" spans="1:42" s="7" customFormat="1" ht="21.95" customHeight="1" x14ac:dyDescent="0.2">
      <c r="B118" s="233" t="s">
        <v>407</v>
      </c>
      <c r="C118" s="249" t="str">
        <f>C8</f>
        <v>US-412/SH-412B</v>
      </c>
      <c r="D118" s="770" t="s">
        <v>32</v>
      </c>
      <c r="E118" s="726" cm="1">
        <f t="array" ref="E118:AF118">_xlfn.ANCHORARRAY(E47) * $M$19</f>
        <v>0</v>
      </c>
      <c r="F118" s="726">
        <v>0</v>
      </c>
      <c r="G118" s="726">
        <v>0</v>
      </c>
      <c r="H118" s="726">
        <v>0</v>
      </c>
      <c r="I118" s="726">
        <v>0</v>
      </c>
      <c r="J118" s="726">
        <v>0</v>
      </c>
      <c r="K118" s="726">
        <v>0</v>
      </c>
      <c r="L118" s="726">
        <v>0</v>
      </c>
      <c r="M118" s="726">
        <v>0</v>
      </c>
      <c r="N118" s="726">
        <v>0</v>
      </c>
      <c r="O118" s="726">
        <v>0</v>
      </c>
      <c r="P118" s="726">
        <v>0</v>
      </c>
      <c r="Q118" s="726">
        <v>0</v>
      </c>
      <c r="R118" s="726">
        <v>0</v>
      </c>
      <c r="S118" s="726">
        <v>0</v>
      </c>
      <c r="T118" s="726">
        <v>0</v>
      </c>
      <c r="U118" s="726">
        <v>0</v>
      </c>
      <c r="V118" s="726">
        <v>0</v>
      </c>
      <c r="W118" s="726">
        <v>0</v>
      </c>
      <c r="X118" s="726">
        <v>0</v>
      </c>
      <c r="Y118" s="726">
        <v>0</v>
      </c>
      <c r="Z118" s="726">
        <v>0</v>
      </c>
      <c r="AA118" s="726">
        <v>0</v>
      </c>
      <c r="AB118" s="726">
        <v>0</v>
      </c>
      <c r="AC118" s="726">
        <v>0</v>
      </c>
      <c r="AD118" s="726">
        <v>0</v>
      </c>
      <c r="AE118" s="726">
        <v>0</v>
      </c>
      <c r="AF118" s="751">
        <v>0</v>
      </c>
      <c r="AG118" s="17"/>
      <c r="AH118" s="17"/>
      <c r="AI118" s="17"/>
      <c r="AJ118" s="17"/>
      <c r="AK118" s="17"/>
      <c r="AL118"/>
      <c r="AM118"/>
      <c r="AN118"/>
      <c r="AO118"/>
      <c r="AP118"/>
    </row>
    <row r="119" spans="1:42" s="7" customFormat="1" ht="21.95" customHeight="1" x14ac:dyDescent="0.2">
      <c r="B119" s="232" t="s">
        <v>69</v>
      </c>
      <c r="C119" s="228" t="str">
        <f>C9</f>
        <v>(Interchange)</v>
      </c>
      <c r="D119" s="116" t="s">
        <v>33</v>
      </c>
      <c r="E119" s="577" cm="1">
        <f t="array" ref="E119:AF119">_xlfn.ANCHORARRAY(E48) * $M$19</f>
        <v>1.8480000000000001</v>
      </c>
      <c r="F119" s="577">
        <v>1.974824852</v>
      </c>
      <c r="G119" s="577">
        <v>2.110353461080531</v>
      </c>
      <c r="H119" s="577">
        <v>2.2551831501331421</v>
      </c>
      <c r="I119" s="577">
        <v>2.4099522352243379</v>
      </c>
      <c r="J119" s="577">
        <v>2.5753428388820194</v>
      </c>
      <c r="K119" s="577">
        <v>2.7520838964526209</v>
      </c>
      <c r="L119" s="577">
        <v>2.9409543687790203</v>
      </c>
      <c r="M119" s="577">
        <v>3.1427866753586478</v>
      </c>
      <c r="N119" s="577">
        <v>3.3584703631129402</v>
      </c>
      <c r="O119" s="577">
        <v>3.5889560269377152</v>
      </c>
      <c r="P119" s="577">
        <v>3.8352594993137341</v>
      </c>
      <c r="Q119" s="577">
        <v>4.0984663274425532</v>
      </c>
      <c r="R119" s="577">
        <v>4.3797365576400011</v>
      </c>
      <c r="S119" s="577">
        <v>4.6803098480738123</v>
      </c>
      <c r="T119" s="577">
        <v>5.0015109323790625</v>
      </c>
      <c r="U119" s="577">
        <v>5.3447554582315284</v>
      </c>
      <c r="V119" s="577">
        <v>5.7115562266116173</v>
      </c>
      <c r="W119" s="577">
        <v>6.1035298592575558</v>
      </c>
      <c r="X119" s="577">
        <v>6.52240392369366</v>
      </c>
      <c r="Y119" s="577">
        <v>6.9700245472362283</v>
      </c>
      <c r="Z119" s="577">
        <v>7.4483645535347129</v>
      </c>
      <c r="AA119" s="577">
        <v>7.9595321575087858</v>
      </c>
      <c r="AB119" s="577">
        <v>8.505780257002991</v>
      </c>
      <c r="AC119" s="577">
        <v>9.0895163621106327</v>
      </c>
      <c r="AD119" s="577">
        <v>9.7133132059289551</v>
      </c>
      <c r="AE119" s="577">
        <v>10.379920083510981</v>
      </c>
      <c r="AF119" s="752">
        <v>11.092274968988852</v>
      </c>
      <c r="AG119" s="17"/>
      <c r="AH119" s="17"/>
      <c r="AI119" s="17"/>
      <c r="AJ119" s="17"/>
      <c r="AK119" s="17"/>
      <c r="AL119"/>
      <c r="AM119"/>
      <c r="AN119"/>
      <c r="AO119"/>
      <c r="AP119"/>
    </row>
    <row r="120" spans="1:42" s="7" customFormat="1" ht="21.95" customHeight="1" x14ac:dyDescent="0.2">
      <c r="B120" s="199"/>
      <c r="C120" s="116"/>
      <c r="D120" s="124" t="s">
        <v>30</v>
      </c>
      <c r="E120" s="840" cm="1">
        <f t="array" ref="E120:AF120">_xlfn.ANCHORARRAY(E49) * $M$19</f>
        <v>1.512</v>
      </c>
      <c r="F120" s="840">
        <v>1.6157657879999998</v>
      </c>
      <c r="G120" s="840">
        <v>1.7266528317931615</v>
      </c>
      <c r="H120" s="840">
        <v>1.8451498501089345</v>
      </c>
      <c r="I120" s="840">
        <v>1.9717791015471855</v>
      </c>
      <c r="J120" s="840">
        <v>2.1070986863580154</v>
      </c>
      <c r="K120" s="840">
        <v>2.2517050061885078</v>
      </c>
      <c r="L120" s="840">
        <v>2.4062353926373801</v>
      </c>
      <c r="M120" s="840">
        <v>2.5713709162025302</v>
      </c>
      <c r="N120" s="840">
        <v>2.7478393880014962</v>
      </c>
      <c r="O120" s="840">
        <v>2.9364185674944943</v>
      </c>
      <c r="P120" s="840">
        <v>3.1379395903476004</v>
      </c>
      <c r="Q120" s="840">
        <v>3.3532906315439068</v>
      </c>
      <c r="R120" s="840">
        <v>3.5834208198872739</v>
      </c>
      <c r="S120" s="840">
        <v>3.8293444211513008</v>
      </c>
      <c r="T120" s="840">
        <v>4.0921453083101422</v>
      </c>
      <c r="U120" s="840">
        <v>4.3729817385530687</v>
      </c>
      <c r="V120" s="840">
        <v>4.6730914581367777</v>
      </c>
      <c r="W120" s="840">
        <v>4.993797157574364</v>
      </c>
      <c r="X120" s="840">
        <v>5.3365123012039026</v>
      </c>
      <c r="Y120" s="840">
        <v>5.702747356829641</v>
      </c>
      <c r="Z120" s="840">
        <v>6.0941164528920373</v>
      </c>
      <c r="AA120" s="840">
        <v>6.5123444925071885</v>
      </c>
      <c r="AB120" s="840">
        <v>6.9592747557297194</v>
      </c>
      <c r="AC120" s="840">
        <v>7.4368770235450636</v>
      </c>
      <c r="AD120" s="840">
        <v>7.9472562593964176</v>
      </c>
      <c r="AE120" s="840">
        <v>8.4926618865089836</v>
      </c>
      <c r="AF120" s="861">
        <v>9.0754977018999679</v>
      </c>
      <c r="AG120" s="17"/>
      <c r="AH120" s="17"/>
      <c r="AI120" s="17"/>
      <c r="AJ120" s="17"/>
      <c r="AK120" s="17"/>
      <c r="AL120"/>
      <c r="AM120"/>
      <c r="AN120"/>
      <c r="AO120"/>
      <c r="AP120"/>
    </row>
    <row r="121" spans="1:42" s="7" customFormat="1" ht="21.95" customHeight="1" x14ac:dyDescent="0.2">
      <c r="B121" s="199"/>
      <c r="C121" s="124"/>
      <c r="D121" s="720" t="s">
        <v>25</v>
      </c>
      <c r="E121" s="841" cm="1">
        <f t="array" ref="E121:AF121">_xlfn.ANCHORARRAY(E50) * $M$19</f>
        <v>3.36</v>
      </c>
      <c r="F121" s="841">
        <v>3.5905906399999998</v>
      </c>
      <c r="G121" s="841">
        <v>3.8370062928736925</v>
      </c>
      <c r="H121" s="841">
        <v>4.1003330002420766</v>
      </c>
      <c r="I121" s="841">
        <v>4.3817313367715238</v>
      </c>
      <c r="J121" s="841">
        <v>4.6824415252400344</v>
      </c>
      <c r="K121" s="841">
        <v>5.0037889026411291</v>
      </c>
      <c r="L121" s="841">
        <v>5.3471897614164003</v>
      </c>
      <c r="M121" s="841">
        <v>5.714157591561178</v>
      </c>
      <c r="N121" s="841">
        <v>6.1063097511144369</v>
      </c>
      <c r="O121" s="841">
        <v>6.5253745944322095</v>
      </c>
      <c r="P121" s="841">
        <v>6.9731990896613345</v>
      </c>
      <c r="Q121" s="841">
        <v>7.4517569589864596</v>
      </c>
      <c r="R121" s="841">
        <v>7.963157377527275</v>
      </c>
      <c r="S121" s="841">
        <v>8.5096542692251145</v>
      </c>
      <c r="T121" s="841">
        <v>9.0936562406892048</v>
      </c>
      <c r="U121" s="841">
        <v>9.7177371967845954</v>
      </c>
      <c r="V121" s="841">
        <v>10.384647684748396</v>
      </c>
      <c r="W121" s="841">
        <v>11.097327016831919</v>
      </c>
      <c r="X121" s="841">
        <v>11.858916224897563</v>
      </c>
      <c r="Y121" s="841">
        <v>12.67277190406587</v>
      </c>
      <c r="Z121" s="841">
        <v>13.542481006426749</v>
      </c>
      <c r="AA121" s="841">
        <v>14.471876650015973</v>
      </c>
      <c r="AB121" s="841">
        <v>15.465055012732709</v>
      </c>
      <c r="AC121" s="841">
        <v>16.526393385655698</v>
      </c>
      <c r="AD121" s="841">
        <v>17.660569465325374</v>
      </c>
      <c r="AE121" s="841">
        <v>18.872581970019965</v>
      </c>
      <c r="AF121" s="862">
        <v>20.167772670888819</v>
      </c>
      <c r="AG121" s="17"/>
      <c r="AH121" s="17"/>
      <c r="AI121" s="17"/>
      <c r="AJ121" s="17"/>
      <c r="AK121" s="17"/>
      <c r="AL121"/>
      <c r="AM121"/>
      <c r="AN121"/>
      <c r="AO121"/>
      <c r="AP121"/>
    </row>
    <row r="122" spans="1:42" s="7" customFormat="1" ht="21.95" customHeight="1" x14ac:dyDescent="0.2">
      <c r="B122" s="197"/>
      <c r="C122" s="228" t="str">
        <f>C11</f>
        <v>SH-412B South</v>
      </c>
      <c r="D122" s="116" t="s">
        <v>32</v>
      </c>
      <c r="E122" s="577" cm="1">
        <f t="array" ref="E122:AF122">_xlfn.ANCHORARRAY(E51) * $M$20</f>
        <v>0</v>
      </c>
      <c r="F122" s="577">
        <v>0</v>
      </c>
      <c r="G122" s="577">
        <v>0</v>
      </c>
      <c r="H122" s="577">
        <v>0</v>
      </c>
      <c r="I122" s="577">
        <v>0</v>
      </c>
      <c r="J122" s="577">
        <v>0</v>
      </c>
      <c r="K122" s="577">
        <v>0</v>
      </c>
      <c r="L122" s="577">
        <v>0</v>
      </c>
      <c r="M122" s="577">
        <v>0</v>
      </c>
      <c r="N122" s="577">
        <v>0</v>
      </c>
      <c r="O122" s="577">
        <v>0</v>
      </c>
      <c r="P122" s="577">
        <v>0</v>
      </c>
      <c r="Q122" s="577">
        <v>0</v>
      </c>
      <c r="R122" s="577">
        <v>0</v>
      </c>
      <c r="S122" s="577">
        <v>0</v>
      </c>
      <c r="T122" s="577">
        <v>0</v>
      </c>
      <c r="U122" s="577">
        <v>0</v>
      </c>
      <c r="V122" s="577">
        <v>0</v>
      </c>
      <c r="W122" s="577">
        <v>0</v>
      </c>
      <c r="X122" s="577">
        <v>0</v>
      </c>
      <c r="Y122" s="577">
        <v>0</v>
      </c>
      <c r="Z122" s="577">
        <v>0</v>
      </c>
      <c r="AA122" s="577">
        <v>0</v>
      </c>
      <c r="AB122" s="577">
        <v>0</v>
      </c>
      <c r="AC122" s="577">
        <v>0</v>
      </c>
      <c r="AD122" s="577">
        <v>0</v>
      </c>
      <c r="AE122" s="577">
        <v>0</v>
      </c>
      <c r="AF122" s="752">
        <v>0</v>
      </c>
      <c r="AG122" s="17"/>
      <c r="AH122" s="17"/>
      <c r="AI122" s="17"/>
      <c r="AJ122" s="17"/>
      <c r="AK122" s="17"/>
      <c r="AL122"/>
      <c r="AM122"/>
      <c r="AN122"/>
      <c r="AO122"/>
      <c r="AP122"/>
    </row>
    <row r="123" spans="1:42" s="7" customFormat="1" ht="21.95" customHeight="1" x14ac:dyDescent="0.2">
      <c r="B123" s="197"/>
      <c r="C123" s="228" t="str">
        <f>C12</f>
        <v>(Widening)</v>
      </c>
      <c r="D123" s="116" t="s">
        <v>33</v>
      </c>
      <c r="E123" s="577" cm="1">
        <f t="array" ref="E123:AF123">_xlfn.ANCHORARRAY(E52) * $M$20</f>
        <v>0.2065128128</v>
      </c>
      <c r="F123" s="577">
        <v>0.23722490268886526</v>
      </c>
      <c r="G123" s="577">
        <v>0.27250442087698679</v>
      </c>
      <c r="H123" s="577">
        <v>0.3130306243392022</v>
      </c>
      <c r="I123" s="577">
        <v>0.35958378751742981</v>
      </c>
      <c r="J123" s="577">
        <v>0.41306022539593185</v>
      </c>
      <c r="K123" s="577">
        <v>0.47448955077227389</v>
      </c>
      <c r="L123" s="577">
        <v>0.5450544979882046</v>
      </c>
      <c r="M123" s="577">
        <v>0.6261136947982151</v>
      </c>
      <c r="N123" s="577">
        <v>0.71922782081573799</v>
      </c>
      <c r="O123" s="577">
        <v>0.82618965618068463</v>
      </c>
      <c r="P123" s="577">
        <v>0.94905859899270106</v>
      </c>
      <c r="Q123" s="577">
        <v>1.0902003160942577</v>
      </c>
      <c r="R123" s="577">
        <v>1.2523322906230367</v>
      </c>
      <c r="S123" s="577">
        <v>1.4385761432869972</v>
      </c>
      <c r="T123" s="577">
        <v>1.6525177347338955</v>
      </c>
      <c r="U123" s="577">
        <v>1.8982762062009566</v>
      </c>
      <c r="V123" s="577">
        <v>2.1805832877242679</v>
      </c>
      <c r="W123" s="577">
        <v>2.5048744008747299</v>
      </c>
      <c r="X123" s="577">
        <v>2.8773933100742579</v>
      </c>
      <c r="Y123" s="577">
        <v>3.3053123374045565</v>
      </c>
      <c r="Z123" s="577">
        <v>3.7968704554737513</v>
      </c>
      <c r="AA123" s="577">
        <v>4.361531917122714</v>
      </c>
      <c r="AB123" s="577">
        <v>5.0101684761606036</v>
      </c>
      <c r="AC123" s="577">
        <v>5.7552687075308651</v>
      </c>
      <c r="AD123" s="577">
        <v>6.6111784570699559</v>
      </c>
      <c r="AE123" s="577">
        <v>7.5943770503771022</v>
      </c>
      <c r="AF123" s="752">
        <v>8.7237945788042612</v>
      </c>
      <c r="AG123" s="17"/>
      <c r="AH123" s="17"/>
      <c r="AI123" s="17"/>
      <c r="AJ123" s="17"/>
      <c r="AK123" s="17"/>
      <c r="AL123"/>
      <c r="AM123"/>
      <c r="AN123"/>
      <c r="AO123"/>
      <c r="AP123"/>
    </row>
    <row r="124" spans="1:42" s="7" customFormat="1" ht="21.95" customHeight="1" x14ac:dyDescent="0.2">
      <c r="B124" s="199"/>
      <c r="C124" s="116"/>
      <c r="D124" s="124" t="s">
        <v>30</v>
      </c>
      <c r="E124" s="840" cm="1">
        <f t="array" ref="E124:AF124">_xlfn.ANCHORARRAY(E53) * $M$20</f>
        <v>0</v>
      </c>
      <c r="F124" s="840">
        <v>0</v>
      </c>
      <c r="G124" s="840">
        <v>0</v>
      </c>
      <c r="H124" s="840">
        <v>0</v>
      </c>
      <c r="I124" s="840">
        <v>0</v>
      </c>
      <c r="J124" s="840">
        <v>0</v>
      </c>
      <c r="K124" s="840">
        <v>0</v>
      </c>
      <c r="L124" s="840">
        <v>0</v>
      </c>
      <c r="M124" s="840">
        <v>0</v>
      </c>
      <c r="N124" s="840">
        <v>0</v>
      </c>
      <c r="O124" s="840">
        <v>0</v>
      </c>
      <c r="P124" s="840">
        <v>0</v>
      </c>
      <c r="Q124" s="840">
        <v>0</v>
      </c>
      <c r="R124" s="840">
        <v>0</v>
      </c>
      <c r="S124" s="840">
        <v>0</v>
      </c>
      <c r="T124" s="840">
        <v>0</v>
      </c>
      <c r="U124" s="840">
        <v>0</v>
      </c>
      <c r="V124" s="840">
        <v>0</v>
      </c>
      <c r="W124" s="840">
        <v>0</v>
      </c>
      <c r="X124" s="840">
        <v>0</v>
      </c>
      <c r="Y124" s="840">
        <v>0</v>
      </c>
      <c r="Z124" s="840">
        <v>0</v>
      </c>
      <c r="AA124" s="840">
        <v>0</v>
      </c>
      <c r="AB124" s="840">
        <v>0</v>
      </c>
      <c r="AC124" s="840">
        <v>0</v>
      </c>
      <c r="AD124" s="840">
        <v>0</v>
      </c>
      <c r="AE124" s="840">
        <v>0</v>
      </c>
      <c r="AF124" s="861">
        <v>0</v>
      </c>
      <c r="AG124" s="17"/>
      <c r="AH124" s="17"/>
      <c r="AI124" s="17"/>
      <c r="AJ124" s="17"/>
      <c r="AK124" s="17"/>
      <c r="AL124"/>
      <c r="AM124"/>
      <c r="AN124"/>
      <c r="AO124"/>
      <c r="AP124"/>
    </row>
    <row r="125" spans="1:42" s="7" customFormat="1" ht="21.95" customHeight="1" x14ac:dyDescent="0.2">
      <c r="B125" s="199"/>
      <c r="C125" s="124"/>
      <c r="D125" s="720" t="s">
        <v>25</v>
      </c>
      <c r="E125" s="841" cm="1">
        <f t="array" ref="E125">_xlfn.ANCHORARRAY(E54) * $M$20</f>
        <v>0.2065128128</v>
      </c>
      <c r="F125" s="841" cm="1">
        <f t="array" ref="F125">_xlfn.ANCHORARRAY(F54) * $M$20</f>
        <v>0.23722490268886526</v>
      </c>
      <c r="G125" s="841" cm="1">
        <f t="array" ref="G125">_xlfn.ANCHORARRAY(G54) * $M$20</f>
        <v>0.27250442087698679</v>
      </c>
      <c r="H125" s="841" cm="1">
        <f t="array" ref="H125">_xlfn.ANCHORARRAY(H54) * $M$20</f>
        <v>0.3130306243392022</v>
      </c>
      <c r="I125" s="841" cm="1">
        <f t="array" ref="I125">_xlfn.ANCHORARRAY(I54) * $M$20</f>
        <v>0.35958378751742981</v>
      </c>
      <c r="J125" s="841" cm="1">
        <f t="array" ref="J125">_xlfn.ANCHORARRAY(J54) * $M$20</f>
        <v>0.41306022539593185</v>
      </c>
      <c r="K125" s="841" cm="1">
        <f t="array" ref="K125">_xlfn.ANCHORARRAY(K54) * $M$20</f>
        <v>0.47448955077227389</v>
      </c>
      <c r="L125" s="841" cm="1">
        <f t="array" ref="L125">_xlfn.ANCHORARRAY(L54) * $M$20</f>
        <v>0.5450544979882046</v>
      </c>
      <c r="M125" s="841" cm="1">
        <f t="array" ref="M125">_xlfn.ANCHORARRAY(M54) * $M$20</f>
        <v>0.6261136947982151</v>
      </c>
      <c r="N125" s="841" cm="1">
        <f t="array" ref="N125">_xlfn.ANCHORARRAY(N54) * $M$20</f>
        <v>0.71922782081573799</v>
      </c>
      <c r="O125" s="841" cm="1">
        <f t="array" ref="O125">_xlfn.ANCHORARRAY(O54) * $M$20</f>
        <v>0.82618965618068463</v>
      </c>
      <c r="P125" s="841" cm="1">
        <f t="array" ref="P125">_xlfn.ANCHORARRAY(P54) * $M$20</f>
        <v>0.94905859899270106</v>
      </c>
      <c r="Q125" s="841" cm="1">
        <f t="array" ref="Q125">_xlfn.ANCHORARRAY(Q54) * $M$20</f>
        <v>1.0902003160942577</v>
      </c>
      <c r="R125" s="841" cm="1">
        <f t="array" ref="R125">_xlfn.ANCHORARRAY(R54) * $M$20</f>
        <v>1.2523322906230367</v>
      </c>
      <c r="S125" s="841" cm="1">
        <f t="array" ref="S125">_xlfn.ANCHORARRAY(S54) * $M$20</f>
        <v>1.4385761432869972</v>
      </c>
      <c r="T125" s="841" cm="1">
        <f t="array" ref="T125">_xlfn.ANCHORARRAY(T54) * $M$20</f>
        <v>1.6525177347338955</v>
      </c>
      <c r="U125" s="841" cm="1">
        <f t="array" ref="U125">_xlfn.ANCHORARRAY(U54) * $M$20</f>
        <v>1.8982762062009566</v>
      </c>
      <c r="V125" s="841" cm="1">
        <f t="array" ref="V125">_xlfn.ANCHORARRAY(V54) * $M$20</f>
        <v>2.1805832877242679</v>
      </c>
      <c r="W125" s="841" cm="1">
        <f t="array" ref="W125">_xlfn.ANCHORARRAY(W54) * $M$20</f>
        <v>2.5048744008747299</v>
      </c>
      <c r="X125" s="841" cm="1">
        <f t="array" ref="X125">_xlfn.ANCHORARRAY(X54) * $M$20</f>
        <v>2.8773933100742579</v>
      </c>
      <c r="Y125" s="841" cm="1">
        <f t="array" ref="Y125">_xlfn.ANCHORARRAY(Y54) * $M$20</f>
        <v>3.3053123374045565</v>
      </c>
      <c r="Z125" s="841" cm="1">
        <f t="array" ref="Z125">_xlfn.ANCHORARRAY(Z54) * $M$20</f>
        <v>3.7968704554737513</v>
      </c>
      <c r="AA125" s="841" cm="1">
        <f t="array" ref="AA125">_xlfn.ANCHORARRAY(AA54) * $M$20</f>
        <v>4.361531917122714</v>
      </c>
      <c r="AB125" s="841" cm="1">
        <f t="array" ref="AB125">_xlfn.ANCHORARRAY(AB54) * $M$20</f>
        <v>5.0101684761606036</v>
      </c>
      <c r="AC125" s="841" cm="1">
        <f t="array" ref="AC125">_xlfn.ANCHORARRAY(AC54) * $M$20</f>
        <v>5.7552687075308651</v>
      </c>
      <c r="AD125" s="841" cm="1">
        <f t="array" ref="AD125">_xlfn.ANCHORARRAY(AD54) * $M$20</f>
        <v>6.6111784570699559</v>
      </c>
      <c r="AE125" s="841" cm="1">
        <f t="array" ref="AE125">_xlfn.ANCHORARRAY(AE54) * $M$20</f>
        <v>7.5943770503771022</v>
      </c>
      <c r="AF125" s="862" cm="1">
        <f t="array" ref="AF125">_xlfn.ANCHORARRAY(AF54) * $M$20</f>
        <v>8.7237945788042612</v>
      </c>
      <c r="AG125" s="17"/>
      <c r="AH125" s="17"/>
      <c r="AI125" s="17"/>
      <c r="AJ125" s="17"/>
      <c r="AK125" s="17"/>
      <c r="AL125"/>
      <c r="AM125"/>
      <c r="AN125"/>
      <c r="AO125"/>
      <c r="AP125"/>
    </row>
    <row r="126" spans="1:42" s="7" customFormat="1" ht="21.95" customHeight="1" x14ac:dyDescent="0.2">
      <c r="B126" s="199"/>
      <c r="C126" s="228" t="str">
        <f>C14</f>
        <v>SH-412B</v>
      </c>
      <c r="D126" s="116" t="s">
        <v>32</v>
      </c>
      <c r="E126" s="577" cm="1">
        <f t="array" ref="E126:AF126">_xlfn.ANCHORARRAY(E55) *$M$21</f>
        <v>0</v>
      </c>
      <c r="F126" s="577">
        <v>0</v>
      </c>
      <c r="G126" s="577">
        <v>0</v>
      </c>
      <c r="H126" s="577">
        <v>0</v>
      </c>
      <c r="I126" s="577">
        <v>0</v>
      </c>
      <c r="J126" s="577">
        <v>0</v>
      </c>
      <c r="K126" s="577">
        <v>0</v>
      </c>
      <c r="L126" s="577">
        <v>0</v>
      </c>
      <c r="M126" s="577">
        <v>0</v>
      </c>
      <c r="N126" s="577">
        <v>0</v>
      </c>
      <c r="O126" s="577">
        <v>0</v>
      </c>
      <c r="P126" s="577">
        <v>0</v>
      </c>
      <c r="Q126" s="577">
        <v>0</v>
      </c>
      <c r="R126" s="577">
        <v>0</v>
      </c>
      <c r="S126" s="577">
        <v>0</v>
      </c>
      <c r="T126" s="577">
        <v>0</v>
      </c>
      <c r="U126" s="577">
        <v>0</v>
      </c>
      <c r="V126" s="577">
        <v>0</v>
      </c>
      <c r="W126" s="577">
        <v>0</v>
      </c>
      <c r="X126" s="577">
        <v>0</v>
      </c>
      <c r="Y126" s="577">
        <v>0</v>
      </c>
      <c r="Z126" s="577">
        <v>0</v>
      </c>
      <c r="AA126" s="577">
        <v>0</v>
      </c>
      <c r="AB126" s="577">
        <v>0</v>
      </c>
      <c r="AC126" s="577">
        <v>0</v>
      </c>
      <c r="AD126" s="577">
        <v>0</v>
      </c>
      <c r="AE126" s="577">
        <v>0</v>
      </c>
      <c r="AF126" s="752">
        <v>0</v>
      </c>
      <c r="AG126" s="17"/>
      <c r="AH126" s="17"/>
      <c r="AI126" s="17"/>
      <c r="AJ126" s="17"/>
      <c r="AK126" s="17"/>
      <c r="AL126"/>
      <c r="AM126"/>
      <c r="AN126"/>
      <c r="AO126"/>
      <c r="AP126"/>
    </row>
    <row r="127" spans="1:42" s="7" customFormat="1" ht="21.95" customHeight="1" x14ac:dyDescent="0.2">
      <c r="B127" s="199"/>
      <c r="C127" s="228" t="str">
        <f>C15</f>
        <v>(Roundabout)</v>
      </c>
      <c r="D127" s="116" t="s">
        <v>33</v>
      </c>
      <c r="E127" s="577" cm="1">
        <f t="array" ref="E127:AF127">_xlfn.ANCHORARRAY(E56) *$M$21</f>
        <v>0</v>
      </c>
      <c r="F127" s="577">
        <v>0</v>
      </c>
      <c r="G127" s="577">
        <v>0</v>
      </c>
      <c r="H127" s="577">
        <v>0</v>
      </c>
      <c r="I127" s="577">
        <v>0</v>
      </c>
      <c r="J127" s="577">
        <v>0</v>
      </c>
      <c r="K127" s="577">
        <v>0</v>
      </c>
      <c r="L127" s="577">
        <v>0</v>
      </c>
      <c r="M127" s="577">
        <v>0</v>
      </c>
      <c r="N127" s="577">
        <v>0</v>
      </c>
      <c r="O127" s="577">
        <v>0</v>
      </c>
      <c r="P127" s="577">
        <v>0</v>
      </c>
      <c r="Q127" s="577">
        <v>0</v>
      </c>
      <c r="R127" s="577">
        <v>0</v>
      </c>
      <c r="S127" s="577">
        <v>0</v>
      </c>
      <c r="T127" s="577">
        <v>0</v>
      </c>
      <c r="U127" s="577">
        <v>0</v>
      </c>
      <c r="V127" s="577">
        <v>0</v>
      </c>
      <c r="W127" s="577">
        <v>0</v>
      </c>
      <c r="X127" s="577">
        <v>0</v>
      </c>
      <c r="Y127" s="577">
        <v>0</v>
      </c>
      <c r="Z127" s="577">
        <v>0</v>
      </c>
      <c r="AA127" s="577">
        <v>0</v>
      </c>
      <c r="AB127" s="577">
        <v>0</v>
      </c>
      <c r="AC127" s="577">
        <v>0</v>
      </c>
      <c r="AD127" s="577">
        <v>0</v>
      </c>
      <c r="AE127" s="577">
        <v>0</v>
      </c>
      <c r="AF127" s="752">
        <v>0</v>
      </c>
      <c r="AG127" s="17"/>
      <c r="AH127" s="17"/>
      <c r="AI127" s="17"/>
      <c r="AJ127" s="17"/>
      <c r="AK127" s="17"/>
      <c r="AL127"/>
      <c r="AM127"/>
      <c r="AN127"/>
      <c r="AO127"/>
      <c r="AP127"/>
    </row>
    <row r="128" spans="1:42" s="7" customFormat="1" ht="21.95" customHeight="1" x14ac:dyDescent="0.2">
      <c r="B128" s="199"/>
      <c r="C128" s="116"/>
      <c r="D128" s="124" t="s">
        <v>30</v>
      </c>
      <c r="E128" s="587" cm="1">
        <f t="array" ref="E128:AF128">_xlfn.ANCHORARRAY(E57) *$M$21</f>
        <v>0</v>
      </c>
      <c r="F128" s="840">
        <v>0</v>
      </c>
      <c r="G128" s="840">
        <v>0</v>
      </c>
      <c r="H128" s="840">
        <v>0</v>
      </c>
      <c r="I128" s="840">
        <v>0</v>
      </c>
      <c r="J128" s="840">
        <v>0</v>
      </c>
      <c r="K128" s="840">
        <v>0</v>
      </c>
      <c r="L128" s="840">
        <v>0</v>
      </c>
      <c r="M128" s="840">
        <v>0</v>
      </c>
      <c r="N128" s="840">
        <v>0</v>
      </c>
      <c r="O128" s="840">
        <v>0</v>
      </c>
      <c r="P128" s="840">
        <v>0</v>
      </c>
      <c r="Q128" s="840">
        <v>0</v>
      </c>
      <c r="R128" s="840">
        <v>0</v>
      </c>
      <c r="S128" s="840">
        <v>0</v>
      </c>
      <c r="T128" s="840">
        <v>0</v>
      </c>
      <c r="U128" s="840">
        <v>0</v>
      </c>
      <c r="V128" s="840">
        <v>0</v>
      </c>
      <c r="W128" s="840">
        <v>0</v>
      </c>
      <c r="X128" s="840">
        <v>0</v>
      </c>
      <c r="Y128" s="840">
        <v>0</v>
      </c>
      <c r="Z128" s="840">
        <v>0</v>
      </c>
      <c r="AA128" s="840">
        <v>0</v>
      </c>
      <c r="AB128" s="840">
        <v>0</v>
      </c>
      <c r="AC128" s="840">
        <v>0</v>
      </c>
      <c r="AD128" s="840">
        <v>0</v>
      </c>
      <c r="AE128" s="840">
        <v>0</v>
      </c>
      <c r="AF128" s="861">
        <v>0</v>
      </c>
      <c r="AG128" s="17"/>
      <c r="AH128" s="17"/>
      <c r="AI128" s="17"/>
      <c r="AJ128" s="17"/>
      <c r="AK128" s="17"/>
      <c r="AL128"/>
      <c r="AM128"/>
      <c r="AN128"/>
      <c r="AO128"/>
      <c r="AP128"/>
    </row>
    <row r="129" spans="2:42" s="7" customFormat="1" ht="21.95" customHeight="1" x14ac:dyDescent="0.2">
      <c r="B129" s="199"/>
      <c r="C129" s="124"/>
      <c r="D129" s="720" t="s">
        <v>25</v>
      </c>
      <c r="E129" s="841" cm="1">
        <f t="array" ref="E129">_xlfn.ANCHORARRAY(E58) * $M$21</f>
        <v>0</v>
      </c>
      <c r="F129" s="841" cm="1">
        <f t="array" ref="F129">_xlfn.ANCHORARRAY(F58) * $M$21</f>
        <v>0</v>
      </c>
      <c r="G129" s="841" cm="1">
        <f t="array" ref="G129">_xlfn.ANCHORARRAY(G58) * $M$21</f>
        <v>0</v>
      </c>
      <c r="H129" s="841" cm="1">
        <f t="array" ref="H129">_xlfn.ANCHORARRAY(H58) * $M$21</f>
        <v>0</v>
      </c>
      <c r="I129" s="841" cm="1">
        <f t="array" ref="I129">_xlfn.ANCHORARRAY(I58) * $M$21</f>
        <v>0</v>
      </c>
      <c r="J129" s="841" cm="1">
        <f t="array" ref="J129">_xlfn.ANCHORARRAY(J58) * $M$21</f>
        <v>0</v>
      </c>
      <c r="K129" s="841" cm="1">
        <f t="array" ref="K129">_xlfn.ANCHORARRAY(K58) * $M$21</f>
        <v>0</v>
      </c>
      <c r="L129" s="841" cm="1">
        <f t="array" ref="L129">_xlfn.ANCHORARRAY(L58) * $M$21</f>
        <v>0</v>
      </c>
      <c r="M129" s="841" cm="1">
        <f t="array" ref="M129">_xlfn.ANCHORARRAY(M58) * $M$21</f>
        <v>0</v>
      </c>
      <c r="N129" s="841" cm="1">
        <f t="array" ref="N129">_xlfn.ANCHORARRAY(N58) * $M$21</f>
        <v>0</v>
      </c>
      <c r="O129" s="841" cm="1">
        <f t="array" ref="O129">_xlfn.ANCHORARRAY(O58) * $M$21</f>
        <v>0</v>
      </c>
      <c r="P129" s="841" cm="1">
        <f t="array" ref="P129">_xlfn.ANCHORARRAY(P58) * $M$21</f>
        <v>0</v>
      </c>
      <c r="Q129" s="841" cm="1">
        <f t="array" ref="Q129">_xlfn.ANCHORARRAY(Q58) * $M$21</f>
        <v>0</v>
      </c>
      <c r="R129" s="841" cm="1">
        <f t="array" ref="R129">_xlfn.ANCHORARRAY(R58) * $M$21</f>
        <v>0</v>
      </c>
      <c r="S129" s="841" cm="1">
        <f t="array" ref="S129">_xlfn.ANCHORARRAY(S58) * $M$21</f>
        <v>0</v>
      </c>
      <c r="T129" s="841" cm="1">
        <f t="array" ref="T129">_xlfn.ANCHORARRAY(T58) * $M$21</f>
        <v>0</v>
      </c>
      <c r="U129" s="841" cm="1">
        <f t="array" ref="U129">_xlfn.ANCHORARRAY(U58) * $M$21</f>
        <v>0</v>
      </c>
      <c r="V129" s="841" cm="1">
        <f t="array" ref="V129">_xlfn.ANCHORARRAY(V58) * $M$21</f>
        <v>0</v>
      </c>
      <c r="W129" s="841" cm="1">
        <f t="array" ref="W129">_xlfn.ANCHORARRAY(W58) * $M$21</f>
        <v>0</v>
      </c>
      <c r="X129" s="841" cm="1">
        <f t="array" ref="X129">_xlfn.ANCHORARRAY(X58) * $M$21</f>
        <v>0</v>
      </c>
      <c r="Y129" s="841" cm="1">
        <f t="array" ref="Y129">_xlfn.ANCHORARRAY(Y58) * $M$21</f>
        <v>0</v>
      </c>
      <c r="Z129" s="841" cm="1">
        <f t="array" ref="Z129">_xlfn.ANCHORARRAY(Z58) * $M$21</f>
        <v>0</v>
      </c>
      <c r="AA129" s="841" cm="1">
        <f t="array" ref="AA129">_xlfn.ANCHORARRAY(AA58) * $M$21</f>
        <v>0</v>
      </c>
      <c r="AB129" s="841" cm="1">
        <f t="array" ref="AB129">_xlfn.ANCHORARRAY(AB58) * $M$21</f>
        <v>0</v>
      </c>
      <c r="AC129" s="841" cm="1">
        <f t="array" ref="AC129">_xlfn.ANCHORARRAY(AC58) * $M$21</f>
        <v>0</v>
      </c>
      <c r="AD129" s="841" cm="1">
        <f t="array" ref="AD129">_xlfn.ANCHORARRAY(AD58) * $M$21</f>
        <v>0</v>
      </c>
      <c r="AE129" s="841" cm="1">
        <f t="array" ref="AE129">_xlfn.ANCHORARRAY(AE58) * $M$21</f>
        <v>0</v>
      </c>
      <c r="AF129" s="862" cm="1">
        <f t="array" ref="AF129">_xlfn.ANCHORARRAY(AF58) * $M$21</f>
        <v>0</v>
      </c>
      <c r="AG129" s="17"/>
      <c r="AH129" s="17"/>
      <c r="AI129" s="17"/>
      <c r="AJ129" s="17"/>
      <c r="AK129" s="17"/>
      <c r="AL129"/>
      <c r="AM129"/>
      <c r="AN129"/>
      <c r="AO129"/>
      <c r="AP129"/>
    </row>
    <row r="130" spans="2:42" s="7" customFormat="1" ht="21.95" customHeight="1" x14ac:dyDescent="0.2">
      <c r="B130" s="199"/>
      <c r="C130" s="228" t="str">
        <f>C17</f>
        <v>Patrol Rd</v>
      </c>
      <c r="D130" s="116" t="s">
        <v>32</v>
      </c>
      <c r="E130" s="577" cm="1">
        <f t="array" ref="E130:AF130">_xlfn.ANCHORARRAY(E59) * $M$22</f>
        <v>0</v>
      </c>
      <c r="F130" s="577">
        <v>0</v>
      </c>
      <c r="G130" s="577">
        <v>0</v>
      </c>
      <c r="H130" s="577">
        <v>0</v>
      </c>
      <c r="I130" s="577">
        <v>0</v>
      </c>
      <c r="J130" s="577">
        <v>0</v>
      </c>
      <c r="K130" s="577">
        <v>0</v>
      </c>
      <c r="L130" s="577">
        <v>0</v>
      </c>
      <c r="M130" s="577">
        <v>0</v>
      </c>
      <c r="N130" s="577">
        <v>0</v>
      </c>
      <c r="O130" s="577">
        <v>0</v>
      </c>
      <c r="P130" s="577">
        <v>0</v>
      </c>
      <c r="Q130" s="577">
        <v>0</v>
      </c>
      <c r="R130" s="577">
        <v>0</v>
      </c>
      <c r="S130" s="577">
        <v>0</v>
      </c>
      <c r="T130" s="577">
        <v>0</v>
      </c>
      <c r="U130" s="577">
        <v>0</v>
      </c>
      <c r="V130" s="577">
        <v>0</v>
      </c>
      <c r="W130" s="577">
        <v>0</v>
      </c>
      <c r="X130" s="577">
        <v>0</v>
      </c>
      <c r="Y130" s="577">
        <v>0</v>
      </c>
      <c r="Z130" s="577">
        <v>0</v>
      </c>
      <c r="AA130" s="577">
        <v>0</v>
      </c>
      <c r="AB130" s="577">
        <v>0</v>
      </c>
      <c r="AC130" s="577">
        <v>0</v>
      </c>
      <c r="AD130" s="577">
        <v>0</v>
      </c>
      <c r="AE130" s="577">
        <v>0</v>
      </c>
      <c r="AF130" s="752">
        <v>0</v>
      </c>
      <c r="AG130" s="17"/>
      <c r="AH130" s="17"/>
      <c r="AI130" s="17"/>
      <c r="AJ130" s="17"/>
      <c r="AK130" s="17"/>
      <c r="AL130"/>
      <c r="AM130"/>
      <c r="AN130"/>
      <c r="AO130"/>
      <c r="AP130"/>
    </row>
    <row r="131" spans="2:42" s="7" customFormat="1" ht="21.95" customHeight="1" x14ac:dyDescent="0.2">
      <c r="B131" s="199"/>
      <c r="C131" s="228"/>
      <c r="D131" s="116" t="s">
        <v>33</v>
      </c>
      <c r="E131" s="577" cm="1">
        <f t="array" ref="E131:AF131">_xlfn.ANCHORARRAY(E60) * $M$22</f>
        <v>0.16351641233414432</v>
      </c>
      <c r="F131" s="577">
        <v>0.19621969480097318</v>
      </c>
      <c r="G131" s="577">
        <v>0.2354636337611678</v>
      </c>
      <c r="H131" s="577">
        <v>0.28255636051340138</v>
      </c>
      <c r="I131" s="577">
        <v>0.33906763261608164</v>
      </c>
      <c r="J131" s="577">
        <v>0.40688115913929795</v>
      </c>
      <c r="K131" s="577">
        <v>0.48825739096715753</v>
      </c>
      <c r="L131" s="577">
        <v>0.58590886916058904</v>
      </c>
      <c r="M131" s="577">
        <v>0.70309064299270685</v>
      </c>
      <c r="N131" s="577">
        <v>0.84370877159124824</v>
      </c>
      <c r="O131" s="577">
        <v>1.0124505259094978</v>
      </c>
      <c r="P131" s="577">
        <v>1.2149406310913975</v>
      </c>
      <c r="Q131" s="577">
        <v>1.4579287573096766</v>
      </c>
      <c r="R131" s="577">
        <v>1.749514508771612</v>
      </c>
      <c r="S131" s="577">
        <v>2.0994174105259344</v>
      </c>
      <c r="T131" s="577">
        <v>2.5193008926311218</v>
      </c>
      <c r="U131" s="577">
        <v>3.0231610711573453</v>
      </c>
      <c r="V131" s="577">
        <v>3.627793285388814</v>
      </c>
      <c r="W131" s="577">
        <v>4.3533519424665776</v>
      </c>
      <c r="X131" s="577">
        <v>5.2240223309598921</v>
      </c>
      <c r="Y131" s="577">
        <v>6.2688267971518714</v>
      </c>
      <c r="Z131" s="577">
        <v>7.5225921565822444</v>
      </c>
      <c r="AA131" s="577">
        <v>9.0271105878986919</v>
      </c>
      <c r="AB131" s="577">
        <v>10.832532705478432</v>
      </c>
      <c r="AC131" s="577">
        <v>12.999039246574117</v>
      </c>
      <c r="AD131" s="577">
        <v>15.598847095888944</v>
      </c>
      <c r="AE131" s="577">
        <v>18.718616515066731</v>
      </c>
      <c r="AF131" s="752">
        <v>22.462339818080075</v>
      </c>
      <c r="AG131" s="17"/>
      <c r="AH131" s="17"/>
      <c r="AI131" s="17"/>
      <c r="AJ131" s="17"/>
      <c r="AK131" s="17"/>
      <c r="AL131"/>
      <c r="AM131"/>
      <c r="AN131"/>
      <c r="AO131"/>
      <c r="AP131"/>
    </row>
    <row r="132" spans="2:42" s="7" customFormat="1" ht="21.95" customHeight="1" x14ac:dyDescent="0.2">
      <c r="B132" s="199"/>
      <c r="C132" s="116"/>
      <c r="D132" s="124" t="s">
        <v>30</v>
      </c>
      <c r="E132" s="840" cm="1">
        <f t="array" ref="E132:AF132">_xlfn.ANCHORARRAY(E61) * $M$22</f>
        <v>0</v>
      </c>
      <c r="F132" s="840">
        <v>0</v>
      </c>
      <c r="G132" s="840">
        <v>0</v>
      </c>
      <c r="H132" s="840">
        <v>0</v>
      </c>
      <c r="I132" s="840">
        <v>0</v>
      </c>
      <c r="J132" s="840">
        <v>0</v>
      </c>
      <c r="K132" s="840">
        <v>0</v>
      </c>
      <c r="L132" s="840">
        <v>0</v>
      </c>
      <c r="M132" s="840">
        <v>0</v>
      </c>
      <c r="N132" s="840">
        <v>0</v>
      </c>
      <c r="O132" s="840">
        <v>0</v>
      </c>
      <c r="P132" s="840">
        <v>0</v>
      </c>
      <c r="Q132" s="840">
        <v>0</v>
      </c>
      <c r="R132" s="840">
        <v>0</v>
      </c>
      <c r="S132" s="840">
        <v>0</v>
      </c>
      <c r="T132" s="840">
        <v>0</v>
      </c>
      <c r="U132" s="840">
        <v>0</v>
      </c>
      <c r="V132" s="840">
        <v>0</v>
      </c>
      <c r="W132" s="840">
        <v>0</v>
      </c>
      <c r="X132" s="840">
        <v>0</v>
      </c>
      <c r="Y132" s="840">
        <v>0</v>
      </c>
      <c r="Z132" s="840">
        <v>0</v>
      </c>
      <c r="AA132" s="840">
        <v>0</v>
      </c>
      <c r="AB132" s="840">
        <v>0</v>
      </c>
      <c r="AC132" s="840">
        <v>0</v>
      </c>
      <c r="AD132" s="840">
        <v>0</v>
      </c>
      <c r="AE132" s="840">
        <v>0</v>
      </c>
      <c r="AF132" s="861">
        <v>0</v>
      </c>
      <c r="AG132" s="17"/>
      <c r="AH132" s="17"/>
      <c r="AI132" s="17"/>
      <c r="AJ132" s="17"/>
      <c r="AK132" s="17"/>
      <c r="AL132"/>
      <c r="AM132"/>
      <c r="AN132"/>
      <c r="AO132"/>
      <c r="AP132"/>
    </row>
    <row r="133" spans="2:42" s="7" customFormat="1" ht="21.95" customHeight="1" x14ac:dyDescent="0.2">
      <c r="B133" s="199"/>
      <c r="C133" s="124"/>
      <c r="D133" s="720" t="s">
        <v>25</v>
      </c>
      <c r="E133" s="841" cm="1">
        <f t="array" ref="E133">_xlfn.ANCHORARRAY(E62) * $M$22</f>
        <v>0.16351641233414432</v>
      </c>
      <c r="F133" s="841" cm="1">
        <f t="array" ref="F133">_xlfn.ANCHORARRAY(F62) * $M$22</f>
        <v>0.19621969480097318</v>
      </c>
      <c r="G133" s="841" cm="1">
        <f t="array" ref="G133">_xlfn.ANCHORARRAY(G62) * $M$22</f>
        <v>0.2354636337611678</v>
      </c>
      <c r="H133" s="841" cm="1">
        <f t="array" ref="H133">_xlfn.ANCHORARRAY(H62) * $M$22</f>
        <v>0.28255636051340138</v>
      </c>
      <c r="I133" s="841" cm="1">
        <f t="array" ref="I133">_xlfn.ANCHORARRAY(I62) * $M$22</f>
        <v>0.33906763261608164</v>
      </c>
      <c r="J133" s="841" cm="1">
        <f t="array" ref="J133">_xlfn.ANCHORARRAY(J62) * $M$22</f>
        <v>0.40688115913929795</v>
      </c>
      <c r="K133" s="841" cm="1">
        <f t="array" ref="K133">_xlfn.ANCHORARRAY(K62) * $M$22</f>
        <v>0.48825739096715753</v>
      </c>
      <c r="L133" s="841" cm="1">
        <f t="array" ref="L133">_xlfn.ANCHORARRAY(L62) * $M$22</f>
        <v>0.58590886916058904</v>
      </c>
      <c r="M133" s="841" cm="1">
        <f t="array" ref="M133">_xlfn.ANCHORARRAY(M62) * $M$22</f>
        <v>0.70309064299270685</v>
      </c>
      <c r="N133" s="841" cm="1">
        <f t="array" ref="N133">_xlfn.ANCHORARRAY(N62) * $M$22</f>
        <v>0.84370877159124824</v>
      </c>
      <c r="O133" s="841" cm="1">
        <f t="array" ref="O133">_xlfn.ANCHORARRAY(O62) * $M$22</f>
        <v>1.0124505259094978</v>
      </c>
      <c r="P133" s="841" cm="1">
        <f t="array" ref="P133">_xlfn.ANCHORARRAY(P62) * $M$22</f>
        <v>1.2149406310913975</v>
      </c>
      <c r="Q133" s="841" cm="1">
        <f t="array" ref="Q133">_xlfn.ANCHORARRAY(Q62) * $M$22</f>
        <v>1.4579287573096766</v>
      </c>
      <c r="R133" s="841" cm="1">
        <f t="array" ref="R133">_xlfn.ANCHORARRAY(R62) * $M$22</f>
        <v>1.749514508771612</v>
      </c>
      <c r="S133" s="841" cm="1">
        <f t="array" ref="S133">_xlfn.ANCHORARRAY(S62) * $M$22</f>
        <v>2.0994174105259344</v>
      </c>
      <c r="T133" s="841" cm="1">
        <f t="array" ref="T133">_xlfn.ANCHORARRAY(T62) * $M$22</f>
        <v>2.5193008926311218</v>
      </c>
      <c r="U133" s="841" cm="1">
        <f t="array" ref="U133">_xlfn.ANCHORARRAY(U62) * $M$22</f>
        <v>3.0231610711573453</v>
      </c>
      <c r="V133" s="841" cm="1">
        <f t="array" ref="V133">_xlfn.ANCHORARRAY(V62) * $M$22</f>
        <v>3.627793285388814</v>
      </c>
      <c r="W133" s="841" cm="1">
        <f t="array" ref="W133">_xlfn.ANCHORARRAY(W62) * $M$22</f>
        <v>4.3533519424665776</v>
      </c>
      <c r="X133" s="841" cm="1">
        <f t="array" ref="X133">_xlfn.ANCHORARRAY(X62) * $M$22</f>
        <v>5.2240223309598921</v>
      </c>
      <c r="Y133" s="841" cm="1">
        <f t="array" ref="Y133">_xlfn.ANCHORARRAY(Y62) * $M$22</f>
        <v>6.2688267971518714</v>
      </c>
      <c r="Z133" s="841" cm="1">
        <f t="array" ref="Z133">_xlfn.ANCHORARRAY(Z62) * $M$22</f>
        <v>7.5225921565822444</v>
      </c>
      <c r="AA133" s="841" cm="1">
        <f t="array" ref="AA133">_xlfn.ANCHORARRAY(AA62) * $M$22</f>
        <v>9.0271105878986919</v>
      </c>
      <c r="AB133" s="841" cm="1">
        <f t="array" ref="AB133">_xlfn.ANCHORARRAY(AB62) * $M$22</f>
        <v>10.832532705478432</v>
      </c>
      <c r="AC133" s="841" cm="1">
        <f t="array" ref="AC133">_xlfn.ANCHORARRAY(AC62) * $M$22</f>
        <v>12.999039246574117</v>
      </c>
      <c r="AD133" s="841" cm="1">
        <f t="array" ref="AD133">_xlfn.ANCHORARRAY(AD62) * $M$22</f>
        <v>15.598847095888944</v>
      </c>
      <c r="AE133" s="841" cm="1">
        <f t="array" ref="AE133">_xlfn.ANCHORARRAY(AE62) * $M$22</f>
        <v>18.718616515066731</v>
      </c>
      <c r="AF133" s="862" cm="1">
        <f t="array" ref="AF133">_xlfn.ANCHORARRAY(AF62) * $M$22</f>
        <v>22.462339818080075</v>
      </c>
      <c r="AG133" s="17"/>
      <c r="AH133" s="17"/>
      <c r="AI133" s="17"/>
      <c r="AJ133" s="17"/>
      <c r="AK133" s="17"/>
      <c r="AL133"/>
      <c r="AM133"/>
      <c r="AN133"/>
      <c r="AO133"/>
      <c r="AP133"/>
    </row>
    <row r="134" spans="2:42" s="7" customFormat="1" ht="21.95" customHeight="1" x14ac:dyDescent="0.2">
      <c r="B134" s="199"/>
      <c r="C134" s="228" t="str">
        <f>C20</f>
        <v>Williams St</v>
      </c>
      <c r="D134" s="116" t="s">
        <v>32</v>
      </c>
      <c r="E134" s="577" cm="1">
        <f t="array" ref="E134:AF134">_xlfn.ANCHORARRAY(E63) *$M$23</f>
        <v>0</v>
      </c>
      <c r="F134" s="577">
        <v>0</v>
      </c>
      <c r="G134" s="577">
        <v>0</v>
      </c>
      <c r="H134" s="577">
        <v>0</v>
      </c>
      <c r="I134" s="577">
        <v>0</v>
      </c>
      <c r="J134" s="577">
        <v>0</v>
      </c>
      <c r="K134" s="577">
        <v>0</v>
      </c>
      <c r="L134" s="577">
        <v>0</v>
      </c>
      <c r="M134" s="577">
        <v>0</v>
      </c>
      <c r="N134" s="577">
        <v>0</v>
      </c>
      <c r="O134" s="577">
        <v>0</v>
      </c>
      <c r="P134" s="577">
        <v>0</v>
      </c>
      <c r="Q134" s="577">
        <v>0</v>
      </c>
      <c r="R134" s="577">
        <v>0</v>
      </c>
      <c r="S134" s="577">
        <v>0</v>
      </c>
      <c r="T134" s="577">
        <v>0</v>
      </c>
      <c r="U134" s="577">
        <v>0</v>
      </c>
      <c r="V134" s="577">
        <v>0</v>
      </c>
      <c r="W134" s="577">
        <v>0</v>
      </c>
      <c r="X134" s="577">
        <v>0</v>
      </c>
      <c r="Y134" s="577">
        <v>0</v>
      </c>
      <c r="Z134" s="577">
        <v>0</v>
      </c>
      <c r="AA134" s="577">
        <v>0</v>
      </c>
      <c r="AB134" s="577">
        <v>0</v>
      </c>
      <c r="AC134" s="577">
        <v>0</v>
      </c>
      <c r="AD134" s="577">
        <v>0</v>
      </c>
      <c r="AE134" s="577">
        <v>0</v>
      </c>
      <c r="AF134" s="752">
        <v>0</v>
      </c>
      <c r="AG134" s="17"/>
      <c r="AH134" s="17"/>
      <c r="AI134" s="17"/>
      <c r="AJ134" s="17"/>
      <c r="AK134" s="17"/>
      <c r="AL134"/>
      <c r="AM134"/>
      <c r="AN134"/>
      <c r="AO134"/>
      <c r="AP134"/>
    </row>
    <row r="135" spans="2:42" s="7" customFormat="1" ht="21.95" customHeight="1" x14ac:dyDescent="0.2">
      <c r="B135" s="199"/>
      <c r="C135" s="228"/>
      <c r="D135" s="116" t="s">
        <v>33</v>
      </c>
      <c r="E135" s="577" cm="1">
        <f t="array" ref="E135:AF135">_xlfn.ANCHORARRAY(E64) *$M$23</f>
        <v>0</v>
      </c>
      <c r="F135" s="577">
        <v>0</v>
      </c>
      <c r="G135" s="577">
        <v>0</v>
      </c>
      <c r="H135" s="577">
        <v>0</v>
      </c>
      <c r="I135" s="577">
        <v>0</v>
      </c>
      <c r="J135" s="577">
        <v>0</v>
      </c>
      <c r="K135" s="577">
        <v>0</v>
      </c>
      <c r="L135" s="577">
        <v>0</v>
      </c>
      <c r="M135" s="577">
        <v>0</v>
      </c>
      <c r="N135" s="577">
        <v>0</v>
      </c>
      <c r="O135" s="577">
        <v>0</v>
      </c>
      <c r="P135" s="577">
        <v>0</v>
      </c>
      <c r="Q135" s="577">
        <v>0</v>
      </c>
      <c r="R135" s="577">
        <v>0</v>
      </c>
      <c r="S135" s="577">
        <v>0</v>
      </c>
      <c r="T135" s="577">
        <v>0</v>
      </c>
      <c r="U135" s="577">
        <v>0</v>
      </c>
      <c r="V135" s="577">
        <v>0</v>
      </c>
      <c r="W135" s="577">
        <v>0</v>
      </c>
      <c r="X135" s="577">
        <v>0</v>
      </c>
      <c r="Y135" s="577">
        <v>0</v>
      </c>
      <c r="Z135" s="577">
        <v>0</v>
      </c>
      <c r="AA135" s="577">
        <v>0</v>
      </c>
      <c r="AB135" s="577">
        <v>0</v>
      </c>
      <c r="AC135" s="577">
        <v>0</v>
      </c>
      <c r="AD135" s="577">
        <v>0</v>
      </c>
      <c r="AE135" s="577">
        <v>0</v>
      </c>
      <c r="AF135" s="752">
        <v>0</v>
      </c>
      <c r="AG135" s="17"/>
      <c r="AH135" s="17"/>
      <c r="AI135" s="17"/>
      <c r="AJ135" s="17"/>
      <c r="AK135" s="17"/>
      <c r="AL135"/>
      <c r="AM135"/>
      <c r="AN135"/>
      <c r="AO135"/>
      <c r="AP135"/>
    </row>
    <row r="136" spans="2:42" s="7" customFormat="1" ht="21.95" customHeight="1" x14ac:dyDescent="0.2">
      <c r="B136" s="199"/>
      <c r="C136" s="116"/>
      <c r="D136" s="124" t="s">
        <v>30</v>
      </c>
      <c r="E136" s="840" cm="1">
        <f t="array" ref="E136:AF136">_xlfn.ANCHORARRAY(E65) *$M$23</f>
        <v>0</v>
      </c>
      <c r="F136" s="840">
        <v>0</v>
      </c>
      <c r="G136" s="840">
        <v>0</v>
      </c>
      <c r="H136" s="840">
        <v>0</v>
      </c>
      <c r="I136" s="840">
        <v>0</v>
      </c>
      <c r="J136" s="840">
        <v>0</v>
      </c>
      <c r="K136" s="840">
        <v>0</v>
      </c>
      <c r="L136" s="840">
        <v>0</v>
      </c>
      <c r="M136" s="840">
        <v>0</v>
      </c>
      <c r="N136" s="840">
        <v>0</v>
      </c>
      <c r="O136" s="840">
        <v>0</v>
      </c>
      <c r="P136" s="840">
        <v>0</v>
      </c>
      <c r="Q136" s="840">
        <v>0</v>
      </c>
      <c r="R136" s="840">
        <v>0</v>
      </c>
      <c r="S136" s="840">
        <v>0</v>
      </c>
      <c r="T136" s="840">
        <v>0</v>
      </c>
      <c r="U136" s="840">
        <v>0</v>
      </c>
      <c r="V136" s="840">
        <v>0</v>
      </c>
      <c r="W136" s="840">
        <v>0</v>
      </c>
      <c r="X136" s="840">
        <v>0</v>
      </c>
      <c r="Y136" s="840">
        <v>0</v>
      </c>
      <c r="Z136" s="840">
        <v>0</v>
      </c>
      <c r="AA136" s="840">
        <v>0</v>
      </c>
      <c r="AB136" s="840">
        <v>0</v>
      </c>
      <c r="AC136" s="840">
        <v>0</v>
      </c>
      <c r="AD136" s="840">
        <v>0</v>
      </c>
      <c r="AE136" s="840">
        <v>0</v>
      </c>
      <c r="AF136" s="861">
        <v>0</v>
      </c>
      <c r="AG136" s="17"/>
      <c r="AH136" s="17"/>
      <c r="AI136" s="17"/>
      <c r="AJ136" s="17"/>
      <c r="AK136" s="17"/>
      <c r="AL136"/>
      <c r="AM136"/>
      <c r="AN136"/>
      <c r="AO136"/>
      <c r="AP136"/>
    </row>
    <row r="137" spans="2:42" s="7" customFormat="1" ht="21.95" customHeight="1" x14ac:dyDescent="0.2">
      <c r="B137" s="199"/>
      <c r="C137" s="124"/>
      <c r="D137" s="720" t="s">
        <v>25</v>
      </c>
      <c r="E137" s="841" cm="1">
        <f t="array" ref="E137">_xlfn.ANCHORARRAY(E66) *$M$23</f>
        <v>0</v>
      </c>
      <c r="F137" s="841" cm="1">
        <f t="array" ref="F137">_xlfn.ANCHORARRAY(F66) *$M$23</f>
        <v>0</v>
      </c>
      <c r="G137" s="841" cm="1">
        <f t="array" ref="G137">_xlfn.ANCHORARRAY(G66) *$M$23</f>
        <v>0</v>
      </c>
      <c r="H137" s="841" cm="1">
        <f t="array" ref="H137">_xlfn.ANCHORARRAY(H66) *$M$23</f>
        <v>0</v>
      </c>
      <c r="I137" s="841" cm="1">
        <f t="array" ref="I137">_xlfn.ANCHORARRAY(I66) *$M$23</f>
        <v>0</v>
      </c>
      <c r="J137" s="841" cm="1">
        <f t="array" ref="J137">_xlfn.ANCHORARRAY(J66) *$M$23</f>
        <v>0</v>
      </c>
      <c r="K137" s="841" cm="1">
        <f t="array" ref="K137">_xlfn.ANCHORARRAY(K66) *$M$23</f>
        <v>0</v>
      </c>
      <c r="L137" s="841" cm="1">
        <f t="array" ref="L137">_xlfn.ANCHORARRAY(L66) *$M$23</f>
        <v>0</v>
      </c>
      <c r="M137" s="841" cm="1">
        <f t="array" ref="M137">_xlfn.ANCHORARRAY(M66) *$M$23</f>
        <v>0</v>
      </c>
      <c r="N137" s="841" cm="1">
        <f t="array" ref="N137">_xlfn.ANCHORARRAY(N66) *$M$23</f>
        <v>0</v>
      </c>
      <c r="O137" s="841" cm="1">
        <f t="array" ref="O137">_xlfn.ANCHORARRAY(O66) *$M$23</f>
        <v>0</v>
      </c>
      <c r="P137" s="841" cm="1">
        <f t="array" ref="P137">_xlfn.ANCHORARRAY(P66) *$M$23</f>
        <v>0</v>
      </c>
      <c r="Q137" s="841" cm="1">
        <f t="array" ref="Q137">_xlfn.ANCHORARRAY(Q66) *$M$23</f>
        <v>0</v>
      </c>
      <c r="R137" s="841" cm="1">
        <f t="array" ref="R137">_xlfn.ANCHORARRAY(R66) *$M$23</f>
        <v>0</v>
      </c>
      <c r="S137" s="841" cm="1">
        <f t="array" ref="S137">_xlfn.ANCHORARRAY(S66) *$M$23</f>
        <v>0</v>
      </c>
      <c r="T137" s="841" cm="1">
        <f t="array" ref="T137">_xlfn.ANCHORARRAY(T66) *$M$23</f>
        <v>0</v>
      </c>
      <c r="U137" s="841" cm="1">
        <f t="array" ref="U137">_xlfn.ANCHORARRAY(U66) *$M$23</f>
        <v>0</v>
      </c>
      <c r="V137" s="841" cm="1">
        <f t="array" ref="V137">_xlfn.ANCHORARRAY(V66) *$M$23</f>
        <v>0</v>
      </c>
      <c r="W137" s="841" cm="1">
        <f t="array" ref="W137">_xlfn.ANCHORARRAY(W66) *$M$23</f>
        <v>0</v>
      </c>
      <c r="X137" s="841" cm="1">
        <f t="array" ref="X137">_xlfn.ANCHORARRAY(X66) *$M$23</f>
        <v>0</v>
      </c>
      <c r="Y137" s="841" cm="1">
        <f t="array" ref="Y137">_xlfn.ANCHORARRAY(Y66) *$M$23</f>
        <v>0</v>
      </c>
      <c r="Z137" s="841" cm="1">
        <f t="array" ref="Z137">_xlfn.ANCHORARRAY(Z66) *$M$23</f>
        <v>0</v>
      </c>
      <c r="AA137" s="841" cm="1">
        <f t="array" ref="AA137">_xlfn.ANCHORARRAY(AA66) *$M$23</f>
        <v>0</v>
      </c>
      <c r="AB137" s="841" cm="1">
        <f t="array" ref="AB137">_xlfn.ANCHORARRAY(AB66) *$M$23</f>
        <v>0</v>
      </c>
      <c r="AC137" s="841" cm="1">
        <f t="array" ref="AC137">_xlfn.ANCHORARRAY(AC66) *$M$23</f>
        <v>0</v>
      </c>
      <c r="AD137" s="841" cm="1">
        <f t="array" ref="AD137">_xlfn.ANCHORARRAY(AD66) *$M$23</f>
        <v>0</v>
      </c>
      <c r="AE137" s="841" cm="1">
        <f t="array" ref="AE137">_xlfn.ANCHORARRAY(AE66) *$M$23</f>
        <v>0</v>
      </c>
      <c r="AF137" s="862" cm="1">
        <f t="array" ref="AF137">_xlfn.ANCHORARRAY(AF66) *$M$23</f>
        <v>0</v>
      </c>
      <c r="AG137" s="17"/>
      <c r="AH137" s="17"/>
      <c r="AI137" s="17"/>
      <c r="AJ137" s="17"/>
      <c r="AK137" s="17"/>
      <c r="AL137"/>
      <c r="AM137"/>
      <c r="AN137"/>
      <c r="AO137"/>
      <c r="AP137"/>
    </row>
    <row r="138" spans="2:42" s="7" customFormat="1" ht="21.95" customHeight="1" x14ac:dyDescent="0.2">
      <c r="B138" s="199"/>
      <c r="C138" s="116" t="str">
        <f>C23</f>
        <v>SH-412B North</v>
      </c>
      <c r="D138" s="116" t="s">
        <v>32</v>
      </c>
      <c r="E138" s="577" cm="1">
        <f t="array" ref="E138:AF138">_xlfn.ANCHORARRAY(E67) * $M$24</f>
        <v>0</v>
      </c>
      <c r="F138" s="577">
        <v>0</v>
      </c>
      <c r="G138" s="577">
        <v>0</v>
      </c>
      <c r="H138" s="577">
        <v>0</v>
      </c>
      <c r="I138" s="577">
        <v>0</v>
      </c>
      <c r="J138" s="577">
        <v>0</v>
      </c>
      <c r="K138" s="577">
        <v>0</v>
      </c>
      <c r="L138" s="577">
        <v>0</v>
      </c>
      <c r="M138" s="577">
        <v>0</v>
      </c>
      <c r="N138" s="577">
        <v>0</v>
      </c>
      <c r="O138" s="577">
        <v>0</v>
      </c>
      <c r="P138" s="577">
        <v>0</v>
      </c>
      <c r="Q138" s="577">
        <v>0</v>
      </c>
      <c r="R138" s="577">
        <v>0</v>
      </c>
      <c r="S138" s="577">
        <v>0</v>
      </c>
      <c r="T138" s="577">
        <v>0</v>
      </c>
      <c r="U138" s="577">
        <v>0</v>
      </c>
      <c r="V138" s="577">
        <v>0</v>
      </c>
      <c r="W138" s="577">
        <v>0</v>
      </c>
      <c r="X138" s="577">
        <v>0</v>
      </c>
      <c r="Y138" s="577">
        <v>0</v>
      </c>
      <c r="Z138" s="577">
        <v>0</v>
      </c>
      <c r="AA138" s="577">
        <v>0</v>
      </c>
      <c r="AB138" s="577">
        <v>0</v>
      </c>
      <c r="AC138" s="577">
        <v>0</v>
      </c>
      <c r="AD138" s="577">
        <v>0</v>
      </c>
      <c r="AE138" s="577">
        <v>0</v>
      </c>
      <c r="AF138" s="752">
        <v>0</v>
      </c>
      <c r="AG138" s="17"/>
      <c r="AH138" s="17"/>
      <c r="AI138" s="17"/>
      <c r="AJ138" s="17"/>
      <c r="AK138" s="17"/>
      <c r="AL138"/>
      <c r="AM138"/>
      <c r="AN138"/>
      <c r="AO138"/>
      <c r="AP138"/>
    </row>
    <row r="139" spans="2:42" s="7" customFormat="1" ht="21.95" customHeight="1" x14ac:dyDescent="0.2">
      <c r="B139" s="199"/>
      <c r="C139" s="116" t="str">
        <f>C24</f>
        <v>(Reconstruction)</v>
      </c>
      <c r="D139" s="116" t="s">
        <v>33</v>
      </c>
      <c r="E139" s="577" cm="1">
        <f t="array" ref="E139:AF139">_xlfn.ANCHORARRAY(E68) * $M$24</f>
        <v>1.6632</v>
      </c>
      <c r="F139" s="577">
        <v>2.0799446976000002</v>
      </c>
      <c r="G139" s="577">
        <v>2.6011122805882363</v>
      </c>
      <c r="H139" s="577">
        <v>3.2528677825106693</v>
      </c>
      <c r="I139" s="577">
        <v>4.0679323570388028</v>
      </c>
      <c r="J139" s="577">
        <v>5.087226031877301</v>
      </c>
      <c r="K139" s="577">
        <v>6.3619220842327318</v>
      </c>
      <c r="L139" s="577">
        <v>7.9560161770347593</v>
      </c>
      <c r="M139" s="577">
        <v>9.9495392384820036</v>
      </c>
      <c r="N139" s="577">
        <v>12.442575386389962</v>
      </c>
      <c r="O139" s="577">
        <v>15.560286615806918</v>
      </c>
      <c r="P139" s="577">
        <v>19.459196512556424</v>
      </c>
      <c r="Q139" s="577">
        <v>24.335048464314664</v>
      </c>
      <c r="R139" s="577">
        <v>30.432632887921056</v>
      </c>
      <c r="S139" s="577">
        <v>38.058076845381656</v>
      </c>
      <c r="T139" s="577">
        <v>47.594213044375245</v>
      </c>
      <c r="U139" s="577">
        <v>59.519799818478269</v>
      </c>
      <c r="V139" s="577">
        <v>74.433557019394712</v>
      </c>
      <c r="W139" s="577">
        <v>93.084224534630394</v>
      </c>
      <c r="X139" s="577">
        <v>116.40815250782366</v>
      </c>
      <c r="Y139" s="577">
        <v>145.57631046540402</v>
      </c>
      <c r="Z139" s="577">
        <v>182.05307542609935</v>
      </c>
      <c r="AA139" s="577">
        <v>227.66975042946621</v>
      </c>
      <c r="AB139" s="577">
        <v>284.71650445507663</v>
      </c>
      <c r="AC139" s="577">
        <v>356.05734954337635</v>
      </c>
      <c r="AD139" s="577">
        <v>445.27392750376106</v>
      </c>
      <c r="AE139" s="577">
        <v>556.84532497052339</v>
      </c>
      <c r="AF139" s="752">
        <v>696.37294435773731</v>
      </c>
      <c r="AG139" s="17"/>
      <c r="AH139" s="17"/>
      <c r="AI139" s="17"/>
      <c r="AJ139" s="17"/>
      <c r="AK139" s="17"/>
      <c r="AL139"/>
      <c r="AM139"/>
      <c r="AN139"/>
      <c r="AO139"/>
      <c r="AP139"/>
    </row>
    <row r="140" spans="2:42" s="7" customFormat="1" ht="21.95" customHeight="1" x14ac:dyDescent="0.2">
      <c r="B140" s="199"/>
      <c r="C140" s="116"/>
      <c r="D140" s="124" t="s">
        <v>30</v>
      </c>
      <c r="E140" s="840" cm="1">
        <f t="array" ref="E140:AF140">_xlfn.ANCHORARRAY(E69) * $M$24</f>
        <v>2.2176</v>
      </c>
      <c r="F140" s="840">
        <v>2.7732595968</v>
      </c>
      <c r="G140" s="840">
        <v>3.4681497074509817</v>
      </c>
      <c r="H140" s="840">
        <v>4.3371570433475588</v>
      </c>
      <c r="I140" s="840">
        <v>5.4239098093850702</v>
      </c>
      <c r="J140" s="840">
        <v>6.7829680425030672</v>
      </c>
      <c r="K140" s="840">
        <v>8.4825627789769751</v>
      </c>
      <c r="L140" s="840">
        <v>10.608021569379678</v>
      </c>
      <c r="M140" s="840">
        <v>13.266052317976005</v>
      </c>
      <c r="N140" s="840">
        <v>16.590100515186613</v>
      </c>
      <c r="O140" s="840">
        <v>20.747048821075889</v>
      </c>
      <c r="P140" s="840">
        <v>25.94559535007523</v>
      </c>
      <c r="Q140" s="840">
        <v>32.446731285752882</v>
      </c>
      <c r="R140" s="840">
        <v>40.57684385056141</v>
      </c>
      <c r="S140" s="840">
        <v>50.744102460508877</v>
      </c>
      <c r="T140" s="840">
        <v>63.45895072583366</v>
      </c>
      <c r="U140" s="840">
        <v>79.359733091304349</v>
      </c>
      <c r="V140" s="840">
        <v>99.244742692526287</v>
      </c>
      <c r="W140" s="840">
        <v>124.11229937950721</v>
      </c>
      <c r="X140" s="840">
        <v>155.21087001043153</v>
      </c>
      <c r="Y140" s="840">
        <v>194.10174728720534</v>
      </c>
      <c r="Z140" s="840">
        <v>242.73743390146583</v>
      </c>
      <c r="AA140" s="840">
        <v>303.55966723928822</v>
      </c>
      <c r="AB140" s="840">
        <v>379.62200594010221</v>
      </c>
      <c r="AC140" s="840">
        <v>474.74313272450172</v>
      </c>
      <c r="AD140" s="840">
        <v>593.69857000501463</v>
      </c>
      <c r="AE140" s="840">
        <v>742.46043329403108</v>
      </c>
      <c r="AF140" s="861">
        <v>928.49725914364967</v>
      </c>
      <c r="AG140" s="17"/>
      <c r="AH140" s="17"/>
      <c r="AI140" s="17"/>
      <c r="AJ140" s="17"/>
      <c r="AK140" s="17"/>
      <c r="AL140"/>
      <c r="AM140"/>
      <c r="AN140"/>
      <c r="AO140"/>
      <c r="AP140"/>
    </row>
    <row r="141" spans="2:42" s="7" customFormat="1" ht="21.95" customHeight="1" x14ac:dyDescent="0.2">
      <c r="B141" s="199"/>
      <c r="C141" s="116"/>
      <c r="D141" s="720" t="s">
        <v>25</v>
      </c>
      <c r="E141" s="841" cm="1">
        <f t="array" ref="E141">_xlfn.ANCHORARRAY(E70) * $M$24</f>
        <v>3.8808000000000002</v>
      </c>
      <c r="F141" s="841" cm="1">
        <f t="array" ref="F141">_xlfn.ANCHORARRAY(F70) * $M$25</f>
        <v>2.9413359360000002</v>
      </c>
      <c r="G141" s="841" cm="1">
        <f t="array" ref="G141">_xlfn.ANCHORARRAY(G70) * $M$25</f>
        <v>3.6783405988116473</v>
      </c>
      <c r="H141" s="841" cm="1">
        <f t="array" ref="H141">_xlfn.ANCHORARRAY(H70) * $M$25</f>
        <v>4.6000150459746836</v>
      </c>
      <c r="I141" s="841" cm="1">
        <f t="array" ref="I141">_xlfn.ANCHORARRAY(I70) * $M$25</f>
        <v>5.7526316160144688</v>
      </c>
      <c r="J141" s="841" cm="1">
        <f t="array" ref="J141">_xlfn.ANCHORARRAY(J70) * $M$25</f>
        <v>7.1940570147759813</v>
      </c>
      <c r="K141" s="841" cm="1">
        <f t="array" ref="K141">_xlfn.ANCHORARRAY(K70) * $M$25</f>
        <v>8.9966574928543679</v>
      </c>
      <c r="L141" s="841" cm="1">
        <f t="array" ref="L141">_xlfn.ANCHORARRAY(L70) * $M$25</f>
        <v>11.250931967523902</v>
      </c>
      <c r="M141" s="841" cm="1">
        <f t="array" ref="M141">_xlfn.ANCHORARRAY(M70) * $M$25</f>
        <v>14.07005548876243</v>
      </c>
      <c r="N141" s="841" cm="1">
        <f t="array" ref="N141">_xlfn.ANCHORARRAY(N70) * $M$25</f>
        <v>17.595561152470651</v>
      </c>
      <c r="O141" s="841" cm="1">
        <f t="array" ref="O141">_xlfn.ANCHORARRAY(O70) * $M$25</f>
        <v>22.004445719322916</v>
      </c>
      <c r="P141" s="841" cm="1">
        <f t="array" ref="P141">_xlfn.ANCHORARRAY(P70) * $M$25</f>
        <v>27.518055674322216</v>
      </c>
      <c r="Q141" s="841" cm="1">
        <f t="array" ref="Q141">_xlfn.ANCHORARRAY(Q70) * $M$25</f>
        <v>34.413199848525785</v>
      </c>
      <c r="R141" s="841" cm="1">
        <f t="array" ref="R141">_xlfn.ANCHORARRAY(R70) * $M$25</f>
        <v>43.036046508171196</v>
      </c>
      <c r="S141" s="841" cm="1">
        <f t="array" ref="S141">_xlfn.ANCHORARRAY(S70) * $M$25</f>
        <v>53.819502609630632</v>
      </c>
      <c r="T141" s="841" cm="1">
        <f t="array" ref="T141">_xlfn.ANCHORARRAY(T70) * $M$25</f>
        <v>67.304947739520557</v>
      </c>
      <c r="U141" s="841" cm="1">
        <f t="array" ref="U141">_xlfn.ANCHORARRAY(U70) * $M$25</f>
        <v>84.169413884716732</v>
      </c>
      <c r="V141" s="841" cm="1">
        <f t="array" ref="V141">_xlfn.ANCHORARRAY(V70) * $M$25</f>
        <v>105.25957558298244</v>
      </c>
      <c r="W141" s="841" cm="1">
        <f t="array" ref="W141">_xlfn.ANCHORARRAY(W70) * $M$25</f>
        <v>131.63425691765917</v>
      </c>
      <c r="X141" s="841" cm="1">
        <f t="array" ref="X141">_xlfn.ANCHORARRAY(X70) * $M$25</f>
        <v>164.61758940500314</v>
      </c>
      <c r="Y141" s="841" cm="1">
        <f t="array" ref="Y141">_xlfn.ANCHORARRAY(Y70) * $M$25</f>
        <v>205.86548954703599</v>
      </c>
      <c r="Z141" s="841" cm="1">
        <f t="array" ref="Z141">_xlfn.ANCHORARRAY(Z70) * $M$25</f>
        <v>257.44879353185769</v>
      </c>
      <c r="AA141" s="841" cm="1">
        <f t="array" ref="AA141">_xlfn.ANCHORARRAY(AA70) * $M$25</f>
        <v>321.95722282954819</v>
      </c>
      <c r="AB141" s="841" cm="1">
        <f t="array" ref="AB141">_xlfn.ANCHORARRAY(AB70) * $M$25</f>
        <v>402.62940023950239</v>
      </c>
      <c r="AC141" s="841" cm="1">
        <f t="array" ref="AC141">_xlfn.ANCHORARRAY(AC70) * $M$25</f>
        <v>503.51544379871399</v>
      </c>
      <c r="AD141" s="841" cm="1">
        <f t="array" ref="AD141">_xlfn.ANCHORARRAY(AD70) * $M$25</f>
        <v>629.68030152047015</v>
      </c>
      <c r="AE141" s="841" cm="1">
        <f t="array" ref="AE141">_xlfn.ANCHORARRAY(AE70) * $M$25</f>
        <v>787.45803531185118</v>
      </c>
      <c r="AF141" s="862" cm="1">
        <f t="array" ref="AF141">_xlfn.ANCHORARRAY(AF70) * $M$25</f>
        <v>984.76982030387103</v>
      </c>
      <c r="AG141" s="17"/>
      <c r="AH141" s="17"/>
      <c r="AI141" s="17"/>
      <c r="AJ141" s="17"/>
      <c r="AK141" s="17"/>
      <c r="AL141"/>
      <c r="AM141"/>
      <c r="AN141"/>
      <c r="AO141"/>
      <c r="AP141"/>
    </row>
    <row r="142" spans="2:42" s="7" customFormat="1" ht="21.95" customHeight="1" x14ac:dyDescent="0.2">
      <c r="B142" s="199"/>
      <c r="C142" s="220" t="str">
        <f>C26</f>
        <v>US 69/Main St</v>
      </c>
      <c r="D142" s="116" t="s">
        <v>32</v>
      </c>
      <c r="E142" s="577" cm="1">
        <f t="array" ref="E142:AF142">_xlfn.ANCHORARRAY(E71) * $M$25</f>
        <v>0</v>
      </c>
      <c r="F142" s="577">
        <v>0</v>
      </c>
      <c r="G142" s="577">
        <v>0</v>
      </c>
      <c r="H142" s="577">
        <v>0</v>
      </c>
      <c r="I142" s="577">
        <v>0</v>
      </c>
      <c r="J142" s="577">
        <v>0</v>
      </c>
      <c r="K142" s="577">
        <v>0</v>
      </c>
      <c r="L142" s="577">
        <v>0</v>
      </c>
      <c r="M142" s="577">
        <v>0</v>
      </c>
      <c r="N142" s="577">
        <v>0</v>
      </c>
      <c r="O142" s="577">
        <v>0</v>
      </c>
      <c r="P142" s="577">
        <v>0</v>
      </c>
      <c r="Q142" s="577">
        <v>0</v>
      </c>
      <c r="R142" s="577">
        <v>0</v>
      </c>
      <c r="S142" s="577">
        <v>0</v>
      </c>
      <c r="T142" s="577">
        <v>0</v>
      </c>
      <c r="U142" s="577">
        <v>0</v>
      </c>
      <c r="V142" s="577">
        <v>0</v>
      </c>
      <c r="W142" s="577">
        <v>0</v>
      </c>
      <c r="X142" s="577">
        <v>0</v>
      </c>
      <c r="Y142" s="577">
        <v>0</v>
      </c>
      <c r="Z142" s="577">
        <v>0</v>
      </c>
      <c r="AA142" s="577">
        <v>0</v>
      </c>
      <c r="AB142" s="577">
        <v>0</v>
      </c>
      <c r="AC142" s="577">
        <v>0</v>
      </c>
      <c r="AD142" s="577">
        <v>0</v>
      </c>
      <c r="AE142" s="577">
        <v>0</v>
      </c>
      <c r="AF142" s="752">
        <v>0</v>
      </c>
      <c r="AG142" s="17"/>
      <c r="AH142" s="17"/>
      <c r="AI142" s="17"/>
      <c r="AJ142" s="17"/>
      <c r="AK142" s="17"/>
      <c r="AL142"/>
      <c r="AM142"/>
      <c r="AN142"/>
      <c r="AO142"/>
      <c r="AP142"/>
    </row>
    <row r="143" spans="2:42" s="7" customFormat="1" ht="21.95" customHeight="1" x14ac:dyDescent="0.2">
      <c r="B143" s="199"/>
      <c r="C143" s="116" t="str">
        <f>C27</f>
        <v>(Intersection)</v>
      </c>
      <c r="D143" s="116" t="s">
        <v>33</v>
      </c>
      <c r="E143" s="577" cm="1">
        <f t="array" ref="E143:AF143">_xlfn.ANCHORARRAY(E72) * $M$25</f>
        <v>0.11200000000000002</v>
      </c>
      <c r="F143" s="577">
        <v>0.11530401280000002</v>
      </c>
      <c r="G143" s="577">
        <v>0.11870549435520149</v>
      </c>
      <c r="H143" s="577">
        <v>0.12220732000502214</v>
      </c>
      <c r="I143" s="577">
        <v>0.12581244991172116</v>
      </c>
      <c r="J143" s="577">
        <v>0.12952393156268263</v>
      </c>
      <c r="K143" s="577">
        <v>0.13334490234651683</v>
      </c>
      <c r="L143" s="577">
        <v>0.13727859220515648</v>
      </c>
      <c r="M143" s="577">
        <v>0.14132832636419057</v>
      </c>
      <c r="N143" s="577">
        <v>0.14549752814374295</v>
      </c>
      <c r="O143" s="577">
        <v>0.1497897218522723</v>
      </c>
      <c r="P143" s="577">
        <v>0.15420853576573967</v>
      </c>
      <c r="Q143" s="577">
        <v>0.15875770519466167</v>
      </c>
      <c r="R143" s="577">
        <v>0.16344107564164193</v>
      </c>
      <c r="S143" s="577">
        <v>0.16826260605205046</v>
      </c>
      <c r="T143" s="577">
        <v>0.17322637216059802</v>
      </c>
      <c r="U143" s="577">
        <v>0.17833656993663538</v>
      </c>
      <c r="V143" s="577">
        <v>0.18359751913108843</v>
      </c>
      <c r="W143" s="577">
        <v>0.18901366692802912</v>
      </c>
      <c r="X143" s="577">
        <v>0.19458959170396795</v>
      </c>
      <c r="Y143" s="577">
        <v>0.20033000689804548</v>
      </c>
      <c r="Z143" s="577">
        <v>0.20623976499639576</v>
      </c>
      <c r="AA143" s="577">
        <v>0.21232386163404832</v>
      </c>
      <c r="AB143" s="577">
        <v>0.2185874398178369</v>
      </c>
      <c r="AC143" s="577">
        <v>0.22503579427388484</v>
      </c>
      <c r="AD143" s="577">
        <v>0.23167437592334086</v>
      </c>
      <c r="AE143" s="577">
        <v>0.238508796490151</v>
      </c>
      <c r="AF143" s="752">
        <v>0.24554483324475862</v>
      </c>
      <c r="AG143" s="17"/>
      <c r="AH143" s="17"/>
      <c r="AI143" s="17"/>
      <c r="AJ143" s="17"/>
      <c r="AK143" s="17"/>
      <c r="AL143"/>
      <c r="AM143"/>
      <c r="AN143"/>
      <c r="AO143"/>
      <c r="AP143"/>
    </row>
    <row r="144" spans="2:42" s="7" customFormat="1" ht="21.95" customHeight="1" x14ac:dyDescent="0.2">
      <c r="B144" s="199"/>
      <c r="C144" s="116"/>
      <c r="D144" s="124" t="s">
        <v>30</v>
      </c>
      <c r="E144" s="840" cm="1">
        <f t="array" ref="E144:AF144">_xlfn.ANCHORARRAY(E73) * $M$25</f>
        <v>0.78400000000000003</v>
      </c>
      <c r="F144" s="840">
        <v>0.80712808960000004</v>
      </c>
      <c r="G144" s="840">
        <v>0.83093846048641029</v>
      </c>
      <c r="H144" s="840">
        <v>0.85545124003515494</v>
      </c>
      <c r="I144" s="840">
        <v>0.88068714938204817</v>
      </c>
      <c r="J144" s="840">
        <v>0.90666752093877834</v>
      </c>
      <c r="K144" s="840">
        <v>0.93341431642561767</v>
      </c>
      <c r="L144" s="840">
        <v>0.96095014543609525</v>
      </c>
      <c r="M144" s="840">
        <v>0.98929828454933388</v>
      </c>
      <c r="N144" s="840">
        <v>1.0184826970062004</v>
      </c>
      <c r="O144" s="840">
        <v>1.048528052965906</v>
      </c>
      <c r="P144" s="840">
        <v>1.0794597503601777</v>
      </c>
      <c r="Q144" s="840">
        <v>1.1113039363626316</v>
      </c>
      <c r="R144" s="840">
        <v>1.1440875294914932</v>
      </c>
      <c r="S144" s="840">
        <v>1.1778382423643532</v>
      </c>
      <c r="T144" s="840">
        <v>1.2125846051241862</v>
      </c>
      <c r="U144" s="840">
        <v>1.2483559895564476</v>
      </c>
      <c r="V144" s="840">
        <v>1.2851826339176187</v>
      </c>
      <c r="W144" s="840">
        <v>1.3230956684962039</v>
      </c>
      <c r="X144" s="840">
        <v>1.3621271419277754</v>
      </c>
      <c r="Y144" s="840">
        <v>1.4023100482863182</v>
      </c>
      <c r="Z144" s="840">
        <v>1.44367835497477</v>
      </c>
      <c r="AA144" s="840">
        <v>1.4862670314383382</v>
      </c>
      <c r="AB144" s="840">
        <v>1.5301120787248581</v>
      </c>
      <c r="AC144" s="840">
        <v>1.5752505599171935</v>
      </c>
      <c r="AD144" s="840">
        <v>1.6217206314633861</v>
      </c>
      <c r="AE144" s="840">
        <v>1.6695615754310569</v>
      </c>
      <c r="AF144" s="861">
        <v>1.7188138327133105</v>
      </c>
      <c r="AG144" s="17"/>
      <c r="AH144" s="17"/>
      <c r="AI144" s="17"/>
      <c r="AJ144" s="17"/>
      <c r="AK144" s="17"/>
      <c r="AL144"/>
      <c r="AM144"/>
      <c r="AN144"/>
      <c r="AO144"/>
      <c r="AP144"/>
    </row>
    <row r="145" spans="2:42" s="7" customFormat="1" ht="21.95" customHeight="1" x14ac:dyDescent="0.2">
      <c r="B145" s="199"/>
      <c r="C145" s="116"/>
      <c r="D145" s="720" t="s">
        <v>25</v>
      </c>
      <c r="E145" s="841" cm="1">
        <f t="array" ref="E145">_xlfn.ANCHORARRAY(E74) * $M$25</f>
        <v>0.89600000000000002</v>
      </c>
      <c r="F145" s="841" cm="1">
        <f t="array" ref="F145">_xlfn.ANCHORARRAY(F74) * $M$26</f>
        <v>1.1382153263542856</v>
      </c>
      <c r="G145" s="841" cm="1">
        <f t="array" ref="G145">_xlfn.ANCHORARRAY(G74) * $M$26</f>
        <v>1.1717928085634888</v>
      </c>
      <c r="H145" s="841" cm="1">
        <f t="array" ref="H145">_xlfn.ANCHORARRAY(H74) * $M$26</f>
        <v>1.2063608303352897</v>
      </c>
      <c r="I145" s="841" cm="1">
        <f t="array" ref="I145">_xlfn.ANCHORARRAY(I74) * $M$26</f>
        <v>1.2419486126999901</v>
      </c>
      <c r="J145" s="841" cm="1">
        <f t="array" ref="J145">_xlfn.ANCHORARRAY(J74) * $M$26</f>
        <v>1.278586238711624</v>
      </c>
      <c r="K145" s="841" cm="1">
        <f t="array" ref="K145">_xlfn.ANCHORARRAY(K74) * $M$26</f>
        <v>1.3163046788777586</v>
      </c>
      <c r="L145" s="841" cm="1">
        <f t="array" ref="L145">_xlfn.ANCHORARRAY(L74) * $M$26</f>
        <v>1.355135817339473</v>
      </c>
      <c r="M145" s="841" cm="1">
        <f t="array" ref="M145">_xlfn.ANCHORARRAY(M74) * $M$26</f>
        <v>1.3951124788236524</v>
      </c>
      <c r="N145" s="841" cm="1">
        <f t="array" ref="N145">_xlfn.ANCHORARRAY(N74) * $M$26</f>
        <v>1.4362684563903763</v>
      </c>
      <c r="O145" s="841" cm="1">
        <f t="array" ref="O145">_xlfn.ANCHORARRAY(O74) * $M$26</f>
        <v>1.4786385399988589</v>
      </c>
      <c r="P145" s="841" cm="1">
        <f t="array" ref="P145">_xlfn.ANCHORARRAY(P74) * $M$26</f>
        <v>1.5222585459160869</v>
      </c>
      <c r="Q145" s="841" cm="1">
        <f t="array" ref="Q145">_xlfn.ANCHORARRAY(Q74) * $M$26</f>
        <v>1.5671653469930171</v>
      </c>
      <c r="R145" s="841" cm="1">
        <f t="array" ref="R145">_xlfn.ANCHORARRAY(R74) * $M$26</f>
        <v>1.6133969038339218</v>
      </c>
      <c r="S145" s="841" cm="1">
        <f t="array" ref="S145">_xlfn.ANCHORARRAY(S74) * $M$26</f>
        <v>1.6609922968852406</v>
      </c>
      <c r="T145" s="841" cm="1">
        <f t="array" ref="T145">_xlfn.ANCHORARRAY(T74) * $M$26</f>
        <v>1.7099917594710461</v>
      </c>
      <c r="U145" s="841" cm="1">
        <f t="array" ref="U145">_xlfn.ANCHORARRAY(U74) * $M$26</f>
        <v>1.7604367118030717</v>
      </c>
      <c r="V145" s="841" cm="1">
        <f t="array" ref="V145">_xlfn.ANCHORARRAY(V74) * $M$26</f>
        <v>1.8123697959940295</v>
      </c>
      <c r="W145" s="841" cm="1">
        <f t="array" ref="W145">_xlfn.ANCHORARRAY(W74) * $M$26</f>
        <v>1.8658349121038298</v>
      </c>
      <c r="X145" s="841" cm="1">
        <f t="array" ref="X145">_xlfn.ANCHORARRAY(X74) * $M$26</f>
        <v>1.9208772552491686</v>
      </c>
      <c r="Y145" s="841" cm="1">
        <f t="array" ref="Y145">_xlfn.ANCHORARRAY(Y74) * $M$26</f>
        <v>1.9775433538078486</v>
      </c>
      <c r="Z145" s="841" cm="1">
        <f t="array" ref="Z145">_xlfn.ANCHORARRAY(Z74) * $M$26</f>
        <v>2.0358811087501345</v>
      </c>
      <c r="AA145" s="841" cm="1">
        <f t="array" ref="AA145">_xlfn.ANCHORARRAY(AA74) * $M$26</f>
        <v>2.095939834130391</v>
      </c>
      <c r="AB145" s="841" cm="1">
        <f t="array" ref="AB145">_xlfn.ANCHORARRAY(AB74) * $M$26</f>
        <v>2.1577702987732179</v>
      </c>
      <c r="AC145" s="841" cm="1">
        <f t="array" ref="AC145">_xlfn.ANCHORARRAY(AC74) * $M$26</f>
        <v>2.2214247691893481</v>
      </c>
      <c r="AD145" s="841" cm="1">
        <f t="array" ref="AD145">_xlfn.ANCHORARRAY(AD74) * $M$26</f>
        <v>2.2869570537575501</v>
      </c>
      <c r="AE145" s="841" cm="1">
        <f t="array" ref="AE145">_xlfn.ANCHORARRAY(AE74) * $M$26</f>
        <v>2.3544225482099184</v>
      </c>
      <c r="AF145" s="862" cm="1">
        <f t="array" ref="AF145">_xlfn.ANCHORARRAY(AF74) * $M$26</f>
        <v>2.4238782824589742</v>
      </c>
      <c r="AG145" s="17"/>
      <c r="AH145" s="17"/>
      <c r="AI145" s="17"/>
      <c r="AJ145" s="17"/>
      <c r="AK145" s="17"/>
      <c r="AL145"/>
      <c r="AM145"/>
      <c r="AN145"/>
      <c r="AO145"/>
      <c r="AP145"/>
    </row>
    <row r="146" spans="2:42" s="7" customFormat="1" ht="21.95" customHeight="1" x14ac:dyDescent="0.2">
      <c r="B146" s="199"/>
      <c r="C146" s="220" t="str">
        <f>C29</f>
        <v>Zarrow St</v>
      </c>
      <c r="D146" s="116" t="s">
        <v>32</v>
      </c>
      <c r="E146" s="577" cm="1">
        <f t="array" ref="E146:AF146">_xlfn.ANCHORARRAY(E75) * $M$26</f>
        <v>0.13819999999999999</v>
      </c>
      <c r="F146" s="577">
        <v>0.14918947973333332</v>
      </c>
      <c r="G146" s="577">
        <v>0.1610528282424217</v>
      </c>
      <c r="H146" s="577">
        <v>0.17385953440715476</v>
      </c>
      <c r="I146" s="577">
        <v>0.18768461277049919</v>
      </c>
      <c r="J146" s="577">
        <v>0.20260904293185894</v>
      </c>
      <c r="K146" s="577">
        <v>0.21872024388040981</v>
      </c>
      <c r="L146" s="577">
        <v>0.23611258604678817</v>
      </c>
      <c r="M146" s="577">
        <v>0.25488794407244741</v>
      </c>
      <c r="N146" s="577">
        <v>0.27515629353449639</v>
      </c>
      <c r="O146" s="577">
        <v>0.2970363551213015</v>
      </c>
      <c r="P146" s="577">
        <v>0.32065629003207391</v>
      </c>
      <c r="Q146" s="577">
        <v>0.34615445067370443</v>
      </c>
      <c r="R146" s="577">
        <v>0.37368019105200984</v>
      </c>
      <c r="S146" s="577">
        <v>0.40339474160421096</v>
      </c>
      <c r="T146" s="577">
        <v>0.43547215359692237</v>
      </c>
      <c r="U146" s="577">
        <v>0.47010031862141155</v>
      </c>
      <c r="V146" s="577">
        <v>0.5074820691577614</v>
      </c>
      <c r="W146" s="577">
        <v>0.54783636665442781</v>
      </c>
      <c r="X146" s="577">
        <v>0.59139958408229909</v>
      </c>
      <c r="Y146" s="577">
        <v>0.63842689047574486</v>
      </c>
      <c r="Z146" s="577">
        <v>0.68919374557052204</v>
      </c>
      <c r="AA146" s="577">
        <v>0.743997513293296</v>
      </c>
      <c r="AB146" s="577">
        <v>0.80315920355369452</v>
      </c>
      <c r="AC146" s="577">
        <v>0.86702535254134638</v>
      </c>
      <c r="AD146" s="577">
        <v>0.9359700525416309</v>
      </c>
      <c r="AE146" s="577">
        <v>1.0103971431596714</v>
      </c>
      <c r="AF146" s="752">
        <v>1.0907425767875378</v>
      </c>
      <c r="AG146" s="17"/>
      <c r="AH146" s="17"/>
      <c r="AI146" s="17"/>
      <c r="AJ146" s="17"/>
      <c r="AK146" s="17"/>
      <c r="AL146"/>
      <c r="AM146"/>
      <c r="AN146"/>
      <c r="AO146"/>
      <c r="AP146"/>
    </row>
    <row r="147" spans="2:42" s="7" customFormat="1" ht="21.95" customHeight="1" x14ac:dyDescent="0.2">
      <c r="B147" s="199"/>
      <c r="C147" s="116"/>
      <c r="D147" s="116" t="s">
        <v>33</v>
      </c>
      <c r="E147" s="577" cm="1">
        <f t="array" ref="E147:AF147">_xlfn.ANCHORARRAY(E76) * $M$26</f>
        <v>0.41459999999999997</v>
      </c>
      <c r="F147" s="577">
        <v>0.4475684392</v>
      </c>
      <c r="G147" s="577">
        <v>0.48315848472726508</v>
      </c>
      <c r="H147" s="577">
        <v>0.52157860322146432</v>
      </c>
      <c r="I147" s="577">
        <v>0.56305383831149758</v>
      </c>
      <c r="J147" s="577">
        <v>0.60782712879557677</v>
      </c>
      <c r="K147" s="577">
        <v>0.65616073164122946</v>
      </c>
      <c r="L147" s="577">
        <v>0.70833775814036448</v>
      </c>
      <c r="M147" s="577">
        <v>0.76466383221734224</v>
      </c>
      <c r="N147" s="577">
        <v>0.825468880603489</v>
      </c>
      <c r="O147" s="577">
        <v>0.89110906536390433</v>
      </c>
      <c r="P147" s="577">
        <v>0.96196887009622178</v>
      </c>
      <c r="Q147" s="577">
        <v>1.0384633520211133</v>
      </c>
      <c r="R147" s="577">
        <v>1.1210405731560293</v>
      </c>
      <c r="S147" s="577">
        <v>1.2101842248126329</v>
      </c>
      <c r="T147" s="577">
        <v>1.3064164607907671</v>
      </c>
      <c r="U147" s="577">
        <v>1.4103009558642348</v>
      </c>
      <c r="V147" s="577">
        <v>1.5224462074732841</v>
      </c>
      <c r="W147" s="577">
        <v>1.6435090999632831</v>
      </c>
      <c r="X147" s="577">
        <v>1.7741987522468972</v>
      </c>
      <c r="Y147" s="577">
        <v>1.9152806714272343</v>
      </c>
      <c r="Z147" s="577">
        <v>2.067581236711566</v>
      </c>
      <c r="AA147" s="577">
        <v>2.2319925398798879</v>
      </c>
      <c r="AB147" s="577">
        <v>2.4094776106610838</v>
      </c>
      <c r="AC147" s="577">
        <v>2.6010760576240388</v>
      </c>
      <c r="AD147" s="577">
        <v>2.8079101576248924</v>
      </c>
      <c r="AE147" s="577">
        <v>3.0311914294790139</v>
      </c>
      <c r="AF147" s="752">
        <v>3.2722277303626131</v>
      </c>
      <c r="AG147" s="17"/>
      <c r="AH147" s="17"/>
      <c r="AI147" s="17"/>
      <c r="AJ147" s="17"/>
      <c r="AK147" s="17"/>
      <c r="AL147"/>
      <c r="AM147"/>
      <c r="AN147"/>
      <c r="AO147"/>
      <c r="AP147"/>
    </row>
    <row r="148" spans="2:42" s="7" customFormat="1" ht="21.95" customHeight="1" x14ac:dyDescent="0.2">
      <c r="B148" s="199"/>
      <c r="C148" s="116"/>
      <c r="D148" s="124" t="s">
        <v>30</v>
      </c>
      <c r="E148" s="840" cm="1">
        <f t="array" ref="E148:AF148">_xlfn.ANCHORARRAY(E77) * $M$26</f>
        <v>0.13819999999999999</v>
      </c>
      <c r="F148" s="840">
        <v>0.14918947973333332</v>
      </c>
      <c r="G148" s="840">
        <v>0.1610528282424217</v>
      </c>
      <c r="H148" s="840">
        <v>0.17385953440715476</v>
      </c>
      <c r="I148" s="840">
        <v>0.18768461277049919</v>
      </c>
      <c r="J148" s="840">
        <v>0.20260904293185894</v>
      </c>
      <c r="K148" s="840">
        <v>0.21872024388040981</v>
      </c>
      <c r="L148" s="840">
        <v>0.23611258604678817</v>
      </c>
      <c r="M148" s="840">
        <v>0.25488794407244741</v>
      </c>
      <c r="N148" s="840">
        <v>0.27515629353449639</v>
      </c>
      <c r="O148" s="840">
        <v>0.2970363551213015</v>
      </c>
      <c r="P148" s="840">
        <v>0.32065629003207391</v>
      </c>
      <c r="Q148" s="840">
        <v>0.34615445067370443</v>
      </c>
      <c r="R148" s="840">
        <v>0.37368019105200984</v>
      </c>
      <c r="S148" s="840">
        <v>0.40339474160421096</v>
      </c>
      <c r="T148" s="840">
        <v>0.43547215359692237</v>
      </c>
      <c r="U148" s="840">
        <v>0.47010031862141155</v>
      </c>
      <c r="V148" s="840">
        <v>0.5074820691577614</v>
      </c>
      <c r="W148" s="840">
        <v>0.54783636665442781</v>
      </c>
      <c r="X148" s="840">
        <v>0.59139958408229909</v>
      </c>
      <c r="Y148" s="840">
        <v>0.63842689047574486</v>
      </c>
      <c r="Z148" s="840">
        <v>0.68919374557052204</v>
      </c>
      <c r="AA148" s="840">
        <v>0.743997513293296</v>
      </c>
      <c r="AB148" s="840">
        <v>0.80315920355369452</v>
      </c>
      <c r="AC148" s="840">
        <v>0.86702535254134638</v>
      </c>
      <c r="AD148" s="840">
        <v>0.9359700525416309</v>
      </c>
      <c r="AE148" s="840">
        <v>1.0103971431596714</v>
      </c>
      <c r="AF148" s="861">
        <v>1.0907425767875378</v>
      </c>
      <c r="AG148" s="17"/>
      <c r="AH148" s="17"/>
      <c r="AI148" s="17"/>
      <c r="AJ148" s="17"/>
      <c r="AK148" s="17"/>
      <c r="AL148"/>
      <c r="AM148"/>
      <c r="AN148"/>
      <c r="AO148"/>
      <c r="AP148"/>
    </row>
    <row r="149" spans="2:42" s="7" customFormat="1" ht="21.95" customHeight="1" x14ac:dyDescent="0.2">
      <c r="B149" s="199"/>
      <c r="C149" s="116"/>
      <c r="D149" s="720" t="s">
        <v>25</v>
      </c>
      <c r="E149" s="841" cm="1">
        <f t="array" ref="E149">_xlfn.ANCHORARRAY(E78) * $M$26</f>
        <v>0.69099999999999995</v>
      </c>
      <c r="F149" s="841" cm="1">
        <f t="array" ref="F149">_xlfn.ANCHORARRAY(F78) * $M$26</f>
        <v>0.74594739866666671</v>
      </c>
      <c r="G149" s="841" cm="1">
        <f t="array" ref="G149">_xlfn.ANCHORARRAY(G78) * $M$26</f>
        <v>0.80526414121210854</v>
      </c>
      <c r="H149" s="841" cm="1">
        <f t="array" ref="H149">_xlfn.ANCHORARRAY(H78) * $M$26</f>
        <v>0.86929767203577379</v>
      </c>
      <c r="I149" s="841" cm="1">
        <f t="array" ref="I149">_xlfn.ANCHORARRAY(I78) * $M$26</f>
        <v>0.93842306385249596</v>
      </c>
      <c r="J149" s="841" cm="1">
        <f t="array" ref="J149">_xlfn.ANCHORARRAY(J78) * $M$26</f>
        <v>1.0130452146592948</v>
      </c>
      <c r="K149" s="841" cm="1">
        <f t="array" ref="K149">_xlfn.ANCHORARRAY(K78) * $M$26</f>
        <v>1.093601219402049</v>
      </c>
      <c r="L149" s="841" cm="1">
        <f t="array" ref="L149">_xlfn.ANCHORARRAY(L78) * $M$26</f>
        <v>1.1805629302339409</v>
      </c>
      <c r="M149" s="841" cm="1">
        <f t="array" ref="M149">_xlfn.ANCHORARRAY(M78) * $M$26</f>
        <v>1.2744397203622371</v>
      </c>
      <c r="N149" s="841" cm="1">
        <f t="array" ref="N149">_xlfn.ANCHORARRAY(N78) * $M$26</f>
        <v>1.3757814676724818</v>
      </c>
      <c r="O149" s="841" cm="1">
        <f t="array" ref="O149">_xlfn.ANCHORARRAY(O78) * $M$26</f>
        <v>1.4851817756065073</v>
      </c>
      <c r="P149" s="841" cm="1">
        <f t="array" ref="P149">_xlfn.ANCHORARRAY(P78) * $M$26</f>
        <v>1.6032814501603696</v>
      </c>
      <c r="Q149" s="841" cm="1">
        <f t="array" ref="Q149">_xlfn.ANCHORARRAY(Q78) * $M$26</f>
        <v>1.7307722533685219</v>
      </c>
      <c r="R149" s="841" cm="1">
        <f t="array" ref="R149">_xlfn.ANCHORARRAY(R78) * $M$26</f>
        <v>1.8684009552600491</v>
      </c>
      <c r="S149" s="841" cm="1">
        <f t="array" ref="S149">_xlfn.ANCHORARRAY(S78) * $M$26</f>
        <v>2.0169737080210548</v>
      </c>
      <c r="T149" s="841" cm="1">
        <f t="array" ref="T149">_xlfn.ANCHORARRAY(T78) * $M$26</f>
        <v>2.1773607679846116</v>
      </c>
      <c r="U149" s="841" cm="1">
        <f t="array" ref="U149">_xlfn.ANCHORARRAY(U78) * $M$26</f>
        <v>2.3505015931070576</v>
      </c>
      <c r="V149" s="841" cm="1">
        <f t="array" ref="V149">_xlfn.ANCHORARRAY(V78) * $M$26</f>
        <v>2.5374103457888069</v>
      </c>
      <c r="W149" s="841" cm="1">
        <f t="array" ref="W149">_xlfn.ANCHORARRAY(W78) * $M$26</f>
        <v>2.7391818332721387</v>
      </c>
      <c r="X149" s="841" cm="1">
        <f t="array" ref="X149">_xlfn.ANCHORARRAY(X78) * $M$26</f>
        <v>2.9569979204114953</v>
      </c>
      <c r="Y149" s="841" cm="1">
        <f t="array" ref="Y149">_xlfn.ANCHORARRAY(Y78) * $M$26</f>
        <v>3.1921344523787241</v>
      </c>
      <c r="Z149" s="841" cm="1">
        <f t="array" ref="Z149">_xlfn.ANCHORARRAY(Z78) * $M$26</f>
        <v>3.4459687278526099</v>
      </c>
      <c r="AA149" s="841" cm="1">
        <f t="array" ref="AA149">_xlfn.ANCHORARRAY(AA78) * $M$26</f>
        <v>3.7199875664664801</v>
      </c>
      <c r="AB149" s="841" cm="1">
        <f t="array" ref="AB149">_xlfn.ANCHORARRAY(AB78) * $M$26</f>
        <v>4.0157960177684728</v>
      </c>
      <c r="AC149" s="841" cm="1">
        <f t="array" ref="AC149">_xlfn.ANCHORARRAY(AC78) * $M$26</f>
        <v>4.3351267627067314</v>
      </c>
      <c r="AD149" s="841" cm="1">
        <f t="array" ref="AD149">_xlfn.ANCHORARRAY(AD78) * $M$26</f>
        <v>4.6798502627081549</v>
      </c>
      <c r="AE149" s="841" cm="1">
        <f t="array" ref="AE149">_xlfn.ANCHORARRAY(AE78) * $M$26</f>
        <v>5.0519857157983568</v>
      </c>
      <c r="AF149" s="862" cm="1">
        <f t="array" ref="AF149">_xlfn.ANCHORARRAY(AF78) * $M$26</f>
        <v>5.4537128839376887</v>
      </c>
      <c r="AG149" s="17"/>
      <c r="AH149" s="17"/>
      <c r="AI149" s="17"/>
      <c r="AJ149" s="17"/>
      <c r="AK149" s="17"/>
      <c r="AL149"/>
      <c r="AM149"/>
      <c r="AN149"/>
      <c r="AO149"/>
      <c r="AP149"/>
    </row>
    <row r="150" spans="2:42" s="7" customFormat="1" ht="21.95" customHeight="1" thickBot="1" x14ac:dyDescent="0.25">
      <c r="B150" s="211"/>
      <c r="C150" s="845" t="s">
        <v>25</v>
      </c>
      <c r="D150" s="845"/>
      <c r="E150" s="846">
        <f>E121 + E125 + E129 + E133 + E137 + E141 + E145 + E149</f>
        <v>9.1978292251341465</v>
      </c>
      <c r="F150" s="846">
        <f t="shared" ref="F150:AF150" si="55">F121 + F125 + F129 + F133 + F137 + F141 + F145 + F149</f>
        <v>8.8495338985107903</v>
      </c>
      <c r="G150" s="846">
        <f t="shared" si="55"/>
        <v>10.000371896099091</v>
      </c>
      <c r="H150" s="846">
        <f t="shared" si="55"/>
        <v>11.371593533440427</v>
      </c>
      <c r="I150" s="846">
        <f t="shared" si="55"/>
        <v>13.01338604947199</v>
      </c>
      <c r="J150" s="846">
        <f t="shared" si="55"/>
        <v>14.988071377922164</v>
      </c>
      <c r="K150" s="846">
        <f t="shared" si="55"/>
        <v>17.373099235514736</v>
      </c>
      <c r="L150" s="846">
        <f t="shared" si="55"/>
        <v>20.26478384366251</v>
      </c>
      <c r="M150" s="846">
        <f t="shared" si="55"/>
        <v>23.78296961730042</v>
      </c>
      <c r="N150" s="846">
        <f t="shared" si="55"/>
        <v>28.076857420054932</v>
      </c>
      <c r="O150" s="846">
        <f t="shared" si="55"/>
        <v>33.332280811450673</v>
      </c>
      <c r="P150" s="846">
        <f t="shared" si="55"/>
        <v>39.780793990144105</v>
      </c>
      <c r="Q150" s="846">
        <f t="shared" si="55"/>
        <v>47.711023481277714</v>
      </c>
      <c r="R150" s="846">
        <f t="shared" si="55"/>
        <v>57.482848544187092</v>
      </c>
      <c r="S150" s="846">
        <f t="shared" si="55"/>
        <v>69.545116437574976</v>
      </c>
      <c r="T150" s="846">
        <f t="shared" si="55"/>
        <v>84.457775135030445</v>
      </c>
      <c r="U150" s="846">
        <f t="shared" si="55"/>
        <v>102.91952666376974</v>
      </c>
      <c r="V150" s="846">
        <f t="shared" si="55"/>
        <v>125.80237998262675</v>
      </c>
      <c r="W150" s="846">
        <f t="shared" si="55"/>
        <v>154.19482702320835</v>
      </c>
      <c r="X150" s="846">
        <f t="shared" si="55"/>
        <v>189.45579644659551</v>
      </c>
      <c r="Y150" s="846">
        <f t="shared" si="55"/>
        <v>233.28207839184486</v>
      </c>
      <c r="Z150" s="846">
        <f t="shared" si="55"/>
        <v>287.79258698694321</v>
      </c>
      <c r="AA150" s="846">
        <f t="shared" si="55"/>
        <v>355.63366938518243</v>
      </c>
      <c r="AB150" s="846">
        <f t="shared" si="55"/>
        <v>440.11072275041585</v>
      </c>
      <c r="AC150" s="846">
        <f t="shared" si="55"/>
        <v>545.35269667037073</v>
      </c>
      <c r="AD150" s="846">
        <f t="shared" si="55"/>
        <v>676.51770385522002</v>
      </c>
      <c r="AE150" s="846">
        <f t="shared" si="55"/>
        <v>840.05001911132319</v>
      </c>
      <c r="AF150" s="863">
        <f t="shared" si="55"/>
        <v>1044.0013185380408</v>
      </c>
      <c r="AG150" s="17"/>
      <c r="AH150" s="17"/>
      <c r="AI150" s="17"/>
      <c r="AJ150" s="17"/>
      <c r="AK150" s="17"/>
      <c r="AL150"/>
      <c r="AM150"/>
      <c r="AN150"/>
      <c r="AO150"/>
      <c r="AP150"/>
    </row>
    <row r="151" spans="2:42" s="7" customFormat="1" ht="21.95" customHeight="1" x14ac:dyDescent="0.2">
      <c r="B151" s="199" t="s">
        <v>403</v>
      </c>
      <c r="C151" s="228" t="str">
        <f>C8</f>
        <v>US-412/SH-412B</v>
      </c>
      <c r="D151" s="116" t="s">
        <v>32</v>
      </c>
      <c r="E151" s="847" cm="1">
        <f t="array" ref="E151:AF151">_xlfn.ANCHORARRAY(E118) * costLife</f>
        <v>0</v>
      </c>
      <c r="F151" s="847">
        <v>0</v>
      </c>
      <c r="G151" s="847">
        <v>0</v>
      </c>
      <c r="H151" s="847">
        <v>0</v>
      </c>
      <c r="I151" s="847">
        <v>0</v>
      </c>
      <c r="J151" s="847">
        <v>0</v>
      </c>
      <c r="K151" s="847">
        <v>0</v>
      </c>
      <c r="L151" s="847">
        <v>0</v>
      </c>
      <c r="M151" s="847">
        <v>0</v>
      </c>
      <c r="N151" s="847">
        <v>0</v>
      </c>
      <c r="O151" s="847">
        <v>0</v>
      </c>
      <c r="P151" s="847">
        <v>0</v>
      </c>
      <c r="Q151" s="847">
        <v>0</v>
      </c>
      <c r="R151" s="847">
        <v>0</v>
      </c>
      <c r="S151" s="847">
        <v>0</v>
      </c>
      <c r="T151" s="847">
        <v>0</v>
      </c>
      <c r="U151" s="847">
        <v>0</v>
      </c>
      <c r="V151" s="847">
        <v>0</v>
      </c>
      <c r="W151" s="847">
        <v>0</v>
      </c>
      <c r="X151" s="847">
        <v>0</v>
      </c>
      <c r="Y151" s="847">
        <v>0</v>
      </c>
      <c r="Z151" s="847">
        <v>0</v>
      </c>
      <c r="AA151" s="847">
        <v>0</v>
      </c>
      <c r="AB151" s="847">
        <v>0</v>
      </c>
      <c r="AC151" s="847">
        <v>0</v>
      </c>
      <c r="AD151" s="847">
        <v>0</v>
      </c>
      <c r="AE151" s="847">
        <v>0</v>
      </c>
      <c r="AF151" s="848">
        <v>0</v>
      </c>
      <c r="AG151" s="22"/>
      <c r="AH151" s="22"/>
      <c r="AI151" s="22"/>
      <c r="AJ151" s="22"/>
      <c r="AK151" s="22"/>
      <c r="AL151"/>
      <c r="AM151"/>
      <c r="AN151"/>
      <c r="AO151"/>
      <c r="AP151"/>
    </row>
    <row r="152" spans="2:42" s="7" customFormat="1" ht="21.95" customHeight="1" x14ac:dyDescent="0.2">
      <c r="B152" s="232" t="s">
        <v>408</v>
      </c>
      <c r="C152" s="116" t="str">
        <f>C9</f>
        <v>(Interchange)</v>
      </c>
      <c r="D152" s="116" t="s">
        <v>33</v>
      </c>
      <c r="E152" s="847" cm="1">
        <f t="array" ref="E152:AF152">_xlfn.ANCHORARRAY(E119) * costInjury</f>
        <v>568814.4</v>
      </c>
      <c r="F152" s="847">
        <v>607851.08944560005</v>
      </c>
      <c r="G152" s="847">
        <v>649566.79532058747</v>
      </c>
      <c r="H152" s="847">
        <v>694145.37361098116</v>
      </c>
      <c r="I152" s="847">
        <v>741783.29800205119</v>
      </c>
      <c r="J152" s="847">
        <v>792690.52580788557</v>
      </c>
      <c r="K152" s="847">
        <v>847091.42332811665</v>
      </c>
      <c r="L152" s="847">
        <v>905225.75471018243</v>
      </c>
      <c r="M152" s="847">
        <v>967349.73867539177</v>
      </c>
      <c r="N152" s="847">
        <v>1033737.177766163</v>
      </c>
      <c r="O152" s="847">
        <v>1104680.6650914287</v>
      </c>
      <c r="P152" s="847">
        <v>1180492.8738887673</v>
      </c>
      <c r="Q152" s="847">
        <v>1261507.9355868178</v>
      </c>
      <c r="R152" s="847">
        <v>1348082.9124415924</v>
      </c>
      <c r="S152" s="847">
        <v>1440599.3712371194</v>
      </c>
      <c r="T152" s="847">
        <v>1539465.0649862755</v>
      </c>
      <c r="U152" s="847">
        <v>1645115.7300436643</v>
      </c>
      <c r="V152" s="847">
        <v>1758017.0065510557</v>
      </c>
      <c r="W152" s="847">
        <v>1878666.4906794757</v>
      </c>
      <c r="X152" s="847">
        <v>2007595.9277129085</v>
      </c>
      <c r="Y152" s="847">
        <v>2145373.5556393112</v>
      </c>
      <c r="Z152" s="847">
        <v>2292606.6095779845</v>
      </c>
      <c r="AA152" s="847">
        <v>2449943.9980812045</v>
      </c>
      <c r="AB152" s="847">
        <v>2618079.1631055204</v>
      </c>
      <c r="AC152" s="847">
        <v>2797753.1362576527</v>
      </c>
      <c r="AD152" s="847">
        <v>2989757.8047849322</v>
      </c>
      <c r="AE152" s="847">
        <v>3194939.4017046802</v>
      </c>
      <c r="AF152" s="848">
        <v>3414202.2354547684</v>
      </c>
      <c r="AG152" s="22"/>
      <c r="AH152" s="22"/>
      <c r="AI152" s="22"/>
      <c r="AJ152" s="22"/>
      <c r="AK152" s="22"/>
      <c r="AL152"/>
      <c r="AM152"/>
      <c r="AN152"/>
      <c r="AO152"/>
      <c r="AP152"/>
    </row>
    <row r="153" spans="2:42" s="7" customFormat="1" ht="21.95" customHeight="1" x14ac:dyDescent="0.2">
      <c r="B153" s="199"/>
      <c r="C153" s="116"/>
      <c r="D153" s="124" t="s">
        <v>30</v>
      </c>
      <c r="E153" s="849" cm="1">
        <f t="array" ref="E153:AF153">_xlfn.ANCHORARRAY(E120) * costPDO</f>
        <v>7257.6</v>
      </c>
      <c r="F153" s="849">
        <v>7755.6757823999988</v>
      </c>
      <c r="G153" s="849">
        <v>8287.9335926071763</v>
      </c>
      <c r="H153" s="849">
        <v>8856.719280522886</v>
      </c>
      <c r="I153" s="849">
        <v>9464.5396874264898</v>
      </c>
      <c r="J153" s="849">
        <v>10114.073694518474</v>
      </c>
      <c r="K153" s="849">
        <v>10808.184029704837</v>
      </c>
      <c r="L153" s="849">
        <v>11549.929884659425</v>
      </c>
      <c r="M153" s="849">
        <v>12342.580397772144</v>
      </c>
      <c r="N153" s="849">
        <v>13189.629062407183</v>
      </c>
      <c r="O153" s="849">
        <v>14094.809123973573</v>
      </c>
      <c r="P153" s="849">
        <v>15062.110033668481</v>
      </c>
      <c r="Q153" s="849">
        <v>16095.795031410753</v>
      </c>
      <c r="R153" s="849">
        <v>17200.419935458915</v>
      </c>
      <c r="S153" s="849">
        <v>18380.853221526242</v>
      </c>
      <c r="T153" s="849">
        <v>19642.297479888683</v>
      </c>
      <c r="U153" s="849">
        <v>20990.312345054728</v>
      </c>
      <c r="V153" s="849">
        <v>22430.838999056534</v>
      </c>
      <c r="W153" s="849">
        <v>23970.226356356947</v>
      </c>
      <c r="X153" s="849">
        <v>25615.259045778734</v>
      </c>
      <c r="Y153" s="849">
        <v>27373.187312782276</v>
      </c>
      <c r="Z153" s="849">
        <v>29251.758973881781</v>
      </c>
      <c r="AA153" s="849">
        <v>31259.253564034505</v>
      </c>
      <c r="AB153" s="849">
        <v>33404.518827502652</v>
      </c>
      <c r="AC153" s="849">
        <v>35697.009713016305</v>
      </c>
      <c r="AD153" s="849">
        <v>38146.830045102804</v>
      </c>
      <c r="AE153" s="849">
        <v>40764.777055243118</v>
      </c>
      <c r="AF153" s="864">
        <v>43562.388969119849</v>
      </c>
      <c r="AG153" s="22"/>
      <c r="AH153" s="22"/>
      <c r="AI153" s="22"/>
      <c r="AJ153" s="22"/>
      <c r="AK153" s="22"/>
      <c r="AL153"/>
      <c r="AM153"/>
      <c r="AN153"/>
      <c r="AO153"/>
      <c r="AP153"/>
    </row>
    <row r="154" spans="2:42" s="7" customFormat="1" ht="21.95" customHeight="1" x14ac:dyDescent="0.2">
      <c r="B154" s="199"/>
      <c r="C154" s="124"/>
      <c r="D154" s="720" t="s">
        <v>25</v>
      </c>
      <c r="E154" s="850" cm="1">
        <f t="array" ref="E154:AF154">_xlfn.ANCHORARRAY(E151) +_xlfn.ANCHORARRAY( E152) +_xlfn.ANCHORARRAY( E153)</f>
        <v>576072</v>
      </c>
      <c r="F154" s="850">
        <v>615606.765228</v>
      </c>
      <c r="G154" s="850">
        <v>657854.72891319462</v>
      </c>
      <c r="H154" s="850">
        <v>703002.09289150406</v>
      </c>
      <c r="I154" s="850">
        <v>751247.83768947772</v>
      </c>
      <c r="J154" s="850">
        <v>802804.59950240399</v>
      </c>
      <c r="K154" s="850">
        <v>857899.60735782154</v>
      </c>
      <c r="L154" s="850">
        <v>916775.68459484191</v>
      </c>
      <c r="M154" s="850">
        <v>979692.3190731639</v>
      </c>
      <c r="N154" s="850">
        <v>1046926.8068285702</v>
      </c>
      <c r="O154" s="850">
        <v>1118775.4742154023</v>
      </c>
      <c r="P154" s="850">
        <v>1195554.9839224359</v>
      </c>
      <c r="Q154" s="850">
        <v>1277603.7306182284</v>
      </c>
      <c r="R154" s="850">
        <v>1365283.3323770512</v>
      </c>
      <c r="S154" s="850">
        <v>1458980.2244586456</v>
      </c>
      <c r="T154" s="850">
        <v>1559107.3624661642</v>
      </c>
      <c r="U154" s="850">
        <v>1666106.042388719</v>
      </c>
      <c r="V154" s="850">
        <v>1780447.8455501122</v>
      </c>
      <c r="W154" s="850">
        <v>1902636.7170358326</v>
      </c>
      <c r="X154" s="850">
        <v>2033211.1867586873</v>
      </c>
      <c r="Y154" s="850">
        <v>2172746.7429520935</v>
      </c>
      <c r="Z154" s="850">
        <v>2321858.3685518662</v>
      </c>
      <c r="AA154" s="850">
        <v>2481203.2516452391</v>
      </c>
      <c r="AB154" s="850">
        <v>2651483.681933023</v>
      </c>
      <c r="AC154" s="850">
        <v>2833450.1459706691</v>
      </c>
      <c r="AD154" s="850">
        <v>3027904.6348300348</v>
      </c>
      <c r="AE154" s="850">
        <v>3235704.1787599232</v>
      </c>
      <c r="AF154" s="865">
        <v>3457764.624423888</v>
      </c>
      <c r="AG154" s="22"/>
      <c r="AH154" s="22"/>
      <c r="AI154" s="22"/>
      <c r="AJ154" s="22"/>
      <c r="AK154" s="22"/>
      <c r="AL154"/>
      <c r="AM154"/>
      <c r="AN154"/>
      <c r="AO154"/>
      <c r="AP154"/>
    </row>
    <row r="155" spans="2:42" s="7" customFormat="1" ht="21.95" customHeight="1" x14ac:dyDescent="0.2">
      <c r="B155" s="197"/>
      <c r="C155" s="228" t="str">
        <f>C11</f>
        <v>SH-412B South</v>
      </c>
      <c r="D155" s="116" t="s">
        <v>32</v>
      </c>
      <c r="E155" s="847" cm="1">
        <f t="array" ref="E155:AF155">_xlfn.ANCHORARRAY(E122) * costLife</f>
        <v>0</v>
      </c>
      <c r="F155" s="847">
        <v>0</v>
      </c>
      <c r="G155" s="847">
        <v>0</v>
      </c>
      <c r="H155" s="847">
        <v>0</v>
      </c>
      <c r="I155" s="847">
        <v>0</v>
      </c>
      <c r="J155" s="847">
        <v>0</v>
      </c>
      <c r="K155" s="847">
        <v>0</v>
      </c>
      <c r="L155" s="847">
        <v>0</v>
      </c>
      <c r="M155" s="847">
        <v>0</v>
      </c>
      <c r="N155" s="847">
        <v>0</v>
      </c>
      <c r="O155" s="847">
        <v>0</v>
      </c>
      <c r="P155" s="847">
        <v>0</v>
      </c>
      <c r="Q155" s="847">
        <v>0</v>
      </c>
      <c r="R155" s="847">
        <v>0</v>
      </c>
      <c r="S155" s="847">
        <v>0</v>
      </c>
      <c r="T155" s="847">
        <v>0</v>
      </c>
      <c r="U155" s="847">
        <v>0</v>
      </c>
      <c r="V155" s="847">
        <v>0</v>
      </c>
      <c r="W155" s="847">
        <v>0</v>
      </c>
      <c r="X155" s="847">
        <v>0</v>
      </c>
      <c r="Y155" s="847">
        <v>0</v>
      </c>
      <c r="Z155" s="847">
        <v>0</v>
      </c>
      <c r="AA155" s="847">
        <v>0</v>
      </c>
      <c r="AB155" s="847">
        <v>0</v>
      </c>
      <c r="AC155" s="847">
        <v>0</v>
      </c>
      <c r="AD155" s="847">
        <v>0</v>
      </c>
      <c r="AE155" s="847">
        <v>0</v>
      </c>
      <c r="AF155" s="848">
        <v>0</v>
      </c>
      <c r="AG155" s="22"/>
      <c r="AH155" s="22"/>
      <c r="AI155" s="22"/>
      <c r="AJ155" s="22"/>
      <c r="AK155" s="22"/>
      <c r="AL155"/>
      <c r="AM155"/>
      <c r="AN155"/>
      <c r="AO155"/>
      <c r="AP155"/>
    </row>
    <row r="156" spans="2:42" s="7" customFormat="1" ht="21.95" customHeight="1" x14ac:dyDescent="0.2">
      <c r="B156" s="197"/>
      <c r="C156" s="116" t="str">
        <f>C12</f>
        <v>(Widening)</v>
      </c>
      <c r="D156" s="116" t="s">
        <v>33</v>
      </c>
      <c r="E156" s="847" cm="1">
        <f t="array" ref="E156:AF156">_xlfn.ANCHORARRAY(E123) * costInjury</f>
        <v>63564.64377984</v>
      </c>
      <c r="F156" s="847">
        <v>73017.825047632723</v>
      </c>
      <c r="G156" s="847">
        <v>83876.86074593653</v>
      </c>
      <c r="H156" s="847">
        <v>96350.826171606444</v>
      </c>
      <c r="I156" s="847">
        <v>110679.88979786489</v>
      </c>
      <c r="J156" s="847">
        <v>127139.93737686782</v>
      </c>
      <c r="K156" s="847">
        <v>146047.88372770589</v>
      </c>
      <c r="L156" s="847">
        <v>167767.77448076938</v>
      </c>
      <c r="M156" s="847">
        <v>192717.7952588906</v>
      </c>
      <c r="N156" s="847">
        <v>221378.32324708416</v>
      </c>
      <c r="O156" s="847">
        <v>254301.17617241474</v>
      </c>
      <c r="P156" s="847">
        <v>292120.23676995339</v>
      </c>
      <c r="Q156" s="847">
        <v>335563.65729381255</v>
      </c>
      <c r="R156" s="847">
        <v>385467.87905377074</v>
      </c>
      <c r="S156" s="847">
        <v>442793.73690373776</v>
      </c>
      <c r="T156" s="847">
        <v>508644.95875109301</v>
      </c>
      <c r="U156" s="847">
        <v>584289.4162686544</v>
      </c>
      <c r="V156" s="847">
        <v>671183.53596152971</v>
      </c>
      <c r="W156" s="847">
        <v>771000.34058924182</v>
      </c>
      <c r="X156" s="847">
        <v>885661.66084085661</v>
      </c>
      <c r="Y156" s="847">
        <v>1017375.1374531225</v>
      </c>
      <c r="Z156" s="847">
        <v>1168676.7261948206</v>
      </c>
      <c r="AA156" s="847">
        <v>1342479.5240903713</v>
      </c>
      <c r="AB156" s="847">
        <v>1542129.8569622338</v>
      </c>
      <c r="AC156" s="847">
        <v>1771471.7081780003</v>
      </c>
      <c r="AD156" s="847">
        <v>2034920.7290861325</v>
      </c>
      <c r="AE156" s="847">
        <v>2337549.2561060721</v>
      </c>
      <c r="AF156" s="848">
        <v>2685183.9713559514</v>
      </c>
      <c r="AG156" s="22"/>
      <c r="AH156" s="22"/>
      <c r="AI156" s="22"/>
      <c r="AJ156" s="22"/>
      <c r="AK156" s="22"/>
      <c r="AL156"/>
      <c r="AM156"/>
      <c r="AN156"/>
      <c r="AO156"/>
      <c r="AP156"/>
    </row>
    <row r="157" spans="2:42" s="7" customFormat="1" ht="21.95" customHeight="1" x14ac:dyDescent="0.2">
      <c r="B157" s="199"/>
      <c r="C157" s="116"/>
      <c r="D157" s="124" t="s">
        <v>30</v>
      </c>
      <c r="E157" s="849" cm="1">
        <f t="array" ref="E157:AF157">_xlfn.ANCHORARRAY(E124) * costPDO</f>
        <v>0</v>
      </c>
      <c r="F157" s="849">
        <v>0</v>
      </c>
      <c r="G157" s="849">
        <v>0</v>
      </c>
      <c r="H157" s="849">
        <v>0</v>
      </c>
      <c r="I157" s="849">
        <v>0</v>
      </c>
      <c r="J157" s="849">
        <v>0</v>
      </c>
      <c r="K157" s="849">
        <v>0</v>
      </c>
      <c r="L157" s="849">
        <v>0</v>
      </c>
      <c r="M157" s="849">
        <v>0</v>
      </c>
      <c r="N157" s="849">
        <v>0</v>
      </c>
      <c r="O157" s="849">
        <v>0</v>
      </c>
      <c r="P157" s="849">
        <v>0</v>
      </c>
      <c r="Q157" s="849">
        <v>0</v>
      </c>
      <c r="R157" s="849">
        <v>0</v>
      </c>
      <c r="S157" s="849">
        <v>0</v>
      </c>
      <c r="T157" s="849">
        <v>0</v>
      </c>
      <c r="U157" s="849">
        <v>0</v>
      </c>
      <c r="V157" s="849">
        <v>0</v>
      </c>
      <c r="W157" s="849">
        <v>0</v>
      </c>
      <c r="X157" s="849">
        <v>0</v>
      </c>
      <c r="Y157" s="849">
        <v>0</v>
      </c>
      <c r="Z157" s="849">
        <v>0</v>
      </c>
      <c r="AA157" s="849">
        <v>0</v>
      </c>
      <c r="AB157" s="849">
        <v>0</v>
      </c>
      <c r="AC157" s="849">
        <v>0</v>
      </c>
      <c r="AD157" s="849">
        <v>0</v>
      </c>
      <c r="AE157" s="849">
        <v>0</v>
      </c>
      <c r="AF157" s="864">
        <v>0</v>
      </c>
      <c r="AG157" s="22"/>
      <c r="AH157" s="22"/>
      <c r="AI157" s="22"/>
      <c r="AJ157" s="22"/>
      <c r="AK157" s="22"/>
      <c r="AL157"/>
      <c r="AM157"/>
      <c r="AN157"/>
      <c r="AO157"/>
      <c r="AP157"/>
    </row>
    <row r="158" spans="2:42" s="7" customFormat="1" ht="21.95" customHeight="1" x14ac:dyDescent="0.2">
      <c r="B158" s="199"/>
      <c r="C158" s="116"/>
      <c r="D158" s="240" t="s">
        <v>25</v>
      </c>
      <c r="E158" s="853" cm="1">
        <f t="array" ref="E158:AF158">_xlfn.ANCHORARRAY(E155) +_xlfn.ANCHORARRAY( E156) +_xlfn.ANCHORARRAY( E157)</f>
        <v>63564.64377984</v>
      </c>
      <c r="F158" s="853">
        <v>73017.825047632723</v>
      </c>
      <c r="G158" s="853">
        <v>83876.86074593653</v>
      </c>
      <c r="H158" s="853">
        <v>96350.826171606444</v>
      </c>
      <c r="I158" s="853">
        <v>110679.88979786489</v>
      </c>
      <c r="J158" s="853">
        <v>127139.93737686782</v>
      </c>
      <c r="K158" s="853">
        <v>146047.88372770589</v>
      </c>
      <c r="L158" s="853">
        <v>167767.77448076938</v>
      </c>
      <c r="M158" s="853">
        <v>192717.7952588906</v>
      </c>
      <c r="N158" s="853">
        <v>221378.32324708416</v>
      </c>
      <c r="O158" s="853">
        <v>254301.17617241474</v>
      </c>
      <c r="P158" s="853">
        <v>292120.23676995339</v>
      </c>
      <c r="Q158" s="853">
        <v>335563.65729381255</v>
      </c>
      <c r="R158" s="853">
        <v>385467.87905377074</v>
      </c>
      <c r="S158" s="853">
        <v>442793.73690373776</v>
      </c>
      <c r="T158" s="853">
        <v>508644.95875109301</v>
      </c>
      <c r="U158" s="853">
        <v>584289.4162686544</v>
      </c>
      <c r="V158" s="853">
        <v>671183.53596152971</v>
      </c>
      <c r="W158" s="853">
        <v>771000.34058924182</v>
      </c>
      <c r="X158" s="853">
        <v>885661.66084085661</v>
      </c>
      <c r="Y158" s="853">
        <v>1017375.1374531225</v>
      </c>
      <c r="Z158" s="853">
        <v>1168676.7261948206</v>
      </c>
      <c r="AA158" s="853">
        <v>1342479.5240903713</v>
      </c>
      <c r="AB158" s="853">
        <v>1542129.8569622338</v>
      </c>
      <c r="AC158" s="853">
        <v>1771471.7081780003</v>
      </c>
      <c r="AD158" s="853">
        <v>2034920.7290861325</v>
      </c>
      <c r="AE158" s="853">
        <v>2337549.2561060721</v>
      </c>
      <c r="AF158" s="866">
        <v>2685183.9713559514</v>
      </c>
      <c r="AG158" s="22"/>
      <c r="AH158" s="22"/>
      <c r="AI158" s="22"/>
      <c r="AJ158" s="22"/>
      <c r="AK158" s="22"/>
      <c r="AL158"/>
      <c r="AM158"/>
      <c r="AN158"/>
      <c r="AO158"/>
      <c r="AP158"/>
    </row>
    <row r="159" spans="2:42" s="7" customFormat="1" ht="21.95" customHeight="1" x14ac:dyDescent="0.2">
      <c r="B159" s="199"/>
      <c r="C159" s="229" t="str">
        <f>C14</f>
        <v>SH-412B</v>
      </c>
      <c r="D159" s="220" t="s">
        <v>32</v>
      </c>
      <c r="E159" s="854" cm="1">
        <f t="array" ref="E159:AF159">_xlfn.ANCHORARRAY(E126) * costLife</f>
        <v>0</v>
      </c>
      <c r="F159" s="854">
        <v>0</v>
      </c>
      <c r="G159" s="854">
        <v>0</v>
      </c>
      <c r="H159" s="854">
        <v>0</v>
      </c>
      <c r="I159" s="854">
        <v>0</v>
      </c>
      <c r="J159" s="854">
        <v>0</v>
      </c>
      <c r="K159" s="854">
        <v>0</v>
      </c>
      <c r="L159" s="854">
        <v>0</v>
      </c>
      <c r="M159" s="854">
        <v>0</v>
      </c>
      <c r="N159" s="854">
        <v>0</v>
      </c>
      <c r="O159" s="854">
        <v>0</v>
      </c>
      <c r="P159" s="854">
        <v>0</v>
      </c>
      <c r="Q159" s="854">
        <v>0</v>
      </c>
      <c r="R159" s="854">
        <v>0</v>
      </c>
      <c r="S159" s="854">
        <v>0</v>
      </c>
      <c r="T159" s="854">
        <v>0</v>
      </c>
      <c r="U159" s="854">
        <v>0</v>
      </c>
      <c r="V159" s="854">
        <v>0</v>
      </c>
      <c r="W159" s="854">
        <v>0</v>
      </c>
      <c r="X159" s="854">
        <v>0</v>
      </c>
      <c r="Y159" s="854">
        <v>0</v>
      </c>
      <c r="Z159" s="854">
        <v>0</v>
      </c>
      <c r="AA159" s="854">
        <v>0</v>
      </c>
      <c r="AB159" s="854">
        <v>0</v>
      </c>
      <c r="AC159" s="854">
        <v>0</v>
      </c>
      <c r="AD159" s="854">
        <v>0</v>
      </c>
      <c r="AE159" s="854">
        <v>0</v>
      </c>
      <c r="AF159" s="867">
        <v>0</v>
      </c>
      <c r="AG159" s="22"/>
      <c r="AH159" s="22"/>
      <c r="AI159" s="22"/>
      <c r="AJ159" s="22"/>
      <c r="AK159" s="22"/>
      <c r="AL159"/>
      <c r="AM159"/>
      <c r="AN159"/>
      <c r="AO159"/>
      <c r="AP159"/>
    </row>
    <row r="160" spans="2:42" s="7" customFormat="1" ht="21.95" customHeight="1" x14ac:dyDescent="0.2">
      <c r="B160" s="199"/>
      <c r="C160" s="116" t="str">
        <f>C15</f>
        <v>(Roundabout)</v>
      </c>
      <c r="D160" s="116" t="s">
        <v>33</v>
      </c>
      <c r="E160" s="847" cm="1">
        <f t="array" ref="E160:AF160">_xlfn.ANCHORARRAY(E127) * costInjury</f>
        <v>0</v>
      </c>
      <c r="F160" s="847">
        <v>0</v>
      </c>
      <c r="G160" s="847">
        <v>0</v>
      </c>
      <c r="H160" s="847">
        <v>0</v>
      </c>
      <c r="I160" s="847">
        <v>0</v>
      </c>
      <c r="J160" s="847">
        <v>0</v>
      </c>
      <c r="K160" s="847">
        <v>0</v>
      </c>
      <c r="L160" s="847">
        <v>0</v>
      </c>
      <c r="M160" s="847">
        <v>0</v>
      </c>
      <c r="N160" s="847">
        <v>0</v>
      </c>
      <c r="O160" s="847">
        <v>0</v>
      </c>
      <c r="P160" s="847">
        <v>0</v>
      </c>
      <c r="Q160" s="847">
        <v>0</v>
      </c>
      <c r="R160" s="847">
        <v>0</v>
      </c>
      <c r="S160" s="847">
        <v>0</v>
      </c>
      <c r="T160" s="847">
        <v>0</v>
      </c>
      <c r="U160" s="847">
        <v>0</v>
      </c>
      <c r="V160" s="847">
        <v>0</v>
      </c>
      <c r="W160" s="847">
        <v>0</v>
      </c>
      <c r="X160" s="847">
        <v>0</v>
      </c>
      <c r="Y160" s="847">
        <v>0</v>
      </c>
      <c r="Z160" s="847">
        <v>0</v>
      </c>
      <c r="AA160" s="847">
        <v>0</v>
      </c>
      <c r="AB160" s="847">
        <v>0</v>
      </c>
      <c r="AC160" s="847">
        <v>0</v>
      </c>
      <c r="AD160" s="847">
        <v>0</v>
      </c>
      <c r="AE160" s="847">
        <v>0</v>
      </c>
      <c r="AF160" s="848">
        <v>0</v>
      </c>
      <c r="AG160" s="22"/>
      <c r="AH160" s="22"/>
      <c r="AI160" s="22"/>
      <c r="AJ160" s="22"/>
      <c r="AK160" s="22"/>
      <c r="AL160"/>
      <c r="AM160"/>
      <c r="AN160"/>
      <c r="AO160"/>
      <c r="AP160"/>
    </row>
    <row r="161" spans="2:42" s="7" customFormat="1" ht="21.95" customHeight="1" x14ac:dyDescent="0.2">
      <c r="B161" s="199"/>
      <c r="C161" s="116"/>
      <c r="D161" s="124" t="s">
        <v>30</v>
      </c>
      <c r="E161" s="849" cm="1">
        <f t="array" ref="E161:AF161">_xlfn.ANCHORARRAY(E128) * costPDO</f>
        <v>0</v>
      </c>
      <c r="F161" s="849">
        <v>0</v>
      </c>
      <c r="G161" s="849">
        <v>0</v>
      </c>
      <c r="H161" s="849">
        <v>0</v>
      </c>
      <c r="I161" s="849">
        <v>0</v>
      </c>
      <c r="J161" s="849">
        <v>0</v>
      </c>
      <c r="K161" s="849">
        <v>0</v>
      </c>
      <c r="L161" s="849">
        <v>0</v>
      </c>
      <c r="M161" s="849">
        <v>0</v>
      </c>
      <c r="N161" s="849">
        <v>0</v>
      </c>
      <c r="O161" s="849">
        <v>0</v>
      </c>
      <c r="P161" s="849">
        <v>0</v>
      </c>
      <c r="Q161" s="849">
        <v>0</v>
      </c>
      <c r="R161" s="849">
        <v>0</v>
      </c>
      <c r="S161" s="849">
        <v>0</v>
      </c>
      <c r="T161" s="849">
        <v>0</v>
      </c>
      <c r="U161" s="849">
        <v>0</v>
      </c>
      <c r="V161" s="849">
        <v>0</v>
      </c>
      <c r="W161" s="849">
        <v>0</v>
      </c>
      <c r="X161" s="849">
        <v>0</v>
      </c>
      <c r="Y161" s="849">
        <v>0</v>
      </c>
      <c r="Z161" s="849">
        <v>0</v>
      </c>
      <c r="AA161" s="849">
        <v>0</v>
      </c>
      <c r="AB161" s="849">
        <v>0</v>
      </c>
      <c r="AC161" s="849">
        <v>0</v>
      </c>
      <c r="AD161" s="849">
        <v>0</v>
      </c>
      <c r="AE161" s="849">
        <v>0</v>
      </c>
      <c r="AF161" s="864">
        <v>0</v>
      </c>
      <c r="AG161" s="22"/>
      <c r="AH161" s="22"/>
      <c r="AI161" s="22"/>
      <c r="AJ161" s="22"/>
      <c r="AK161" s="22"/>
      <c r="AL161"/>
      <c r="AM161"/>
      <c r="AN161"/>
      <c r="AO161"/>
      <c r="AP161"/>
    </row>
    <row r="162" spans="2:42" s="7" customFormat="1" ht="21.95" customHeight="1" x14ac:dyDescent="0.2">
      <c r="B162" s="199"/>
      <c r="C162" s="116"/>
      <c r="D162" s="240" t="s">
        <v>25</v>
      </c>
      <c r="E162" s="853" cm="1">
        <f t="array" ref="E162:AF162">_xlfn.ANCHORARRAY(E159) +_xlfn.ANCHORARRAY( E160) +_xlfn.ANCHORARRAY( E161)</f>
        <v>0</v>
      </c>
      <c r="F162" s="853">
        <v>0</v>
      </c>
      <c r="G162" s="853">
        <v>0</v>
      </c>
      <c r="H162" s="853">
        <v>0</v>
      </c>
      <c r="I162" s="853">
        <v>0</v>
      </c>
      <c r="J162" s="853">
        <v>0</v>
      </c>
      <c r="K162" s="853">
        <v>0</v>
      </c>
      <c r="L162" s="853">
        <v>0</v>
      </c>
      <c r="M162" s="853">
        <v>0</v>
      </c>
      <c r="N162" s="853">
        <v>0</v>
      </c>
      <c r="O162" s="853">
        <v>0</v>
      </c>
      <c r="P162" s="853">
        <v>0</v>
      </c>
      <c r="Q162" s="853">
        <v>0</v>
      </c>
      <c r="R162" s="853">
        <v>0</v>
      </c>
      <c r="S162" s="853">
        <v>0</v>
      </c>
      <c r="T162" s="853">
        <v>0</v>
      </c>
      <c r="U162" s="853">
        <v>0</v>
      </c>
      <c r="V162" s="853">
        <v>0</v>
      </c>
      <c r="W162" s="853">
        <v>0</v>
      </c>
      <c r="X162" s="853">
        <v>0</v>
      </c>
      <c r="Y162" s="853">
        <v>0</v>
      </c>
      <c r="Z162" s="853">
        <v>0</v>
      </c>
      <c r="AA162" s="853">
        <v>0</v>
      </c>
      <c r="AB162" s="853">
        <v>0</v>
      </c>
      <c r="AC162" s="853">
        <v>0</v>
      </c>
      <c r="AD162" s="853">
        <v>0</v>
      </c>
      <c r="AE162" s="853">
        <v>0</v>
      </c>
      <c r="AF162" s="866">
        <v>0</v>
      </c>
      <c r="AG162" s="22"/>
      <c r="AH162" s="22"/>
      <c r="AI162" s="22"/>
      <c r="AJ162" s="22"/>
      <c r="AK162" s="22"/>
      <c r="AL162"/>
      <c r="AM162"/>
      <c r="AN162"/>
      <c r="AO162"/>
      <c r="AP162"/>
    </row>
    <row r="163" spans="2:42" s="7" customFormat="1" ht="21.95" customHeight="1" x14ac:dyDescent="0.2">
      <c r="B163" s="199"/>
      <c r="C163" s="229" t="str">
        <f>C17</f>
        <v>Patrol Rd</v>
      </c>
      <c r="D163" s="220" t="s">
        <v>32</v>
      </c>
      <c r="E163" s="854" cm="1">
        <f t="array" ref="E163:AF163">_xlfn.ANCHORARRAY(E130) * costLife</f>
        <v>0</v>
      </c>
      <c r="F163" s="854">
        <v>0</v>
      </c>
      <c r="G163" s="854">
        <v>0</v>
      </c>
      <c r="H163" s="854">
        <v>0</v>
      </c>
      <c r="I163" s="854">
        <v>0</v>
      </c>
      <c r="J163" s="854">
        <v>0</v>
      </c>
      <c r="K163" s="854">
        <v>0</v>
      </c>
      <c r="L163" s="854">
        <v>0</v>
      </c>
      <c r="M163" s="854">
        <v>0</v>
      </c>
      <c r="N163" s="854">
        <v>0</v>
      </c>
      <c r="O163" s="854">
        <v>0</v>
      </c>
      <c r="P163" s="854">
        <v>0</v>
      </c>
      <c r="Q163" s="854">
        <v>0</v>
      </c>
      <c r="R163" s="854">
        <v>0</v>
      </c>
      <c r="S163" s="854">
        <v>0</v>
      </c>
      <c r="T163" s="854">
        <v>0</v>
      </c>
      <c r="U163" s="854">
        <v>0</v>
      </c>
      <c r="V163" s="854">
        <v>0</v>
      </c>
      <c r="W163" s="854">
        <v>0</v>
      </c>
      <c r="X163" s="854">
        <v>0</v>
      </c>
      <c r="Y163" s="854">
        <v>0</v>
      </c>
      <c r="Z163" s="854">
        <v>0</v>
      </c>
      <c r="AA163" s="854">
        <v>0</v>
      </c>
      <c r="AB163" s="854">
        <v>0</v>
      </c>
      <c r="AC163" s="854">
        <v>0</v>
      </c>
      <c r="AD163" s="854">
        <v>0</v>
      </c>
      <c r="AE163" s="854">
        <v>0</v>
      </c>
      <c r="AF163" s="867">
        <v>0</v>
      </c>
      <c r="AG163" s="22"/>
      <c r="AH163" s="22"/>
      <c r="AI163" s="22"/>
      <c r="AJ163" s="22"/>
      <c r="AK163" s="22"/>
      <c r="AL163"/>
      <c r="AM163"/>
      <c r="AN163"/>
      <c r="AO163"/>
      <c r="AP163"/>
    </row>
    <row r="164" spans="2:42" s="7" customFormat="1" ht="21.95" customHeight="1" x14ac:dyDescent="0.2">
      <c r="B164" s="199"/>
      <c r="C164" s="116"/>
      <c r="D164" s="116" t="s">
        <v>33</v>
      </c>
      <c r="E164" s="847" cm="1">
        <f t="array" ref="E164:AF164">_xlfn.ANCHORARRAY(E131) * costInjury</f>
        <v>50330.351716449622</v>
      </c>
      <c r="F164" s="847">
        <v>60396.422059739547</v>
      </c>
      <c r="G164" s="847">
        <v>72475.706471687445</v>
      </c>
      <c r="H164" s="847">
        <v>86970.847766024948</v>
      </c>
      <c r="I164" s="847">
        <v>104365.01731922993</v>
      </c>
      <c r="J164" s="847">
        <v>125238.02078307592</v>
      </c>
      <c r="K164" s="847">
        <v>150285.6249396911</v>
      </c>
      <c r="L164" s="847">
        <v>180342.74992762931</v>
      </c>
      <c r="M164" s="847">
        <v>216411.29991315518</v>
      </c>
      <c r="N164" s="847">
        <v>259693.55989578619</v>
      </c>
      <c r="O164" s="847">
        <v>311632.2718749434</v>
      </c>
      <c r="P164" s="847">
        <v>373958.72624993214</v>
      </c>
      <c r="Q164" s="847">
        <v>448750.47149991849</v>
      </c>
      <c r="R164" s="847">
        <v>538500.56579990219</v>
      </c>
      <c r="S164" s="847">
        <v>646200.67895988259</v>
      </c>
      <c r="T164" s="847">
        <v>775440.81475185929</v>
      </c>
      <c r="U164" s="847">
        <v>930528.97770223091</v>
      </c>
      <c r="V164" s="847">
        <v>1116634.7732426769</v>
      </c>
      <c r="W164" s="847">
        <v>1339961.7278912126</v>
      </c>
      <c r="X164" s="847">
        <v>1607954.0734694549</v>
      </c>
      <c r="Y164" s="847">
        <v>1929544.8881633461</v>
      </c>
      <c r="Z164" s="847">
        <v>2315453.8657960147</v>
      </c>
      <c r="AA164" s="847">
        <v>2778544.6389552173</v>
      </c>
      <c r="AB164" s="847">
        <v>3334253.5667462614</v>
      </c>
      <c r="AC164" s="847">
        <v>4001104.2800955134</v>
      </c>
      <c r="AD164" s="847">
        <v>4801325.1361146169</v>
      </c>
      <c r="AE164" s="847">
        <v>5761590.1633375399</v>
      </c>
      <c r="AF164" s="848">
        <v>6913908.1960050473</v>
      </c>
      <c r="AG164" s="22"/>
      <c r="AH164" s="22"/>
      <c r="AI164" s="22"/>
      <c r="AJ164" s="22"/>
      <c r="AK164" s="22"/>
      <c r="AL164"/>
      <c r="AM164"/>
      <c r="AN164"/>
      <c r="AO164"/>
      <c r="AP164"/>
    </row>
    <row r="165" spans="2:42" s="7" customFormat="1" ht="21.95" customHeight="1" x14ac:dyDescent="0.2">
      <c r="B165" s="199"/>
      <c r="C165" s="116"/>
      <c r="D165" s="124" t="s">
        <v>30</v>
      </c>
      <c r="E165" s="849" cm="1">
        <f t="array" ref="E165:AF165">_xlfn.ANCHORARRAY(E132) * costPDO</f>
        <v>0</v>
      </c>
      <c r="F165" s="849">
        <v>0</v>
      </c>
      <c r="G165" s="849">
        <v>0</v>
      </c>
      <c r="H165" s="849">
        <v>0</v>
      </c>
      <c r="I165" s="849">
        <v>0</v>
      </c>
      <c r="J165" s="849">
        <v>0</v>
      </c>
      <c r="K165" s="849">
        <v>0</v>
      </c>
      <c r="L165" s="849">
        <v>0</v>
      </c>
      <c r="M165" s="849">
        <v>0</v>
      </c>
      <c r="N165" s="849">
        <v>0</v>
      </c>
      <c r="O165" s="849">
        <v>0</v>
      </c>
      <c r="P165" s="849">
        <v>0</v>
      </c>
      <c r="Q165" s="849">
        <v>0</v>
      </c>
      <c r="R165" s="849">
        <v>0</v>
      </c>
      <c r="S165" s="849">
        <v>0</v>
      </c>
      <c r="T165" s="849">
        <v>0</v>
      </c>
      <c r="U165" s="849">
        <v>0</v>
      </c>
      <c r="V165" s="849">
        <v>0</v>
      </c>
      <c r="W165" s="849">
        <v>0</v>
      </c>
      <c r="X165" s="849">
        <v>0</v>
      </c>
      <c r="Y165" s="849">
        <v>0</v>
      </c>
      <c r="Z165" s="849">
        <v>0</v>
      </c>
      <c r="AA165" s="849">
        <v>0</v>
      </c>
      <c r="AB165" s="849">
        <v>0</v>
      </c>
      <c r="AC165" s="849">
        <v>0</v>
      </c>
      <c r="AD165" s="849">
        <v>0</v>
      </c>
      <c r="AE165" s="849">
        <v>0</v>
      </c>
      <c r="AF165" s="864">
        <v>0</v>
      </c>
      <c r="AG165" s="22"/>
      <c r="AH165" s="22"/>
      <c r="AI165" s="22"/>
      <c r="AJ165" s="22"/>
      <c r="AK165" s="22"/>
      <c r="AL165"/>
      <c r="AM165"/>
      <c r="AN165"/>
      <c r="AO165"/>
      <c r="AP165"/>
    </row>
    <row r="166" spans="2:42" s="7" customFormat="1" ht="21.95" customHeight="1" x14ac:dyDescent="0.2">
      <c r="B166" s="199"/>
      <c r="C166" s="116"/>
      <c r="D166" s="240" t="s">
        <v>25</v>
      </c>
      <c r="E166" s="853" cm="1">
        <f t="array" ref="E166:AF166">_xlfn.ANCHORARRAY(E163) +_xlfn.ANCHORARRAY( E164) +_xlfn.ANCHORARRAY( E165)</f>
        <v>50330.351716449622</v>
      </c>
      <c r="F166" s="853">
        <v>60396.422059739547</v>
      </c>
      <c r="G166" s="853">
        <v>72475.706471687445</v>
      </c>
      <c r="H166" s="853">
        <v>86970.847766024948</v>
      </c>
      <c r="I166" s="853">
        <v>104365.01731922993</v>
      </c>
      <c r="J166" s="853">
        <v>125238.02078307592</v>
      </c>
      <c r="K166" s="853">
        <v>150285.6249396911</v>
      </c>
      <c r="L166" s="853">
        <v>180342.74992762931</v>
      </c>
      <c r="M166" s="853">
        <v>216411.29991315518</v>
      </c>
      <c r="N166" s="853">
        <v>259693.55989578619</v>
      </c>
      <c r="O166" s="853">
        <v>311632.2718749434</v>
      </c>
      <c r="P166" s="853">
        <v>373958.72624993214</v>
      </c>
      <c r="Q166" s="853">
        <v>448750.47149991849</v>
      </c>
      <c r="R166" s="853">
        <v>538500.56579990219</v>
      </c>
      <c r="S166" s="853">
        <v>646200.67895988259</v>
      </c>
      <c r="T166" s="853">
        <v>775440.81475185929</v>
      </c>
      <c r="U166" s="853">
        <v>930528.97770223091</v>
      </c>
      <c r="V166" s="853">
        <v>1116634.7732426769</v>
      </c>
      <c r="W166" s="853">
        <v>1339961.7278912126</v>
      </c>
      <c r="X166" s="853">
        <v>1607954.0734694549</v>
      </c>
      <c r="Y166" s="853">
        <v>1929544.8881633461</v>
      </c>
      <c r="Z166" s="853">
        <v>2315453.8657960147</v>
      </c>
      <c r="AA166" s="853">
        <v>2778544.6389552173</v>
      </c>
      <c r="AB166" s="853">
        <v>3334253.5667462614</v>
      </c>
      <c r="AC166" s="853">
        <v>4001104.2800955134</v>
      </c>
      <c r="AD166" s="853">
        <v>4801325.1361146169</v>
      </c>
      <c r="AE166" s="853">
        <v>5761590.1633375399</v>
      </c>
      <c r="AF166" s="866">
        <v>6913908.1960050473</v>
      </c>
      <c r="AG166" s="22"/>
      <c r="AH166" s="22"/>
      <c r="AI166" s="22"/>
      <c r="AJ166" s="22"/>
      <c r="AK166" s="22"/>
      <c r="AL166"/>
      <c r="AM166"/>
      <c r="AN166"/>
      <c r="AO166"/>
      <c r="AP166"/>
    </row>
    <row r="167" spans="2:42" s="7" customFormat="1" ht="21.95" customHeight="1" x14ac:dyDescent="0.2">
      <c r="B167" s="199"/>
      <c r="C167" s="229" t="str">
        <f>C20</f>
        <v>Williams St</v>
      </c>
      <c r="D167" s="220" t="s">
        <v>32</v>
      </c>
      <c r="E167" s="854" cm="1">
        <f t="array" ref="E167:AF167">_xlfn.ANCHORARRAY(E134) * costLife</f>
        <v>0</v>
      </c>
      <c r="F167" s="854">
        <v>0</v>
      </c>
      <c r="G167" s="854">
        <v>0</v>
      </c>
      <c r="H167" s="854">
        <v>0</v>
      </c>
      <c r="I167" s="854">
        <v>0</v>
      </c>
      <c r="J167" s="854">
        <v>0</v>
      </c>
      <c r="K167" s="854">
        <v>0</v>
      </c>
      <c r="L167" s="854">
        <v>0</v>
      </c>
      <c r="M167" s="854">
        <v>0</v>
      </c>
      <c r="N167" s="854">
        <v>0</v>
      </c>
      <c r="O167" s="854">
        <v>0</v>
      </c>
      <c r="P167" s="854">
        <v>0</v>
      </c>
      <c r="Q167" s="854">
        <v>0</v>
      </c>
      <c r="R167" s="854">
        <v>0</v>
      </c>
      <c r="S167" s="854">
        <v>0</v>
      </c>
      <c r="T167" s="854">
        <v>0</v>
      </c>
      <c r="U167" s="854">
        <v>0</v>
      </c>
      <c r="V167" s="854">
        <v>0</v>
      </c>
      <c r="W167" s="854">
        <v>0</v>
      </c>
      <c r="X167" s="854">
        <v>0</v>
      </c>
      <c r="Y167" s="854">
        <v>0</v>
      </c>
      <c r="Z167" s="854">
        <v>0</v>
      </c>
      <c r="AA167" s="854">
        <v>0</v>
      </c>
      <c r="AB167" s="854">
        <v>0</v>
      </c>
      <c r="AC167" s="854">
        <v>0</v>
      </c>
      <c r="AD167" s="854">
        <v>0</v>
      </c>
      <c r="AE167" s="854">
        <v>0</v>
      </c>
      <c r="AF167" s="867">
        <v>0</v>
      </c>
      <c r="AG167" s="22"/>
      <c r="AH167" s="22"/>
      <c r="AI167" s="22"/>
      <c r="AJ167" s="22"/>
      <c r="AK167" s="22"/>
      <c r="AL167"/>
      <c r="AM167"/>
      <c r="AN167"/>
      <c r="AO167"/>
      <c r="AP167"/>
    </row>
    <row r="168" spans="2:42" s="7" customFormat="1" ht="21.95" customHeight="1" x14ac:dyDescent="0.2">
      <c r="B168" s="199"/>
      <c r="C168" s="116"/>
      <c r="D168" s="116" t="s">
        <v>33</v>
      </c>
      <c r="E168" s="847" cm="1">
        <f t="array" ref="E168:AF168">_xlfn.ANCHORARRAY(E135) * costInjury</f>
        <v>0</v>
      </c>
      <c r="F168" s="847">
        <v>0</v>
      </c>
      <c r="G168" s="847">
        <v>0</v>
      </c>
      <c r="H168" s="847">
        <v>0</v>
      </c>
      <c r="I168" s="847">
        <v>0</v>
      </c>
      <c r="J168" s="847">
        <v>0</v>
      </c>
      <c r="K168" s="847">
        <v>0</v>
      </c>
      <c r="L168" s="847">
        <v>0</v>
      </c>
      <c r="M168" s="847">
        <v>0</v>
      </c>
      <c r="N168" s="847">
        <v>0</v>
      </c>
      <c r="O168" s="847">
        <v>0</v>
      </c>
      <c r="P168" s="847">
        <v>0</v>
      </c>
      <c r="Q168" s="847">
        <v>0</v>
      </c>
      <c r="R168" s="847">
        <v>0</v>
      </c>
      <c r="S168" s="847">
        <v>0</v>
      </c>
      <c r="T168" s="847">
        <v>0</v>
      </c>
      <c r="U168" s="847">
        <v>0</v>
      </c>
      <c r="V168" s="847">
        <v>0</v>
      </c>
      <c r="W168" s="847">
        <v>0</v>
      </c>
      <c r="X168" s="847">
        <v>0</v>
      </c>
      <c r="Y168" s="847">
        <v>0</v>
      </c>
      <c r="Z168" s="847">
        <v>0</v>
      </c>
      <c r="AA168" s="847">
        <v>0</v>
      </c>
      <c r="AB168" s="847">
        <v>0</v>
      </c>
      <c r="AC168" s="847">
        <v>0</v>
      </c>
      <c r="AD168" s="847">
        <v>0</v>
      </c>
      <c r="AE168" s="847">
        <v>0</v>
      </c>
      <c r="AF168" s="848">
        <v>0</v>
      </c>
      <c r="AG168" s="22"/>
      <c r="AH168" s="22"/>
      <c r="AI168" s="22"/>
      <c r="AJ168" s="22"/>
      <c r="AK168" s="22"/>
      <c r="AL168"/>
      <c r="AM168"/>
      <c r="AN168"/>
      <c r="AO168"/>
      <c r="AP168"/>
    </row>
    <row r="169" spans="2:42" s="7" customFormat="1" ht="21.95" customHeight="1" x14ac:dyDescent="0.2">
      <c r="B169" s="199"/>
      <c r="C169" s="116"/>
      <c r="D169" s="124" t="s">
        <v>30</v>
      </c>
      <c r="E169" s="849" cm="1">
        <f t="array" ref="E169:AF169">_xlfn.ANCHORARRAY(E136) * costPDO</f>
        <v>0</v>
      </c>
      <c r="F169" s="849">
        <v>0</v>
      </c>
      <c r="G169" s="849">
        <v>0</v>
      </c>
      <c r="H169" s="849">
        <v>0</v>
      </c>
      <c r="I169" s="849">
        <v>0</v>
      </c>
      <c r="J169" s="849">
        <v>0</v>
      </c>
      <c r="K169" s="849">
        <v>0</v>
      </c>
      <c r="L169" s="849">
        <v>0</v>
      </c>
      <c r="M169" s="849">
        <v>0</v>
      </c>
      <c r="N169" s="849">
        <v>0</v>
      </c>
      <c r="O169" s="849">
        <v>0</v>
      </c>
      <c r="P169" s="849">
        <v>0</v>
      </c>
      <c r="Q169" s="849">
        <v>0</v>
      </c>
      <c r="R169" s="849">
        <v>0</v>
      </c>
      <c r="S169" s="849">
        <v>0</v>
      </c>
      <c r="T169" s="849">
        <v>0</v>
      </c>
      <c r="U169" s="849">
        <v>0</v>
      </c>
      <c r="V169" s="849">
        <v>0</v>
      </c>
      <c r="W169" s="849">
        <v>0</v>
      </c>
      <c r="X169" s="849">
        <v>0</v>
      </c>
      <c r="Y169" s="849">
        <v>0</v>
      </c>
      <c r="Z169" s="849">
        <v>0</v>
      </c>
      <c r="AA169" s="849">
        <v>0</v>
      </c>
      <c r="AB169" s="849">
        <v>0</v>
      </c>
      <c r="AC169" s="849">
        <v>0</v>
      </c>
      <c r="AD169" s="849">
        <v>0</v>
      </c>
      <c r="AE169" s="849">
        <v>0</v>
      </c>
      <c r="AF169" s="864">
        <v>0</v>
      </c>
      <c r="AG169" s="22"/>
      <c r="AH169" s="22"/>
      <c r="AI169" s="22"/>
      <c r="AJ169" s="22"/>
      <c r="AK169" s="22"/>
      <c r="AL169"/>
      <c r="AM169"/>
      <c r="AN169"/>
      <c r="AO169"/>
      <c r="AP169"/>
    </row>
    <row r="170" spans="2:42" s="7" customFormat="1" ht="21.95" customHeight="1" x14ac:dyDescent="0.2">
      <c r="B170" s="199"/>
      <c r="C170" s="116"/>
      <c r="D170" s="240" t="s">
        <v>25</v>
      </c>
      <c r="E170" s="853" cm="1">
        <f t="array" ref="E170:AF170">_xlfn.ANCHORARRAY(E167) +_xlfn.ANCHORARRAY( E168) +_xlfn.ANCHORARRAY( E169)</f>
        <v>0</v>
      </c>
      <c r="F170" s="853">
        <v>0</v>
      </c>
      <c r="G170" s="853">
        <v>0</v>
      </c>
      <c r="H170" s="853">
        <v>0</v>
      </c>
      <c r="I170" s="853">
        <v>0</v>
      </c>
      <c r="J170" s="853">
        <v>0</v>
      </c>
      <c r="K170" s="853">
        <v>0</v>
      </c>
      <c r="L170" s="853">
        <v>0</v>
      </c>
      <c r="M170" s="853">
        <v>0</v>
      </c>
      <c r="N170" s="853">
        <v>0</v>
      </c>
      <c r="O170" s="853">
        <v>0</v>
      </c>
      <c r="P170" s="853">
        <v>0</v>
      </c>
      <c r="Q170" s="853">
        <v>0</v>
      </c>
      <c r="R170" s="853">
        <v>0</v>
      </c>
      <c r="S170" s="853">
        <v>0</v>
      </c>
      <c r="T170" s="853">
        <v>0</v>
      </c>
      <c r="U170" s="853">
        <v>0</v>
      </c>
      <c r="V170" s="853">
        <v>0</v>
      </c>
      <c r="W170" s="853">
        <v>0</v>
      </c>
      <c r="X170" s="853">
        <v>0</v>
      </c>
      <c r="Y170" s="853">
        <v>0</v>
      </c>
      <c r="Z170" s="853">
        <v>0</v>
      </c>
      <c r="AA170" s="853">
        <v>0</v>
      </c>
      <c r="AB170" s="853">
        <v>0</v>
      </c>
      <c r="AC170" s="853">
        <v>0</v>
      </c>
      <c r="AD170" s="853">
        <v>0</v>
      </c>
      <c r="AE170" s="853">
        <v>0</v>
      </c>
      <c r="AF170" s="866">
        <v>0</v>
      </c>
      <c r="AG170" s="22"/>
      <c r="AH170" s="22"/>
      <c r="AI170" s="22"/>
      <c r="AJ170" s="22"/>
      <c r="AK170" s="22"/>
      <c r="AL170"/>
      <c r="AM170"/>
      <c r="AN170"/>
      <c r="AO170"/>
      <c r="AP170"/>
    </row>
    <row r="171" spans="2:42" s="7" customFormat="1" ht="21.95" customHeight="1" x14ac:dyDescent="0.2">
      <c r="B171" s="199"/>
      <c r="C171" s="229" t="str">
        <f>C23</f>
        <v>SH-412B North</v>
      </c>
      <c r="D171" s="220" t="s">
        <v>32</v>
      </c>
      <c r="E171" s="854" cm="1">
        <f t="array" ref="E171:AF171">_xlfn.ANCHORARRAY(E138) * costLife</f>
        <v>0</v>
      </c>
      <c r="F171" s="854">
        <v>0</v>
      </c>
      <c r="G171" s="854">
        <v>0</v>
      </c>
      <c r="H171" s="854">
        <v>0</v>
      </c>
      <c r="I171" s="854">
        <v>0</v>
      </c>
      <c r="J171" s="854">
        <v>0</v>
      </c>
      <c r="K171" s="854">
        <v>0</v>
      </c>
      <c r="L171" s="854">
        <v>0</v>
      </c>
      <c r="M171" s="854">
        <v>0</v>
      </c>
      <c r="N171" s="854">
        <v>0</v>
      </c>
      <c r="O171" s="854">
        <v>0</v>
      </c>
      <c r="P171" s="854">
        <v>0</v>
      </c>
      <c r="Q171" s="854">
        <v>0</v>
      </c>
      <c r="R171" s="854">
        <v>0</v>
      </c>
      <c r="S171" s="854">
        <v>0</v>
      </c>
      <c r="T171" s="854">
        <v>0</v>
      </c>
      <c r="U171" s="854">
        <v>0</v>
      </c>
      <c r="V171" s="854">
        <v>0</v>
      </c>
      <c r="W171" s="854">
        <v>0</v>
      </c>
      <c r="X171" s="854">
        <v>0</v>
      </c>
      <c r="Y171" s="854">
        <v>0</v>
      </c>
      <c r="Z171" s="854">
        <v>0</v>
      </c>
      <c r="AA171" s="854">
        <v>0</v>
      </c>
      <c r="AB171" s="854">
        <v>0</v>
      </c>
      <c r="AC171" s="854">
        <v>0</v>
      </c>
      <c r="AD171" s="854">
        <v>0</v>
      </c>
      <c r="AE171" s="854">
        <v>0</v>
      </c>
      <c r="AF171" s="867">
        <v>0</v>
      </c>
      <c r="AG171" s="22"/>
      <c r="AH171" s="22"/>
      <c r="AI171" s="22"/>
      <c r="AJ171" s="22"/>
      <c r="AK171" s="22"/>
      <c r="AL171"/>
      <c r="AM171"/>
      <c r="AN171"/>
      <c r="AO171"/>
      <c r="AP171"/>
    </row>
    <row r="172" spans="2:42" s="7" customFormat="1" ht="21.95" customHeight="1" x14ac:dyDescent="0.2">
      <c r="B172" s="199"/>
      <c r="C172" s="116" t="str">
        <f>+C24</f>
        <v>(Reconstruction)</v>
      </c>
      <c r="D172" s="116" t="s">
        <v>33</v>
      </c>
      <c r="E172" s="847" cm="1">
        <f t="array" ref="E172:AF172">_xlfn.ANCHORARRAY(E139) * costInjury</f>
        <v>511932.96</v>
      </c>
      <c r="F172" s="847">
        <v>640206.97792128008</v>
      </c>
      <c r="G172" s="847">
        <v>800622.35996505909</v>
      </c>
      <c r="H172" s="847">
        <v>1001232.703456784</v>
      </c>
      <c r="I172" s="847">
        <v>1252109.5794965436</v>
      </c>
      <c r="J172" s="847">
        <v>1565848.1726118333</v>
      </c>
      <c r="K172" s="847">
        <v>1958199.6175268348</v>
      </c>
      <c r="L172" s="847">
        <v>2448861.7792912987</v>
      </c>
      <c r="M172" s="847">
        <v>3062468.1776047605</v>
      </c>
      <c r="N172" s="847">
        <v>3829824.7039308301</v>
      </c>
      <c r="O172" s="847">
        <v>4789456.2203453695</v>
      </c>
      <c r="P172" s="847">
        <v>5989540.6865648674</v>
      </c>
      <c r="Q172" s="847">
        <v>7490327.9173160531</v>
      </c>
      <c r="R172" s="847">
        <v>9367164.4029021002</v>
      </c>
      <c r="S172" s="847">
        <v>11714276.053008474</v>
      </c>
      <c r="T172" s="847">
        <v>14649498.7750587</v>
      </c>
      <c r="U172" s="847">
        <v>18320194.384127609</v>
      </c>
      <c r="V172" s="847">
        <v>22910648.850569692</v>
      </c>
      <c r="W172" s="847">
        <v>28651324.311759233</v>
      </c>
      <c r="X172" s="847">
        <v>35830429.34190812</v>
      </c>
      <c r="Y172" s="847">
        <v>44808388.361251354</v>
      </c>
      <c r="Z172" s="847">
        <v>56035936.616153382</v>
      </c>
      <c r="AA172" s="847">
        <v>70076749.182189703</v>
      </c>
      <c r="AB172" s="847">
        <v>87635740.071272582</v>
      </c>
      <c r="AC172" s="847">
        <v>109594452.18945123</v>
      </c>
      <c r="AD172" s="847">
        <v>137055314.88565767</v>
      </c>
      <c r="AE172" s="847">
        <v>171396991.0259271</v>
      </c>
      <c r="AF172" s="848">
        <v>214343592.27331156</v>
      </c>
      <c r="AG172" s="22"/>
      <c r="AH172" s="22"/>
      <c r="AI172" s="22"/>
      <c r="AJ172" s="22"/>
      <c r="AK172" s="22"/>
      <c r="AL172"/>
      <c r="AM172"/>
      <c r="AN172"/>
      <c r="AO172"/>
      <c r="AP172"/>
    </row>
    <row r="173" spans="2:42" s="7" customFormat="1" ht="21.95" customHeight="1" x14ac:dyDescent="0.2">
      <c r="B173" s="199"/>
      <c r="C173" s="116"/>
      <c r="D173" s="124" t="s">
        <v>30</v>
      </c>
      <c r="E173" s="849" cm="1">
        <f t="array" ref="E173:AF173">_xlfn.ANCHORARRAY(E140) * costPDO</f>
        <v>10644.48</v>
      </c>
      <c r="F173" s="849">
        <v>13311.646064639999</v>
      </c>
      <c r="G173" s="849">
        <v>16647.118595764714</v>
      </c>
      <c r="H173" s="849">
        <v>20818.353808068281</v>
      </c>
      <c r="I173" s="849">
        <v>26034.767085048337</v>
      </c>
      <c r="J173" s="849">
        <v>32558.246604014723</v>
      </c>
      <c r="K173" s="849">
        <v>40716.301339089478</v>
      </c>
      <c r="L173" s="849">
        <v>50918.503533022456</v>
      </c>
      <c r="M173" s="849">
        <v>63677.051126284823</v>
      </c>
      <c r="N173" s="849">
        <v>79632.482472895746</v>
      </c>
      <c r="O173" s="849">
        <v>99585.834341164271</v>
      </c>
      <c r="P173" s="849">
        <v>124538.85768036111</v>
      </c>
      <c r="Q173" s="849">
        <v>155744.31017161385</v>
      </c>
      <c r="R173" s="849">
        <v>194768.85048269478</v>
      </c>
      <c r="S173" s="849">
        <v>243571.6918104426</v>
      </c>
      <c r="T173" s="849">
        <v>304602.96348400158</v>
      </c>
      <c r="U173" s="849">
        <v>380926.71883826086</v>
      </c>
      <c r="V173" s="849">
        <v>476374.76492412615</v>
      </c>
      <c r="W173" s="849">
        <v>595739.03702163463</v>
      </c>
      <c r="X173" s="849">
        <v>745012.17605007137</v>
      </c>
      <c r="Y173" s="849">
        <v>931688.38697858562</v>
      </c>
      <c r="Z173" s="849">
        <v>1165139.6827270361</v>
      </c>
      <c r="AA173" s="849">
        <v>1457086.4027485834</v>
      </c>
      <c r="AB173" s="849">
        <v>1822185.6285124905</v>
      </c>
      <c r="AC173" s="849">
        <v>2278767.0370776081</v>
      </c>
      <c r="AD173" s="849">
        <v>2849753.1360240704</v>
      </c>
      <c r="AE173" s="849">
        <v>3563810.079811349</v>
      </c>
      <c r="AF173" s="864">
        <v>4456786.8438895186</v>
      </c>
      <c r="AG173" s="22"/>
      <c r="AH173" s="22"/>
      <c r="AI173" s="22"/>
      <c r="AJ173" s="22"/>
      <c r="AK173" s="22"/>
      <c r="AL173"/>
      <c r="AM173"/>
      <c r="AN173"/>
      <c r="AO173"/>
      <c r="AP173"/>
    </row>
    <row r="174" spans="2:42" s="7" customFormat="1" ht="21.95" customHeight="1" x14ac:dyDescent="0.2">
      <c r="B174" s="199"/>
      <c r="C174" s="116"/>
      <c r="D174" s="240" t="s">
        <v>25</v>
      </c>
      <c r="E174" s="853" cm="1">
        <f t="array" ref="E174:AF174">_xlfn.ANCHORARRAY(E171) +_xlfn.ANCHORARRAY( E172) +_xlfn.ANCHORARRAY( E173)</f>
        <v>522577.44</v>
      </c>
      <c r="F174" s="853">
        <v>653518.6239859201</v>
      </c>
      <c r="G174" s="853">
        <v>817269.47856082383</v>
      </c>
      <c r="H174" s="853">
        <v>1022051.0572648523</v>
      </c>
      <c r="I174" s="853">
        <v>1278144.346581592</v>
      </c>
      <c r="J174" s="853">
        <v>1598406.419215848</v>
      </c>
      <c r="K174" s="853">
        <v>1998915.9188659242</v>
      </c>
      <c r="L174" s="853">
        <v>2499780.2828243212</v>
      </c>
      <c r="M174" s="853">
        <v>3126145.2287310455</v>
      </c>
      <c r="N174" s="853">
        <v>3909457.1864037258</v>
      </c>
      <c r="O174" s="853">
        <v>4889042.0546865342</v>
      </c>
      <c r="P174" s="853">
        <v>6114079.5442452282</v>
      </c>
      <c r="Q174" s="853">
        <v>7646072.2274876665</v>
      </c>
      <c r="R174" s="853">
        <v>9561933.253384795</v>
      </c>
      <c r="S174" s="853">
        <v>11957847.744818917</v>
      </c>
      <c r="T174" s="853">
        <v>14954101.738542702</v>
      </c>
      <c r="U174" s="853">
        <v>18701121.102965869</v>
      </c>
      <c r="V174" s="853">
        <v>23387023.615493819</v>
      </c>
      <c r="W174" s="853">
        <v>29247063.348780867</v>
      </c>
      <c r="X174" s="853">
        <v>36575441.517958194</v>
      </c>
      <c r="Y174" s="853">
        <v>45740076.748229943</v>
      </c>
      <c r="Z174" s="853">
        <v>57201076.298880421</v>
      </c>
      <c r="AA174" s="853">
        <v>71533835.584938288</v>
      </c>
      <c r="AB174" s="853">
        <v>89457925.699785069</v>
      </c>
      <c r="AC174" s="853">
        <v>111873219.22652884</v>
      </c>
      <c r="AD174" s="853">
        <v>139905068.02168173</v>
      </c>
      <c r="AE174" s="853">
        <v>174960801.10573843</v>
      </c>
      <c r="AF174" s="866">
        <v>218800379.11720106</v>
      </c>
      <c r="AG174" s="22"/>
      <c r="AH174" s="22"/>
      <c r="AI174" s="22"/>
      <c r="AJ174" s="22"/>
      <c r="AK174" s="22"/>
      <c r="AL174"/>
      <c r="AM174"/>
      <c r="AN174"/>
      <c r="AO174"/>
      <c r="AP174"/>
    </row>
    <row r="175" spans="2:42" s="7" customFormat="1" ht="21.95" customHeight="1" x14ac:dyDescent="0.2">
      <c r="B175" s="199"/>
      <c r="C175" s="229" t="str">
        <f>C26</f>
        <v>US 69/Main St</v>
      </c>
      <c r="D175" s="220" t="s">
        <v>32</v>
      </c>
      <c r="E175" s="854" cm="1">
        <f t="array" ref="E175:AF175">_xlfn.ANCHORARRAY(E142) * costLife</f>
        <v>0</v>
      </c>
      <c r="F175" s="854">
        <v>0</v>
      </c>
      <c r="G175" s="854">
        <v>0</v>
      </c>
      <c r="H175" s="854">
        <v>0</v>
      </c>
      <c r="I175" s="854">
        <v>0</v>
      </c>
      <c r="J175" s="854">
        <v>0</v>
      </c>
      <c r="K175" s="854">
        <v>0</v>
      </c>
      <c r="L175" s="854">
        <v>0</v>
      </c>
      <c r="M175" s="854">
        <v>0</v>
      </c>
      <c r="N175" s="854">
        <v>0</v>
      </c>
      <c r="O175" s="854">
        <v>0</v>
      </c>
      <c r="P175" s="854">
        <v>0</v>
      </c>
      <c r="Q175" s="854">
        <v>0</v>
      </c>
      <c r="R175" s="854">
        <v>0</v>
      </c>
      <c r="S175" s="854">
        <v>0</v>
      </c>
      <c r="T175" s="854">
        <v>0</v>
      </c>
      <c r="U175" s="854">
        <v>0</v>
      </c>
      <c r="V175" s="854">
        <v>0</v>
      </c>
      <c r="W175" s="854">
        <v>0</v>
      </c>
      <c r="X175" s="854">
        <v>0</v>
      </c>
      <c r="Y175" s="854">
        <v>0</v>
      </c>
      <c r="Z175" s="854">
        <v>0</v>
      </c>
      <c r="AA175" s="854">
        <v>0</v>
      </c>
      <c r="AB175" s="854">
        <v>0</v>
      </c>
      <c r="AC175" s="854">
        <v>0</v>
      </c>
      <c r="AD175" s="854">
        <v>0</v>
      </c>
      <c r="AE175" s="854">
        <v>0</v>
      </c>
      <c r="AF175" s="867">
        <v>0</v>
      </c>
      <c r="AG175" s="22"/>
      <c r="AH175" s="22"/>
      <c r="AI175" s="22"/>
      <c r="AJ175" s="22"/>
      <c r="AK175" s="22"/>
      <c r="AL175"/>
      <c r="AM175"/>
      <c r="AN175"/>
      <c r="AO175"/>
      <c r="AP175"/>
    </row>
    <row r="176" spans="2:42" s="7" customFormat="1" ht="21.95" customHeight="1" x14ac:dyDescent="0.2">
      <c r="B176" s="199"/>
      <c r="C176" s="228" t="str">
        <f>C27</f>
        <v>(Intersection)</v>
      </c>
      <c r="D176" s="116" t="s">
        <v>33</v>
      </c>
      <c r="E176" s="847" cm="1">
        <f t="array" ref="E176:AF176">_xlfn.ANCHORARRAY(E143) * costInjury</f>
        <v>34473.600000000006</v>
      </c>
      <c r="F176" s="847">
        <v>35490.57513984001</v>
      </c>
      <c r="G176" s="847">
        <v>36537.551162531017</v>
      </c>
      <c r="H176" s="847">
        <v>37615.413097545817</v>
      </c>
      <c r="I176" s="847">
        <v>38725.072082827777</v>
      </c>
      <c r="J176" s="847">
        <v>39867.466134993716</v>
      </c>
      <c r="K176" s="847">
        <v>41043.560942257878</v>
      </c>
      <c r="L176" s="847">
        <v>42254.350680747164</v>
      </c>
      <c r="M176" s="847">
        <v>43500.858854897859</v>
      </c>
      <c r="N176" s="847">
        <v>44784.139162644082</v>
      </c>
      <c r="O176" s="847">
        <v>46105.276386129415</v>
      </c>
      <c r="P176" s="847">
        <v>47465.38730869467</v>
      </c>
      <c r="Q176" s="847">
        <v>48865.621658916862</v>
      </c>
      <c r="R176" s="847">
        <v>50307.163082497384</v>
      </c>
      <c r="S176" s="847">
        <v>51791.230142821129</v>
      </c>
      <c r="T176" s="847">
        <v>53319.077351032072</v>
      </c>
      <c r="U176" s="847">
        <v>54891.996226496369</v>
      </c>
      <c r="V176" s="847">
        <v>56511.316388549021</v>
      </c>
      <c r="W176" s="847">
        <v>58178.406680447362</v>
      </c>
      <c r="X176" s="847">
        <v>59894.676326481334</v>
      </c>
      <c r="Y176" s="847">
        <v>61661.576123218394</v>
      </c>
      <c r="Z176" s="847">
        <v>63480.599665890615</v>
      </c>
      <c r="AA176" s="847">
        <v>65353.284610960072</v>
      </c>
      <c r="AB176" s="847">
        <v>67281.213975930194</v>
      </c>
      <c r="AC176" s="847">
        <v>69266.017477501751</v>
      </c>
      <c r="AD176" s="847">
        <v>71309.372909204321</v>
      </c>
      <c r="AE176" s="847">
        <v>73413.007559668476</v>
      </c>
      <c r="AF176" s="848">
        <v>75578.699672736708</v>
      </c>
      <c r="AG176" s="22"/>
      <c r="AH176" s="22"/>
      <c r="AI176" s="22"/>
      <c r="AJ176" s="22"/>
      <c r="AK176" s="22"/>
      <c r="AL176"/>
      <c r="AM176"/>
      <c r="AN176"/>
      <c r="AO176"/>
      <c r="AP176"/>
    </row>
    <row r="177" spans="1:42" s="7" customFormat="1" ht="21.95" customHeight="1" x14ac:dyDescent="0.2">
      <c r="B177" s="199"/>
      <c r="C177" s="116"/>
      <c r="D177" s="124" t="s">
        <v>30</v>
      </c>
      <c r="E177" s="849" cm="1">
        <f t="array" ref="E177:AF177">_xlfn.ANCHORARRAY(E144) * costPDO</f>
        <v>3763.2000000000003</v>
      </c>
      <c r="F177" s="849">
        <v>3874.2148300800004</v>
      </c>
      <c r="G177" s="849">
        <v>3988.5046103347695</v>
      </c>
      <c r="H177" s="849">
        <v>4106.1659521687434</v>
      </c>
      <c r="I177" s="849">
        <v>4227.2983170338312</v>
      </c>
      <c r="J177" s="849">
        <v>4352.0041005061357</v>
      </c>
      <c r="K177" s="849">
        <v>4480.3887188429644</v>
      </c>
      <c r="L177" s="849">
        <v>4612.5606980932571</v>
      </c>
      <c r="M177" s="849">
        <v>4748.6317658368025</v>
      </c>
      <c r="N177" s="849">
        <v>4888.7169456297624</v>
      </c>
      <c r="O177" s="849">
        <v>5032.9346542363492</v>
      </c>
      <c r="P177" s="849">
        <v>5181.4068017288528</v>
      </c>
      <c r="Q177" s="849">
        <v>5334.2588945406314</v>
      </c>
      <c r="R177" s="849">
        <v>5491.6201415591677</v>
      </c>
      <c r="S177" s="849">
        <v>5653.623563348895</v>
      </c>
      <c r="T177" s="849">
        <v>5820.4061045960934</v>
      </c>
      <c r="U177" s="849">
        <v>5992.1087498709485</v>
      </c>
      <c r="V177" s="849">
        <v>6168.8766428045692</v>
      </c>
      <c r="W177" s="849">
        <v>6350.8592087817788</v>
      </c>
      <c r="X177" s="849">
        <v>6538.2102812533221</v>
      </c>
      <c r="Y177" s="849">
        <v>6731.0882317743271</v>
      </c>
      <c r="Z177" s="849">
        <v>6929.6561038788959</v>
      </c>
      <c r="AA177" s="849">
        <v>7134.0817509040235</v>
      </c>
      <c r="AB177" s="849">
        <v>7344.5379778793185</v>
      </c>
      <c r="AC177" s="849">
        <v>7561.2026876025293</v>
      </c>
      <c r="AD177" s="849">
        <v>7784.2590310242531</v>
      </c>
      <c r="AE177" s="849">
        <v>8013.8955620690731</v>
      </c>
      <c r="AF177" s="864">
        <v>8250.3063970238909</v>
      </c>
      <c r="AG177" s="22"/>
      <c r="AH177" s="22"/>
      <c r="AI177" s="22"/>
      <c r="AJ177" s="22"/>
      <c r="AK177" s="22"/>
      <c r="AL177"/>
      <c r="AM177"/>
      <c r="AN177"/>
      <c r="AO177"/>
      <c r="AP177"/>
    </row>
    <row r="178" spans="1:42" s="7" customFormat="1" ht="21.95" customHeight="1" x14ac:dyDescent="0.2">
      <c r="B178" s="199"/>
      <c r="C178" s="116"/>
      <c r="D178" s="240" t="s">
        <v>25</v>
      </c>
      <c r="E178" s="853" cm="1">
        <f t="array" ref="E178:AF178">_xlfn.ANCHORARRAY(E175) +_xlfn.ANCHORARRAY( E176) +_xlfn.ANCHORARRAY( E177)</f>
        <v>38236.800000000003</v>
      </c>
      <c r="F178" s="853">
        <v>39364.789969920013</v>
      </c>
      <c r="G178" s="853">
        <v>40526.055772865788</v>
      </c>
      <c r="H178" s="853">
        <v>41721.579049714564</v>
      </c>
      <c r="I178" s="853">
        <v>42952.370399861611</v>
      </c>
      <c r="J178" s="853">
        <v>44219.470235499852</v>
      </c>
      <c r="K178" s="853">
        <v>45523.949661100844</v>
      </c>
      <c r="L178" s="853">
        <v>46866.911378840421</v>
      </c>
      <c r="M178" s="853">
        <v>48249.490620734665</v>
      </c>
      <c r="N178" s="853">
        <v>49672.856108273845</v>
      </c>
      <c r="O178" s="853">
        <v>51138.211040365764</v>
      </c>
      <c r="P178" s="853">
        <v>52646.794110423521</v>
      </c>
      <c r="Q178" s="853">
        <v>54199.880553457493</v>
      </c>
      <c r="R178" s="853">
        <v>55798.783224056548</v>
      </c>
      <c r="S178" s="853">
        <v>57444.853706170026</v>
      </c>
      <c r="T178" s="853">
        <v>59139.483455628164</v>
      </c>
      <c r="U178" s="853">
        <v>60884.104976367315</v>
      </c>
      <c r="V178" s="853">
        <v>62680.193031353592</v>
      </c>
      <c r="W178" s="853">
        <v>64529.265889229144</v>
      </c>
      <c r="X178" s="853">
        <v>66432.886607734661</v>
      </c>
      <c r="Y178" s="853">
        <v>68392.664354992725</v>
      </c>
      <c r="Z178" s="853">
        <v>70410.255769769516</v>
      </c>
      <c r="AA178" s="853">
        <v>72487.3663618641</v>
      </c>
      <c r="AB178" s="853">
        <v>74625.751953809508</v>
      </c>
      <c r="AC178" s="853">
        <v>76827.220165104285</v>
      </c>
      <c r="AD178" s="853">
        <v>79093.631940228574</v>
      </c>
      <c r="AE178" s="853">
        <v>81426.903121737545</v>
      </c>
      <c r="AF178" s="866">
        <v>83829.006069760595</v>
      </c>
      <c r="AG178" s="22"/>
      <c r="AH178" s="22"/>
      <c r="AI178" s="22"/>
      <c r="AJ178" s="22"/>
      <c r="AK178" s="22"/>
      <c r="AL178"/>
      <c r="AM178"/>
      <c r="AN178"/>
      <c r="AO178"/>
      <c r="AP178"/>
    </row>
    <row r="179" spans="1:42" s="7" customFormat="1" ht="21.95" customHeight="1" x14ac:dyDescent="0.2">
      <c r="B179" s="199"/>
      <c r="C179" s="229" t="str">
        <f>C29</f>
        <v>Zarrow St</v>
      </c>
      <c r="D179" s="220" t="s">
        <v>32</v>
      </c>
      <c r="E179" s="854" cm="1">
        <f t="array" ref="E179:AF179">_xlfn.ANCHORARRAY(E146) * costLife</f>
        <v>1803067.7599999998</v>
      </c>
      <c r="F179" s="854">
        <v>1946445.3041848533</v>
      </c>
      <c r="G179" s="854">
        <v>2101224.0395132275</v>
      </c>
      <c r="H179" s="854">
        <v>2268310.5735032666</v>
      </c>
      <c r="I179" s="854">
        <v>2448683.6058941488</v>
      </c>
      <c r="J179" s="854">
        <v>2643399.6613233774</v>
      </c>
      <c r="K179" s="854">
        <v>2853599.2778589306</v>
      </c>
      <c r="L179" s="854">
        <v>3080513.687635236</v>
      </c>
      <c r="M179" s="854">
        <v>3325472.0287244068</v>
      </c>
      <c r="N179" s="854">
        <v>3589909.1304858676</v>
      </c>
      <c r="O179" s="854">
        <v>3875373.9179965965</v>
      </c>
      <c r="P179" s="854">
        <v>4183538.4847904621</v>
      </c>
      <c r="Q179" s="854">
        <v>4516207.8870496871</v>
      </c>
      <c r="R179" s="854">
        <v>4875330.7166173616</v>
      </c>
      <c r="S179" s="854">
        <v>5263010.5147618195</v>
      </c>
      <c r="T179" s="854">
        <v>5681518.0935483268</v>
      </c>
      <c r="U179" s="854">
        <v>6133304.8369898321</v>
      </c>
      <c r="V179" s="854">
        <v>6621017.0598874809</v>
      </c>
      <c r="W179" s="854">
        <v>7147511.5084669888</v>
      </c>
      <c r="X179" s="854">
        <v>7715872.09360494</v>
      </c>
      <c r="Y179" s="854">
        <v>8329427.9546589479</v>
      </c>
      <c r="Z179" s="854">
        <v>8991772.9597094879</v>
      </c>
      <c r="AA179" s="854">
        <v>9706786.7564349733</v>
      </c>
      <c r="AB179" s="854">
        <v>10478657.496924343</v>
      </c>
      <c r="AC179" s="854">
        <v>11311906.369536437</v>
      </c>
      <c r="AD179" s="854">
        <v>12211414.08150015</v>
      </c>
      <c r="AE179" s="854">
        <v>13182449.447375601</v>
      </c>
      <c r="AF179" s="867">
        <v>14230700.250831649</v>
      </c>
      <c r="AG179" s="22"/>
      <c r="AH179" s="22"/>
      <c r="AI179" s="22"/>
      <c r="AJ179" s="22"/>
      <c r="AK179" s="22"/>
      <c r="AL179"/>
      <c r="AM179"/>
      <c r="AN179"/>
      <c r="AO179"/>
      <c r="AP179"/>
    </row>
    <row r="180" spans="1:42" s="7" customFormat="1" ht="21.95" customHeight="1" x14ac:dyDescent="0.2">
      <c r="B180" s="199"/>
      <c r="C180" s="228"/>
      <c r="D180" s="116" t="s">
        <v>33</v>
      </c>
      <c r="E180" s="855" cm="1">
        <f t="array" ref="E180:AF180">_xlfn.ANCHORARRAY(E147) * costInjury</f>
        <v>127613.87999999999</v>
      </c>
      <c r="F180" s="855">
        <v>137761.56558575999</v>
      </c>
      <c r="G180" s="855">
        <v>148716.18159905219</v>
      </c>
      <c r="H180" s="855">
        <v>160541.89407156673</v>
      </c>
      <c r="I180" s="855">
        <v>173307.97143227895</v>
      </c>
      <c r="J180" s="855">
        <v>187089.19024327854</v>
      </c>
      <c r="K180" s="855">
        <v>201966.27319917042</v>
      </c>
      <c r="L180" s="855">
        <v>218026.3619556042</v>
      </c>
      <c r="M180" s="855">
        <v>235363.52755649795</v>
      </c>
      <c r="N180" s="855">
        <v>254079.32144975392</v>
      </c>
      <c r="O180" s="855">
        <v>274283.37031900976</v>
      </c>
      <c r="P180" s="855">
        <v>296094.01821561705</v>
      </c>
      <c r="Q180" s="855">
        <v>319639.01975209865</v>
      </c>
      <c r="R180" s="855">
        <v>345056.28841742582</v>
      </c>
      <c r="S180" s="855">
        <v>372494.70439732837</v>
      </c>
      <c r="T180" s="855">
        <v>402114.98663139815</v>
      </c>
      <c r="U180" s="855">
        <v>434090.63421501144</v>
      </c>
      <c r="V180" s="855">
        <v>468608.94266027684</v>
      </c>
      <c r="W180" s="855">
        <v>505872.10096869856</v>
      </c>
      <c r="X180" s="855">
        <v>546098.37594159495</v>
      </c>
      <c r="Y180" s="855">
        <v>589523.39066530275</v>
      </c>
      <c r="Z180" s="855">
        <v>636401.50465982</v>
      </c>
      <c r="AA180" s="855">
        <v>687007.30377502949</v>
      </c>
      <c r="AB180" s="855">
        <v>741637.20856148156</v>
      </c>
      <c r="AC180" s="855">
        <v>800611.21053667914</v>
      </c>
      <c r="AD180" s="855">
        <v>864274.74651694193</v>
      </c>
      <c r="AE180" s="855">
        <v>933000.72199364041</v>
      </c>
      <c r="AF180" s="848">
        <v>1007191.6954056124</v>
      </c>
      <c r="AG180" s="22"/>
      <c r="AH180" s="22"/>
      <c r="AI180" s="22"/>
      <c r="AJ180" s="22"/>
      <c r="AK180" s="22"/>
      <c r="AL180"/>
      <c r="AM180"/>
      <c r="AN180"/>
      <c r="AO180"/>
      <c r="AP180"/>
    </row>
    <row r="181" spans="1:42" s="7" customFormat="1" ht="21.95" customHeight="1" x14ac:dyDescent="0.2">
      <c r="B181" s="199"/>
      <c r="C181" s="116"/>
      <c r="D181" s="124" t="s">
        <v>30</v>
      </c>
      <c r="E181" s="849" cm="1">
        <f t="array" ref="E181:AF181">_xlfn.ANCHORARRAY(E148) * costPDO</f>
        <v>663.3599999999999</v>
      </c>
      <c r="F181" s="849">
        <v>716.10950271999991</v>
      </c>
      <c r="G181" s="849">
        <v>773.05357556362412</v>
      </c>
      <c r="H181" s="849">
        <v>834.52576515434282</v>
      </c>
      <c r="I181" s="849">
        <v>900.88614129839607</v>
      </c>
      <c r="J181" s="849">
        <v>972.52340607292297</v>
      </c>
      <c r="K181" s="849">
        <v>1049.857170625967</v>
      </c>
      <c r="L181" s="849">
        <v>1133.3404130245833</v>
      </c>
      <c r="M181" s="849">
        <v>1223.4621315477475</v>
      </c>
      <c r="N181" s="849">
        <v>1320.7502089655827</v>
      </c>
      <c r="O181" s="849">
        <v>1425.7745045822471</v>
      </c>
      <c r="P181" s="849">
        <v>1539.1501921539548</v>
      </c>
      <c r="Q181" s="849">
        <v>1661.5413632337813</v>
      </c>
      <c r="R181" s="849">
        <v>1793.6649170496471</v>
      </c>
      <c r="S181" s="849">
        <v>1936.2947597002126</v>
      </c>
      <c r="T181" s="849">
        <v>2090.2663372652273</v>
      </c>
      <c r="U181" s="849">
        <v>2256.4815293827755</v>
      </c>
      <c r="V181" s="849">
        <v>2435.9139319572546</v>
      </c>
      <c r="W181" s="849">
        <v>2629.6145599412534</v>
      </c>
      <c r="X181" s="849">
        <v>2838.7180035950355</v>
      </c>
      <c r="Y181" s="849">
        <v>3064.4490742835751</v>
      </c>
      <c r="Z181" s="849">
        <v>3308.129978738506</v>
      </c>
      <c r="AA181" s="849">
        <v>3571.188063807821</v>
      </c>
      <c r="AB181" s="849">
        <v>3855.1641770577339</v>
      </c>
      <c r="AC181" s="849">
        <v>4161.7216921984627</v>
      </c>
      <c r="AD181" s="849">
        <v>4492.6562521998285</v>
      </c>
      <c r="AE181" s="849">
        <v>4849.9062871664228</v>
      </c>
      <c r="AF181" s="864">
        <v>5235.5643685801815</v>
      </c>
      <c r="AG181" s="22"/>
      <c r="AH181" s="22"/>
      <c r="AI181" s="22"/>
      <c r="AJ181" s="22"/>
      <c r="AK181" s="22"/>
      <c r="AL181"/>
      <c r="AM181"/>
      <c r="AN181"/>
      <c r="AO181"/>
      <c r="AP181"/>
    </row>
    <row r="182" spans="1:42" s="7" customFormat="1" ht="21.95" customHeight="1" x14ac:dyDescent="0.2">
      <c r="B182" s="199"/>
      <c r="C182" s="116"/>
      <c r="D182" s="240" t="s">
        <v>25</v>
      </c>
      <c r="E182" s="856" cm="1">
        <f t="array" ref="E182:AF182">_xlfn.ANCHORARRAY(E179) +_xlfn.ANCHORARRAY( E180) +_xlfn.ANCHORARRAY( E181)</f>
        <v>1931344.9999999998</v>
      </c>
      <c r="F182" s="853">
        <v>2084922.9792733332</v>
      </c>
      <c r="G182" s="853">
        <v>2250713.2746878434</v>
      </c>
      <c r="H182" s="853">
        <v>2429686.9933399879</v>
      </c>
      <c r="I182" s="853">
        <v>2622892.463467726</v>
      </c>
      <c r="J182" s="853">
        <v>2831461.374972729</v>
      </c>
      <c r="K182" s="853">
        <v>3056615.4082287271</v>
      </c>
      <c r="L182" s="853">
        <v>3299673.3900038647</v>
      </c>
      <c r="M182" s="853">
        <v>3562059.0184124527</v>
      </c>
      <c r="N182" s="853">
        <v>3845309.2021445869</v>
      </c>
      <c r="O182" s="853">
        <v>4151083.0628201887</v>
      </c>
      <c r="P182" s="853">
        <v>4481171.6531982329</v>
      </c>
      <c r="Q182" s="853">
        <v>4837508.448165019</v>
      </c>
      <c r="R182" s="853">
        <v>5222180.6699518375</v>
      </c>
      <c r="S182" s="853">
        <v>5637441.5139188478</v>
      </c>
      <c r="T182" s="853">
        <v>6085723.3465169901</v>
      </c>
      <c r="U182" s="853">
        <v>6569651.9527342264</v>
      </c>
      <c r="V182" s="853">
        <v>7092061.9164797151</v>
      </c>
      <c r="W182" s="853">
        <v>7656013.2239956288</v>
      </c>
      <c r="X182" s="853">
        <v>8264809.1875501303</v>
      </c>
      <c r="Y182" s="853">
        <v>8922015.7943985332</v>
      </c>
      <c r="Z182" s="853">
        <v>9631482.5943480469</v>
      </c>
      <c r="AA182" s="853">
        <v>10397365.24827381</v>
      </c>
      <c r="AB182" s="853">
        <v>11224149.869662883</v>
      </c>
      <c r="AC182" s="853">
        <v>12116679.301765315</v>
      </c>
      <c r="AD182" s="853">
        <v>13080181.484269291</v>
      </c>
      <c r="AE182" s="853">
        <v>14120300.075656408</v>
      </c>
      <c r="AF182" s="866">
        <v>15243127.51060584</v>
      </c>
      <c r="AG182" s="22"/>
      <c r="AH182" s="22"/>
      <c r="AI182" s="22"/>
      <c r="AJ182" s="22"/>
      <c r="AK182" s="22"/>
      <c r="AL182"/>
      <c r="AM182"/>
      <c r="AN182"/>
      <c r="AO182"/>
      <c r="AP182"/>
    </row>
    <row r="183" spans="1:42" ht="21.95" customHeight="1" thickBot="1" x14ac:dyDescent="0.25">
      <c r="B183" s="201"/>
      <c r="C183" s="868" t="s">
        <v>25</v>
      </c>
      <c r="D183" s="857"/>
      <c r="E183" s="858" cm="1">
        <f t="array" ref="E183:AF183">_xlfn.ANCHORARRAY(E158)+_xlfn.ANCHORARRAY(E154)+_xlfn.ANCHORARRAY(E162)+_xlfn.ANCHORARRAY(E166)+_xlfn.ANCHORARRAY(E170)+_xlfn.ANCHORARRAY(E174)+_xlfn.ANCHORARRAY(E178)+_xlfn.ANCHORARRAY(E182)</f>
        <v>3182126.2354962891</v>
      </c>
      <c r="F183" s="858">
        <v>3526827.4055645457</v>
      </c>
      <c r="G183" s="858">
        <v>3922716.1051523518</v>
      </c>
      <c r="H183" s="858">
        <v>4379783.3964836905</v>
      </c>
      <c r="I183" s="858">
        <v>4910281.9252557522</v>
      </c>
      <c r="J183" s="858">
        <v>5529269.8220864255</v>
      </c>
      <c r="K183" s="858">
        <v>6255288.3927809708</v>
      </c>
      <c r="L183" s="858">
        <v>7111206.7932102662</v>
      </c>
      <c r="M183" s="858">
        <v>8125275.1520094424</v>
      </c>
      <c r="N183" s="858">
        <v>9332437.9346280284</v>
      </c>
      <c r="O183" s="858">
        <v>10775972.250809848</v>
      </c>
      <c r="P183" s="858">
        <v>12509531.938496206</v>
      </c>
      <c r="Q183" s="858">
        <v>14599698.415618103</v>
      </c>
      <c r="R183" s="858">
        <v>17129164.483791415</v>
      </c>
      <c r="S183" s="858">
        <v>20200708.752766199</v>
      </c>
      <c r="T183" s="858">
        <v>23942157.704484437</v>
      </c>
      <c r="U183" s="858">
        <v>28512581.597036071</v>
      </c>
      <c r="V183" s="858">
        <v>34110031.879759207</v>
      </c>
      <c r="W183" s="858">
        <v>40981204.624182008</v>
      </c>
      <c r="X183" s="858">
        <v>49433510.513185054</v>
      </c>
      <c r="Y183" s="858">
        <v>59850151.97555203</v>
      </c>
      <c r="Z183" s="858">
        <v>72708958.109540939</v>
      </c>
      <c r="AA183" s="858">
        <v>88605915.614264786</v>
      </c>
      <c r="AB183" s="858">
        <v>108284568.42704327</v>
      </c>
      <c r="AC183" s="858">
        <v>132672751.88270345</v>
      </c>
      <c r="AD183" s="858">
        <v>162928493.63792202</v>
      </c>
      <c r="AE183" s="858">
        <v>200497371.68272012</v>
      </c>
      <c r="AF183" s="869">
        <v>247184192.42566153</v>
      </c>
      <c r="AG183" s="29"/>
      <c r="AH183" s="29"/>
      <c r="AI183" s="29"/>
      <c r="AJ183" s="29"/>
      <c r="AK183" s="29"/>
    </row>
    <row r="184" spans="1:42" ht="21.95" customHeight="1" x14ac:dyDescent="0.2">
      <c r="D184" s="8"/>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row>
    <row r="186" spans="1:42" ht="21.95" customHeight="1" x14ac:dyDescent="0.2">
      <c r="A186" s="226"/>
      <c r="B186" s="227" t="s">
        <v>528</v>
      </c>
    </row>
    <row r="188" spans="1:42" ht="21.95" customHeight="1" thickBot="1" x14ac:dyDescent="0.25">
      <c r="B188" s="561" t="s">
        <v>409</v>
      </c>
    </row>
    <row r="189" spans="1:42" ht="21.95" customHeight="1" thickBot="1" x14ac:dyDescent="0.25">
      <c r="B189" s="870" t="s">
        <v>37</v>
      </c>
      <c r="C189" s="485"/>
      <c r="D189" s="834" t="s">
        <v>25</v>
      </c>
      <c r="E189" s="485" cm="1">
        <f t="array" ref="E189:AF189">year</f>
        <v>2021</v>
      </c>
      <c r="F189" s="485">
        <v>2022</v>
      </c>
      <c r="G189" s="485">
        <v>2023</v>
      </c>
      <c r="H189" s="485">
        <v>2024</v>
      </c>
      <c r="I189" s="485">
        <v>2025</v>
      </c>
      <c r="J189" s="485">
        <v>2026</v>
      </c>
      <c r="K189" s="485">
        <v>2027</v>
      </c>
      <c r="L189" s="485">
        <v>2028</v>
      </c>
      <c r="M189" s="485">
        <v>2029</v>
      </c>
      <c r="N189" s="485">
        <v>2030</v>
      </c>
      <c r="O189" s="485">
        <v>2031</v>
      </c>
      <c r="P189" s="485">
        <v>2032</v>
      </c>
      <c r="Q189" s="485">
        <v>2033</v>
      </c>
      <c r="R189" s="485">
        <v>2034</v>
      </c>
      <c r="S189" s="485">
        <v>2035</v>
      </c>
      <c r="T189" s="485">
        <v>2036</v>
      </c>
      <c r="U189" s="485">
        <v>2037</v>
      </c>
      <c r="V189" s="485">
        <v>2038</v>
      </c>
      <c r="W189" s="485">
        <v>2039</v>
      </c>
      <c r="X189" s="485">
        <v>2040</v>
      </c>
      <c r="Y189" s="485">
        <v>2041</v>
      </c>
      <c r="Z189" s="485">
        <v>2042</v>
      </c>
      <c r="AA189" s="485">
        <v>2043</v>
      </c>
      <c r="AB189" s="485">
        <v>2044</v>
      </c>
      <c r="AC189" s="485">
        <v>2045</v>
      </c>
      <c r="AD189" s="485">
        <v>2046</v>
      </c>
      <c r="AE189" s="485">
        <v>2047</v>
      </c>
      <c r="AF189" s="834">
        <v>2048</v>
      </c>
      <c r="AG189" s="251"/>
      <c r="AH189" s="251"/>
      <c r="AI189" s="251"/>
      <c r="AJ189" s="251"/>
      <c r="AK189" s="251"/>
    </row>
    <row r="190" spans="1:42" ht="21.95" customHeight="1" x14ac:dyDescent="0.2">
      <c r="B190" s="492" t="s">
        <v>32</v>
      </c>
      <c r="C190" s="116"/>
      <c r="D190" s="871">
        <f>SUM(_xlfn.ANCHORARRAY(E190))</f>
        <v>0</v>
      </c>
      <c r="E190" s="577" cm="1">
        <f t="array" ref="E190:AF190">IF(year &gt; endYear, (_xlfn.ANCHORARRAY(E47)+_xlfn.ANCHORARRAY(E51)+_xlfn.ANCHORARRAY(E55)+_xlfn.ANCHORARRAY(E59)+_xlfn.ANCHORARRAY(E63)) - (_xlfn.ANCHORARRAY(E118) +_xlfn.ANCHORARRAY(E122)+_xlfn.ANCHORARRAY(E126)+_xlfn.ANCHORARRAY(E130)+_xlfn.ANCHORARRAY(E134)), 0)</f>
        <v>0</v>
      </c>
      <c r="F190" s="577">
        <v>0</v>
      </c>
      <c r="G190" s="577">
        <v>0</v>
      </c>
      <c r="H190" s="577">
        <v>0</v>
      </c>
      <c r="I190" s="577">
        <v>0</v>
      </c>
      <c r="J190" s="577">
        <v>0</v>
      </c>
      <c r="K190" s="577">
        <v>0</v>
      </c>
      <c r="L190" s="577">
        <v>0</v>
      </c>
      <c r="M190" s="577">
        <v>0</v>
      </c>
      <c r="N190" s="577">
        <v>0</v>
      </c>
      <c r="O190" s="577">
        <v>0</v>
      </c>
      <c r="P190" s="577">
        <v>0</v>
      </c>
      <c r="Q190" s="577">
        <v>0</v>
      </c>
      <c r="R190" s="577">
        <v>0</v>
      </c>
      <c r="S190" s="577">
        <v>0</v>
      </c>
      <c r="T190" s="577">
        <v>0</v>
      </c>
      <c r="U190" s="577">
        <v>0</v>
      </c>
      <c r="V190" s="577">
        <v>0</v>
      </c>
      <c r="W190" s="577">
        <v>0</v>
      </c>
      <c r="X190" s="577">
        <v>0</v>
      </c>
      <c r="Y190" s="577">
        <v>0</v>
      </c>
      <c r="Z190" s="577">
        <v>0</v>
      </c>
      <c r="AA190" s="577">
        <v>0</v>
      </c>
      <c r="AB190" s="577">
        <v>0</v>
      </c>
      <c r="AC190" s="577">
        <v>0</v>
      </c>
      <c r="AD190" s="577">
        <v>0</v>
      </c>
      <c r="AE190" s="577">
        <v>0</v>
      </c>
      <c r="AF190" s="752">
        <v>0</v>
      </c>
      <c r="AG190" s="17"/>
      <c r="AH190" s="17"/>
      <c r="AI190" s="17"/>
      <c r="AJ190" s="17"/>
      <c r="AK190" s="17"/>
    </row>
    <row r="191" spans="1:42" ht="21.95" customHeight="1" x14ac:dyDescent="0.2">
      <c r="B191" s="492" t="s">
        <v>33</v>
      </c>
      <c r="C191" s="116"/>
      <c r="D191" s="871">
        <f t="shared" ref="D191:D193" si="56">SUM(_xlfn.ANCHORARRAY(E191))</f>
        <v>112.65193693512667</v>
      </c>
      <c r="E191" s="577" cm="1">
        <f t="array" ref="E191:AF191">IF(year &gt; endYear, (_xlfn.ANCHORARRAY(E48)+_xlfn.ANCHORARRAY(E52)+_xlfn.ANCHORARRAY(E56)+_xlfn.ANCHORARRAY(E60)+_xlfn.ANCHORARRAY(E64)) - (_xlfn.ANCHORARRAY(E119)+_xlfn.ANCHORARRAY(E123)+_xlfn.ANCHORARRAY(E127)+_xlfn.ANCHORARRAY(E131)+_xlfn.ANCHORARRAY(E135)), 0)</f>
        <v>0</v>
      </c>
      <c r="F191" s="577">
        <v>0</v>
      </c>
      <c r="G191" s="577">
        <v>0</v>
      </c>
      <c r="H191" s="577">
        <v>0</v>
      </c>
      <c r="I191" s="577">
        <v>0</v>
      </c>
      <c r="J191" s="577">
        <v>0</v>
      </c>
      <c r="K191" s="577">
        <v>0</v>
      </c>
      <c r="L191" s="577">
        <v>0</v>
      </c>
      <c r="M191" s="577">
        <v>1.3421208715246911</v>
      </c>
      <c r="N191" s="577">
        <v>1.5018190577177233</v>
      </c>
      <c r="O191" s="577">
        <v>1.6835858543686699</v>
      </c>
      <c r="P191" s="577">
        <v>1.8907992386311498</v>
      </c>
      <c r="Q191" s="577">
        <v>2.127388414145722</v>
      </c>
      <c r="R191" s="577">
        <v>2.3979275963106428</v>
      </c>
      <c r="S191" s="577">
        <v>2.7077462464259874</v>
      </c>
      <c r="T191" s="577">
        <v>3.0630587108071232</v>
      </c>
      <c r="U191" s="577">
        <v>3.4711167632167435</v>
      </c>
      <c r="V191" s="577">
        <v>3.9403891924318568</v>
      </c>
      <c r="W191" s="577">
        <v>4.4807733406123837</v>
      </c>
      <c r="X191" s="577">
        <v>5.1038444052159555</v>
      </c>
      <c r="Y191" s="577">
        <v>5.8231493947386035</v>
      </c>
      <c r="Z191" s="577">
        <v>6.6545539090190573</v>
      </c>
      <c r="AA191" s="577">
        <v>7.6166514369424902</v>
      </c>
      <c r="AB191" s="577">
        <v>8.7312466743005359</v>
      </c>
      <c r="AC191" s="577">
        <v>10.023926517410118</v>
      </c>
      <c r="AD191" s="577">
        <v>11.524734949617937</v>
      </c>
      <c r="AE191" s="577">
        <v>13.268971086507619</v>
      </c>
      <c r="AF191" s="752">
        <v>15.298133275181655</v>
      </c>
      <c r="AG191" s="17"/>
      <c r="AH191" s="17"/>
      <c r="AI191" s="17"/>
      <c r="AJ191" s="17"/>
      <c r="AK191" s="17"/>
    </row>
    <row r="192" spans="1:42" ht="21.95" customHeight="1" x14ac:dyDescent="0.2">
      <c r="B192" s="492" t="s">
        <v>30</v>
      </c>
      <c r="C192" s="116"/>
      <c r="D192" s="871">
        <f t="shared" si="56"/>
        <v>19.780748233850648</v>
      </c>
      <c r="E192" s="577" cm="1">
        <f t="array" ref="E192:AF192">IF(year &gt; endYear, (_xlfn.ANCHORARRAY(E49)+_xlfn.ANCHORARRAY(E53)+_xlfn.ANCHORARRAY(E57)+_xlfn.ANCHORARRAY(E61)+_xlfn.ANCHORARRAY(E65)) - (_xlfn.ANCHORARRAY(E120)+_xlfn.ANCHORARRAY(E124)+_xlfn.ANCHORARRAY(E128)+_xlfn.ANCHORARRAY(E132)+_xlfn.ANCHORARRAY(E136)), 0)</f>
        <v>0</v>
      </c>
      <c r="F192" s="577">
        <v>0</v>
      </c>
      <c r="G192" s="577">
        <v>0</v>
      </c>
      <c r="H192" s="577">
        <v>0</v>
      </c>
      <c r="I192" s="577">
        <v>0</v>
      </c>
      <c r="J192" s="577">
        <v>0</v>
      </c>
      <c r="K192" s="577">
        <v>0</v>
      </c>
      <c r="L192" s="577">
        <v>0</v>
      </c>
      <c r="M192" s="577">
        <v>0.48978493641952969</v>
      </c>
      <c r="N192" s="577">
        <v>0.52339797866695204</v>
      </c>
      <c r="O192" s="577">
        <v>0.5593178223799038</v>
      </c>
      <c r="P192" s="577">
        <v>0.59770277911382896</v>
      </c>
      <c r="Q192" s="577">
        <v>0.63872202505598263</v>
      </c>
      <c r="R192" s="577">
        <v>0.68255634664519516</v>
      </c>
      <c r="S192" s="577">
        <v>0.72939893736215256</v>
      </c>
      <c r="T192" s="577">
        <v>0.77945624920193168</v>
      </c>
      <c r="U192" s="577">
        <v>0.83294890258153664</v>
      </c>
      <c r="V192" s="577">
        <v>0.89011265869271927</v>
      </c>
      <c r="W192" s="577">
        <v>0.9511994585855934</v>
      </c>
      <c r="X192" s="577">
        <v>1.0164785335626485</v>
      </c>
      <c r="Y192" s="577">
        <v>1.086237591777075</v>
      </c>
      <c r="Z192" s="577">
        <v>1.1607840862651502</v>
      </c>
      <c r="AA192" s="577">
        <v>1.2404465700013692</v>
      </c>
      <c r="AB192" s="577">
        <v>1.3255761439485187</v>
      </c>
      <c r="AC192" s="577">
        <v>1.416548004484774</v>
      </c>
      <c r="AD192" s="577">
        <v>1.5137630970278897</v>
      </c>
      <c r="AE192" s="577">
        <v>1.6176498831445691</v>
      </c>
      <c r="AF192" s="752">
        <v>1.7286662289333279</v>
      </c>
      <c r="AG192" s="17"/>
      <c r="AH192" s="17"/>
      <c r="AI192" s="17"/>
      <c r="AJ192" s="17"/>
      <c r="AK192" s="17"/>
    </row>
    <row r="193" spans="2:37" ht="21.95" customHeight="1" thickBot="1" x14ac:dyDescent="0.25">
      <c r="B193" s="872" t="s">
        <v>25</v>
      </c>
      <c r="C193" s="873"/>
      <c r="D193" s="874">
        <f t="shared" si="56"/>
        <v>132.43268516897732</v>
      </c>
      <c r="E193" s="875" cm="1">
        <f t="array" ref="E193:AF193">_xlfn.ANCHORARRAY(E190) +_xlfn.ANCHORARRAY( E191) +_xlfn.ANCHORARRAY( E192)</f>
        <v>0</v>
      </c>
      <c r="F193" s="875">
        <v>0</v>
      </c>
      <c r="G193" s="875">
        <v>0</v>
      </c>
      <c r="H193" s="875">
        <v>0</v>
      </c>
      <c r="I193" s="875">
        <v>0</v>
      </c>
      <c r="J193" s="875">
        <v>0</v>
      </c>
      <c r="K193" s="875">
        <v>0</v>
      </c>
      <c r="L193" s="875">
        <v>0</v>
      </c>
      <c r="M193" s="875">
        <v>1.8319058079442208</v>
      </c>
      <c r="N193" s="875">
        <v>2.0252170363846753</v>
      </c>
      <c r="O193" s="875">
        <v>2.2429036767485737</v>
      </c>
      <c r="P193" s="875">
        <v>2.4885020177449788</v>
      </c>
      <c r="Q193" s="875">
        <v>2.7661104392017046</v>
      </c>
      <c r="R193" s="875">
        <v>3.0804839429558379</v>
      </c>
      <c r="S193" s="875">
        <v>3.4371451837881399</v>
      </c>
      <c r="T193" s="875">
        <v>3.8425149600090549</v>
      </c>
      <c r="U193" s="875">
        <v>4.3040656657982801</v>
      </c>
      <c r="V193" s="875">
        <v>4.8305018511245761</v>
      </c>
      <c r="W193" s="875">
        <v>5.4319727991979772</v>
      </c>
      <c r="X193" s="875">
        <v>6.120322938778604</v>
      </c>
      <c r="Y193" s="875">
        <v>6.9093869865156785</v>
      </c>
      <c r="Z193" s="875">
        <v>7.8153379952842075</v>
      </c>
      <c r="AA193" s="875">
        <v>8.8570980069438594</v>
      </c>
      <c r="AB193" s="875">
        <v>10.056822818249055</v>
      </c>
      <c r="AC193" s="875">
        <v>11.440474521894892</v>
      </c>
      <c r="AD193" s="875">
        <v>13.038498046645827</v>
      </c>
      <c r="AE193" s="846">
        <v>14.886620969652189</v>
      </c>
      <c r="AF193" s="863">
        <v>17.026799504114983</v>
      </c>
      <c r="AG193" s="38"/>
      <c r="AH193" s="38"/>
      <c r="AI193" s="38"/>
      <c r="AJ193" s="38"/>
      <c r="AK193" s="38"/>
    </row>
    <row r="194" spans="2:37" ht="21.95" customHeight="1" x14ac:dyDescent="0.2">
      <c r="C194" s="8"/>
      <c r="D194" s="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row>
    <row r="195" spans="2:37" ht="21.95" customHeight="1" thickBot="1" x14ac:dyDescent="0.25">
      <c r="B195" s="561" t="s">
        <v>404</v>
      </c>
      <c r="C195" s="8"/>
      <c r="D195" s="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row>
    <row r="196" spans="2:37" ht="21.95" customHeight="1" thickBot="1" x14ac:dyDescent="0.25">
      <c r="B196" s="870" t="s">
        <v>18</v>
      </c>
      <c r="C196" s="485"/>
      <c r="D196" s="834" t="s">
        <v>133</v>
      </c>
      <c r="E196" s="485" cm="1">
        <f t="array" ref="E196:AF196">year</f>
        <v>2021</v>
      </c>
      <c r="F196" s="485">
        <v>2022</v>
      </c>
      <c r="G196" s="485">
        <v>2023</v>
      </c>
      <c r="H196" s="485">
        <v>2024</v>
      </c>
      <c r="I196" s="485">
        <v>2025</v>
      </c>
      <c r="J196" s="485">
        <v>2026</v>
      </c>
      <c r="K196" s="485">
        <v>2027</v>
      </c>
      <c r="L196" s="485">
        <v>2028</v>
      </c>
      <c r="M196" s="485">
        <v>2029</v>
      </c>
      <c r="N196" s="485">
        <v>2030</v>
      </c>
      <c r="O196" s="485">
        <v>2031</v>
      </c>
      <c r="P196" s="485">
        <v>2032</v>
      </c>
      <c r="Q196" s="485">
        <v>2033</v>
      </c>
      <c r="R196" s="485">
        <v>2034</v>
      </c>
      <c r="S196" s="485">
        <v>2035</v>
      </c>
      <c r="T196" s="485">
        <v>2036</v>
      </c>
      <c r="U196" s="485">
        <v>2037</v>
      </c>
      <c r="V196" s="485">
        <v>2038</v>
      </c>
      <c r="W196" s="485">
        <v>2039</v>
      </c>
      <c r="X196" s="485">
        <v>2040</v>
      </c>
      <c r="Y196" s="485">
        <v>2041</v>
      </c>
      <c r="Z196" s="485">
        <v>2042</v>
      </c>
      <c r="AA196" s="485">
        <v>2043</v>
      </c>
      <c r="AB196" s="485">
        <v>2044</v>
      </c>
      <c r="AC196" s="485">
        <v>2045</v>
      </c>
      <c r="AD196" s="485">
        <v>2046</v>
      </c>
      <c r="AE196" s="485">
        <v>2047</v>
      </c>
      <c r="AF196" s="834">
        <v>2048</v>
      </c>
      <c r="AG196" s="250"/>
      <c r="AH196" s="250"/>
      <c r="AI196" s="250"/>
      <c r="AJ196" s="250"/>
      <c r="AK196" s="250"/>
    </row>
    <row r="197" spans="2:37" ht="21.95" customHeight="1" x14ac:dyDescent="0.2">
      <c r="B197" s="876" t="s">
        <v>427</v>
      </c>
      <c r="C197" s="228"/>
      <c r="D197" s="877" cm="1">
        <f t="array" ref="D197">SUM(_xlfn.ANCHORARRAY(E197) * discountAnnual)</f>
        <v>2145897.7826569984</v>
      </c>
      <c r="E197" s="847" cm="1">
        <f t="array" ref="E197:AF197">IF(year &gt; endYear,_xlfn.ANCHORARRAY( E83) -_xlfn.ANCHORARRAY( E154), 0)</f>
        <v>0</v>
      </c>
      <c r="F197" s="847">
        <v>0</v>
      </c>
      <c r="G197" s="847">
        <v>0</v>
      </c>
      <c r="H197" s="847">
        <v>0</v>
      </c>
      <c r="I197" s="847">
        <v>0</v>
      </c>
      <c r="J197" s="847">
        <v>0</v>
      </c>
      <c r="K197" s="847">
        <v>0</v>
      </c>
      <c r="L197" s="847">
        <v>0</v>
      </c>
      <c r="M197" s="847">
        <v>186608.06077584089</v>
      </c>
      <c r="N197" s="847">
        <v>199414.62987210869</v>
      </c>
      <c r="O197" s="847">
        <v>213100.09032674343</v>
      </c>
      <c r="P197" s="847">
        <v>227724.75884236861</v>
      </c>
      <c r="Q197" s="847">
        <v>243353.09154632967</v>
      </c>
      <c r="R197" s="847">
        <v>260053.96807181952</v>
      </c>
      <c r="S197" s="847">
        <v>277900.99513498042</v>
      </c>
      <c r="T197" s="847">
        <v>296972.83094593626</v>
      </c>
      <c r="U197" s="847">
        <v>317353.53188356571</v>
      </c>
      <c r="V197" s="847">
        <v>339132.92296192632</v>
      </c>
      <c r="W197" s="847">
        <v>362406.99372111098</v>
      </c>
      <c r="X197" s="847">
        <v>387278.32128736889</v>
      </c>
      <c r="Y197" s="847">
        <v>413856.52246706514</v>
      </c>
      <c r="Z197" s="847">
        <v>442258.73686702223</v>
      </c>
      <c r="AA197" s="847">
        <v>472610.14317052159</v>
      </c>
      <c r="AB197" s="847">
        <v>505044.51084438572</v>
      </c>
      <c r="AC197" s="847">
        <v>539704.7897086991</v>
      </c>
      <c r="AD197" s="847">
        <v>576743.73996762652</v>
      </c>
      <c r="AE197" s="847">
        <v>616324.60547808046</v>
      </c>
      <c r="AF197" s="848">
        <v>658621.83322359808</v>
      </c>
      <c r="AG197" s="26"/>
      <c r="AH197" s="26"/>
      <c r="AI197" s="26"/>
      <c r="AJ197" s="26"/>
      <c r="AK197" s="26"/>
    </row>
    <row r="198" spans="2:37" ht="21.95" customHeight="1" x14ac:dyDescent="0.2">
      <c r="B198" s="492" t="s">
        <v>428</v>
      </c>
      <c r="C198" s="116"/>
      <c r="D198" s="848" cm="1">
        <f t="array" ref="D198">SUM(_xlfn.ANCHORARRAY(E198) * discountAnnual)</f>
        <v>4479785.4581537507</v>
      </c>
      <c r="E198" s="847" cm="1">
        <f t="array" ref="E198:AF198">IF(year &gt; endYear,_xlfn.ANCHORARRAY( E87) -_xlfn.ANCHORARRAY( E158), 0)</f>
        <v>0</v>
      </c>
      <c r="F198" s="847">
        <v>0</v>
      </c>
      <c r="G198" s="847">
        <v>0</v>
      </c>
      <c r="H198" s="847">
        <v>0</v>
      </c>
      <c r="I198" s="847">
        <v>0</v>
      </c>
      <c r="J198" s="847">
        <v>0</v>
      </c>
      <c r="K198" s="847">
        <v>0</v>
      </c>
      <c r="L198" s="847">
        <v>0</v>
      </c>
      <c r="M198" s="847">
        <v>180562.27902982803</v>
      </c>
      <c r="N198" s="847">
        <v>207415.06781767431</v>
      </c>
      <c r="O198" s="847">
        <v>238261.33890735608</v>
      </c>
      <c r="P198" s="847">
        <v>273694.99340244464</v>
      </c>
      <c r="Q198" s="847">
        <v>314398.25595327193</v>
      </c>
      <c r="R198" s="847">
        <v>361154.81002282823</v>
      </c>
      <c r="S198" s="847">
        <v>414864.88659787923</v>
      </c>
      <c r="T198" s="847">
        <v>476562.59685698804</v>
      </c>
      <c r="U198" s="847">
        <v>547435.84251132654</v>
      </c>
      <c r="V198" s="847">
        <v>628849.18716358882</v>
      </c>
      <c r="W198" s="847">
        <v>722370.12904050876</v>
      </c>
      <c r="X198" s="847">
        <v>829799.28094310337</v>
      </c>
      <c r="Y198" s="847">
        <v>953205.03848668723</v>
      </c>
      <c r="Z198" s="847">
        <v>1094963.4041183351</v>
      </c>
      <c r="AA198" s="847">
        <v>1257803.7336666437</v>
      </c>
      <c r="AB198" s="847">
        <v>1444861.2862085858</v>
      </c>
      <c r="AC198" s="847">
        <v>1659737.5890264397</v>
      </c>
      <c r="AD198" s="847">
        <v>1906569.7798962377</v>
      </c>
      <c r="AE198" s="847">
        <v>2190110.261794935</v>
      </c>
      <c r="AF198" s="848">
        <v>2515818.203664449</v>
      </c>
      <c r="AG198" s="26"/>
      <c r="AH198" s="26"/>
      <c r="AI198" s="26"/>
      <c r="AJ198" s="26"/>
      <c r="AK198" s="26"/>
    </row>
    <row r="199" spans="2:37" ht="21.95" customHeight="1" x14ac:dyDescent="0.2">
      <c r="B199" s="492" t="s">
        <v>429</v>
      </c>
      <c r="C199" s="116"/>
      <c r="D199" s="848" cm="1">
        <f t="array" ref="D199">SUM(_xlfn.ANCHORARRAY(E199) * discountAnnual)</f>
        <v>0</v>
      </c>
      <c r="E199" s="847" cm="1">
        <f t="array" ref="E199:AF199">IF(year &gt; endYear,_xlfn.ANCHORARRAY( E91) -_xlfn.ANCHORARRAY( E162), 0)</f>
        <v>0</v>
      </c>
      <c r="F199" s="847">
        <v>0</v>
      </c>
      <c r="G199" s="847">
        <v>0</v>
      </c>
      <c r="H199" s="847">
        <v>0</v>
      </c>
      <c r="I199" s="847">
        <v>0</v>
      </c>
      <c r="J199" s="847">
        <v>0</v>
      </c>
      <c r="K199" s="847">
        <v>0</v>
      </c>
      <c r="L199" s="847">
        <v>0</v>
      </c>
      <c r="M199" s="847">
        <v>0</v>
      </c>
      <c r="N199" s="847">
        <v>0</v>
      </c>
      <c r="O199" s="847">
        <v>0</v>
      </c>
      <c r="P199" s="847">
        <v>0</v>
      </c>
      <c r="Q199" s="847">
        <v>0</v>
      </c>
      <c r="R199" s="847">
        <v>0</v>
      </c>
      <c r="S199" s="847">
        <v>0</v>
      </c>
      <c r="T199" s="847">
        <v>0</v>
      </c>
      <c r="U199" s="847">
        <v>0</v>
      </c>
      <c r="V199" s="847">
        <v>0</v>
      </c>
      <c r="W199" s="847">
        <v>0</v>
      </c>
      <c r="X199" s="847">
        <v>0</v>
      </c>
      <c r="Y199" s="847">
        <v>0</v>
      </c>
      <c r="Z199" s="847">
        <v>0</v>
      </c>
      <c r="AA199" s="847">
        <v>0</v>
      </c>
      <c r="AB199" s="847">
        <v>0</v>
      </c>
      <c r="AC199" s="847">
        <v>0</v>
      </c>
      <c r="AD199" s="847">
        <v>0</v>
      </c>
      <c r="AE199" s="847">
        <v>0</v>
      </c>
      <c r="AF199" s="848">
        <v>0</v>
      </c>
      <c r="AG199" s="26"/>
      <c r="AH199" s="26"/>
      <c r="AI199" s="26"/>
      <c r="AJ199" s="26"/>
      <c r="AK199" s="26"/>
    </row>
    <row r="200" spans="2:37" ht="21.95" customHeight="1" x14ac:dyDescent="0.2">
      <c r="B200" s="492" t="s">
        <v>430</v>
      </c>
      <c r="C200" s="116"/>
      <c r="D200" s="848" cm="1">
        <f t="array" ref="D200">SUM(_xlfn.ANCHORARRAY(E200) * discountAnnual)</f>
        <v>2060277.8425318056</v>
      </c>
      <c r="E200" s="847" cm="1">
        <f t="array" ref="E200:AF200">IF(year &gt; endYear,_xlfn.ANCHORARRAY( E95) -_xlfn.ANCHORARRAY( E166), 0)</f>
        <v>0</v>
      </c>
      <c r="F200" s="847">
        <v>0</v>
      </c>
      <c r="G200" s="847">
        <v>0</v>
      </c>
      <c r="H200" s="847">
        <v>0</v>
      </c>
      <c r="I200" s="847">
        <v>0</v>
      </c>
      <c r="J200" s="847">
        <v>0</v>
      </c>
      <c r="K200" s="847">
        <v>0</v>
      </c>
      <c r="L200" s="847">
        <v>0</v>
      </c>
      <c r="M200" s="847">
        <v>48285.432144444814</v>
      </c>
      <c r="N200" s="847">
        <v>57942.518573333771</v>
      </c>
      <c r="O200" s="847">
        <v>69531.02228800056</v>
      </c>
      <c r="P200" s="847">
        <v>83437.226745600638</v>
      </c>
      <c r="Q200" s="847">
        <v>100124.67209472077</v>
      </c>
      <c r="R200" s="847">
        <v>120149.60651366494</v>
      </c>
      <c r="S200" s="847">
        <v>144179.52781639795</v>
      </c>
      <c r="T200" s="847">
        <v>173015.43337967736</v>
      </c>
      <c r="U200" s="847">
        <v>207618.52005561278</v>
      </c>
      <c r="V200" s="847">
        <v>249142.22406673571</v>
      </c>
      <c r="W200" s="847">
        <v>298970.66888008267</v>
      </c>
      <c r="X200" s="847">
        <v>358764.8026560992</v>
      </c>
      <c r="Y200" s="847">
        <v>430517.76318731881</v>
      </c>
      <c r="Z200" s="847">
        <v>516621.31582478294</v>
      </c>
      <c r="AA200" s="847">
        <v>619945.57898973953</v>
      </c>
      <c r="AB200" s="847">
        <v>743934.69478768716</v>
      </c>
      <c r="AC200" s="847">
        <v>892721.63374522468</v>
      </c>
      <c r="AD200" s="847">
        <v>1071265.9604942696</v>
      </c>
      <c r="AE200" s="847">
        <v>1285519.1525931228</v>
      </c>
      <c r="AF200" s="848">
        <v>1542622.9831117475</v>
      </c>
      <c r="AG200" s="26"/>
      <c r="AH200" s="26"/>
      <c r="AI200" s="26"/>
      <c r="AJ200" s="26"/>
      <c r="AK200" s="26"/>
    </row>
    <row r="201" spans="2:37" ht="21.95" customHeight="1" x14ac:dyDescent="0.2">
      <c r="B201" s="492" t="s">
        <v>431</v>
      </c>
      <c r="C201" s="116"/>
      <c r="D201" s="848" cm="1">
        <f t="array" ref="D201">SUM(_xlfn.ANCHORARRAY(E201) * discountAnnual)</f>
        <v>0</v>
      </c>
      <c r="E201" s="847" cm="1">
        <f t="array" ref="E201:AF201">IF(year &gt; endYear,_xlfn.ANCHORARRAY( E99) -_xlfn.ANCHORARRAY( E170), 0)</f>
        <v>0</v>
      </c>
      <c r="F201" s="847">
        <v>0</v>
      </c>
      <c r="G201" s="847">
        <v>0</v>
      </c>
      <c r="H201" s="847">
        <v>0</v>
      </c>
      <c r="I201" s="847">
        <v>0</v>
      </c>
      <c r="J201" s="847">
        <v>0</v>
      </c>
      <c r="K201" s="847">
        <v>0</v>
      </c>
      <c r="L201" s="847">
        <v>0</v>
      </c>
      <c r="M201" s="847">
        <v>0</v>
      </c>
      <c r="N201" s="847">
        <v>0</v>
      </c>
      <c r="O201" s="847">
        <v>0</v>
      </c>
      <c r="P201" s="847">
        <v>0</v>
      </c>
      <c r="Q201" s="847">
        <v>0</v>
      </c>
      <c r="R201" s="847">
        <v>0</v>
      </c>
      <c r="S201" s="847">
        <v>0</v>
      </c>
      <c r="T201" s="847">
        <v>0</v>
      </c>
      <c r="U201" s="847">
        <v>0</v>
      </c>
      <c r="V201" s="847">
        <v>0</v>
      </c>
      <c r="W201" s="847">
        <v>0</v>
      </c>
      <c r="X201" s="847">
        <v>0</v>
      </c>
      <c r="Y201" s="847">
        <v>0</v>
      </c>
      <c r="Z201" s="847">
        <v>0</v>
      </c>
      <c r="AA201" s="847">
        <v>0</v>
      </c>
      <c r="AB201" s="847">
        <v>0</v>
      </c>
      <c r="AC201" s="847">
        <v>0</v>
      </c>
      <c r="AD201" s="847">
        <v>0</v>
      </c>
      <c r="AE201" s="847">
        <v>0</v>
      </c>
      <c r="AF201" s="848">
        <v>0</v>
      </c>
      <c r="AG201" s="26"/>
      <c r="AH201" s="26"/>
      <c r="AI201" s="26"/>
      <c r="AJ201" s="26"/>
      <c r="AK201" s="26"/>
    </row>
    <row r="202" spans="2:37" ht="21.95" customHeight="1" thickBot="1" x14ac:dyDescent="0.25">
      <c r="B202" s="872" t="s">
        <v>25</v>
      </c>
      <c r="C202" s="873"/>
      <c r="D202" s="878" cm="1">
        <f t="array" ref="D202">SUM(_xlfn.ANCHORARRAY(E202) * discountAnnual)</f>
        <v>8685961.083342554</v>
      </c>
      <c r="E202" s="858" cm="1">
        <f t="array" ref="E202:AF202">_xlfn.ANCHORARRAY(E197) +_xlfn.ANCHORARRAY( E198) +_xlfn.ANCHORARRAY( E199) +_xlfn.ANCHORARRAY( E200)+_xlfn.ANCHORARRAY( E201)</f>
        <v>0</v>
      </c>
      <c r="F202" s="858">
        <v>0</v>
      </c>
      <c r="G202" s="858">
        <v>0</v>
      </c>
      <c r="H202" s="858">
        <v>0</v>
      </c>
      <c r="I202" s="858">
        <v>0</v>
      </c>
      <c r="J202" s="858">
        <v>0</v>
      </c>
      <c r="K202" s="858">
        <v>0</v>
      </c>
      <c r="L202" s="858">
        <v>0</v>
      </c>
      <c r="M202" s="858">
        <v>415455.7719501137</v>
      </c>
      <c r="N202" s="858">
        <v>464772.2162631168</v>
      </c>
      <c r="O202" s="858">
        <v>520892.45152210008</v>
      </c>
      <c r="P202" s="858">
        <v>584856.97899041395</v>
      </c>
      <c r="Q202" s="858">
        <v>657876.01959432231</v>
      </c>
      <c r="R202" s="858">
        <v>741358.38460831263</v>
      </c>
      <c r="S202" s="858">
        <v>836945.4095492576</v>
      </c>
      <c r="T202" s="858">
        <v>946550.86118260166</v>
      </c>
      <c r="U202" s="858">
        <v>1072407.894450505</v>
      </c>
      <c r="V202" s="858">
        <v>1217124.3341922509</v>
      </c>
      <c r="W202" s="858">
        <v>1383747.7916417024</v>
      </c>
      <c r="X202" s="858">
        <v>1575842.4048865715</v>
      </c>
      <c r="Y202" s="858">
        <v>1797579.3241410712</v>
      </c>
      <c r="Z202" s="858">
        <v>2053843.4568101403</v>
      </c>
      <c r="AA202" s="858">
        <v>2350359.4558269046</v>
      </c>
      <c r="AB202" s="858">
        <v>2693840.4918406587</v>
      </c>
      <c r="AC202" s="858">
        <v>3092164.0124803637</v>
      </c>
      <c r="AD202" s="858">
        <v>3554579.480358134</v>
      </c>
      <c r="AE202" s="879">
        <v>4091954.0198661382</v>
      </c>
      <c r="AF202" s="880">
        <v>4717063.0199997947</v>
      </c>
      <c r="AG202" s="25"/>
      <c r="AH202" s="25"/>
      <c r="AI202" s="25"/>
      <c r="AJ202" s="25"/>
      <c r="AK202" s="25"/>
    </row>
    <row r="204" spans="2:37" ht="21.95" customHeight="1" thickBot="1" x14ac:dyDescent="0.25">
      <c r="B204" s="561" t="s">
        <v>405</v>
      </c>
      <c r="C204" s="8"/>
      <c r="D204" s="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row>
    <row r="205" spans="2:37" ht="21.95" customHeight="1" thickBot="1" x14ac:dyDescent="0.25">
      <c r="B205" s="870" t="s">
        <v>37</v>
      </c>
      <c r="C205" s="485"/>
      <c r="D205" s="834" t="s">
        <v>133</v>
      </c>
      <c r="E205" s="485" cm="1">
        <f t="array" ref="E205:AF205">year</f>
        <v>2021</v>
      </c>
      <c r="F205" s="485">
        <v>2022</v>
      </c>
      <c r="G205" s="485">
        <v>2023</v>
      </c>
      <c r="H205" s="485">
        <v>2024</v>
      </c>
      <c r="I205" s="485">
        <v>2025</v>
      </c>
      <c r="J205" s="485">
        <v>2026</v>
      </c>
      <c r="K205" s="485">
        <v>2027</v>
      </c>
      <c r="L205" s="485">
        <v>2028</v>
      </c>
      <c r="M205" s="485">
        <v>2029</v>
      </c>
      <c r="N205" s="485">
        <v>2030</v>
      </c>
      <c r="O205" s="485">
        <v>2031</v>
      </c>
      <c r="P205" s="485">
        <v>2032</v>
      </c>
      <c r="Q205" s="485">
        <v>2033</v>
      </c>
      <c r="R205" s="485">
        <v>2034</v>
      </c>
      <c r="S205" s="485">
        <v>2035</v>
      </c>
      <c r="T205" s="485">
        <v>2036</v>
      </c>
      <c r="U205" s="485">
        <v>2037</v>
      </c>
      <c r="V205" s="485">
        <v>2038</v>
      </c>
      <c r="W205" s="485">
        <v>2039</v>
      </c>
      <c r="X205" s="485">
        <v>2040</v>
      </c>
      <c r="Y205" s="485">
        <v>2041</v>
      </c>
      <c r="Z205" s="485">
        <v>2042</v>
      </c>
      <c r="AA205" s="485">
        <v>2043</v>
      </c>
      <c r="AB205" s="485">
        <v>2044</v>
      </c>
      <c r="AC205" s="485">
        <v>2045</v>
      </c>
      <c r="AD205" s="485">
        <v>2046</v>
      </c>
      <c r="AE205" s="485">
        <v>2047</v>
      </c>
      <c r="AF205" s="834">
        <v>2048</v>
      </c>
      <c r="AG205" s="250"/>
      <c r="AH205" s="250"/>
      <c r="AI205" s="250"/>
      <c r="AJ205" s="250"/>
      <c r="AK205" s="250"/>
    </row>
    <row r="206" spans="2:37" ht="21.95" customHeight="1" x14ac:dyDescent="0.2">
      <c r="B206" s="492" t="s">
        <v>32</v>
      </c>
      <c r="C206" s="228"/>
      <c r="D206" s="848" cm="1">
        <f t="array" ref="D206">SUM(_xlfn.ANCHORARRAY(E206) * discountAnnual)</f>
        <v>0</v>
      </c>
      <c r="E206" s="855" cm="1">
        <f t="array" ref="E206:AF206">_xlfn.ANCHORARRAY(E190) * costLife</f>
        <v>0</v>
      </c>
      <c r="F206" s="855">
        <v>0</v>
      </c>
      <c r="G206" s="855">
        <v>0</v>
      </c>
      <c r="H206" s="855">
        <v>0</v>
      </c>
      <c r="I206" s="855">
        <v>0</v>
      </c>
      <c r="J206" s="855">
        <v>0</v>
      </c>
      <c r="K206" s="855">
        <v>0</v>
      </c>
      <c r="L206" s="855">
        <v>0</v>
      </c>
      <c r="M206" s="855">
        <v>0</v>
      </c>
      <c r="N206" s="855">
        <v>0</v>
      </c>
      <c r="O206" s="855">
        <v>0</v>
      </c>
      <c r="P206" s="855">
        <v>0</v>
      </c>
      <c r="Q206" s="855">
        <v>0</v>
      </c>
      <c r="R206" s="855">
        <v>0</v>
      </c>
      <c r="S206" s="855">
        <v>0</v>
      </c>
      <c r="T206" s="855">
        <v>0</v>
      </c>
      <c r="U206" s="855">
        <v>0</v>
      </c>
      <c r="V206" s="855">
        <v>0</v>
      </c>
      <c r="W206" s="855">
        <v>0</v>
      </c>
      <c r="X206" s="855">
        <v>0</v>
      </c>
      <c r="Y206" s="855">
        <v>0</v>
      </c>
      <c r="Z206" s="855">
        <v>0</v>
      </c>
      <c r="AA206" s="855">
        <v>0</v>
      </c>
      <c r="AB206" s="855">
        <v>0</v>
      </c>
      <c r="AC206" s="855">
        <v>0</v>
      </c>
      <c r="AD206" s="855">
        <v>0</v>
      </c>
      <c r="AE206" s="855">
        <v>0</v>
      </c>
      <c r="AF206" s="848">
        <v>0</v>
      </c>
      <c r="AG206" s="26"/>
      <c r="AH206" s="26"/>
      <c r="AI206" s="26"/>
      <c r="AJ206" s="26"/>
      <c r="AK206" s="26"/>
    </row>
    <row r="207" spans="2:37" ht="21.95" customHeight="1" x14ac:dyDescent="0.2">
      <c r="B207" s="492" t="s">
        <v>33</v>
      </c>
      <c r="C207" s="228"/>
      <c r="D207" s="848" cm="1">
        <f t="array" ref="D207">SUM(_xlfn.ANCHORARRAY(E207) * discountAnnual)</f>
        <v>8658926.1506476626</v>
      </c>
      <c r="E207" s="855" cm="1">
        <f t="array" ref="E207:AF207">_xlfn.ANCHORARRAY(E191) * costInjury</f>
        <v>0</v>
      </c>
      <c r="F207" s="855">
        <v>0</v>
      </c>
      <c r="G207" s="855">
        <v>0</v>
      </c>
      <c r="H207" s="855">
        <v>0</v>
      </c>
      <c r="I207" s="855">
        <v>0</v>
      </c>
      <c r="J207" s="855">
        <v>0</v>
      </c>
      <c r="K207" s="855">
        <v>0</v>
      </c>
      <c r="L207" s="855">
        <v>0</v>
      </c>
      <c r="M207" s="855">
        <v>413104.80425529991</v>
      </c>
      <c r="N207" s="855">
        <v>462259.90596551524</v>
      </c>
      <c r="O207" s="855">
        <v>518207.72597467661</v>
      </c>
      <c r="P207" s="855">
        <v>581988.00565066794</v>
      </c>
      <c r="Q207" s="855">
        <v>654810.15387405327</v>
      </c>
      <c r="R207" s="855">
        <v>738082.11414441583</v>
      </c>
      <c r="S207" s="855">
        <v>833444.29464991891</v>
      </c>
      <c r="T207" s="855">
        <v>942809.47118643252</v>
      </c>
      <c r="U207" s="855">
        <v>1068409.7397181136</v>
      </c>
      <c r="V207" s="855">
        <v>1212851.7934305256</v>
      </c>
      <c r="W207" s="855">
        <v>1379182.0342404917</v>
      </c>
      <c r="X207" s="855">
        <v>1570963.3079254711</v>
      </c>
      <c r="Y207" s="855">
        <v>1792365.3837005422</v>
      </c>
      <c r="Z207" s="855">
        <v>2048271.6931960657</v>
      </c>
      <c r="AA207" s="855">
        <v>2344405.3122908985</v>
      </c>
      <c r="AB207" s="855">
        <v>2687477.7263497049</v>
      </c>
      <c r="AC207" s="855">
        <v>3085364.5820588344</v>
      </c>
      <c r="AD207" s="855">
        <v>3547313.4174924009</v>
      </c>
      <c r="AE207" s="855">
        <v>4084189.3004270452</v>
      </c>
      <c r="AF207" s="848">
        <v>4708765.4221009137</v>
      </c>
      <c r="AG207" s="26"/>
      <c r="AH207" s="26"/>
      <c r="AI207" s="26"/>
      <c r="AJ207" s="26"/>
      <c r="AK207" s="26"/>
    </row>
    <row r="208" spans="2:37" ht="21.95" customHeight="1" x14ac:dyDescent="0.2">
      <c r="B208" s="492" t="s">
        <v>30</v>
      </c>
      <c r="C208" s="116"/>
      <c r="D208" s="848" cm="1">
        <f t="array" ref="D208">SUM(_xlfn.ANCHORARRAY(E208) * discountAnnual)</f>
        <v>27034.932694891308</v>
      </c>
      <c r="E208" s="855" cm="1">
        <f t="array" ref="E208:AF208">_xlfn.ANCHORARRAY(E192) * costPDO</f>
        <v>0</v>
      </c>
      <c r="F208" s="855">
        <v>0</v>
      </c>
      <c r="G208" s="855">
        <v>0</v>
      </c>
      <c r="H208" s="855">
        <v>0</v>
      </c>
      <c r="I208" s="855">
        <v>0</v>
      </c>
      <c r="J208" s="855">
        <v>0</v>
      </c>
      <c r="K208" s="855">
        <v>0</v>
      </c>
      <c r="L208" s="855">
        <v>0</v>
      </c>
      <c r="M208" s="855">
        <v>2350.9676948137426</v>
      </c>
      <c r="N208" s="855">
        <v>2512.3102976013697</v>
      </c>
      <c r="O208" s="855">
        <v>2684.725547423538</v>
      </c>
      <c r="P208" s="855">
        <v>2868.9733397463792</v>
      </c>
      <c r="Q208" s="855">
        <v>3065.8657202687168</v>
      </c>
      <c r="R208" s="855">
        <v>3276.2704638969367</v>
      </c>
      <c r="S208" s="855">
        <v>3501.1148993383322</v>
      </c>
      <c r="T208" s="855">
        <v>3741.3899961692723</v>
      </c>
      <c r="U208" s="855">
        <v>3998.154732391376</v>
      </c>
      <c r="V208" s="855">
        <v>4272.5407617250521</v>
      </c>
      <c r="W208" s="855">
        <v>4565.757401210848</v>
      </c>
      <c r="X208" s="855">
        <v>4879.0969611007131</v>
      </c>
      <c r="Y208" s="855">
        <v>5213.9404405299601</v>
      </c>
      <c r="Z208" s="855">
        <v>5571.7636140727209</v>
      </c>
      <c r="AA208" s="855">
        <v>5954.1435360065716</v>
      </c>
      <c r="AB208" s="855">
        <v>6362.7654909528901</v>
      </c>
      <c r="AC208" s="855">
        <v>6799.4304215269149</v>
      </c>
      <c r="AD208" s="855">
        <v>7266.0628657338702</v>
      </c>
      <c r="AE208" s="855">
        <v>7764.7194390939321</v>
      </c>
      <c r="AF208" s="848">
        <v>8297.5978988799743</v>
      </c>
      <c r="AG208" s="26"/>
      <c r="AH208" s="26"/>
      <c r="AI208" s="26"/>
      <c r="AJ208" s="26"/>
      <c r="AK208" s="26"/>
    </row>
    <row r="209" spans="1:37" ht="21.95" customHeight="1" thickBot="1" x14ac:dyDescent="0.25">
      <c r="B209" s="872" t="s">
        <v>25</v>
      </c>
      <c r="C209" s="873"/>
      <c r="D209" s="869" cm="1">
        <f t="array" ref="D209">_xlfn.ANCHORARRAY(D206) +_xlfn.ANCHORARRAY( D207) +_xlfn.ANCHORARRAY( D208)</f>
        <v>8685961.083342554</v>
      </c>
      <c r="E209" s="858" cm="1">
        <f t="array" ref="E209:AF209">_xlfn.ANCHORARRAY(E206) +_xlfn.ANCHORARRAY( E207) +_xlfn.ANCHORARRAY(E208)</f>
        <v>0</v>
      </c>
      <c r="F209" s="858">
        <v>0</v>
      </c>
      <c r="G209" s="858">
        <v>0</v>
      </c>
      <c r="H209" s="858">
        <v>0</v>
      </c>
      <c r="I209" s="858">
        <v>0</v>
      </c>
      <c r="J209" s="858">
        <v>0</v>
      </c>
      <c r="K209" s="858">
        <v>0</v>
      </c>
      <c r="L209" s="858">
        <v>0</v>
      </c>
      <c r="M209" s="858">
        <v>415455.77195011365</v>
      </c>
      <c r="N209" s="858">
        <v>464772.21626311663</v>
      </c>
      <c r="O209" s="858">
        <v>520892.45152210013</v>
      </c>
      <c r="P209" s="858">
        <v>584856.9789904143</v>
      </c>
      <c r="Q209" s="858">
        <v>657876.01959432196</v>
      </c>
      <c r="R209" s="858">
        <v>741358.38460831274</v>
      </c>
      <c r="S209" s="858">
        <v>836945.40954925725</v>
      </c>
      <c r="T209" s="858">
        <v>946550.86118260177</v>
      </c>
      <c r="U209" s="858">
        <v>1072407.894450505</v>
      </c>
      <c r="V209" s="858">
        <v>1217124.3341922506</v>
      </c>
      <c r="W209" s="858">
        <v>1383747.7916417026</v>
      </c>
      <c r="X209" s="858">
        <v>1575842.4048865719</v>
      </c>
      <c r="Y209" s="858">
        <v>1797579.3241410721</v>
      </c>
      <c r="Z209" s="858">
        <v>2053843.4568101384</v>
      </c>
      <c r="AA209" s="858">
        <v>2350359.4558269051</v>
      </c>
      <c r="AB209" s="858">
        <v>2693840.4918406578</v>
      </c>
      <c r="AC209" s="858">
        <v>3092164.0124803614</v>
      </c>
      <c r="AD209" s="858">
        <v>3554579.480358135</v>
      </c>
      <c r="AE209" s="879">
        <v>4091954.0198661392</v>
      </c>
      <c r="AF209" s="880">
        <v>4717063.0199997937</v>
      </c>
      <c r="AG209" s="25"/>
      <c r="AH209" s="25"/>
      <c r="AI209" s="25"/>
      <c r="AJ209" s="25"/>
      <c r="AK209" s="25"/>
    </row>
    <row r="212" spans="1:37" ht="21.95" customHeight="1" x14ac:dyDescent="0.2">
      <c r="A212" s="226"/>
      <c r="B212" s="227" t="s">
        <v>530</v>
      </c>
    </row>
    <row r="214" spans="1:37" ht="21.95" customHeight="1" thickBot="1" x14ac:dyDescent="0.25">
      <c r="B214" s="561" t="s">
        <v>409</v>
      </c>
    </row>
    <row r="215" spans="1:37" ht="21.95" customHeight="1" thickBot="1" x14ac:dyDescent="0.25">
      <c r="B215" s="870" t="s">
        <v>37</v>
      </c>
      <c r="C215" s="485"/>
      <c r="D215" s="834" t="s">
        <v>25</v>
      </c>
      <c r="E215" s="485" cm="1">
        <f t="array" ref="E215:AF215">year</f>
        <v>2021</v>
      </c>
      <c r="F215" s="485">
        <v>2022</v>
      </c>
      <c r="G215" s="485">
        <v>2023</v>
      </c>
      <c r="H215" s="485">
        <v>2024</v>
      </c>
      <c r="I215" s="485">
        <v>2025</v>
      </c>
      <c r="J215" s="485">
        <v>2026</v>
      </c>
      <c r="K215" s="485">
        <v>2027</v>
      </c>
      <c r="L215" s="485">
        <v>2028</v>
      </c>
      <c r="M215" s="485">
        <v>2029</v>
      </c>
      <c r="N215" s="485">
        <v>2030</v>
      </c>
      <c r="O215" s="485">
        <v>2031</v>
      </c>
      <c r="P215" s="485">
        <v>2032</v>
      </c>
      <c r="Q215" s="485">
        <v>2033</v>
      </c>
      <c r="R215" s="485">
        <v>2034</v>
      </c>
      <c r="S215" s="485">
        <v>2035</v>
      </c>
      <c r="T215" s="485">
        <v>2036</v>
      </c>
      <c r="U215" s="485">
        <v>2037</v>
      </c>
      <c r="V215" s="485">
        <v>2038</v>
      </c>
      <c r="W215" s="485">
        <v>2039</v>
      </c>
      <c r="X215" s="485">
        <v>2040</v>
      </c>
      <c r="Y215" s="485">
        <v>2041</v>
      </c>
      <c r="Z215" s="485">
        <v>2042</v>
      </c>
      <c r="AA215" s="485">
        <v>2043</v>
      </c>
      <c r="AB215" s="485">
        <v>2044</v>
      </c>
      <c r="AC215" s="485">
        <v>2045</v>
      </c>
      <c r="AD215" s="485">
        <v>2046</v>
      </c>
      <c r="AE215" s="485">
        <v>2047</v>
      </c>
      <c r="AF215" s="834">
        <v>2048</v>
      </c>
    </row>
    <row r="216" spans="1:37" ht="21.95" customHeight="1" x14ac:dyDescent="0.2">
      <c r="B216" s="492" t="s">
        <v>32</v>
      </c>
      <c r="C216" s="116"/>
      <c r="D216" s="871">
        <f>SUM(_xlfn.ANCHORARRAY(E216))</f>
        <v>5.1882348682533905</v>
      </c>
      <c r="E216" s="577" cm="1">
        <f t="array" ref="E216:AF216">IF(year &gt; endYear, (_xlfn.ANCHORARRAY(E47)+_xlfn.ANCHORARRAY(E51)+_xlfn.ANCHORARRAY(E55)+_xlfn.ANCHORARRAY(E59)+_xlfn.ANCHORARRAY(E63)+_xlfn.ANCHORARRAY(E67)+_xlfn.ANCHORARRAY(E71)+_xlfn.ANCHORARRAY(E75)) - (_xlfn.ANCHORARRAY(E118) +_xlfn.ANCHORARRAY(E122)+_xlfn.ANCHORARRAY(E126)+_xlfn.ANCHORARRAY(E130)+_xlfn.ANCHORARRAY(E134)+_xlfn.ANCHORARRAY(E138)+_xlfn.ANCHORARRAY(E142)+_xlfn.ANCHORARRAY(E146)), 0)</f>
        <v>0</v>
      </c>
      <c r="F216" s="577">
        <v>0</v>
      </c>
      <c r="G216" s="577">
        <v>0</v>
      </c>
      <c r="H216" s="577">
        <v>0</v>
      </c>
      <c r="I216" s="577">
        <v>0</v>
      </c>
      <c r="J216" s="577">
        <v>0</v>
      </c>
      <c r="K216" s="577">
        <v>0</v>
      </c>
      <c r="L216" s="577">
        <v>0</v>
      </c>
      <c r="M216" s="577">
        <v>0.11398028179216535</v>
      </c>
      <c r="N216" s="577">
        <v>0.1230438418265693</v>
      </c>
      <c r="O216" s="577">
        <v>0.13282812407016237</v>
      </c>
      <c r="P216" s="577">
        <v>0.14339043939205626</v>
      </c>
      <c r="Q216" s="577">
        <v>0.15479265594526004</v>
      </c>
      <c r="R216" s="577">
        <v>0.16710156155581918</v>
      </c>
      <c r="S216" s="577">
        <v>0.18038925492865587</v>
      </c>
      <c r="T216" s="577">
        <v>0.19473356796157604</v>
      </c>
      <c r="U216" s="577">
        <v>0.21021852164112331</v>
      </c>
      <c r="V216" s="577">
        <v>0.2269348181906633</v>
      </c>
      <c r="W216" s="577">
        <v>0.24498037235342729</v>
      </c>
      <c r="X216" s="577">
        <v>0.26446088492247533</v>
      </c>
      <c r="Y216" s="577">
        <v>0.28549046187699734</v>
      </c>
      <c r="Z216" s="577">
        <v>0.30819228275150701</v>
      </c>
      <c r="AA216" s="577">
        <v>0.33269932215286324</v>
      </c>
      <c r="AB216" s="577">
        <v>0.35915512865136279</v>
      </c>
      <c r="AC216" s="577">
        <v>0.38771466560821433</v>
      </c>
      <c r="AD216" s="577">
        <v>0.41854521886449214</v>
      </c>
      <c r="AE216" s="577">
        <v>0.45182737660830474</v>
      </c>
      <c r="AF216" s="752">
        <v>0.4877560871596951</v>
      </c>
    </row>
    <row r="217" spans="1:37" ht="21.95" customHeight="1" x14ac:dyDescent="0.2">
      <c r="B217" s="492" t="s">
        <v>33</v>
      </c>
      <c r="C217" s="116"/>
      <c r="D217" s="871">
        <f t="shared" ref="D217:D219" si="57">SUM(_xlfn.ANCHORARRAY(E217))</f>
        <v>413.7870644326955</v>
      </c>
      <c r="E217" s="577" cm="1">
        <f t="array" ref="E217:AF217">IF(year &gt; endYear, (_xlfn.ANCHORARRAY(E48)+_xlfn.ANCHORARRAY(E52)+_xlfn.ANCHORARRAY(E56)+_xlfn.ANCHORARRAY(E60)+_xlfn.ANCHORARRAY(E64)+_xlfn.ANCHORARRAY(E68)+_xlfn.ANCHORARRAY(E72)+_xlfn.ANCHORARRAY(E76)) - (_xlfn.ANCHORARRAY(E119) +_xlfn.ANCHORARRAY(E123)+_xlfn.ANCHORARRAY(E127)+_xlfn.ANCHORARRAY(E131)+_xlfn.ANCHORARRAY(E135)+_xlfn.ANCHORARRAY(E139)+_xlfn.ANCHORARRAY(E143)+_xlfn.ANCHORARRAY(E147)), 0)</f>
        <v>0</v>
      </c>
      <c r="F217" s="577">
        <v>0</v>
      </c>
      <c r="G217" s="577">
        <v>0</v>
      </c>
      <c r="H217" s="577">
        <v>0</v>
      </c>
      <c r="I217" s="577">
        <v>0</v>
      </c>
      <c r="J217" s="577">
        <v>0</v>
      </c>
      <c r="K217" s="577">
        <v>0</v>
      </c>
      <c r="L217" s="577">
        <v>0</v>
      </c>
      <c r="M217" s="577">
        <v>2.6134657721663785</v>
      </c>
      <c r="N217" s="577">
        <v>3.0086853611173403</v>
      </c>
      <c r="O217" s="577">
        <v>3.4796125651788046</v>
      </c>
      <c r="P217" s="577">
        <v>4.0426743792317907</v>
      </c>
      <c r="Q217" s="577">
        <v>4.7180886517425762</v>
      </c>
      <c r="R217" s="577">
        <v>5.5307672597636355</v>
      </c>
      <c r="S217" s="577">
        <v>6.5114383534660547</v>
      </c>
      <c r="T217" s="577">
        <v>7.6980413817493272</v>
      </c>
      <c r="U217" s="577">
        <v>9.1374618692422303</v>
      </c>
      <c r="V217" s="577">
        <v>10.887689461249707</v>
      </c>
      <c r="W217" s="577">
        <v>13.020503404449357</v>
      </c>
      <c r="X217" s="577">
        <v>15.624815408654058</v>
      </c>
      <c r="Y217" s="577">
        <v>18.810832014545667</v>
      </c>
      <c r="Z217" s="577">
        <v>22.715238767848206</v>
      </c>
      <c r="AA217" s="577">
        <v>27.507658663342369</v>
      </c>
      <c r="AB217" s="577">
        <v>33.398699960572401</v>
      </c>
      <c r="AC217" s="577">
        <v>40.649986695987423</v>
      </c>
      <c r="AD217" s="577">
        <v>49.58666290838255</v>
      </c>
      <c r="AE217" s="577">
        <v>60.612983610284459</v>
      </c>
      <c r="AF217" s="752">
        <v>74.231757943721163</v>
      </c>
    </row>
    <row r="218" spans="1:37" ht="21.95" customHeight="1" x14ac:dyDescent="0.2">
      <c r="B218" s="492" t="s">
        <v>30</v>
      </c>
      <c r="C218" s="116"/>
      <c r="D218" s="871">
        <f t="shared" si="57"/>
        <v>422.55195160757768</v>
      </c>
      <c r="E218" s="577" cm="1">
        <f t="array" ref="E218:AF218">IF(year &gt; endYear, (_xlfn.ANCHORARRAY(E49)+_xlfn.ANCHORARRAY(E53)+_xlfn.ANCHORARRAY(E57)+_xlfn.ANCHORARRAY(E61)+_xlfn.ANCHORARRAY(E65)+_xlfn.ANCHORARRAY(E69)+_xlfn.ANCHORARRAY(E73)+_xlfn.ANCHORARRAY(E77)) - (_xlfn.ANCHORARRAY(E120) +_xlfn.ANCHORARRAY(E124)+_xlfn.ANCHORARRAY(E128)+_xlfn.ANCHORARRAY(E132)+_xlfn.ANCHORARRAY(E136)+_xlfn.ANCHORARRAY(E140)+_xlfn.ANCHORARRAY(E144)+_xlfn.ANCHORARRAY(E148)), 0)</f>
        <v>0</v>
      </c>
      <c r="F218" s="577">
        <v>0</v>
      </c>
      <c r="G218" s="577">
        <v>0</v>
      </c>
      <c r="H218" s="577">
        <v>0</v>
      </c>
      <c r="I218" s="577">
        <v>0</v>
      </c>
      <c r="J218" s="577">
        <v>0</v>
      </c>
      <c r="K218" s="577">
        <v>0</v>
      </c>
      <c r="L218" s="577">
        <v>0</v>
      </c>
      <c r="M218" s="577">
        <v>2.4722181735677502</v>
      </c>
      <c r="N218" s="577">
        <v>2.8112319473124465</v>
      </c>
      <c r="O218" s="577">
        <v>3.2224566356870987</v>
      </c>
      <c r="P218" s="577">
        <v>3.7232934624097958</v>
      </c>
      <c r="Q218" s="577">
        <v>4.3354608233351115</v>
      </c>
      <c r="R218" s="577">
        <v>5.0860731452718895</v>
      </c>
      <c r="S218" s="577">
        <v>6.0089898708137497</v>
      </c>
      <c r="T218" s="577">
        <v>7.1465022397647147</v>
      </c>
      <c r="U218" s="577">
        <v>8.5514424927909687</v>
      </c>
      <c r="V218" s="577">
        <v>10.289821326294856</v>
      </c>
      <c r="W218" s="577">
        <v>12.44412594367796</v>
      </c>
      <c r="X218" s="577">
        <v>15.117444208346996</v>
      </c>
      <c r="Y218" s="577">
        <v>18.438621872792027</v>
      </c>
      <c r="Z218" s="577">
        <v>22.5687117177429</v>
      </c>
      <c r="AA218" s="577">
        <v>27.709038289351383</v>
      </c>
      <c r="AB218" s="577">
        <v>34.111283026498143</v>
      </c>
      <c r="AC218" s="577">
        <v>42.090095996458672</v>
      </c>
      <c r="AD218" s="577">
        <v>52.038867297303113</v>
      </c>
      <c r="AE218" s="577">
        <v>64.449449807490168</v>
      </c>
      <c r="AF218" s="752">
        <v>79.936823330667949</v>
      </c>
    </row>
    <row r="219" spans="1:37" ht="21.95" customHeight="1" thickBot="1" x14ac:dyDescent="0.25">
      <c r="B219" s="872" t="s">
        <v>25</v>
      </c>
      <c r="C219" s="873"/>
      <c r="D219" s="874">
        <f t="shared" si="57"/>
        <v>841.52725090852664</v>
      </c>
      <c r="E219" s="875" cm="1">
        <f t="array" ref="E219:AF219">_xlfn.ANCHORARRAY(E216) +_xlfn.ANCHORARRAY( E217) +_xlfn.ANCHORARRAY( E218)</f>
        <v>0</v>
      </c>
      <c r="F219" s="875">
        <v>0</v>
      </c>
      <c r="G219" s="875">
        <v>0</v>
      </c>
      <c r="H219" s="875">
        <v>0</v>
      </c>
      <c r="I219" s="875">
        <v>0</v>
      </c>
      <c r="J219" s="875">
        <v>0</v>
      </c>
      <c r="K219" s="875">
        <v>0</v>
      </c>
      <c r="L219" s="875">
        <v>0</v>
      </c>
      <c r="M219" s="875">
        <v>5.1996642275262941</v>
      </c>
      <c r="N219" s="875">
        <v>5.9429611502563562</v>
      </c>
      <c r="O219" s="875">
        <v>6.8348973249360654</v>
      </c>
      <c r="P219" s="875">
        <v>7.9093582810336427</v>
      </c>
      <c r="Q219" s="875">
        <v>9.208342131022949</v>
      </c>
      <c r="R219" s="875">
        <v>10.783941966591344</v>
      </c>
      <c r="S219" s="875">
        <v>12.70081747920846</v>
      </c>
      <c r="T219" s="875">
        <v>15.039277189475618</v>
      </c>
      <c r="U219" s="875">
        <v>17.899122883674323</v>
      </c>
      <c r="V219" s="875">
        <v>21.404445605735226</v>
      </c>
      <c r="W219" s="875">
        <v>25.709609720480746</v>
      </c>
      <c r="X219" s="875">
        <v>31.006720501923528</v>
      </c>
      <c r="Y219" s="875">
        <v>37.53494434921469</v>
      </c>
      <c r="Z219" s="875">
        <v>45.592142768342612</v>
      </c>
      <c r="AA219" s="875">
        <v>55.549396274846615</v>
      </c>
      <c r="AB219" s="875">
        <v>67.86913811572191</v>
      </c>
      <c r="AC219" s="875">
        <v>83.127797358054309</v>
      </c>
      <c r="AD219" s="875">
        <v>102.04407542455016</v>
      </c>
      <c r="AE219" s="846">
        <v>125.51426079438293</v>
      </c>
      <c r="AF219" s="863">
        <v>154.65633736154882</v>
      </c>
    </row>
    <row r="220" spans="1:37" ht="21.95" customHeight="1" x14ac:dyDescent="0.2">
      <c r="C220" s="8"/>
      <c r="D220" s="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row>
    <row r="221" spans="1:37" ht="21.95" customHeight="1" thickBot="1" x14ac:dyDescent="0.25">
      <c r="B221" s="561" t="s">
        <v>404</v>
      </c>
      <c r="C221" s="8"/>
      <c r="D221" s="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row>
    <row r="222" spans="1:37" ht="21.95" customHeight="1" thickBot="1" x14ac:dyDescent="0.25">
      <c r="B222" s="870" t="s">
        <v>18</v>
      </c>
      <c r="C222" s="485"/>
      <c r="D222" s="834" t="s">
        <v>133</v>
      </c>
      <c r="E222" s="485" cm="1">
        <f t="array" ref="E222:AF222">year</f>
        <v>2021</v>
      </c>
      <c r="F222" s="485">
        <v>2022</v>
      </c>
      <c r="G222" s="485">
        <v>2023</v>
      </c>
      <c r="H222" s="485">
        <v>2024</v>
      </c>
      <c r="I222" s="485">
        <v>2025</v>
      </c>
      <c r="J222" s="485">
        <v>2026</v>
      </c>
      <c r="K222" s="485">
        <v>2027</v>
      </c>
      <c r="L222" s="485">
        <v>2028</v>
      </c>
      <c r="M222" s="485">
        <v>2029</v>
      </c>
      <c r="N222" s="485">
        <v>2030</v>
      </c>
      <c r="O222" s="485">
        <v>2031</v>
      </c>
      <c r="P222" s="485">
        <v>2032</v>
      </c>
      <c r="Q222" s="485">
        <v>2033</v>
      </c>
      <c r="R222" s="485">
        <v>2034</v>
      </c>
      <c r="S222" s="485">
        <v>2035</v>
      </c>
      <c r="T222" s="485">
        <v>2036</v>
      </c>
      <c r="U222" s="485">
        <v>2037</v>
      </c>
      <c r="V222" s="485">
        <v>2038</v>
      </c>
      <c r="W222" s="485">
        <v>2039</v>
      </c>
      <c r="X222" s="485">
        <v>2040</v>
      </c>
      <c r="Y222" s="485">
        <v>2041</v>
      </c>
      <c r="Z222" s="485">
        <v>2042</v>
      </c>
      <c r="AA222" s="485">
        <v>2043</v>
      </c>
      <c r="AB222" s="485">
        <v>2044</v>
      </c>
      <c r="AC222" s="485">
        <v>2045</v>
      </c>
      <c r="AD222" s="485">
        <v>2046</v>
      </c>
      <c r="AE222" s="485">
        <v>2047</v>
      </c>
      <c r="AF222" s="834">
        <v>2048</v>
      </c>
    </row>
    <row r="223" spans="1:37" ht="21.95" customHeight="1" x14ac:dyDescent="0.2">
      <c r="B223" s="876" t="s">
        <v>427</v>
      </c>
      <c r="C223" s="228"/>
      <c r="D223" s="877" cm="1">
        <f t="array" ref="D223">SUM(_xlfn.ANCHORARRAY(E223) * discountAnnual)</f>
        <v>2145897.7826569984</v>
      </c>
      <c r="E223" s="847" cm="1">
        <f t="array" ref="E223:AF223">IF(year &gt; endYear,_xlfn.ANCHORARRAY( E83) -_xlfn.ANCHORARRAY( E154), 0)</f>
        <v>0</v>
      </c>
      <c r="F223" s="847">
        <v>0</v>
      </c>
      <c r="G223" s="847">
        <v>0</v>
      </c>
      <c r="H223" s="847">
        <v>0</v>
      </c>
      <c r="I223" s="847">
        <v>0</v>
      </c>
      <c r="J223" s="847">
        <v>0</v>
      </c>
      <c r="K223" s="847">
        <v>0</v>
      </c>
      <c r="L223" s="847">
        <v>0</v>
      </c>
      <c r="M223" s="847">
        <v>186608.06077584089</v>
      </c>
      <c r="N223" s="847">
        <v>199414.62987210869</v>
      </c>
      <c r="O223" s="847">
        <v>213100.09032674343</v>
      </c>
      <c r="P223" s="847">
        <v>227724.75884236861</v>
      </c>
      <c r="Q223" s="847">
        <v>243353.09154632967</v>
      </c>
      <c r="R223" s="847">
        <v>260053.96807181952</v>
      </c>
      <c r="S223" s="847">
        <v>277900.99513498042</v>
      </c>
      <c r="T223" s="847">
        <v>296972.83094593626</v>
      </c>
      <c r="U223" s="847">
        <v>317353.53188356571</v>
      </c>
      <c r="V223" s="847">
        <v>339132.92296192632</v>
      </c>
      <c r="W223" s="847">
        <v>362406.99372111098</v>
      </c>
      <c r="X223" s="847">
        <v>387278.32128736889</v>
      </c>
      <c r="Y223" s="847">
        <v>413856.52246706514</v>
      </c>
      <c r="Z223" s="847">
        <v>442258.73686702223</v>
      </c>
      <c r="AA223" s="847">
        <v>472610.14317052159</v>
      </c>
      <c r="AB223" s="847">
        <v>505044.51084438572</v>
      </c>
      <c r="AC223" s="847">
        <v>539704.7897086991</v>
      </c>
      <c r="AD223" s="847">
        <v>576743.73996762652</v>
      </c>
      <c r="AE223" s="847">
        <v>616324.60547808046</v>
      </c>
      <c r="AF223" s="848">
        <v>658621.83322359808</v>
      </c>
    </row>
    <row r="224" spans="1:37" ht="21.95" customHeight="1" x14ac:dyDescent="0.2">
      <c r="B224" s="492" t="s">
        <v>428</v>
      </c>
      <c r="C224" s="116"/>
      <c r="D224" s="877" cm="1">
        <f t="array" ref="D224">SUM(_xlfn.ANCHORARRAY(E224) * discountAnnual)</f>
        <v>4479785.4581537507</v>
      </c>
      <c r="E224" s="847" cm="1">
        <f t="array" ref="E224:AF224">IF(year &gt; endYear,_xlfn.ANCHORARRAY( E87) -_xlfn.ANCHORARRAY( E158), 0)</f>
        <v>0</v>
      </c>
      <c r="F224" s="847">
        <v>0</v>
      </c>
      <c r="G224" s="847">
        <v>0</v>
      </c>
      <c r="H224" s="847">
        <v>0</v>
      </c>
      <c r="I224" s="847">
        <v>0</v>
      </c>
      <c r="J224" s="847">
        <v>0</v>
      </c>
      <c r="K224" s="847">
        <v>0</v>
      </c>
      <c r="L224" s="847">
        <v>0</v>
      </c>
      <c r="M224" s="847">
        <v>180562.27902982803</v>
      </c>
      <c r="N224" s="847">
        <v>207415.06781767431</v>
      </c>
      <c r="O224" s="847">
        <v>238261.33890735608</v>
      </c>
      <c r="P224" s="847">
        <v>273694.99340244464</v>
      </c>
      <c r="Q224" s="847">
        <v>314398.25595327193</v>
      </c>
      <c r="R224" s="847">
        <v>361154.81002282823</v>
      </c>
      <c r="S224" s="847">
        <v>414864.88659787923</v>
      </c>
      <c r="T224" s="847">
        <v>476562.59685698804</v>
      </c>
      <c r="U224" s="847">
        <v>547435.84251132654</v>
      </c>
      <c r="V224" s="847">
        <v>628849.18716358882</v>
      </c>
      <c r="W224" s="847">
        <v>722370.12904050876</v>
      </c>
      <c r="X224" s="847">
        <v>829799.28094310337</v>
      </c>
      <c r="Y224" s="847">
        <v>953205.03848668723</v>
      </c>
      <c r="Z224" s="847">
        <v>1094963.4041183351</v>
      </c>
      <c r="AA224" s="847">
        <v>1257803.7336666437</v>
      </c>
      <c r="AB224" s="847">
        <v>1444861.2862085858</v>
      </c>
      <c r="AC224" s="847">
        <v>1659737.5890264397</v>
      </c>
      <c r="AD224" s="847">
        <v>1906569.7798962377</v>
      </c>
      <c r="AE224" s="847">
        <v>2190110.261794935</v>
      </c>
      <c r="AF224" s="848">
        <v>2515818.203664449</v>
      </c>
    </row>
    <row r="225" spans="2:32" ht="21.95" customHeight="1" x14ac:dyDescent="0.2">
      <c r="B225" s="492" t="s">
        <v>429</v>
      </c>
      <c r="C225" s="116"/>
      <c r="D225" s="877" cm="1">
        <f t="array" ref="D225">SUM(_xlfn.ANCHORARRAY(E225) * discountAnnual)</f>
        <v>0</v>
      </c>
      <c r="E225" s="847" cm="1">
        <f t="array" ref="E225:AF225">IF(year &gt; endYear,_xlfn.ANCHORARRAY( E91) -_xlfn.ANCHORARRAY( E162), 0)</f>
        <v>0</v>
      </c>
      <c r="F225" s="847">
        <v>0</v>
      </c>
      <c r="G225" s="847">
        <v>0</v>
      </c>
      <c r="H225" s="847">
        <v>0</v>
      </c>
      <c r="I225" s="847">
        <v>0</v>
      </c>
      <c r="J225" s="847">
        <v>0</v>
      </c>
      <c r="K225" s="847">
        <v>0</v>
      </c>
      <c r="L225" s="847">
        <v>0</v>
      </c>
      <c r="M225" s="847">
        <v>0</v>
      </c>
      <c r="N225" s="847">
        <v>0</v>
      </c>
      <c r="O225" s="847">
        <v>0</v>
      </c>
      <c r="P225" s="847">
        <v>0</v>
      </c>
      <c r="Q225" s="847">
        <v>0</v>
      </c>
      <c r="R225" s="847">
        <v>0</v>
      </c>
      <c r="S225" s="847">
        <v>0</v>
      </c>
      <c r="T225" s="847">
        <v>0</v>
      </c>
      <c r="U225" s="847">
        <v>0</v>
      </c>
      <c r="V225" s="847">
        <v>0</v>
      </c>
      <c r="W225" s="847">
        <v>0</v>
      </c>
      <c r="X225" s="847">
        <v>0</v>
      </c>
      <c r="Y225" s="847">
        <v>0</v>
      </c>
      <c r="Z225" s="847">
        <v>0</v>
      </c>
      <c r="AA225" s="847">
        <v>0</v>
      </c>
      <c r="AB225" s="847">
        <v>0</v>
      </c>
      <c r="AC225" s="847">
        <v>0</v>
      </c>
      <c r="AD225" s="847">
        <v>0</v>
      </c>
      <c r="AE225" s="847">
        <v>0</v>
      </c>
      <c r="AF225" s="848">
        <v>0</v>
      </c>
    </row>
    <row r="226" spans="2:32" ht="21.95" customHeight="1" x14ac:dyDescent="0.2">
      <c r="B226" s="492" t="s">
        <v>430</v>
      </c>
      <c r="C226" s="116"/>
      <c r="D226" s="877" cm="1">
        <f t="array" ref="D226">SUM(_xlfn.ANCHORARRAY(E226) * discountAnnual)</f>
        <v>2060277.8425318056</v>
      </c>
      <c r="E226" s="847" cm="1">
        <f t="array" ref="E226:AF226">IF(year &gt; endYear,_xlfn.ANCHORARRAY( E95)-_xlfn.ANCHORARRAY( E166), 0)</f>
        <v>0</v>
      </c>
      <c r="F226" s="847">
        <v>0</v>
      </c>
      <c r="G226" s="847">
        <v>0</v>
      </c>
      <c r="H226" s="847">
        <v>0</v>
      </c>
      <c r="I226" s="847">
        <v>0</v>
      </c>
      <c r="J226" s="847">
        <v>0</v>
      </c>
      <c r="K226" s="847">
        <v>0</v>
      </c>
      <c r="L226" s="847">
        <v>0</v>
      </c>
      <c r="M226" s="847">
        <v>48285.432144444814</v>
      </c>
      <c r="N226" s="847">
        <v>57942.518573333771</v>
      </c>
      <c r="O226" s="847">
        <v>69531.02228800056</v>
      </c>
      <c r="P226" s="847">
        <v>83437.226745600638</v>
      </c>
      <c r="Q226" s="847">
        <v>100124.67209472077</v>
      </c>
      <c r="R226" s="847">
        <v>120149.60651366494</v>
      </c>
      <c r="S226" s="847">
        <v>144179.52781639795</v>
      </c>
      <c r="T226" s="847">
        <v>173015.43337967736</v>
      </c>
      <c r="U226" s="847">
        <v>207618.52005561278</v>
      </c>
      <c r="V226" s="847">
        <v>249142.22406673571</v>
      </c>
      <c r="W226" s="847">
        <v>298970.66888008267</v>
      </c>
      <c r="X226" s="847">
        <v>358764.8026560992</v>
      </c>
      <c r="Y226" s="847">
        <v>430517.76318731881</v>
      </c>
      <c r="Z226" s="847">
        <v>516621.31582478294</v>
      </c>
      <c r="AA226" s="847">
        <v>619945.57898973953</v>
      </c>
      <c r="AB226" s="847">
        <v>743934.69478768716</v>
      </c>
      <c r="AC226" s="847">
        <v>892721.63374522468</v>
      </c>
      <c r="AD226" s="847">
        <v>1071265.9604942696</v>
      </c>
      <c r="AE226" s="847">
        <v>1285519.1525931228</v>
      </c>
      <c r="AF226" s="848">
        <v>1542622.9831117475</v>
      </c>
    </row>
    <row r="227" spans="2:32" ht="21.95" customHeight="1" x14ac:dyDescent="0.2">
      <c r="B227" s="492" t="s">
        <v>431</v>
      </c>
      <c r="C227" s="116"/>
      <c r="D227" s="877" cm="1">
        <f t="array" ref="D227">SUM(_xlfn.ANCHORARRAY(E227) * discountAnnual)</f>
        <v>0</v>
      </c>
      <c r="E227" s="847" cm="1">
        <f t="array" ref="E227:AF227">IF(year &gt; endYear,_xlfn.ANCHORARRAY( E99) -_xlfn.ANCHORARRAY( E170), 0)</f>
        <v>0</v>
      </c>
      <c r="F227" s="847">
        <v>0</v>
      </c>
      <c r="G227" s="847">
        <v>0</v>
      </c>
      <c r="H227" s="847">
        <v>0</v>
      </c>
      <c r="I227" s="847">
        <v>0</v>
      </c>
      <c r="J227" s="847">
        <v>0</v>
      </c>
      <c r="K227" s="847">
        <v>0</v>
      </c>
      <c r="L227" s="847">
        <v>0</v>
      </c>
      <c r="M227" s="847">
        <v>0</v>
      </c>
      <c r="N227" s="847">
        <v>0</v>
      </c>
      <c r="O227" s="847">
        <v>0</v>
      </c>
      <c r="P227" s="847">
        <v>0</v>
      </c>
      <c r="Q227" s="847">
        <v>0</v>
      </c>
      <c r="R227" s="847">
        <v>0</v>
      </c>
      <c r="S227" s="847">
        <v>0</v>
      </c>
      <c r="T227" s="847">
        <v>0</v>
      </c>
      <c r="U227" s="847">
        <v>0</v>
      </c>
      <c r="V227" s="847">
        <v>0</v>
      </c>
      <c r="W227" s="847">
        <v>0</v>
      </c>
      <c r="X227" s="847">
        <v>0</v>
      </c>
      <c r="Y227" s="847">
        <v>0</v>
      </c>
      <c r="Z227" s="847">
        <v>0</v>
      </c>
      <c r="AA227" s="847">
        <v>0</v>
      </c>
      <c r="AB227" s="847">
        <v>0</v>
      </c>
      <c r="AC227" s="847">
        <v>0</v>
      </c>
      <c r="AD227" s="847">
        <v>0</v>
      </c>
      <c r="AE227" s="847">
        <v>0</v>
      </c>
      <c r="AF227" s="848">
        <v>0</v>
      </c>
    </row>
    <row r="228" spans="2:32" ht="21.95" customHeight="1" x14ac:dyDescent="0.2">
      <c r="B228" s="492" t="s">
        <v>432</v>
      </c>
      <c r="C228" s="116"/>
      <c r="D228" s="877" cm="1">
        <f t="array" ref="D228">SUM(_xlfn.ANCHORARRAY(E228) * discountAnnual)</f>
        <v>19171508.770703465</v>
      </c>
      <c r="E228" s="855" cm="1">
        <f t="array" ref="E228:AF228">IF(year &gt; endYear,_xlfn.ANCHORARRAY( E103) -_xlfn.ANCHORARRAY( E174), 0)</f>
        <v>0</v>
      </c>
      <c r="F228" s="847">
        <v>0</v>
      </c>
      <c r="G228" s="847">
        <v>0</v>
      </c>
      <c r="H228" s="847">
        <v>0</v>
      </c>
      <c r="I228" s="847">
        <v>0</v>
      </c>
      <c r="J228" s="847">
        <v>0</v>
      </c>
      <c r="K228" s="847">
        <v>0</v>
      </c>
      <c r="L228" s="847">
        <v>0</v>
      </c>
      <c r="M228" s="847">
        <v>257128.82833718508</v>
      </c>
      <c r="N228" s="847">
        <v>321557.08459597779</v>
      </c>
      <c r="O228" s="847">
        <v>402129.00016902108</v>
      </c>
      <c r="P228" s="847">
        <v>502889.6594833741</v>
      </c>
      <c r="Q228" s="847">
        <v>628897.7156808041</v>
      </c>
      <c r="R228" s="847">
        <v>786479.35850351118</v>
      </c>
      <c r="S228" s="847">
        <v>983545.91840501875</v>
      </c>
      <c r="T228" s="847">
        <v>1229991.0520879272</v>
      </c>
      <c r="U228" s="847">
        <v>1538187.4500274956</v>
      </c>
      <c r="V228" s="847">
        <v>1923608.0030059852</v>
      </c>
      <c r="W228" s="847">
        <v>2405602.6131031923</v>
      </c>
      <c r="X228" s="847">
        <v>3008369.6486632302</v>
      </c>
      <c r="Y228" s="847">
        <v>3762170.814789474</v>
      </c>
      <c r="Z228" s="847">
        <v>4704850.4315096438</v>
      </c>
      <c r="AA228" s="847">
        <v>5883735.3944321424</v>
      </c>
      <c r="AB228" s="847">
        <v>7358011.2047442347</v>
      </c>
      <c r="AC228" s="847">
        <v>9201693.3562945873</v>
      </c>
      <c r="AD228" s="847">
        <v>11507343.257194579</v>
      </c>
      <c r="AE228" s="847">
        <v>14390715.24246335</v>
      </c>
      <c r="AF228" s="848">
        <v>17996567.979336888</v>
      </c>
    </row>
    <row r="229" spans="2:32" ht="21.95" customHeight="1" x14ac:dyDescent="0.2">
      <c r="B229" s="492" t="s">
        <v>433</v>
      </c>
      <c r="C229" s="116"/>
      <c r="D229" s="877" cm="1">
        <f t="array" ref="D229">SUM(_xlfn.ANCHORARRAY(E229) * discountAnnual)</f>
        <v>313486.33212882379</v>
      </c>
      <c r="E229" s="847" cm="1">
        <f t="array" ref="E229:AF229">IF(year &gt; endYear,_xlfn.ANCHORARRAY( E107) -_xlfn.ANCHORARRAY( E178), 0)</f>
        <v>0</v>
      </c>
      <c r="F229" s="847">
        <v>0</v>
      </c>
      <c r="G229" s="847">
        <v>0</v>
      </c>
      <c r="H229" s="847">
        <v>0</v>
      </c>
      <c r="I229" s="847">
        <v>0</v>
      </c>
      <c r="J229" s="847">
        <v>0</v>
      </c>
      <c r="K229" s="847">
        <v>0</v>
      </c>
      <c r="L229" s="847">
        <v>0</v>
      </c>
      <c r="M229" s="847">
        <v>37910.314059148659</v>
      </c>
      <c r="N229" s="847">
        <v>39028.672656500858</v>
      </c>
      <c r="O229" s="847">
        <v>40180.022960287366</v>
      </c>
      <c r="P229" s="847">
        <v>41365.338229618486</v>
      </c>
      <c r="Q229" s="847">
        <v>42585.620434859447</v>
      </c>
      <c r="R229" s="847">
        <v>43841.901104615841</v>
      </c>
      <c r="S229" s="847">
        <v>45135.242197705003</v>
      </c>
      <c r="T229" s="847">
        <v>46466.737000850691</v>
      </c>
      <c r="U229" s="847">
        <v>47837.511052860027</v>
      </c>
      <c r="V229" s="847">
        <v>49248.723096063528</v>
      </c>
      <c r="W229" s="847">
        <v>50701.566055822892</v>
      </c>
      <c r="X229" s="847">
        <v>52197.268048934362</v>
      </c>
      <c r="Y229" s="847">
        <v>53737.09342177998</v>
      </c>
      <c r="Z229" s="847">
        <v>55322.343819104586</v>
      </c>
      <c r="AA229" s="847">
        <v>56954.359284321778</v>
      </c>
      <c r="AB229" s="847">
        <v>58634.519392278904</v>
      </c>
      <c r="AC229" s="847">
        <v>60364.244415439054</v>
      </c>
      <c r="AD229" s="847">
        <v>62144.996524465299</v>
      </c>
      <c r="AE229" s="847">
        <v>63978.281024222364</v>
      </c>
      <c r="AF229" s="848">
        <v>65865.647626240476</v>
      </c>
    </row>
    <row r="230" spans="2:32" ht="21.95" customHeight="1" x14ac:dyDescent="0.2">
      <c r="B230" s="492" t="s">
        <v>529</v>
      </c>
      <c r="C230" s="116"/>
      <c r="D230" s="877" cm="1">
        <f t="array" ref="D230">SUM(_xlfn.ANCHORARRAY(E230) * discountAnnual)</f>
        <v>20195197.839105535</v>
      </c>
      <c r="E230" s="847" cm="1">
        <f t="array" ref="E230:AF230">IF(year &gt; endYear,_xlfn.ANCHORARRAY( E111) -_xlfn.ANCHORARRAY( E182), 0)</f>
        <v>0</v>
      </c>
      <c r="F230" s="847">
        <v>0</v>
      </c>
      <c r="G230" s="847">
        <v>0</v>
      </c>
      <c r="H230" s="847">
        <v>0</v>
      </c>
      <c r="I230" s="847">
        <v>0</v>
      </c>
      <c r="J230" s="847">
        <v>0</v>
      </c>
      <c r="K230" s="847">
        <v>0</v>
      </c>
      <c r="L230" s="847">
        <v>0</v>
      </c>
      <c r="M230" s="847">
        <v>1592874.4380455106</v>
      </c>
      <c r="N230" s="847">
        <v>1719537.6895263051</v>
      </c>
      <c r="O230" s="847">
        <v>1856273.0338805187</v>
      </c>
      <c r="P230" s="847">
        <v>2003881.3905039867</v>
      </c>
      <c r="Q230" s="847">
        <v>2163227.3668350093</v>
      </c>
      <c r="R230" s="847">
        <v>2335244.322742573</v>
      </c>
      <c r="S230" s="847">
        <v>2520939.837627966</v>
      </c>
      <c r="T230" s="847">
        <v>2721401.6122630266</v>
      </c>
      <c r="U230" s="847">
        <v>2937803.8399346992</v>
      </c>
      <c r="V230" s="847">
        <v>3171414.0842145188</v>
      </c>
      <c r="W230" s="847">
        <v>3423600.703639145</v>
      </c>
      <c r="X230" s="847">
        <v>3695840.866791592</v>
      </c>
      <c r="Y230" s="847">
        <v>3989729.2047310397</v>
      </c>
      <c r="Z230" s="847">
        <v>4306987.1514523067</v>
      </c>
      <c r="AA230" s="847">
        <v>4649473.0270862654</v>
      </c>
      <c r="AB230" s="847">
        <v>5019192.9229027946</v>
      </c>
      <c r="AC230" s="847">
        <v>5418312.4518747926</v>
      </c>
      <c r="AD230" s="847">
        <v>5849169.4336312786</v>
      </c>
      <c r="AE230" s="847">
        <v>6314287.5881010573</v>
      </c>
      <c r="AF230" s="848">
        <v>6816391.3180567417</v>
      </c>
    </row>
    <row r="231" spans="2:32" ht="21.95" customHeight="1" thickBot="1" x14ac:dyDescent="0.25">
      <c r="B231" s="872" t="s">
        <v>25</v>
      </c>
      <c r="C231" s="873"/>
      <c r="D231" s="878" cm="1">
        <f t="array" ref="D231">SUM(_xlfn.ANCHORARRAY(E231) * discountAnnual)</f>
        <v>48366154.025280379</v>
      </c>
      <c r="E231" s="858" cm="1">
        <f t="array" ref="E231:AF231">_xlfn.ANCHORARRAY(E223) +_xlfn.ANCHORARRAY( E224) +_xlfn.ANCHORARRAY( E225) +_xlfn.ANCHORARRAY( E226)+_xlfn.ANCHORARRAY( E227) +_xlfn.ANCHORARRAY( E228) +_xlfn.ANCHORARRAY( E229) +_xlfn.ANCHORARRAY( E230)</f>
        <v>0</v>
      </c>
      <c r="F231" s="858">
        <v>0</v>
      </c>
      <c r="G231" s="858">
        <v>0</v>
      </c>
      <c r="H231" s="858">
        <v>0</v>
      </c>
      <c r="I231" s="858">
        <v>0</v>
      </c>
      <c r="J231" s="858">
        <v>0</v>
      </c>
      <c r="K231" s="858">
        <v>0</v>
      </c>
      <c r="L231" s="858">
        <v>0</v>
      </c>
      <c r="M231" s="858">
        <v>2303369.3523919582</v>
      </c>
      <c r="N231" s="858">
        <v>2544895.6630419004</v>
      </c>
      <c r="O231" s="858">
        <v>2819474.5085319271</v>
      </c>
      <c r="P231" s="858">
        <v>3132993.3672073931</v>
      </c>
      <c r="Q231" s="858">
        <v>3492586.7225449951</v>
      </c>
      <c r="R231" s="858">
        <v>3906923.9669590127</v>
      </c>
      <c r="S231" s="858">
        <v>4386566.4077799469</v>
      </c>
      <c r="T231" s="858">
        <v>4944410.262534406</v>
      </c>
      <c r="U231" s="858">
        <v>5596236.6954655601</v>
      </c>
      <c r="V231" s="858">
        <v>6361395.1445088182</v>
      </c>
      <c r="W231" s="858">
        <v>7263652.6744398624</v>
      </c>
      <c r="X231" s="858">
        <v>8332250.1883903285</v>
      </c>
      <c r="Y231" s="858">
        <v>9603216.4370833635</v>
      </c>
      <c r="Z231" s="858">
        <v>11121003.383591194</v>
      </c>
      <c r="AA231" s="858">
        <v>12940522.236629635</v>
      </c>
      <c r="AB231" s="858">
        <v>15129679.138879966</v>
      </c>
      <c r="AC231" s="858">
        <v>17772534.065065183</v>
      </c>
      <c r="AD231" s="858">
        <v>20973237.167708457</v>
      </c>
      <c r="AE231" s="879">
        <v>24860935.131454766</v>
      </c>
      <c r="AF231" s="880">
        <v>29595887.965019666</v>
      </c>
    </row>
    <row r="233" spans="2:32" ht="21.95" customHeight="1" thickBot="1" x14ac:dyDescent="0.25">
      <c r="B233" s="561" t="s">
        <v>405</v>
      </c>
      <c r="C233" s="8"/>
      <c r="D233" s="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row>
    <row r="234" spans="2:32" ht="21.95" customHeight="1" thickBot="1" x14ac:dyDescent="0.25">
      <c r="B234" s="870" t="s">
        <v>18</v>
      </c>
      <c r="C234" s="485"/>
      <c r="D234" s="834" t="s">
        <v>133</v>
      </c>
      <c r="E234" s="485" cm="1">
        <f t="array" ref="E234:AF234">year</f>
        <v>2021</v>
      </c>
      <c r="F234" s="485">
        <v>2022</v>
      </c>
      <c r="G234" s="485">
        <v>2023</v>
      </c>
      <c r="H234" s="485">
        <v>2024</v>
      </c>
      <c r="I234" s="485">
        <v>2025</v>
      </c>
      <c r="J234" s="485">
        <v>2026</v>
      </c>
      <c r="K234" s="485">
        <v>2027</v>
      </c>
      <c r="L234" s="485">
        <v>2028</v>
      </c>
      <c r="M234" s="485">
        <v>2029</v>
      </c>
      <c r="N234" s="485">
        <v>2030</v>
      </c>
      <c r="O234" s="485">
        <v>2031</v>
      </c>
      <c r="P234" s="485">
        <v>2032</v>
      </c>
      <c r="Q234" s="485">
        <v>2033</v>
      </c>
      <c r="R234" s="485">
        <v>2034</v>
      </c>
      <c r="S234" s="485">
        <v>2035</v>
      </c>
      <c r="T234" s="485">
        <v>2036</v>
      </c>
      <c r="U234" s="485">
        <v>2037</v>
      </c>
      <c r="V234" s="485">
        <v>2038</v>
      </c>
      <c r="W234" s="485">
        <v>2039</v>
      </c>
      <c r="X234" s="485">
        <v>2040</v>
      </c>
      <c r="Y234" s="485">
        <v>2041</v>
      </c>
      <c r="Z234" s="485">
        <v>2042</v>
      </c>
      <c r="AA234" s="485">
        <v>2043</v>
      </c>
      <c r="AB234" s="485">
        <v>2044</v>
      </c>
      <c r="AC234" s="485">
        <v>2045</v>
      </c>
      <c r="AD234" s="485">
        <v>2046</v>
      </c>
      <c r="AE234" s="485">
        <v>2047</v>
      </c>
      <c r="AF234" s="834">
        <v>2048</v>
      </c>
    </row>
    <row r="235" spans="2:32" ht="21.95" customHeight="1" x14ac:dyDescent="0.2">
      <c r="B235" s="492" t="s">
        <v>32</v>
      </c>
      <c r="C235" s="228"/>
      <c r="D235" s="877" cm="1">
        <f t="array" ref="D235">SUM(_xlfn.ANCHORARRAY(E235) * discountAnnual)</f>
        <v>18853860.977977969</v>
      </c>
      <c r="E235" s="847" cm="1">
        <f t="array" ref="E235:AF235">_xlfn.ANCHORARRAY(E216) * costLife</f>
        <v>0</v>
      </c>
      <c r="F235" s="847">
        <v>0</v>
      </c>
      <c r="G235" s="847">
        <v>0</v>
      </c>
      <c r="H235" s="847">
        <v>0</v>
      </c>
      <c r="I235" s="847">
        <v>0</v>
      </c>
      <c r="J235" s="847">
        <v>0</v>
      </c>
      <c r="K235" s="847">
        <v>0</v>
      </c>
      <c r="L235" s="847">
        <v>0</v>
      </c>
      <c r="M235" s="847">
        <v>1487077.940486023</v>
      </c>
      <c r="N235" s="847">
        <v>1605328.3955428842</v>
      </c>
      <c r="O235" s="847">
        <v>1732981.9691185944</v>
      </c>
      <c r="P235" s="847">
        <v>1870786.3846602796</v>
      </c>
      <c r="Q235" s="847">
        <v>2019548.8235866188</v>
      </c>
      <c r="R235" s="847">
        <v>2180140.6533064619</v>
      </c>
      <c r="S235" s="847">
        <v>2353502.5312031875</v>
      </c>
      <c r="T235" s="847">
        <v>2540649.9144810904</v>
      </c>
      <c r="U235" s="847">
        <v>2742679.0081474078</v>
      </c>
      <c r="V235" s="847">
        <v>2960773.185969946</v>
      </c>
      <c r="W235" s="847">
        <v>3196209.9220206952</v>
      </c>
      <c r="X235" s="847">
        <v>3450368.2734065512</v>
      </c>
      <c r="Y235" s="847">
        <v>3724736.9580168091</v>
      </c>
      <c r="Z235" s="847">
        <v>4020923.0746023618</v>
      </c>
      <c r="AA235" s="847">
        <v>4340661.5162639758</v>
      </c>
      <c r="AB235" s="847">
        <v>4685825.1324886</v>
      </c>
      <c r="AC235" s="847">
        <v>5058435.6992572509</v>
      </c>
      <c r="AD235" s="847">
        <v>5460675.7614812562</v>
      </c>
      <c r="AE235" s="847">
        <v>5894901.4171332307</v>
      </c>
      <c r="AF235" s="848">
        <v>6363656.11795511</v>
      </c>
    </row>
    <row r="236" spans="2:32" ht="21.95" customHeight="1" x14ac:dyDescent="0.2">
      <c r="B236" s="492" t="s">
        <v>33</v>
      </c>
      <c r="C236" s="228"/>
      <c r="D236" s="877" cm="1">
        <f t="array" ref="D236">SUM(_xlfn.ANCHORARRAY(E236) * discountAnnual)</f>
        <v>29056960.739999354</v>
      </c>
      <c r="E236" s="847" cm="1">
        <f t="array" ref="E236:AF236">_xlfn.ANCHORARRAY(E217) * costInjury</f>
        <v>0</v>
      </c>
      <c r="F236" s="847">
        <v>0</v>
      </c>
      <c r="G236" s="847">
        <v>0</v>
      </c>
      <c r="H236" s="847">
        <v>0</v>
      </c>
      <c r="I236" s="847">
        <v>0</v>
      </c>
      <c r="J236" s="847">
        <v>0</v>
      </c>
      <c r="K236" s="847">
        <v>0</v>
      </c>
      <c r="L236" s="847">
        <v>0</v>
      </c>
      <c r="M236" s="847">
        <v>804424.76467281126</v>
      </c>
      <c r="N236" s="847">
        <v>926073.35415191739</v>
      </c>
      <c r="O236" s="847">
        <v>1071024.7475620362</v>
      </c>
      <c r="P236" s="847">
        <v>1244335.1739275451</v>
      </c>
      <c r="Q236" s="847">
        <v>1452227.687006365</v>
      </c>
      <c r="R236" s="847">
        <v>1702370.1625552471</v>
      </c>
      <c r="S236" s="847">
        <v>2004220.7251968517</v>
      </c>
      <c r="T236" s="847">
        <v>2369457.1373024429</v>
      </c>
      <c r="U236" s="847">
        <v>2812510.7633527583</v>
      </c>
      <c r="V236" s="847">
        <v>3351230.8161726599</v>
      </c>
      <c r="W236" s="847">
        <v>4007710.9478895119</v>
      </c>
      <c r="X236" s="847">
        <v>4809318.1827837192</v>
      </c>
      <c r="Y236" s="847">
        <v>5789974.0940771569</v>
      </c>
      <c r="Z236" s="847">
        <v>6991750.4927436775</v>
      </c>
      <c r="AA236" s="847">
        <v>8466857.3365767803</v>
      </c>
      <c r="AB236" s="847">
        <v>10280119.847864185</v>
      </c>
      <c r="AC236" s="847">
        <v>12512065.905024929</v>
      </c>
      <c r="AD236" s="847">
        <v>15262774.843200149</v>
      </c>
      <c r="AE236" s="847">
        <v>18656676.355245557</v>
      </c>
      <c r="AF236" s="848">
        <v>22848535.095077373</v>
      </c>
    </row>
    <row r="237" spans="2:32" ht="21.95" customHeight="1" x14ac:dyDescent="0.2">
      <c r="B237" s="492" t="s">
        <v>30</v>
      </c>
      <c r="C237" s="116"/>
      <c r="D237" s="848" cm="1">
        <f t="array" ref="D237">SUM(_xlfn.ANCHORARRAY(E237) * discountAnnual)</f>
        <v>455332.30730306823</v>
      </c>
      <c r="E237" s="847" cm="1">
        <f t="array" ref="E237:AF237">_xlfn.ANCHORARRAY(E218) * costPDO</f>
        <v>0</v>
      </c>
      <c r="F237" s="847">
        <v>0</v>
      </c>
      <c r="G237" s="847">
        <v>0</v>
      </c>
      <c r="H237" s="847">
        <v>0</v>
      </c>
      <c r="I237" s="847">
        <v>0</v>
      </c>
      <c r="J237" s="847">
        <v>0</v>
      </c>
      <c r="K237" s="847">
        <v>0</v>
      </c>
      <c r="L237" s="847">
        <v>0</v>
      </c>
      <c r="M237" s="847">
        <v>11866.647233125201</v>
      </c>
      <c r="N237" s="847">
        <v>13493.913347099744</v>
      </c>
      <c r="O237" s="847">
        <v>15467.791851298074</v>
      </c>
      <c r="P237" s="847">
        <v>17871.808619567018</v>
      </c>
      <c r="Q237" s="847">
        <v>20810.211952008536</v>
      </c>
      <c r="R237" s="847">
        <v>24413.151097305068</v>
      </c>
      <c r="S237" s="847">
        <v>28843.151379905998</v>
      </c>
      <c r="T237" s="847">
        <v>34303.210750870632</v>
      </c>
      <c r="U237" s="847">
        <v>41046.923965396651</v>
      </c>
      <c r="V237" s="847">
        <v>49391.14236621531</v>
      </c>
      <c r="W237" s="847">
        <v>59731.804529654211</v>
      </c>
      <c r="X237" s="847">
        <v>72563.732200065584</v>
      </c>
      <c r="Y237" s="847">
        <v>88505.384989401733</v>
      </c>
      <c r="Z237" s="847">
        <v>108329.81624516592</v>
      </c>
      <c r="AA237" s="847">
        <v>133003.38378888665</v>
      </c>
      <c r="AB237" s="847">
        <v>163734.15852719109</v>
      </c>
      <c r="AC237" s="847">
        <v>202032.46078300162</v>
      </c>
      <c r="AD237" s="847">
        <v>249786.56302705494</v>
      </c>
      <c r="AE237" s="847">
        <v>309357.35907595279</v>
      </c>
      <c r="AF237" s="848">
        <v>383696.75198720617</v>
      </c>
    </row>
    <row r="238" spans="2:32" ht="21.95" customHeight="1" thickBot="1" x14ac:dyDescent="0.25">
      <c r="B238" s="872" t="s">
        <v>25</v>
      </c>
      <c r="C238" s="873"/>
      <c r="D238" s="878" cm="1">
        <f t="array" ref="D238">_xlfn.ANCHORARRAY(D235) +_xlfn.ANCHORARRAY( D236) +_xlfn.ANCHORARRAY( D237)</f>
        <v>48366154.025280394</v>
      </c>
      <c r="E238" s="858" cm="1">
        <f t="array" ref="E238:AF238">_xlfn.ANCHORARRAY(E235) +_xlfn.ANCHORARRAY( E236) +_xlfn.ANCHORARRAY( E237)</f>
        <v>0</v>
      </c>
      <c r="F238" s="858">
        <v>0</v>
      </c>
      <c r="G238" s="858">
        <v>0</v>
      </c>
      <c r="H238" s="858">
        <v>0</v>
      </c>
      <c r="I238" s="858">
        <v>0</v>
      </c>
      <c r="J238" s="858">
        <v>0</v>
      </c>
      <c r="K238" s="858">
        <v>0</v>
      </c>
      <c r="L238" s="858">
        <v>0</v>
      </c>
      <c r="M238" s="858">
        <v>2303369.3523919596</v>
      </c>
      <c r="N238" s="858">
        <v>2544895.6630419018</v>
      </c>
      <c r="O238" s="858">
        <v>2819474.5085319285</v>
      </c>
      <c r="P238" s="858">
        <v>3132993.3672073921</v>
      </c>
      <c r="Q238" s="858">
        <v>3492586.7225449923</v>
      </c>
      <c r="R238" s="858">
        <v>3906923.9669590141</v>
      </c>
      <c r="S238" s="858">
        <v>4386566.4077799451</v>
      </c>
      <c r="T238" s="858">
        <v>4944410.2625344042</v>
      </c>
      <c r="U238" s="858">
        <v>5596236.6954655629</v>
      </c>
      <c r="V238" s="858">
        <v>6361395.1445088219</v>
      </c>
      <c r="W238" s="858">
        <v>7263652.6744398605</v>
      </c>
      <c r="X238" s="858">
        <v>8332250.188390336</v>
      </c>
      <c r="Y238" s="858">
        <v>9603216.4370833673</v>
      </c>
      <c r="Z238" s="858">
        <v>11121003.383591207</v>
      </c>
      <c r="AA238" s="858">
        <v>12940522.236629643</v>
      </c>
      <c r="AB238" s="858">
        <v>15129679.138879977</v>
      </c>
      <c r="AC238" s="858">
        <v>17772534.065065179</v>
      </c>
      <c r="AD238" s="858">
        <v>20973237.16770846</v>
      </c>
      <c r="AE238" s="879">
        <v>24860935.13145474</v>
      </c>
      <c r="AF238" s="880">
        <v>29595887.965019692</v>
      </c>
    </row>
  </sheetData>
  <mergeCells count="10">
    <mergeCell ref="O5:Q8"/>
    <mergeCell ref="P18:S18"/>
    <mergeCell ref="P19:S19"/>
    <mergeCell ref="P20:S20"/>
    <mergeCell ref="P21:S21"/>
    <mergeCell ref="P22:S22"/>
    <mergeCell ref="P23:S23"/>
    <mergeCell ref="P24:S24"/>
    <mergeCell ref="P25:S25"/>
    <mergeCell ref="P26:S26"/>
  </mergeCells>
  <hyperlinks>
    <hyperlink ref="B40" location="'Accident Data'!A1" display="Source: Accident Data" xr:uid="{A410E664-DF8B-4813-BC4B-FC07675FE4DF}"/>
    <hyperlink ref="P19" r:id="rId1" xr:uid="{FB0D02AA-B65B-4D84-9BE4-22BB288E3AC7}"/>
    <hyperlink ref="P21" r:id="rId2" xr:uid="{F94283FF-98AE-4573-97FA-BEBA09776FC4}"/>
    <hyperlink ref="P22" r:id="rId3" xr:uid="{DA970AB9-D649-4BE5-9F5C-41ADE4245F58}"/>
    <hyperlink ref="P20" r:id="rId4" xr:uid="{AF346457-6647-409C-AC27-F90F3343E3C9}"/>
    <hyperlink ref="P26" r:id="rId5" xr:uid="{B79CCB3A-7C3C-4AE4-92D6-66ADB393254D}"/>
    <hyperlink ref="P23" r:id="rId6" xr:uid="{ECBE7E13-9B0A-43B0-8D9E-6176292A13D9}"/>
    <hyperlink ref="P25" r:id="rId7" xr:uid="{59469426-3B92-4083-9DDA-E159EEA90330}"/>
  </hyperlinks>
  <pageMargins left="0.7" right="0.7" top="0.75" bottom="0.75" header="0.3" footer="0.3"/>
  <pageSetup orientation="portrait" horizontalDpi="90" verticalDpi="90"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C4BE7-3846-4196-997F-63950000EDD1}">
  <sheetPr>
    <tabColor theme="9" tint="-0.249977111117893"/>
  </sheetPr>
  <dimension ref="A1:AO958"/>
  <sheetViews>
    <sheetView topLeftCell="A15" zoomScale="70" zoomScaleNormal="70" workbookViewId="0">
      <selection activeCell="K10" sqref="K10"/>
    </sheetView>
  </sheetViews>
  <sheetFormatPr defaultColWidth="11.625" defaultRowHeight="21.95" customHeight="1" x14ac:dyDescent="0.2"/>
  <cols>
    <col min="1" max="1" width="3.375" customWidth="1"/>
    <col min="2" max="2" width="50.625" customWidth="1"/>
    <col min="3" max="3" width="16.625" bestFit="1" customWidth="1"/>
    <col min="4" max="4" width="16.625" customWidth="1"/>
    <col min="5" max="6" width="19" customWidth="1"/>
    <col min="7" max="7" width="22.125" bestFit="1" customWidth="1"/>
    <col min="8" max="8" width="19.625" bestFit="1" customWidth="1"/>
    <col min="9" max="9" width="15.25" style="2" bestFit="1" customWidth="1"/>
    <col min="10" max="10" width="14.75" style="2" customWidth="1"/>
    <col min="11" max="11" width="14.5" style="2" bestFit="1" customWidth="1"/>
    <col min="12" max="12" width="15.625" style="2" bestFit="1" customWidth="1"/>
    <col min="13" max="13" width="14.75" style="2" customWidth="1"/>
    <col min="14" max="17" width="15.625" style="2" bestFit="1" customWidth="1"/>
    <col min="18" max="18" width="16.875" style="2" bestFit="1" customWidth="1"/>
    <col min="19" max="19" width="16.875" bestFit="1" customWidth="1"/>
    <col min="20" max="22" width="18" bestFit="1" customWidth="1"/>
    <col min="23" max="34" width="19.125" bestFit="1" customWidth="1"/>
    <col min="35" max="41" width="14.75" customWidth="1"/>
  </cols>
  <sheetData>
    <row r="1" spans="1:28" ht="21.95" customHeight="1" x14ac:dyDescent="0.2">
      <c r="F1" s="12"/>
      <c r="G1" s="12"/>
      <c r="H1" s="12"/>
      <c r="I1" s="12"/>
      <c r="J1" s="12"/>
      <c r="K1" s="12"/>
      <c r="L1" s="12"/>
      <c r="M1" s="12"/>
      <c r="N1" s="12"/>
      <c r="O1" s="12"/>
      <c r="P1" s="12"/>
      <c r="Q1" s="12"/>
      <c r="R1" s="12"/>
      <c r="S1" s="12"/>
      <c r="T1" s="12"/>
      <c r="U1" s="12"/>
      <c r="V1" s="12"/>
      <c r="W1" s="12"/>
      <c r="X1" s="12"/>
      <c r="Y1" s="12"/>
      <c r="Z1" s="12"/>
      <c r="AA1" s="12"/>
      <c r="AB1" s="12"/>
    </row>
    <row r="2" spans="1:28" ht="23.25" x14ac:dyDescent="0.2">
      <c r="B2" s="394" t="s">
        <v>13</v>
      </c>
      <c r="C2" s="10"/>
      <c r="D2" s="10"/>
      <c r="E2" s="10"/>
      <c r="F2" s="12"/>
      <c r="G2" s="12"/>
      <c r="H2" s="12"/>
      <c r="I2" s="12"/>
      <c r="J2" s="12"/>
      <c r="K2" s="12"/>
      <c r="L2" s="12"/>
      <c r="M2" s="12"/>
      <c r="N2" s="12"/>
      <c r="O2" s="12"/>
      <c r="P2" s="12"/>
      <c r="Q2" s="12"/>
      <c r="R2" s="12"/>
      <c r="S2" s="12"/>
      <c r="T2" s="12"/>
      <c r="U2" s="12"/>
      <c r="V2" s="12"/>
      <c r="W2" s="12"/>
      <c r="X2" s="12"/>
      <c r="Y2" s="12"/>
      <c r="Z2" s="12"/>
      <c r="AA2" s="12"/>
      <c r="AB2" s="12"/>
    </row>
    <row r="3" spans="1:28" ht="21.95" customHeight="1" x14ac:dyDescent="0.2">
      <c r="E3" s="12"/>
      <c r="F3" s="12"/>
      <c r="G3" s="12"/>
      <c r="H3" s="12"/>
      <c r="I3" s="12"/>
      <c r="J3" s="12"/>
      <c r="K3" s="12"/>
      <c r="L3" s="12"/>
      <c r="M3" s="12"/>
      <c r="N3" s="12"/>
      <c r="O3" s="12"/>
      <c r="P3" s="12"/>
      <c r="Q3" s="12"/>
      <c r="R3" s="12"/>
      <c r="S3" s="12"/>
      <c r="T3" s="12"/>
      <c r="U3" s="12"/>
      <c r="V3" s="12"/>
      <c r="W3" s="12"/>
      <c r="X3" s="12"/>
      <c r="Y3" s="12"/>
      <c r="Z3" s="12"/>
      <c r="AA3" s="12"/>
    </row>
    <row r="4" spans="1:28" ht="21.95" customHeight="1" x14ac:dyDescent="0.2">
      <c r="A4" s="551"/>
      <c r="B4" s="552" t="s">
        <v>0</v>
      </c>
      <c r="E4" s="12"/>
      <c r="F4" s="12"/>
      <c r="G4" s="12"/>
      <c r="H4" s="12"/>
      <c r="I4" s="12"/>
      <c r="J4" s="12"/>
      <c r="K4" s="12"/>
      <c r="L4" s="12"/>
      <c r="M4" s="12"/>
      <c r="N4" s="12"/>
      <c r="O4" s="12"/>
      <c r="P4" s="12"/>
      <c r="Q4" s="12"/>
      <c r="R4" s="12"/>
      <c r="S4" s="12"/>
      <c r="T4" s="12"/>
      <c r="U4" s="12"/>
      <c r="V4" s="12"/>
      <c r="W4" s="12"/>
      <c r="X4" s="12"/>
      <c r="Y4" s="12"/>
      <c r="Z4" s="12"/>
      <c r="AA4" s="12"/>
    </row>
    <row r="5" spans="1:28" ht="21.95" customHeight="1" x14ac:dyDescent="0.2">
      <c r="A5" s="14"/>
      <c r="B5" s="15"/>
      <c r="C5" s="15"/>
      <c r="D5" s="15"/>
      <c r="E5" s="12"/>
      <c r="F5" s="12"/>
      <c r="G5" s="12"/>
      <c r="H5" s="12"/>
      <c r="I5" s="12"/>
      <c r="J5" s="12"/>
      <c r="K5" s="12"/>
      <c r="L5" s="12"/>
      <c r="M5" s="12"/>
      <c r="N5" s="12"/>
      <c r="O5" s="12"/>
      <c r="P5" s="12"/>
      <c r="Q5" s="12"/>
      <c r="R5" s="12"/>
      <c r="S5" s="12"/>
      <c r="T5" s="12"/>
      <c r="U5" s="12"/>
      <c r="V5" s="12"/>
      <c r="W5" s="12"/>
      <c r="X5" s="12"/>
      <c r="Y5" s="12"/>
      <c r="Z5" s="12"/>
      <c r="AA5" s="12"/>
    </row>
    <row r="6" spans="1:28" ht="21.95" customHeight="1" thickBot="1" x14ac:dyDescent="0.25">
      <c r="A6" s="14"/>
      <c r="B6" s="561" t="s">
        <v>31</v>
      </c>
      <c r="F6" s="2"/>
      <c r="G6" s="2"/>
      <c r="H6" s="2"/>
      <c r="O6"/>
      <c r="P6"/>
      <c r="Q6" s="12"/>
      <c r="R6" s="12"/>
      <c r="S6" s="12"/>
      <c r="T6" s="12"/>
      <c r="U6" s="12"/>
      <c r="V6" s="12"/>
      <c r="W6" s="12"/>
      <c r="X6" s="12"/>
      <c r="Y6" s="12"/>
      <c r="Z6" s="12"/>
      <c r="AA6" s="12"/>
    </row>
    <row r="7" spans="1:28" ht="40.35" customHeight="1" thickBot="1" x14ac:dyDescent="0.25">
      <c r="B7" s="870" t="s">
        <v>1</v>
      </c>
      <c r="C7" s="485" t="s">
        <v>2</v>
      </c>
      <c r="D7" s="834" t="s">
        <v>3</v>
      </c>
      <c r="H7" s="2"/>
      <c r="P7"/>
      <c r="Q7"/>
      <c r="R7"/>
      <c r="S7" s="12"/>
      <c r="T7" s="12"/>
      <c r="U7" s="12"/>
      <c r="V7" s="12"/>
      <c r="W7" s="12"/>
      <c r="X7" s="12"/>
      <c r="Y7" s="12"/>
    </row>
    <row r="8" spans="1:28" s="4" customFormat="1" ht="21.95" customHeight="1" x14ac:dyDescent="0.2">
      <c r="A8"/>
      <c r="B8" s="492" t="s">
        <v>153</v>
      </c>
      <c r="C8" s="228" t="s">
        <v>129</v>
      </c>
      <c r="D8" s="679">
        <f>Inputs!$E$18</f>
        <v>2</v>
      </c>
      <c r="G8"/>
      <c r="S8" s="13"/>
      <c r="T8" s="13"/>
      <c r="U8" s="13"/>
      <c r="V8" s="13"/>
      <c r="W8" s="13"/>
      <c r="X8" s="13"/>
      <c r="Y8" s="13"/>
    </row>
    <row r="9" spans="1:28" ht="21.95" customHeight="1" x14ac:dyDescent="0.2">
      <c r="B9" s="492" t="s">
        <v>154</v>
      </c>
      <c r="C9" s="228" t="s">
        <v>129</v>
      </c>
      <c r="D9" s="679">
        <f>Inputs!$E$19</f>
        <v>2</v>
      </c>
      <c r="H9" s="2"/>
      <c r="M9"/>
      <c r="N9"/>
      <c r="O9"/>
      <c r="P9"/>
      <c r="Q9"/>
      <c r="R9"/>
      <c r="S9" s="12"/>
      <c r="T9" s="12"/>
      <c r="U9" s="12"/>
      <c r="V9" s="12"/>
      <c r="W9" s="12"/>
      <c r="X9" s="12"/>
      <c r="Y9" s="12"/>
    </row>
    <row r="10" spans="1:28" ht="21.95" customHeight="1" x14ac:dyDescent="0.2">
      <c r="B10" s="876" t="s">
        <v>148</v>
      </c>
      <c r="C10" s="228" t="s">
        <v>128</v>
      </c>
      <c r="D10" s="1135">
        <v>0.33</v>
      </c>
      <c r="H10" s="2"/>
      <c r="M10"/>
      <c r="N10"/>
      <c r="O10"/>
      <c r="P10"/>
      <c r="Q10"/>
      <c r="R10"/>
      <c r="S10" s="12"/>
      <c r="T10" s="12"/>
      <c r="U10" s="12"/>
      <c r="V10" s="12"/>
      <c r="W10" s="12"/>
      <c r="X10" s="12"/>
      <c r="Y10" s="12"/>
    </row>
    <row r="11" spans="1:28" ht="21.95" customHeight="1" x14ac:dyDescent="0.2">
      <c r="B11" s="492" t="s">
        <v>175</v>
      </c>
      <c r="C11" s="116" t="s">
        <v>11</v>
      </c>
      <c r="D11" s="1136">
        <f>occupancyAutos</f>
        <v>1.67</v>
      </c>
      <c r="H11" s="2"/>
      <c r="M11"/>
      <c r="N11"/>
      <c r="O11"/>
      <c r="P11"/>
      <c r="Q11"/>
      <c r="R11"/>
      <c r="S11" s="12"/>
      <c r="T11" s="12"/>
      <c r="U11" s="12"/>
      <c r="V11" s="12"/>
      <c r="W11" s="12"/>
      <c r="X11" s="12"/>
      <c r="Y11" s="12"/>
    </row>
    <row r="12" spans="1:28" ht="21.95" customHeight="1" x14ac:dyDescent="0.2">
      <c r="B12" s="492" t="s">
        <v>174</v>
      </c>
      <c r="C12" s="116" t="s">
        <v>11</v>
      </c>
      <c r="D12" s="1136">
        <f>occupancyTrucks</f>
        <v>1</v>
      </c>
      <c r="H12" s="2"/>
      <c r="M12"/>
      <c r="N12"/>
      <c r="O12"/>
      <c r="P12"/>
      <c r="Q12"/>
      <c r="R12"/>
      <c r="S12" s="12"/>
      <c r="T12" s="12"/>
      <c r="U12" s="12"/>
      <c r="V12" s="12"/>
      <c r="W12" s="12"/>
      <c r="X12" s="12"/>
      <c r="Y12" s="12"/>
    </row>
    <row r="13" spans="1:28" ht="21.95" customHeight="1" x14ac:dyDescent="0.2">
      <c r="B13" s="492" t="s">
        <v>179</v>
      </c>
      <c r="C13" s="116" t="str">
        <f>Inputs!D23</f>
        <v>2021$/hour</v>
      </c>
      <c r="D13" s="1137">
        <f>VTTSAutos</f>
        <v>18.8</v>
      </c>
      <c r="H13" s="2"/>
      <c r="M13"/>
      <c r="N13"/>
      <c r="O13"/>
      <c r="P13"/>
      <c r="Q13"/>
      <c r="R13"/>
      <c r="S13" s="12"/>
      <c r="T13" s="12"/>
      <c r="U13" s="12"/>
      <c r="V13" s="12"/>
      <c r="W13" s="12"/>
      <c r="X13" s="12"/>
      <c r="Y13" s="12"/>
    </row>
    <row r="14" spans="1:28" ht="21.95" customHeight="1" thickBot="1" x14ac:dyDescent="0.25">
      <c r="B14" s="795" t="s">
        <v>180</v>
      </c>
      <c r="C14" s="278" t="str">
        <f>Inputs!D24</f>
        <v>2021$/hour</v>
      </c>
      <c r="D14" s="1138">
        <f>VTTSTrucks</f>
        <v>32.4</v>
      </c>
      <c r="H14" s="2"/>
      <c r="M14"/>
      <c r="N14"/>
      <c r="O14"/>
      <c r="P14"/>
      <c r="Q14"/>
      <c r="R14"/>
      <c r="S14" s="12"/>
      <c r="T14" s="12"/>
      <c r="U14" s="12"/>
      <c r="V14" s="12"/>
      <c r="W14" s="12"/>
      <c r="X14" s="12"/>
      <c r="Y14" s="12"/>
    </row>
    <row r="15" spans="1:28" ht="21.95" customHeight="1" x14ac:dyDescent="0.2">
      <c r="B15" s="483"/>
      <c r="C15" s="483"/>
      <c r="D15" s="12"/>
      <c r="E15" s="12"/>
      <c r="F15" s="12"/>
      <c r="G15" s="12"/>
      <c r="I15"/>
      <c r="J15"/>
      <c r="K15"/>
      <c r="L15"/>
      <c r="M15"/>
      <c r="N15"/>
      <c r="O15"/>
      <c r="P15"/>
      <c r="Q15"/>
      <c r="R15"/>
      <c r="S15" s="12"/>
      <c r="T15" s="12"/>
      <c r="U15" s="12"/>
      <c r="V15" s="12"/>
      <c r="W15" s="12"/>
      <c r="X15" s="12"/>
      <c r="Y15" s="12"/>
    </row>
    <row r="16" spans="1:28" ht="21.95" customHeight="1" x14ac:dyDescent="0.2">
      <c r="D16" s="12"/>
      <c r="E16" s="12"/>
      <c r="F16" s="12"/>
      <c r="G16" s="12"/>
      <c r="I16"/>
      <c r="J16"/>
      <c r="K16"/>
      <c r="L16"/>
      <c r="M16"/>
      <c r="N16"/>
      <c r="O16" s="12"/>
      <c r="P16" s="12"/>
      <c r="Q16" s="12"/>
      <c r="R16" s="12"/>
      <c r="S16" s="12"/>
      <c r="T16" s="12"/>
      <c r="U16" s="12"/>
      <c r="V16" s="12"/>
      <c r="W16" s="12"/>
      <c r="X16" s="12"/>
      <c r="Y16" s="12"/>
    </row>
    <row r="17" spans="1:41" ht="21.95" customHeight="1" x14ac:dyDescent="0.2">
      <c r="D17" s="12"/>
      <c r="E17" s="12"/>
      <c r="F17" s="12"/>
      <c r="G17" s="12"/>
      <c r="I17"/>
      <c r="J17"/>
      <c r="K17"/>
      <c r="L17"/>
      <c r="M17"/>
      <c r="N17"/>
      <c r="O17" s="12"/>
      <c r="P17" s="12"/>
      <c r="Q17" s="12"/>
      <c r="R17" s="12"/>
      <c r="S17" s="12"/>
      <c r="T17" s="12"/>
      <c r="U17" s="12"/>
      <c r="V17" s="12"/>
      <c r="W17" s="12"/>
      <c r="X17" s="12"/>
      <c r="Y17" s="12"/>
    </row>
    <row r="18" spans="1:41" ht="21.95" customHeight="1" thickBot="1" x14ac:dyDescent="0.25">
      <c r="B18" s="1343" t="s">
        <v>178</v>
      </c>
      <c r="C18" s="1343"/>
      <c r="D18" s="1343"/>
      <c r="E18" s="1343"/>
      <c r="F18" s="1343"/>
      <c r="G18" s="1343"/>
      <c r="H18" s="1343"/>
      <c r="I18" s="1343"/>
      <c r="J18" s="1343"/>
      <c r="K18" s="1343"/>
      <c r="L18"/>
      <c r="M18"/>
      <c r="N18"/>
      <c r="O18" s="12"/>
      <c r="P18" s="12"/>
      <c r="Q18" s="12"/>
      <c r="R18" s="12"/>
      <c r="S18" s="12"/>
      <c r="T18" s="12"/>
      <c r="U18" s="12"/>
      <c r="V18" s="12"/>
      <c r="W18" s="12"/>
      <c r="X18" s="12"/>
      <c r="Y18" s="12"/>
    </row>
    <row r="19" spans="1:41" ht="21.95" customHeight="1" thickBot="1" x14ac:dyDescent="0.25">
      <c r="B19" s="870" t="s">
        <v>1</v>
      </c>
      <c r="C19" s="1129" t="str">
        <f>Inputs!D34</f>
        <v>US 412</v>
      </c>
      <c r="D19" s="1129" t="str">
        <f>Inputs!E34</f>
        <v>SH 412B</v>
      </c>
      <c r="E19" s="1129" t="str">
        <f>Inputs!F34</f>
        <v>Patrol Rd</v>
      </c>
      <c r="F19" s="1129" t="str">
        <f>Inputs!G34</f>
        <v>Williams St</v>
      </c>
      <c r="G19" s="1129" t="str">
        <f>Inputs!H34</f>
        <v>US 69</v>
      </c>
      <c r="H19" s="1129" t="str">
        <f>Inputs!I34</f>
        <v>Zarrow Rd</v>
      </c>
      <c r="I19" s="1129" t="str">
        <f>Inputs!J34</f>
        <v>Rocket Rd</v>
      </c>
      <c r="J19" s="1129" t="str">
        <f>Inputs!K34</f>
        <v>Armin Rd</v>
      </c>
      <c r="K19" s="1130" t="str">
        <f>Inputs!L34</f>
        <v>SH 69A</v>
      </c>
      <c r="L19"/>
      <c r="M19"/>
      <c r="N19"/>
      <c r="O19" s="12"/>
      <c r="P19" s="12"/>
      <c r="Q19" s="12"/>
      <c r="R19" s="12"/>
      <c r="S19" s="12"/>
      <c r="T19" s="12"/>
      <c r="U19" s="12"/>
      <c r="V19" s="12"/>
      <c r="W19" s="12"/>
      <c r="X19" s="12"/>
      <c r="Y19" s="12"/>
    </row>
    <row r="20" spans="1:41" ht="21.95" customHeight="1" x14ac:dyDescent="0.2">
      <c r="B20" s="492" t="s">
        <v>511</v>
      </c>
      <c r="C20" s="1131">
        <f>Inputs!D35</f>
        <v>0.22</v>
      </c>
      <c r="D20" s="1131">
        <f>Inputs!E35</f>
        <v>0.2</v>
      </c>
      <c r="E20" s="1131">
        <f>Inputs!F35</f>
        <v>0.2</v>
      </c>
      <c r="F20" s="1131">
        <f>Inputs!G35</f>
        <v>0.2</v>
      </c>
      <c r="G20" s="1131">
        <f>Inputs!H35</f>
        <v>0.28000000000000003</v>
      </c>
      <c r="H20" s="1131">
        <f>Inputs!I35</f>
        <v>0.2</v>
      </c>
      <c r="I20" s="1131">
        <f>Inputs!J35</f>
        <v>0.2</v>
      </c>
      <c r="J20" s="1131">
        <f>Inputs!K35</f>
        <v>0.2</v>
      </c>
      <c r="K20" s="1132">
        <f>Inputs!L35</f>
        <v>0.2</v>
      </c>
      <c r="L20"/>
      <c r="M20"/>
      <c r="N20"/>
      <c r="O20" s="12"/>
      <c r="P20" s="12"/>
      <c r="Q20" s="12"/>
      <c r="R20" s="12"/>
      <c r="S20" s="12"/>
      <c r="T20" s="12"/>
      <c r="U20" s="12"/>
      <c r="V20" s="12"/>
      <c r="W20" s="12"/>
      <c r="X20" s="12"/>
      <c r="Y20" s="12"/>
    </row>
    <row r="21" spans="1:41" ht="21.95" customHeight="1" thickBot="1" x14ac:dyDescent="0.25">
      <c r="B21" s="795" t="s">
        <v>512</v>
      </c>
      <c r="C21" s="1133">
        <f>Inputs!D36</f>
        <v>0.78</v>
      </c>
      <c r="D21" s="1133">
        <f>Inputs!E36</f>
        <v>0.8</v>
      </c>
      <c r="E21" s="1133">
        <f>Inputs!F36</f>
        <v>0.8</v>
      </c>
      <c r="F21" s="1133">
        <f>Inputs!G36</f>
        <v>0.8</v>
      </c>
      <c r="G21" s="1133">
        <f>Inputs!H36</f>
        <v>0.72</v>
      </c>
      <c r="H21" s="1133">
        <f>Inputs!I36</f>
        <v>0.8</v>
      </c>
      <c r="I21" s="1133">
        <f>Inputs!J36</f>
        <v>0.8</v>
      </c>
      <c r="J21" s="1133">
        <f>Inputs!K36</f>
        <v>0.8</v>
      </c>
      <c r="K21" s="1134">
        <f>Inputs!L36</f>
        <v>0.8</v>
      </c>
      <c r="L21"/>
      <c r="M21"/>
      <c r="N21"/>
      <c r="O21" s="12"/>
      <c r="P21" s="12"/>
      <c r="Q21" s="12"/>
      <c r="R21" s="12"/>
      <c r="S21" s="12"/>
      <c r="T21" s="12"/>
      <c r="U21" s="12"/>
      <c r="V21" s="12"/>
      <c r="W21" s="12"/>
      <c r="X21" s="12"/>
      <c r="Y21" s="12"/>
    </row>
    <row r="22" spans="1:41" ht="21.95" customHeight="1" x14ac:dyDescent="0.2">
      <c r="E22" s="12"/>
      <c r="F22" s="12"/>
      <c r="G22" s="12"/>
      <c r="I22"/>
      <c r="J22"/>
      <c r="K22"/>
      <c r="L22" s="30"/>
      <c r="M22"/>
      <c r="N22"/>
      <c r="O22" s="12"/>
      <c r="P22" s="12"/>
      <c r="Q22" s="12"/>
      <c r="R22" s="12"/>
      <c r="S22" s="12"/>
      <c r="T22" s="12"/>
      <c r="U22" s="12"/>
      <c r="V22" s="12"/>
      <c r="W22" s="12"/>
      <c r="X22" s="12"/>
      <c r="Y22" s="12"/>
    </row>
    <row r="23" spans="1:41" ht="21.95" customHeight="1" x14ac:dyDescent="0.2">
      <c r="G23" s="12"/>
      <c r="H23" s="12"/>
      <c r="I23" s="12"/>
      <c r="J23"/>
      <c r="K23"/>
      <c r="L23"/>
      <c r="M23"/>
      <c r="N23" s="30"/>
      <c r="O23"/>
      <c r="P23"/>
      <c r="Q23" s="12"/>
      <c r="R23" s="12"/>
      <c r="S23" s="12"/>
      <c r="T23" s="12"/>
      <c r="U23" s="12"/>
      <c r="V23" s="12"/>
      <c r="W23" s="12"/>
      <c r="X23" s="12"/>
      <c r="Y23" s="12"/>
      <c r="Z23" s="12"/>
      <c r="AA23" s="12"/>
    </row>
    <row r="24" spans="1:41" ht="21.95" customHeight="1" x14ac:dyDescent="0.2">
      <c r="A24" s="551"/>
      <c r="B24" s="552" t="s">
        <v>9</v>
      </c>
      <c r="G24" s="12"/>
      <c r="H24" s="12"/>
      <c r="I24" s="12"/>
      <c r="J24"/>
      <c r="K24"/>
      <c r="L24"/>
      <c r="M24"/>
      <c r="N24" s="12"/>
      <c r="O24" s="12"/>
      <c r="P24" s="12"/>
      <c r="Q24" s="12"/>
      <c r="R24" s="12"/>
      <c r="S24" s="12"/>
      <c r="T24" s="12"/>
      <c r="U24" s="12"/>
      <c r="V24" s="12"/>
      <c r="W24" s="12"/>
      <c r="X24" s="12"/>
      <c r="Y24" s="12"/>
      <c r="Z24" s="12"/>
      <c r="AA24" s="12"/>
      <c r="AB24" s="12"/>
      <c r="AC24" s="12"/>
    </row>
    <row r="25" spans="1:41" ht="21.95" customHeight="1" x14ac:dyDescent="0.2">
      <c r="B25" s="1"/>
      <c r="C25" s="1"/>
      <c r="D25" s="1"/>
      <c r="E25" s="1"/>
      <c r="F25" s="1"/>
      <c r="G25" s="12"/>
      <c r="H25" s="12"/>
      <c r="I25" s="12"/>
      <c r="J25" s="12"/>
      <c r="K25" s="12"/>
      <c r="L25" s="12"/>
      <c r="M25" s="12"/>
      <c r="N25" s="12"/>
      <c r="O25" s="12"/>
      <c r="P25" s="12"/>
      <c r="Q25" s="12"/>
      <c r="R25" s="12"/>
      <c r="S25" s="12"/>
      <c r="T25" s="12"/>
      <c r="U25" s="12"/>
      <c r="V25" s="12"/>
      <c r="W25" s="12"/>
      <c r="X25" s="12"/>
      <c r="Y25" s="12"/>
      <c r="Z25" s="12"/>
      <c r="AA25" s="12"/>
      <c r="AB25" s="12"/>
      <c r="AC25" s="12"/>
    </row>
    <row r="26" spans="1:41" ht="21.95" customHeight="1" x14ac:dyDescent="0.2">
      <c r="B26" s="194" t="s">
        <v>13</v>
      </c>
      <c r="C26" s="1"/>
      <c r="D26" s="1"/>
      <c r="E26" s="1"/>
      <c r="F26" s="1"/>
      <c r="G26" s="12"/>
      <c r="H26" s="12"/>
      <c r="I26" s="12"/>
      <c r="J26" s="12"/>
      <c r="K26" s="12"/>
      <c r="L26" s="12"/>
      <c r="M26" s="12"/>
      <c r="N26" s="12"/>
      <c r="O26" s="12"/>
      <c r="P26" s="12"/>
      <c r="Q26" s="12"/>
      <c r="R26" s="12"/>
      <c r="S26" s="12"/>
      <c r="T26" s="12"/>
      <c r="U26" s="12"/>
      <c r="V26" s="12"/>
      <c r="W26" s="12"/>
      <c r="X26" s="12"/>
      <c r="Y26" s="12"/>
      <c r="Z26" s="12"/>
      <c r="AA26" s="12"/>
      <c r="AB26" s="12"/>
      <c r="AC26" s="12"/>
    </row>
    <row r="27" spans="1:41" ht="21.95" customHeight="1" thickBot="1" x14ac:dyDescent="0.25">
      <c r="B27" s="9" t="s">
        <v>248</v>
      </c>
      <c r="C27" s="1"/>
      <c r="D27" s="1"/>
      <c r="E27" s="1"/>
      <c r="F27" s="1"/>
      <c r="G27" s="1"/>
      <c r="H27" s="12"/>
      <c r="I27" s="12"/>
      <c r="J27" s="12"/>
      <c r="K27" s="12"/>
      <c r="L27" s="12"/>
      <c r="M27" s="12"/>
      <c r="N27" s="12"/>
      <c r="O27" s="12"/>
      <c r="P27" s="12"/>
      <c r="Q27" s="12"/>
      <c r="R27" s="12"/>
      <c r="S27" s="12"/>
      <c r="T27" s="12"/>
      <c r="U27" s="12"/>
      <c r="V27" s="12"/>
      <c r="W27" s="12"/>
      <c r="X27" s="12"/>
      <c r="Y27" s="12"/>
      <c r="Z27" s="12"/>
      <c r="AA27" s="12"/>
      <c r="AB27" s="12"/>
      <c r="AC27" s="12"/>
      <c r="AD27" s="12"/>
    </row>
    <row r="28" spans="1:41" s="7" customFormat="1" ht="21.95" customHeight="1" thickBot="1" x14ac:dyDescent="0.25">
      <c r="B28" s="234"/>
      <c r="C28" s="485" t="s">
        <v>2</v>
      </c>
      <c r="D28" s="485"/>
      <c r="E28" s="485" t="s">
        <v>328</v>
      </c>
      <c r="F28" s="1338" t="s">
        <v>18</v>
      </c>
      <c r="G28" s="1338"/>
      <c r="H28" s="485" t="s">
        <v>24</v>
      </c>
      <c r="I28" s="763">
        <v>2023</v>
      </c>
      <c r="J28" s="248">
        <v>2024</v>
      </c>
      <c r="K28" s="248">
        <v>2025</v>
      </c>
      <c r="L28" s="248">
        <v>2026</v>
      </c>
      <c r="M28" s="248">
        <v>2027</v>
      </c>
      <c r="N28" s="248">
        <v>2028</v>
      </c>
      <c r="O28" s="248">
        <v>2029</v>
      </c>
      <c r="P28" s="248">
        <v>2030</v>
      </c>
      <c r="Q28" s="248">
        <v>2031</v>
      </c>
      <c r="R28" s="248">
        <v>2032</v>
      </c>
      <c r="S28" s="248">
        <v>2033</v>
      </c>
      <c r="T28" s="248">
        <v>2034</v>
      </c>
      <c r="U28" s="248">
        <v>2035</v>
      </c>
      <c r="V28" s="248">
        <v>2036</v>
      </c>
      <c r="W28" s="248">
        <v>2037</v>
      </c>
      <c r="X28" s="248">
        <v>2038</v>
      </c>
      <c r="Y28" s="248">
        <v>2039</v>
      </c>
      <c r="Z28" s="248">
        <v>2040</v>
      </c>
      <c r="AA28" s="248">
        <v>2041</v>
      </c>
      <c r="AB28" s="248">
        <v>2042</v>
      </c>
      <c r="AC28" s="248">
        <v>2043</v>
      </c>
      <c r="AD28" s="248">
        <v>2044</v>
      </c>
      <c r="AE28" s="248">
        <v>2045</v>
      </c>
      <c r="AF28" s="248">
        <v>2046</v>
      </c>
      <c r="AG28" s="248">
        <v>2047</v>
      </c>
      <c r="AH28" s="498">
        <v>2048</v>
      </c>
      <c r="AI28" s="484"/>
      <c r="AJ28" s="484"/>
      <c r="AK28" s="484"/>
      <c r="AL28" s="484"/>
      <c r="AM28" s="484"/>
      <c r="AN28" s="484"/>
      <c r="AO28" s="484"/>
    </row>
    <row r="29" spans="1:41" ht="21.95" customHeight="1" x14ac:dyDescent="0.2">
      <c r="B29" s="199" t="s">
        <v>212</v>
      </c>
      <c r="C29" s="116" t="s">
        <v>156</v>
      </c>
      <c r="D29" s="240" t="s">
        <v>23</v>
      </c>
      <c r="E29" s="1339" t="s">
        <v>331</v>
      </c>
      <c r="F29" s="116" t="s">
        <v>332</v>
      </c>
      <c r="G29" s="116" t="s">
        <v>282</v>
      </c>
      <c r="H29" s="577" t="s">
        <v>23</v>
      </c>
      <c r="I29" s="577">
        <f>'Volume and Speed'!H232</f>
        <v>7729.1874665658033</v>
      </c>
      <c r="J29" s="726">
        <f>'Volume and Speed'!I232</f>
        <v>8084.7873062069702</v>
      </c>
      <c r="K29" s="726">
        <f>'Volume and Speed'!J232</f>
        <v>8584.1389546318933</v>
      </c>
      <c r="L29" s="726">
        <f>'Volume and Speed'!K232</f>
        <v>9316.7166099328369</v>
      </c>
      <c r="M29" s="726">
        <f>'Volume and Speed'!L232</f>
        <v>10049.64259391449</v>
      </c>
      <c r="N29" s="726">
        <f>'Volume and Speed'!M232</f>
        <v>10782.755228228734</v>
      </c>
      <c r="O29" s="726">
        <f>'Volume and Speed'!N232</f>
        <v>11515.882580199897</v>
      </c>
      <c r="P29" s="726">
        <f>'Volume and Speed'!O232</f>
        <v>12250.1152377543</v>
      </c>
      <c r="Q29" s="726">
        <f>'Volume and Speed'!P232</f>
        <v>12976.622926974398</v>
      </c>
      <c r="R29" s="726">
        <f>'Volume and Speed'!Q232</f>
        <v>13704.836217693541</v>
      </c>
      <c r="S29" s="726">
        <f>'Volume and Speed'!R232</f>
        <v>14435.443026870733</v>
      </c>
      <c r="T29" s="726">
        <f>'Volume and Speed'!S232</f>
        <v>15170.080709932754</v>
      </c>
      <c r="U29" s="726">
        <f>'Volume and Speed'!T232</f>
        <v>15911.571483158426</v>
      </c>
      <c r="V29" s="726">
        <f>'Volume and Speed'!U232</f>
        <v>16418.849523497396</v>
      </c>
      <c r="W29" s="726">
        <f>'Volume and Speed'!V232</f>
        <v>16789.741901957248</v>
      </c>
      <c r="X29" s="726">
        <f>'Volume and Speed'!W232</f>
        <v>17164.260012042734</v>
      </c>
      <c r="Y29" s="726">
        <f>'Volume and Speed'!X232</f>
        <v>17543.159625710894</v>
      </c>
      <c r="Z29" s="726">
        <f>'Volume and Speed'!Y232</f>
        <v>17927.491153132396</v>
      </c>
      <c r="AA29" s="726">
        <f>'Volume and Speed'!Z232</f>
        <v>18317.992615400999</v>
      </c>
      <c r="AB29" s="726">
        <f>'Volume and Speed'!AA232</f>
        <v>18716.216395094671</v>
      </c>
      <c r="AC29" s="726">
        <f>'Volume and Speed'!AB232</f>
        <v>19123.280763913892</v>
      </c>
      <c r="AD29" s="726">
        <f>'Volume and Speed'!AC232</f>
        <v>19541.028254748882</v>
      </c>
      <c r="AE29" s="726">
        <f>'Volume and Speed'!AD232</f>
        <v>19971.592870554276</v>
      </c>
      <c r="AF29" s="726">
        <f>'Volume and Speed'!AE232</f>
        <v>20416.892390069082</v>
      </c>
      <c r="AG29" s="726">
        <f>'Volume and Speed'!AF232</f>
        <v>20879.722155626376</v>
      </c>
      <c r="AH29" s="751">
        <f>'Volume and Speed'!AG232</f>
        <v>21363.308889628879</v>
      </c>
      <c r="AI29" s="18"/>
      <c r="AJ29" s="18"/>
      <c r="AK29" s="18"/>
      <c r="AL29" s="18"/>
      <c r="AM29" s="18"/>
      <c r="AN29" s="18"/>
    </row>
    <row r="30" spans="1:41" ht="21.95" customHeight="1" x14ac:dyDescent="0.2">
      <c r="B30" s="232" t="s">
        <v>513</v>
      </c>
      <c r="C30" s="715"/>
      <c r="D30" s="715"/>
      <c r="E30" s="1340"/>
      <c r="F30" s="116" t="s">
        <v>282</v>
      </c>
      <c r="G30" s="116" t="s">
        <v>280</v>
      </c>
      <c r="H30" s="577" t="s">
        <v>23</v>
      </c>
      <c r="I30" s="577">
        <f>'Volume and Speed'!H233</f>
        <v>248534.35639268748</v>
      </c>
      <c r="J30" s="577">
        <f>'Volume and Speed'!I233</f>
        <v>262302.30573530879</v>
      </c>
      <c r="K30" s="577">
        <f>'Volume and Speed'!J233</f>
        <v>278268.47729485313</v>
      </c>
      <c r="L30" s="577">
        <f>'Volume and Speed'!K233</f>
        <v>308061.00202394067</v>
      </c>
      <c r="M30" s="577">
        <f>'Volume and Speed'!L233</f>
        <v>337865.59085961472</v>
      </c>
      <c r="N30" s="577">
        <f>'Volume and Speed'!M233</f>
        <v>367678.01952059992</v>
      </c>
      <c r="O30" s="577">
        <f>'Volume and Speed'!N233</f>
        <v>397478.79538865009</v>
      </c>
      <c r="P30" s="577">
        <f>'Volume and Speed'!O233</f>
        <v>427317.99144907924</v>
      </c>
      <c r="Q30" s="577">
        <f>'Volume and Speed'!P233</f>
        <v>462714.70916572853</v>
      </c>
      <c r="R30" s="577">
        <f>'Volume and Speed'!Q233</f>
        <v>498176.09839275398</v>
      </c>
      <c r="S30" s="577">
        <f>'Volume and Speed'!R233</f>
        <v>533732.60139720526</v>
      </c>
      <c r="T30" s="577">
        <f>'Volume and Speed'!S233</f>
        <v>569483.48129835492</v>
      </c>
      <c r="U30" s="577">
        <f>'Volume and Speed'!T233</f>
        <v>605615.56045362353</v>
      </c>
      <c r="V30" s="577">
        <f>'Volume and Speed'!U233</f>
        <v>627844.82577248884</v>
      </c>
      <c r="W30" s="577">
        <f>'Volume and Speed'!V233</f>
        <v>642225.72602179437</v>
      </c>
      <c r="X30" s="577">
        <f>'Volume and Speed'!W233</f>
        <v>656753.8729596081</v>
      </c>
      <c r="Y30" s="577">
        <f>'Volume and Speed'!X233</f>
        <v>671460.37329841731</v>
      </c>
      <c r="Z30" s="577">
        <f>'Volume and Speed'!Y233</f>
        <v>686392.0971199359</v>
      </c>
      <c r="AA30" s="577">
        <f>'Volume and Speed'!Z233</f>
        <v>701572.53648554999</v>
      </c>
      <c r="AB30" s="577">
        <f>'Volume and Speed'!AA233</f>
        <v>717073.10868574912</v>
      </c>
      <c r="AC30" s="577">
        <f>'Volume and Speed'!AB233</f>
        <v>732932.94914367609</v>
      </c>
      <c r="AD30" s="577">
        <f>'Volume and Speed'!AC233</f>
        <v>749232.18150036258</v>
      </c>
      <c r="AE30" s="577">
        <f>'Volume and Speed'!AD233</f>
        <v>766063.63161397201</v>
      </c>
      <c r="AF30" s="577">
        <f>'Volume and Speed'!AE233</f>
        <v>783499.3861543166</v>
      </c>
      <c r="AG30" s="577">
        <f>'Volume and Speed'!AF233</f>
        <v>801659.9916589295</v>
      </c>
      <c r="AH30" s="752">
        <f>'Volume and Speed'!AG233</f>
        <v>820684.94573569903</v>
      </c>
      <c r="AI30" s="18"/>
      <c r="AJ30" s="18"/>
      <c r="AK30" s="18"/>
      <c r="AL30" s="18"/>
      <c r="AM30" s="18"/>
      <c r="AN30" s="18"/>
    </row>
    <row r="31" spans="1:41" ht="21.95" customHeight="1" x14ac:dyDescent="0.2">
      <c r="B31" s="232"/>
      <c r="C31" s="715"/>
      <c r="D31" s="715"/>
      <c r="E31" s="1340"/>
      <c r="F31" s="116" t="s">
        <v>280</v>
      </c>
      <c r="G31" s="116" t="s">
        <v>333</v>
      </c>
      <c r="H31" s="577" t="s">
        <v>23</v>
      </c>
      <c r="I31" s="577">
        <f>'Volume and Speed'!H234</f>
        <v>5796.8799869015402</v>
      </c>
      <c r="J31" s="577">
        <f>'Volume and Speed'!I234</f>
        <v>6038.9483671703838</v>
      </c>
      <c r="K31" s="577">
        <f>'Volume and Speed'!J234</f>
        <v>6338.5511137390477</v>
      </c>
      <c r="L31" s="577">
        <f>'Volume and Speed'!K234</f>
        <v>6741.9189452338151</v>
      </c>
      <c r="M31" s="577">
        <f>'Volume and Speed'!L234</f>
        <v>7145.4330416557295</v>
      </c>
      <c r="N31" s="577">
        <f>'Volume and Speed'!M234</f>
        <v>7548.901089941457</v>
      </c>
      <c r="O31" s="577">
        <f>'Volume and Speed'!N234</f>
        <v>7952.2762177653422</v>
      </c>
      <c r="P31" s="577">
        <f>'Volume and Speed'!O234</f>
        <v>8355.9470964504126</v>
      </c>
      <c r="Q31" s="577">
        <f>'Volume and Speed'!P234</f>
        <v>8747.0663421217796</v>
      </c>
      <c r="R31" s="577">
        <f>'Volume and Speed'!Q234</f>
        <v>9138.3435391500389</v>
      </c>
      <c r="S31" s="577">
        <f>'Volume and Speed'!R234</f>
        <v>9529.4950774832178</v>
      </c>
      <c r="T31" s="577">
        <f>'Volume and Speed'!S234</f>
        <v>9920.6746953398251</v>
      </c>
      <c r="U31" s="577">
        <f>'Volume and Speed'!T234</f>
        <v>10312.18456382061</v>
      </c>
      <c r="V31" s="577">
        <f>'Volume and Speed'!U234</f>
        <v>10599.497720416426</v>
      </c>
      <c r="W31" s="577">
        <f>'Volume and Speed'!V234</f>
        <v>10841.702077867954</v>
      </c>
      <c r="X31" s="577">
        <f>'Volume and Speed'!W234</f>
        <v>11083.940531226839</v>
      </c>
      <c r="Y31" s="577">
        <f>'Volume and Speed'!X234</f>
        <v>11326.220572259681</v>
      </c>
      <c r="Z31" s="577">
        <f>'Volume and Speed'!Y234</f>
        <v>11568.647852419308</v>
      </c>
      <c r="AA31" s="577">
        <f>'Volume and Speed'!Z234</f>
        <v>11811.039519467329</v>
      </c>
      <c r="AB31" s="577">
        <f>'Volume and Speed'!AA234</f>
        <v>12053.601582611032</v>
      </c>
      <c r="AC31" s="577">
        <f>'Volume and Speed'!AB234</f>
        <v>12296.155239175545</v>
      </c>
      <c r="AD31" s="577">
        <f>'Volume and Speed'!AC234</f>
        <v>12538.814553545863</v>
      </c>
      <c r="AE31" s="577">
        <f>'Volume and Speed'!AD234</f>
        <v>12781.696712180172</v>
      </c>
      <c r="AF31" s="577">
        <f>'Volume and Speed'!AE234</f>
        <v>13024.631561028047</v>
      </c>
      <c r="AG31" s="577">
        <f>'Volume and Speed'!AF234</f>
        <v>13267.74348112418</v>
      </c>
      <c r="AH31" s="752">
        <f>'Volume and Speed'!AG234</f>
        <v>13511.161548778193</v>
      </c>
      <c r="AI31" s="18"/>
      <c r="AJ31" s="18"/>
      <c r="AK31" s="18"/>
      <c r="AL31" s="18"/>
      <c r="AM31" s="18"/>
      <c r="AN31" s="18"/>
    </row>
    <row r="32" spans="1:41" ht="21.95" customHeight="1" x14ac:dyDescent="0.2">
      <c r="B32" s="232"/>
      <c r="C32" s="715"/>
      <c r="D32" s="715"/>
      <c r="E32" s="1340" t="s">
        <v>280</v>
      </c>
      <c r="F32" s="220" t="s">
        <v>281</v>
      </c>
      <c r="G32" s="220" t="s">
        <v>335</v>
      </c>
      <c r="H32" s="583" t="s">
        <v>23</v>
      </c>
      <c r="I32" s="583">
        <f>'Volume and Speed'!H235</f>
        <v>63558.967875434799</v>
      </c>
      <c r="J32" s="583">
        <f>'Volume and Speed'!I235</f>
        <v>70506.189586411652</v>
      </c>
      <c r="K32" s="583">
        <f>'Volume and Speed'!J235</f>
        <v>77866.575009707012</v>
      </c>
      <c r="L32" s="583">
        <f>'Volume and Speed'!K235</f>
        <v>101408.7853050522</v>
      </c>
      <c r="M32" s="583">
        <f>'Volume and Speed'!L235</f>
        <v>131882.17668619051</v>
      </c>
      <c r="N32" s="583">
        <f>'Volume and Speed'!M235</f>
        <v>201867.29734886976</v>
      </c>
      <c r="O32" s="583">
        <f>'Volume and Speed'!N235</f>
        <v>442110.45311180304</v>
      </c>
      <c r="P32" s="583">
        <f>'Volume and Speed'!O235</f>
        <v>501668.6505572056</v>
      </c>
      <c r="Q32" s="583">
        <f>'Volume and Speed'!P235</f>
        <v>581600.54832240893</v>
      </c>
      <c r="R32" s="583">
        <f>'Volume and Speed'!Q235</f>
        <v>661630.3357861184</v>
      </c>
      <c r="S32" s="583">
        <f>'Volume and Speed'!R235</f>
        <v>741842.98422179429</v>
      </c>
      <c r="T32" s="583">
        <f>'Volume and Speed'!S235</f>
        <v>822726.14942529844</v>
      </c>
      <c r="U32" s="583">
        <f>'Volume and Speed'!T235</f>
        <v>905536.83120009012</v>
      </c>
      <c r="V32" s="583">
        <f>'Volume and Speed'!U235</f>
        <v>951964.69950250024</v>
      </c>
      <c r="W32" s="583">
        <f>'Volume and Speed'!V235</f>
        <v>976376.86147359805</v>
      </c>
      <c r="X32" s="583">
        <f>'Volume and Speed'!W235</f>
        <v>998592.31671729451</v>
      </c>
      <c r="Y32" s="583">
        <f>'Volume and Speed'!X235</f>
        <v>1021646.0610166647</v>
      </c>
      <c r="Z32" s="583">
        <f>'Volume and Speed'!Y235</f>
        <v>1045722.2826192693</v>
      </c>
      <c r="AA32" s="583">
        <f>'Volume and Speed'!Z235</f>
        <v>1070950.9532621377</v>
      </c>
      <c r="AB32" s="583">
        <f>'Volume and Speed'!AA235</f>
        <v>1097579.1192085417</v>
      </c>
      <c r="AC32" s="583">
        <f>'Volume and Speed'!AB235</f>
        <v>1125810.1108644316</v>
      </c>
      <c r="AD32" s="583">
        <f>'Volume and Speed'!AC235</f>
        <v>1155920.1504738398</v>
      </c>
      <c r="AE32" s="583">
        <f>'Volume and Speed'!AD235</f>
        <v>1188269.6988153968</v>
      </c>
      <c r="AF32" s="583">
        <f>'Volume and Speed'!AE235</f>
        <v>1223184.4962086298</v>
      </c>
      <c r="AG32" s="583">
        <f>'Volume and Speed'!AF235</f>
        <v>1261060.7552679675</v>
      </c>
      <c r="AH32" s="753">
        <f>'Volume and Speed'!AG235</f>
        <v>1302425.236269681</v>
      </c>
      <c r="AI32" s="18"/>
      <c r="AJ32" s="18"/>
      <c r="AK32" s="18"/>
      <c r="AL32" s="18"/>
      <c r="AM32" s="18"/>
      <c r="AN32" s="18"/>
    </row>
    <row r="33" spans="2:40" ht="21.95" customHeight="1" x14ac:dyDescent="0.2">
      <c r="B33" s="232"/>
      <c r="C33" s="715"/>
      <c r="D33" s="715"/>
      <c r="E33" s="1340"/>
      <c r="F33" s="116" t="s">
        <v>335</v>
      </c>
      <c r="G33" s="116" t="s">
        <v>323</v>
      </c>
      <c r="H33" s="577" t="s">
        <v>23</v>
      </c>
      <c r="I33" s="577">
        <f>'Volume and Speed'!H236</f>
        <v>8848.4899221904034</v>
      </c>
      <c r="J33" s="577">
        <f>'Volume and Speed'!I236</f>
        <v>10024.32102519535</v>
      </c>
      <c r="K33" s="577">
        <f>'Volume and Speed'!J236</f>
        <v>11200.922391659791</v>
      </c>
      <c r="L33" s="577">
        <f>'Volume and Speed'!K236</f>
        <v>15183.564677023034</v>
      </c>
      <c r="M33" s="577">
        <f>'Volume and Speed'!L236</f>
        <v>19188.178667345175</v>
      </c>
      <c r="N33" s="577">
        <f>'Volume and Speed'!M236</f>
        <v>23347.745142094449</v>
      </c>
      <c r="O33" s="577">
        <f>'Volume and Speed'!N236</f>
        <v>28270.993104940895</v>
      </c>
      <c r="P33" s="577">
        <f>'Volume and Speed'!O236</f>
        <v>36268.948044129225</v>
      </c>
      <c r="Q33" s="577">
        <f>'Volume and Speed'!P236</f>
        <v>74370.115324857732</v>
      </c>
      <c r="R33" s="577">
        <f>'Volume and Speed'!Q236</f>
        <v>99513.177268464555</v>
      </c>
      <c r="S33" s="577">
        <f>'Volume and Speed'!R236</f>
        <v>113560.3975697046</v>
      </c>
      <c r="T33" s="577">
        <f>'Volume and Speed'!S236</f>
        <v>127615.98292453427</v>
      </c>
      <c r="U33" s="577">
        <f>'Volume and Speed'!T236</f>
        <v>141711.16422756689</v>
      </c>
      <c r="V33" s="577">
        <f>'Volume and Speed'!U236</f>
        <v>149413.71042654075</v>
      </c>
      <c r="W33" s="577">
        <f>'Volume and Speed'!V236</f>
        <v>152222.94489885215</v>
      </c>
      <c r="X33" s="577">
        <f>'Volume and Speed'!W236</f>
        <v>154979.47045211639</v>
      </c>
      <c r="Y33" s="577">
        <f>'Volume and Speed'!X236</f>
        <v>157747.11634040895</v>
      </c>
      <c r="Z33" s="577">
        <f>'Volume and Speed'!Y236</f>
        <v>160529.48557834589</v>
      </c>
      <c r="AA33" s="577">
        <f>'Volume and Speed'!Z236</f>
        <v>163325.43389144694</v>
      </c>
      <c r="AB33" s="577">
        <f>'Volume and Speed'!AA236</f>
        <v>166140.76039952616</v>
      </c>
      <c r="AC33" s="577">
        <f>'Volume and Speed'!AB236</f>
        <v>168975.07505592602</v>
      </c>
      <c r="AD33" s="577">
        <f>'Volume and Speed'!AC236</f>
        <v>171833.20474931266</v>
      </c>
      <c r="AE33" s="577">
        <f>'Volume and Speed'!AD236</f>
        <v>174720.66194816615</v>
      </c>
      <c r="AF33" s="577">
        <f>'Volume and Speed'!AE236</f>
        <v>177638.42375077444</v>
      </c>
      <c r="AG33" s="577">
        <f>'Volume and Speed'!AF236</f>
        <v>180592.76546764589</v>
      </c>
      <c r="AH33" s="752">
        <f>'Volume and Speed'!AG236</f>
        <v>183590.97062093503</v>
      </c>
      <c r="AI33" s="18"/>
      <c r="AJ33" s="18"/>
      <c r="AK33" s="18"/>
      <c r="AL33" s="18"/>
      <c r="AM33" s="18"/>
      <c r="AN33" s="18"/>
    </row>
    <row r="34" spans="2:40" ht="21.95" customHeight="1" x14ac:dyDescent="0.2">
      <c r="B34" s="232"/>
      <c r="C34" s="715"/>
      <c r="D34" s="715"/>
      <c r="E34" s="1333"/>
      <c r="F34" s="254" t="s">
        <v>323</v>
      </c>
      <c r="G34" s="254" t="s">
        <v>338</v>
      </c>
      <c r="H34" s="587" t="s">
        <v>23</v>
      </c>
      <c r="I34" s="587">
        <f>'Volume and Speed'!H237</f>
        <v>125559.46488394152</v>
      </c>
      <c r="J34" s="587">
        <f>'Volume and Speed'!I237</f>
        <v>130527.37626162461</v>
      </c>
      <c r="K34" s="587">
        <f>'Volume and Speed'!J237</f>
        <v>135643.06411432326</v>
      </c>
      <c r="L34" s="587">
        <f>'Volume and Speed'!K237</f>
        <v>146207.97644973267</v>
      </c>
      <c r="M34" s="587">
        <f>'Volume and Speed'!L237</f>
        <v>158145.19113463513</v>
      </c>
      <c r="N34" s="587">
        <f>'Volume and Speed'!M237</f>
        <v>172438.27294926243</v>
      </c>
      <c r="O34" s="587">
        <f>'Volume and Speed'!N237</f>
        <v>190672.71069821756</v>
      </c>
      <c r="P34" s="587">
        <f>'Volume and Speed'!O237</f>
        <v>215360.31431897223</v>
      </c>
      <c r="Q34" s="587">
        <f>'Volume and Speed'!P237</f>
        <v>267690.92536249326</v>
      </c>
      <c r="R34" s="587">
        <f>'Volume and Speed'!Q237</f>
        <v>356585.11020655674</v>
      </c>
      <c r="S34" s="587">
        <f>'Volume and Speed'!R237</f>
        <v>479630.64327155764</v>
      </c>
      <c r="T34" s="587">
        <f>'Volume and Speed'!S237</f>
        <v>507309.19989502075</v>
      </c>
      <c r="U34" s="587">
        <f>'Volume and Speed'!T237</f>
        <v>535013.90868260374</v>
      </c>
      <c r="V34" s="587">
        <f>'Volume and Speed'!U237</f>
        <v>553018.17477486166</v>
      </c>
      <c r="W34" s="587">
        <f>'Volume and Speed'!V237</f>
        <v>563276.75520423392</v>
      </c>
      <c r="X34" s="587">
        <f>'Volume and Speed'!W237</f>
        <v>573533.7958714515</v>
      </c>
      <c r="Y34" s="587">
        <f>'Volume and Speed'!X237</f>
        <v>583791.79885993362</v>
      </c>
      <c r="Z34" s="587">
        <f>'Volume and Speed'!Y237</f>
        <v>594057.38379971078</v>
      </c>
      <c r="AA34" s="587">
        <f>'Volume and Speed'!Z237</f>
        <v>604317.85035638441</v>
      </c>
      <c r="AB34" s="587">
        <f>'Volume and Speed'!AA237</f>
        <v>614586.3146569978</v>
      </c>
      <c r="AC34" s="587">
        <f>'Volume and Speed'!AB237</f>
        <v>624850.14503133669</v>
      </c>
      <c r="AD34" s="587">
        <f>'Volume and Speed'!AC237</f>
        <v>635116.07397930138</v>
      </c>
      <c r="AE34" s="587">
        <f>'Volume and Speed'!AD237</f>
        <v>645390.89582501375</v>
      </c>
      <c r="AF34" s="587">
        <f>'Volume and Speed'!AE237</f>
        <v>655662.10509908409</v>
      </c>
      <c r="AG34" s="587">
        <f>'Volume and Speed'!AF237</f>
        <v>665936.56846405962</v>
      </c>
      <c r="AH34" s="754">
        <f>'Volume and Speed'!AG237</f>
        <v>676221.24408065528</v>
      </c>
      <c r="AI34" s="18"/>
      <c r="AJ34" s="18"/>
      <c r="AK34" s="18"/>
      <c r="AL34" s="18"/>
      <c r="AM34" s="18"/>
      <c r="AN34" s="18"/>
    </row>
    <row r="35" spans="2:40" ht="21.95" customHeight="1" x14ac:dyDescent="0.2">
      <c r="B35" s="232"/>
      <c r="C35" s="715"/>
      <c r="D35" s="715"/>
      <c r="E35" s="116" t="s">
        <v>339</v>
      </c>
      <c r="F35" s="116" t="s">
        <v>335</v>
      </c>
      <c r="G35" s="116" t="s">
        <v>323</v>
      </c>
      <c r="H35" s="577" t="s">
        <v>23</v>
      </c>
      <c r="I35" s="577">
        <f>'Volume and Speed'!H238</f>
        <v>845.0738916256156</v>
      </c>
      <c r="J35" s="577">
        <f>'Volume and Speed'!I238</f>
        <v>1368.1746305418719</v>
      </c>
      <c r="K35" s="577">
        <f>'Volume and Speed'!J238</f>
        <v>3903.3963054187179</v>
      </c>
      <c r="L35" s="577">
        <f>'Volume and Speed'!K238</f>
        <v>8252.991625615763</v>
      </c>
      <c r="M35" s="577">
        <f>'Volume and Speed'!L238</f>
        <v>12605.967241379316</v>
      </c>
      <c r="N35" s="577">
        <f>'Volume and Speed'!M238</f>
        <v>16957.252709359815</v>
      </c>
      <c r="O35" s="577">
        <f>'Volume and Speed'!N238</f>
        <v>21306.848029559216</v>
      </c>
      <c r="P35" s="577">
        <f>'Volume and Speed'!O238</f>
        <v>25663.203940906547</v>
      </c>
      <c r="Q35" s="577">
        <f>'Volume and Speed'!P238</f>
        <v>28003.21354684986</v>
      </c>
      <c r="R35" s="577">
        <f>'Volume and Speed'!Q238</f>
        <v>30346.603448401314</v>
      </c>
      <c r="S35" s="577">
        <f>'Volume and Speed'!R238</f>
        <v>32687.458128362923</v>
      </c>
      <c r="T35" s="577">
        <f>'Volume and Speed'!S238</f>
        <v>35027.467734597987</v>
      </c>
      <c r="U35" s="577">
        <f>'Volume and Speed'!T238</f>
        <v>37373.39285838302</v>
      </c>
      <c r="V35" s="577">
        <f>'Volume and Speed'!U238</f>
        <v>37896.493597504159</v>
      </c>
      <c r="W35" s="577">
        <f>'Volume and Speed'!V238</f>
        <v>38419.594336655631</v>
      </c>
      <c r="X35" s="577">
        <f>'Volume and Speed'!W238</f>
        <v>38942.695075841373</v>
      </c>
      <c r="Y35" s="577">
        <f>'Volume and Speed'!X238</f>
        <v>39465.795815065874</v>
      </c>
      <c r="Z35" s="577">
        <f>'Volume and Speed'!Y238</f>
        <v>39991.431776010759</v>
      </c>
      <c r="AA35" s="577">
        <f>'Volume and Speed'!Z238</f>
        <v>40514.532515328377</v>
      </c>
      <c r="AB35" s="577">
        <f>'Volume and Speed'!AA238</f>
        <v>41040.168476378531</v>
      </c>
      <c r="AC35" s="577">
        <f>'Volume and Speed'!AB238</f>
        <v>41563.269215813838</v>
      </c>
      <c r="AD35" s="577">
        <f>'Volume and Speed'!AC238</f>
        <v>42086.369955318762</v>
      </c>
      <c r="AE35" s="577">
        <f>'Volume and Speed'!AD238</f>
        <v>42612.005916579888</v>
      </c>
      <c r="AF35" s="577">
        <f>'Volume and Speed'!AE238</f>
        <v>43135.106656250209</v>
      </c>
      <c r="AG35" s="577">
        <f>'Volume and Speed'!AF238</f>
        <v>43658.207396017744</v>
      </c>
      <c r="AH35" s="752">
        <f>'Volume and Speed'!AG238</f>
        <v>44183.843357573438</v>
      </c>
      <c r="AI35" s="18"/>
      <c r="AJ35" s="18"/>
      <c r="AK35" s="18"/>
      <c r="AL35" s="18"/>
      <c r="AM35" s="18"/>
      <c r="AN35" s="18"/>
    </row>
    <row r="36" spans="2:40" ht="21.95" customHeight="1" x14ac:dyDescent="0.2">
      <c r="B36" s="232"/>
      <c r="C36" s="715"/>
      <c r="D36" s="715"/>
      <c r="E36" s="1340" t="s">
        <v>323</v>
      </c>
      <c r="F36" s="220" t="s">
        <v>282</v>
      </c>
      <c r="G36" s="220" t="s">
        <v>339</v>
      </c>
      <c r="H36" s="583" t="s">
        <v>23</v>
      </c>
      <c r="I36" s="583">
        <f>'Volume and Speed'!H239</f>
        <v>2427.3399014778324</v>
      </c>
      <c r="J36" s="583">
        <f>'Volume and Speed'!I239</f>
        <v>2427.3399014778324</v>
      </c>
      <c r="K36" s="583">
        <f>'Volume and Speed'!J239</f>
        <v>28402.304202663148</v>
      </c>
      <c r="L36" s="583">
        <f>'Volume and Speed'!K239</f>
        <v>54377.288071326489</v>
      </c>
      <c r="M36" s="583">
        <f>'Volume and Speed'!L239</f>
        <v>80375.520621015647</v>
      </c>
      <c r="N36" s="583">
        <f>'Volume and Speed'!M239</f>
        <v>106380.4264777769</v>
      </c>
      <c r="O36" s="583">
        <f>'Volume and Speed'!N239</f>
        <v>132671.26807387476</v>
      </c>
      <c r="P36" s="583">
        <f>'Volume and Speed'!O239</f>
        <v>160818.56875726747</v>
      </c>
      <c r="Q36" s="583">
        <f>'Volume and Speed'!P239</f>
        <v>160818.60025303785</v>
      </c>
      <c r="R36" s="583">
        <f>'Volume and Speed'!Q239</f>
        <v>160818.60025303785</v>
      </c>
      <c r="S36" s="583">
        <f>'Volume and Speed'!R239</f>
        <v>160818.60025303785</v>
      </c>
      <c r="T36" s="583">
        <f>'Volume and Speed'!S239</f>
        <v>160818.60025303785</v>
      </c>
      <c r="U36" s="583">
        <f>'Volume and Speed'!T239</f>
        <v>160818.60025303785</v>
      </c>
      <c r="V36" s="583">
        <f>'Volume and Speed'!U239</f>
        <v>160818.60025303785</v>
      </c>
      <c r="W36" s="583">
        <f>'Volume and Speed'!V239</f>
        <v>160818.60025303785</v>
      </c>
      <c r="X36" s="583">
        <f>'Volume and Speed'!W239</f>
        <v>160818.60025303785</v>
      </c>
      <c r="Y36" s="583">
        <f>'Volume and Speed'!X239</f>
        <v>160818.60025303785</v>
      </c>
      <c r="Z36" s="583">
        <f>'Volume and Speed'!Y239</f>
        <v>160818.60025303785</v>
      </c>
      <c r="AA36" s="583">
        <f>'Volume and Speed'!Z239</f>
        <v>160818.60025303785</v>
      </c>
      <c r="AB36" s="583">
        <f>'Volume and Speed'!AA239</f>
        <v>160818.60025303785</v>
      </c>
      <c r="AC36" s="583">
        <f>'Volume and Speed'!AB239</f>
        <v>160818.60025303785</v>
      </c>
      <c r="AD36" s="583">
        <f>'Volume and Speed'!AC239</f>
        <v>160818.60025303785</v>
      </c>
      <c r="AE36" s="583">
        <f>'Volume and Speed'!AD239</f>
        <v>160818.60025303785</v>
      </c>
      <c r="AF36" s="583">
        <f>'Volume and Speed'!AE239</f>
        <v>160818.60025303785</v>
      </c>
      <c r="AG36" s="583">
        <f>'Volume and Speed'!AF239</f>
        <v>160818.60025303785</v>
      </c>
      <c r="AH36" s="753">
        <f>'Volume and Speed'!AG239</f>
        <v>160818.60025303785</v>
      </c>
      <c r="AI36" s="18"/>
      <c r="AJ36" s="18"/>
      <c r="AK36" s="18"/>
      <c r="AL36" s="18"/>
      <c r="AM36" s="18"/>
      <c r="AN36" s="18"/>
    </row>
    <row r="37" spans="2:40" ht="21.95" customHeight="1" x14ac:dyDescent="0.2">
      <c r="B37" s="232"/>
      <c r="C37" s="715"/>
      <c r="D37" s="715"/>
      <c r="E37" s="1340"/>
      <c r="F37" s="116" t="s">
        <v>339</v>
      </c>
      <c r="G37" s="116" t="s">
        <v>288</v>
      </c>
      <c r="H37" s="577" t="s">
        <v>23</v>
      </c>
      <c r="I37" s="577">
        <f>'Volume and Speed'!H240</f>
        <v>609.32249322493226</v>
      </c>
      <c r="J37" s="577">
        <f>'Volume and Speed'!I240</f>
        <v>1157.7127371273928</v>
      </c>
      <c r="K37" s="577">
        <f>'Volume and Speed'!J240</f>
        <v>1706.1029810313298</v>
      </c>
      <c r="L37" s="577">
        <f>'Volume and Speed'!K240</f>
        <v>3711.3279211226895</v>
      </c>
      <c r="M37" s="577">
        <f>'Volume and Speed'!L240</f>
        <v>5713.7841011732671</v>
      </c>
      <c r="N37" s="577">
        <f>'Volume and Speed'!M240</f>
        <v>7721.8025851664997</v>
      </c>
      <c r="O37" s="577">
        <f>'Volume and Speed'!N240</f>
        <v>9727.3170940721266</v>
      </c>
      <c r="P37" s="577">
        <f>'Volume and Speed'!O240</f>
        <v>11734.698664997861</v>
      </c>
      <c r="Q37" s="577">
        <f>'Volume and Speed'!P240</f>
        <v>15262.466014643802</v>
      </c>
      <c r="R37" s="577">
        <f>'Volume and Speed'!Q240</f>
        <v>19121.093263708819</v>
      </c>
      <c r="S37" s="577">
        <f>'Volume and Speed'!R240</f>
        <v>24922.384304188461</v>
      </c>
      <c r="T37" s="577">
        <f>'Volume and Speed'!S240</f>
        <v>39296.571122363246</v>
      </c>
      <c r="U37" s="577">
        <f>'Volume and Speed'!T240</f>
        <v>84448.29738882622</v>
      </c>
      <c r="V37" s="577">
        <f>'Volume and Speed'!U240</f>
        <v>96465.817331057231</v>
      </c>
      <c r="W37" s="577">
        <f>'Volume and Speed'!V240</f>
        <v>98154.114881290327</v>
      </c>
      <c r="X37" s="577">
        <f>'Volume and Speed'!W240</f>
        <v>99850.462946157</v>
      </c>
      <c r="Y37" s="577">
        <f>'Volume and Speed'!X240</f>
        <v>101546.88338784526</v>
      </c>
      <c r="Z37" s="577">
        <f>'Volume and Speed'!Y240</f>
        <v>103243.38639999263</v>
      </c>
      <c r="AA37" s="577">
        <f>'Volume and Speed'!Z240</f>
        <v>104939.98547009901</v>
      </c>
      <c r="AB37" s="577">
        <f>'Volume and Speed'!AA240</f>
        <v>106636.69600968946</v>
      </c>
      <c r="AC37" s="577">
        <f>'Volume and Speed'!AB240</f>
        <v>108333.53559033727</v>
      </c>
      <c r="AD37" s="577">
        <f>'Volume and Speed'!AC240</f>
        <v>110030.52420408341</v>
      </c>
      <c r="AE37" s="577">
        <f>'Volume and Speed'!AD240</f>
        <v>111719.11844708066</v>
      </c>
      <c r="AF37" s="577">
        <f>'Volume and Speed'!AE240</f>
        <v>113416.46929399075</v>
      </c>
      <c r="AG37" s="577">
        <f>'Volume and Speed'!AF240</f>
        <v>115114.05241819441</v>
      </c>
      <c r="AH37" s="752">
        <f>'Volume and Speed'!AG240</f>
        <v>116811.8947542941</v>
      </c>
      <c r="AI37" s="18"/>
      <c r="AJ37" s="18"/>
      <c r="AK37" s="18"/>
      <c r="AL37" s="18"/>
      <c r="AM37" s="18"/>
      <c r="AN37" s="18"/>
    </row>
    <row r="38" spans="2:40" ht="21.95" customHeight="1" x14ac:dyDescent="0.2">
      <c r="B38" s="232"/>
      <c r="C38" s="715"/>
      <c r="D38" s="715"/>
      <c r="E38" s="1340"/>
      <c r="F38" s="116" t="s">
        <v>288</v>
      </c>
      <c r="G38" s="116" t="s">
        <v>340</v>
      </c>
      <c r="H38" s="577" t="s">
        <v>23</v>
      </c>
      <c r="I38" s="577">
        <f>'Volume and Speed'!H241</f>
        <v>1944.8905109489051</v>
      </c>
      <c r="J38" s="577">
        <f>'Volume and Speed'!I241</f>
        <v>3694.4491849148417</v>
      </c>
      <c r="K38" s="577">
        <f>'Volume and Speed'!J241</f>
        <v>5443.4243917274944</v>
      </c>
      <c r="L38" s="577">
        <f>'Volume and Speed'!K241</f>
        <v>11841.919683698419</v>
      </c>
      <c r="M38" s="577">
        <f>'Volume and Speed'!L241</f>
        <v>18240.674294418233</v>
      </c>
      <c r="N38" s="577">
        <f>'Volume and Speed'!M241</f>
        <v>24647.597445648662</v>
      </c>
      <c r="O38" s="577">
        <f>'Volume and Speed'!N241</f>
        <v>31046.092742205441</v>
      </c>
      <c r="P38" s="577">
        <f>'Volume and Speed'!O241</f>
        <v>37448.477849380193</v>
      </c>
      <c r="Q38" s="577">
        <f>'Volume and Speed'!P241</f>
        <v>48575.002619196712</v>
      </c>
      <c r="R38" s="577">
        <f>'Volume and Speed'!Q241</f>
        <v>59696.994595945587</v>
      </c>
      <c r="S38" s="577">
        <f>'Volume and Speed'!R241</f>
        <v>70822.712667400236</v>
      </c>
      <c r="T38" s="577">
        <f>'Volume and Speed'!S241</f>
        <v>81949.409253229096</v>
      </c>
      <c r="U38" s="577">
        <f>'Volume and Speed'!T241</f>
        <v>93084.697667375454</v>
      </c>
      <c r="V38" s="577">
        <f>'Volume and Speed'!U241</f>
        <v>99558.187935970171</v>
      </c>
      <c r="W38" s="577">
        <f>'Volume and Speed'!V241</f>
        <v>101308.13439753474</v>
      </c>
      <c r="X38" s="577">
        <f>'Volume and Speed'!W241</f>
        <v>103058.15393440919</v>
      </c>
      <c r="Y38" s="577">
        <f>'Volume and Speed'!X241</f>
        <v>104808.25872726183</v>
      </c>
      <c r="Z38" s="577">
        <f>'Volume and Speed'!Y241</f>
        <v>106557.87901676691</v>
      </c>
      <c r="AA38" s="577">
        <f>'Volume and Speed'!Z241</f>
        <v>108308.19809500566</v>
      </c>
      <c r="AB38" s="577">
        <f>'Volume and Speed'!AA241</f>
        <v>110058.06667410745</v>
      </c>
      <c r="AC38" s="577">
        <f>'Volume and Speed'!AB241</f>
        <v>111808.6729500283</v>
      </c>
      <c r="AD38" s="577">
        <f>'Volume and Speed'!AC241</f>
        <v>113559.45665396267</v>
      </c>
      <c r="AE38" s="577">
        <f>'Volume and Speed'!AD241</f>
        <v>115309.86040708634</v>
      </c>
      <c r="AF38" s="577">
        <f>'Volume and Speed'!AE241</f>
        <v>117061.08217818968</v>
      </c>
      <c r="AG38" s="577">
        <f>'Volume and Speed'!AF241</f>
        <v>118812.57203019604</v>
      </c>
      <c r="AH38" s="752">
        <f>'Volume and Speed'!AG241</f>
        <v>120563.78397835894</v>
      </c>
      <c r="AI38" s="18"/>
      <c r="AJ38" s="18"/>
      <c r="AK38" s="18"/>
      <c r="AL38" s="18"/>
      <c r="AM38" s="18"/>
      <c r="AN38" s="18"/>
    </row>
    <row r="39" spans="2:40" ht="21.95" customHeight="1" x14ac:dyDescent="0.2">
      <c r="B39" s="232"/>
      <c r="C39" s="715"/>
      <c r="D39" s="715"/>
      <c r="E39" s="1340"/>
      <c r="F39" s="254" t="s">
        <v>340</v>
      </c>
      <c r="G39" s="254" t="s">
        <v>280</v>
      </c>
      <c r="H39" s="587" t="s">
        <v>23</v>
      </c>
      <c r="I39" s="587">
        <f>'Volume and Speed'!H242</f>
        <v>2797.4452554744526</v>
      </c>
      <c r="J39" s="587">
        <f>'Volume and Speed'!I242</f>
        <v>5313.9337591240865</v>
      </c>
      <c r="K39" s="587">
        <f>'Volume and Speed'!J242</f>
        <v>7829.5830291970815</v>
      </c>
      <c r="L39" s="587">
        <f>'Volume and Speed'!K242</f>
        <v>17032.898175182658</v>
      </c>
      <c r="M39" s="587">
        <f>'Volume and Speed'!L242</f>
        <v>26236.586313889238</v>
      </c>
      <c r="N39" s="587">
        <f>'Volume and Speed'!M242</f>
        <v>35452.023723193284</v>
      </c>
      <c r="O39" s="587">
        <f>'Volume and Speed'!N242</f>
        <v>44655.338875774964</v>
      </c>
      <c r="P39" s="587">
        <f>'Volume and Speed'!O242</f>
        <v>53864.248961437275</v>
      </c>
      <c r="Q39" s="587">
        <f>'Volume and Speed'!P242</f>
        <v>69868.154452269242</v>
      </c>
      <c r="R39" s="587">
        <f>'Volume and Speed'!Q242</f>
        <v>85865.540172250505</v>
      </c>
      <c r="S39" s="587">
        <f>'Volume and Speed'!R242</f>
        <v>101868.2853435209</v>
      </c>
      <c r="T39" s="587">
        <f>'Volume and Speed'!S242</f>
        <v>117872.43796697336</v>
      </c>
      <c r="U39" s="587">
        <f>'Volume and Speed'!T242</f>
        <v>133888.94869964963</v>
      </c>
      <c r="V39" s="587">
        <f>'Volume and Speed'!U242</f>
        <v>143200.13333255984</v>
      </c>
      <c r="W39" s="587">
        <f>'Volume and Speed'!V242</f>
        <v>145717.17961289245</v>
      </c>
      <c r="X39" s="587">
        <f>'Volume and Speed'!W242</f>
        <v>148234.33100154746</v>
      </c>
      <c r="Y39" s="587">
        <f>'Volume and Speed'!X242</f>
        <v>150751.60501866427</v>
      </c>
      <c r="Z39" s="587">
        <f>'Volume and Speed'!Y242</f>
        <v>153268.18214740447</v>
      </c>
      <c r="AA39" s="587">
        <f>'Volume and Speed'!Z242</f>
        <v>155785.76438322733</v>
      </c>
      <c r="AB39" s="587">
        <f>'Volume and Speed'!AA242</f>
        <v>158302.69864083949</v>
      </c>
      <c r="AC39" s="587">
        <f>'Volume and Speed'!AB242</f>
        <v>160820.69396921879</v>
      </c>
      <c r="AD39" s="587">
        <f>'Volume and Speed'!AC242</f>
        <v>163338.94450227509</v>
      </c>
      <c r="AE39" s="587">
        <f>'Volume and Speed'!AD242</f>
        <v>165856.64853074061</v>
      </c>
      <c r="AF39" s="587">
        <f>'Volume and Speed'!AE242</f>
        <v>168375.52916040982</v>
      </c>
      <c r="AG39" s="587">
        <f>'Volume and Speed'!AF242</f>
        <v>170894.79538589844</v>
      </c>
      <c r="AH39" s="754">
        <f>'Volume and Speed'!AG242</f>
        <v>173413.6618866807</v>
      </c>
      <c r="AI39" s="18"/>
      <c r="AJ39" s="18"/>
      <c r="AK39" s="18"/>
      <c r="AL39" s="18"/>
      <c r="AM39" s="18"/>
      <c r="AN39" s="18"/>
    </row>
    <row r="40" spans="2:40" ht="21.95" customHeight="1" x14ac:dyDescent="0.2">
      <c r="B40" s="232"/>
      <c r="C40" s="715"/>
      <c r="D40" s="715"/>
      <c r="E40" s="1340" t="s">
        <v>334</v>
      </c>
      <c r="F40" s="116" t="s">
        <v>336</v>
      </c>
      <c r="G40" s="116" t="s">
        <v>337</v>
      </c>
      <c r="H40" s="577" t="s">
        <v>23</v>
      </c>
      <c r="I40" s="577">
        <f>'Volume and Speed'!H243</f>
        <v>50196.720034495389</v>
      </c>
      <c r="J40" s="577">
        <f>'Volume and Speed'!I243</f>
        <v>51556.594011728368</v>
      </c>
      <c r="K40" s="577">
        <f>'Volume and Speed'!J243</f>
        <v>53769.922442098308</v>
      </c>
      <c r="L40" s="577">
        <f>'Volume and Speed'!K243</f>
        <v>56945.508531672138</v>
      </c>
      <c r="M40" s="577">
        <f>'Volume and Speed'!L243</f>
        <v>60122.88699126424</v>
      </c>
      <c r="N40" s="577">
        <f>'Volume and Speed'!M243</f>
        <v>63300.489149589092</v>
      </c>
      <c r="O40" s="577">
        <f>'Volume and Speed'!N243</f>
        <v>66477.938677337806</v>
      </c>
      <c r="P40" s="577">
        <f>'Volume and Speed'!O243</f>
        <v>69659.513741195871</v>
      </c>
      <c r="Q40" s="577">
        <f>'Volume and Speed'!P243</f>
        <v>72490.020930135943</v>
      </c>
      <c r="R40" s="577">
        <f>'Volume and Speed'!Q243</f>
        <v>75323.885954439625</v>
      </c>
      <c r="S40" s="577">
        <f>'Volume and Speed'!R243</f>
        <v>78160.319330443177</v>
      </c>
      <c r="T40" s="577">
        <f>'Volume and Speed'!S243</f>
        <v>81001.579141090071</v>
      </c>
      <c r="U40" s="577">
        <f>'Volume and Speed'!T243</f>
        <v>83852.013650989102</v>
      </c>
      <c r="V40" s="577">
        <f>'Volume and Speed'!U243</f>
        <v>85733.760318271656</v>
      </c>
      <c r="W40" s="577">
        <f>'Volume and Speed'!V243</f>
        <v>87110.843832871047</v>
      </c>
      <c r="X40" s="577">
        <f>'Volume and Speed'!W243</f>
        <v>88490.852902967003</v>
      </c>
      <c r="Y40" s="577">
        <f>'Volume and Speed'!X243</f>
        <v>89874.225665265549</v>
      </c>
      <c r="Z40" s="577">
        <f>'Volume and Speed'!Y243</f>
        <v>91262.19023443578</v>
      </c>
      <c r="AA40" s="577">
        <f>'Volume and Speed'!Z243</f>
        <v>92653.84301367843</v>
      </c>
      <c r="AB40" s="577">
        <f>'Volume and Speed'!AA243</f>
        <v>94051.282750019614</v>
      </c>
      <c r="AC40" s="577">
        <f>'Volume and Speed'!AB243</f>
        <v>95453.745562912285</v>
      </c>
      <c r="AD40" s="577">
        <f>'Volume and Speed'!AC243</f>
        <v>96862.762713696124</v>
      </c>
      <c r="AE40" s="577">
        <f>'Volume and Speed'!AD243</f>
        <v>98279.9757851709</v>
      </c>
      <c r="AF40" s="577">
        <f>'Volume and Speed'!AE243</f>
        <v>99704.890181085619</v>
      </c>
      <c r="AG40" s="577">
        <f>'Volume and Speed'!AF243</f>
        <v>101139.36717915081</v>
      </c>
      <c r="AH40" s="752">
        <f>'Volume and Speed'!AG243</f>
        <v>102585.41767335372</v>
      </c>
      <c r="AI40" s="18"/>
      <c r="AJ40" s="18"/>
      <c r="AK40" s="18"/>
      <c r="AL40" s="18"/>
      <c r="AM40" s="18"/>
      <c r="AN40" s="18"/>
    </row>
    <row r="41" spans="2:40" ht="21.95" customHeight="1" x14ac:dyDescent="0.2">
      <c r="B41" s="232"/>
      <c r="C41" s="715"/>
      <c r="D41" s="715"/>
      <c r="E41" s="1340"/>
      <c r="F41" s="116" t="s">
        <v>337</v>
      </c>
      <c r="G41" s="116" t="s">
        <v>386</v>
      </c>
      <c r="H41" s="577" t="s">
        <v>23</v>
      </c>
      <c r="I41" s="577">
        <f>'Volume and Speed'!H244</f>
        <v>82970.789794739554</v>
      </c>
      <c r="J41" s="577">
        <f>'Volume and Speed'!I244</f>
        <v>84698.104295278594</v>
      </c>
      <c r="K41" s="577">
        <f>'Volume and Speed'!J244</f>
        <v>88799.342015139147</v>
      </c>
      <c r="L41" s="577">
        <f>'Volume and Speed'!K244</f>
        <v>93303.472279865615</v>
      </c>
      <c r="M41" s="577">
        <f>'Volume and Speed'!L244</f>
        <v>97830.360596066967</v>
      </c>
      <c r="N41" s="577">
        <f>'Volume and Speed'!M244</f>
        <v>102376.56402732126</v>
      </c>
      <c r="O41" s="577">
        <f>'Volume and Speed'!N244</f>
        <v>106953.46477325358</v>
      </c>
      <c r="P41" s="577">
        <f>'Volume and Speed'!O244</f>
        <v>111588.93088412768</v>
      </c>
      <c r="Q41" s="577">
        <f>'Volume and Speed'!P244</f>
        <v>114170.04181998048</v>
      </c>
      <c r="R41" s="577">
        <f>'Volume and Speed'!Q244</f>
        <v>116782.17040061456</v>
      </c>
      <c r="S41" s="577">
        <f>'Volume and Speed'!R244</f>
        <v>119423.12444209561</v>
      </c>
      <c r="T41" s="577">
        <f>'Volume and Speed'!S244</f>
        <v>122107.82300563561</v>
      </c>
      <c r="U41" s="577">
        <f>'Volume and Speed'!T244</f>
        <v>124836.16244187352</v>
      </c>
      <c r="V41" s="577">
        <f>'Volume and Speed'!U244</f>
        <v>127175.16500837647</v>
      </c>
      <c r="W41" s="577">
        <f>'Volume and Speed'!V244</f>
        <v>129233.36833883956</v>
      </c>
      <c r="X41" s="577">
        <f>'Volume and Speed'!W244</f>
        <v>131335.8598163398</v>
      </c>
      <c r="Y41" s="577">
        <f>'Volume and Speed'!X244</f>
        <v>133483.73196444346</v>
      </c>
      <c r="Z41" s="577">
        <f>'Volume and Speed'!Y244</f>
        <v>135682.9955393626</v>
      </c>
      <c r="AA41" s="577">
        <f>'Volume and Speed'!Z244</f>
        <v>137940.35886556227</v>
      </c>
      <c r="AB41" s="577">
        <f>'Volume and Speed'!AA244</f>
        <v>140263.29766416302</v>
      </c>
      <c r="AC41" s="577">
        <f>'Volume and Speed'!AB244</f>
        <v>142660.13079792552</v>
      </c>
      <c r="AD41" s="577">
        <f>'Volume and Speed'!AC244</f>
        <v>145140.10233662598</v>
      </c>
      <c r="AE41" s="577">
        <f>'Volume and Speed'!AD244</f>
        <v>147713.47037636981</v>
      </c>
      <c r="AF41" s="577">
        <f>'Volume and Speed'!AE244</f>
        <v>150391.60306986407</v>
      </c>
      <c r="AG41" s="577">
        <f>'Volume and Speed'!AF244</f>
        <v>153181.08964129165</v>
      </c>
      <c r="AH41" s="752">
        <f>'Volume and Speed'!AG244</f>
        <v>156107.53241274651</v>
      </c>
      <c r="AI41" s="18"/>
      <c r="AJ41" s="18"/>
      <c r="AK41" s="18"/>
      <c r="AL41" s="18"/>
      <c r="AM41" s="18"/>
      <c r="AN41" s="18"/>
    </row>
    <row r="42" spans="2:40" ht="21.95" customHeight="1" x14ac:dyDescent="0.2">
      <c r="B42" s="232"/>
      <c r="C42" s="715"/>
      <c r="D42" s="715"/>
      <c r="E42" s="1340"/>
      <c r="F42" s="116" t="s">
        <v>342</v>
      </c>
      <c r="G42" s="116" t="s">
        <v>341</v>
      </c>
      <c r="H42" s="577" t="s">
        <v>23</v>
      </c>
      <c r="I42" s="577">
        <f>'Volume and Speed'!H245</f>
        <v>120295.7251648075</v>
      </c>
      <c r="J42" s="577">
        <f>'Volume and Speed'!I245</f>
        <v>122801.75975233193</v>
      </c>
      <c r="K42" s="577">
        <f>'Volume and Speed'!J245</f>
        <v>128753.742238987</v>
      </c>
      <c r="L42" s="577">
        <f>'Volume and Speed'!K245</f>
        <v>135294.58651455436</v>
      </c>
      <c r="M42" s="577">
        <f>'Volume and Speed'!L245</f>
        <v>141875.16705581773</v>
      </c>
      <c r="N42" s="577">
        <f>'Volume and Speed'!M245</f>
        <v>148493.97907070525</v>
      </c>
      <c r="O42" s="577">
        <f>'Volume and Speed'!N245</f>
        <v>155172.56743071281</v>
      </c>
      <c r="P42" s="577">
        <f>'Volume and Speed'!O245</f>
        <v>161958.67016545212</v>
      </c>
      <c r="Q42" s="577">
        <f>'Volume and Speed'!P245</f>
        <v>165750.01423170953</v>
      </c>
      <c r="R42" s="577">
        <f>'Volume and Speed'!Q245</f>
        <v>169598.39952016424</v>
      </c>
      <c r="S42" s="577">
        <f>'Volume and Speed'!R245</f>
        <v>173503.01800289133</v>
      </c>
      <c r="T42" s="577">
        <f>'Volume and Speed'!S245</f>
        <v>177488.76786125926</v>
      </c>
      <c r="U42" s="577">
        <f>'Volume and Speed'!T245</f>
        <v>181558.79436375992</v>
      </c>
      <c r="V42" s="577">
        <f>'Volume and Speed'!U245</f>
        <v>185065.61802626465</v>
      </c>
      <c r="W42" s="577">
        <f>'Volume and Speed'!V245</f>
        <v>188166.23382620007</v>
      </c>
      <c r="X42" s="577">
        <f>'Volume and Speed'!W245</f>
        <v>191349.01000589516</v>
      </c>
      <c r="Y42" s="577">
        <f>'Volume and Speed'!X245</f>
        <v>194617.68528670887</v>
      </c>
      <c r="Z42" s="577">
        <f>'Volume and Speed'!Y245</f>
        <v>197983.63716810948</v>
      </c>
      <c r="AA42" s="577">
        <f>'Volume and Speed'!Z245</f>
        <v>201459.5635462252</v>
      </c>
      <c r="AB42" s="577">
        <f>'Volume and Speed'!AA245</f>
        <v>205059.61488899612</v>
      </c>
      <c r="AC42" s="577">
        <f>'Volume and Speed'!AB245</f>
        <v>208799.53761056665</v>
      </c>
      <c r="AD42" s="577">
        <f>'Volume and Speed'!AC245</f>
        <v>212696.82940927171</v>
      </c>
      <c r="AE42" s="577">
        <f>'Volume and Speed'!AD245</f>
        <v>216770.9073898592</v>
      </c>
      <c r="AF42" s="577">
        <f>'Volume and Speed'!AE245</f>
        <v>221043.28983502393</v>
      </c>
      <c r="AG42" s="577">
        <f>'Volume and Speed'!AF245</f>
        <v>225528.11993207457</v>
      </c>
      <c r="AH42" s="752">
        <f>'Volume and Speed'!AG245</f>
        <v>230270.51774307416</v>
      </c>
      <c r="AI42" s="18"/>
      <c r="AJ42" s="18"/>
      <c r="AK42" s="18"/>
      <c r="AL42" s="18"/>
      <c r="AM42" s="18"/>
      <c r="AN42" s="18"/>
    </row>
    <row r="43" spans="2:40" ht="21.95" customHeight="1" x14ac:dyDescent="0.2">
      <c r="B43" s="232"/>
      <c r="C43" s="715"/>
      <c r="D43" s="715"/>
      <c r="E43" s="1340"/>
      <c r="F43" s="116" t="s">
        <v>341</v>
      </c>
      <c r="G43" s="116" t="s">
        <v>344</v>
      </c>
      <c r="H43" s="577" t="s">
        <v>23</v>
      </c>
      <c r="I43" s="577">
        <f>'Volume and Speed'!H246</f>
        <v>124354.61598331397</v>
      </c>
      <c r="J43" s="577">
        <f>'Volume and Speed'!I246</f>
        <v>127083.77468008685</v>
      </c>
      <c r="K43" s="577">
        <f>'Volume and Speed'!J246</f>
        <v>133320.27396949122</v>
      </c>
      <c r="L43" s="577">
        <f>'Volume and Speed'!K246</f>
        <v>140235.73738660634</v>
      </c>
      <c r="M43" s="577">
        <f>'Volume and Speed'!L246</f>
        <v>147278.05853343403</v>
      </c>
      <c r="N43" s="577">
        <f>'Volume and Speed'!M246</f>
        <v>154501.08332204388</v>
      </c>
      <c r="O43" s="577">
        <f>'Volume and Speed'!N246</f>
        <v>162001.76541525728</v>
      </c>
      <c r="P43" s="577">
        <f>'Volume and Speed'!O246</f>
        <v>169916.42318954604</v>
      </c>
      <c r="Q43" s="577">
        <f>'Volume and Speed'!P246</f>
        <v>174520.42298273958</v>
      </c>
      <c r="R43" s="577">
        <f>'Volume and Speed'!Q246</f>
        <v>179335.91165217021</v>
      </c>
      <c r="S43" s="577">
        <f>'Volume and Speed'!R246</f>
        <v>184421.82308174495</v>
      </c>
      <c r="T43" s="577">
        <f>'Volume and Speed'!S246</f>
        <v>189820.08099153839</v>
      </c>
      <c r="U43" s="577">
        <f>'Volume and Speed'!T246</f>
        <v>195609.73823187687</v>
      </c>
      <c r="V43" s="577">
        <f>'Volume and Speed'!U246</f>
        <v>200810.85805685917</v>
      </c>
      <c r="W43" s="577">
        <f>'Volume and Speed'!V246</f>
        <v>205626.22021505213</v>
      </c>
      <c r="X43" s="577">
        <f>'Volume and Speed'!W246</f>
        <v>210772.32415513357</v>
      </c>
      <c r="Y43" s="577">
        <f>'Volume and Speed'!X246</f>
        <v>216274.20131080563</v>
      </c>
      <c r="Z43" s="577">
        <f>'Volume and Speed'!Y246</f>
        <v>222188.9299587945</v>
      </c>
      <c r="AA43" s="577">
        <f>'Volume and Speed'!Z246</f>
        <v>228570.3763291192</v>
      </c>
      <c r="AB43" s="577">
        <f>'Volume and Speed'!AA246</f>
        <v>235478.56578538712</v>
      </c>
      <c r="AC43" s="577">
        <f>'Volume and Speed'!AB246</f>
        <v>242980.29054279561</v>
      </c>
      <c r="AD43" s="577">
        <f>'Volume and Speed'!AC246</f>
        <v>251149.76801250005</v>
      </c>
      <c r="AE43" s="577">
        <f>'Volume and Speed'!AD246</f>
        <v>260069.35330363747</v>
      </c>
      <c r="AF43" s="577">
        <f>'Volume and Speed'!AE246</f>
        <v>269848.42159647541</v>
      </c>
      <c r="AG43" s="577">
        <f>'Volume and Speed'!AF246</f>
        <v>280553.51884861744</v>
      </c>
      <c r="AH43" s="752">
        <f>'Volume and Speed'!AG246</f>
        <v>292312.83891629393</v>
      </c>
      <c r="AI43" s="18"/>
      <c r="AJ43" s="18"/>
      <c r="AK43" s="18"/>
      <c r="AL43" s="18"/>
      <c r="AM43" s="18"/>
      <c r="AN43" s="18"/>
    </row>
    <row r="44" spans="2:40" ht="21.95" customHeight="1" x14ac:dyDescent="0.2">
      <c r="B44" s="232"/>
      <c r="C44" s="715"/>
      <c r="D44" s="715"/>
      <c r="E44" s="1340"/>
      <c r="F44" s="116" t="s">
        <v>344</v>
      </c>
      <c r="G44" s="116" t="s">
        <v>345</v>
      </c>
      <c r="H44" s="577" t="s">
        <v>23</v>
      </c>
      <c r="I44" s="577">
        <f>'Volume and Speed'!H247</f>
        <v>41932.997328808022</v>
      </c>
      <c r="J44" s="577">
        <f>'Volume and Speed'!I247</f>
        <v>42846.542614489335</v>
      </c>
      <c r="K44" s="577">
        <f>'Volume and Speed'!J247</f>
        <v>44927.167627950119</v>
      </c>
      <c r="L44" s="577">
        <f>'Volume and Speed'!K247</f>
        <v>47218.43340559418</v>
      </c>
      <c r="M44" s="577">
        <f>'Volume and Speed'!L247</f>
        <v>49526.452795465389</v>
      </c>
      <c r="N44" s="577">
        <f>'Volume and Speed'!M247</f>
        <v>51855.865056709306</v>
      </c>
      <c r="O44" s="577">
        <f>'Volume and Speed'!N247</f>
        <v>54219.714834488397</v>
      </c>
      <c r="P44" s="577">
        <f>'Volume and Speed'!O247</f>
        <v>56635.929134179627</v>
      </c>
      <c r="Q44" s="577">
        <f>'Volume and Speed'!P247</f>
        <v>57998.162679572728</v>
      </c>
      <c r="R44" s="577">
        <f>'Volume and Speed'!Q247</f>
        <v>59385.607353603875</v>
      </c>
      <c r="S44" s="577">
        <f>'Volume and Speed'!R247</f>
        <v>60807.611845668362</v>
      </c>
      <c r="T44" s="577">
        <f>'Volume and Speed'!S247</f>
        <v>62267.336719134037</v>
      </c>
      <c r="U44" s="577">
        <f>'Volume and Speed'!T247</f>
        <v>63776.625995689799</v>
      </c>
      <c r="V44" s="577">
        <f>'Volume and Speed'!U247</f>
        <v>65084.450841845508</v>
      </c>
      <c r="W44" s="577">
        <f>'Volume and Speed'!V247</f>
        <v>66256.745546350896</v>
      </c>
      <c r="X44" s="577">
        <f>'Volume and Speed'!W247</f>
        <v>67471.08136786602</v>
      </c>
      <c r="Y44" s="577">
        <f>'Volume and Speed'!X247</f>
        <v>68728.523738884644</v>
      </c>
      <c r="Z44" s="577">
        <f>'Volume and Speed'!Y247</f>
        <v>70037.171606238204</v>
      </c>
      <c r="AA44" s="577">
        <f>'Volume and Speed'!Z247</f>
        <v>71403.705936557875</v>
      </c>
      <c r="AB44" s="577">
        <f>'Volume and Speed'!AA247</f>
        <v>72835.571606738638</v>
      </c>
      <c r="AC44" s="577">
        <f>'Volume and Speed'!AB247</f>
        <v>74341.052778504833</v>
      </c>
      <c r="AD44" s="577">
        <f>'Volume and Speed'!AC247</f>
        <v>75929.354552105899</v>
      </c>
      <c r="AE44" s="577">
        <f>'Volume and Speed'!AD247</f>
        <v>77610.691337123862</v>
      </c>
      <c r="AF44" s="577">
        <f>'Volume and Speed'!AE247</f>
        <v>79399.648405261061</v>
      </c>
      <c r="AG44" s="577">
        <f>'Volume and Speed'!AF247</f>
        <v>81302.440187721571</v>
      </c>
      <c r="AH44" s="752">
        <f>'Volume and Speed'!AG247</f>
        <v>83335.98601496972</v>
      </c>
      <c r="AI44" s="18"/>
      <c r="AJ44" s="18"/>
      <c r="AK44" s="18"/>
      <c r="AL44" s="18"/>
      <c r="AM44" s="18"/>
      <c r="AN44" s="18"/>
    </row>
    <row r="45" spans="2:40" ht="21.95" customHeight="1" x14ac:dyDescent="0.2">
      <c r="B45" s="232"/>
      <c r="C45" s="715"/>
      <c r="D45" s="715"/>
      <c r="E45" s="1340"/>
      <c r="F45" s="116" t="s">
        <v>345</v>
      </c>
      <c r="G45" s="116" t="s">
        <v>323</v>
      </c>
      <c r="H45" s="577" t="s">
        <v>23</v>
      </c>
      <c r="I45" s="577">
        <f>'Volume and Speed'!H248</f>
        <v>414258.30285385402</v>
      </c>
      <c r="J45" s="577">
        <f>'Volume and Speed'!I248</f>
        <v>423278.96870438522</v>
      </c>
      <c r="K45" s="577">
        <f>'Volume and Speed'!J248</f>
        <v>443810.43757156865</v>
      </c>
      <c r="L45" s="577">
        <f>'Volume and Speed'!K248</f>
        <v>466412.64316440211</v>
      </c>
      <c r="M45" s="577">
        <f>'Volume and Speed'!L248</f>
        <v>489151.51276714681</v>
      </c>
      <c r="N45" s="577">
        <f>'Volume and Speed'!M248</f>
        <v>512075.19422509044</v>
      </c>
      <c r="O45" s="577">
        <f>'Volume and Speed'!N248</f>
        <v>535283.39308736438</v>
      </c>
      <c r="P45" s="577">
        <f>'Volume and Speed'!O248</f>
        <v>558927.70516764896</v>
      </c>
      <c r="Q45" s="577">
        <f>'Volume and Speed'!P248</f>
        <v>572204.65391000581</v>
      </c>
      <c r="R45" s="577">
        <f>'Volume and Speed'!Q248</f>
        <v>585706.7478228542</v>
      </c>
      <c r="S45" s="577">
        <f>'Volume and Speed'!R248</f>
        <v>599482.06268131826</v>
      </c>
      <c r="T45" s="577">
        <f>'Volume and Speed'!S248</f>
        <v>613587.58283576637</v>
      </c>
      <c r="U45" s="577">
        <f>'Volume and Speed'!T248</f>
        <v>628095.91424794169</v>
      </c>
      <c r="V45" s="577">
        <f>'Volume and Speed'!U248</f>
        <v>640634.34267872665</v>
      </c>
      <c r="W45" s="577">
        <f>'Volume and Speed'!V248</f>
        <v>651815.28064455732</v>
      </c>
      <c r="X45" s="577">
        <f>'Volume and Speed'!W248</f>
        <v>663329.01418716507</v>
      </c>
      <c r="Y45" s="577">
        <f>'Volume and Speed'!X248</f>
        <v>675220.27269237349</v>
      </c>
      <c r="Z45" s="577">
        <f>'Volume and Speed'!Y248</f>
        <v>687540.08020115516</v>
      </c>
      <c r="AA45" s="577">
        <f>'Volume and Speed'!Z248</f>
        <v>700342.20417924807</v>
      </c>
      <c r="AB45" s="577">
        <f>'Volume and Speed'!AA248</f>
        <v>713690.93537285249</v>
      </c>
      <c r="AC45" s="577">
        <f>'Volume and Speed'!AB248</f>
        <v>727653.26433309936</v>
      </c>
      <c r="AD45" s="577">
        <f>'Volume and Speed'!AC248</f>
        <v>742307.14202037407</v>
      </c>
      <c r="AE45" s="577">
        <f>'Volume and Speed'!AD248</f>
        <v>757739.1795251586</v>
      </c>
      <c r="AF45" s="577">
        <f>'Volume and Speed'!AE248</f>
        <v>774041.37933452218</v>
      </c>
      <c r="AG45" s="577">
        <f>'Volume and Speed'!AF248</f>
        <v>791319.60593649512</v>
      </c>
      <c r="AH45" s="752">
        <f>'Volume and Speed'!AG248</f>
        <v>809691.06885013334</v>
      </c>
      <c r="AI45" s="18"/>
      <c r="AJ45" s="18"/>
      <c r="AK45" s="18"/>
      <c r="AL45" s="18"/>
      <c r="AM45" s="18"/>
      <c r="AN45" s="18"/>
    </row>
    <row r="46" spans="2:40" ht="21.95" customHeight="1" x14ac:dyDescent="0.2">
      <c r="B46" s="232"/>
      <c r="C46" s="715"/>
      <c r="D46" s="715"/>
      <c r="E46" s="1340"/>
      <c r="F46" s="116" t="s">
        <v>323</v>
      </c>
      <c r="G46" s="116" t="s">
        <v>347</v>
      </c>
      <c r="H46" s="577" t="s">
        <v>23</v>
      </c>
      <c r="I46" s="577">
        <f>'Volume and Speed'!H249</f>
        <v>73974.696938188237</v>
      </c>
      <c r="J46" s="577">
        <f>'Volume and Speed'!I249</f>
        <v>75585.530125783072</v>
      </c>
      <c r="K46" s="577">
        <f>'Volume and Speed'!J249</f>
        <v>77987.560678618669</v>
      </c>
      <c r="L46" s="577">
        <f>'Volume and Speed'!K249</f>
        <v>80750.741929447599</v>
      </c>
      <c r="M46" s="577">
        <f>'Volume and Speed'!L249</f>
        <v>83522.711007167367</v>
      </c>
      <c r="N46" s="577">
        <f>'Volume and Speed'!M249</f>
        <v>86305.203957689082</v>
      </c>
      <c r="O46" s="577">
        <f>'Volume and Speed'!N249</f>
        <v>89101.58912174344</v>
      </c>
      <c r="P46" s="577">
        <f>'Volume and Speed'!O249</f>
        <v>91918.319496009964</v>
      </c>
      <c r="Q46" s="577">
        <f>'Volume and Speed'!P249</f>
        <v>94199.456815684345</v>
      </c>
      <c r="R46" s="577">
        <f>'Volume and Speed'!Q249</f>
        <v>96500.664345548925</v>
      </c>
      <c r="S46" s="577">
        <f>'Volume and Speed'!R249</f>
        <v>98826.603677697509</v>
      </c>
      <c r="T46" s="577">
        <f>'Volume and Speed'!S249</f>
        <v>101182.87494756267</v>
      </c>
      <c r="U46" s="577">
        <f>'Volume and Speed'!T249</f>
        <v>103577.04589430022</v>
      </c>
      <c r="V46" s="577">
        <f>'Volume and Speed'!U249</f>
        <v>105620.38388766837</v>
      </c>
      <c r="W46" s="577">
        <f>'Volume and Speed'!V249</f>
        <v>107421.32481857733</v>
      </c>
      <c r="X46" s="577">
        <f>'Volume and Speed'!W249</f>
        <v>109254.31979280672</v>
      </c>
      <c r="Y46" s="577">
        <f>'Volume and Speed'!X249</f>
        <v>111124.00146453519</v>
      </c>
      <c r="Z46" s="577">
        <f>'Volume and Speed'!Y249</f>
        <v>113035.74716801159</v>
      </c>
      <c r="AA46" s="577">
        <f>'Volume and Speed'!Z249</f>
        <v>114995.11041648992</v>
      </c>
      <c r="AB46" s="577">
        <f>'Volume and Speed'!AA249</f>
        <v>117009.00204263884</v>
      </c>
      <c r="AC46" s="577">
        <f>'Volume and Speed'!AB249</f>
        <v>119084.47358051494</v>
      </c>
      <c r="AD46" s="577">
        <f>'Volume and Speed'!AC249</f>
        <v>121229.94911379056</v>
      </c>
      <c r="AE46" s="577">
        <f>'Volume and Speed'!AD249</f>
        <v>123454.84417911191</v>
      </c>
      <c r="AF46" s="577">
        <f>'Volume and Speed'!AE249</f>
        <v>125769.08832451608</v>
      </c>
      <c r="AG46" s="577">
        <f>'Volume and Speed'!AF249</f>
        <v>128184.32870999299</v>
      </c>
      <c r="AH46" s="752">
        <f>'Volume and Speed'!AG249</f>
        <v>130713.53355309702</v>
      </c>
      <c r="AI46" s="18"/>
      <c r="AJ46" s="18"/>
      <c r="AK46" s="18"/>
      <c r="AL46" s="18"/>
      <c r="AM46" s="18"/>
      <c r="AN46" s="18"/>
    </row>
    <row r="47" spans="2:40" ht="21.95" customHeight="1" x14ac:dyDescent="0.2">
      <c r="B47" s="232"/>
      <c r="C47" s="715"/>
      <c r="D47" s="715"/>
      <c r="E47" s="1340"/>
      <c r="F47" s="116" t="s">
        <v>347</v>
      </c>
      <c r="G47" s="116" t="s">
        <v>348</v>
      </c>
      <c r="H47" s="577" t="s">
        <v>23</v>
      </c>
      <c r="I47" s="577">
        <f>'Volume and Speed'!H250</f>
        <v>60555.04565970866</v>
      </c>
      <c r="J47" s="577">
        <f>'Volume and Speed'!I250</f>
        <v>61876.337220243964</v>
      </c>
      <c r="K47" s="577">
        <f>'Volume and Speed'!J250</f>
        <v>63847.926914553158</v>
      </c>
      <c r="L47" s="577">
        <f>'Volume and Speed'!K250</f>
        <v>66118.476741712948</v>
      </c>
      <c r="M47" s="577">
        <f>'Volume and Speed'!L250</f>
        <v>68399.881752365633</v>
      </c>
      <c r="N47" s="577">
        <f>'Volume and Speed'!M250</f>
        <v>70694.842077230045</v>
      </c>
      <c r="O47" s="577">
        <f>'Volume and Speed'!N250</f>
        <v>73007.778587077381</v>
      </c>
      <c r="P47" s="577">
        <f>'Volume and Speed'!O250</f>
        <v>75346.14244866345</v>
      </c>
      <c r="Q47" s="577">
        <f>'Volume and Speed'!P250</f>
        <v>77247.85772409504</v>
      </c>
      <c r="R47" s="577">
        <f>'Volume and Speed'!Q250</f>
        <v>79175.193763712625</v>
      </c>
      <c r="S47" s="577">
        <f>'Volume and Speed'!R250</f>
        <v>81134.101354809303</v>
      </c>
      <c r="T47" s="577">
        <f>'Volume and Speed'!S250</f>
        <v>83131.729388600826</v>
      </c>
      <c r="U47" s="577">
        <f>'Volume and Speed'!T250</f>
        <v>85177.375537231186</v>
      </c>
      <c r="V47" s="577">
        <f>'Volume and Speed'!U250</f>
        <v>86937.777206136583</v>
      </c>
      <c r="W47" s="577">
        <f>'Volume and Speed'!V250</f>
        <v>88501.75210756567</v>
      </c>
      <c r="X47" s="577">
        <f>'Volume and Speed'!W250</f>
        <v>90106.645817384953</v>
      </c>
      <c r="Y47" s="577">
        <f>'Volume and Speed'!X250</f>
        <v>91758.372181993691</v>
      </c>
      <c r="Z47" s="577">
        <f>'Volume and Speed'!Y250</f>
        <v>93463.735178053146</v>
      </c>
      <c r="AA47" s="577">
        <f>'Volume and Speed'!Z250</f>
        <v>95229.945173275104</v>
      </c>
      <c r="AB47" s="577">
        <f>'Volume and Speed'!AA250</f>
        <v>97065.703246045741</v>
      </c>
      <c r="AC47" s="577">
        <f>'Volume and Speed'!AB250</f>
        <v>98980.132072785578</v>
      </c>
      <c r="AD47" s="577">
        <f>'Volume and Speed'!AC250</f>
        <v>100983.92497898535</v>
      </c>
      <c r="AE47" s="577">
        <f>'Volume and Speed'!AD250</f>
        <v>103089.04093621546</v>
      </c>
      <c r="AF47" s="577">
        <f>'Volume and Speed'!AE250</f>
        <v>105308.27656934137</v>
      </c>
      <c r="AG47" s="577">
        <f>'Volume and Speed'!AF250</f>
        <v>107656.43964398693</v>
      </c>
      <c r="AH47" s="752">
        <f>'Volume and Speed'!AG250</f>
        <v>110150.02433085175</v>
      </c>
      <c r="AI47" s="18"/>
      <c r="AJ47" s="18"/>
      <c r="AK47" s="18"/>
      <c r="AL47" s="18"/>
      <c r="AM47" s="18"/>
      <c r="AN47" s="18"/>
    </row>
    <row r="48" spans="2:40" ht="21.95" customHeight="1" x14ac:dyDescent="0.2">
      <c r="B48" s="232"/>
      <c r="C48" s="715"/>
      <c r="D48" s="715"/>
      <c r="E48" s="1333"/>
      <c r="F48" s="254" t="s">
        <v>348</v>
      </c>
      <c r="G48" s="254" t="s">
        <v>349</v>
      </c>
      <c r="H48" s="577" t="s">
        <v>23</v>
      </c>
      <c r="I48" s="577">
        <f>'Volume and Speed'!H251</f>
        <v>99004.918632670961</v>
      </c>
      <c r="J48" s="577">
        <f>'Volume and Speed'!I251</f>
        <v>101421.36019615347</v>
      </c>
      <c r="K48" s="577">
        <f>'Volume and Speed'!J251</f>
        <v>104803.18845034699</v>
      </c>
      <c r="L48" s="577">
        <f>'Volume and Speed'!K251</f>
        <v>109355.29165235185</v>
      </c>
      <c r="M48" s="577">
        <f>'Volume and Speed'!L251</f>
        <v>114005.91088454769</v>
      </c>
      <c r="N48" s="577">
        <f>'Volume and Speed'!M251</f>
        <v>118795.20745518628</v>
      </c>
      <c r="O48" s="577">
        <f>'Volume and Speed'!N251</f>
        <v>123776.9320357962</v>
      </c>
      <c r="P48" s="577">
        <f>'Volume and Speed'!O251</f>
        <v>129030.86854894808</v>
      </c>
      <c r="Q48" s="577">
        <f>'Volume and Speed'!P251</f>
        <v>134388.19569623578</v>
      </c>
      <c r="R48" s="577">
        <f>'Volume and Speed'!Q251</f>
        <v>140195.78853466475</v>
      </c>
      <c r="S48" s="577">
        <f>'Volume and Speed'!R251</f>
        <v>146599.93568136098</v>
      </c>
      <c r="T48" s="577">
        <f>'Volume and Speed'!S251</f>
        <v>153788.63787718047</v>
      </c>
      <c r="U48" s="577">
        <f>'Volume and Speed'!T251</f>
        <v>162005.74165950262</v>
      </c>
      <c r="V48" s="577">
        <f>'Volume and Speed'!U251</f>
        <v>168926.18354747345</v>
      </c>
      <c r="W48" s="577">
        <f>'Volume and Speed'!V251</f>
        <v>174809.94060749473</v>
      </c>
      <c r="X48" s="577">
        <f>'Volume and Speed'!W251</f>
        <v>181283.52423123992</v>
      </c>
      <c r="Y48" s="577">
        <f>'Volume and Speed'!X251</f>
        <v>188434.37358555867</v>
      </c>
      <c r="Z48" s="577">
        <f>'Volume and Speed'!Y251</f>
        <v>196362.89031174424</v>
      </c>
      <c r="AA48" s="577">
        <f>'Volume and Speed'!Z251</f>
        <v>205177.34655723727</v>
      </c>
      <c r="AB48" s="577">
        <f>'Volume and Speed'!AA251</f>
        <v>215006.60794357373</v>
      </c>
      <c r="AC48" s="577">
        <f>'Volume and Speed'!AB251</f>
        <v>225987.69469772081</v>
      </c>
      <c r="AD48" s="577">
        <f>'Volume and Speed'!AC251</f>
        <v>238280.43949484185</v>
      </c>
      <c r="AE48" s="577">
        <f>'Volume and Speed'!AD251</f>
        <v>252064.66602365149</v>
      </c>
      <c r="AF48" s="577">
        <f>'Volume and Speed'!AE251</f>
        <v>267532.8731034068</v>
      </c>
      <c r="AG48" s="577">
        <f>'Volume and Speed'!AF251</f>
        <v>284908.53531893145</v>
      </c>
      <c r="AH48" s="752">
        <f>'Volume and Speed'!AG251</f>
        <v>304441.9961224423</v>
      </c>
      <c r="AI48" s="18"/>
      <c r="AJ48" s="18"/>
      <c r="AK48" s="18"/>
      <c r="AL48" s="18"/>
      <c r="AM48" s="18"/>
      <c r="AN48" s="18"/>
    </row>
    <row r="49" spans="2:41" ht="21.95" customHeight="1" x14ac:dyDescent="0.2">
      <c r="B49" s="232"/>
      <c r="C49" s="715"/>
      <c r="D49" s="715"/>
      <c r="E49" s="116" t="s">
        <v>288</v>
      </c>
      <c r="F49" s="116" t="s">
        <v>323</v>
      </c>
      <c r="G49" s="116" t="s">
        <v>348</v>
      </c>
      <c r="H49" s="593" t="s">
        <v>23</v>
      </c>
      <c r="I49" s="593">
        <f>'Volume and Speed'!H252</f>
        <v>23633.09448058578</v>
      </c>
      <c r="J49" s="593">
        <f>'Volume and Speed'!I252</f>
        <v>24519.073374646814</v>
      </c>
      <c r="K49" s="593">
        <f>'Volume and Speed'!J252</f>
        <v>25874.301149443396</v>
      </c>
      <c r="L49" s="593">
        <f>'Volume and Speed'!K252</f>
        <v>30180.130979470505</v>
      </c>
      <c r="M49" s="593">
        <f>'Volume and Speed'!L252</f>
        <v>34486.652765956373</v>
      </c>
      <c r="N49" s="593">
        <f>'Volume and Speed'!M252</f>
        <v>38797.884877333439</v>
      </c>
      <c r="O49" s="593">
        <f>'Volume and Speed'!N252</f>
        <v>43104.189945641367</v>
      </c>
      <c r="P49" s="593">
        <f>'Volume and Speed'!O252</f>
        <v>47415.524788910538</v>
      </c>
      <c r="Q49" s="593">
        <f>'Volume and Speed'!P252</f>
        <v>53099.428778932408</v>
      </c>
      <c r="R49" s="593">
        <f>'Volume and Speed'!Q252</f>
        <v>58791.344057388756</v>
      </c>
      <c r="S49" s="593">
        <f>'Volume and Speed'!R252</f>
        <v>64508.68977286118</v>
      </c>
      <c r="T49" s="593">
        <f>'Volume and Speed'!S252</f>
        <v>70278.383623713496</v>
      </c>
      <c r="U49" s="593">
        <f>'Volume and Speed'!T252</f>
        <v>76167.387352677208</v>
      </c>
      <c r="V49" s="593">
        <f>'Volume and Speed'!U252</f>
        <v>79060.75061328501</v>
      </c>
      <c r="W49" s="593">
        <f>'Volume and Speed'!V252</f>
        <v>80015.242483406531</v>
      </c>
      <c r="X49" s="593">
        <f>'Volume and Speed'!W252</f>
        <v>80977.817138111888</v>
      </c>
      <c r="Y49" s="593">
        <f>'Volume and Speed'!X252</f>
        <v>81949.324719841461</v>
      </c>
      <c r="Z49" s="593">
        <f>'Volume and Speed'!Y252</f>
        <v>82931.715630512714</v>
      </c>
      <c r="AA49" s="593">
        <f>'Volume and Speed'!Z252</f>
        <v>83923.966208696715</v>
      </c>
      <c r="AB49" s="593">
        <f>'Volume and Speed'!AA252</f>
        <v>84929.240299015277</v>
      </c>
      <c r="AC49" s="593">
        <f>'Volume and Speed'!AB252</f>
        <v>85946.656613924861</v>
      </c>
      <c r="AD49" s="593">
        <f>'Volume and Speed'!AC252</f>
        <v>86978.557584241469</v>
      </c>
      <c r="AE49" s="593">
        <f>'Volume and Speed'!AD252</f>
        <v>88027.460045619126</v>
      </c>
      <c r="AF49" s="593">
        <f>'Volume and Speed'!AE252</f>
        <v>89092.735247375706</v>
      </c>
      <c r="AG49" s="593">
        <f>'Volume and Speed'!AF252</f>
        <v>90177.1372691078</v>
      </c>
      <c r="AH49" s="755">
        <f>'Volume and Speed'!AG252</f>
        <v>91283.641447311471</v>
      </c>
      <c r="AI49" s="18"/>
      <c r="AJ49" s="18"/>
      <c r="AK49" s="18"/>
      <c r="AL49" s="18"/>
      <c r="AM49" s="18"/>
      <c r="AN49" s="18"/>
    </row>
    <row r="50" spans="2:41" ht="21.95" customHeight="1" x14ac:dyDescent="0.2">
      <c r="B50" s="232"/>
      <c r="C50" s="715"/>
      <c r="D50" s="715"/>
      <c r="E50" s="277" t="s">
        <v>340</v>
      </c>
      <c r="F50" s="277" t="s">
        <v>335</v>
      </c>
      <c r="G50" s="277" t="s">
        <v>323</v>
      </c>
      <c r="H50" s="577" t="s">
        <v>23</v>
      </c>
      <c r="I50" s="577" t="e">
        <f>'Volume and Speed'!H253</f>
        <v>#DIV/0!</v>
      </c>
      <c r="J50" s="577" t="e">
        <f>'Volume and Speed'!I253</f>
        <v>#DIV/0!</v>
      </c>
      <c r="K50" s="577" t="e">
        <f>'Volume and Speed'!J253</f>
        <v>#DIV/0!</v>
      </c>
      <c r="L50" s="577" t="e">
        <f>'Volume and Speed'!K253</f>
        <v>#DIV/0!</v>
      </c>
      <c r="M50" s="577" t="e">
        <f>'Volume and Speed'!L253</f>
        <v>#DIV/0!</v>
      </c>
      <c r="N50" s="577" t="e">
        <f>'Volume and Speed'!M253</f>
        <v>#DIV/0!</v>
      </c>
      <c r="O50" s="577" t="e">
        <f>'Volume and Speed'!N253</f>
        <v>#DIV/0!</v>
      </c>
      <c r="P50" s="577" t="e">
        <f>'Volume and Speed'!O253</f>
        <v>#DIV/0!</v>
      </c>
      <c r="Q50" s="577" t="e">
        <f>'Volume and Speed'!P253</f>
        <v>#DIV/0!</v>
      </c>
      <c r="R50" s="577" t="e">
        <f>'Volume and Speed'!Q253</f>
        <v>#DIV/0!</v>
      </c>
      <c r="S50" s="577" t="e">
        <f>'Volume and Speed'!R253</f>
        <v>#DIV/0!</v>
      </c>
      <c r="T50" s="577" t="e">
        <f>'Volume and Speed'!S253</f>
        <v>#DIV/0!</v>
      </c>
      <c r="U50" s="577" t="e">
        <f>'Volume and Speed'!T253</f>
        <v>#DIV/0!</v>
      </c>
      <c r="V50" s="577" t="e">
        <f>'Volume and Speed'!U253</f>
        <v>#DIV/0!</v>
      </c>
      <c r="W50" s="577" t="e">
        <f>'Volume and Speed'!V253</f>
        <v>#DIV/0!</v>
      </c>
      <c r="X50" s="577" t="e">
        <f>'Volume and Speed'!W253</f>
        <v>#DIV/0!</v>
      </c>
      <c r="Y50" s="577" t="e">
        <f>'Volume and Speed'!X253</f>
        <v>#DIV/0!</v>
      </c>
      <c r="Z50" s="577" t="e">
        <f>'Volume and Speed'!Y253</f>
        <v>#DIV/0!</v>
      </c>
      <c r="AA50" s="577" t="e">
        <f>'Volume and Speed'!Z253</f>
        <v>#DIV/0!</v>
      </c>
      <c r="AB50" s="577" t="e">
        <f>'Volume and Speed'!AA253</f>
        <v>#DIV/0!</v>
      </c>
      <c r="AC50" s="577" t="e">
        <f>'Volume and Speed'!AB253</f>
        <v>#DIV/0!</v>
      </c>
      <c r="AD50" s="577" t="e">
        <f>'Volume and Speed'!AC253</f>
        <v>#DIV/0!</v>
      </c>
      <c r="AE50" s="577" t="e">
        <f>'Volume and Speed'!AD253</f>
        <v>#DIV/0!</v>
      </c>
      <c r="AF50" s="577" t="e">
        <f>'Volume and Speed'!AE253</f>
        <v>#DIV/0!</v>
      </c>
      <c r="AG50" s="577" t="e">
        <f>'Volume and Speed'!AF253</f>
        <v>#DIV/0!</v>
      </c>
      <c r="AH50" s="752" t="e">
        <f>'Volume and Speed'!AG253</f>
        <v>#DIV/0!</v>
      </c>
      <c r="AI50" s="18"/>
      <c r="AJ50" s="18"/>
      <c r="AK50" s="18"/>
      <c r="AL50" s="18"/>
      <c r="AM50" s="18"/>
      <c r="AN50" s="18"/>
    </row>
    <row r="51" spans="2:41" ht="21.95" customHeight="1" x14ac:dyDescent="0.2">
      <c r="B51" s="232"/>
      <c r="C51" s="715"/>
      <c r="D51" s="715"/>
      <c r="E51" s="277" t="s">
        <v>357</v>
      </c>
      <c r="F51" s="277" t="s">
        <v>338</v>
      </c>
      <c r="G51" s="277" t="s">
        <v>323</v>
      </c>
      <c r="H51" s="593" t="s">
        <v>23</v>
      </c>
      <c r="I51" s="593">
        <f>'Volume and Speed'!H254</f>
        <v>38197.078466007326</v>
      </c>
      <c r="J51" s="593">
        <f>'Volume and Speed'!I254</f>
        <v>38787.701676608493</v>
      </c>
      <c r="K51" s="593">
        <f>'Volume and Speed'!J254</f>
        <v>39758.239466186773</v>
      </c>
      <c r="L51" s="593">
        <f>'Volume and Speed'!K254</f>
        <v>43058.272499378974</v>
      </c>
      <c r="M51" s="593">
        <f>'Volume and Speed'!L254</f>
        <v>46362.671092908626</v>
      </c>
      <c r="N51" s="593">
        <f>'Volume and Speed'!M254</f>
        <v>49678.533147442737</v>
      </c>
      <c r="O51" s="593">
        <f>'Volume and Speed'!N254</f>
        <v>53004.232813576353</v>
      </c>
      <c r="P51" s="593">
        <f>'Volume and Speed'!O254</f>
        <v>56358.785966977055</v>
      </c>
      <c r="Q51" s="593">
        <f>'Volume and Speed'!P254</f>
        <v>60391.161751330976</v>
      </c>
      <c r="R51" s="593">
        <f>'Volume and Speed'!Q254</f>
        <v>64534.08935172543</v>
      </c>
      <c r="S51" s="593">
        <f>'Volume and Speed'!R254</f>
        <v>68874.982277832503</v>
      </c>
      <c r="T51" s="593">
        <f>'Volume and Speed'!S254</f>
        <v>73547.775421747909</v>
      </c>
      <c r="U51" s="593">
        <f>'Volume and Speed'!T254</f>
        <v>78778.263897458717</v>
      </c>
      <c r="V51" s="593">
        <f>'Volume and Speed'!U254</f>
        <v>81117.982310185049</v>
      </c>
      <c r="W51" s="593">
        <f>'Volume and Speed'!V254</f>
        <v>82033.802621573719</v>
      </c>
      <c r="X51" s="593">
        <f>'Volume and Speed'!W254</f>
        <v>82975.213750848823</v>
      </c>
      <c r="Y51" s="593">
        <f>'Volume and Speed'!X254</f>
        <v>83944.019801817427</v>
      </c>
      <c r="Z51" s="593">
        <f>'Volume and Speed'!Y254</f>
        <v>84944.133466263709</v>
      </c>
      <c r="AA51" s="593">
        <f>'Volume and Speed'!Z254</f>
        <v>85973.63805769688</v>
      </c>
      <c r="AB51" s="593">
        <f>'Volume and Speed'!AA254</f>
        <v>87038.763738324546</v>
      </c>
      <c r="AC51" s="593">
        <f>'Volume and Speed'!AB254</f>
        <v>88137.591777313864</v>
      </c>
      <c r="AD51" s="593">
        <f>'Volume and Speed'!AC254</f>
        <v>89274.6077211136</v>
      </c>
      <c r="AE51" s="593">
        <f>'Volume and Speed'!AD254</f>
        <v>90454.744150680301</v>
      </c>
      <c r="AF51" s="593">
        <f>'Volume and Speed'!AE254</f>
        <v>91676.062382647899</v>
      </c>
      <c r="AG51" s="593">
        <f>'Volume and Speed'!AF254</f>
        <v>92943.723206527065</v>
      </c>
      <c r="AH51" s="755">
        <f>'Volume and Speed'!AG254</f>
        <v>94263.422506250587</v>
      </c>
      <c r="AI51" s="18"/>
      <c r="AJ51" s="18"/>
      <c r="AK51" s="18"/>
      <c r="AL51" s="18"/>
      <c r="AM51" s="18"/>
      <c r="AN51" s="18"/>
    </row>
    <row r="52" spans="2:41" ht="21.95" customHeight="1" x14ac:dyDescent="0.2">
      <c r="B52" s="232"/>
      <c r="C52" s="715"/>
      <c r="D52" s="715"/>
      <c r="E52" s="116" t="s">
        <v>338</v>
      </c>
      <c r="F52" s="116" t="s">
        <v>282</v>
      </c>
      <c r="G52" s="116" t="s">
        <v>357</v>
      </c>
      <c r="H52" s="577" t="s">
        <v>23</v>
      </c>
      <c r="I52" s="577">
        <f>'Volume and Speed'!H255</f>
        <v>78280.009329269713</v>
      </c>
      <c r="J52" s="577">
        <f>'Volume and Speed'!I255</f>
        <v>81190.853510209563</v>
      </c>
      <c r="K52" s="577">
        <f>'Volume and Speed'!J255</f>
        <v>84289.414333601148</v>
      </c>
      <c r="L52" s="577">
        <f>'Volume and Speed'!K255</f>
        <v>91163.430144710408</v>
      </c>
      <c r="M52" s="577">
        <f>'Volume and Speed'!L255</f>
        <v>98039.183511947311</v>
      </c>
      <c r="N52" s="577">
        <f>'Volume and Speed'!M255</f>
        <v>104918.72384701518</v>
      </c>
      <c r="O52" s="577">
        <f>'Volume and Speed'!N255</f>
        <v>111792.83860394906</v>
      </c>
      <c r="P52" s="577">
        <f>'Volume and Speed'!O255</f>
        <v>118673.07656608545</v>
      </c>
      <c r="Q52" s="577">
        <f>'Volume and Speed'!P255</f>
        <v>127923.19707694344</v>
      </c>
      <c r="R52" s="577">
        <f>'Volume and Speed'!Q255</f>
        <v>137174.29505765002</v>
      </c>
      <c r="S52" s="577">
        <f>'Volume and Speed'!R255</f>
        <v>146426.09564143448</v>
      </c>
      <c r="T52" s="577">
        <f>'Volume and Speed'!S255</f>
        <v>155679.85803830452</v>
      </c>
      <c r="U52" s="577">
        <f>'Volume and Speed'!T255</f>
        <v>164945.63598670904</v>
      </c>
      <c r="V52" s="577">
        <f>'Volume and Speed'!U255</f>
        <v>170422.42959602139</v>
      </c>
      <c r="W52" s="577">
        <f>'Volume and Speed'!V255</f>
        <v>173338.01113856389</v>
      </c>
      <c r="X52" s="577">
        <f>'Volume and Speed'!W255</f>
        <v>176254.45924532952</v>
      </c>
      <c r="Y52" s="577">
        <f>'Volume and Speed'!X255</f>
        <v>179171.91405326826</v>
      </c>
      <c r="Z52" s="577">
        <f>'Volume and Speed'!Y255</f>
        <v>182092.10556914788</v>
      </c>
      <c r="AA52" s="577">
        <f>'Volume and Speed'!Z255</f>
        <v>185012.07637403641</v>
      </c>
      <c r="AB52" s="577">
        <f>'Volume and Speed'!AA255</f>
        <v>187935.17463816286</v>
      </c>
      <c r="AC52" s="577">
        <f>'Volume and Speed'!AB255</f>
        <v>190858.49243962837</v>
      </c>
      <c r="AD52" s="577">
        <f>'Volume and Speed'!AC255</f>
        <v>193783.86631654477</v>
      </c>
      <c r="AE52" s="577">
        <f>'Volume and Speed'!AD255</f>
        <v>196713.17174540175</v>
      </c>
      <c r="AF52" s="577">
        <f>'Volume and Speed'!AE255</f>
        <v>199643.59794563675</v>
      </c>
      <c r="AG52" s="577">
        <f>'Volume and Speed'!AF255</f>
        <v>202577.09992577104</v>
      </c>
      <c r="AH52" s="752">
        <f>'Volume and Speed'!AG255</f>
        <v>205515.68652155064</v>
      </c>
      <c r="AI52" s="18"/>
      <c r="AJ52" s="18"/>
      <c r="AK52" s="18"/>
      <c r="AL52" s="18"/>
      <c r="AM52" s="18"/>
      <c r="AN52" s="18"/>
    </row>
    <row r="53" spans="2:41" ht="21.95" customHeight="1" x14ac:dyDescent="0.2">
      <c r="B53" s="232"/>
      <c r="C53" s="715"/>
      <c r="D53" s="715"/>
      <c r="E53" s="116"/>
      <c r="F53" s="116" t="s">
        <v>357</v>
      </c>
      <c r="G53" s="116" t="s">
        <v>346</v>
      </c>
      <c r="H53" s="577" t="s">
        <v>23</v>
      </c>
      <c r="I53" s="577">
        <f>'Volume and Speed'!H256</f>
        <v>11400.437782222565</v>
      </c>
      <c r="J53" s="577">
        <f>'Volume and Speed'!I256</f>
        <v>11806.128378996213</v>
      </c>
      <c r="K53" s="577">
        <f>'Volume and Speed'!J256</f>
        <v>12247.640362110924</v>
      </c>
      <c r="L53" s="577">
        <f>'Volume and Speed'!K256</f>
        <v>13091.767873076355</v>
      </c>
      <c r="M53" s="577">
        <f>'Volume and Speed'!L256</f>
        <v>13936.225486271333</v>
      </c>
      <c r="N53" s="577">
        <f>'Volume and Speed'!M256</f>
        <v>14780.803260826724</v>
      </c>
      <c r="O53" s="577">
        <f>'Volume and Speed'!N256</f>
        <v>15624.931283193164</v>
      </c>
      <c r="P53" s="577">
        <f>'Volume and Speed'!O256</f>
        <v>16469.764770078036</v>
      </c>
      <c r="Q53" s="577">
        <f>'Volume and Speed'!P256</f>
        <v>17628.861928601709</v>
      </c>
      <c r="R53" s="577">
        <f>'Volume and Speed'!Q256</f>
        <v>18788.186554666616</v>
      </c>
      <c r="S53" s="577">
        <f>'Volume and Speed'!R256</f>
        <v>19947.140510292887</v>
      </c>
      <c r="T53" s="577">
        <f>'Volume and Speed'!S256</f>
        <v>21106.251902296699</v>
      </c>
      <c r="U53" s="577">
        <f>'Volume and Speed'!T256</f>
        <v>22266.275683845386</v>
      </c>
      <c r="V53" s="577">
        <f>'Volume and Speed'!U256</f>
        <v>23022.258880295725</v>
      </c>
      <c r="W53" s="577">
        <f>'Volume and Speed'!V256</f>
        <v>23427.969563151717</v>
      </c>
      <c r="X53" s="577">
        <f>'Volume and Speed'!W256</f>
        <v>23833.684046212758</v>
      </c>
      <c r="Y53" s="577">
        <f>'Volume and Speed'!X256</f>
        <v>24239.402964396966</v>
      </c>
      <c r="Z53" s="577">
        <f>'Volume and Speed'!Y256</f>
        <v>24645.277064200309</v>
      </c>
      <c r="AA53" s="577">
        <f>'Volume and Speed'!Z256</f>
        <v>25051.007141048562</v>
      </c>
      <c r="AB53" s="577">
        <f>'Volume and Speed'!AA256</f>
        <v>25456.894184896628</v>
      </c>
      <c r="AC53" s="577">
        <f>'Volume and Speed'!AB256</f>
        <v>25862.639229839548</v>
      </c>
      <c r="AD53" s="577">
        <f>'Volume and Speed'!AC256</f>
        <v>26268.393523855757</v>
      </c>
      <c r="AE53" s="577">
        <f>'Volume and Speed'!AD256</f>
        <v>26674.308492651951</v>
      </c>
      <c r="AF53" s="577">
        <f>'Volume and Speed'!AE256</f>
        <v>27080.08564330318</v>
      </c>
      <c r="AG53" s="577">
        <f>'Volume and Speed'!AF256</f>
        <v>27485.87678359522</v>
      </c>
      <c r="AH53" s="752">
        <f>'Volume and Speed'!AG256</f>
        <v>27891.833968325656</v>
      </c>
      <c r="AI53" s="18"/>
      <c r="AJ53" s="18"/>
      <c r="AK53" s="18"/>
      <c r="AL53" s="18"/>
      <c r="AM53" s="18"/>
      <c r="AN53" s="18"/>
    </row>
    <row r="54" spans="2:41" ht="21.95" customHeight="1" x14ac:dyDescent="0.2">
      <c r="B54" s="232"/>
      <c r="C54" s="715"/>
      <c r="D54" s="715"/>
      <c r="E54" s="116"/>
      <c r="F54" s="116" t="s">
        <v>346</v>
      </c>
      <c r="G54" s="116" t="s">
        <v>343</v>
      </c>
      <c r="H54" s="577" t="s">
        <v>23</v>
      </c>
      <c r="I54" s="577">
        <f>'Volume and Speed'!H257</f>
        <v>3433.8483209342858</v>
      </c>
      <c r="J54" s="577">
        <f>'Volume and Speed'!I257</f>
        <v>3556.0436355247189</v>
      </c>
      <c r="K54" s="577">
        <f>'Volume and Speed'!J257</f>
        <v>3689.0284718334487</v>
      </c>
      <c r="L54" s="577">
        <f>'Volume and Speed'!K257</f>
        <v>3943.2824276163747</v>
      </c>
      <c r="M54" s="577">
        <f>'Volume and Speed'!L257</f>
        <v>4197.6358576581533</v>
      </c>
      <c r="N54" s="577">
        <f>'Volume and Speed'!M257</f>
        <v>4452.0255619205445</v>
      </c>
      <c r="O54" s="577">
        <f>'Volume and Speed'!N257</f>
        <v>4706.279936765297</v>
      </c>
      <c r="P54" s="577">
        <f>'Volume and Speed'!O257</f>
        <v>4960.7470264788089</v>
      </c>
      <c r="Q54" s="577">
        <f>'Volume and Speed'!P257</f>
        <v>5309.8721703291685</v>
      </c>
      <c r="R54" s="577">
        <f>'Volume and Speed'!Q257</f>
        <v>5659.0671024203148</v>
      </c>
      <c r="S54" s="577">
        <f>'Volume and Speed'!R257</f>
        <v>6008.1526385856014</v>
      </c>
      <c r="T54" s="577">
        <f>'Volume and Speed'!S257</f>
        <v>6357.2894459015833</v>
      </c>
      <c r="U54" s="577">
        <f>'Volume and Speed'!T257</f>
        <v>6706.7074706583762</v>
      </c>
      <c r="V54" s="577">
        <f>'Volume and Speed'!U257</f>
        <v>6934.427142831888</v>
      </c>
      <c r="W54" s="577">
        <f>'Volume and Speed'!V257</f>
        <v>7056.6389167371663</v>
      </c>
      <c r="X54" s="577">
        <f>'Volume and Speed'!W257</f>
        <v>7178.8538046778394</v>
      </c>
      <c r="Y54" s="577">
        <f>'Volume and Speed'!X257</f>
        <v>7301.0723269304381</v>
      </c>
      <c r="Z54" s="577">
        <f>'Volume and Speed'!Y257</f>
        <v>7423.3402726972454</v>
      </c>
      <c r="AA54" s="577">
        <f>'Volume and Speed'!Z257</f>
        <v>7545.5679387919208</v>
      </c>
      <c r="AB54" s="577">
        <f>'Volume and Speed'!AA257</f>
        <v>7667.8464914109654</v>
      </c>
      <c r="AC54" s="577">
        <f>'Volume and Speed'!AB257</f>
        <v>7790.0864229428898</v>
      </c>
      <c r="AD54" s="577">
        <f>'Volume and Speed'!AC257</f>
        <v>7912.3339335241653</v>
      </c>
      <c r="AE54" s="577">
        <f>'Volume and Speed'!AD257</f>
        <v>8034.6353689286843</v>
      </c>
      <c r="AF54" s="577">
        <f>'Volume and Speed'!AE257</f>
        <v>8156.9016091231179</v>
      </c>
      <c r="AG54" s="577">
        <f>'Volume and Speed'!AF257</f>
        <v>8279.1793129717662</v>
      </c>
      <c r="AH54" s="752">
        <f>'Volume and Speed'!AG257</f>
        <v>8401.5153417500132</v>
      </c>
      <c r="AI54" s="18"/>
      <c r="AJ54" s="18"/>
      <c r="AK54" s="18"/>
      <c r="AL54" s="18"/>
      <c r="AM54" s="18"/>
      <c r="AN54" s="18"/>
    </row>
    <row r="55" spans="2:41" ht="21.95" customHeight="1" x14ac:dyDescent="0.2">
      <c r="B55" s="232"/>
      <c r="C55" s="715"/>
      <c r="D55" s="715"/>
      <c r="E55" s="116"/>
      <c r="F55" s="116" t="s">
        <v>343</v>
      </c>
      <c r="G55" s="116" t="s">
        <v>350</v>
      </c>
      <c r="H55" s="577" t="s">
        <v>23</v>
      </c>
      <c r="I55" s="577">
        <f>'Volume and Speed'!H258</f>
        <v>8810.531796712874</v>
      </c>
      <c r="J55" s="577">
        <f>'Volume and Speed'!I258</f>
        <v>9113.9518310066778</v>
      </c>
      <c r="K55" s="577">
        <f>'Volume and Speed'!J258</f>
        <v>9452.4671524416226</v>
      </c>
      <c r="L55" s="577">
        <f>'Volume and Speed'!K258</f>
        <v>10043.815378820018</v>
      </c>
      <c r="M55" s="577">
        <f>'Volume and Speed'!L258</f>
        <v>10635.516040047187</v>
      </c>
      <c r="N55" s="577">
        <f>'Volume and Speed'!M258</f>
        <v>11227.011144839924</v>
      </c>
      <c r="O55" s="577">
        <f>'Volume and Speed'!N258</f>
        <v>11818.359444201098</v>
      </c>
      <c r="P55" s="577">
        <f>'Volume and Speed'!O258</f>
        <v>12410.309855034069</v>
      </c>
      <c r="Q55" s="577">
        <f>'Volume and Speed'!P258</f>
        <v>13172.685501389058</v>
      </c>
      <c r="R55" s="577">
        <f>'Volume and Speed'!Q258</f>
        <v>13935.487248994046</v>
      </c>
      <c r="S55" s="577">
        <f>'Volume and Speed'!R258</f>
        <v>14697.71673957955</v>
      </c>
      <c r="T55" s="577">
        <f>'Volume and Speed'!S258</f>
        <v>15460.093762521028</v>
      </c>
      <c r="U55" s="577">
        <f>'Volume and Speed'!T258</f>
        <v>16223.117980148212</v>
      </c>
      <c r="V55" s="577">
        <f>'Volume and Speed'!U258</f>
        <v>16732.266679989007</v>
      </c>
      <c r="W55" s="577">
        <f>'Volume and Speed'!V258</f>
        <v>17035.688797979175</v>
      </c>
      <c r="X55" s="577">
        <f>'Volume and Speed'!W258</f>
        <v>17339.111322810615</v>
      </c>
      <c r="Y55" s="577">
        <f>'Volume and Speed'!X258</f>
        <v>17642.534324528846</v>
      </c>
      <c r="Z55" s="577">
        <f>'Volume and Speed'!Y258</f>
        <v>17946.134096546943</v>
      </c>
      <c r="AA55" s="577">
        <f>'Volume and Speed'!Z258</f>
        <v>18249.558305966853</v>
      </c>
      <c r="AB55" s="577">
        <f>'Volume and Speed'!AA258</f>
        <v>18553.159484858144</v>
      </c>
      <c r="AC55" s="577">
        <f>'Volume and Speed'!AB258</f>
        <v>18856.585327137323</v>
      </c>
      <c r="AD55" s="577">
        <f>'Volume and Speed'!AC258</f>
        <v>19160.012183827504</v>
      </c>
      <c r="AE55" s="577">
        <f>'Volume and Speed'!AD258</f>
        <v>19463.61642725009</v>
      </c>
      <c r="AF55" s="577">
        <f>'Volume and Speed'!AE258</f>
        <v>19767.045804755748</v>
      </c>
      <c r="AG55" s="577">
        <f>'Volume and Speed'!AF258</f>
        <v>20070.476732709874</v>
      </c>
      <c r="AH55" s="752">
        <f>'Volume and Speed'!AG258</f>
        <v>20374.085657424625</v>
      </c>
      <c r="AI55" s="18"/>
      <c r="AJ55" s="18"/>
      <c r="AK55" s="18"/>
      <c r="AL55" s="18"/>
      <c r="AM55" s="18"/>
      <c r="AN55" s="18"/>
    </row>
    <row r="56" spans="2:41" ht="21.95" customHeight="1" x14ac:dyDescent="0.2">
      <c r="B56" s="232"/>
      <c r="C56" s="715"/>
      <c r="D56" s="715"/>
      <c r="E56" s="116"/>
      <c r="F56" s="116" t="s">
        <v>350</v>
      </c>
      <c r="G56" s="116" t="s">
        <v>280</v>
      </c>
      <c r="H56" s="577" t="s">
        <v>23</v>
      </c>
      <c r="I56" s="577">
        <f>'Volume and Speed'!H259</f>
        <v>60064.136465598429</v>
      </c>
      <c r="J56" s="577">
        <f>'Volume and Speed'!I259</f>
        <v>62132.645227186324</v>
      </c>
      <c r="K56" s="577">
        <f>'Volume and Speed'!J259</f>
        <v>64440.409471085368</v>
      </c>
      <c r="L56" s="577">
        <f>'Volume and Speed'!K259</f>
        <v>68471.814244865018</v>
      </c>
      <c r="M56" s="577">
        <f>'Volume and Speed'!L259</f>
        <v>72505.621618125049</v>
      </c>
      <c r="N56" s="577">
        <f>'Volume and Speed'!M259</f>
        <v>76538.027551602223</v>
      </c>
      <c r="O56" s="577">
        <f>'Volume and Speed'!N259</f>
        <v>80569.432508266211</v>
      </c>
      <c r="P56" s="577">
        <f>'Volume and Speed'!O259</f>
        <v>84604.941994095308</v>
      </c>
      <c r="Q56" s="577">
        <f>'Volume and Speed'!P259</f>
        <v>89802.292549359641</v>
      </c>
      <c r="R56" s="577">
        <f>'Volume and Speed'!Q259</f>
        <v>95002.546853268796</v>
      </c>
      <c r="S56" s="577">
        <f>'Volume and Speed'!R259</f>
        <v>100198.89805967978</v>
      </c>
      <c r="T56" s="577">
        <f>'Volume and Speed'!S259</f>
        <v>105396.25206447215</v>
      </c>
      <c r="U56" s="577">
        <f>'Volume and Speed'!T259</f>
        <v>110598.01350153459</v>
      </c>
      <c r="V56" s="577">
        <f>'Volume and Speed'!U259</f>
        <v>114069.02673592247</v>
      </c>
      <c r="W56" s="577">
        <f>'Volume and Speed'!V259</f>
        <v>116137.5407189542</v>
      </c>
      <c r="X56" s="577">
        <f>'Volume and Speed'!W259</f>
        <v>118206.05572147173</v>
      </c>
      <c r="Y56" s="577">
        <f>'Volume and Speed'!X259</f>
        <v>120274.57191899909</v>
      </c>
      <c r="Z56" s="577">
        <f>'Volume and Speed'!Y259</f>
        <v>122344.29080169319</v>
      </c>
      <c r="AA56" s="577">
        <f>'Volume and Speed'!Z259</f>
        <v>124412.81002554749</v>
      </c>
      <c r="AB56" s="577">
        <f>'Volume and Speed'!AA259</f>
        <v>126482.53243366377</v>
      </c>
      <c r="AC56" s="577">
        <f>'Volume and Speed'!AB259</f>
        <v>128551.05574922892</v>
      </c>
      <c r="AD56" s="577">
        <f>'Volume and Speed'!AC259</f>
        <v>130619.58160676232</v>
      </c>
      <c r="AE56" s="577">
        <f>'Volume and Speed'!AD259</f>
        <v>132689.31169415393</v>
      </c>
      <c r="AF56" s="577">
        <f>'Volume and Speed'!AE259</f>
        <v>134757.84386848891</v>
      </c>
      <c r="AG56" s="577">
        <f>'Volume and Speed'!AF259</f>
        <v>136826.37992802507</v>
      </c>
      <c r="AH56" s="752">
        <f>'Volume and Speed'!AG259</f>
        <v>138896.1217460625</v>
      </c>
      <c r="AI56" s="18"/>
      <c r="AJ56" s="18"/>
      <c r="AK56" s="18"/>
      <c r="AL56" s="18"/>
      <c r="AM56" s="18"/>
      <c r="AN56" s="18"/>
    </row>
    <row r="57" spans="2:41" ht="21.95" customHeight="1" thickBot="1" x14ac:dyDescent="0.25">
      <c r="B57" s="232"/>
      <c r="C57" s="715"/>
      <c r="D57" s="715"/>
      <c r="E57" s="116"/>
      <c r="F57" s="116" t="s">
        <v>280</v>
      </c>
      <c r="G57" s="116" t="s">
        <v>333</v>
      </c>
      <c r="H57" s="577" t="s">
        <v>23</v>
      </c>
      <c r="I57" s="577">
        <f>'Volume and Speed'!H260</f>
        <v>1500.0830564292053</v>
      </c>
      <c r="J57" s="577">
        <f>'Volume and Speed'!I260</f>
        <v>1551.7437752912656</v>
      </c>
      <c r="K57" s="577">
        <f>'Volume and Speed'!J260</f>
        <v>1609.3800495227442</v>
      </c>
      <c r="L57" s="577">
        <f>'Volume and Speed'!K260</f>
        <v>1710.0648363691214</v>
      </c>
      <c r="M57" s="577">
        <f>'Volume and Speed'!L260</f>
        <v>1810.8110437986652</v>
      </c>
      <c r="N57" s="577">
        <f>'Volume and Speed'!M260</f>
        <v>1911.5246127112996</v>
      </c>
      <c r="O57" s="577">
        <f>'Volume and Speed'!N260</f>
        <v>2012.2170180552548</v>
      </c>
      <c r="P57" s="577">
        <f>'Volume and Speed'!O260</f>
        <v>2113.018032168542</v>
      </c>
      <c r="Q57" s="577">
        <f>'Volume and Speed'!P260</f>
        <v>2242.8546654303955</v>
      </c>
      <c r="R57" s="577">
        <f>'Volume and Speed'!Q260</f>
        <v>2372.7908265518699</v>
      </c>
      <c r="S57" s="577">
        <f>'Volume and Speed'!R260</f>
        <v>2502.6741129155048</v>
      </c>
      <c r="T57" s="577">
        <f>'Volume and Speed'!S260</f>
        <v>2632.6544447469569</v>
      </c>
      <c r="U57" s="577">
        <f>'Volume and Speed'!T260</f>
        <v>2762.8584629255365</v>
      </c>
      <c r="V57" s="577">
        <f>'Volume and Speed'!U260</f>
        <v>2849.8329880862361</v>
      </c>
      <c r="W57" s="577">
        <f>'Volume and Speed'!V260</f>
        <v>2901.7112190266398</v>
      </c>
      <c r="X57" s="577">
        <f>'Volume and Speed'!W260</f>
        <v>2953.6319191542279</v>
      </c>
      <c r="Y57" s="577">
        <f>'Volume and Speed'!X260</f>
        <v>3005.6024003527627</v>
      </c>
      <c r="Z57" s="577">
        <f>'Volume and Speed'!Y260</f>
        <v>3057.6613051908512</v>
      </c>
      <c r="AA57" s="577">
        <f>'Volume and Speed'!Z260</f>
        <v>3109.7578554788602</v>
      </c>
      <c r="AB57" s="577">
        <f>'Volume and Speed'!AA260</f>
        <v>3161.9636204442731</v>
      </c>
      <c r="AC57" s="577">
        <f>'Volume and Speed'!AB260</f>
        <v>3214.2306210040351</v>
      </c>
      <c r="AD57" s="577">
        <f>'Volume and Speed'!AC260</f>
        <v>3266.603513501359</v>
      </c>
      <c r="AE57" s="577">
        <f>'Volume and Speed'!AD260</f>
        <v>3319.1291775564114</v>
      </c>
      <c r="AF57" s="577">
        <f>'Volume and Speed'!AE260</f>
        <v>3371.7652119500112</v>
      </c>
      <c r="AG57" s="577">
        <f>'Volume and Speed'!AF260</f>
        <v>3424.5630939496477</v>
      </c>
      <c r="AH57" s="752">
        <f>'Volume and Speed'!AG260</f>
        <v>3477.577426893617</v>
      </c>
      <c r="AI57" s="18"/>
      <c r="AJ57" s="18"/>
      <c r="AK57" s="18"/>
      <c r="AL57" s="18"/>
      <c r="AM57" s="18"/>
      <c r="AN57" s="18"/>
    </row>
    <row r="58" spans="2:41" ht="21.95" customHeight="1" thickBot="1" x14ac:dyDescent="0.25">
      <c r="B58" s="488"/>
      <c r="C58" s="756"/>
      <c r="D58" s="756"/>
      <c r="E58" s="731"/>
      <c r="F58" s="731"/>
      <c r="G58" s="731"/>
      <c r="H58" s="757" t="s">
        <v>514</v>
      </c>
      <c r="I58" s="757">
        <f t="shared" ref="I58:AH58" si="0">SUM(I29:I49)+SUM(I51:I57)</f>
        <v>1761514.4506688199</v>
      </c>
      <c r="J58" s="757">
        <f t="shared" si="0"/>
        <v>1825252.6515050544</v>
      </c>
      <c r="K58" s="757">
        <f t="shared" si="0"/>
        <v>1946566.9821539307</v>
      </c>
      <c r="L58" s="757">
        <f t="shared" si="0"/>
        <v>2139433.8594783749</v>
      </c>
      <c r="M58" s="757">
        <f t="shared" si="0"/>
        <v>2341136.0053552203</v>
      </c>
      <c r="N58" s="757">
        <f t="shared" si="0"/>
        <v>2585525.0565653988</v>
      </c>
      <c r="O58" s="757">
        <f t="shared" si="0"/>
        <v>3006035.6014337428</v>
      </c>
      <c r="P58" s="757">
        <f t="shared" si="0"/>
        <v>3258739.83665318</v>
      </c>
      <c r="Q58" s="757">
        <f t="shared" si="0"/>
        <v>3563166.6055430579</v>
      </c>
      <c r="R58" s="757">
        <f t="shared" si="0"/>
        <v>3892858.9095445196</v>
      </c>
      <c r="S58" s="757">
        <f t="shared" si="0"/>
        <v>4249373.9551123362</v>
      </c>
      <c r="T58" s="757">
        <f t="shared" si="0"/>
        <v>4522025.0267501548</v>
      </c>
      <c r="U58" s="757">
        <f t="shared" si="0"/>
        <v>4830652.829837257</v>
      </c>
      <c r="V58" s="757">
        <f t="shared" si="0"/>
        <v>5007396.5046886746</v>
      </c>
      <c r="W58" s="757">
        <f t="shared" si="0"/>
        <v>5107039.6704566153</v>
      </c>
      <c r="X58" s="757">
        <f t="shared" si="0"/>
        <v>5206123.358980149</v>
      </c>
      <c r="Y58" s="757">
        <f t="shared" si="0"/>
        <v>5307949.7033159761</v>
      </c>
      <c r="Z58" s="757">
        <f t="shared" si="0"/>
        <v>5413018.9032881847</v>
      </c>
      <c r="AA58" s="757">
        <f t="shared" si="0"/>
        <v>5521713.7227717424</v>
      </c>
      <c r="AB58" s="757">
        <f t="shared" si="0"/>
        <v>5634691.5071737655</v>
      </c>
      <c r="AC58" s="757">
        <f t="shared" si="0"/>
        <v>5752490.1482347418</v>
      </c>
      <c r="AD58" s="757">
        <f t="shared" si="0"/>
        <v>5875859.5780953523</v>
      </c>
      <c r="AE58" s="757">
        <f t="shared" si="0"/>
        <v>6005682.9172983486</v>
      </c>
      <c r="AF58" s="757">
        <f t="shared" si="0"/>
        <v>6142818.2308385577</v>
      </c>
      <c r="AG58" s="757">
        <f t="shared" si="0"/>
        <v>6288253.6556296153</v>
      </c>
      <c r="AH58" s="758">
        <f t="shared" si="0"/>
        <v>6443301.4516078532</v>
      </c>
      <c r="AI58" s="18"/>
      <c r="AJ58" s="18"/>
      <c r="AK58" s="18"/>
      <c r="AL58" s="18"/>
      <c r="AM58" s="18"/>
      <c r="AN58" s="18"/>
    </row>
    <row r="59" spans="2:41" ht="21.95" customHeight="1" thickBot="1" x14ac:dyDescent="0.25">
      <c r="B59" s="9"/>
      <c r="C59" s="9"/>
      <c r="D59" s="9"/>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18"/>
      <c r="AJ59" s="18"/>
      <c r="AK59" s="18"/>
      <c r="AL59" s="18"/>
      <c r="AM59" s="18"/>
      <c r="AN59" s="18"/>
    </row>
    <row r="60" spans="2:41" s="7" customFormat="1" ht="21.95" customHeight="1" thickBot="1" x14ac:dyDescent="0.25">
      <c r="B60" s="234"/>
      <c r="C60" s="485" t="s">
        <v>2</v>
      </c>
      <c r="D60" s="485"/>
      <c r="E60" s="485" t="s">
        <v>328</v>
      </c>
      <c r="F60" s="1338" t="s">
        <v>18</v>
      </c>
      <c r="G60" s="1338"/>
      <c r="H60" s="485" t="s">
        <v>24</v>
      </c>
      <c r="I60" s="763">
        <v>2023</v>
      </c>
      <c r="J60" s="763">
        <v>2024</v>
      </c>
      <c r="K60" s="763">
        <v>2025</v>
      </c>
      <c r="L60" s="763">
        <v>2026</v>
      </c>
      <c r="M60" s="763">
        <v>2027</v>
      </c>
      <c r="N60" s="763">
        <v>2028</v>
      </c>
      <c r="O60" s="763">
        <v>2029</v>
      </c>
      <c r="P60" s="763">
        <v>2030</v>
      </c>
      <c r="Q60" s="763">
        <v>2031</v>
      </c>
      <c r="R60" s="763">
        <v>2032</v>
      </c>
      <c r="S60" s="763">
        <v>2033</v>
      </c>
      <c r="T60" s="763">
        <v>2034</v>
      </c>
      <c r="U60" s="763">
        <v>2035</v>
      </c>
      <c r="V60" s="763">
        <v>2036</v>
      </c>
      <c r="W60" s="763">
        <v>2037</v>
      </c>
      <c r="X60" s="763">
        <v>2038</v>
      </c>
      <c r="Y60" s="763">
        <v>2039</v>
      </c>
      <c r="Z60" s="763">
        <v>2040</v>
      </c>
      <c r="AA60" s="763">
        <v>2041</v>
      </c>
      <c r="AB60" s="763">
        <v>2042</v>
      </c>
      <c r="AC60" s="763">
        <v>2043</v>
      </c>
      <c r="AD60" s="763">
        <v>2044</v>
      </c>
      <c r="AE60" s="763">
        <v>2045</v>
      </c>
      <c r="AF60" s="763">
        <v>2046</v>
      </c>
      <c r="AG60" s="763">
        <v>2047</v>
      </c>
      <c r="AH60" s="762">
        <v>2048</v>
      </c>
      <c r="AI60" s="484"/>
      <c r="AJ60" s="484"/>
      <c r="AK60" s="484"/>
      <c r="AL60" s="484"/>
      <c r="AM60" s="484"/>
      <c r="AN60" s="484"/>
      <c r="AO60" s="484"/>
    </row>
    <row r="61" spans="2:41" ht="21.95" customHeight="1" x14ac:dyDescent="0.2">
      <c r="B61" s="199" t="s">
        <v>212</v>
      </c>
      <c r="C61" s="116" t="s">
        <v>156</v>
      </c>
      <c r="D61" s="240" t="s">
        <v>23</v>
      </c>
      <c r="E61" s="1339" t="s">
        <v>331</v>
      </c>
      <c r="F61" s="116" t="s">
        <v>332</v>
      </c>
      <c r="G61" s="116" t="s">
        <v>282</v>
      </c>
      <c r="H61" s="116" t="s">
        <v>20</v>
      </c>
      <c r="I61" s="577">
        <f t="shared" ref="I61:AH61" si="1">I29*$C$20</f>
        <v>1700.4212426444767</v>
      </c>
      <c r="J61" s="577">
        <f t="shared" si="1"/>
        <v>1778.6532073655335</v>
      </c>
      <c r="K61" s="577">
        <f t="shared" si="1"/>
        <v>1888.5105700190165</v>
      </c>
      <c r="L61" s="577">
        <f t="shared" si="1"/>
        <v>2049.6776541852241</v>
      </c>
      <c r="M61" s="577">
        <f t="shared" si="1"/>
        <v>2210.9213706611877</v>
      </c>
      <c r="N61" s="577">
        <f t="shared" si="1"/>
        <v>2372.2061502103215</v>
      </c>
      <c r="O61" s="577">
        <f t="shared" si="1"/>
        <v>2533.4941676439776</v>
      </c>
      <c r="P61" s="577">
        <f t="shared" si="1"/>
        <v>2695.0253523059459</v>
      </c>
      <c r="Q61" s="577">
        <f t="shared" si="1"/>
        <v>2854.8570439343675</v>
      </c>
      <c r="R61" s="577">
        <f t="shared" si="1"/>
        <v>3015.0639678925791</v>
      </c>
      <c r="S61" s="577">
        <f t="shared" si="1"/>
        <v>3175.7974659115612</v>
      </c>
      <c r="T61" s="577">
        <f t="shared" si="1"/>
        <v>3337.4177561852057</v>
      </c>
      <c r="U61" s="577">
        <f t="shared" si="1"/>
        <v>3500.5457262948539</v>
      </c>
      <c r="V61" s="577">
        <f t="shared" si="1"/>
        <v>3612.1468951694274</v>
      </c>
      <c r="W61" s="577">
        <f t="shared" si="1"/>
        <v>3693.7432184305944</v>
      </c>
      <c r="X61" s="577">
        <f t="shared" si="1"/>
        <v>3776.1372026494014</v>
      </c>
      <c r="Y61" s="577">
        <f t="shared" si="1"/>
        <v>3859.4951176563968</v>
      </c>
      <c r="Z61" s="577">
        <f t="shared" si="1"/>
        <v>3944.0480536891273</v>
      </c>
      <c r="AA61" s="577">
        <f t="shared" si="1"/>
        <v>4029.9583753882198</v>
      </c>
      <c r="AB61" s="577">
        <f t="shared" si="1"/>
        <v>4117.5676069208275</v>
      </c>
      <c r="AC61" s="577">
        <f t="shared" si="1"/>
        <v>4207.1217680610562</v>
      </c>
      <c r="AD61" s="577">
        <f t="shared" si="1"/>
        <v>4299.0262160447537</v>
      </c>
      <c r="AE61" s="577">
        <f t="shared" si="1"/>
        <v>4393.7504315219403</v>
      </c>
      <c r="AF61" s="577">
        <f t="shared" si="1"/>
        <v>4491.7163258151986</v>
      </c>
      <c r="AG61" s="577">
        <f t="shared" si="1"/>
        <v>4593.5388742378027</v>
      </c>
      <c r="AH61" s="752">
        <f t="shared" si="1"/>
        <v>4699.9279557183536</v>
      </c>
      <c r="AI61" s="18"/>
      <c r="AJ61" s="18"/>
      <c r="AK61" s="18"/>
      <c r="AL61" s="18"/>
      <c r="AM61" s="18"/>
      <c r="AN61" s="18"/>
    </row>
    <row r="62" spans="2:41" ht="21.95" customHeight="1" x14ac:dyDescent="0.2">
      <c r="B62" s="486" t="s">
        <v>186</v>
      </c>
      <c r="C62" s="116"/>
      <c r="D62" s="240"/>
      <c r="E62" s="1339"/>
      <c r="F62" s="116"/>
      <c r="G62" s="116"/>
      <c r="H62" s="124" t="s">
        <v>19</v>
      </c>
      <c r="I62" s="577">
        <f t="shared" ref="I62:AH62" si="2">I29*$C$21</f>
        <v>6028.7662239213269</v>
      </c>
      <c r="J62" s="577">
        <f t="shared" si="2"/>
        <v>6306.1340988414368</v>
      </c>
      <c r="K62" s="577">
        <f t="shared" si="2"/>
        <v>6695.6283846128772</v>
      </c>
      <c r="L62" s="577">
        <f t="shared" si="2"/>
        <v>7267.0389557476128</v>
      </c>
      <c r="M62" s="577">
        <f t="shared" si="2"/>
        <v>7838.7212232533029</v>
      </c>
      <c r="N62" s="577">
        <f t="shared" si="2"/>
        <v>8410.5490780184136</v>
      </c>
      <c r="O62" s="577">
        <f t="shared" si="2"/>
        <v>8982.3884125559198</v>
      </c>
      <c r="P62" s="577">
        <f t="shared" si="2"/>
        <v>9555.0898854483548</v>
      </c>
      <c r="Q62" s="577">
        <f t="shared" si="2"/>
        <v>10121.765883040031</v>
      </c>
      <c r="R62" s="577">
        <f t="shared" si="2"/>
        <v>10689.772249800963</v>
      </c>
      <c r="S62" s="577">
        <f t="shared" si="2"/>
        <v>11259.645560959172</v>
      </c>
      <c r="T62" s="577">
        <f t="shared" si="2"/>
        <v>11832.662953747549</v>
      </c>
      <c r="U62" s="577">
        <f t="shared" si="2"/>
        <v>12411.025756863573</v>
      </c>
      <c r="V62" s="577">
        <f t="shared" si="2"/>
        <v>12806.70262832797</v>
      </c>
      <c r="W62" s="577">
        <f t="shared" si="2"/>
        <v>13095.998683526654</v>
      </c>
      <c r="X62" s="577">
        <f t="shared" si="2"/>
        <v>13388.122809393333</v>
      </c>
      <c r="Y62" s="577">
        <f t="shared" si="2"/>
        <v>13683.664508054499</v>
      </c>
      <c r="Z62" s="577">
        <f t="shared" si="2"/>
        <v>13983.44309944327</v>
      </c>
      <c r="AA62" s="577">
        <f t="shared" si="2"/>
        <v>14288.034240012779</v>
      </c>
      <c r="AB62" s="577">
        <f t="shared" si="2"/>
        <v>14598.648788173843</v>
      </c>
      <c r="AC62" s="577">
        <f t="shared" si="2"/>
        <v>14916.158995852837</v>
      </c>
      <c r="AD62" s="577">
        <f t="shared" si="2"/>
        <v>15242.00203870413</v>
      </c>
      <c r="AE62" s="577">
        <f t="shared" si="2"/>
        <v>15577.842439032336</v>
      </c>
      <c r="AF62" s="577">
        <f t="shared" si="2"/>
        <v>15925.176064253885</v>
      </c>
      <c r="AG62" s="577">
        <f t="shared" si="2"/>
        <v>16286.183281388574</v>
      </c>
      <c r="AH62" s="752">
        <f t="shared" si="2"/>
        <v>16663.380933910525</v>
      </c>
      <c r="AI62" s="18"/>
      <c r="AJ62" s="18"/>
      <c r="AK62" s="18"/>
      <c r="AL62" s="18"/>
      <c r="AM62" s="18"/>
      <c r="AN62" s="18"/>
    </row>
    <row r="63" spans="2:41" ht="21.95" customHeight="1" x14ac:dyDescent="0.2">
      <c r="B63" s="199"/>
      <c r="C63" s="116"/>
      <c r="D63" s="240"/>
      <c r="E63" s="1339"/>
      <c r="F63" s="116"/>
      <c r="G63" s="116"/>
      <c r="H63" s="720" t="s">
        <v>25</v>
      </c>
      <c r="I63" s="577">
        <f t="shared" ref="I63:AH63" si="3">SUM(I61:I62)</f>
        <v>7729.1874665658033</v>
      </c>
      <c r="J63" s="577">
        <f t="shared" si="3"/>
        <v>8084.7873062069702</v>
      </c>
      <c r="K63" s="577">
        <f t="shared" si="3"/>
        <v>8584.1389546318933</v>
      </c>
      <c r="L63" s="577">
        <f t="shared" si="3"/>
        <v>9316.7166099328369</v>
      </c>
      <c r="M63" s="577">
        <f t="shared" si="3"/>
        <v>10049.64259391449</v>
      </c>
      <c r="N63" s="577">
        <f t="shared" si="3"/>
        <v>10782.755228228736</v>
      </c>
      <c r="O63" s="577">
        <f t="shared" si="3"/>
        <v>11515.882580199897</v>
      </c>
      <c r="P63" s="577">
        <f t="shared" si="3"/>
        <v>12250.1152377543</v>
      </c>
      <c r="Q63" s="577">
        <f t="shared" si="3"/>
        <v>12976.622926974398</v>
      </c>
      <c r="R63" s="577">
        <f t="shared" si="3"/>
        <v>13704.836217693541</v>
      </c>
      <c r="S63" s="577">
        <f t="shared" si="3"/>
        <v>14435.443026870733</v>
      </c>
      <c r="T63" s="577">
        <f t="shared" si="3"/>
        <v>15170.080709932754</v>
      </c>
      <c r="U63" s="577">
        <f t="shared" si="3"/>
        <v>15911.571483158426</v>
      </c>
      <c r="V63" s="577">
        <f t="shared" si="3"/>
        <v>16418.849523497396</v>
      </c>
      <c r="W63" s="577">
        <f t="shared" si="3"/>
        <v>16789.741901957248</v>
      </c>
      <c r="X63" s="577">
        <f t="shared" si="3"/>
        <v>17164.260012042734</v>
      </c>
      <c r="Y63" s="577">
        <f t="shared" si="3"/>
        <v>17543.159625710894</v>
      </c>
      <c r="Z63" s="577">
        <f t="shared" si="3"/>
        <v>17927.491153132396</v>
      </c>
      <c r="AA63" s="577">
        <f t="shared" si="3"/>
        <v>18317.992615400999</v>
      </c>
      <c r="AB63" s="577">
        <f t="shared" si="3"/>
        <v>18716.216395094671</v>
      </c>
      <c r="AC63" s="577">
        <f t="shared" si="3"/>
        <v>19123.280763913892</v>
      </c>
      <c r="AD63" s="577">
        <f t="shared" si="3"/>
        <v>19541.028254748882</v>
      </c>
      <c r="AE63" s="577">
        <f t="shared" si="3"/>
        <v>19971.592870554276</v>
      </c>
      <c r="AF63" s="577">
        <f t="shared" si="3"/>
        <v>20416.892390069082</v>
      </c>
      <c r="AG63" s="577">
        <f t="shared" si="3"/>
        <v>20879.722155626376</v>
      </c>
      <c r="AH63" s="752">
        <f t="shared" si="3"/>
        <v>21363.308889628879</v>
      </c>
      <c r="AI63" s="18"/>
      <c r="AJ63" s="18"/>
      <c r="AK63" s="18"/>
      <c r="AL63" s="18"/>
      <c r="AM63" s="18"/>
      <c r="AN63" s="18"/>
    </row>
    <row r="64" spans="2:41" ht="21.95" customHeight="1" x14ac:dyDescent="0.2">
      <c r="B64" s="197"/>
      <c r="C64" s="715"/>
      <c r="D64" s="715"/>
      <c r="E64" s="1339"/>
      <c r="F64" s="116" t="s">
        <v>282</v>
      </c>
      <c r="G64" s="116" t="s">
        <v>280</v>
      </c>
      <c r="H64" s="116" t="s">
        <v>20</v>
      </c>
      <c r="I64" s="577">
        <f t="shared" ref="I64:AH64" si="4">I30*$C$20</f>
        <v>54677.558406391247</v>
      </c>
      <c r="J64" s="577">
        <f t="shared" si="4"/>
        <v>57706.507261767933</v>
      </c>
      <c r="K64" s="577">
        <f t="shared" si="4"/>
        <v>61219.065004867691</v>
      </c>
      <c r="L64" s="577">
        <f t="shared" si="4"/>
        <v>67773.420445266951</v>
      </c>
      <c r="M64" s="577">
        <f t="shared" si="4"/>
        <v>74330.429989115233</v>
      </c>
      <c r="N64" s="577">
        <f t="shared" si="4"/>
        <v>80889.164294531976</v>
      </c>
      <c r="O64" s="577">
        <f t="shared" si="4"/>
        <v>87445.334985503025</v>
      </c>
      <c r="P64" s="577">
        <f t="shared" si="4"/>
        <v>94009.95811879744</v>
      </c>
      <c r="Q64" s="577">
        <f t="shared" si="4"/>
        <v>101797.23601646027</v>
      </c>
      <c r="R64" s="577">
        <f t="shared" si="4"/>
        <v>109598.74164640588</v>
      </c>
      <c r="S64" s="577">
        <f t="shared" si="4"/>
        <v>117421.17230738516</v>
      </c>
      <c r="T64" s="577">
        <f t="shared" si="4"/>
        <v>125286.36588563808</v>
      </c>
      <c r="U64" s="577">
        <f t="shared" si="4"/>
        <v>133235.42329979717</v>
      </c>
      <c r="V64" s="577">
        <f t="shared" si="4"/>
        <v>138125.86166994754</v>
      </c>
      <c r="W64" s="577">
        <f t="shared" si="4"/>
        <v>141289.65972479476</v>
      </c>
      <c r="X64" s="577">
        <f t="shared" si="4"/>
        <v>144485.85205111379</v>
      </c>
      <c r="Y64" s="577">
        <f t="shared" si="4"/>
        <v>147721.28212565181</v>
      </c>
      <c r="Z64" s="577">
        <f t="shared" si="4"/>
        <v>151006.26136638591</v>
      </c>
      <c r="AA64" s="577">
        <f t="shared" si="4"/>
        <v>154345.958026821</v>
      </c>
      <c r="AB64" s="577">
        <f t="shared" si="4"/>
        <v>157756.08391086481</v>
      </c>
      <c r="AC64" s="577">
        <f t="shared" si="4"/>
        <v>161245.24881160873</v>
      </c>
      <c r="AD64" s="577">
        <f t="shared" si="4"/>
        <v>164831.07993007978</v>
      </c>
      <c r="AE64" s="577">
        <f t="shared" si="4"/>
        <v>168533.99895507385</v>
      </c>
      <c r="AF64" s="577">
        <f t="shared" si="4"/>
        <v>172369.86495394964</v>
      </c>
      <c r="AG64" s="577">
        <f t="shared" si="4"/>
        <v>176365.1981649645</v>
      </c>
      <c r="AH64" s="752">
        <f t="shared" si="4"/>
        <v>180550.68806185378</v>
      </c>
      <c r="AI64" s="18"/>
      <c r="AJ64" s="18"/>
      <c r="AK64" s="18"/>
      <c r="AL64" s="18"/>
      <c r="AM64" s="18"/>
      <c r="AN64" s="18"/>
    </row>
    <row r="65" spans="2:40" ht="21.95" customHeight="1" x14ac:dyDescent="0.2">
      <c r="B65" s="486"/>
      <c r="C65" s="715"/>
      <c r="D65" s="715"/>
      <c r="E65" s="1339"/>
      <c r="F65" s="116"/>
      <c r="G65" s="116"/>
      <c r="H65" s="124" t="s">
        <v>19</v>
      </c>
      <c r="I65" s="577">
        <f t="shared" ref="I65:AH65" si="5">I30*$C$21</f>
        <v>193856.79798629624</v>
      </c>
      <c r="J65" s="577">
        <f t="shared" si="5"/>
        <v>204595.79847354087</v>
      </c>
      <c r="K65" s="577">
        <f t="shared" si="5"/>
        <v>217049.41228998546</v>
      </c>
      <c r="L65" s="577">
        <f t="shared" si="5"/>
        <v>240287.58157867374</v>
      </c>
      <c r="M65" s="577">
        <f t="shared" si="5"/>
        <v>263535.1608704995</v>
      </c>
      <c r="N65" s="577">
        <f t="shared" si="5"/>
        <v>286788.85522606794</v>
      </c>
      <c r="O65" s="577">
        <f t="shared" si="5"/>
        <v>310033.4604031471</v>
      </c>
      <c r="P65" s="577">
        <f t="shared" si="5"/>
        <v>333308.03333028185</v>
      </c>
      <c r="Q65" s="577">
        <f t="shared" si="5"/>
        <v>360917.47314926825</v>
      </c>
      <c r="R65" s="577">
        <f t="shared" si="5"/>
        <v>388577.35674634814</v>
      </c>
      <c r="S65" s="577">
        <f t="shared" si="5"/>
        <v>416311.42908982013</v>
      </c>
      <c r="T65" s="577">
        <f t="shared" si="5"/>
        <v>444197.11541271687</v>
      </c>
      <c r="U65" s="577">
        <f t="shared" si="5"/>
        <v>472380.13715382636</v>
      </c>
      <c r="V65" s="577">
        <f t="shared" si="5"/>
        <v>489718.96410254133</v>
      </c>
      <c r="W65" s="577">
        <f t="shared" si="5"/>
        <v>500936.06629699963</v>
      </c>
      <c r="X65" s="577">
        <f t="shared" si="5"/>
        <v>512268.02090849431</v>
      </c>
      <c r="Y65" s="577">
        <f t="shared" si="5"/>
        <v>523739.09117276553</v>
      </c>
      <c r="Z65" s="577">
        <f t="shared" si="5"/>
        <v>535385.83575355005</v>
      </c>
      <c r="AA65" s="577">
        <f t="shared" si="5"/>
        <v>547226.57845872897</v>
      </c>
      <c r="AB65" s="577">
        <f t="shared" si="5"/>
        <v>559317.02477488434</v>
      </c>
      <c r="AC65" s="577">
        <f t="shared" si="5"/>
        <v>571687.70033206732</v>
      </c>
      <c r="AD65" s="577">
        <f t="shared" si="5"/>
        <v>584401.10157028283</v>
      </c>
      <c r="AE65" s="577">
        <f t="shared" si="5"/>
        <v>597529.63265889825</v>
      </c>
      <c r="AF65" s="577">
        <f t="shared" si="5"/>
        <v>611129.52120036702</v>
      </c>
      <c r="AG65" s="577">
        <f t="shared" si="5"/>
        <v>625294.79349396506</v>
      </c>
      <c r="AH65" s="752">
        <f t="shared" si="5"/>
        <v>640134.25767384528</v>
      </c>
      <c r="AI65" s="18"/>
      <c r="AJ65" s="18"/>
      <c r="AK65" s="18"/>
      <c r="AL65" s="18"/>
      <c r="AM65" s="18"/>
      <c r="AN65" s="18"/>
    </row>
    <row r="66" spans="2:40" ht="21.95" customHeight="1" x14ac:dyDescent="0.2">
      <c r="B66" s="486"/>
      <c r="C66" s="715"/>
      <c r="D66" s="715"/>
      <c r="E66" s="1339"/>
      <c r="F66" s="116"/>
      <c r="G66" s="116"/>
      <c r="H66" s="720" t="s">
        <v>25</v>
      </c>
      <c r="I66" s="577">
        <f t="shared" ref="I66:AH66" si="6">SUM(I64:I65)</f>
        <v>248534.35639268748</v>
      </c>
      <c r="J66" s="577">
        <f t="shared" si="6"/>
        <v>262302.30573530879</v>
      </c>
      <c r="K66" s="577">
        <f t="shared" si="6"/>
        <v>278268.47729485313</v>
      </c>
      <c r="L66" s="577">
        <f t="shared" si="6"/>
        <v>308061.00202394067</v>
      </c>
      <c r="M66" s="577">
        <f t="shared" si="6"/>
        <v>337865.59085961472</v>
      </c>
      <c r="N66" s="577">
        <f t="shared" si="6"/>
        <v>367678.01952059992</v>
      </c>
      <c r="O66" s="577">
        <f t="shared" si="6"/>
        <v>397478.79538865015</v>
      </c>
      <c r="P66" s="577">
        <f t="shared" si="6"/>
        <v>427317.9914490793</v>
      </c>
      <c r="Q66" s="577">
        <f t="shared" si="6"/>
        <v>462714.70916572853</v>
      </c>
      <c r="R66" s="577">
        <f t="shared" si="6"/>
        <v>498176.09839275404</v>
      </c>
      <c r="S66" s="577">
        <f t="shared" si="6"/>
        <v>533732.60139720526</v>
      </c>
      <c r="T66" s="577">
        <f t="shared" si="6"/>
        <v>569483.48129835492</v>
      </c>
      <c r="U66" s="577">
        <f t="shared" si="6"/>
        <v>605615.56045362353</v>
      </c>
      <c r="V66" s="577">
        <f t="shared" si="6"/>
        <v>627844.82577248884</v>
      </c>
      <c r="W66" s="577">
        <f t="shared" si="6"/>
        <v>642225.72602179437</v>
      </c>
      <c r="X66" s="577">
        <f t="shared" si="6"/>
        <v>656753.8729596081</v>
      </c>
      <c r="Y66" s="577">
        <f t="shared" si="6"/>
        <v>671460.37329841731</v>
      </c>
      <c r="Z66" s="577">
        <f t="shared" si="6"/>
        <v>686392.09711993602</v>
      </c>
      <c r="AA66" s="577">
        <f t="shared" si="6"/>
        <v>701572.53648554999</v>
      </c>
      <c r="AB66" s="577">
        <f t="shared" si="6"/>
        <v>717073.10868574912</v>
      </c>
      <c r="AC66" s="577">
        <f t="shared" si="6"/>
        <v>732932.94914367609</v>
      </c>
      <c r="AD66" s="577">
        <f t="shared" si="6"/>
        <v>749232.18150036258</v>
      </c>
      <c r="AE66" s="577">
        <f t="shared" si="6"/>
        <v>766063.63161397213</v>
      </c>
      <c r="AF66" s="577">
        <f t="shared" si="6"/>
        <v>783499.3861543166</v>
      </c>
      <c r="AG66" s="577">
        <f t="shared" si="6"/>
        <v>801659.9916589295</v>
      </c>
      <c r="AH66" s="752">
        <f t="shared" si="6"/>
        <v>820684.94573569903</v>
      </c>
      <c r="AI66" s="18"/>
      <c r="AJ66" s="18"/>
      <c r="AK66" s="18"/>
      <c r="AL66" s="18"/>
      <c r="AM66" s="18"/>
      <c r="AN66" s="18"/>
    </row>
    <row r="67" spans="2:40" ht="21.95" customHeight="1" x14ac:dyDescent="0.2">
      <c r="B67" s="486"/>
      <c r="C67" s="715"/>
      <c r="D67" s="715"/>
      <c r="E67" s="1339"/>
      <c r="F67" s="116" t="s">
        <v>280</v>
      </c>
      <c r="G67" s="116" t="s">
        <v>333</v>
      </c>
      <c r="H67" s="116" t="s">
        <v>20</v>
      </c>
      <c r="I67" s="577">
        <f t="shared" ref="I67:AH67" si="7">I31*$C$20</f>
        <v>1275.3135971183387</v>
      </c>
      <c r="J67" s="577">
        <f t="shared" si="7"/>
        <v>1328.5686407774845</v>
      </c>
      <c r="K67" s="577">
        <f t="shared" si="7"/>
        <v>1394.4812450225904</v>
      </c>
      <c r="L67" s="577">
        <f t="shared" si="7"/>
        <v>1483.2221679514394</v>
      </c>
      <c r="M67" s="577">
        <f t="shared" si="7"/>
        <v>1571.9952691642604</v>
      </c>
      <c r="N67" s="577">
        <f t="shared" si="7"/>
        <v>1660.7582397871206</v>
      </c>
      <c r="O67" s="577">
        <f t="shared" si="7"/>
        <v>1749.5007679083753</v>
      </c>
      <c r="P67" s="577">
        <f t="shared" si="7"/>
        <v>1838.3083612190908</v>
      </c>
      <c r="Q67" s="577">
        <f t="shared" si="7"/>
        <v>1924.3545952667914</v>
      </c>
      <c r="R67" s="577">
        <f t="shared" si="7"/>
        <v>2010.4355786130086</v>
      </c>
      <c r="S67" s="577">
        <f t="shared" si="7"/>
        <v>2096.488917046308</v>
      </c>
      <c r="T67" s="577">
        <f t="shared" si="7"/>
        <v>2182.5484329747615</v>
      </c>
      <c r="U67" s="577">
        <f t="shared" si="7"/>
        <v>2268.6806040405345</v>
      </c>
      <c r="V67" s="577">
        <f t="shared" si="7"/>
        <v>2331.8894984916137</v>
      </c>
      <c r="W67" s="577">
        <f t="shared" si="7"/>
        <v>2385.17445713095</v>
      </c>
      <c r="X67" s="577">
        <f t="shared" si="7"/>
        <v>2438.4669168699047</v>
      </c>
      <c r="Y67" s="577">
        <f t="shared" si="7"/>
        <v>2491.7685258971296</v>
      </c>
      <c r="Z67" s="577">
        <f t="shared" si="7"/>
        <v>2545.1025275322477</v>
      </c>
      <c r="AA67" s="577">
        <f t="shared" si="7"/>
        <v>2598.4286942828126</v>
      </c>
      <c r="AB67" s="577">
        <f t="shared" si="7"/>
        <v>2651.7923481744269</v>
      </c>
      <c r="AC67" s="577">
        <f t="shared" si="7"/>
        <v>2705.1541526186197</v>
      </c>
      <c r="AD67" s="577">
        <f t="shared" si="7"/>
        <v>2758.5392017800896</v>
      </c>
      <c r="AE67" s="577">
        <f t="shared" si="7"/>
        <v>2811.9732766796378</v>
      </c>
      <c r="AF67" s="577">
        <f t="shared" si="7"/>
        <v>2865.4189434261702</v>
      </c>
      <c r="AG67" s="577">
        <f t="shared" si="7"/>
        <v>2918.9035658473194</v>
      </c>
      <c r="AH67" s="752">
        <f t="shared" si="7"/>
        <v>2972.4555407312023</v>
      </c>
      <c r="AI67" s="18"/>
      <c r="AJ67" s="18"/>
      <c r="AK67" s="18"/>
      <c r="AL67" s="18"/>
      <c r="AM67" s="18"/>
      <c r="AN67" s="18"/>
    </row>
    <row r="68" spans="2:40" ht="21.95" customHeight="1" x14ac:dyDescent="0.2">
      <c r="B68" s="486"/>
      <c r="C68" s="715"/>
      <c r="D68" s="715"/>
      <c r="E68" s="1339"/>
      <c r="F68" s="116"/>
      <c r="G68" s="116"/>
      <c r="H68" s="124" t="s">
        <v>19</v>
      </c>
      <c r="I68" s="577">
        <f t="shared" ref="I68:AH68" si="8">I31*$C$21</f>
        <v>4521.5663897832019</v>
      </c>
      <c r="J68" s="577">
        <f t="shared" si="8"/>
        <v>4710.3797263928991</v>
      </c>
      <c r="K68" s="577">
        <f t="shared" si="8"/>
        <v>4944.0698687164577</v>
      </c>
      <c r="L68" s="577">
        <f t="shared" si="8"/>
        <v>5258.6967772823755</v>
      </c>
      <c r="M68" s="577">
        <f t="shared" si="8"/>
        <v>5573.4377724914693</v>
      </c>
      <c r="N68" s="577">
        <f t="shared" si="8"/>
        <v>5888.1428501543369</v>
      </c>
      <c r="O68" s="577">
        <f t="shared" si="8"/>
        <v>6202.7754498569675</v>
      </c>
      <c r="P68" s="577">
        <f t="shared" si="8"/>
        <v>6517.6387352313222</v>
      </c>
      <c r="Q68" s="577">
        <f t="shared" si="8"/>
        <v>6822.7117468549886</v>
      </c>
      <c r="R68" s="577">
        <f t="shared" si="8"/>
        <v>7127.9079605370307</v>
      </c>
      <c r="S68" s="577">
        <f t="shared" si="8"/>
        <v>7433.0061604369102</v>
      </c>
      <c r="T68" s="577">
        <f t="shared" si="8"/>
        <v>7738.1262623650637</v>
      </c>
      <c r="U68" s="577">
        <f t="shared" si="8"/>
        <v>8043.5039597800769</v>
      </c>
      <c r="V68" s="577">
        <f t="shared" si="8"/>
        <v>8267.6082219248128</v>
      </c>
      <c r="W68" s="577">
        <f t="shared" si="8"/>
        <v>8456.5276207370043</v>
      </c>
      <c r="X68" s="577">
        <f t="shared" si="8"/>
        <v>8645.4736143569353</v>
      </c>
      <c r="Y68" s="577">
        <f t="shared" si="8"/>
        <v>8834.4520463625522</v>
      </c>
      <c r="Z68" s="577">
        <f t="shared" si="8"/>
        <v>9023.5453248870599</v>
      </c>
      <c r="AA68" s="577">
        <f t="shared" si="8"/>
        <v>9212.6108251845162</v>
      </c>
      <c r="AB68" s="577">
        <f t="shared" si="8"/>
        <v>9401.809234436605</v>
      </c>
      <c r="AC68" s="577">
        <f t="shared" si="8"/>
        <v>9591.0010865569257</v>
      </c>
      <c r="AD68" s="577">
        <f t="shared" si="8"/>
        <v>9780.2753517657729</v>
      </c>
      <c r="AE68" s="577">
        <f t="shared" si="8"/>
        <v>9969.7234355005348</v>
      </c>
      <c r="AF68" s="577">
        <f t="shared" si="8"/>
        <v>10159.212617601877</v>
      </c>
      <c r="AG68" s="577">
        <f t="shared" si="8"/>
        <v>10348.839915276862</v>
      </c>
      <c r="AH68" s="752">
        <f t="shared" si="8"/>
        <v>10538.706008046991</v>
      </c>
      <c r="AI68" s="18"/>
      <c r="AJ68" s="18"/>
      <c r="AK68" s="18"/>
      <c r="AL68" s="18"/>
      <c r="AM68" s="18"/>
      <c r="AN68" s="18"/>
    </row>
    <row r="69" spans="2:40" ht="21.95" customHeight="1" x14ac:dyDescent="0.2">
      <c r="B69" s="232"/>
      <c r="C69" s="715"/>
      <c r="D69" s="715"/>
      <c r="E69" s="1339"/>
      <c r="F69" s="116"/>
      <c r="G69" s="116"/>
      <c r="H69" s="721" t="s">
        <v>25</v>
      </c>
      <c r="I69" s="577">
        <f t="shared" ref="I69:AH69" si="9">SUM(I67:I68)</f>
        <v>5796.8799869015402</v>
      </c>
      <c r="J69" s="577">
        <f t="shared" si="9"/>
        <v>6038.9483671703838</v>
      </c>
      <c r="K69" s="577">
        <f t="shared" si="9"/>
        <v>6338.5511137390477</v>
      </c>
      <c r="L69" s="577">
        <f t="shared" si="9"/>
        <v>6741.9189452338151</v>
      </c>
      <c r="M69" s="577">
        <f t="shared" si="9"/>
        <v>7145.4330416557295</v>
      </c>
      <c r="N69" s="577">
        <f t="shared" si="9"/>
        <v>7548.901089941457</v>
      </c>
      <c r="O69" s="577">
        <f t="shared" si="9"/>
        <v>7952.2762177653431</v>
      </c>
      <c r="P69" s="577">
        <f t="shared" si="9"/>
        <v>8355.9470964504126</v>
      </c>
      <c r="Q69" s="577">
        <f t="shared" si="9"/>
        <v>8747.0663421217796</v>
      </c>
      <c r="R69" s="577">
        <f t="shared" si="9"/>
        <v>9138.3435391500389</v>
      </c>
      <c r="S69" s="577">
        <f t="shared" si="9"/>
        <v>9529.4950774832178</v>
      </c>
      <c r="T69" s="577">
        <f t="shared" si="9"/>
        <v>9920.6746953398251</v>
      </c>
      <c r="U69" s="577">
        <f t="shared" si="9"/>
        <v>10312.18456382061</v>
      </c>
      <c r="V69" s="577">
        <f t="shared" si="9"/>
        <v>10599.497720416426</v>
      </c>
      <c r="W69" s="577">
        <f t="shared" si="9"/>
        <v>10841.702077867954</v>
      </c>
      <c r="X69" s="577">
        <f t="shared" si="9"/>
        <v>11083.940531226839</v>
      </c>
      <c r="Y69" s="577">
        <f t="shared" si="9"/>
        <v>11326.220572259681</v>
      </c>
      <c r="Z69" s="577">
        <f t="shared" si="9"/>
        <v>11568.647852419308</v>
      </c>
      <c r="AA69" s="577">
        <f t="shared" si="9"/>
        <v>11811.039519467329</v>
      </c>
      <c r="AB69" s="577">
        <f t="shared" si="9"/>
        <v>12053.601582611032</v>
      </c>
      <c r="AC69" s="577">
        <f t="shared" si="9"/>
        <v>12296.155239175545</v>
      </c>
      <c r="AD69" s="577">
        <f t="shared" si="9"/>
        <v>12538.814553545863</v>
      </c>
      <c r="AE69" s="577">
        <f t="shared" si="9"/>
        <v>12781.696712180172</v>
      </c>
      <c r="AF69" s="577">
        <f t="shared" si="9"/>
        <v>13024.631561028047</v>
      </c>
      <c r="AG69" s="577">
        <f t="shared" si="9"/>
        <v>13267.74348112418</v>
      </c>
      <c r="AH69" s="752">
        <f t="shared" si="9"/>
        <v>13511.161548778193</v>
      </c>
      <c r="AI69" s="18"/>
      <c r="AJ69" s="18"/>
      <c r="AK69" s="18"/>
      <c r="AL69" s="18"/>
      <c r="AM69" s="18"/>
      <c r="AN69" s="18"/>
    </row>
    <row r="70" spans="2:40" ht="21.95" customHeight="1" x14ac:dyDescent="0.2">
      <c r="B70" s="232"/>
      <c r="C70" s="715"/>
      <c r="D70" s="715"/>
      <c r="E70" s="1340" t="s">
        <v>280</v>
      </c>
      <c r="F70" s="220" t="s">
        <v>281</v>
      </c>
      <c r="G70" s="220" t="s">
        <v>335</v>
      </c>
      <c r="H70" s="116" t="s">
        <v>20</v>
      </c>
      <c r="I70" s="583">
        <f t="shared" ref="I70:AH70" si="10">I32*$D$20</f>
        <v>12711.79357508696</v>
      </c>
      <c r="J70" s="583">
        <f t="shared" si="10"/>
        <v>14101.237917282331</v>
      </c>
      <c r="K70" s="583">
        <f t="shared" si="10"/>
        <v>15573.315001941402</v>
      </c>
      <c r="L70" s="583">
        <f t="shared" si="10"/>
        <v>20281.757061010441</v>
      </c>
      <c r="M70" s="583">
        <f t="shared" si="10"/>
        <v>26376.435337238101</v>
      </c>
      <c r="N70" s="583">
        <f t="shared" si="10"/>
        <v>40373.459469773952</v>
      </c>
      <c r="O70" s="583">
        <f t="shared" si="10"/>
        <v>88422.090622360614</v>
      </c>
      <c r="P70" s="583">
        <f t="shared" si="10"/>
        <v>100333.73011144112</v>
      </c>
      <c r="Q70" s="583">
        <f t="shared" si="10"/>
        <v>116320.10966448179</v>
      </c>
      <c r="R70" s="583">
        <f t="shared" si="10"/>
        <v>132326.06715722368</v>
      </c>
      <c r="S70" s="583">
        <f t="shared" si="10"/>
        <v>148368.59684435886</v>
      </c>
      <c r="T70" s="583">
        <f t="shared" si="10"/>
        <v>164545.2298850597</v>
      </c>
      <c r="U70" s="583">
        <f t="shared" si="10"/>
        <v>181107.36624001805</v>
      </c>
      <c r="V70" s="583">
        <f t="shared" si="10"/>
        <v>190392.93990050006</v>
      </c>
      <c r="W70" s="583">
        <f t="shared" si="10"/>
        <v>195275.37229471962</v>
      </c>
      <c r="X70" s="583">
        <f t="shared" si="10"/>
        <v>199718.46334345892</v>
      </c>
      <c r="Y70" s="583">
        <f t="shared" si="10"/>
        <v>204329.21220333295</v>
      </c>
      <c r="Z70" s="583">
        <f t="shared" si="10"/>
        <v>209144.45652385388</v>
      </c>
      <c r="AA70" s="583">
        <f t="shared" si="10"/>
        <v>214190.19065242755</v>
      </c>
      <c r="AB70" s="583">
        <f t="shared" si="10"/>
        <v>219515.82384170836</v>
      </c>
      <c r="AC70" s="583">
        <f t="shared" si="10"/>
        <v>225162.02217288633</v>
      </c>
      <c r="AD70" s="583">
        <f t="shared" si="10"/>
        <v>231184.03009476798</v>
      </c>
      <c r="AE70" s="583">
        <f t="shared" si="10"/>
        <v>237653.93976307937</v>
      </c>
      <c r="AF70" s="583">
        <f t="shared" si="10"/>
        <v>244636.89924172597</v>
      </c>
      <c r="AG70" s="583">
        <f t="shared" si="10"/>
        <v>252212.15105359349</v>
      </c>
      <c r="AH70" s="753">
        <f t="shared" si="10"/>
        <v>260485.04725393621</v>
      </c>
      <c r="AI70" s="18"/>
      <c r="AJ70" s="18"/>
      <c r="AK70" s="18"/>
      <c r="AL70" s="18"/>
      <c r="AM70" s="18"/>
      <c r="AN70" s="18"/>
    </row>
    <row r="71" spans="2:40" ht="21.95" customHeight="1" x14ac:dyDescent="0.2">
      <c r="B71" s="232"/>
      <c r="C71" s="715"/>
      <c r="D71" s="715"/>
      <c r="E71" s="1340"/>
      <c r="F71" s="116"/>
      <c r="G71" s="116"/>
      <c r="H71" s="124" t="s">
        <v>19</v>
      </c>
      <c r="I71" s="577">
        <f t="shared" ref="I71:AH71" si="11">I32*$D$21</f>
        <v>50847.17430034784</v>
      </c>
      <c r="J71" s="577">
        <f t="shared" si="11"/>
        <v>56404.951669129325</v>
      </c>
      <c r="K71" s="577">
        <f t="shared" si="11"/>
        <v>62293.26000776561</v>
      </c>
      <c r="L71" s="577">
        <f t="shared" si="11"/>
        <v>81127.028244041765</v>
      </c>
      <c r="M71" s="577">
        <f t="shared" si="11"/>
        <v>105505.7413489524</v>
      </c>
      <c r="N71" s="577">
        <f t="shared" si="11"/>
        <v>161493.83787909581</v>
      </c>
      <c r="O71" s="577">
        <f t="shared" si="11"/>
        <v>353688.36248944246</v>
      </c>
      <c r="P71" s="577">
        <f t="shared" si="11"/>
        <v>401334.9204457645</v>
      </c>
      <c r="Q71" s="577">
        <f t="shared" si="11"/>
        <v>465280.43865792715</v>
      </c>
      <c r="R71" s="577">
        <f t="shared" si="11"/>
        <v>529304.2686288947</v>
      </c>
      <c r="S71" s="577">
        <f t="shared" si="11"/>
        <v>593474.38737743546</v>
      </c>
      <c r="T71" s="577">
        <f t="shared" si="11"/>
        <v>658180.9195402388</v>
      </c>
      <c r="U71" s="577">
        <f t="shared" si="11"/>
        <v>724429.46496007219</v>
      </c>
      <c r="V71" s="577">
        <f t="shared" si="11"/>
        <v>761571.75960200024</v>
      </c>
      <c r="W71" s="577">
        <f t="shared" si="11"/>
        <v>781101.48917887849</v>
      </c>
      <c r="X71" s="577">
        <f t="shared" si="11"/>
        <v>798873.85337383568</v>
      </c>
      <c r="Y71" s="577">
        <f t="shared" si="11"/>
        <v>817316.8488133318</v>
      </c>
      <c r="Z71" s="577">
        <f t="shared" si="11"/>
        <v>836577.82609541551</v>
      </c>
      <c r="AA71" s="577">
        <f t="shared" si="11"/>
        <v>856760.76260971022</v>
      </c>
      <c r="AB71" s="577">
        <f t="shared" si="11"/>
        <v>878063.29536683345</v>
      </c>
      <c r="AC71" s="577">
        <f t="shared" si="11"/>
        <v>900648.0886915453</v>
      </c>
      <c r="AD71" s="577">
        <f t="shared" si="11"/>
        <v>924736.12037907192</v>
      </c>
      <c r="AE71" s="577">
        <f t="shared" si="11"/>
        <v>950615.75905231747</v>
      </c>
      <c r="AF71" s="577">
        <f t="shared" si="11"/>
        <v>978547.59696690389</v>
      </c>
      <c r="AG71" s="577">
        <f t="shared" si="11"/>
        <v>1008848.604214374</v>
      </c>
      <c r="AH71" s="752">
        <f t="shared" si="11"/>
        <v>1041940.1890157448</v>
      </c>
      <c r="AI71" s="18"/>
      <c r="AJ71" s="18"/>
      <c r="AK71" s="18"/>
      <c r="AL71" s="18"/>
      <c r="AM71" s="18"/>
      <c r="AN71" s="18"/>
    </row>
    <row r="72" spans="2:40" ht="21.95" customHeight="1" x14ac:dyDescent="0.2">
      <c r="B72" s="232"/>
      <c r="C72" s="715"/>
      <c r="D72" s="715"/>
      <c r="E72" s="1340"/>
      <c r="F72" s="116"/>
      <c r="G72" s="116"/>
      <c r="H72" s="720" t="s">
        <v>25</v>
      </c>
      <c r="I72" s="577">
        <f t="shared" ref="I72:AH72" si="12">SUM(I70:I71)</f>
        <v>63558.967875434799</v>
      </c>
      <c r="J72" s="577">
        <f t="shared" si="12"/>
        <v>70506.189586411652</v>
      </c>
      <c r="K72" s="577">
        <f t="shared" si="12"/>
        <v>77866.575009707012</v>
      </c>
      <c r="L72" s="577">
        <f t="shared" si="12"/>
        <v>101408.78530505221</v>
      </c>
      <c r="M72" s="577">
        <f t="shared" si="12"/>
        <v>131882.17668619051</v>
      </c>
      <c r="N72" s="577">
        <f t="shared" si="12"/>
        <v>201867.29734886976</v>
      </c>
      <c r="O72" s="577">
        <f t="shared" si="12"/>
        <v>442110.45311180304</v>
      </c>
      <c r="P72" s="577">
        <f t="shared" si="12"/>
        <v>501668.6505572056</v>
      </c>
      <c r="Q72" s="577">
        <f t="shared" si="12"/>
        <v>581600.54832240893</v>
      </c>
      <c r="R72" s="577">
        <f t="shared" si="12"/>
        <v>661630.3357861184</v>
      </c>
      <c r="S72" s="577">
        <f t="shared" si="12"/>
        <v>741842.98422179429</v>
      </c>
      <c r="T72" s="577">
        <f t="shared" si="12"/>
        <v>822726.14942529844</v>
      </c>
      <c r="U72" s="577">
        <f t="shared" si="12"/>
        <v>905536.83120009024</v>
      </c>
      <c r="V72" s="577">
        <f t="shared" si="12"/>
        <v>951964.69950250024</v>
      </c>
      <c r="W72" s="577">
        <f t="shared" si="12"/>
        <v>976376.86147359805</v>
      </c>
      <c r="X72" s="577">
        <f t="shared" si="12"/>
        <v>998592.31671729463</v>
      </c>
      <c r="Y72" s="577">
        <f t="shared" si="12"/>
        <v>1021646.0610166647</v>
      </c>
      <c r="Z72" s="577">
        <f t="shared" si="12"/>
        <v>1045722.2826192693</v>
      </c>
      <c r="AA72" s="577">
        <f t="shared" si="12"/>
        <v>1070950.9532621377</v>
      </c>
      <c r="AB72" s="577">
        <f t="shared" si="12"/>
        <v>1097579.1192085417</v>
      </c>
      <c r="AC72" s="577">
        <f t="shared" si="12"/>
        <v>1125810.1108644316</v>
      </c>
      <c r="AD72" s="577">
        <f t="shared" si="12"/>
        <v>1155920.1504738398</v>
      </c>
      <c r="AE72" s="577">
        <f t="shared" si="12"/>
        <v>1188269.6988153968</v>
      </c>
      <c r="AF72" s="577">
        <f t="shared" si="12"/>
        <v>1223184.4962086298</v>
      </c>
      <c r="AG72" s="577">
        <f t="shared" si="12"/>
        <v>1261060.7552679675</v>
      </c>
      <c r="AH72" s="752">
        <f t="shared" si="12"/>
        <v>1302425.236269681</v>
      </c>
      <c r="AI72" s="18"/>
      <c r="AJ72" s="18"/>
      <c r="AK72" s="18"/>
      <c r="AL72" s="18"/>
      <c r="AM72" s="18"/>
      <c r="AN72" s="18"/>
    </row>
    <row r="73" spans="2:40" ht="21.95" customHeight="1" x14ac:dyDescent="0.2">
      <c r="B73" s="232"/>
      <c r="C73" s="715"/>
      <c r="D73" s="715"/>
      <c r="E73" s="1340"/>
      <c r="F73" s="116" t="s">
        <v>335</v>
      </c>
      <c r="G73" s="116" t="s">
        <v>323</v>
      </c>
      <c r="H73" s="116" t="s">
        <v>20</v>
      </c>
      <c r="I73" s="577">
        <f t="shared" ref="I73:AH73" si="13">I33*$D$20</f>
        <v>1769.6979844380808</v>
      </c>
      <c r="J73" s="577">
        <f t="shared" si="13"/>
        <v>2004.8642050390699</v>
      </c>
      <c r="K73" s="577">
        <f t="shared" si="13"/>
        <v>2240.1844783319584</v>
      </c>
      <c r="L73" s="577">
        <f t="shared" si="13"/>
        <v>3036.7129354046069</v>
      </c>
      <c r="M73" s="577">
        <f t="shared" si="13"/>
        <v>3837.6357334690351</v>
      </c>
      <c r="N73" s="577">
        <f t="shared" si="13"/>
        <v>4669.54902841889</v>
      </c>
      <c r="O73" s="577">
        <f t="shared" si="13"/>
        <v>5654.1986209881798</v>
      </c>
      <c r="P73" s="577">
        <f t="shared" si="13"/>
        <v>7253.7896088258458</v>
      </c>
      <c r="Q73" s="577">
        <f t="shared" si="13"/>
        <v>14874.023064971547</v>
      </c>
      <c r="R73" s="577">
        <f t="shared" si="13"/>
        <v>19902.635453692914</v>
      </c>
      <c r="S73" s="577">
        <f t="shared" si="13"/>
        <v>22712.07951394092</v>
      </c>
      <c r="T73" s="577">
        <f t="shared" si="13"/>
        <v>25523.196584906855</v>
      </c>
      <c r="U73" s="577">
        <f t="shared" si="13"/>
        <v>28342.232845513379</v>
      </c>
      <c r="V73" s="577">
        <f t="shared" si="13"/>
        <v>29882.742085308153</v>
      </c>
      <c r="W73" s="577">
        <f t="shared" si="13"/>
        <v>30444.588979770429</v>
      </c>
      <c r="X73" s="577">
        <f t="shared" si="13"/>
        <v>30995.89409042328</v>
      </c>
      <c r="Y73" s="577">
        <f t="shared" si="13"/>
        <v>31549.423268081791</v>
      </c>
      <c r="Z73" s="577">
        <f t="shared" si="13"/>
        <v>32105.89711566918</v>
      </c>
      <c r="AA73" s="577">
        <f t="shared" si="13"/>
        <v>32665.086778289391</v>
      </c>
      <c r="AB73" s="577">
        <f t="shared" si="13"/>
        <v>33228.15207990523</v>
      </c>
      <c r="AC73" s="577">
        <f t="shared" si="13"/>
        <v>33795.015011185205</v>
      </c>
      <c r="AD73" s="577">
        <f t="shared" si="13"/>
        <v>34366.640949862536</v>
      </c>
      <c r="AE73" s="577">
        <f t="shared" si="13"/>
        <v>34944.132389633232</v>
      </c>
      <c r="AF73" s="577">
        <f t="shared" si="13"/>
        <v>35527.684750154891</v>
      </c>
      <c r="AG73" s="577">
        <f t="shared" si="13"/>
        <v>36118.553093529183</v>
      </c>
      <c r="AH73" s="752">
        <f t="shared" si="13"/>
        <v>36718.194124187008</v>
      </c>
      <c r="AI73" s="18"/>
      <c r="AJ73" s="18"/>
      <c r="AK73" s="18"/>
      <c r="AL73" s="18"/>
      <c r="AM73" s="18"/>
      <c r="AN73" s="18"/>
    </row>
    <row r="74" spans="2:40" ht="21.95" customHeight="1" x14ac:dyDescent="0.2">
      <c r="B74" s="232"/>
      <c r="C74" s="715"/>
      <c r="D74" s="715"/>
      <c r="E74" s="1340"/>
      <c r="F74" s="116"/>
      <c r="G74" s="116"/>
      <c r="H74" s="124" t="s">
        <v>19</v>
      </c>
      <c r="I74" s="577">
        <f t="shared" ref="I74:AH74" si="14">I33*$D$21</f>
        <v>7078.7919377523231</v>
      </c>
      <c r="J74" s="577">
        <f t="shared" si="14"/>
        <v>8019.4568201562797</v>
      </c>
      <c r="K74" s="577">
        <f t="shared" si="14"/>
        <v>8960.7379133278337</v>
      </c>
      <c r="L74" s="577">
        <f t="shared" si="14"/>
        <v>12146.851741618428</v>
      </c>
      <c r="M74" s="577">
        <f t="shared" si="14"/>
        <v>15350.542933876141</v>
      </c>
      <c r="N74" s="577">
        <f t="shared" si="14"/>
        <v>18678.19611367556</v>
      </c>
      <c r="O74" s="577">
        <f t="shared" si="14"/>
        <v>22616.794483952719</v>
      </c>
      <c r="P74" s="577">
        <f t="shared" si="14"/>
        <v>29015.158435303383</v>
      </c>
      <c r="Q74" s="577">
        <f t="shared" si="14"/>
        <v>59496.092259886187</v>
      </c>
      <c r="R74" s="577">
        <f t="shared" si="14"/>
        <v>79610.541814771655</v>
      </c>
      <c r="S74" s="577">
        <f t="shared" si="14"/>
        <v>90848.318055763681</v>
      </c>
      <c r="T74" s="577">
        <f t="shared" si="14"/>
        <v>102092.78633962742</v>
      </c>
      <c r="U74" s="577">
        <f t="shared" si="14"/>
        <v>113368.93138205352</v>
      </c>
      <c r="V74" s="577">
        <f t="shared" si="14"/>
        <v>119530.96834123261</v>
      </c>
      <c r="W74" s="577">
        <f t="shared" si="14"/>
        <v>121778.35591908172</v>
      </c>
      <c r="X74" s="577">
        <f t="shared" si="14"/>
        <v>123983.57636169312</v>
      </c>
      <c r="Y74" s="577">
        <f t="shared" si="14"/>
        <v>126197.69307232717</v>
      </c>
      <c r="Z74" s="577">
        <f t="shared" si="14"/>
        <v>128423.58846267672</v>
      </c>
      <c r="AA74" s="577">
        <f t="shared" si="14"/>
        <v>130660.34711315756</v>
      </c>
      <c r="AB74" s="577">
        <f t="shared" si="14"/>
        <v>132912.60831962092</v>
      </c>
      <c r="AC74" s="577">
        <f t="shared" si="14"/>
        <v>135180.06004474082</v>
      </c>
      <c r="AD74" s="577">
        <f t="shared" si="14"/>
        <v>137466.56379945014</v>
      </c>
      <c r="AE74" s="577">
        <f t="shared" si="14"/>
        <v>139776.52955853293</v>
      </c>
      <c r="AF74" s="577">
        <f t="shared" si="14"/>
        <v>142110.73900061956</v>
      </c>
      <c r="AG74" s="577">
        <f t="shared" si="14"/>
        <v>144474.21237411673</v>
      </c>
      <c r="AH74" s="752">
        <f t="shared" si="14"/>
        <v>146872.77649674803</v>
      </c>
      <c r="AI74" s="18"/>
      <c r="AJ74" s="18"/>
      <c r="AK74" s="18"/>
      <c r="AL74" s="18"/>
      <c r="AM74" s="18"/>
      <c r="AN74" s="18"/>
    </row>
    <row r="75" spans="2:40" ht="21.95" customHeight="1" x14ac:dyDescent="0.2">
      <c r="B75" s="232"/>
      <c r="C75" s="715"/>
      <c r="D75" s="715"/>
      <c r="E75" s="1340"/>
      <c r="F75" s="116"/>
      <c r="G75" s="116"/>
      <c r="H75" s="720" t="s">
        <v>25</v>
      </c>
      <c r="I75" s="577">
        <f t="shared" ref="I75:AH75" si="15">SUM(I73:I74)</f>
        <v>8848.4899221904034</v>
      </c>
      <c r="J75" s="577">
        <f t="shared" si="15"/>
        <v>10024.32102519535</v>
      </c>
      <c r="K75" s="577">
        <f t="shared" si="15"/>
        <v>11200.922391659791</v>
      </c>
      <c r="L75" s="577">
        <f t="shared" si="15"/>
        <v>15183.564677023034</v>
      </c>
      <c r="M75" s="577">
        <f t="shared" si="15"/>
        <v>19188.178667345175</v>
      </c>
      <c r="N75" s="577">
        <f t="shared" si="15"/>
        <v>23347.745142094449</v>
      </c>
      <c r="O75" s="577">
        <f t="shared" si="15"/>
        <v>28270.993104940899</v>
      </c>
      <c r="P75" s="577">
        <f t="shared" si="15"/>
        <v>36268.948044129225</v>
      </c>
      <c r="Q75" s="577">
        <f t="shared" si="15"/>
        <v>74370.115324857732</v>
      </c>
      <c r="R75" s="577">
        <f t="shared" si="15"/>
        <v>99513.177268464569</v>
      </c>
      <c r="S75" s="577">
        <f t="shared" si="15"/>
        <v>113560.3975697046</v>
      </c>
      <c r="T75" s="577">
        <f t="shared" si="15"/>
        <v>127615.98292453427</v>
      </c>
      <c r="U75" s="577">
        <f t="shared" si="15"/>
        <v>141711.16422756689</v>
      </c>
      <c r="V75" s="577">
        <f t="shared" si="15"/>
        <v>149413.71042654075</v>
      </c>
      <c r="W75" s="577">
        <f t="shared" si="15"/>
        <v>152222.94489885215</v>
      </c>
      <c r="X75" s="577">
        <f t="shared" si="15"/>
        <v>154979.47045211639</v>
      </c>
      <c r="Y75" s="577">
        <f t="shared" si="15"/>
        <v>157747.11634040895</v>
      </c>
      <c r="Z75" s="577">
        <f t="shared" si="15"/>
        <v>160529.48557834589</v>
      </c>
      <c r="AA75" s="577">
        <f t="shared" si="15"/>
        <v>163325.43389144697</v>
      </c>
      <c r="AB75" s="577">
        <f t="shared" si="15"/>
        <v>166140.76039952616</v>
      </c>
      <c r="AC75" s="577">
        <f t="shared" si="15"/>
        <v>168975.07505592602</v>
      </c>
      <c r="AD75" s="577">
        <f t="shared" si="15"/>
        <v>171833.20474931269</v>
      </c>
      <c r="AE75" s="577">
        <f t="shared" si="15"/>
        <v>174720.66194816615</v>
      </c>
      <c r="AF75" s="577">
        <f t="shared" si="15"/>
        <v>177638.42375077447</v>
      </c>
      <c r="AG75" s="577">
        <f t="shared" si="15"/>
        <v>180592.76546764592</v>
      </c>
      <c r="AH75" s="752">
        <f t="shared" si="15"/>
        <v>183590.97062093503</v>
      </c>
      <c r="AI75" s="18"/>
      <c r="AJ75" s="18"/>
      <c r="AK75" s="18"/>
      <c r="AL75" s="18"/>
      <c r="AM75" s="18"/>
      <c r="AN75" s="18"/>
    </row>
    <row r="76" spans="2:40" ht="21.95" customHeight="1" x14ac:dyDescent="0.2">
      <c r="B76" s="232"/>
      <c r="C76" s="715"/>
      <c r="D76" s="715"/>
      <c r="E76" s="1340"/>
      <c r="F76" s="116" t="s">
        <v>323</v>
      </c>
      <c r="G76" s="116" t="s">
        <v>338</v>
      </c>
      <c r="H76" s="116" t="s">
        <v>20</v>
      </c>
      <c r="I76" s="577">
        <f t="shared" ref="I76:AH76" si="16">I34*$D$20</f>
        <v>25111.892976788306</v>
      </c>
      <c r="J76" s="577">
        <f t="shared" si="16"/>
        <v>26105.475252324923</v>
      </c>
      <c r="K76" s="577">
        <f t="shared" si="16"/>
        <v>27128.612822864656</v>
      </c>
      <c r="L76" s="577">
        <f t="shared" si="16"/>
        <v>29241.595289946534</v>
      </c>
      <c r="M76" s="577">
        <f t="shared" si="16"/>
        <v>31629.038226927027</v>
      </c>
      <c r="N76" s="577">
        <f t="shared" si="16"/>
        <v>34487.654589852486</v>
      </c>
      <c r="O76" s="577">
        <f t="shared" si="16"/>
        <v>38134.542139643512</v>
      </c>
      <c r="P76" s="577">
        <f t="shared" si="16"/>
        <v>43072.062863794446</v>
      </c>
      <c r="Q76" s="577">
        <f t="shared" si="16"/>
        <v>53538.185072498658</v>
      </c>
      <c r="R76" s="577">
        <f t="shared" si="16"/>
        <v>71317.022041311357</v>
      </c>
      <c r="S76" s="577">
        <f t="shared" si="16"/>
        <v>95926.128654311527</v>
      </c>
      <c r="T76" s="577">
        <f t="shared" si="16"/>
        <v>101461.83997900416</v>
      </c>
      <c r="U76" s="577">
        <f t="shared" si="16"/>
        <v>107002.78173652076</v>
      </c>
      <c r="V76" s="577">
        <f t="shared" si="16"/>
        <v>110603.63495497234</v>
      </c>
      <c r="W76" s="577">
        <f t="shared" si="16"/>
        <v>112655.35104084678</v>
      </c>
      <c r="X76" s="577">
        <f t="shared" si="16"/>
        <v>114706.7591742903</v>
      </c>
      <c r="Y76" s="577">
        <f t="shared" si="16"/>
        <v>116758.35977198672</v>
      </c>
      <c r="Z76" s="577">
        <f t="shared" si="16"/>
        <v>118811.47675994216</v>
      </c>
      <c r="AA76" s="577">
        <f t="shared" si="16"/>
        <v>120863.57007127689</v>
      </c>
      <c r="AB76" s="577">
        <f t="shared" si="16"/>
        <v>122917.26293139957</v>
      </c>
      <c r="AC76" s="577">
        <f t="shared" si="16"/>
        <v>124970.02900626734</v>
      </c>
      <c r="AD76" s="577">
        <f t="shared" si="16"/>
        <v>127023.21479586029</v>
      </c>
      <c r="AE76" s="577">
        <f t="shared" si="16"/>
        <v>129078.17916500276</v>
      </c>
      <c r="AF76" s="577">
        <f t="shared" si="16"/>
        <v>131132.42101981683</v>
      </c>
      <c r="AG76" s="577">
        <f t="shared" si="16"/>
        <v>133187.31369281193</v>
      </c>
      <c r="AH76" s="752">
        <f t="shared" si="16"/>
        <v>135244.24881613106</v>
      </c>
      <c r="AI76" s="18"/>
      <c r="AJ76" s="18"/>
      <c r="AK76" s="18"/>
      <c r="AL76" s="18"/>
      <c r="AM76" s="18"/>
      <c r="AN76" s="18"/>
    </row>
    <row r="77" spans="2:40" ht="21.95" customHeight="1" x14ac:dyDescent="0.2">
      <c r="B77" s="232"/>
      <c r="C77" s="715"/>
      <c r="D77" s="715"/>
      <c r="E77" s="1340"/>
      <c r="F77" s="116"/>
      <c r="G77" s="116"/>
      <c r="H77" s="116" t="s">
        <v>19</v>
      </c>
      <c r="I77" s="577">
        <f t="shared" ref="I77:AH77" si="17">I34*$D$21</f>
        <v>100447.57190715322</v>
      </c>
      <c r="J77" s="577">
        <f t="shared" si="17"/>
        <v>104421.90100929969</v>
      </c>
      <c r="K77" s="577">
        <f t="shared" si="17"/>
        <v>108514.45129145862</v>
      </c>
      <c r="L77" s="577">
        <f t="shared" si="17"/>
        <v>116966.38115978613</v>
      </c>
      <c r="M77" s="577">
        <f t="shared" si="17"/>
        <v>126516.15290770811</v>
      </c>
      <c r="N77" s="577">
        <f t="shared" si="17"/>
        <v>137950.61835940994</v>
      </c>
      <c r="O77" s="577">
        <f t="shared" si="17"/>
        <v>152538.16855857405</v>
      </c>
      <c r="P77" s="577">
        <f t="shared" si="17"/>
        <v>172288.25145517779</v>
      </c>
      <c r="Q77" s="577">
        <f t="shared" si="17"/>
        <v>214152.74028999463</v>
      </c>
      <c r="R77" s="577">
        <f t="shared" si="17"/>
        <v>285268.08816524543</v>
      </c>
      <c r="S77" s="577">
        <f t="shared" si="17"/>
        <v>383704.51461724611</v>
      </c>
      <c r="T77" s="577">
        <f t="shared" si="17"/>
        <v>405847.35991601663</v>
      </c>
      <c r="U77" s="577">
        <f t="shared" si="17"/>
        <v>428011.12694608304</v>
      </c>
      <c r="V77" s="577">
        <f t="shared" si="17"/>
        <v>442414.53981988935</v>
      </c>
      <c r="W77" s="577">
        <f t="shared" si="17"/>
        <v>450621.40416338714</v>
      </c>
      <c r="X77" s="577">
        <f t="shared" si="17"/>
        <v>458827.03669716121</v>
      </c>
      <c r="Y77" s="577">
        <f t="shared" si="17"/>
        <v>467033.4390879469</v>
      </c>
      <c r="Z77" s="577">
        <f t="shared" si="17"/>
        <v>475245.90703976864</v>
      </c>
      <c r="AA77" s="577">
        <f t="shared" si="17"/>
        <v>483454.28028510755</v>
      </c>
      <c r="AB77" s="577">
        <f t="shared" si="17"/>
        <v>491669.05172559828</v>
      </c>
      <c r="AC77" s="577">
        <f t="shared" si="17"/>
        <v>499880.11602506938</v>
      </c>
      <c r="AD77" s="577">
        <f t="shared" si="17"/>
        <v>508092.85918344115</v>
      </c>
      <c r="AE77" s="577">
        <f t="shared" si="17"/>
        <v>516312.71666001104</v>
      </c>
      <c r="AF77" s="577">
        <f t="shared" si="17"/>
        <v>524529.68407926732</v>
      </c>
      <c r="AG77" s="577">
        <f t="shared" si="17"/>
        <v>532749.25477124774</v>
      </c>
      <c r="AH77" s="752">
        <f t="shared" si="17"/>
        <v>540976.99526452424</v>
      </c>
      <c r="AI77" s="18"/>
      <c r="AJ77" s="18"/>
      <c r="AK77" s="18"/>
      <c r="AL77" s="18"/>
      <c r="AM77" s="18"/>
      <c r="AN77" s="18"/>
    </row>
    <row r="78" spans="2:40" ht="21.95" customHeight="1" x14ac:dyDescent="0.2">
      <c r="B78" s="232"/>
      <c r="C78" s="715"/>
      <c r="D78" s="715"/>
      <c r="E78" s="1333"/>
      <c r="F78" s="254"/>
      <c r="G78" s="254"/>
      <c r="H78" s="721" t="s">
        <v>25</v>
      </c>
      <c r="I78" s="587">
        <f t="shared" ref="I78:AH78" si="18">SUM(I76:I77)</f>
        <v>125559.46488394153</v>
      </c>
      <c r="J78" s="587">
        <f t="shared" si="18"/>
        <v>130527.37626162461</v>
      </c>
      <c r="K78" s="587">
        <f t="shared" si="18"/>
        <v>135643.06411432329</v>
      </c>
      <c r="L78" s="587">
        <f t="shared" si="18"/>
        <v>146207.97644973267</v>
      </c>
      <c r="M78" s="587">
        <f t="shared" si="18"/>
        <v>158145.19113463513</v>
      </c>
      <c r="N78" s="587">
        <f t="shared" si="18"/>
        <v>172438.27294926243</v>
      </c>
      <c r="O78" s="587">
        <f t="shared" si="18"/>
        <v>190672.71069821756</v>
      </c>
      <c r="P78" s="587">
        <f t="shared" si="18"/>
        <v>215360.31431897223</v>
      </c>
      <c r="Q78" s="587">
        <f t="shared" si="18"/>
        <v>267690.92536249326</v>
      </c>
      <c r="R78" s="587">
        <f t="shared" si="18"/>
        <v>356585.1102065568</v>
      </c>
      <c r="S78" s="587">
        <f t="shared" si="18"/>
        <v>479630.64327155764</v>
      </c>
      <c r="T78" s="587">
        <f t="shared" si="18"/>
        <v>507309.19989502081</v>
      </c>
      <c r="U78" s="587">
        <f t="shared" si="18"/>
        <v>535013.90868260385</v>
      </c>
      <c r="V78" s="587">
        <f t="shared" si="18"/>
        <v>553018.17477486166</v>
      </c>
      <c r="W78" s="587">
        <f t="shared" si="18"/>
        <v>563276.75520423392</v>
      </c>
      <c r="X78" s="587">
        <f t="shared" si="18"/>
        <v>573533.7958714515</v>
      </c>
      <c r="Y78" s="587">
        <f t="shared" si="18"/>
        <v>583791.79885993362</v>
      </c>
      <c r="Z78" s="587">
        <f t="shared" si="18"/>
        <v>594057.38379971078</v>
      </c>
      <c r="AA78" s="587">
        <f t="shared" si="18"/>
        <v>604317.85035638441</v>
      </c>
      <c r="AB78" s="587">
        <f t="shared" si="18"/>
        <v>614586.3146569978</v>
      </c>
      <c r="AC78" s="587">
        <f t="shared" si="18"/>
        <v>624850.14503133669</v>
      </c>
      <c r="AD78" s="587">
        <f t="shared" si="18"/>
        <v>635116.07397930138</v>
      </c>
      <c r="AE78" s="587">
        <f t="shared" si="18"/>
        <v>645390.89582501375</v>
      </c>
      <c r="AF78" s="587">
        <f t="shared" si="18"/>
        <v>655662.10509908409</v>
      </c>
      <c r="AG78" s="587">
        <f t="shared" si="18"/>
        <v>665936.56846405962</v>
      </c>
      <c r="AH78" s="754">
        <f t="shared" si="18"/>
        <v>676221.24408065528</v>
      </c>
      <c r="AI78" s="18"/>
      <c r="AJ78" s="18"/>
      <c r="AK78" s="18"/>
      <c r="AL78" s="18"/>
      <c r="AM78" s="18"/>
      <c r="AN78" s="18"/>
    </row>
    <row r="79" spans="2:40" ht="21.95" customHeight="1" x14ac:dyDescent="0.2">
      <c r="B79" s="232"/>
      <c r="C79" s="715"/>
      <c r="D79" s="715"/>
      <c r="E79" s="116" t="s">
        <v>339</v>
      </c>
      <c r="F79" s="116" t="s">
        <v>335</v>
      </c>
      <c r="G79" s="116" t="s">
        <v>323</v>
      </c>
      <c r="H79" s="116" t="s">
        <v>20</v>
      </c>
      <c r="I79" s="577">
        <f t="shared" ref="I79:AH79" si="19">I35*$E$20</f>
        <v>169.01477832512313</v>
      </c>
      <c r="J79" s="577">
        <f t="shared" si="19"/>
        <v>273.63492610837437</v>
      </c>
      <c r="K79" s="577">
        <f t="shared" si="19"/>
        <v>780.67926108374365</v>
      </c>
      <c r="L79" s="577">
        <f t="shared" si="19"/>
        <v>1650.5983251231528</v>
      </c>
      <c r="M79" s="577">
        <f t="shared" si="19"/>
        <v>2521.1934482758634</v>
      </c>
      <c r="N79" s="577">
        <f t="shared" si="19"/>
        <v>3391.4505418719632</v>
      </c>
      <c r="O79" s="577">
        <f t="shared" si="19"/>
        <v>4261.3696059118438</v>
      </c>
      <c r="P79" s="577">
        <f t="shared" si="19"/>
        <v>5132.6407881813102</v>
      </c>
      <c r="Q79" s="577">
        <f t="shared" si="19"/>
        <v>5600.6427093699722</v>
      </c>
      <c r="R79" s="577">
        <f t="shared" si="19"/>
        <v>6069.3206896802631</v>
      </c>
      <c r="S79" s="577">
        <f t="shared" si="19"/>
        <v>6537.4916256725846</v>
      </c>
      <c r="T79" s="577">
        <f t="shared" si="19"/>
        <v>7005.493546919598</v>
      </c>
      <c r="U79" s="577">
        <f t="shared" si="19"/>
        <v>7474.6785716766044</v>
      </c>
      <c r="V79" s="577">
        <f t="shared" si="19"/>
        <v>7579.2987195008318</v>
      </c>
      <c r="W79" s="577">
        <f t="shared" si="19"/>
        <v>7683.9188673311264</v>
      </c>
      <c r="X79" s="577">
        <f t="shared" si="19"/>
        <v>7788.539015168275</v>
      </c>
      <c r="Y79" s="577">
        <f t="shared" si="19"/>
        <v>7893.1591630131752</v>
      </c>
      <c r="Z79" s="577">
        <f t="shared" si="19"/>
        <v>7998.2863552021518</v>
      </c>
      <c r="AA79" s="577">
        <f t="shared" si="19"/>
        <v>8102.9065030656757</v>
      </c>
      <c r="AB79" s="577">
        <f t="shared" si="19"/>
        <v>8208.0336952757061</v>
      </c>
      <c r="AC79" s="577">
        <f t="shared" si="19"/>
        <v>8312.6538431627687</v>
      </c>
      <c r="AD79" s="577">
        <f t="shared" si="19"/>
        <v>8417.273991063752</v>
      </c>
      <c r="AE79" s="577">
        <f t="shared" si="19"/>
        <v>8522.4011833159784</v>
      </c>
      <c r="AF79" s="577">
        <f t="shared" si="19"/>
        <v>8627.0213312500418</v>
      </c>
      <c r="AG79" s="577">
        <f t="shared" si="19"/>
        <v>8731.6414792035484</v>
      </c>
      <c r="AH79" s="752">
        <f t="shared" si="19"/>
        <v>8836.7686715146883</v>
      </c>
      <c r="AI79" s="18"/>
      <c r="AJ79" s="18"/>
      <c r="AK79" s="18"/>
      <c r="AL79" s="18"/>
      <c r="AM79" s="18"/>
      <c r="AN79" s="18"/>
    </row>
    <row r="80" spans="2:40" ht="21.95" customHeight="1" x14ac:dyDescent="0.2">
      <c r="B80" s="232"/>
      <c r="C80" s="715"/>
      <c r="D80" s="715"/>
      <c r="E80" s="116"/>
      <c r="F80" s="116"/>
      <c r="G80" s="116"/>
      <c r="H80" s="124" t="s">
        <v>19</v>
      </c>
      <c r="I80" s="577">
        <f t="shared" ref="I80:AH80" si="20">I35*$E$21</f>
        <v>676.05911330049253</v>
      </c>
      <c r="J80" s="577">
        <f t="shared" si="20"/>
        <v>1094.5397044334975</v>
      </c>
      <c r="K80" s="577">
        <f t="shared" si="20"/>
        <v>3122.7170443349746</v>
      </c>
      <c r="L80" s="577">
        <f t="shared" si="20"/>
        <v>6602.3933004926112</v>
      </c>
      <c r="M80" s="577">
        <f t="shared" si="20"/>
        <v>10084.773793103453</v>
      </c>
      <c r="N80" s="577">
        <f t="shared" si="20"/>
        <v>13565.802167487853</v>
      </c>
      <c r="O80" s="577">
        <f t="shared" si="20"/>
        <v>17045.478423647375</v>
      </c>
      <c r="P80" s="577">
        <f t="shared" si="20"/>
        <v>20530.563152725241</v>
      </c>
      <c r="Q80" s="577">
        <f t="shared" si="20"/>
        <v>22402.570837479889</v>
      </c>
      <c r="R80" s="577">
        <f t="shared" si="20"/>
        <v>24277.282758721052</v>
      </c>
      <c r="S80" s="577">
        <f t="shared" si="20"/>
        <v>26149.966502690339</v>
      </c>
      <c r="T80" s="577">
        <f t="shared" si="20"/>
        <v>28021.974187678392</v>
      </c>
      <c r="U80" s="577">
        <f t="shared" si="20"/>
        <v>29898.714286706418</v>
      </c>
      <c r="V80" s="577">
        <f t="shared" si="20"/>
        <v>30317.194878003327</v>
      </c>
      <c r="W80" s="577">
        <f t="shared" si="20"/>
        <v>30735.675469324506</v>
      </c>
      <c r="X80" s="577">
        <f t="shared" si="20"/>
        <v>31154.1560606731</v>
      </c>
      <c r="Y80" s="577">
        <f t="shared" si="20"/>
        <v>31572.636652052701</v>
      </c>
      <c r="Z80" s="577">
        <f t="shared" si="20"/>
        <v>31993.145420808607</v>
      </c>
      <c r="AA80" s="577">
        <f t="shared" si="20"/>
        <v>32411.626012262703</v>
      </c>
      <c r="AB80" s="577">
        <f t="shared" si="20"/>
        <v>32832.134781102824</v>
      </c>
      <c r="AC80" s="577">
        <f t="shared" si="20"/>
        <v>33250.615372651075</v>
      </c>
      <c r="AD80" s="577">
        <f t="shared" si="20"/>
        <v>33669.095964255008</v>
      </c>
      <c r="AE80" s="577">
        <f t="shared" si="20"/>
        <v>34089.604733263914</v>
      </c>
      <c r="AF80" s="577">
        <f t="shared" si="20"/>
        <v>34508.085325000167</v>
      </c>
      <c r="AG80" s="577">
        <f t="shared" si="20"/>
        <v>34926.565916814194</v>
      </c>
      <c r="AH80" s="752">
        <f t="shared" si="20"/>
        <v>35347.074686058753</v>
      </c>
      <c r="AI80" s="18"/>
      <c r="AJ80" s="18"/>
      <c r="AK80" s="18"/>
      <c r="AL80" s="18"/>
      <c r="AM80" s="18"/>
      <c r="AN80" s="18"/>
    </row>
    <row r="81" spans="2:40" ht="21.95" customHeight="1" x14ac:dyDescent="0.2">
      <c r="B81" s="232"/>
      <c r="C81" s="715"/>
      <c r="D81" s="715"/>
      <c r="E81" s="116"/>
      <c r="F81" s="116"/>
      <c r="G81" s="116"/>
      <c r="H81" s="721" t="s">
        <v>25</v>
      </c>
      <c r="I81" s="577">
        <f t="shared" ref="I81:AH81" si="21">SUM(I79:I80)</f>
        <v>845.07389162561572</v>
      </c>
      <c r="J81" s="577">
        <f t="shared" si="21"/>
        <v>1368.1746305418719</v>
      </c>
      <c r="K81" s="577">
        <f t="shared" si="21"/>
        <v>3903.3963054187184</v>
      </c>
      <c r="L81" s="577">
        <f t="shared" si="21"/>
        <v>8252.991625615763</v>
      </c>
      <c r="M81" s="577">
        <f t="shared" si="21"/>
        <v>12605.967241379316</v>
      </c>
      <c r="N81" s="577">
        <f t="shared" si="21"/>
        <v>16957.252709359815</v>
      </c>
      <c r="O81" s="577">
        <f t="shared" si="21"/>
        <v>21306.84802955922</v>
      </c>
      <c r="P81" s="577">
        <f t="shared" si="21"/>
        <v>25663.203940906551</v>
      </c>
      <c r="Q81" s="577">
        <f t="shared" si="21"/>
        <v>28003.21354684986</v>
      </c>
      <c r="R81" s="577">
        <f t="shared" si="21"/>
        <v>30346.603448401314</v>
      </c>
      <c r="S81" s="577">
        <f t="shared" si="21"/>
        <v>32687.458128362923</v>
      </c>
      <c r="T81" s="577">
        <f t="shared" si="21"/>
        <v>35027.467734597987</v>
      </c>
      <c r="U81" s="577">
        <f t="shared" si="21"/>
        <v>37373.39285838302</v>
      </c>
      <c r="V81" s="577">
        <f t="shared" si="21"/>
        <v>37896.493597504159</v>
      </c>
      <c r="W81" s="577">
        <f t="shared" si="21"/>
        <v>38419.594336655631</v>
      </c>
      <c r="X81" s="577">
        <f t="shared" si="21"/>
        <v>38942.695075841373</v>
      </c>
      <c r="Y81" s="577">
        <f t="shared" si="21"/>
        <v>39465.795815065874</v>
      </c>
      <c r="Z81" s="577">
        <f t="shared" si="21"/>
        <v>39991.431776010759</v>
      </c>
      <c r="AA81" s="577">
        <f t="shared" si="21"/>
        <v>40514.532515328377</v>
      </c>
      <c r="AB81" s="577">
        <f t="shared" si="21"/>
        <v>41040.168476378531</v>
      </c>
      <c r="AC81" s="577">
        <f t="shared" si="21"/>
        <v>41563.269215813845</v>
      </c>
      <c r="AD81" s="577">
        <f t="shared" si="21"/>
        <v>42086.369955318762</v>
      </c>
      <c r="AE81" s="577">
        <f t="shared" si="21"/>
        <v>42612.005916579888</v>
      </c>
      <c r="AF81" s="577">
        <f t="shared" si="21"/>
        <v>43135.106656250209</v>
      </c>
      <c r="AG81" s="577">
        <f t="shared" si="21"/>
        <v>43658.207396017744</v>
      </c>
      <c r="AH81" s="752">
        <f t="shared" si="21"/>
        <v>44183.843357573438</v>
      </c>
      <c r="AI81" s="18"/>
      <c r="AJ81" s="18"/>
      <c r="AK81" s="18"/>
      <c r="AL81" s="18"/>
      <c r="AM81" s="18"/>
      <c r="AN81" s="18"/>
    </row>
    <row r="82" spans="2:40" ht="21.95" customHeight="1" x14ac:dyDescent="0.2">
      <c r="B82" s="232"/>
      <c r="C82" s="715"/>
      <c r="D82" s="715"/>
      <c r="E82" s="1340" t="s">
        <v>323</v>
      </c>
      <c r="F82" s="220" t="s">
        <v>282</v>
      </c>
      <c r="G82" s="220" t="s">
        <v>339</v>
      </c>
      <c r="H82" s="116" t="s">
        <v>20</v>
      </c>
      <c r="I82" s="583">
        <f t="shared" ref="I82:AH82" si="22">I36*$F$20</f>
        <v>485.46798029556652</v>
      </c>
      <c r="J82" s="583">
        <f t="shared" si="22"/>
        <v>485.46798029556652</v>
      </c>
      <c r="K82" s="583">
        <f t="shared" si="22"/>
        <v>5680.4608405326298</v>
      </c>
      <c r="L82" s="583">
        <f t="shared" si="22"/>
        <v>10875.457614265299</v>
      </c>
      <c r="M82" s="583">
        <f t="shared" si="22"/>
        <v>16075.10412420313</v>
      </c>
      <c r="N82" s="583">
        <f t="shared" si="22"/>
        <v>21276.085295555382</v>
      </c>
      <c r="O82" s="583">
        <f t="shared" si="22"/>
        <v>26534.253614774952</v>
      </c>
      <c r="P82" s="583">
        <f t="shared" si="22"/>
        <v>32163.713751453495</v>
      </c>
      <c r="Q82" s="583">
        <f t="shared" si="22"/>
        <v>32163.720050607571</v>
      </c>
      <c r="R82" s="583">
        <f t="shared" si="22"/>
        <v>32163.720050607571</v>
      </c>
      <c r="S82" s="583">
        <f t="shared" si="22"/>
        <v>32163.720050607571</v>
      </c>
      <c r="T82" s="583">
        <f t="shared" si="22"/>
        <v>32163.720050607571</v>
      </c>
      <c r="U82" s="583">
        <f t="shared" si="22"/>
        <v>32163.720050607571</v>
      </c>
      <c r="V82" s="583">
        <f t="shared" si="22"/>
        <v>32163.720050607571</v>
      </c>
      <c r="W82" s="583">
        <f t="shared" si="22"/>
        <v>32163.720050607571</v>
      </c>
      <c r="X82" s="583">
        <f t="shared" si="22"/>
        <v>32163.720050607571</v>
      </c>
      <c r="Y82" s="583">
        <f t="shared" si="22"/>
        <v>32163.720050607571</v>
      </c>
      <c r="Z82" s="583">
        <f t="shared" si="22"/>
        <v>32163.720050607571</v>
      </c>
      <c r="AA82" s="583">
        <f t="shared" si="22"/>
        <v>32163.720050607571</v>
      </c>
      <c r="AB82" s="583">
        <f t="shared" si="22"/>
        <v>32163.720050607571</v>
      </c>
      <c r="AC82" s="583">
        <f t="shared" si="22"/>
        <v>32163.720050607571</v>
      </c>
      <c r="AD82" s="583">
        <f t="shared" si="22"/>
        <v>32163.720050607571</v>
      </c>
      <c r="AE82" s="583">
        <f t="shared" si="22"/>
        <v>32163.720050607571</v>
      </c>
      <c r="AF82" s="583">
        <f t="shared" si="22"/>
        <v>32163.720050607571</v>
      </c>
      <c r="AG82" s="583">
        <f t="shared" si="22"/>
        <v>32163.720050607571</v>
      </c>
      <c r="AH82" s="753">
        <f t="shared" si="22"/>
        <v>32163.720050607571</v>
      </c>
      <c r="AI82" s="18"/>
      <c r="AJ82" s="18"/>
      <c r="AK82" s="18"/>
      <c r="AL82" s="18"/>
      <c r="AM82" s="18"/>
      <c r="AN82" s="18"/>
    </row>
    <row r="83" spans="2:40" ht="21.95" customHeight="1" x14ac:dyDescent="0.2">
      <c r="B83" s="232"/>
      <c r="C83" s="715"/>
      <c r="D83" s="715"/>
      <c r="E83" s="1340"/>
      <c r="F83" s="116"/>
      <c r="G83" s="116"/>
      <c r="H83" s="124" t="s">
        <v>19</v>
      </c>
      <c r="I83" s="577">
        <f t="shared" ref="I83:AH83" si="23">I36*$F$21</f>
        <v>1941.8719211822661</v>
      </c>
      <c r="J83" s="577">
        <f t="shared" si="23"/>
        <v>1941.8719211822661</v>
      </c>
      <c r="K83" s="577">
        <f t="shared" si="23"/>
        <v>22721.843362130519</v>
      </c>
      <c r="L83" s="577">
        <f t="shared" si="23"/>
        <v>43501.830457061194</v>
      </c>
      <c r="M83" s="577">
        <f t="shared" si="23"/>
        <v>64300.416496812519</v>
      </c>
      <c r="N83" s="577">
        <f t="shared" si="23"/>
        <v>85104.341182221528</v>
      </c>
      <c r="O83" s="577">
        <f t="shared" si="23"/>
        <v>106137.01445909981</v>
      </c>
      <c r="P83" s="577">
        <f t="shared" si="23"/>
        <v>128654.85500581398</v>
      </c>
      <c r="Q83" s="577">
        <f t="shared" si="23"/>
        <v>128654.88020243029</v>
      </c>
      <c r="R83" s="577">
        <f t="shared" si="23"/>
        <v>128654.88020243029</v>
      </c>
      <c r="S83" s="577">
        <f t="shared" si="23"/>
        <v>128654.88020243029</v>
      </c>
      <c r="T83" s="577">
        <f t="shared" si="23"/>
        <v>128654.88020243029</v>
      </c>
      <c r="U83" s="577">
        <f t="shared" si="23"/>
        <v>128654.88020243029</v>
      </c>
      <c r="V83" s="577">
        <f t="shared" si="23"/>
        <v>128654.88020243029</v>
      </c>
      <c r="W83" s="577">
        <f t="shared" si="23"/>
        <v>128654.88020243029</v>
      </c>
      <c r="X83" s="577">
        <f t="shared" si="23"/>
        <v>128654.88020243029</v>
      </c>
      <c r="Y83" s="577">
        <f t="shared" si="23"/>
        <v>128654.88020243029</v>
      </c>
      <c r="Z83" s="577">
        <f t="shared" si="23"/>
        <v>128654.88020243029</v>
      </c>
      <c r="AA83" s="577">
        <f t="shared" si="23"/>
        <v>128654.88020243029</v>
      </c>
      <c r="AB83" s="577">
        <f t="shared" si="23"/>
        <v>128654.88020243029</v>
      </c>
      <c r="AC83" s="577">
        <f t="shared" si="23"/>
        <v>128654.88020243029</v>
      </c>
      <c r="AD83" s="577">
        <f t="shared" si="23"/>
        <v>128654.88020243029</v>
      </c>
      <c r="AE83" s="577">
        <f t="shared" si="23"/>
        <v>128654.88020243029</v>
      </c>
      <c r="AF83" s="577">
        <f t="shared" si="23"/>
        <v>128654.88020243029</v>
      </c>
      <c r="AG83" s="577">
        <f t="shared" si="23"/>
        <v>128654.88020243029</v>
      </c>
      <c r="AH83" s="752">
        <f t="shared" si="23"/>
        <v>128654.88020243029</v>
      </c>
      <c r="AI83" s="18"/>
      <c r="AJ83" s="18"/>
      <c r="AK83" s="18"/>
      <c r="AL83" s="18"/>
      <c r="AM83" s="18"/>
      <c r="AN83" s="18"/>
    </row>
    <row r="84" spans="2:40" ht="21.95" customHeight="1" x14ac:dyDescent="0.2">
      <c r="B84" s="232"/>
      <c r="C84" s="715"/>
      <c r="D84" s="715"/>
      <c r="E84" s="1340"/>
      <c r="F84" s="116"/>
      <c r="G84" s="116"/>
      <c r="H84" s="720" t="s">
        <v>25</v>
      </c>
      <c r="I84" s="577">
        <f t="shared" ref="I84:AH84" si="24">SUM(I82:I83)</f>
        <v>2427.3399014778324</v>
      </c>
      <c r="J84" s="577">
        <f t="shared" si="24"/>
        <v>2427.3399014778324</v>
      </c>
      <c r="K84" s="577">
        <f t="shared" si="24"/>
        <v>28402.304202663148</v>
      </c>
      <c r="L84" s="577">
        <f t="shared" si="24"/>
        <v>54377.288071326489</v>
      </c>
      <c r="M84" s="577">
        <f t="shared" si="24"/>
        <v>80375.520621015647</v>
      </c>
      <c r="N84" s="577">
        <f t="shared" si="24"/>
        <v>106380.42647777691</v>
      </c>
      <c r="O84" s="577">
        <f t="shared" si="24"/>
        <v>132671.26807387476</v>
      </c>
      <c r="P84" s="577">
        <f t="shared" si="24"/>
        <v>160818.56875726747</v>
      </c>
      <c r="Q84" s="577">
        <f t="shared" si="24"/>
        <v>160818.60025303785</v>
      </c>
      <c r="R84" s="577">
        <f t="shared" si="24"/>
        <v>160818.60025303785</v>
      </c>
      <c r="S84" s="577">
        <f t="shared" si="24"/>
        <v>160818.60025303785</v>
      </c>
      <c r="T84" s="577">
        <f t="shared" si="24"/>
        <v>160818.60025303785</v>
      </c>
      <c r="U84" s="577">
        <f t="shared" si="24"/>
        <v>160818.60025303785</v>
      </c>
      <c r="V84" s="577">
        <f t="shared" si="24"/>
        <v>160818.60025303785</v>
      </c>
      <c r="W84" s="577">
        <f t="shared" si="24"/>
        <v>160818.60025303785</v>
      </c>
      <c r="X84" s="577">
        <f t="shared" si="24"/>
        <v>160818.60025303785</v>
      </c>
      <c r="Y84" s="577">
        <f t="shared" si="24"/>
        <v>160818.60025303785</v>
      </c>
      <c r="Z84" s="577">
        <f t="shared" si="24"/>
        <v>160818.60025303785</v>
      </c>
      <c r="AA84" s="577">
        <f t="shared" si="24"/>
        <v>160818.60025303785</v>
      </c>
      <c r="AB84" s="577">
        <f t="shared" si="24"/>
        <v>160818.60025303785</v>
      </c>
      <c r="AC84" s="577">
        <f t="shared" si="24"/>
        <v>160818.60025303785</v>
      </c>
      <c r="AD84" s="577">
        <f t="shared" si="24"/>
        <v>160818.60025303785</v>
      </c>
      <c r="AE84" s="577">
        <f t="shared" si="24"/>
        <v>160818.60025303785</v>
      </c>
      <c r="AF84" s="577">
        <f t="shared" si="24"/>
        <v>160818.60025303785</v>
      </c>
      <c r="AG84" s="577">
        <f t="shared" si="24"/>
        <v>160818.60025303785</v>
      </c>
      <c r="AH84" s="752">
        <f t="shared" si="24"/>
        <v>160818.60025303785</v>
      </c>
      <c r="AI84" s="18"/>
      <c r="AJ84" s="18"/>
      <c r="AK84" s="18"/>
      <c r="AL84" s="18"/>
      <c r="AM84" s="18"/>
      <c r="AN84" s="18"/>
    </row>
    <row r="85" spans="2:40" ht="21.95" customHeight="1" x14ac:dyDescent="0.2">
      <c r="B85" s="232"/>
      <c r="C85" s="715"/>
      <c r="D85" s="715"/>
      <c r="E85" s="1340"/>
      <c r="F85" s="116" t="s">
        <v>339</v>
      </c>
      <c r="G85" s="116" t="s">
        <v>288</v>
      </c>
      <c r="H85" s="116" t="s">
        <v>20</v>
      </c>
      <c r="I85" s="577">
        <f t="shared" ref="I85:AH85" si="25">I37*$F$20</f>
        <v>121.86449864498645</v>
      </c>
      <c r="J85" s="577">
        <f t="shared" si="25"/>
        <v>231.54254742547857</v>
      </c>
      <c r="K85" s="577">
        <f t="shared" si="25"/>
        <v>341.22059620626601</v>
      </c>
      <c r="L85" s="577">
        <f t="shared" si="25"/>
        <v>742.26558422453797</v>
      </c>
      <c r="M85" s="577">
        <f t="shared" si="25"/>
        <v>1142.7568202346536</v>
      </c>
      <c r="N85" s="577">
        <f t="shared" si="25"/>
        <v>1544.3605170333001</v>
      </c>
      <c r="O85" s="577">
        <f t="shared" si="25"/>
        <v>1945.4634188144255</v>
      </c>
      <c r="P85" s="577">
        <f t="shared" si="25"/>
        <v>2346.9397329995722</v>
      </c>
      <c r="Q85" s="577">
        <f t="shared" si="25"/>
        <v>3052.4932029287606</v>
      </c>
      <c r="R85" s="577">
        <f t="shared" si="25"/>
        <v>3824.2186527417639</v>
      </c>
      <c r="S85" s="577">
        <f t="shared" si="25"/>
        <v>4984.4768608376926</v>
      </c>
      <c r="T85" s="577">
        <f t="shared" si="25"/>
        <v>7859.3142244726496</v>
      </c>
      <c r="U85" s="577">
        <f t="shared" si="25"/>
        <v>16889.659477765246</v>
      </c>
      <c r="V85" s="577">
        <f t="shared" si="25"/>
        <v>19293.163466211448</v>
      </c>
      <c r="W85" s="577">
        <f t="shared" si="25"/>
        <v>19630.822976258067</v>
      </c>
      <c r="X85" s="577">
        <f t="shared" si="25"/>
        <v>19970.092589231401</v>
      </c>
      <c r="Y85" s="577">
        <f t="shared" si="25"/>
        <v>20309.376677569053</v>
      </c>
      <c r="Z85" s="577">
        <f t="shared" si="25"/>
        <v>20648.677279998527</v>
      </c>
      <c r="AA85" s="577">
        <f t="shared" si="25"/>
        <v>20987.997094019804</v>
      </c>
      <c r="AB85" s="577">
        <f t="shared" si="25"/>
        <v>21327.339201937895</v>
      </c>
      <c r="AC85" s="577">
        <f t="shared" si="25"/>
        <v>21666.707118067454</v>
      </c>
      <c r="AD85" s="577">
        <f t="shared" si="25"/>
        <v>22006.104840816683</v>
      </c>
      <c r="AE85" s="577">
        <f t="shared" si="25"/>
        <v>22343.823689416135</v>
      </c>
      <c r="AF85" s="577">
        <f t="shared" si="25"/>
        <v>22683.293858798152</v>
      </c>
      <c r="AG85" s="577">
        <f t="shared" si="25"/>
        <v>23022.810483638881</v>
      </c>
      <c r="AH85" s="752">
        <f t="shared" si="25"/>
        <v>23362.378950858823</v>
      </c>
      <c r="AI85" s="18"/>
      <c r="AJ85" s="18"/>
      <c r="AK85" s="18"/>
      <c r="AL85" s="18"/>
      <c r="AM85" s="18"/>
      <c r="AN85" s="18"/>
    </row>
    <row r="86" spans="2:40" ht="21.95" customHeight="1" x14ac:dyDescent="0.2">
      <c r="B86" s="232"/>
      <c r="C86" s="715"/>
      <c r="D86" s="715"/>
      <c r="E86" s="1340"/>
      <c r="F86" s="116"/>
      <c r="G86" s="116"/>
      <c r="H86" s="124" t="s">
        <v>19</v>
      </c>
      <c r="I86" s="577">
        <f t="shared" ref="I86:AH86" si="26">I37*$F$21</f>
        <v>487.45799457994582</v>
      </c>
      <c r="J86" s="577">
        <f t="shared" si="26"/>
        <v>926.1701897019143</v>
      </c>
      <c r="K86" s="577">
        <f t="shared" si="26"/>
        <v>1364.882384825064</v>
      </c>
      <c r="L86" s="577">
        <f t="shared" si="26"/>
        <v>2969.0623368981519</v>
      </c>
      <c r="M86" s="577">
        <f t="shared" si="26"/>
        <v>4571.0272809386142</v>
      </c>
      <c r="N86" s="577">
        <f t="shared" si="26"/>
        <v>6177.4420681332003</v>
      </c>
      <c r="O86" s="577">
        <f t="shared" si="26"/>
        <v>7781.853675257702</v>
      </c>
      <c r="P86" s="577">
        <f t="shared" si="26"/>
        <v>9387.758931998289</v>
      </c>
      <c r="Q86" s="577">
        <f t="shared" si="26"/>
        <v>12209.972811715043</v>
      </c>
      <c r="R86" s="577">
        <f t="shared" si="26"/>
        <v>15296.874610967056</v>
      </c>
      <c r="S86" s="577">
        <f t="shared" si="26"/>
        <v>19937.90744335077</v>
      </c>
      <c r="T86" s="577">
        <f t="shared" si="26"/>
        <v>31437.256897890598</v>
      </c>
      <c r="U86" s="577">
        <f t="shared" si="26"/>
        <v>67558.637911060985</v>
      </c>
      <c r="V86" s="577">
        <f t="shared" si="26"/>
        <v>77172.653864845794</v>
      </c>
      <c r="W86" s="577">
        <f t="shared" si="26"/>
        <v>78523.291905032267</v>
      </c>
      <c r="X86" s="577">
        <f t="shared" si="26"/>
        <v>79880.370356925603</v>
      </c>
      <c r="Y86" s="577">
        <f t="shared" si="26"/>
        <v>81237.506710276211</v>
      </c>
      <c r="Z86" s="577">
        <f t="shared" si="26"/>
        <v>82594.709119994106</v>
      </c>
      <c r="AA86" s="577">
        <f t="shared" si="26"/>
        <v>83951.988376079215</v>
      </c>
      <c r="AB86" s="577">
        <f t="shared" si="26"/>
        <v>85309.356807751581</v>
      </c>
      <c r="AC86" s="577">
        <f t="shared" si="26"/>
        <v>86666.828472269815</v>
      </c>
      <c r="AD86" s="577">
        <f t="shared" si="26"/>
        <v>88024.41936326673</v>
      </c>
      <c r="AE86" s="577">
        <f t="shared" si="26"/>
        <v>89375.294757664538</v>
      </c>
      <c r="AF86" s="577">
        <f t="shared" si="26"/>
        <v>90733.175435192607</v>
      </c>
      <c r="AG86" s="577">
        <f t="shared" si="26"/>
        <v>92091.241934555524</v>
      </c>
      <c r="AH86" s="752">
        <f t="shared" si="26"/>
        <v>93449.515803435293</v>
      </c>
      <c r="AI86" s="18"/>
      <c r="AJ86" s="18"/>
      <c r="AK86" s="18"/>
      <c r="AL86" s="18"/>
      <c r="AM86" s="18"/>
      <c r="AN86" s="18"/>
    </row>
    <row r="87" spans="2:40" ht="21.95" customHeight="1" x14ac:dyDescent="0.2">
      <c r="B87" s="232"/>
      <c r="C87" s="715"/>
      <c r="D87" s="715"/>
      <c r="E87" s="1340"/>
      <c r="F87" s="116"/>
      <c r="G87" s="116"/>
      <c r="H87" s="720" t="s">
        <v>25</v>
      </c>
      <c r="I87" s="577">
        <f t="shared" ref="I87:AH87" si="27">SUM(I85:I86)</f>
        <v>609.32249322493226</v>
      </c>
      <c r="J87" s="577">
        <f t="shared" si="27"/>
        <v>1157.7127371273928</v>
      </c>
      <c r="K87" s="577">
        <f t="shared" si="27"/>
        <v>1706.10298103133</v>
      </c>
      <c r="L87" s="577">
        <f t="shared" si="27"/>
        <v>3711.32792112269</v>
      </c>
      <c r="M87" s="577">
        <f t="shared" si="27"/>
        <v>5713.784101173268</v>
      </c>
      <c r="N87" s="577">
        <f t="shared" si="27"/>
        <v>7721.8025851665006</v>
      </c>
      <c r="O87" s="577">
        <f t="shared" si="27"/>
        <v>9727.3170940721284</v>
      </c>
      <c r="P87" s="577">
        <f t="shared" si="27"/>
        <v>11734.698664997861</v>
      </c>
      <c r="Q87" s="577">
        <f t="shared" si="27"/>
        <v>15262.466014643804</v>
      </c>
      <c r="R87" s="577">
        <f t="shared" si="27"/>
        <v>19121.093263708819</v>
      </c>
      <c r="S87" s="577">
        <f t="shared" si="27"/>
        <v>24922.384304188461</v>
      </c>
      <c r="T87" s="577">
        <f t="shared" si="27"/>
        <v>39296.571122363246</v>
      </c>
      <c r="U87" s="577">
        <f t="shared" si="27"/>
        <v>84448.297388826235</v>
      </c>
      <c r="V87" s="577">
        <f t="shared" si="27"/>
        <v>96465.817331057246</v>
      </c>
      <c r="W87" s="577">
        <f t="shared" si="27"/>
        <v>98154.114881290327</v>
      </c>
      <c r="X87" s="577">
        <f t="shared" si="27"/>
        <v>99850.462946157</v>
      </c>
      <c r="Y87" s="577">
        <f t="shared" si="27"/>
        <v>101546.88338784527</v>
      </c>
      <c r="Z87" s="577">
        <f t="shared" si="27"/>
        <v>103243.38639999263</v>
      </c>
      <c r="AA87" s="577">
        <f t="shared" si="27"/>
        <v>104939.98547009903</v>
      </c>
      <c r="AB87" s="577">
        <f t="shared" si="27"/>
        <v>106636.69600968948</v>
      </c>
      <c r="AC87" s="577">
        <f t="shared" si="27"/>
        <v>108333.53559033727</v>
      </c>
      <c r="AD87" s="577">
        <f t="shared" si="27"/>
        <v>110030.52420408341</v>
      </c>
      <c r="AE87" s="577">
        <f t="shared" si="27"/>
        <v>111719.11844708068</v>
      </c>
      <c r="AF87" s="577">
        <f t="shared" si="27"/>
        <v>113416.46929399075</v>
      </c>
      <c r="AG87" s="577">
        <f t="shared" si="27"/>
        <v>115114.05241819441</v>
      </c>
      <c r="AH87" s="752">
        <f t="shared" si="27"/>
        <v>116811.89475429412</v>
      </c>
      <c r="AI87" s="18"/>
      <c r="AJ87" s="18"/>
      <c r="AK87" s="18"/>
      <c r="AL87" s="18"/>
      <c r="AM87" s="18"/>
      <c r="AN87" s="18"/>
    </row>
    <row r="88" spans="2:40" ht="21.95" customHeight="1" x14ac:dyDescent="0.2">
      <c r="B88" s="232"/>
      <c r="C88" s="715"/>
      <c r="D88" s="715"/>
      <c r="E88" s="1340"/>
      <c r="F88" s="116" t="s">
        <v>288</v>
      </c>
      <c r="G88" s="116" t="s">
        <v>340</v>
      </c>
      <c r="H88" s="116" t="s">
        <v>20</v>
      </c>
      <c r="I88" s="577">
        <f t="shared" ref="I88:AH88" si="28">I38*$F$20</f>
        <v>388.97810218978105</v>
      </c>
      <c r="J88" s="577">
        <f t="shared" si="28"/>
        <v>738.8898369829684</v>
      </c>
      <c r="K88" s="577">
        <f t="shared" si="28"/>
        <v>1088.6848783454989</v>
      </c>
      <c r="L88" s="577">
        <f t="shared" si="28"/>
        <v>2368.383936739684</v>
      </c>
      <c r="M88" s="577">
        <f t="shared" si="28"/>
        <v>3648.1348588836468</v>
      </c>
      <c r="N88" s="577">
        <f t="shared" si="28"/>
        <v>4929.5194891297324</v>
      </c>
      <c r="O88" s="577">
        <f t="shared" si="28"/>
        <v>6209.2185484410884</v>
      </c>
      <c r="P88" s="577">
        <f t="shared" si="28"/>
        <v>7489.6955698760394</v>
      </c>
      <c r="Q88" s="577">
        <f t="shared" si="28"/>
        <v>9715.0005238393423</v>
      </c>
      <c r="R88" s="577">
        <f t="shared" si="28"/>
        <v>11939.398919189118</v>
      </c>
      <c r="S88" s="577">
        <f t="shared" si="28"/>
        <v>14164.542533480047</v>
      </c>
      <c r="T88" s="577">
        <f t="shared" si="28"/>
        <v>16389.881850645819</v>
      </c>
      <c r="U88" s="577">
        <f t="shared" si="28"/>
        <v>18616.939533475092</v>
      </c>
      <c r="V88" s="577">
        <f t="shared" si="28"/>
        <v>19911.637587194036</v>
      </c>
      <c r="W88" s="577">
        <f t="shared" si="28"/>
        <v>20261.626879506948</v>
      </c>
      <c r="X88" s="577">
        <f t="shared" si="28"/>
        <v>20611.63078688184</v>
      </c>
      <c r="Y88" s="577">
        <f t="shared" si="28"/>
        <v>20961.651745452367</v>
      </c>
      <c r="Z88" s="577">
        <f t="shared" si="28"/>
        <v>21311.575803353382</v>
      </c>
      <c r="AA88" s="577">
        <f t="shared" si="28"/>
        <v>21661.639619001133</v>
      </c>
      <c r="AB88" s="577">
        <f t="shared" si="28"/>
        <v>22011.613334821493</v>
      </c>
      <c r="AC88" s="577">
        <f t="shared" si="28"/>
        <v>22361.734590005661</v>
      </c>
      <c r="AD88" s="577">
        <f t="shared" si="28"/>
        <v>22711.891330792536</v>
      </c>
      <c r="AE88" s="577">
        <f t="shared" si="28"/>
        <v>23061.972081417269</v>
      </c>
      <c r="AF88" s="577">
        <f t="shared" si="28"/>
        <v>23412.216435637936</v>
      </c>
      <c r="AG88" s="577">
        <f t="shared" si="28"/>
        <v>23762.514406039209</v>
      </c>
      <c r="AH88" s="752">
        <f t="shared" si="28"/>
        <v>24112.75679567179</v>
      </c>
      <c r="AI88" s="18"/>
      <c r="AJ88" s="18"/>
      <c r="AK88" s="18"/>
      <c r="AL88" s="18"/>
      <c r="AM88" s="18"/>
      <c r="AN88" s="18"/>
    </row>
    <row r="89" spans="2:40" ht="21.95" customHeight="1" x14ac:dyDescent="0.2">
      <c r="B89" s="232"/>
      <c r="C89" s="715"/>
      <c r="D89" s="715"/>
      <c r="E89" s="1340"/>
      <c r="F89" s="116"/>
      <c r="G89" s="116"/>
      <c r="H89" s="124" t="s">
        <v>19</v>
      </c>
      <c r="I89" s="577">
        <f t="shared" ref="I89:AH89" si="29">I38*$F$21</f>
        <v>1555.9124087591242</v>
      </c>
      <c r="J89" s="577">
        <f t="shared" si="29"/>
        <v>2955.5593479318736</v>
      </c>
      <c r="K89" s="577">
        <f t="shared" si="29"/>
        <v>4354.7395133819955</v>
      </c>
      <c r="L89" s="577">
        <f t="shared" si="29"/>
        <v>9473.5357469587361</v>
      </c>
      <c r="M89" s="577">
        <f t="shared" si="29"/>
        <v>14592.539435534587</v>
      </c>
      <c r="N89" s="577">
        <f t="shared" si="29"/>
        <v>19718.07795651893</v>
      </c>
      <c r="O89" s="577">
        <f t="shared" si="29"/>
        <v>24836.874193764354</v>
      </c>
      <c r="P89" s="577">
        <f t="shared" si="29"/>
        <v>29958.782279504157</v>
      </c>
      <c r="Q89" s="577">
        <f t="shared" si="29"/>
        <v>38860.002095357369</v>
      </c>
      <c r="R89" s="577">
        <f t="shared" si="29"/>
        <v>47757.595676756471</v>
      </c>
      <c r="S89" s="577">
        <f t="shared" si="29"/>
        <v>56658.17013392019</v>
      </c>
      <c r="T89" s="577">
        <f t="shared" si="29"/>
        <v>65559.527402583277</v>
      </c>
      <c r="U89" s="577">
        <f t="shared" si="29"/>
        <v>74467.758133900366</v>
      </c>
      <c r="V89" s="577">
        <f t="shared" si="29"/>
        <v>79646.550348776145</v>
      </c>
      <c r="W89" s="577">
        <f t="shared" si="29"/>
        <v>81046.507518027793</v>
      </c>
      <c r="X89" s="577">
        <f t="shared" si="29"/>
        <v>82446.523147527361</v>
      </c>
      <c r="Y89" s="577">
        <f t="shared" si="29"/>
        <v>83846.606981809469</v>
      </c>
      <c r="Z89" s="577">
        <f t="shared" si="29"/>
        <v>85246.303213413528</v>
      </c>
      <c r="AA89" s="577">
        <f t="shared" si="29"/>
        <v>86646.558476004531</v>
      </c>
      <c r="AB89" s="577">
        <f t="shared" si="29"/>
        <v>88046.453339285974</v>
      </c>
      <c r="AC89" s="577">
        <f t="shared" si="29"/>
        <v>89446.938360022643</v>
      </c>
      <c r="AD89" s="577">
        <f t="shared" si="29"/>
        <v>90847.565323170144</v>
      </c>
      <c r="AE89" s="577">
        <f t="shared" si="29"/>
        <v>92247.888325669075</v>
      </c>
      <c r="AF89" s="577">
        <f t="shared" si="29"/>
        <v>93648.865742551745</v>
      </c>
      <c r="AG89" s="577">
        <f t="shared" si="29"/>
        <v>95050.057624156834</v>
      </c>
      <c r="AH89" s="752">
        <f t="shared" si="29"/>
        <v>96451.027182687161</v>
      </c>
      <c r="AI89" s="18"/>
      <c r="AJ89" s="18"/>
      <c r="AK89" s="18"/>
      <c r="AL89" s="18"/>
      <c r="AM89" s="18"/>
      <c r="AN89" s="18"/>
    </row>
    <row r="90" spans="2:40" ht="21.95" customHeight="1" x14ac:dyDescent="0.2">
      <c r="B90" s="232"/>
      <c r="C90" s="715"/>
      <c r="D90" s="715"/>
      <c r="E90" s="1340"/>
      <c r="F90" s="116"/>
      <c r="G90" s="116"/>
      <c r="H90" s="720" t="s">
        <v>25</v>
      </c>
      <c r="I90" s="577">
        <f t="shared" ref="I90:AH90" si="30">SUM(I88:I89)</f>
        <v>1944.8905109489053</v>
      </c>
      <c r="J90" s="577">
        <f t="shared" si="30"/>
        <v>3694.4491849148421</v>
      </c>
      <c r="K90" s="577">
        <f t="shared" si="30"/>
        <v>5443.4243917274944</v>
      </c>
      <c r="L90" s="577">
        <f t="shared" si="30"/>
        <v>11841.919683698419</v>
      </c>
      <c r="M90" s="577">
        <f t="shared" si="30"/>
        <v>18240.674294418233</v>
      </c>
      <c r="N90" s="577">
        <f t="shared" si="30"/>
        <v>24647.597445648662</v>
      </c>
      <c r="O90" s="577">
        <f t="shared" si="30"/>
        <v>31046.092742205441</v>
      </c>
      <c r="P90" s="577">
        <f t="shared" si="30"/>
        <v>37448.4778493802</v>
      </c>
      <c r="Q90" s="577">
        <f t="shared" si="30"/>
        <v>48575.002619196712</v>
      </c>
      <c r="R90" s="577">
        <f t="shared" si="30"/>
        <v>59696.994595945587</v>
      </c>
      <c r="S90" s="577">
        <f t="shared" si="30"/>
        <v>70822.712667400236</v>
      </c>
      <c r="T90" s="577">
        <f t="shared" si="30"/>
        <v>81949.409253229096</v>
      </c>
      <c r="U90" s="577">
        <f t="shared" si="30"/>
        <v>93084.697667375454</v>
      </c>
      <c r="V90" s="577">
        <f t="shared" si="30"/>
        <v>99558.187935970185</v>
      </c>
      <c r="W90" s="577">
        <f t="shared" si="30"/>
        <v>101308.13439753474</v>
      </c>
      <c r="X90" s="577">
        <f t="shared" si="30"/>
        <v>103058.1539344092</v>
      </c>
      <c r="Y90" s="577">
        <f t="shared" si="30"/>
        <v>104808.25872726184</v>
      </c>
      <c r="Z90" s="577">
        <f t="shared" si="30"/>
        <v>106557.87901676691</v>
      </c>
      <c r="AA90" s="577">
        <f t="shared" si="30"/>
        <v>108308.19809500566</v>
      </c>
      <c r="AB90" s="577">
        <f t="shared" si="30"/>
        <v>110058.06667410747</v>
      </c>
      <c r="AC90" s="577">
        <f t="shared" si="30"/>
        <v>111808.6729500283</v>
      </c>
      <c r="AD90" s="577">
        <f t="shared" si="30"/>
        <v>113559.45665396268</v>
      </c>
      <c r="AE90" s="577">
        <f t="shared" si="30"/>
        <v>115309.86040708635</v>
      </c>
      <c r="AF90" s="577">
        <f t="shared" si="30"/>
        <v>117061.08217818968</v>
      </c>
      <c r="AG90" s="577">
        <f t="shared" si="30"/>
        <v>118812.57203019604</v>
      </c>
      <c r="AH90" s="752">
        <f t="shared" si="30"/>
        <v>120563.78397835896</v>
      </c>
      <c r="AI90" s="18"/>
      <c r="AJ90" s="18"/>
      <c r="AK90" s="18"/>
      <c r="AL90" s="18"/>
      <c r="AM90" s="18"/>
      <c r="AN90" s="18"/>
    </row>
    <row r="91" spans="2:40" ht="21.95" customHeight="1" x14ac:dyDescent="0.2">
      <c r="B91" s="232"/>
      <c r="C91" s="715"/>
      <c r="D91" s="715"/>
      <c r="E91" s="1340"/>
      <c r="F91" s="116" t="s">
        <v>340</v>
      </c>
      <c r="G91" s="116" t="s">
        <v>280</v>
      </c>
      <c r="H91" s="116" t="s">
        <v>20</v>
      </c>
      <c r="I91" s="577">
        <f t="shared" ref="I91:AH91" si="31">I39*$F$20</f>
        <v>559.48905109489056</v>
      </c>
      <c r="J91" s="577">
        <f t="shared" si="31"/>
        <v>1062.7867518248174</v>
      </c>
      <c r="K91" s="577">
        <f t="shared" si="31"/>
        <v>1565.9166058394164</v>
      </c>
      <c r="L91" s="577">
        <f t="shared" si="31"/>
        <v>3406.5796350365317</v>
      </c>
      <c r="M91" s="577">
        <f t="shared" si="31"/>
        <v>5247.3172627778476</v>
      </c>
      <c r="N91" s="577">
        <f t="shared" si="31"/>
        <v>7090.4047446386576</v>
      </c>
      <c r="O91" s="577">
        <f t="shared" si="31"/>
        <v>8931.0677751549938</v>
      </c>
      <c r="P91" s="577">
        <f t="shared" si="31"/>
        <v>10772.849792287456</v>
      </c>
      <c r="Q91" s="577">
        <f t="shared" si="31"/>
        <v>13973.630890453849</v>
      </c>
      <c r="R91" s="577">
        <f t="shared" si="31"/>
        <v>17173.108034450102</v>
      </c>
      <c r="S91" s="577">
        <f t="shared" si="31"/>
        <v>20373.657068704182</v>
      </c>
      <c r="T91" s="577">
        <f t="shared" si="31"/>
        <v>23574.487593394675</v>
      </c>
      <c r="U91" s="577">
        <f t="shared" si="31"/>
        <v>26777.789739929925</v>
      </c>
      <c r="V91" s="577">
        <f t="shared" si="31"/>
        <v>28640.026666511971</v>
      </c>
      <c r="W91" s="577">
        <f t="shared" si="31"/>
        <v>29143.43592257849</v>
      </c>
      <c r="X91" s="577">
        <f t="shared" si="31"/>
        <v>29646.866200309494</v>
      </c>
      <c r="Y91" s="577">
        <f t="shared" si="31"/>
        <v>30150.321003732854</v>
      </c>
      <c r="Z91" s="577">
        <f t="shared" si="31"/>
        <v>30653.636429480895</v>
      </c>
      <c r="AA91" s="577">
        <f t="shared" si="31"/>
        <v>31157.152876645468</v>
      </c>
      <c r="AB91" s="577">
        <f t="shared" si="31"/>
        <v>31660.5397281679</v>
      </c>
      <c r="AC91" s="577">
        <f t="shared" si="31"/>
        <v>32164.138793843758</v>
      </c>
      <c r="AD91" s="577">
        <f t="shared" si="31"/>
        <v>32667.78890045502</v>
      </c>
      <c r="AE91" s="577">
        <f t="shared" si="31"/>
        <v>33171.329706148121</v>
      </c>
      <c r="AF91" s="577">
        <f t="shared" si="31"/>
        <v>33675.105832081965</v>
      </c>
      <c r="AG91" s="577">
        <f t="shared" si="31"/>
        <v>34178.959077179687</v>
      </c>
      <c r="AH91" s="752">
        <f t="shared" si="31"/>
        <v>34682.732377336142</v>
      </c>
      <c r="AI91" s="18"/>
      <c r="AJ91" s="18"/>
      <c r="AK91" s="18"/>
      <c r="AL91" s="18"/>
      <c r="AM91" s="18"/>
      <c r="AN91" s="18"/>
    </row>
    <row r="92" spans="2:40" ht="21.95" customHeight="1" x14ac:dyDescent="0.2">
      <c r="B92" s="232"/>
      <c r="C92" s="715"/>
      <c r="D92" s="715"/>
      <c r="E92" s="1340"/>
      <c r="F92" s="116"/>
      <c r="G92" s="116"/>
      <c r="H92" s="116" t="s">
        <v>19</v>
      </c>
      <c r="I92" s="577">
        <f t="shared" ref="I92:AH92" si="32">I39*$F$21</f>
        <v>2237.9562043795622</v>
      </c>
      <c r="J92" s="577">
        <f t="shared" si="32"/>
        <v>4251.1470072992697</v>
      </c>
      <c r="K92" s="577">
        <f t="shared" si="32"/>
        <v>6263.6664233576657</v>
      </c>
      <c r="L92" s="577">
        <f t="shared" si="32"/>
        <v>13626.318540146127</v>
      </c>
      <c r="M92" s="577">
        <f t="shared" si="32"/>
        <v>20989.269051111391</v>
      </c>
      <c r="N92" s="577">
        <f t="shared" si="32"/>
        <v>28361.61897855463</v>
      </c>
      <c r="O92" s="577">
        <f t="shared" si="32"/>
        <v>35724.271100619975</v>
      </c>
      <c r="P92" s="577">
        <f t="shared" si="32"/>
        <v>43091.399169149823</v>
      </c>
      <c r="Q92" s="577">
        <f t="shared" si="32"/>
        <v>55894.523561815397</v>
      </c>
      <c r="R92" s="577">
        <f t="shared" si="32"/>
        <v>68692.43213780041</v>
      </c>
      <c r="S92" s="577">
        <f t="shared" si="32"/>
        <v>81494.628274816729</v>
      </c>
      <c r="T92" s="577">
        <f t="shared" si="32"/>
        <v>94297.9503735787</v>
      </c>
      <c r="U92" s="577">
        <f t="shared" si="32"/>
        <v>107111.1589597197</v>
      </c>
      <c r="V92" s="577">
        <f t="shared" si="32"/>
        <v>114560.10666604788</v>
      </c>
      <c r="W92" s="577">
        <f t="shared" si="32"/>
        <v>116573.74369031396</v>
      </c>
      <c r="X92" s="577">
        <f t="shared" si="32"/>
        <v>118587.46480123798</v>
      </c>
      <c r="Y92" s="577">
        <f t="shared" si="32"/>
        <v>120601.28401493141</v>
      </c>
      <c r="Z92" s="577">
        <f t="shared" si="32"/>
        <v>122614.54571792358</v>
      </c>
      <c r="AA92" s="577">
        <f t="shared" si="32"/>
        <v>124628.61150658187</v>
      </c>
      <c r="AB92" s="577">
        <f t="shared" si="32"/>
        <v>126642.1589126716</v>
      </c>
      <c r="AC92" s="577">
        <f t="shared" si="32"/>
        <v>128656.55517537503</v>
      </c>
      <c r="AD92" s="577">
        <f t="shared" si="32"/>
        <v>130671.15560182008</v>
      </c>
      <c r="AE92" s="577">
        <f t="shared" si="32"/>
        <v>132685.31882459248</v>
      </c>
      <c r="AF92" s="577">
        <f t="shared" si="32"/>
        <v>134700.42332832786</v>
      </c>
      <c r="AG92" s="577">
        <f t="shared" si="32"/>
        <v>136715.83630871875</v>
      </c>
      <c r="AH92" s="752">
        <f t="shared" si="32"/>
        <v>138730.92950934457</v>
      </c>
      <c r="AI92" s="18"/>
      <c r="AJ92" s="18"/>
      <c r="AK92" s="18"/>
      <c r="AL92" s="18"/>
      <c r="AM92" s="18"/>
      <c r="AN92" s="18"/>
    </row>
    <row r="93" spans="2:40" ht="21.95" customHeight="1" x14ac:dyDescent="0.2">
      <c r="B93" s="232"/>
      <c r="C93" s="715"/>
      <c r="D93" s="715"/>
      <c r="E93" s="1340"/>
      <c r="F93" s="254"/>
      <c r="G93" s="254"/>
      <c r="H93" s="721" t="s">
        <v>25</v>
      </c>
      <c r="I93" s="587">
        <f t="shared" ref="I93:AH93" si="33">SUM(I91:I92)</f>
        <v>2797.445255474453</v>
      </c>
      <c r="J93" s="587">
        <f t="shared" si="33"/>
        <v>5313.9337591240874</v>
      </c>
      <c r="K93" s="587">
        <f t="shared" si="33"/>
        <v>7829.5830291970824</v>
      </c>
      <c r="L93" s="587">
        <f t="shared" si="33"/>
        <v>17032.898175182658</v>
      </c>
      <c r="M93" s="587">
        <f t="shared" si="33"/>
        <v>26236.586313889238</v>
      </c>
      <c r="N93" s="587">
        <f t="shared" si="33"/>
        <v>35452.023723193284</v>
      </c>
      <c r="O93" s="587">
        <f t="shared" si="33"/>
        <v>44655.338875774971</v>
      </c>
      <c r="P93" s="587">
        <f t="shared" si="33"/>
        <v>53864.248961437275</v>
      </c>
      <c r="Q93" s="587">
        <f t="shared" si="33"/>
        <v>69868.154452269242</v>
      </c>
      <c r="R93" s="587">
        <f t="shared" si="33"/>
        <v>85865.540172250505</v>
      </c>
      <c r="S93" s="587">
        <f t="shared" si="33"/>
        <v>101868.28534352091</v>
      </c>
      <c r="T93" s="587">
        <f t="shared" si="33"/>
        <v>117872.43796697338</v>
      </c>
      <c r="U93" s="587">
        <f t="shared" si="33"/>
        <v>133888.94869964963</v>
      </c>
      <c r="V93" s="587">
        <f t="shared" si="33"/>
        <v>143200.13333255984</v>
      </c>
      <c r="W93" s="587">
        <f t="shared" si="33"/>
        <v>145717.17961289245</v>
      </c>
      <c r="X93" s="587">
        <f t="shared" si="33"/>
        <v>148234.33100154746</v>
      </c>
      <c r="Y93" s="587">
        <f t="shared" si="33"/>
        <v>150751.60501866427</v>
      </c>
      <c r="Z93" s="587">
        <f t="shared" si="33"/>
        <v>153268.18214740447</v>
      </c>
      <c r="AA93" s="587">
        <f t="shared" si="33"/>
        <v>155785.76438322733</v>
      </c>
      <c r="AB93" s="587">
        <f t="shared" si="33"/>
        <v>158302.69864083949</v>
      </c>
      <c r="AC93" s="587">
        <f t="shared" si="33"/>
        <v>160820.69396921879</v>
      </c>
      <c r="AD93" s="587">
        <f t="shared" si="33"/>
        <v>163338.94450227509</v>
      </c>
      <c r="AE93" s="587">
        <f t="shared" si="33"/>
        <v>165856.64853074061</v>
      </c>
      <c r="AF93" s="587">
        <f t="shared" si="33"/>
        <v>168375.52916040982</v>
      </c>
      <c r="AG93" s="587">
        <f t="shared" si="33"/>
        <v>170894.79538589844</v>
      </c>
      <c r="AH93" s="754">
        <f t="shared" si="33"/>
        <v>173413.6618866807</v>
      </c>
      <c r="AI93" s="18"/>
      <c r="AJ93" s="18"/>
      <c r="AK93" s="18"/>
      <c r="AL93" s="18"/>
      <c r="AM93" s="18"/>
      <c r="AN93" s="18"/>
    </row>
    <row r="94" spans="2:40" ht="21.95" customHeight="1" x14ac:dyDescent="0.2">
      <c r="B94" s="232"/>
      <c r="C94" s="715"/>
      <c r="D94" s="715"/>
      <c r="E94" s="1340" t="s">
        <v>334</v>
      </c>
      <c r="F94" s="116" t="s">
        <v>336</v>
      </c>
      <c r="G94" s="116" t="s">
        <v>337</v>
      </c>
      <c r="H94" s="116" t="s">
        <v>20</v>
      </c>
      <c r="I94" s="577">
        <f t="shared" ref="I94:AH94" si="34">I40*$G$20</f>
        <v>14055.08160965871</v>
      </c>
      <c r="J94" s="577">
        <f t="shared" si="34"/>
        <v>14435.846323283944</v>
      </c>
      <c r="K94" s="577">
        <f t="shared" si="34"/>
        <v>15055.578283787529</v>
      </c>
      <c r="L94" s="577">
        <f t="shared" si="34"/>
        <v>15944.742388868201</v>
      </c>
      <c r="M94" s="577">
        <f t="shared" si="34"/>
        <v>16834.408357553988</v>
      </c>
      <c r="N94" s="577">
        <f t="shared" si="34"/>
        <v>17724.136961884946</v>
      </c>
      <c r="O94" s="577">
        <f t="shared" si="34"/>
        <v>18613.822829654586</v>
      </c>
      <c r="P94" s="577">
        <f t="shared" si="34"/>
        <v>19504.663847534845</v>
      </c>
      <c r="Q94" s="577">
        <f t="shared" si="34"/>
        <v>20297.205860438065</v>
      </c>
      <c r="R94" s="577">
        <f t="shared" si="34"/>
        <v>21090.688067243096</v>
      </c>
      <c r="S94" s="577">
        <f t="shared" si="34"/>
        <v>21884.889412524091</v>
      </c>
      <c r="T94" s="577">
        <f t="shared" si="34"/>
        <v>22680.442159505223</v>
      </c>
      <c r="U94" s="577">
        <f t="shared" si="34"/>
        <v>23478.563822276952</v>
      </c>
      <c r="V94" s="577">
        <f t="shared" si="34"/>
        <v>24005.452889116066</v>
      </c>
      <c r="W94" s="577">
        <f t="shared" si="34"/>
        <v>24391.036273203896</v>
      </c>
      <c r="X94" s="577">
        <f t="shared" si="34"/>
        <v>24777.438812830762</v>
      </c>
      <c r="Y94" s="577">
        <f t="shared" si="34"/>
        <v>25164.783186274355</v>
      </c>
      <c r="Z94" s="577">
        <f t="shared" si="34"/>
        <v>25553.413265642022</v>
      </c>
      <c r="AA94" s="577">
        <f t="shared" si="34"/>
        <v>25943.076043829962</v>
      </c>
      <c r="AB94" s="577">
        <f t="shared" si="34"/>
        <v>26334.359170005493</v>
      </c>
      <c r="AC94" s="577">
        <f t="shared" si="34"/>
        <v>26727.048757615441</v>
      </c>
      <c r="AD94" s="577">
        <f t="shared" si="34"/>
        <v>27121.573559834917</v>
      </c>
      <c r="AE94" s="577">
        <f t="shared" si="34"/>
        <v>27518.393219847854</v>
      </c>
      <c r="AF94" s="577">
        <f t="shared" si="34"/>
        <v>27917.369250703974</v>
      </c>
      <c r="AG94" s="577">
        <f t="shared" si="34"/>
        <v>28319.022810162231</v>
      </c>
      <c r="AH94" s="752">
        <f t="shared" si="34"/>
        <v>28723.916948539045</v>
      </c>
      <c r="AI94" s="18"/>
      <c r="AJ94" s="18"/>
      <c r="AK94" s="18"/>
      <c r="AL94" s="18"/>
      <c r="AM94" s="18"/>
      <c r="AN94" s="18"/>
    </row>
    <row r="95" spans="2:40" ht="21.95" customHeight="1" x14ac:dyDescent="0.2">
      <c r="B95" s="232"/>
      <c r="C95" s="715"/>
      <c r="D95" s="715"/>
      <c r="E95" s="1340"/>
      <c r="F95" s="116"/>
      <c r="G95" s="116"/>
      <c r="H95" s="124" t="s">
        <v>19</v>
      </c>
      <c r="I95" s="577">
        <f t="shared" ref="I95:AH95" si="35">I40*$G$21</f>
        <v>36141.638424836681</v>
      </c>
      <c r="J95" s="577">
        <f t="shared" si="35"/>
        <v>37120.747688444426</v>
      </c>
      <c r="K95" s="577">
        <f t="shared" si="35"/>
        <v>38714.344158310778</v>
      </c>
      <c r="L95" s="577">
        <f t="shared" si="35"/>
        <v>41000.766142803936</v>
      </c>
      <c r="M95" s="577">
        <f t="shared" si="35"/>
        <v>43288.478633710249</v>
      </c>
      <c r="N95" s="577">
        <f t="shared" si="35"/>
        <v>45576.352187704142</v>
      </c>
      <c r="O95" s="577">
        <f t="shared" si="35"/>
        <v>47864.115847683221</v>
      </c>
      <c r="P95" s="577">
        <f t="shared" si="35"/>
        <v>50154.849893661027</v>
      </c>
      <c r="Q95" s="577">
        <f t="shared" si="35"/>
        <v>52192.815069697877</v>
      </c>
      <c r="R95" s="577">
        <f t="shared" si="35"/>
        <v>54233.197887196526</v>
      </c>
      <c r="S95" s="577">
        <f t="shared" si="35"/>
        <v>56275.429917919086</v>
      </c>
      <c r="T95" s="577">
        <f t="shared" si="35"/>
        <v>58321.136981584852</v>
      </c>
      <c r="U95" s="577">
        <f t="shared" si="35"/>
        <v>60373.449828712153</v>
      </c>
      <c r="V95" s="577">
        <f t="shared" si="35"/>
        <v>61728.307429155589</v>
      </c>
      <c r="W95" s="577">
        <f t="shared" si="35"/>
        <v>62719.807559667155</v>
      </c>
      <c r="X95" s="577">
        <f t="shared" si="35"/>
        <v>63713.414090136241</v>
      </c>
      <c r="Y95" s="577">
        <f t="shared" si="35"/>
        <v>64709.442478991194</v>
      </c>
      <c r="Z95" s="577">
        <f t="shared" si="35"/>
        <v>65708.776968793754</v>
      </c>
      <c r="AA95" s="577">
        <f t="shared" si="35"/>
        <v>66710.766969848468</v>
      </c>
      <c r="AB95" s="577">
        <f t="shared" si="35"/>
        <v>67716.923580014118</v>
      </c>
      <c r="AC95" s="577">
        <f t="shared" si="35"/>
        <v>68726.696805296844</v>
      </c>
      <c r="AD95" s="577">
        <f t="shared" si="35"/>
        <v>69741.189153861211</v>
      </c>
      <c r="AE95" s="577">
        <f t="shared" si="35"/>
        <v>70761.582565323042</v>
      </c>
      <c r="AF95" s="577">
        <f t="shared" si="35"/>
        <v>71787.520930381637</v>
      </c>
      <c r="AG95" s="577">
        <f t="shared" si="35"/>
        <v>72820.344368988575</v>
      </c>
      <c r="AH95" s="752">
        <f t="shared" si="35"/>
        <v>73861.500724814672</v>
      </c>
      <c r="AI95" s="18"/>
      <c r="AJ95" s="18"/>
      <c r="AK95" s="18"/>
      <c r="AL95" s="18"/>
      <c r="AM95" s="18"/>
      <c r="AN95" s="18"/>
    </row>
    <row r="96" spans="2:40" ht="21.95" customHeight="1" x14ac:dyDescent="0.2">
      <c r="B96" s="232"/>
      <c r="C96" s="715"/>
      <c r="D96" s="715"/>
      <c r="E96" s="1340"/>
      <c r="F96" s="116"/>
      <c r="G96" s="116"/>
      <c r="H96" s="721" t="s">
        <v>25</v>
      </c>
      <c r="I96" s="577">
        <f t="shared" ref="I96:AH96" si="36">SUM(I94:I95)</f>
        <v>50196.720034495389</v>
      </c>
      <c r="J96" s="577">
        <f t="shared" si="36"/>
        <v>51556.594011728368</v>
      </c>
      <c r="K96" s="577">
        <f t="shared" si="36"/>
        <v>53769.922442098308</v>
      </c>
      <c r="L96" s="577">
        <f t="shared" si="36"/>
        <v>56945.508531672138</v>
      </c>
      <c r="M96" s="577">
        <f t="shared" si="36"/>
        <v>60122.88699126424</v>
      </c>
      <c r="N96" s="577">
        <f t="shared" si="36"/>
        <v>63300.489149589092</v>
      </c>
      <c r="O96" s="577">
        <f t="shared" si="36"/>
        <v>66477.938677337806</v>
      </c>
      <c r="P96" s="577">
        <f t="shared" si="36"/>
        <v>69659.513741195871</v>
      </c>
      <c r="Q96" s="577">
        <f t="shared" si="36"/>
        <v>72490.020930135943</v>
      </c>
      <c r="R96" s="577">
        <f t="shared" si="36"/>
        <v>75323.885954439625</v>
      </c>
      <c r="S96" s="577">
        <f t="shared" si="36"/>
        <v>78160.319330443177</v>
      </c>
      <c r="T96" s="577">
        <f t="shared" si="36"/>
        <v>81001.579141090071</v>
      </c>
      <c r="U96" s="577">
        <f t="shared" si="36"/>
        <v>83852.013650989102</v>
      </c>
      <c r="V96" s="577">
        <f t="shared" si="36"/>
        <v>85733.760318271656</v>
      </c>
      <c r="W96" s="577">
        <f t="shared" si="36"/>
        <v>87110.843832871047</v>
      </c>
      <c r="X96" s="577">
        <f t="shared" si="36"/>
        <v>88490.852902967003</v>
      </c>
      <c r="Y96" s="577">
        <f t="shared" si="36"/>
        <v>89874.225665265549</v>
      </c>
      <c r="Z96" s="577">
        <f t="shared" si="36"/>
        <v>91262.19023443578</v>
      </c>
      <c r="AA96" s="577">
        <f t="shared" si="36"/>
        <v>92653.84301367843</v>
      </c>
      <c r="AB96" s="577">
        <f t="shared" si="36"/>
        <v>94051.282750019614</v>
      </c>
      <c r="AC96" s="577">
        <f t="shared" si="36"/>
        <v>95453.745562912285</v>
      </c>
      <c r="AD96" s="577">
        <f t="shared" si="36"/>
        <v>96862.762713696124</v>
      </c>
      <c r="AE96" s="577">
        <f t="shared" si="36"/>
        <v>98279.9757851709</v>
      </c>
      <c r="AF96" s="577">
        <f t="shared" si="36"/>
        <v>99704.890181085619</v>
      </c>
      <c r="AG96" s="577">
        <f t="shared" si="36"/>
        <v>101139.36717915081</v>
      </c>
      <c r="AH96" s="752">
        <f t="shared" si="36"/>
        <v>102585.41767335372</v>
      </c>
      <c r="AI96" s="18"/>
      <c r="AJ96" s="18"/>
      <c r="AK96" s="18"/>
      <c r="AL96" s="18"/>
      <c r="AM96" s="18"/>
      <c r="AN96" s="18"/>
    </row>
    <row r="97" spans="2:40" ht="21.95" customHeight="1" x14ac:dyDescent="0.2">
      <c r="B97" s="232"/>
      <c r="C97" s="715"/>
      <c r="D97" s="715"/>
      <c r="E97" s="1340"/>
      <c r="F97" s="116" t="s">
        <v>337</v>
      </c>
      <c r="G97" s="116" t="s">
        <v>386</v>
      </c>
      <c r="H97" s="116" t="s">
        <v>20</v>
      </c>
      <c r="I97" s="577">
        <f t="shared" ref="I97:AH97" si="37">I41*$G$20</f>
        <v>23231.821142527078</v>
      </c>
      <c r="J97" s="577">
        <f t="shared" si="37"/>
        <v>23715.46920267801</v>
      </c>
      <c r="K97" s="577">
        <f t="shared" si="37"/>
        <v>24863.815764238963</v>
      </c>
      <c r="L97" s="577">
        <f t="shared" si="37"/>
        <v>26124.972238362374</v>
      </c>
      <c r="M97" s="577">
        <f t="shared" si="37"/>
        <v>27392.500966898755</v>
      </c>
      <c r="N97" s="577">
        <f t="shared" si="37"/>
        <v>28665.437927649957</v>
      </c>
      <c r="O97" s="577">
        <f t="shared" si="37"/>
        <v>29946.970136511005</v>
      </c>
      <c r="P97" s="577">
        <f t="shared" si="37"/>
        <v>31244.900647555754</v>
      </c>
      <c r="Q97" s="577">
        <f t="shared" si="37"/>
        <v>31967.611709594537</v>
      </c>
      <c r="R97" s="577">
        <f t="shared" si="37"/>
        <v>32699.007712172079</v>
      </c>
      <c r="S97" s="577">
        <f t="shared" si="37"/>
        <v>33438.474843786775</v>
      </c>
      <c r="T97" s="577">
        <f t="shared" si="37"/>
        <v>34190.190441577972</v>
      </c>
      <c r="U97" s="577">
        <f t="shared" si="37"/>
        <v>34954.125483724587</v>
      </c>
      <c r="V97" s="577">
        <f t="shared" si="37"/>
        <v>35609.046202345417</v>
      </c>
      <c r="W97" s="577">
        <f t="shared" si="37"/>
        <v>36185.343134875082</v>
      </c>
      <c r="X97" s="577">
        <f t="shared" si="37"/>
        <v>36774.040748575149</v>
      </c>
      <c r="Y97" s="577">
        <f t="shared" si="37"/>
        <v>37375.44495004417</v>
      </c>
      <c r="Z97" s="577">
        <f t="shared" si="37"/>
        <v>37991.238751021534</v>
      </c>
      <c r="AA97" s="577">
        <f t="shared" si="37"/>
        <v>38623.300482357437</v>
      </c>
      <c r="AB97" s="577">
        <f t="shared" si="37"/>
        <v>39273.723345965649</v>
      </c>
      <c r="AC97" s="577">
        <f t="shared" si="37"/>
        <v>39944.836623419149</v>
      </c>
      <c r="AD97" s="577">
        <f t="shared" si="37"/>
        <v>40639.228654255276</v>
      </c>
      <c r="AE97" s="577">
        <f t="shared" si="37"/>
        <v>41359.771705383551</v>
      </c>
      <c r="AF97" s="577">
        <f t="shared" si="37"/>
        <v>42109.648859561945</v>
      </c>
      <c r="AG97" s="577">
        <f t="shared" si="37"/>
        <v>42890.705099561666</v>
      </c>
      <c r="AH97" s="752">
        <f t="shared" si="37"/>
        <v>43710.109075569031</v>
      </c>
      <c r="AI97" s="18"/>
      <c r="AJ97" s="18"/>
      <c r="AK97" s="18"/>
      <c r="AL97" s="18"/>
      <c r="AM97" s="18"/>
      <c r="AN97" s="18"/>
    </row>
    <row r="98" spans="2:40" ht="21.95" customHeight="1" x14ac:dyDescent="0.2">
      <c r="B98" s="232"/>
      <c r="C98" s="715"/>
      <c r="D98" s="715"/>
      <c r="E98" s="1340"/>
      <c r="F98" s="116"/>
      <c r="G98" s="116"/>
      <c r="H98" s="124" t="s">
        <v>19</v>
      </c>
      <c r="I98" s="577">
        <f t="shared" ref="I98:AH98" si="38">I41*$G$21</f>
        <v>59738.968652212476</v>
      </c>
      <c r="J98" s="577">
        <f t="shared" si="38"/>
        <v>60982.635092600583</v>
      </c>
      <c r="K98" s="577">
        <f t="shared" si="38"/>
        <v>63935.526250900184</v>
      </c>
      <c r="L98" s="577">
        <f t="shared" si="38"/>
        <v>67178.500041503241</v>
      </c>
      <c r="M98" s="577">
        <f t="shared" si="38"/>
        <v>70437.859629168219</v>
      </c>
      <c r="N98" s="577">
        <f t="shared" si="38"/>
        <v>73711.12609967131</v>
      </c>
      <c r="O98" s="577">
        <f t="shared" si="38"/>
        <v>77006.494636742573</v>
      </c>
      <c r="P98" s="577">
        <f t="shared" si="38"/>
        <v>80344.030236571925</v>
      </c>
      <c r="Q98" s="577">
        <f t="shared" si="38"/>
        <v>82202.430110385947</v>
      </c>
      <c r="R98" s="577">
        <f t="shared" si="38"/>
        <v>84083.162688442477</v>
      </c>
      <c r="S98" s="577">
        <f t="shared" si="38"/>
        <v>85984.649598308839</v>
      </c>
      <c r="T98" s="577">
        <f t="shared" si="38"/>
        <v>87917.63256405764</v>
      </c>
      <c r="U98" s="577">
        <f t="shared" si="38"/>
        <v>89882.036958148921</v>
      </c>
      <c r="V98" s="577">
        <f t="shared" si="38"/>
        <v>91566.118806031052</v>
      </c>
      <c r="W98" s="577">
        <f t="shared" si="38"/>
        <v>93048.025203964484</v>
      </c>
      <c r="X98" s="577">
        <f t="shared" si="38"/>
        <v>94561.819067764649</v>
      </c>
      <c r="Y98" s="577">
        <f t="shared" si="38"/>
        <v>96108.287014399291</v>
      </c>
      <c r="Z98" s="577">
        <f t="shared" si="38"/>
        <v>97691.756788341067</v>
      </c>
      <c r="AA98" s="577">
        <f t="shared" si="38"/>
        <v>99317.058383204829</v>
      </c>
      <c r="AB98" s="577">
        <f t="shared" si="38"/>
        <v>100989.57431819737</v>
      </c>
      <c r="AC98" s="577">
        <f t="shared" si="38"/>
        <v>102715.29417450637</v>
      </c>
      <c r="AD98" s="577">
        <f t="shared" si="38"/>
        <v>104500.8736823707</v>
      </c>
      <c r="AE98" s="577">
        <f t="shared" si="38"/>
        <v>106353.69867098625</v>
      </c>
      <c r="AF98" s="577">
        <f t="shared" si="38"/>
        <v>108281.95421030212</v>
      </c>
      <c r="AG98" s="577">
        <f t="shared" si="38"/>
        <v>110290.38454172999</v>
      </c>
      <c r="AH98" s="752">
        <f t="shared" si="38"/>
        <v>112397.42333717749</v>
      </c>
      <c r="AI98" s="18"/>
      <c r="AJ98" s="18"/>
      <c r="AK98" s="18"/>
      <c r="AL98" s="18"/>
      <c r="AM98" s="18"/>
      <c r="AN98" s="18"/>
    </row>
    <row r="99" spans="2:40" ht="21.95" customHeight="1" x14ac:dyDescent="0.2">
      <c r="B99" s="232"/>
      <c r="C99" s="715"/>
      <c r="D99" s="715"/>
      <c r="E99" s="1340"/>
      <c r="F99" s="116"/>
      <c r="G99" s="116"/>
      <c r="H99" s="721" t="s">
        <v>25</v>
      </c>
      <c r="I99" s="577">
        <f t="shared" ref="I99:AH99" si="39">SUM(I97:I98)</f>
        <v>82970.789794739554</v>
      </c>
      <c r="J99" s="577">
        <f t="shared" si="39"/>
        <v>84698.104295278594</v>
      </c>
      <c r="K99" s="577">
        <f t="shared" si="39"/>
        <v>88799.342015139147</v>
      </c>
      <c r="L99" s="577">
        <f t="shared" si="39"/>
        <v>93303.472279865615</v>
      </c>
      <c r="M99" s="577">
        <f t="shared" si="39"/>
        <v>97830.360596066981</v>
      </c>
      <c r="N99" s="577">
        <f t="shared" si="39"/>
        <v>102376.56402732126</v>
      </c>
      <c r="O99" s="577">
        <f t="shared" si="39"/>
        <v>106953.46477325358</v>
      </c>
      <c r="P99" s="577">
        <f t="shared" si="39"/>
        <v>111588.93088412768</v>
      </c>
      <c r="Q99" s="577">
        <f t="shared" si="39"/>
        <v>114170.04181998048</v>
      </c>
      <c r="R99" s="577">
        <f t="shared" si="39"/>
        <v>116782.17040061456</v>
      </c>
      <c r="S99" s="577">
        <f t="shared" si="39"/>
        <v>119423.12444209561</v>
      </c>
      <c r="T99" s="577">
        <f t="shared" si="39"/>
        <v>122107.82300563561</v>
      </c>
      <c r="U99" s="577">
        <f t="shared" si="39"/>
        <v>124836.16244187352</v>
      </c>
      <c r="V99" s="577">
        <f t="shared" si="39"/>
        <v>127175.16500837647</v>
      </c>
      <c r="W99" s="577">
        <f t="shared" si="39"/>
        <v>129233.36833883956</v>
      </c>
      <c r="X99" s="577">
        <f t="shared" si="39"/>
        <v>131335.8598163398</v>
      </c>
      <c r="Y99" s="577">
        <f t="shared" si="39"/>
        <v>133483.73196444346</v>
      </c>
      <c r="Z99" s="577">
        <f t="shared" si="39"/>
        <v>135682.9955393626</v>
      </c>
      <c r="AA99" s="577">
        <f t="shared" si="39"/>
        <v>137940.35886556227</v>
      </c>
      <c r="AB99" s="577">
        <f t="shared" si="39"/>
        <v>140263.29766416302</v>
      </c>
      <c r="AC99" s="577">
        <f t="shared" si="39"/>
        <v>142660.13079792552</v>
      </c>
      <c r="AD99" s="577">
        <f t="shared" si="39"/>
        <v>145140.10233662598</v>
      </c>
      <c r="AE99" s="577">
        <f t="shared" si="39"/>
        <v>147713.47037636981</v>
      </c>
      <c r="AF99" s="577">
        <f t="shared" si="39"/>
        <v>150391.60306986407</v>
      </c>
      <c r="AG99" s="577">
        <f t="shared" si="39"/>
        <v>153181.08964129165</v>
      </c>
      <c r="AH99" s="752">
        <f t="shared" si="39"/>
        <v>156107.53241274651</v>
      </c>
      <c r="AI99" s="18"/>
      <c r="AJ99" s="18"/>
      <c r="AK99" s="18"/>
      <c r="AL99" s="18"/>
      <c r="AM99" s="18"/>
      <c r="AN99" s="18"/>
    </row>
    <row r="100" spans="2:40" ht="21.95" customHeight="1" x14ac:dyDescent="0.2">
      <c r="B100" s="232"/>
      <c r="C100" s="715"/>
      <c r="D100" s="715"/>
      <c r="E100" s="1340"/>
      <c r="F100" s="116" t="s">
        <v>342</v>
      </c>
      <c r="G100" s="116" t="s">
        <v>341</v>
      </c>
      <c r="H100" s="116" t="s">
        <v>20</v>
      </c>
      <c r="I100" s="577">
        <f t="shared" ref="I100:AH100" si="40">I42*$G$20</f>
        <v>33682.803046146102</v>
      </c>
      <c r="J100" s="577">
        <f t="shared" si="40"/>
        <v>34384.492730652943</v>
      </c>
      <c r="K100" s="577">
        <f t="shared" si="40"/>
        <v>36051.047826916365</v>
      </c>
      <c r="L100" s="577">
        <f t="shared" si="40"/>
        <v>37882.484224075226</v>
      </c>
      <c r="M100" s="577">
        <f t="shared" si="40"/>
        <v>39725.046775628965</v>
      </c>
      <c r="N100" s="577">
        <f t="shared" si="40"/>
        <v>41578.314139797476</v>
      </c>
      <c r="O100" s="577">
        <f t="shared" si="40"/>
        <v>43448.318880599589</v>
      </c>
      <c r="P100" s="577">
        <f t="shared" si="40"/>
        <v>45348.4276463266</v>
      </c>
      <c r="Q100" s="577">
        <f t="shared" si="40"/>
        <v>46410.003984878676</v>
      </c>
      <c r="R100" s="577">
        <f t="shared" si="40"/>
        <v>47487.55186564599</v>
      </c>
      <c r="S100" s="577">
        <f t="shared" si="40"/>
        <v>48580.845040809574</v>
      </c>
      <c r="T100" s="577">
        <f t="shared" si="40"/>
        <v>49696.855001152595</v>
      </c>
      <c r="U100" s="577">
        <f t="shared" si="40"/>
        <v>50836.462421852782</v>
      </c>
      <c r="V100" s="577">
        <f t="shared" si="40"/>
        <v>51818.373047354107</v>
      </c>
      <c r="W100" s="577">
        <f t="shared" si="40"/>
        <v>52686.545471336023</v>
      </c>
      <c r="X100" s="577">
        <f t="shared" si="40"/>
        <v>53577.722801650649</v>
      </c>
      <c r="Y100" s="577">
        <f t="shared" si="40"/>
        <v>54492.951880278488</v>
      </c>
      <c r="Z100" s="577">
        <f t="shared" si="40"/>
        <v>55435.418407070661</v>
      </c>
      <c r="AA100" s="577">
        <f t="shared" si="40"/>
        <v>56408.677792943061</v>
      </c>
      <c r="AB100" s="577">
        <f t="shared" si="40"/>
        <v>57416.692168918918</v>
      </c>
      <c r="AC100" s="577">
        <f t="shared" si="40"/>
        <v>58463.870530958666</v>
      </c>
      <c r="AD100" s="577">
        <f t="shared" si="40"/>
        <v>59555.112234596083</v>
      </c>
      <c r="AE100" s="577">
        <f t="shared" si="40"/>
        <v>60695.854069160581</v>
      </c>
      <c r="AF100" s="577">
        <f t="shared" si="40"/>
        <v>61892.121153806707</v>
      </c>
      <c r="AG100" s="577">
        <f t="shared" si="40"/>
        <v>63147.873580980886</v>
      </c>
      <c r="AH100" s="752">
        <f t="shared" si="40"/>
        <v>64475.744968060768</v>
      </c>
      <c r="AI100" s="18"/>
      <c r="AJ100" s="18"/>
      <c r="AK100" s="18"/>
      <c r="AL100" s="18"/>
      <c r="AM100" s="18"/>
      <c r="AN100" s="18"/>
    </row>
    <row r="101" spans="2:40" ht="21.95" customHeight="1" x14ac:dyDescent="0.2">
      <c r="B101" s="232"/>
      <c r="C101" s="715"/>
      <c r="D101" s="715"/>
      <c r="E101" s="1340"/>
      <c r="F101" s="116"/>
      <c r="G101" s="116"/>
      <c r="H101" s="124" t="s">
        <v>19</v>
      </c>
      <c r="I101" s="577">
        <f t="shared" ref="I101:AH101" si="41">I42*$G$21</f>
        <v>86612.922118661401</v>
      </c>
      <c r="J101" s="577">
        <f t="shared" si="41"/>
        <v>88417.267021678985</v>
      </c>
      <c r="K101" s="577">
        <f t="shared" si="41"/>
        <v>92702.694412070647</v>
      </c>
      <c r="L101" s="577">
        <f t="shared" si="41"/>
        <v>97412.102290479146</v>
      </c>
      <c r="M101" s="577">
        <f t="shared" si="41"/>
        <v>102150.12028018876</v>
      </c>
      <c r="N101" s="577">
        <f t="shared" si="41"/>
        <v>106915.66493090778</v>
      </c>
      <c r="O101" s="577">
        <f t="shared" si="41"/>
        <v>111724.24855011322</v>
      </c>
      <c r="P101" s="577">
        <f t="shared" si="41"/>
        <v>116610.24251912552</v>
      </c>
      <c r="Q101" s="577">
        <f t="shared" si="41"/>
        <v>119340.01024683086</v>
      </c>
      <c r="R101" s="577">
        <f t="shared" si="41"/>
        <v>122110.84765451825</v>
      </c>
      <c r="S101" s="577">
        <f t="shared" si="41"/>
        <v>124922.17296208175</v>
      </c>
      <c r="T101" s="577">
        <f t="shared" si="41"/>
        <v>127791.91286010666</v>
      </c>
      <c r="U101" s="577">
        <f t="shared" si="41"/>
        <v>130722.33194190713</v>
      </c>
      <c r="V101" s="577">
        <f t="shared" si="41"/>
        <v>133247.24497891054</v>
      </c>
      <c r="W101" s="577">
        <f t="shared" si="41"/>
        <v>135479.68835486405</v>
      </c>
      <c r="X101" s="577">
        <f t="shared" si="41"/>
        <v>137771.28720424452</v>
      </c>
      <c r="Y101" s="577">
        <f t="shared" si="41"/>
        <v>140124.73340643037</v>
      </c>
      <c r="Z101" s="577">
        <f t="shared" si="41"/>
        <v>142548.21876103882</v>
      </c>
      <c r="AA101" s="577">
        <f t="shared" si="41"/>
        <v>145050.88575328214</v>
      </c>
      <c r="AB101" s="577">
        <f t="shared" si="41"/>
        <v>147642.92272007719</v>
      </c>
      <c r="AC101" s="577">
        <f t="shared" si="41"/>
        <v>150335.66707960799</v>
      </c>
      <c r="AD101" s="577">
        <f t="shared" si="41"/>
        <v>153141.71717467564</v>
      </c>
      <c r="AE101" s="577">
        <f t="shared" si="41"/>
        <v>156075.05332069861</v>
      </c>
      <c r="AF101" s="577">
        <f t="shared" si="41"/>
        <v>159151.16868121721</v>
      </c>
      <c r="AG101" s="577">
        <f t="shared" si="41"/>
        <v>162380.24635109369</v>
      </c>
      <c r="AH101" s="752">
        <f t="shared" si="41"/>
        <v>165794.77277501338</v>
      </c>
      <c r="AI101" s="18"/>
      <c r="AJ101" s="18"/>
      <c r="AK101" s="18"/>
      <c r="AL101" s="18"/>
      <c r="AM101" s="18"/>
      <c r="AN101" s="18"/>
    </row>
    <row r="102" spans="2:40" ht="21.95" customHeight="1" x14ac:dyDescent="0.2">
      <c r="B102" s="232"/>
      <c r="C102" s="715"/>
      <c r="D102" s="715"/>
      <c r="E102" s="1340"/>
      <c r="F102" s="116"/>
      <c r="G102" s="116"/>
      <c r="H102" s="721" t="s">
        <v>25</v>
      </c>
      <c r="I102" s="577">
        <f t="shared" ref="I102:AH102" si="42">SUM(I100:I101)</f>
        <v>120295.7251648075</v>
      </c>
      <c r="J102" s="577">
        <f t="shared" si="42"/>
        <v>122801.75975233193</v>
      </c>
      <c r="K102" s="577">
        <f t="shared" si="42"/>
        <v>128753.742238987</v>
      </c>
      <c r="L102" s="577">
        <f t="shared" si="42"/>
        <v>135294.58651455436</v>
      </c>
      <c r="M102" s="577">
        <f t="shared" si="42"/>
        <v>141875.16705581773</v>
      </c>
      <c r="N102" s="577">
        <f t="shared" si="42"/>
        <v>148493.97907070525</v>
      </c>
      <c r="O102" s="577">
        <f t="shared" si="42"/>
        <v>155172.56743071281</v>
      </c>
      <c r="P102" s="577">
        <f t="shared" si="42"/>
        <v>161958.67016545212</v>
      </c>
      <c r="Q102" s="577">
        <f t="shared" si="42"/>
        <v>165750.01423170953</v>
      </c>
      <c r="R102" s="577">
        <f t="shared" si="42"/>
        <v>169598.39952016424</v>
      </c>
      <c r="S102" s="577">
        <f t="shared" si="42"/>
        <v>173503.01800289133</v>
      </c>
      <c r="T102" s="577">
        <f t="shared" si="42"/>
        <v>177488.76786125926</v>
      </c>
      <c r="U102" s="577">
        <f t="shared" si="42"/>
        <v>181558.79436375992</v>
      </c>
      <c r="V102" s="577">
        <f t="shared" si="42"/>
        <v>185065.61802626465</v>
      </c>
      <c r="W102" s="577">
        <f t="shared" si="42"/>
        <v>188166.23382620007</v>
      </c>
      <c r="X102" s="577">
        <f t="shared" si="42"/>
        <v>191349.01000589516</v>
      </c>
      <c r="Y102" s="577">
        <f t="shared" si="42"/>
        <v>194617.68528670887</v>
      </c>
      <c r="Z102" s="577">
        <f t="shared" si="42"/>
        <v>197983.63716810948</v>
      </c>
      <c r="AA102" s="577">
        <f t="shared" si="42"/>
        <v>201459.5635462252</v>
      </c>
      <c r="AB102" s="577">
        <f t="shared" si="42"/>
        <v>205059.61488899612</v>
      </c>
      <c r="AC102" s="577">
        <f t="shared" si="42"/>
        <v>208799.53761056665</v>
      </c>
      <c r="AD102" s="577">
        <f t="shared" si="42"/>
        <v>212696.82940927171</v>
      </c>
      <c r="AE102" s="577">
        <f t="shared" si="42"/>
        <v>216770.9073898592</v>
      </c>
      <c r="AF102" s="577">
        <f t="shared" si="42"/>
        <v>221043.28983502393</v>
      </c>
      <c r="AG102" s="577">
        <f t="shared" si="42"/>
        <v>225528.11993207457</v>
      </c>
      <c r="AH102" s="752">
        <f t="shared" si="42"/>
        <v>230270.51774307416</v>
      </c>
      <c r="AI102" s="18"/>
      <c r="AJ102" s="18"/>
      <c r="AK102" s="18"/>
      <c r="AL102" s="18"/>
      <c r="AM102" s="18"/>
      <c r="AN102" s="18"/>
    </row>
    <row r="103" spans="2:40" ht="21.95" customHeight="1" x14ac:dyDescent="0.2">
      <c r="B103" s="232"/>
      <c r="C103" s="715"/>
      <c r="D103" s="715"/>
      <c r="E103" s="1340"/>
      <c r="F103" s="116" t="s">
        <v>341</v>
      </c>
      <c r="G103" s="116" t="s">
        <v>344</v>
      </c>
      <c r="H103" s="116" t="s">
        <v>20</v>
      </c>
      <c r="I103" s="577">
        <f t="shared" ref="I103:AH103" si="43">I43*$G$20</f>
        <v>34819.292475327915</v>
      </c>
      <c r="J103" s="577">
        <f t="shared" si="43"/>
        <v>35583.45691042432</v>
      </c>
      <c r="K103" s="577">
        <f t="shared" si="43"/>
        <v>37329.676711457541</v>
      </c>
      <c r="L103" s="577">
        <f t="shared" si="43"/>
        <v>39266.006468249783</v>
      </c>
      <c r="M103" s="577">
        <f t="shared" si="43"/>
        <v>41237.856389361528</v>
      </c>
      <c r="N103" s="577">
        <f t="shared" si="43"/>
        <v>43260.30333017229</v>
      </c>
      <c r="O103" s="577">
        <f t="shared" si="43"/>
        <v>45360.494316272045</v>
      </c>
      <c r="P103" s="577">
        <f t="shared" si="43"/>
        <v>47576.598493072896</v>
      </c>
      <c r="Q103" s="577">
        <f t="shared" si="43"/>
        <v>48865.718435167088</v>
      </c>
      <c r="R103" s="577">
        <f t="shared" si="43"/>
        <v>50214.055262607661</v>
      </c>
      <c r="S103" s="577">
        <f t="shared" si="43"/>
        <v>51638.110462888588</v>
      </c>
      <c r="T103" s="577">
        <f t="shared" si="43"/>
        <v>53149.622677630752</v>
      </c>
      <c r="U103" s="577">
        <f t="shared" si="43"/>
        <v>54770.726704925524</v>
      </c>
      <c r="V103" s="577">
        <f t="shared" si="43"/>
        <v>56227.040255920576</v>
      </c>
      <c r="W103" s="577">
        <f t="shared" si="43"/>
        <v>57575.341660214603</v>
      </c>
      <c r="X103" s="577">
        <f t="shared" si="43"/>
        <v>59016.250763437405</v>
      </c>
      <c r="Y103" s="577">
        <f t="shared" si="43"/>
        <v>60556.776367025581</v>
      </c>
      <c r="Z103" s="577">
        <f t="shared" si="43"/>
        <v>62212.900388462469</v>
      </c>
      <c r="AA103" s="577">
        <f t="shared" si="43"/>
        <v>63999.705372153381</v>
      </c>
      <c r="AB103" s="577">
        <f t="shared" si="43"/>
        <v>65933.998419908399</v>
      </c>
      <c r="AC103" s="577">
        <f t="shared" si="43"/>
        <v>68034.481351982773</v>
      </c>
      <c r="AD103" s="577">
        <f t="shared" si="43"/>
        <v>70321.935043500023</v>
      </c>
      <c r="AE103" s="577">
        <f t="shared" si="43"/>
        <v>72819.418925018501</v>
      </c>
      <c r="AF103" s="577">
        <f t="shared" si="43"/>
        <v>75557.558047013124</v>
      </c>
      <c r="AG103" s="577">
        <f t="shared" si="43"/>
        <v>78554.985277612897</v>
      </c>
      <c r="AH103" s="752">
        <f t="shared" si="43"/>
        <v>81847.59489656231</v>
      </c>
      <c r="AI103" s="18"/>
      <c r="AJ103" s="18"/>
      <c r="AK103" s="18"/>
      <c r="AL103" s="18"/>
      <c r="AM103" s="18"/>
      <c r="AN103" s="18"/>
    </row>
    <row r="104" spans="2:40" ht="21.95" customHeight="1" x14ac:dyDescent="0.2">
      <c r="B104" s="232"/>
      <c r="C104" s="715"/>
      <c r="D104" s="715"/>
      <c r="E104" s="1340"/>
      <c r="F104" s="116"/>
      <c r="G104" s="116"/>
      <c r="H104" s="124" t="s">
        <v>19</v>
      </c>
      <c r="I104" s="577">
        <f t="shared" ref="I104:AH104" si="44">I43*$G$21</f>
        <v>89535.323507986061</v>
      </c>
      <c r="J104" s="577">
        <f t="shared" si="44"/>
        <v>91500.317769662521</v>
      </c>
      <c r="K104" s="577">
        <f t="shared" si="44"/>
        <v>95990.597258033667</v>
      </c>
      <c r="L104" s="577">
        <f t="shared" si="44"/>
        <v>100969.73091835657</v>
      </c>
      <c r="M104" s="577">
        <f t="shared" si="44"/>
        <v>106040.20214407249</v>
      </c>
      <c r="N104" s="577">
        <f t="shared" si="44"/>
        <v>111240.77999187159</v>
      </c>
      <c r="O104" s="577">
        <f t="shared" si="44"/>
        <v>116641.27109898523</v>
      </c>
      <c r="P104" s="577">
        <f t="shared" si="44"/>
        <v>122339.82469647314</v>
      </c>
      <c r="Q104" s="577">
        <f t="shared" si="44"/>
        <v>125654.70454757249</v>
      </c>
      <c r="R104" s="577">
        <f t="shared" si="44"/>
        <v>129121.85638956254</v>
      </c>
      <c r="S104" s="577">
        <f t="shared" si="44"/>
        <v>132783.71261885637</v>
      </c>
      <c r="T104" s="577">
        <f t="shared" si="44"/>
        <v>136670.45831390764</v>
      </c>
      <c r="U104" s="577">
        <f t="shared" si="44"/>
        <v>140839.01152695133</v>
      </c>
      <c r="V104" s="577">
        <f t="shared" si="44"/>
        <v>144583.81780093859</v>
      </c>
      <c r="W104" s="577">
        <f t="shared" si="44"/>
        <v>148050.87855483752</v>
      </c>
      <c r="X104" s="577">
        <f t="shared" si="44"/>
        <v>151756.07339169618</v>
      </c>
      <c r="Y104" s="577">
        <f t="shared" si="44"/>
        <v>155717.42494378003</v>
      </c>
      <c r="Z104" s="577">
        <f t="shared" si="44"/>
        <v>159976.02957033203</v>
      </c>
      <c r="AA104" s="577">
        <f t="shared" si="44"/>
        <v>164570.67095696583</v>
      </c>
      <c r="AB104" s="577">
        <f t="shared" si="44"/>
        <v>169544.56736547872</v>
      </c>
      <c r="AC104" s="577">
        <f t="shared" si="44"/>
        <v>174945.80919081284</v>
      </c>
      <c r="AD104" s="577">
        <f t="shared" si="44"/>
        <v>180827.83296900004</v>
      </c>
      <c r="AE104" s="577">
        <f t="shared" si="44"/>
        <v>187249.93437861899</v>
      </c>
      <c r="AF104" s="577">
        <f t="shared" si="44"/>
        <v>194290.86354946229</v>
      </c>
      <c r="AG104" s="577">
        <f t="shared" si="44"/>
        <v>201998.53357100455</v>
      </c>
      <c r="AH104" s="752">
        <f t="shared" si="44"/>
        <v>210465.24401973162</v>
      </c>
      <c r="AI104" s="18"/>
      <c r="AJ104" s="18"/>
      <c r="AK104" s="18"/>
      <c r="AL104" s="18"/>
      <c r="AM104" s="18"/>
      <c r="AN104" s="18"/>
    </row>
    <row r="105" spans="2:40" ht="21.95" customHeight="1" x14ac:dyDescent="0.2">
      <c r="B105" s="232"/>
      <c r="C105" s="715"/>
      <c r="D105" s="715"/>
      <c r="E105" s="1340"/>
      <c r="F105" s="116"/>
      <c r="G105" s="116"/>
      <c r="H105" s="721" t="s">
        <v>25</v>
      </c>
      <c r="I105" s="577">
        <f t="shared" ref="I105:AH105" si="45">SUM(I103:I104)</f>
        <v>124354.61598331397</v>
      </c>
      <c r="J105" s="577">
        <f t="shared" si="45"/>
        <v>127083.77468008685</v>
      </c>
      <c r="K105" s="577">
        <f t="shared" si="45"/>
        <v>133320.27396949122</v>
      </c>
      <c r="L105" s="577">
        <f t="shared" si="45"/>
        <v>140235.73738660634</v>
      </c>
      <c r="M105" s="577">
        <f t="shared" si="45"/>
        <v>147278.05853343403</v>
      </c>
      <c r="N105" s="577">
        <f t="shared" si="45"/>
        <v>154501.08332204388</v>
      </c>
      <c r="O105" s="577">
        <f t="shared" si="45"/>
        <v>162001.76541525728</v>
      </c>
      <c r="P105" s="577">
        <f t="shared" si="45"/>
        <v>169916.42318954604</v>
      </c>
      <c r="Q105" s="577">
        <f t="shared" si="45"/>
        <v>174520.42298273958</v>
      </c>
      <c r="R105" s="577">
        <f t="shared" si="45"/>
        <v>179335.91165217021</v>
      </c>
      <c r="S105" s="577">
        <f t="shared" si="45"/>
        <v>184421.82308174495</v>
      </c>
      <c r="T105" s="577">
        <f t="shared" si="45"/>
        <v>189820.08099153839</v>
      </c>
      <c r="U105" s="577">
        <f t="shared" si="45"/>
        <v>195609.73823187687</v>
      </c>
      <c r="V105" s="577">
        <f t="shared" si="45"/>
        <v>200810.85805685917</v>
      </c>
      <c r="W105" s="577">
        <f t="shared" si="45"/>
        <v>205626.22021505213</v>
      </c>
      <c r="X105" s="577">
        <f t="shared" si="45"/>
        <v>210772.32415513357</v>
      </c>
      <c r="Y105" s="577">
        <f t="shared" si="45"/>
        <v>216274.20131080563</v>
      </c>
      <c r="Z105" s="577">
        <f t="shared" si="45"/>
        <v>222188.9299587945</v>
      </c>
      <c r="AA105" s="577">
        <f t="shared" si="45"/>
        <v>228570.3763291192</v>
      </c>
      <c r="AB105" s="577">
        <f t="shared" si="45"/>
        <v>235478.56578538712</v>
      </c>
      <c r="AC105" s="577">
        <f t="shared" si="45"/>
        <v>242980.29054279561</v>
      </c>
      <c r="AD105" s="577">
        <f t="shared" si="45"/>
        <v>251149.76801250008</v>
      </c>
      <c r="AE105" s="577">
        <f t="shared" si="45"/>
        <v>260069.35330363747</v>
      </c>
      <c r="AF105" s="577">
        <f t="shared" si="45"/>
        <v>269848.42159647541</v>
      </c>
      <c r="AG105" s="577">
        <f t="shared" si="45"/>
        <v>280553.51884861744</v>
      </c>
      <c r="AH105" s="752">
        <f t="shared" si="45"/>
        <v>292312.83891629393</v>
      </c>
      <c r="AI105" s="18"/>
      <c r="AJ105" s="18"/>
      <c r="AK105" s="18"/>
      <c r="AL105" s="18"/>
      <c r="AM105" s="18"/>
      <c r="AN105" s="18"/>
    </row>
    <row r="106" spans="2:40" ht="21.95" customHeight="1" x14ac:dyDescent="0.2">
      <c r="B106" s="232"/>
      <c r="C106" s="715"/>
      <c r="D106" s="715"/>
      <c r="E106" s="1340"/>
      <c r="F106" s="116" t="s">
        <v>344</v>
      </c>
      <c r="G106" s="116" t="s">
        <v>345</v>
      </c>
      <c r="H106" s="116" t="s">
        <v>20</v>
      </c>
      <c r="I106" s="577">
        <f t="shared" ref="I106:AH106" si="46">I44*$G$20</f>
        <v>11741.239252066247</v>
      </c>
      <c r="J106" s="577">
        <f t="shared" si="46"/>
        <v>11997.031932057014</v>
      </c>
      <c r="K106" s="577">
        <f t="shared" si="46"/>
        <v>12579.606935826034</v>
      </c>
      <c r="L106" s="577">
        <f t="shared" si="46"/>
        <v>13221.161353566371</v>
      </c>
      <c r="M106" s="577">
        <f t="shared" si="46"/>
        <v>13867.40678273031</v>
      </c>
      <c r="N106" s="577">
        <f t="shared" si="46"/>
        <v>14519.642215878606</v>
      </c>
      <c r="O106" s="577">
        <f t="shared" si="46"/>
        <v>15181.520153656753</v>
      </c>
      <c r="P106" s="577">
        <f t="shared" si="46"/>
        <v>15858.060157570297</v>
      </c>
      <c r="Q106" s="577">
        <f t="shared" si="46"/>
        <v>16239.485550280366</v>
      </c>
      <c r="R106" s="577">
        <f t="shared" si="46"/>
        <v>16627.970059009087</v>
      </c>
      <c r="S106" s="577">
        <f t="shared" si="46"/>
        <v>17026.131316787141</v>
      </c>
      <c r="T106" s="577">
        <f t="shared" si="46"/>
        <v>17434.854281357533</v>
      </c>
      <c r="U106" s="577">
        <f t="shared" si="46"/>
        <v>17857.455278793146</v>
      </c>
      <c r="V106" s="577">
        <f t="shared" si="46"/>
        <v>18223.646235716744</v>
      </c>
      <c r="W106" s="577">
        <f t="shared" si="46"/>
        <v>18551.888752978251</v>
      </c>
      <c r="X106" s="577">
        <f t="shared" si="46"/>
        <v>18891.902783002486</v>
      </c>
      <c r="Y106" s="577">
        <f t="shared" si="46"/>
        <v>19243.986646887701</v>
      </c>
      <c r="Z106" s="577">
        <f t="shared" si="46"/>
        <v>19610.4080497467</v>
      </c>
      <c r="AA106" s="577">
        <f t="shared" si="46"/>
        <v>19993.037662236206</v>
      </c>
      <c r="AB106" s="577">
        <f t="shared" si="46"/>
        <v>20393.96004988682</v>
      </c>
      <c r="AC106" s="577">
        <f t="shared" si="46"/>
        <v>20815.494777981356</v>
      </c>
      <c r="AD106" s="577">
        <f t="shared" si="46"/>
        <v>21260.219274589654</v>
      </c>
      <c r="AE106" s="577">
        <f t="shared" si="46"/>
        <v>21730.993574394684</v>
      </c>
      <c r="AF106" s="577">
        <f t="shared" si="46"/>
        <v>22231.901553473101</v>
      </c>
      <c r="AG106" s="577">
        <f t="shared" si="46"/>
        <v>22764.683252562041</v>
      </c>
      <c r="AH106" s="752">
        <f t="shared" si="46"/>
        <v>23334.076084191525</v>
      </c>
      <c r="AI106" s="18"/>
      <c r="AJ106" s="18"/>
      <c r="AK106" s="18"/>
      <c r="AL106" s="18"/>
      <c r="AM106" s="18"/>
      <c r="AN106" s="18"/>
    </row>
    <row r="107" spans="2:40" ht="21.95" customHeight="1" x14ac:dyDescent="0.2">
      <c r="B107" s="232"/>
      <c r="C107" s="715"/>
      <c r="D107" s="715"/>
      <c r="E107" s="1340"/>
      <c r="F107" s="116"/>
      <c r="G107" s="116"/>
      <c r="H107" s="124" t="s">
        <v>19</v>
      </c>
      <c r="I107" s="577">
        <f t="shared" ref="I107:AH107" si="47">I44*$G$21</f>
        <v>30191.758076741775</v>
      </c>
      <c r="J107" s="577">
        <f t="shared" si="47"/>
        <v>30849.510682432319</v>
      </c>
      <c r="K107" s="577">
        <f t="shared" si="47"/>
        <v>32347.560692124083</v>
      </c>
      <c r="L107" s="577">
        <f t="shared" si="47"/>
        <v>33997.272052027809</v>
      </c>
      <c r="M107" s="577">
        <f t="shared" si="47"/>
        <v>35659.046012735082</v>
      </c>
      <c r="N107" s="577">
        <f t="shared" si="47"/>
        <v>37336.222840830698</v>
      </c>
      <c r="O107" s="577">
        <f t="shared" si="47"/>
        <v>39038.194680831642</v>
      </c>
      <c r="P107" s="577">
        <f t="shared" si="47"/>
        <v>40777.86897660933</v>
      </c>
      <c r="Q107" s="577">
        <f t="shared" si="47"/>
        <v>41758.677129292366</v>
      </c>
      <c r="R107" s="577">
        <f t="shared" si="47"/>
        <v>42757.637294594788</v>
      </c>
      <c r="S107" s="577">
        <f t="shared" si="47"/>
        <v>43781.48052888122</v>
      </c>
      <c r="T107" s="577">
        <f t="shared" si="47"/>
        <v>44832.482437776504</v>
      </c>
      <c r="U107" s="577">
        <f t="shared" si="47"/>
        <v>45919.170716896653</v>
      </c>
      <c r="V107" s="577">
        <f t="shared" si="47"/>
        <v>46860.80460612876</v>
      </c>
      <c r="W107" s="577">
        <f t="shared" si="47"/>
        <v>47704.856793372644</v>
      </c>
      <c r="X107" s="577">
        <f t="shared" si="47"/>
        <v>48579.178584863534</v>
      </c>
      <c r="Y107" s="577">
        <f t="shared" si="47"/>
        <v>49484.537091996943</v>
      </c>
      <c r="Z107" s="577">
        <f t="shared" si="47"/>
        <v>50426.763556491504</v>
      </c>
      <c r="AA107" s="577">
        <f t="shared" si="47"/>
        <v>51410.668274321666</v>
      </c>
      <c r="AB107" s="577">
        <f t="shared" si="47"/>
        <v>52441.611556851814</v>
      </c>
      <c r="AC107" s="577">
        <f t="shared" si="47"/>
        <v>53525.558000523481</v>
      </c>
      <c r="AD107" s="577">
        <f t="shared" si="47"/>
        <v>54669.135277516245</v>
      </c>
      <c r="AE107" s="577">
        <f t="shared" si="47"/>
        <v>55879.697762729178</v>
      </c>
      <c r="AF107" s="577">
        <f t="shared" si="47"/>
        <v>57167.746851787961</v>
      </c>
      <c r="AG107" s="577">
        <f t="shared" si="47"/>
        <v>58537.75693515953</v>
      </c>
      <c r="AH107" s="752">
        <f t="shared" si="47"/>
        <v>60001.909930778194</v>
      </c>
      <c r="AI107" s="18"/>
      <c r="AJ107" s="18"/>
      <c r="AK107" s="18"/>
      <c r="AL107" s="18"/>
      <c r="AM107" s="18"/>
      <c r="AN107" s="18"/>
    </row>
    <row r="108" spans="2:40" ht="21.95" customHeight="1" x14ac:dyDescent="0.2">
      <c r="B108" s="232"/>
      <c r="C108" s="715"/>
      <c r="D108" s="715"/>
      <c r="E108" s="1340"/>
      <c r="F108" s="116"/>
      <c r="G108" s="116"/>
      <c r="H108" s="721" t="s">
        <v>25</v>
      </c>
      <c r="I108" s="577">
        <f t="shared" ref="I108:AH108" si="48">SUM(I106:I107)</f>
        <v>41932.997328808022</v>
      </c>
      <c r="J108" s="577">
        <f t="shared" si="48"/>
        <v>42846.542614489335</v>
      </c>
      <c r="K108" s="577">
        <f t="shared" si="48"/>
        <v>44927.167627950119</v>
      </c>
      <c r="L108" s="577">
        <f t="shared" si="48"/>
        <v>47218.43340559418</v>
      </c>
      <c r="M108" s="577">
        <f t="shared" si="48"/>
        <v>49526.452795465389</v>
      </c>
      <c r="N108" s="577">
        <f t="shared" si="48"/>
        <v>51855.865056709306</v>
      </c>
      <c r="O108" s="577">
        <f t="shared" si="48"/>
        <v>54219.714834488397</v>
      </c>
      <c r="P108" s="577">
        <f t="shared" si="48"/>
        <v>56635.929134179627</v>
      </c>
      <c r="Q108" s="577">
        <f t="shared" si="48"/>
        <v>57998.162679572735</v>
      </c>
      <c r="R108" s="577">
        <f t="shared" si="48"/>
        <v>59385.607353603875</v>
      </c>
      <c r="S108" s="577">
        <f t="shared" si="48"/>
        <v>60807.611845668362</v>
      </c>
      <c r="T108" s="577">
        <f t="shared" si="48"/>
        <v>62267.336719134037</v>
      </c>
      <c r="U108" s="577">
        <f t="shared" si="48"/>
        <v>63776.625995689799</v>
      </c>
      <c r="V108" s="577">
        <f t="shared" si="48"/>
        <v>65084.450841845508</v>
      </c>
      <c r="W108" s="577">
        <f t="shared" si="48"/>
        <v>66256.745546350896</v>
      </c>
      <c r="X108" s="577">
        <f t="shared" si="48"/>
        <v>67471.08136786602</v>
      </c>
      <c r="Y108" s="577">
        <f t="shared" si="48"/>
        <v>68728.523738884644</v>
      </c>
      <c r="Z108" s="577">
        <f t="shared" si="48"/>
        <v>70037.171606238204</v>
      </c>
      <c r="AA108" s="577">
        <f t="shared" si="48"/>
        <v>71403.705936557875</v>
      </c>
      <c r="AB108" s="577">
        <f t="shared" si="48"/>
        <v>72835.571606738638</v>
      </c>
      <c r="AC108" s="577">
        <f t="shared" si="48"/>
        <v>74341.052778504833</v>
      </c>
      <c r="AD108" s="577">
        <f t="shared" si="48"/>
        <v>75929.354552105899</v>
      </c>
      <c r="AE108" s="577">
        <f t="shared" si="48"/>
        <v>77610.691337123862</v>
      </c>
      <c r="AF108" s="577">
        <f t="shared" si="48"/>
        <v>79399.648405261061</v>
      </c>
      <c r="AG108" s="577">
        <f t="shared" si="48"/>
        <v>81302.440187721571</v>
      </c>
      <c r="AH108" s="752">
        <f t="shared" si="48"/>
        <v>83335.98601496972</v>
      </c>
      <c r="AI108" s="18"/>
      <c r="AJ108" s="18"/>
      <c r="AK108" s="18"/>
      <c r="AL108" s="18"/>
      <c r="AM108" s="18"/>
      <c r="AN108" s="18"/>
    </row>
    <row r="109" spans="2:40" ht="21.95" customHeight="1" x14ac:dyDescent="0.2">
      <c r="B109" s="232"/>
      <c r="C109" s="715"/>
      <c r="D109" s="715"/>
      <c r="E109" s="1340"/>
      <c r="F109" s="116" t="s">
        <v>345</v>
      </c>
      <c r="G109" s="116" t="s">
        <v>323</v>
      </c>
      <c r="H109" s="116" t="s">
        <v>20</v>
      </c>
      <c r="I109" s="577">
        <f t="shared" ref="I109:AH109" si="49">I45*$G$20</f>
        <v>115992.32479907914</v>
      </c>
      <c r="J109" s="577">
        <f t="shared" si="49"/>
        <v>118518.11123722787</v>
      </c>
      <c r="K109" s="577">
        <f t="shared" si="49"/>
        <v>124266.92252003924</v>
      </c>
      <c r="L109" s="577">
        <f t="shared" si="49"/>
        <v>130595.5400860326</v>
      </c>
      <c r="M109" s="577">
        <f t="shared" si="49"/>
        <v>136962.42357480113</v>
      </c>
      <c r="N109" s="577">
        <f t="shared" si="49"/>
        <v>143381.05438302533</v>
      </c>
      <c r="O109" s="577">
        <f t="shared" si="49"/>
        <v>149879.35006446205</v>
      </c>
      <c r="P109" s="577">
        <f t="shared" si="49"/>
        <v>156499.75744694172</v>
      </c>
      <c r="Q109" s="577">
        <f t="shared" si="49"/>
        <v>160217.30309480164</v>
      </c>
      <c r="R109" s="577">
        <f t="shared" si="49"/>
        <v>163997.88939039918</v>
      </c>
      <c r="S109" s="577">
        <f t="shared" si="49"/>
        <v>167854.97755076914</v>
      </c>
      <c r="T109" s="577">
        <f t="shared" si="49"/>
        <v>171804.52319401459</v>
      </c>
      <c r="U109" s="577">
        <f t="shared" si="49"/>
        <v>175866.8559894237</v>
      </c>
      <c r="V109" s="577">
        <f t="shared" si="49"/>
        <v>179377.61595004349</v>
      </c>
      <c r="W109" s="577">
        <f t="shared" si="49"/>
        <v>182508.27858047606</v>
      </c>
      <c r="X109" s="577">
        <f t="shared" si="49"/>
        <v>185732.12397240623</v>
      </c>
      <c r="Y109" s="577">
        <f t="shared" si="49"/>
        <v>189061.6763538646</v>
      </c>
      <c r="Z109" s="577">
        <f t="shared" si="49"/>
        <v>192511.22245632345</v>
      </c>
      <c r="AA109" s="577">
        <f t="shared" si="49"/>
        <v>196095.81717018949</v>
      </c>
      <c r="AB109" s="577">
        <f t="shared" si="49"/>
        <v>199833.46190439872</v>
      </c>
      <c r="AC109" s="577">
        <f t="shared" si="49"/>
        <v>203742.91401326784</v>
      </c>
      <c r="AD109" s="577">
        <f t="shared" si="49"/>
        <v>207845.99976570476</v>
      </c>
      <c r="AE109" s="577">
        <f t="shared" si="49"/>
        <v>212166.97026704444</v>
      </c>
      <c r="AF109" s="577">
        <f t="shared" si="49"/>
        <v>216731.58621366622</v>
      </c>
      <c r="AG109" s="577">
        <f t="shared" si="49"/>
        <v>221569.48966221866</v>
      </c>
      <c r="AH109" s="752">
        <f t="shared" si="49"/>
        <v>226713.49927803734</v>
      </c>
      <c r="AI109" s="18"/>
      <c r="AJ109" s="18"/>
      <c r="AK109" s="18"/>
      <c r="AL109" s="18"/>
      <c r="AM109" s="18"/>
      <c r="AN109" s="18"/>
    </row>
    <row r="110" spans="2:40" ht="21.95" customHeight="1" x14ac:dyDescent="0.2">
      <c r="B110" s="232"/>
      <c r="C110" s="715"/>
      <c r="D110" s="715"/>
      <c r="E110" s="1340"/>
      <c r="F110" s="116"/>
      <c r="G110" s="116"/>
      <c r="H110" s="124" t="s">
        <v>19</v>
      </c>
      <c r="I110" s="577">
        <f t="shared" ref="I110:AH110" si="50">I45*$G$21</f>
        <v>298265.97805477487</v>
      </c>
      <c r="J110" s="577">
        <f t="shared" si="50"/>
        <v>304760.85746715736</v>
      </c>
      <c r="K110" s="577">
        <f t="shared" si="50"/>
        <v>319543.51505152939</v>
      </c>
      <c r="L110" s="577">
        <f t="shared" si="50"/>
        <v>335817.10307836952</v>
      </c>
      <c r="M110" s="577">
        <f t="shared" si="50"/>
        <v>352189.08919234568</v>
      </c>
      <c r="N110" s="577">
        <f t="shared" si="50"/>
        <v>368694.13984206511</v>
      </c>
      <c r="O110" s="577">
        <f t="shared" si="50"/>
        <v>385404.04302290233</v>
      </c>
      <c r="P110" s="577">
        <f t="shared" si="50"/>
        <v>402427.94772070722</v>
      </c>
      <c r="Q110" s="577">
        <f t="shared" si="50"/>
        <v>411987.35081520415</v>
      </c>
      <c r="R110" s="577">
        <f t="shared" si="50"/>
        <v>421708.85843245499</v>
      </c>
      <c r="S110" s="577">
        <f t="shared" si="50"/>
        <v>431627.08513054915</v>
      </c>
      <c r="T110" s="577">
        <f t="shared" si="50"/>
        <v>441783.05964175175</v>
      </c>
      <c r="U110" s="577">
        <f t="shared" si="50"/>
        <v>452229.05825851799</v>
      </c>
      <c r="V110" s="577">
        <f t="shared" si="50"/>
        <v>461256.72672868316</v>
      </c>
      <c r="W110" s="577">
        <f t="shared" si="50"/>
        <v>469307.00206408126</v>
      </c>
      <c r="X110" s="577">
        <f t="shared" si="50"/>
        <v>477596.89021475881</v>
      </c>
      <c r="Y110" s="577">
        <f t="shared" si="50"/>
        <v>486158.59633850888</v>
      </c>
      <c r="Z110" s="577">
        <f t="shared" si="50"/>
        <v>495028.85774483171</v>
      </c>
      <c r="AA110" s="577">
        <f t="shared" si="50"/>
        <v>504246.38700905861</v>
      </c>
      <c r="AB110" s="577">
        <f t="shared" si="50"/>
        <v>513857.4734684538</v>
      </c>
      <c r="AC110" s="577">
        <f t="shared" si="50"/>
        <v>523910.35031983152</v>
      </c>
      <c r="AD110" s="577">
        <f t="shared" si="50"/>
        <v>534461.14225466934</v>
      </c>
      <c r="AE110" s="577">
        <f t="shared" si="50"/>
        <v>545572.20925811422</v>
      </c>
      <c r="AF110" s="577">
        <f t="shared" si="50"/>
        <v>557309.79312085593</v>
      </c>
      <c r="AG110" s="577">
        <f t="shared" si="50"/>
        <v>569750.11627427652</v>
      </c>
      <c r="AH110" s="752">
        <f t="shared" si="50"/>
        <v>582977.56957209599</v>
      </c>
      <c r="AI110" s="18"/>
      <c r="AJ110" s="18"/>
      <c r="AK110" s="18"/>
      <c r="AL110" s="18"/>
      <c r="AM110" s="18"/>
      <c r="AN110" s="18"/>
    </row>
    <row r="111" spans="2:40" ht="21.95" customHeight="1" x14ac:dyDescent="0.2">
      <c r="B111" s="232"/>
      <c r="C111" s="715"/>
      <c r="D111" s="715"/>
      <c r="E111" s="1340"/>
      <c r="F111" s="116"/>
      <c r="G111" s="116"/>
      <c r="H111" s="721" t="s">
        <v>25</v>
      </c>
      <c r="I111" s="577">
        <f t="shared" ref="I111:AH111" si="51">SUM(I109:I110)</f>
        <v>414258.30285385402</v>
      </c>
      <c r="J111" s="577">
        <f t="shared" si="51"/>
        <v>423278.96870438522</v>
      </c>
      <c r="K111" s="577">
        <f t="shared" si="51"/>
        <v>443810.43757156865</v>
      </c>
      <c r="L111" s="577">
        <f t="shared" si="51"/>
        <v>466412.64316440211</v>
      </c>
      <c r="M111" s="577">
        <f t="shared" si="51"/>
        <v>489151.51276714681</v>
      </c>
      <c r="N111" s="577">
        <f t="shared" si="51"/>
        <v>512075.19422509044</v>
      </c>
      <c r="O111" s="577">
        <f t="shared" si="51"/>
        <v>535283.39308736438</v>
      </c>
      <c r="P111" s="577">
        <f t="shared" si="51"/>
        <v>558927.70516764896</v>
      </c>
      <c r="Q111" s="577">
        <f t="shared" si="51"/>
        <v>572204.65391000581</v>
      </c>
      <c r="R111" s="577">
        <f t="shared" si="51"/>
        <v>585706.7478228542</v>
      </c>
      <c r="S111" s="577">
        <f t="shared" si="51"/>
        <v>599482.06268131826</v>
      </c>
      <c r="T111" s="577">
        <f t="shared" si="51"/>
        <v>613587.58283576637</v>
      </c>
      <c r="U111" s="577">
        <f t="shared" si="51"/>
        <v>628095.91424794169</v>
      </c>
      <c r="V111" s="577">
        <f t="shared" si="51"/>
        <v>640634.34267872665</v>
      </c>
      <c r="W111" s="577">
        <f t="shared" si="51"/>
        <v>651815.28064455732</v>
      </c>
      <c r="X111" s="577">
        <f t="shared" si="51"/>
        <v>663329.01418716507</v>
      </c>
      <c r="Y111" s="577">
        <f t="shared" si="51"/>
        <v>675220.27269237349</v>
      </c>
      <c r="Z111" s="577">
        <f t="shared" si="51"/>
        <v>687540.08020115516</v>
      </c>
      <c r="AA111" s="577">
        <f t="shared" si="51"/>
        <v>700342.20417924807</v>
      </c>
      <c r="AB111" s="577">
        <f t="shared" si="51"/>
        <v>713690.93537285249</v>
      </c>
      <c r="AC111" s="577">
        <f t="shared" si="51"/>
        <v>727653.26433309936</v>
      </c>
      <c r="AD111" s="577">
        <f t="shared" si="51"/>
        <v>742307.14202037407</v>
      </c>
      <c r="AE111" s="577">
        <f t="shared" si="51"/>
        <v>757739.1795251586</v>
      </c>
      <c r="AF111" s="577">
        <f t="shared" si="51"/>
        <v>774041.37933452218</v>
      </c>
      <c r="AG111" s="577">
        <f t="shared" si="51"/>
        <v>791319.60593649512</v>
      </c>
      <c r="AH111" s="752">
        <f t="shared" si="51"/>
        <v>809691.06885013334</v>
      </c>
      <c r="AI111" s="18"/>
      <c r="AJ111" s="18"/>
      <c r="AK111" s="18"/>
      <c r="AL111" s="18"/>
      <c r="AM111" s="18"/>
      <c r="AN111" s="18"/>
    </row>
    <row r="112" spans="2:40" ht="21.95" customHeight="1" x14ac:dyDescent="0.2">
      <c r="B112" s="232"/>
      <c r="C112" s="715"/>
      <c r="D112" s="715"/>
      <c r="E112" s="1340"/>
      <c r="F112" s="116" t="s">
        <v>323</v>
      </c>
      <c r="G112" s="116" t="s">
        <v>347</v>
      </c>
      <c r="H112" s="116" t="s">
        <v>20</v>
      </c>
      <c r="I112" s="577">
        <f t="shared" ref="I112:AH112" si="52">I46*$G$20</f>
        <v>20712.915142692709</v>
      </c>
      <c r="J112" s="577">
        <f t="shared" si="52"/>
        <v>21163.948435219263</v>
      </c>
      <c r="K112" s="577">
        <f t="shared" si="52"/>
        <v>21836.516990013228</v>
      </c>
      <c r="L112" s="577">
        <f t="shared" si="52"/>
        <v>22610.207740245329</v>
      </c>
      <c r="M112" s="577">
        <f t="shared" si="52"/>
        <v>23386.359082006864</v>
      </c>
      <c r="N112" s="577">
        <f t="shared" si="52"/>
        <v>24165.457108152947</v>
      </c>
      <c r="O112" s="577">
        <f t="shared" si="52"/>
        <v>24948.444954088165</v>
      </c>
      <c r="P112" s="577">
        <f t="shared" si="52"/>
        <v>25737.129458882791</v>
      </c>
      <c r="Q112" s="577">
        <f t="shared" si="52"/>
        <v>26375.847908391621</v>
      </c>
      <c r="R112" s="577">
        <f t="shared" si="52"/>
        <v>27020.186016753702</v>
      </c>
      <c r="S112" s="577">
        <f t="shared" si="52"/>
        <v>27671.449029755306</v>
      </c>
      <c r="T112" s="577">
        <f t="shared" si="52"/>
        <v>28331.204985317549</v>
      </c>
      <c r="U112" s="577">
        <f t="shared" si="52"/>
        <v>29001.572850404064</v>
      </c>
      <c r="V112" s="577">
        <f t="shared" si="52"/>
        <v>29573.707488547148</v>
      </c>
      <c r="W112" s="577">
        <f t="shared" si="52"/>
        <v>30077.970949201655</v>
      </c>
      <c r="X112" s="577">
        <f t="shared" si="52"/>
        <v>30591.209541985885</v>
      </c>
      <c r="Y112" s="577">
        <f t="shared" si="52"/>
        <v>31114.720410069858</v>
      </c>
      <c r="Z112" s="577">
        <f t="shared" si="52"/>
        <v>31650.009207043247</v>
      </c>
      <c r="AA112" s="577">
        <f t="shared" si="52"/>
        <v>32198.630916617178</v>
      </c>
      <c r="AB112" s="577">
        <f t="shared" si="52"/>
        <v>32762.520571938876</v>
      </c>
      <c r="AC112" s="577">
        <f t="shared" si="52"/>
        <v>33343.652602544185</v>
      </c>
      <c r="AD112" s="577">
        <f t="shared" si="52"/>
        <v>33944.385751861359</v>
      </c>
      <c r="AE112" s="577">
        <f t="shared" si="52"/>
        <v>34567.356370151341</v>
      </c>
      <c r="AF112" s="577">
        <f t="shared" si="52"/>
        <v>35215.344730864505</v>
      </c>
      <c r="AG112" s="577">
        <f t="shared" si="52"/>
        <v>35891.612038798041</v>
      </c>
      <c r="AH112" s="752">
        <f t="shared" si="52"/>
        <v>36599.78939486717</v>
      </c>
      <c r="AI112" s="18"/>
      <c r="AJ112" s="18"/>
      <c r="AK112" s="18"/>
      <c r="AL112" s="18"/>
      <c r="AM112" s="18"/>
      <c r="AN112" s="18"/>
    </row>
    <row r="113" spans="2:40" ht="21.95" customHeight="1" x14ac:dyDescent="0.2">
      <c r="B113" s="232"/>
      <c r="C113" s="715"/>
      <c r="D113" s="715"/>
      <c r="E113" s="1340"/>
      <c r="F113" s="116"/>
      <c r="G113" s="116"/>
      <c r="H113" s="124" t="s">
        <v>19</v>
      </c>
      <c r="I113" s="577">
        <f t="shared" ref="I113:AH113" si="53">I46*$G$21</f>
        <v>53261.781795495532</v>
      </c>
      <c r="J113" s="577">
        <f t="shared" si="53"/>
        <v>54421.581690563813</v>
      </c>
      <c r="K113" s="577">
        <f t="shared" si="53"/>
        <v>56151.043688605438</v>
      </c>
      <c r="L113" s="577">
        <f t="shared" si="53"/>
        <v>58140.53418920227</v>
      </c>
      <c r="M113" s="577">
        <f t="shared" si="53"/>
        <v>60136.351925160503</v>
      </c>
      <c r="N113" s="577">
        <f t="shared" si="53"/>
        <v>62139.746849536139</v>
      </c>
      <c r="O113" s="577">
        <f t="shared" si="53"/>
        <v>64153.144167655271</v>
      </c>
      <c r="P113" s="577">
        <f t="shared" si="53"/>
        <v>66181.190037127177</v>
      </c>
      <c r="Q113" s="577">
        <f t="shared" si="53"/>
        <v>67823.608907292728</v>
      </c>
      <c r="R113" s="577">
        <f t="shared" si="53"/>
        <v>69480.47832879523</v>
      </c>
      <c r="S113" s="577">
        <f t="shared" si="53"/>
        <v>71155.15464794221</v>
      </c>
      <c r="T113" s="577">
        <f t="shared" si="53"/>
        <v>72851.669962245112</v>
      </c>
      <c r="U113" s="577">
        <f t="shared" si="53"/>
        <v>74575.473043896156</v>
      </c>
      <c r="V113" s="577">
        <f t="shared" si="53"/>
        <v>76046.676399121221</v>
      </c>
      <c r="W113" s="577">
        <f t="shared" si="53"/>
        <v>77343.353869375671</v>
      </c>
      <c r="X113" s="577">
        <f t="shared" si="53"/>
        <v>78663.110250820842</v>
      </c>
      <c r="Y113" s="577">
        <f t="shared" si="53"/>
        <v>80009.281054465333</v>
      </c>
      <c r="Z113" s="577">
        <f t="shared" si="53"/>
        <v>81385.737960968341</v>
      </c>
      <c r="AA113" s="577">
        <f t="shared" si="53"/>
        <v>82796.47949987273</v>
      </c>
      <c r="AB113" s="577">
        <f t="shared" si="53"/>
        <v>84246.48147069996</v>
      </c>
      <c r="AC113" s="577">
        <f t="shared" si="53"/>
        <v>85740.820977970754</v>
      </c>
      <c r="AD113" s="577">
        <f t="shared" si="53"/>
        <v>87285.563361929191</v>
      </c>
      <c r="AE113" s="577">
        <f t="shared" si="53"/>
        <v>88887.487808960577</v>
      </c>
      <c r="AF113" s="577">
        <f t="shared" si="53"/>
        <v>90553.743593651569</v>
      </c>
      <c r="AG113" s="577">
        <f t="shared" si="53"/>
        <v>92292.716671194954</v>
      </c>
      <c r="AH113" s="752">
        <f t="shared" si="53"/>
        <v>94113.744158229849</v>
      </c>
      <c r="AI113" s="18"/>
      <c r="AJ113" s="18"/>
      <c r="AK113" s="18"/>
      <c r="AL113" s="18"/>
      <c r="AM113" s="18"/>
      <c r="AN113" s="18"/>
    </row>
    <row r="114" spans="2:40" ht="21.95" customHeight="1" x14ac:dyDescent="0.2">
      <c r="B114" s="232"/>
      <c r="C114" s="715"/>
      <c r="D114" s="715"/>
      <c r="E114" s="1340"/>
      <c r="F114" s="116"/>
      <c r="G114" s="116"/>
      <c r="H114" s="721" t="s">
        <v>25</v>
      </c>
      <c r="I114" s="577">
        <f t="shared" ref="I114:AH114" si="54">SUM(I112:I113)</f>
        <v>73974.696938188237</v>
      </c>
      <c r="J114" s="577">
        <f t="shared" si="54"/>
        <v>75585.530125783072</v>
      </c>
      <c r="K114" s="577">
        <f t="shared" si="54"/>
        <v>77987.560678618669</v>
      </c>
      <c r="L114" s="577">
        <f t="shared" si="54"/>
        <v>80750.741929447599</v>
      </c>
      <c r="M114" s="577">
        <f t="shared" si="54"/>
        <v>83522.711007167367</v>
      </c>
      <c r="N114" s="577">
        <f t="shared" si="54"/>
        <v>86305.203957689082</v>
      </c>
      <c r="O114" s="577">
        <f t="shared" si="54"/>
        <v>89101.58912174344</v>
      </c>
      <c r="P114" s="577">
        <f t="shared" si="54"/>
        <v>91918.319496009964</v>
      </c>
      <c r="Q114" s="577">
        <f t="shared" si="54"/>
        <v>94199.456815684345</v>
      </c>
      <c r="R114" s="577">
        <f t="shared" si="54"/>
        <v>96500.664345548925</v>
      </c>
      <c r="S114" s="577">
        <f t="shared" si="54"/>
        <v>98826.603677697509</v>
      </c>
      <c r="T114" s="577">
        <f t="shared" si="54"/>
        <v>101182.87494756267</v>
      </c>
      <c r="U114" s="577">
        <f t="shared" si="54"/>
        <v>103577.04589430022</v>
      </c>
      <c r="V114" s="577">
        <f t="shared" si="54"/>
        <v>105620.38388766837</v>
      </c>
      <c r="W114" s="577">
        <f t="shared" si="54"/>
        <v>107421.32481857733</v>
      </c>
      <c r="X114" s="577">
        <f t="shared" si="54"/>
        <v>109254.31979280672</v>
      </c>
      <c r="Y114" s="577">
        <f t="shared" si="54"/>
        <v>111124.00146453519</v>
      </c>
      <c r="Z114" s="577">
        <f t="shared" si="54"/>
        <v>113035.74716801159</v>
      </c>
      <c r="AA114" s="577">
        <f t="shared" si="54"/>
        <v>114995.11041648992</v>
      </c>
      <c r="AB114" s="577">
        <f t="shared" si="54"/>
        <v>117009.00204263884</v>
      </c>
      <c r="AC114" s="577">
        <f t="shared" si="54"/>
        <v>119084.47358051494</v>
      </c>
      <c r="AD114" s="577">
        <f t="shared" si="54"/>
        <v>121229.94911379056</v>
      </c>
      <c r="AE114" s="577">
        <f t="shared" si="54"/>
        <v>123454.84417911191</v>
      </c>
      <c r="AF114" s="577">
        <f t="shared" si="54"/>
        <v>125769.08832451608</v>
      </c>
      <c r="AG114" s="577">
        <f t="shared" si="54"/>
        <v>128184.32870999299</v>
      </c>
      <c r="AH114" s="752">
        <f t="shared" si="54"/>
        <v>130713.53355309702</v>
      </c>
      <c r="AI114" s="18"/>
      <c r="AJ114" s="18"/>
      <c r="AK114" s="18"/>
      <c r="AL114" s="18"/>
      <c r="AM114" s="18"/>
      <c r="AN114" s="18"/>
    </row>
    <row r="115" spans="2:40" ht="21.95" customHeight="1" x14ac:dyDescent="0.2">
      <c r="B115" s="232"/>
      <c r="C115" s="715"/>
      <c r="D115" s="715"/>
      <c r="E115" s="1340"/>
      <c r="F115" s="116" t="s">
        <v>347</v>
      </c>
      <c r="G115" s="116" t="s">
        <v>348</v>
      </c>
      <c r="H115" s="116" t="s">
        <v>20</v>
      </c>
      <c r="I115" s="577">
        <f t="shared" ref="I115:AH115" si="55">I47*$G$20</f>
        <v>16955.412784718425</v>
      </c>
      <c r="J115" s="577">
        <f t="shared" si="55"/>
        <v>17325.374421668312</v>
      </c>
      <c r="K115" s="577">
        <f t="shared" si="55"/>
        <v>17877.419536074885</v>
      </c>
      <c r="L115" s="577">
        <f t="shared" si="55"/>
        <v>18513.173487679625</v>
      </c>
      <c r="M115" s="577">
        <f t="shared" si="55"/>
        <v>19151.966890662377</v>
      </c>
      <c r="N115" s="577">
        <f t="shared" si="55"/>
        <v>19794.555781624415</v>
      </c>
      <c r="O115" s="577">
        <f t="shared" si="55"/>
        <v>20442.178004381669</v>
      </c>
      <c r="P115" s="577">
        <f t="shared" si="55"/>
        <v>21096.919885625768</v>
      </c>
      <c r="Q115" s="577">
        <f t="shared" si="55"/>
        <v>21629.400162746613</v>
      </c>
      <c r="R115" s="577">
        <f t="shared" si="55"/>
        <v>22169.054253839538</v>
      </c>
      <c r="S115" s="577">
        <f t="shared" si="55"/>
        <v>22717.548379346608</v>
      </c>
      <c r="T115" s="577">
        <f t="shared" si="55"/>
        <v>23276.884228808234</v>
      </c>
      <c r="U115" s="577">
        <f t="shared" si="55"/>
        <v>23849.665150424735</v>
      </c>
      <c r="V115" s="577">
        <f t="shared" si="55"/>
        <v>24342.577617718245</v>
      </c>
      <c r="W115" s="577">
        <f t="shared" si="55"/>
        <v>24780.490590118388</v>
      </c>
      <c r="X115" s="577">
        <f t="shared" si="55"/>
        <v>25229.86082886779</v>
      </c>
      <c r="Y115" s="577">
        <f t="shared" si="55"/>
        <v>25692.344210958236</v>
      </c>
      <c r="Z115" s="577">
        <f t="shared" si="55"/>
        <v>26169.845849854883</v>
      </c>
      <c r="AA115" s="577">
        <f t="shared" si="55"/>
        <v>26664.384648517032</v>
      </c>
      <c r="AB115" s="577">
        <f t="shared" si="55"/>
        <v>27178.39690889281</v>
      </c>
      <c r="AC115" s="577">
        <f t="shared" si="55"/>
        <v>27714.436980379964</v>
      </c>
      <c r="AD115" s="577">
        <f t="shared" si="55"/>
        <v>28275.4989941159</v>
      </c>
      <c r="AE115" s="577">
        <f t="shared" si="55"/>
        <v>28864.931462140332</v>
      </c>
      <c r="AF115" s="577">
        <f t="shared" si="55"/>
        <v>29486.317439415587</v>
      </c>
      <c r="AG115" s="577">
        <f t="shared" si="55"/>
        <v>30143.803100316345</v>
      </c>
      <c r="AH115" s="752">
        <f t="shared" si="55"/>
        <v>30842.006812638494</v>
      </c>
      <c r="AI115" s="18"/>
      <c r="AJ115" s="18"/>
      <c r="AK115" s="18"/>
      <c r="AL115" s="18"/>
      <c r="AM115" s="18"/>
      <c r="AN115" s="18"/>
    </row>
    <row r="116" spans="2:40" ht="21.95" customHeight="1" x14ac:dyDescent="0.2">
      <c r="B116" s="232"/>
      <c r="C116" s="715"/>
      <c r="D116" s="715"/>
      <c r="E116" s="1340"/>
      <c r="F116" s="116"/>
      <c r="G116" s="116"/>
      <c r="H116" s="124" t="s">
        <v>19</v>
      </c>
      <c r="I116" s="577">
        <f t="shared" ref="I116:AH116" si="56">I47*$G$21</f>
        <v>43599.632874990231</v>
      </c>
      <c r="J116" s="577">
        <f t="shared" si="56"/>
        <v>44550.962798575652</v>
      </c>
      <c r="K116" s="577">
        <f t="shared" si="56"/>
        <v>45970.507378478273</v>
      </c>
      <c r="L116" s="577">
        <f t="shared" si="56"/>
        <v>47605.303254033322</v>
      </c>
      <c r="M116" s="577">
        <f t="shared" si="56"/>
        <v>49247.914861703255</v>
      </c>
      <c r="N116" s="577">
        <f t="shared" si="56"/>
        <v>50900.286295605634</v>
      </c>
      <c r="O116" s="577">
        <f t="shared" si="56"/>
        <v>52565.600582695712</v>
      </c>
      <c r="P116" s="577">
        <f t="shared" si="56"/>
        <v>54249.222563037685</v>
      </c>
      <c r="Q116" s="577">
        <f t="shared" si="56"/>
        <v>55618.457561348427</v>
      </c>
      <c r="R116" s="577">
        <f t="shared" si="56"/>
        <v>57006.139509873086</v>
      </c>
      <c r="S116" s="577">
        <f t="shared" si="56"/>
        <v>58416.552975462699</v>
      </c>
      <c r="T116" s="577">
        <f t="shared" si="56"/>
        <v>59854.845159792596</v>
      </c>
      <c r="U116" s="577">
        <f t="shared" si="56"/>
        <v>61327.710386806451</v>
      </c>
      <c r="V116" s="577">
        <f t="shared" si="56"/>
        <v>62595.199588418334</v>
      </c>
      <c r="W116" s="577">
        <f t="shared" si="56"/>
        <v>63721.261517447281</v>
      </c>
      <c r="X116" s="577">
        <f t="shared" si="56"/>
        <v>64876.784988517167</v>
      </c>
      <c r="Y116" s="577">
        <f t="shared" si="56"/>
        <v>66066.027971035452</v>
      </c>
      <c r="Z116" s="577">
        <f t="shared" si="56"/>
        <v>67293.88932819826</v>
      </c>
      <c r="AA116" s="577">
        <f t="shared" si="56"/>
        <v>68565.560524758068</v>
      </c>
      <c r="AB116" s="577">
        <f t="shared" si="56"/>
        <v>69887.306337152928</v>
      </c>
      <c r="AC116" s="577">
        <f t="shared" si="56"/>
        <v>71265.695092405615</v>
      </c>
      <c r="AD116" s="577">
        <f t="shared" si="56"/>
        <v>72708.425984869449</v>
      </c>
      <c r="AE116" s="577">
        <f t="shared" si="56"/>
        <v>74224.109474075129</v>
      </c>
      <c r="AF116" s="577">
        <f t="shared" si="56"/>
        <v>75821.959129925788</v>
      </c>
      <c r="AG116" s="577">
        <f t="shared" si="56"/>
        <v>77512.636543670582</v>
      </c>
      <c r="AH116" s="752">
        <f t="shared" si="56"/>
        <v>79308.017518213266</v>
      </c>
      <c r="AI116" s="18"/>
      <c r="AJ116" s="18"/>
      <c r="AK116" s="18"/>
      <c r="AL116" s="18"/>
      <c r="AM116" s="18"/>
      <c r="AN116" s="18"/>
    </row>
    <row r="117" spans="2:40" ht="21.95" customHeight="1" x14ac:dyDescent="0.2">
      <c r="B117" s="232"/>
      <c r="C117" s="715"/>
      <c r="D117" s="715"/>
      <c r="E117" s="1340"/>
      <c r="F117" s="116"/>
      <c r="G117" s="116"/>
      <c r="H117" s="721" t="s">
        <v>25</v>
      </c>
      <c r="I117" s="577">
        <f t="shared" ref="I117:AH117" si="57">SUM(I115:I116)</f>
        <v>60555.04565970866</v>
      </c>
      <c r="J117" s="577">
        <f t="shared" si="57"/>
        <v>61876.337220243964</v>
      </c>
      <c r="K117" s="577">
        <f t="shared" si="57"/>
        <v>63847.926914553158</v>
      </c>
      <c r="L117" s="577">
        <f t="shared" si="57"/>
        <v>66118.476741712948</v>
      </c>
      <c r="M117" s="577">
        <f t="shared" si="57"/>
        <v>68399.881752365633</v>
      </c>
      <c r="N117" s="577">
        <f t="shared" si="57"/>
        <v>70694.842077230045</v>
      </c>
      <c r="O117" s="577">
        <f t="shared" si="57"/>
        <v>73007.778587077381</v>
      </c>
      <c r="P117" s="577">
        <f t="shared" si="57"/>
        <v>75346.14244866345</v>
      </c>
      <c r="Q117" s="577">
        <f t="shared" si="57"/>
        <v>77247.85772409504</v>
      </c>
      <c r="R117" s="577">
        <f t="shared" si="57"/>
        <v>79175.193763712625</v>
      </c>
      <c r="S117" s="577">
        <f t="shared" si="57"/>
        <v>81134.101354809303</v>
      </c>
      <c r="T117" s="577">
        <f t="shared" si="57"/>
        <v>83131.729388600826</v>
      </c>
      <c r="U117" s="577">
        <f t="shared" si="57"/>
        <v>85177.375537231186</v>
      </c>
      <c r="V117" s="577">
        <f t="shared" si="57"/>
        <v>86937.777206136583</v>
      </c>
      <c r="W117" s="577">
        <f t="shared" si="57"/>
        <v>88501.75210756567</v>
      </c>
      <c r="X117" s="577">
        <f t="shared" si="57"/>
        <v>90106.645817384953</v>
      </c>
      <c r="Y117" s="577">
        <f t="shared" si="57"/>
        <v>91758.372181993691</v>
      </c>
      <c r="Z117" s="577">
        <f t="shared" si="57"/>
        <v>93463.735178053146</v>
      </c>
      <c r="AA117" s="577">
        <f t="shared" si="57"/>
        <v>95229.945173275104</v>
      </c>
      <c r="AB117" s="577">
        <f t="shared" si="57"/>
        <v>97065.703246045741</v>
      </c>
      <c r="AC117" s="577">
        <f t="shared" si="57"/>
        <v>98980.132072785578</v>
      </c>
      <c r="AD117" s="577">
        <f t="shared" si="57"/>
        <v>100983.92497898535</v>
      </c>
      <c r="AE117" s="577">
        <f t="shared" si="57"/>
        <v>103089.04093621546</v>
      </c>
      <c r="AF117" s="577">
        <f t="shared" si="57"/>
        <v>105308.27656934137</v>
      </c>
      <c r="AG117" s="577">
        <f t="shared" si="57"/>
        <v>107656.43964398693</v>
      </c>
      <c r="AH117" s="752">
        <f t="shared" si="57"/>
        <v>110150.02433085177</v>
      </c>
      <c r="AI117" s="18"/>
      <c r="AJ117" s="18"/>
      <c r="AK117" s="18"/>
      <c r="AL117" s="18"/>
      <c r="AM117" s="18"/>
      <c r="AN117" s="18"/>
    </row>
    <row r="118" spans="2:40" ht="21.95" customHeight="1" x14ac:dyDescent="0.2">
      <c r="B118" s="232"/>
      <c r="C118" s="715"/>
      <c r="D118" s="715"/>
      <c r="E118" s="1340"/>
      <c r="F118" s="116" t="s">
        <v>348</v>
      </c>
      <c r="G118" s="116" t="s">
        <v>349</v>
      </c>
      <c r="H118" s="116" t="s">
        <v>20</v>
      </c>
      <c r="I118" s="577">
        <f t="shared" ref="I118:AH118" si="58">I48*$G$20</f>
        <v>27721.37721714787</v>
      </c>
      <c r="J118" s="577">
        <f t="shared" si="58"/>
        <v>28397.980854922975</v>
      </c>
      <c r="K118" s="577">
        <f t="shared" si="58"/>
        <v>29344.89276609716</v>
      </c>
      <c r="L118" s="577">
        <f t="shared" si="58"/>
        <v>30619.48166265852</v>
      </c>
      <c r="M118" s="577">
        <f t="shared" si="58"/>
        <v>31921.655047673357</v>
      </c>
      <c r="N118" s="577">
        <f t="shared" si="58"/>
        <v>33262.658087452161</v>
      </c>
      <c r="O118" s="577">
        <f t="shared" si="58"/>
        <v>34657.540970022936</v>
      </c>
      <c r="P118" s="577">
        <f t="shared" si="58"/>
        <v>36128.643193705466</v>
      </c>
      <c r="Q118" s="577">
        <f t="shared" si="58"/>
        <v>37628.694794946023</v>
      </c>
      <c r="R118" s="577">
        <f t="shared" si="58"/>
        <v>39254.820789706137</v>
      </c>
      <c r="S118" s="577">
        <f t="shared" si="58"/>
        <v>41047.981990781074</v>
      </c>
      <c r="T118" s="577">
        <f t="shared" si="58"/>
        <v>43060.818605610533</v>
      </c>
      <c r="U118" s="577">
        <f t="shared" si="58"/>
        <v>45361.60766466074</v>
      </c>
      <c r="V118" s="577">
        <f t="shared" si="58"/>
        <v>47299.331393292574</v>
      </c>
      <c r="W118" s="577">
        <f t="shared" si="58"/>
        <v>48946.783370098528</v>
      </c>
      <c r="X118" s="577">
        <f t="shared" si="58"/>
        <v>50759.386784747185</v>
      </c>
      <c r="Y118" s="577">
        <f t="shared" si="58"/>
        <v>52761.624603956436</v>
      </c>
      <c r="Z118" s="577">
        <f t="shared" si="58"/>
        <v>54981.609287288389</v>
      </c>
      <c r="AA118" s="577">
        <f t="shared" si="58"/>
        <v>57449.657036026438</v>
      </c>
      <c r="AB118" s="577">
        <f t="shared" si="58"/>
        <v>60201.850224200651</v>
      </c>
      <c r="AC118" s="577">
        <f t="shared" si="58"/>
        <v>63276.554515361837</v>
      </c>
      <c r="AD118" s="577">
        <f t="shared" si="58"/>
        <v>66718.523058555729</v>
      </c>
      <c r="AE118" s="577">
        <f t="shared" si="58"/>
        <v>70578.106486622419</v>
      </c>
      <c r="AF118" s="577">
        <f t="shared" si="58"/>
        <v>74909.204468953918</v>
      </c>
      <c r="AG118" s="577">
        <f t="shared" si="58"/>
        <v>79774.389889300815</v>
      </c>
      <c r="AH118" s="752">
        <f t="shared" si="58"/>
        <v>85243.758914283855</v>
      </c>
      <c r="AI118" s="18"/>
      <c r="AJ118" s="18"/>
      <c r="AK118" s="18"/>
      <c r="AL118" s="18"/>
      <c r="AM118" s="18"/>
      <c r="AN118" s="18"/>
    </row>
    <row r="119" spans="2:40" ht="21.95" customHeight="1" x14ac:dyDescent="0.2">
      <c r="B119" s="232"/>
      <c r="C119" s="715"/>
      <c r="D119" s="715"/>
      <c r="E119" s="1340"/>
      <c r="F119" s="116"/>
      <c r="G119" s="116"/>
      <c r="H119" s="124" t="s">
        <v>19</v>
      </c>
      <c r="I119" s="577">
        <f t="shared" ref="I119:AH119" si="59">I48*$G$21</f>
        <v>71283.541415523083</v>
      </c>
      <c r="J119" s="577">
        <f t="shared" si="59"/>
        <v>73023.379341230495</v>
      </c>
      <c r="K119" s="577">
        <f t="shared" si="59"/>
        <v>75458.295684249824</v>
      </c>
      <c r="L119" s="577">
        <f t="shared" si="59"/>
        <v>78735.809989693327</v>
      </c>
      <c r="M119" s="577">
        <f t="shared" si="59"/>
        <v>82084.255836874334</v>
      </c>
      <c r="N119" s="577">
        <f t="shared" si="59"/>
        <v>85532.549367734115</v>
      </c>
      <c r="O119" s="577">
        <f t="shared" si="59"/>
        <v>89119.391065773263</v>
      </c>
      <c r="P119" s="577">
        <f t="shared" si="59"/>
        <v>92902.225355242612</v>
      </c>
      <c r="Q119" s="577">
        <f t="shared" si="59"/>
        <v>96759.500901289764</v>
      </c>
      <c r="R119" s="577">
        <f t="shared" si="59"/>
        <v>100940.96774495862</v>
      </c>
      <c r="S119" s="577">
        <f t="shared" si="59"/>
        <v>105551.9536905799</v>
      </c>
      <c r="T119" s="577">
        <f t="shared" si="59"/>
        <v>110727.81927156994</v>
      </c>
      <c r="U119" s="577">
        <f t="shared" si="59"/>
        <v>116644.13399484188</v>
      </c>
      <c r="V119" s="577">
        <f t="shared" si="59"/>
        <v>121626.85215418089</v>
      </c>
      <c r="W119" s="577">
        <f t="shared" si="59"/>
        <v>125863.1572373962</v>
      </c>
      <c r="X119" s="577">
        <f t="shared" si="59"/>
        <v>130524.13744649274</v>
      </c>
      <c r="Y119" s="577">
        <f t="shared" si="59"/>
        <v>135672.74898160223</v>
      </c>
      <c r="Z119" s="577">
        <f t="shared" si="59"/>
        <v>141381.28102445585</v>
      </c>
      <c r="AA119" s="577">
        <f t="shared" si="59"/>
        <v>147727.68952121082</v>
      </c>
      <c r="AB119" s="577">
        <f t="shared" si="59"/>
        <v>154804.75771937307</v>
      </c>
      <c r="AC119" s="577">
        <f t="shared" si="59"/>
        <v>162711.14018235897</v>
      </c>
      <c r="AD119" s="577">
        <f t="shared" si="59"/>
        <v>171561.91643628612</v>
      </c>
      <c r="AE119" s="577">
        <f t="shared" si="59"/>
        <v>181486.55953702907</v>
      </c>
      <c r="AF119" s="577">
        <f t="shared" si="59"/>
        <v>192623.66863445289</v>
      </c>
      <c r="AG119" s="577">
        <f t="shared" si="59"/>
        <v>205134.14542963065</v>
      </c>
      <c r="AH119" s="752">
        <f t="shared" si="59"/>
        <v>219198.23720815845</v>
      </c>
      <c r="AI119" s="18"/>
      <c r="AJ119" s="18"/>
      <c r="AK119" s="18"/>
      <c r="AL119" s="18"/>
      <c r="AM119" s="18"/>
      <c r="AN119" s="18"/>
    </row>
    <row r="120" spans="2:40" ht="21.95" customHeight="1" x14ac:dyDescent="0.2">
      <c r="B120" s="232"/>
      <c r="C120" s="715"/>
      <c r="D120" s="715"/>
      <c r="E120" s="1333"/>
      <c r="F120" s="254"/>
      <c r="G120" s="254"/>
      <c r="H120" s="721" t="s">
        <v>25</v>
      </c>
      <c r="I120" s="577">
        <f t="shared" ref="I120:AH120" si="60">SUM(I118:I119)</f>
        <v>99004.918632670946</v>
      </c>
      <c r="J120" s="577">
        <f t="shared" si="60"/>
        <v>101421.36019615347</v>
      </c>
      <c r="K120" s="577">
        <f t="shared" si="60"/>
        <v>104803.18845034699</v>
      </c>
      <c r="L120" s="577">
        <f t="shared" si="60"/>
        <v>109355.29165235185</v>
      </c>
      <c r="M120" s="577">
        <f t="shared" si="60"/>
        <v>114005.91088454769</v>
      </c>
      <c r="N120" s="577">
        <f t="shared" si="60"/>
        <v>118795.20745518628</v>
      </c>
      <c r="O120" s="577">
        <f t="shared" si="60"/>
        <v>123776.9320357962</v>
      </c>
      <c r="P120" s="577">
        <f t="shared" si="60"/>
        <v>129030.86854894808</v>
      </c>
      <c r="Q120" s="577">
        <f t="shared" si="60"/>
        <v>134388.19569623578</v>
      </c>
      <c r="R120" s="577">
        <f t="shared" si="60"/>
        <v>140195.78853466475</v>
      </c>
      <c r="S120" s="577">
        <f t="shared" si="60"/>
        <v>146599.93568136098</v>
      </c>
      <c r="T120" s="577">
        <f t="shared" si="60"/>
        <v>153788.63787718047</v>
      </c>
      <c r="U120" s="577">
        <f t="shared" si="60"/>
        <v>162005.74165950262</v>
      </c>
      <c r="V120" s="577">
        <f t="shared" si="60"/>
        <v>168926.18354747345</v>
      </c>
      <c r="W120" s="577">
        <f t="shared" si="60"/>
        <v>174809.94060749473</v>
      </c>
      <c r="X120" s="577">
        <f t="shared" si="60"/>
        <v>181283.52423123992</v>
      </c>
      <c r="Y120" s="577">
        <f t="shared" si="60"/>
        <v>188434.37358555867</v>
      </c>
      <c r="Z120" s="577">
        <f t="shared" si="60"/>
        <v>196362.89031174424</v>
      </c>
      <c r="AA120" s="577">
        <f t="shared" si="60"/>
        <v>205177.34655723727</v>
      </c>
      <c r="AB120" s="577">
        <f t="shared" si="60"/>
        <v>215006.60794357373</v>
      </c>
      <c r="AC120" s="577">
        <f t="shared" si="60"/>
        <v>225987.69469772081</v>
      </c>
      <c r="AD120" s="577">
        <f t="shared" si="60"/>
        <v>238280.43949484185</v>
      </c>
      <c r="AE120" s="577">
        <f t="shared" si="60"/>
        <v>252064.66602365149</v>
      </c>
      <c r="AF120" s="577">
        <f t="shared" si="60"/>
        <v>267532.8731034068</v>
      </c>
      <c r="AG120" s="577">
        <f t="shared" si="60"/>
        <v>284908.53531893145</v>
      </c>
      <c r="AH120" s="752">
        <f t="shared" si="60"/>
        <v>304441.9961224423</v>
      </c>
      <c r="AI120" s="18"/>
      <c r="AJ120" s="18"/>
      <c r="AK120" s="18"/>
      <c r="AL120" s="18"/>
      <c r="AM120" s="18"/>
      <c r="AN120" s="18"/>
    </row>
    <row r="121" spans="2:40" ht="21.95" customHeight="1" x14ac:dyDescent="0.2">
      <c r="B121" s="232"/>
      <c r="C121" s="715"/>
      <c r="D121" s="715"/>
      <c r="E121" s="116" t="s">
        <v>288</v>
      </c>
      <c r="F121" s="116" t="s">
        <v>323</v>
      </c>
      <c r="G121" s="116" t="s">
        <v>348</v>
      </c>
      <c r="H121" s="116" t="s">
        <v>20</v>
      </c>
      <c r="I121" s="577">
        <f t="shared" ref="I121:AH121" si="61">I49*$H$20</f>
        <v>4726.6188961171565</v>
      </c>
      <c r="J121" s="577">
        <f t="shared" si="61"/>
        <v>4903.8146749293628</v>
      </c>
      <c r="K121" s="577">
        <f t="shared" si="61"/>
        <v>5174.8602298886799</v>
      </c>
      <c r="L121" s="577">
        <f t="shared" si="61"/>
        <v>6036.026195894101</v>
      </c>
      <c r="M121" s="577">
        <f t="shared" si="61"/>
        <v>6897.3305531912747</v>
      </c>
      <c r="N121" s="577">
        <f t="shared" si="61"/>
        <v>7759.5769754666881</v>
      </c>
      <c r="O121" s="577">
        <f t="shared" si="61"/>
        <v>8620.837989128273</v>
      </c>
      <c r="P121" s="577">
        <f t="shared" si="61"/>
        <v>9483.1049577821086</v>
      </c>
      <c r="Q121" s="577">
        <f t="shared" si="61"/>
        <v>10619.885755786483</v>
      </c>
      <c r="R121" s="577">
        <f t="shared" si="61"/>
        <v>11758.268811477752</v>
      </c>
      <c r="S121" s="577">
        <f t="shared" si="61"/>
        <v>12901.737954572236</v>
      </c>
      <c r="T121" s="577">
        <f t="shared" si="61"/>
        <v>14055.6767247427</v>
      </c>
      <c r="U121" s="577">
        <f t="shared" si="61"/>
        <v>15233.477470535443</v>
      </c>
      <c r="V121" s="577">
        <f t="shared" si="61"/>
        <v>15812.150122657004</v>
      </c>
      <c r="W121" s="577">
        <f t="shared" si="61"/>
        <v>16003.048496681307</v>
      </c>
      <c r="X121" s="577">
        <f t="shared" si="61"/>
        <v>16195.563427622379</v>
      </c>
      <c r="Y121" s="577">
        <f t="shared" si="61"/>
        <v>16389.864943968292</v>
      </c>
      <c r="Z121" s="577">
        <f t="shared" si="61"/>
        <v>16586.343126102543</v>
      </c>
      <c r="AA121" s="577">
        <f t="shared" si="61"/>
        <v>16784.793241739342</v>
      </c>
      <c r="AB121" s="577">
        <f t="shared" si="61"/>
        <v>16985.848059803055</v>
      </c>
      <c r="AC121" s="577">
        <f t="shared" si="61"/>
        <v>17189.331322784972</v>
      </c>
      <c r="AD121" s="577">
        <f t="shared" si="61"/>
        <v>17395.711516848296</v>
      </c>
      <c r="AE121" s="577">
        <f t="shared" si="61"/>
        <v>17605.492009123827</v>
      </c>
      <c r="AF121" s="577">
        <f t="shared" si="61"/>
        <v>17818.547049475143</v>
      </c>
      <c r="AG121" s="577">
        <f t="shared" si="61"/>
        <v>18035.427453821561</v>
      </c>
      <c r="AH121" s="752">
        <f t="shared" si="61"/>
        <v>18256.728289462295</v>
      </c>
      <c r="AI121" s="18"/>
      <c r="AJ121" s="18"/>
      <c r="AK121" s="18"/>
      <c r="AL121" s="18"/>
      <c r="AM121" s="18"/>
      <c r="AN121" s="18"/>
    </row>
    <row r="122" spans="2:40" ht="21.95" customHeight="1" x14ac:dyDescent="0.2">
      <c r="B122" s="232"/>
      <c r="C122" s="715"/>
      <c r="D122" s="715"/>
      <c r="E122" s="116"/>
      <c r="F122" s="116"/>
      <c r="G122" s="116"/>
      <c r="H122" s="124" t="s">
        <v>19</v>
      </c>
      <c r="I122" s="577">
        <f t="shared" ref="I122:AH122" si="62">I49*$H$21</f>
        <v>18906.475584468626</v>
      </c>
      <c r="J122" s="577">
        <f t="shared" si="62"/>
        <v>19615.258699717451</v>
      </c>
      <c r="K122" s="577">
        <f t="shared" si="62"/>
        <v>20699.44091955472</v>
      </c>
      <c r="L122" s="577">
        <f t="shared" si="62"/>
        <v>24144.104783576404</v>
      </c>
      <c r="M122" s="577">
        <f t="shared" si="62"/>
        <v>27589.322212765099</v>
      </c>
      <c r="N122" s="577">
        <f t="shared" si="62"/>
        <v>31038.307901866752</v>
      </c>
      <c r="O122" s="577">
        <f t="shared" si="62"/>
        <v>34483.351956513092</v>
      </c>
      <c r="P122" s="577">
        <f t="shared" si="62"/>
        <v>37932.419831128434</v>
      </c>
      <c r="Q122" s="577">
        <f t="shared" si="62"/>
        <v>42479.543023145932</v>
      </c>
      <c r="R122" s="577">
        <f t="shared" si="62"/>
        <v>47033.075245911008</v>
      </c>
      <c r="S122" s="577">
        <f t="shared" si="62"/>
        <v>51606.951818288944</v>
      </c>
      <c r="T122" s="577">
        <f t="shared" si="62"/>
        <v>56222.706898970799</v>
      </c>
      <c r="U122" s="577">
        <f t="shared" si="62"/>
        <v>60933.909882141772</v>
      </c>
      <c r="V122" s="577">
        <f t="shared" si="62"/>
        <v>63248.600490628014</v>
      </c>
      <c r="W122" s="577">
        <f t="shared" si="62"/>
        <v>64012.193986725229</v>
      </c>
      <c r="X122" s="577">
        <f t="shared" si="62"/>
        <v>64782.253710489516</v>
      </c>
      <c r="Y122" s="577">
        <f t="shared" si="62"/>
        <v>65559.459775873169</v>
      </c>
      <c r="Z122" s="577">
        <f t="shared" si="62"/>
        <v>66345.372504410174</v>
      </c>
      <c r="AA122" s="577">
        <f t="shared" si="62"/>
        <v>67139.172966957369</v>
      </c>
      <c r="AB122" s="577">
        <f t="shared" si="62"/>
        <v>67943.392239212219</v>
      </c>
      <c r="AC122" s="577">
        <f t="shared" si="62"/>
        <v>68757.325291139889</v>
      </c>
      <c r="AD122" s="577">
        <f t="shared" si="62"/>
        <v>69582.846067393184</v>
      </c>
      <c r="AE122" s="577">
        <f t="shared" si="62"/>
        <v>70421.968036495309</v>
      </c>
      <c r="AF122" s="577">
        <f t="shared" si="62"/>
        <v>71274.18819790057</v>
      </c>
      <c r="AG122" s="577">
        <f t="shared" si="62"/>
        <v>72141.709815286245</v>
      </c>
      <c r="AH122" s="752">
        <f t="shared" si="62"/>
        <v>73026.91315784918</v>
      </c>
      <c r="AI122" s="18"/>
      <c r="AJ122" s="18"/>
      <c r="AK122" s="18"/>
      <c r="AL122" s="18"/>
      <c r="AM122" s="18"/>
      <c r="AN122" s="18"/>
    </row>
    <row r="123" spans="2:40" ht="21.95" customHeight="1" x14ac:dyDescent="0.2">
      <c r="B123" s="232"/>
      <c r="C123" s="715"/>
      <c r="D123" s="715"/>
      <c r="E123" s="116"/>
      <c r="F123" s="116"/>
      <c r="G123" s="116"/>
      <c r="H123" s="721" t="s">
        <v>25</v>
      </c>
      <c r="I123" s="577">
        <f t="shared" ref="I123:AH123" si="63">SUM(I121:I122)</f>
        <v>23633.094480585783</v>
      </c>
      <c r="J123" s="577">
        <f t="shared" si="63"/>
        <v>24519.073374646814</v>
      </c>
      <c r="K123" s="577">
        <f t="shared" si="63"/>
        <v>25874.301149443399</v>
      </c>
      <c r="L123" s="577">
        <f t="shared" si="63"/>
        <v>30180.130979470505</v>
      </c>
      <c r="M123" s="577">
        <f t="shared" si="63"/>
        <v>34486.652765956373</v>
      </c>
      <c r="N123" s="577">
        <f t="shared" si="63"/>
        <v>38797.884877333439</v>
      </c>
      <c r="O123" s="577">
        <f t="shared" si="63"/>
        <v>43104.189945641367</v>
      </c>
      <c r="P123" s="577">
        <f t="shared" si="63"/>
        <v>47415.524788910545</v>
      </c>
      <c r="Q123" s="577">
        <f t="shared" si="63"/>
        <v>53099.428778932415</v>
      </c>
      <c r="R123" s="577">
        <f t="shared" si="63"/>
        <v>58791.344057388764</v>
      </c>
      <c r="S123" s="577">
        <f t="shared" si="63"/>
        <v>64508.68977286118</v>
      </c>
      <c r="T123" s="577">
        <f t="shared" si="63"/>
        <v>70278.383623713496</v>
      </c>
      <c r="U123" s="577">
        <f t="shared" si="63"/>
        <v>76167.387352677208</v>
      </c>
      <c r="V123" s="577">
        <f t="shared" si="63"/>
        <v>79060.750613285025</v>
      </c>
      <c r="W123" s="577">
        <f t="shared" si="63"/>
        <v>80015.242483406531</v>
      </c>
      <c r="X123" s="577">
        <f t="shared" si="63"/>
        <v>80977.817138111888</v>
      </c>
      <c r="Y123" s="577">
        <f t="shared" si="63"/>
        <v>81949.324719841461</v>
      </c>
      <c r="Z123" s="577">
        <f t="shared" si="63"/>
        <v>82931.715630512714</v>
      </c>
      <c r="AA123" s="577">
        <f t="shared" si="63"/>
        <v>83923.966208696715</v>
      </c>
      <c r="AB123" s="577">
        <f t="shared" si="63"/>
        <v>84929.240299015277</v>
      </c>
      <c r="AC123" s="577">
        <f t="shared" si="63"/>
        <v>85946.656613924861</v>
      </c>
      <c r="AD123" s="577">
        <f t="shared" si="63"/>
        <v>86978.557584241484</v>
      </c>
      <c r="AE123" s="577">
        <f t="shared" si="63"/>
        <v>88027.46004561914</v>
      </c>
      <c r="AF123" s="577">
        <f t="shared" si="63"/>
        <v>89092.735247375706</v>
      </c>
      <c r="AG123" s="577">
        <f t="shared" si="63"/>
        <v>90177.1372691078</v>
      </c>
      <c r="AH123" s="752">
        <f t="shared" si="63"/>
        <v>91283.641447311471</v>
      </c>
      <c r="AI123" s="18"/>
      <c r="AJ123" s="18"/>
      <c r="AK123" s="18"/>
      <c r="AL123" s="18"/>
      <c r="AM123" s="18"/>
      <c r="AN123" s="18"/>
    </row>
    <row r="124" spans="2:40" ht="21.95" customHeight="1" x14ac:dyDescent="0.2">
      <c r="B124" s="232"/>
      <c r="C124" s="715"/>
      <c r="D124" s="715"/>
      <c r="E124" s="220" t="s">
        <v>340</v>
      </c>
      <c r="F124" s="220" t="s">
        <v>335</v>
      </c>
      <c r="G124" s="220" t="s">
        <v>323</v>
      </c>
      <c r="H124" s="116" t="s">
        <v>20</v>
      </c>
      <c r="I124" s="577" t="e">
        <f t="shared" ref="I124:AH124" si="64">I50*$I$20</f>
        <v>#DIV/0!</v>
      </c>
      <c r="J124" s="577" t="e">
        <f t="shared" si="64"/>
        <v>#DIV/0!</v>
      </c>
      <c r="K124" s="577" t="e">
        <f t="shared" si="64"/>
        <v>#DIV/0!</v>
      </c>
      <c r="L124" s="577" t="e">
        <f t="shared" si="64"/>
        <v>#DIV/0!</v>
      </c>
      <c r="M124" s="577" t="e">
        <f t="shared" si="64"/>
        <v>#DIV/0!</v>
      </c>
      <c r="N124" s="577" t="e">
        <f t="shared" si="64"/>
        <v>#DIV/0!</v>
      </c>
      <c r="O124" s="577" t="e">
        <f t="shared" si="64"/>
        <v>#DIV/0!</v>
      </c>
      <c r="P124" s="577" t="e">
        <f t="shared" si="64"/>
        <v>#DIV/0!</v>
      </c>
      <c r="Q124" s="577" t="e">
        <f t="shared" si="64"/>
        <v>#DIV/0!</v>
      </c>
      <c r="R124" s="577" t="e">
        <f t="shared" si="64"/>
        <v>#DIV/0!</v>
      </c>
      <c r="S124" s="577" t="e">
        <f t="shared" si="64"/>
        <v>#DIV/0!</v>
      </c>
      <c r="T124" s="577" t="e">
        <f t="shared" si="64"/>
        <v>#DIV/0!</v>
      </c>
      <c r="U124" s="577" t="e">
        <f t="shared" si="64"/>
        <v>#DIV/0!</v>
      </c>
      <c r="V124" s="577" t="e">
        <f t="shared" si="64"/>
        <v>#DIV/0!</v>
      </c>
      <c r="W124" s="577" t="e">
        <f t="shared" si="64"/>
        <v>#DIV/0!</v>
      </c>
      <c r="X124" s="577" t="e">
        <f t="shared" si="64"/>
        <v>#DIV/0!</v>
      </c>
      <c r="Y124" s="577" t="e">
        <f t="shared" si="64"/>
        <v>#DIV/0!</v>
      </c>
      <c r="Z124" s="577" t="e">
        <f t="shared" si="64"/>
        <v>#DIV/0!</v>
      </c>
      <c r="AA124" s="577" t="e">
        <f t="shared" si="64"/>
        <v>#DIV/0!</v>
      </c>
      <c r="AB124" s="577" t="e">
        <f t="shared" si="64"/>
        <v>#DIV/0!</v>
      </c>
      <c r="AC124" s="577" t="e">
        <f t="shared" si="64"/>
        <v>#DIV/0!</v>
      </c>
      <c r="AD124" s="577" t="e">
        <f t="shared" si="64"/>
        <v>#DIV/0!</v>
      </c>
      <c r="AE124" s="577" t="e">
        <f t="shared" si="64"/>
        <v>#DIV/0!</v>
      </c>
      <c r="AF124" s="577" t="e">
        <f t="shared" si="64"/>
        <v>#DIV/0!</v>
      </c>
      <c r="AG124" s="577" t="e">
        <f t="shared" si="64"/>
        <v>#DIV/0!</v>
      </c>
      <c r="AH124" s="752" t="e">
        <f t="shared" si="64"/>
        <v>#DIV/0!</v>
      </c>
      <c r="AI124" s="18"/>
      <c r="AJ124" s="18"/>
      <c r="AK124" s="18"/>
      <c r="AL124" s="18"/>
      <c r="AM124" s="18"/>
      <c r="AN124" s="18"/>
    </row>
    <row r="125" spans="2:40" ht="21.95" customHeight="1" x14ac:dyDescent="0.2">
      <c r="B125" s="232"/>
      <c r="C125" s="715"/>
      <c r="D125" s="715"/>
      <c r="E125" s="116"/>
      <c r="F125" s="116"/>
      <c r="G125" s="116"/>
      <c r="H125" s="124" t="s">
        <v>19</v>
      </c>
      <c r="I125" s="577" t="e">
        <f t="shared" ref="I125:AH125" si="65">I50*$I$21</f>
        <v>#DIV/0!</v>
      </c>
      <c r="J125" s="577" t="e">
        <f t="shared" si="65"/>
        <v>#DIV/0!</v>
      </c>
      <c r="K125" s="577" t="e">
        <f t="shared" si="65"/>
        <v>#DIV/0!</v>
      </c>
      <c r="L125" s="577" t="e">
        <f t="shared" si="65"/>
        <v>#DIV/0!</v>
      </c>
      <c r="M125" s="577" t="e">
        <f t="shared" si="65"/>
        <v>#DIV/0!</v>
      </c>
      <c r="N125" s="577" t="e">
        <f t="shared" si="65"/>
        <v>#DIV/0!</v>
      </c>
      <c r="O125" s="577" t="e">
        <f t="shared" si="65"/>
        <v>#DIV/0!</v>
      </c>
      <c r="P125" s="577" t="e">
        <f t="shared" si="65"/>
        <v>#DIV/0!</v>
      </c>
      <c r="Q125" s="577" t="e">
        <f t="shared" si="65"/>
        <v>#DIV/0!</v>
      </c>
      <c r="R125" s="577" t="e">
        <f t="shared" si="65"/>
        <v>#DIV/0!</v>
      </c>
      <c r="S125" s="577" t="e">
        <f t="shared" si="65"/>
        <v>#DIV/0!</v>
      </c>
      <c r="T125" s="577" t="e">
        <f t="shared" si="65"/>
        <v>#DIV/0!</v>
      </c>
      <c r="U125" s="577" t="e">
        <f t="shared" si="65"/>
        <v>#DIV/0!</v>
      </c>
      <c r="V125" s="577" t="e">
        <f t="shared" si="65"/>
        <v>#DIV/0!</v>
      </c>
      <c r="W125" s="577" t="e">
        <f t="shared" si="65"/>
        <v>#DIV/0!</v>
      </c>
      <c r="X125" s="577" t="e">
        <f t="shared" si="65"/>
        <v>#DIV/0!</v>
      </c>
      <c r="Y125" s="577" t="e">
        <f t="shared" si="65"/>
        <v>#DIV/0!</v>
      </c>
      <c r="Z125" s="577" t="e">
        <f t="shared" si="65"/>
        <v>#DIV/0!</v>
      </c>
      <c r="AA125" s="577" t="e">
        <f t="shared" si="65"/>
        <v>#DIV/0!</v>
      </c>
      <c r="AB125" s="577" t="e">
        <f t="shared" si="65"/>
        <v>#DIV/0!</v>
      </c>
      <c r="AC125" s="577" t="e">
        <f t="shared" si="65"/>
        <v>#DIV/0!</v>
      </c>
      <c r="AD125" s="577" t="e">
        <f t="shared" si="65"/>
        <v>#DIV/0!</v>
      </c>
      <c r="AE125" s="577" t="e">
        <f t="shared" si="65"/>
        <v>#DIV/0!</v>
      </c>
      <c r="AF125" s="577" t="e">
        <f t="shared" si="65"/>
        <v>#DIV/0!</v>
      </c>
      <c r="AG125" s="577" t="e">
        <f t="shared" si="65"/>
        <v>#DIV/0!</v>
      </c>
      <c r="AH125" s="752" t="e">
        <f t="shared" si="65"/>
        <v>#DIV/0!</v>
      </c>
      <c r="AI125" s="18"/>
      <c r="AJ125" s="18"/>
      <c r="AK125" s="18"/>
      <c r="AL125" s="18"/>
      <c r="AM125" s="18"/>
      <c r="AN125" s="18"/>
    </row>
    <row r="126" spans="2:40" ht="21.95" customHeight="1" x14ac:dyDescent="0.2">
      <c r="B126" s="232"/>
      <c r="C126" s="715"/>
      <c r="D126" s="715"/>
      <c r="E126" s="254"/>
      <c r="F126" s="254"/>
      <c r="G126" s="254"/>
      <c r="H126" s="721" t="s">
        <v>25</v>
      </c>
      <c r="I126" s="577" t="e">
        <f t="shared" ref="I126:AH126" si="66">SUM(I124:I125)</f>
        <v>#DIV/0!</v>
      </c>
      <c r="J126" s="577" t="e">
        <f t="shared" si="66"/>
        <v>#DIV/0!</v>
      </c>
      <c r="K126" s="577" t="e">
        <f t="shared" si="66"/>
        <v>#DIV/0!</v>
      </c>
      <c r="L126" s="577" t="e">
        <f t="shared" si="66"/>
        <v>#DIV/0!</v>
      </c>
      <c r="M126" s="577" t="e">
        <f t="shared" si="66"/>
        <v>#DIV/0!</v>
      </c>
      <c r="N126" s="577" t="e">
        <f t="shared" si="66"/>
        <v>#DIV/0!</v>
      </c>
      <c r="O126" s="577" t="e">
        <f t="shared" si="66"/>
        <v>#DIV/0!</v>
      </c>
      <c r="P126" s="577" t="e">
        <f t="shared" si="66"/>
        <v>#DIV/0!</v>
      </c>
      <c r="Q126" s="577" t="e">
        <f t="shared" si="66"/>
        <v>#DIV/0!</v>
      </c>
      <c r="R126" s="577" t="e">
        <f t="shared" si="66"/>
        <v>#DIV/0!</v>
      </c>
      <c r="S126" s="577" t="e">
        <f t="shared" si="66"/>
        <v>#DIV/0!</v>
      </c>
      <c r="T126" s="577" t="e">
        <f t="shared" si="66"/>
        <v>#DIV/0!</v>
      </c>
      <c r="U126" s="577" t="e">
        <f t="shared" si="66"/>
        <v>#DIV/0!</v>
      </c>
      <c r="V126" s="577" t="e">
        <f t="shared" si="66"/>
        <v>#DIV/0!</v>
      </c>
      <c r="W126" s="577" t="e">
        <f t="shared" si="66"/>
        <v>#DIV/0!</v>
      </c>
      <c r="X126" s="577" t="e">
        <f t="shared" si="66"/>
        <v>#DIV/0!</v>
      </c>
      <c r="Y126" s="577" t="e">
        <f t="shared" si="66"/>
        <v>#DIV/0!</v>
      </c>
      <c r="Z126" s="577" t="e">
        <f t="shared" si="66"/>
        <v>#DIV/0!</v>
      </c>
      <c r="AA126" s="577" t="e">
        <f t="shared" si="66"/>
        <v>#DIV/0!</v>
      </c>
      <c r="AB126" s="577" t="e">
        <f t="shared" si="66"/>
        <v>#DIV/0!</v>
      </c>
      <c r="AC126" s="577" t="e">
        <f t="shared" si="66"/>
        <v>#DIV/0!</v>
      </c>
      <c r="AD126" s="577" t="e">
        <f t="shared" si="66"/>
        <v>#DIV/0!</v>
      </c>
      <c r="AE126" s="577" t="e">
        <f t="shared" si="66"/>
        <v>#DIV/0!</v>
      </c>
      <c r="AF126" s="577" t="e">
        <f t="shared" si="66"/>
        <v>#DIV/0!</v>
      </c>
      <c r="AG126" s="577" t="e">
        <f t="shared" si="66"/>
        <v>#DIV/0!</v>
      </c>
      <c r="AH126" s="752" t="e">
        <f t="shared" si="66"/>
        <v>#DIV/0!</v>
      </c>
      <c r="AI126" s="18"/>
      <c r="AJ126" s="18"/>
      <c r="AK126" s="18"/>
      <c r="AL126" s="18"/>
      <c r="AM126" s="18"/>
      <c r="AN126" s="18"/>
    </row>
    <row r="127" spans="2:40" ht="21.95" customHeight="1" x14ac:dyDescent="0.2">
      <c r="B127" s="232"/>
      <c r="C127" s="715"/>
      <c r="D127" s="715"/>
      <c r="E127" s="220" t="s">
        <v>357</v>
      </c>
      <c r="F127" s="220" t="s">
        <v>338</v>
      </c>
      <c r="G127" s="220" t="s">
        <v>323</v>
      </c>
      <c r="H127" s="116" t="s">
        <v>20</v>
      </c>
      <c r="I127" s="577">
        <f t="shared" ref="I127:AH127" si="67">I51*$J$20</f>
        <v>7639.4156932014657</v>
      </c>
      <c r="J127" s="577">
        <f t="shared" si="67"/>
        <v>7757.5403353216989</v>
      </c>
      <c r="K127" s="577">
        <f t="shared" si="67"/>
        <v>7951.6478932373548</v>
      </c>
      <c r="L127" s="577">
        <f t="shared" si="67"/>
        <v>8611.6544998757945</v>
      </c>
      <c r="M127" s="577">
        <f t="shared" si="67"/>
        <v>9272.5342185817262</v>
      </c>
      <c r="N127" s="577">
        <f t="shared" si="67"/>
        <v>9935.7066294885481</v>
      </c>
      <c r="O127" s="577">
        <f t="shared" si="67"/>
        <v>10600.846562715271</v>
      </c>
      <c r="P127" s="577">
        <f t="shared" si="67"/>
        <v>11271.757193395411</v>
      </c>
      <c r="Q127" s="577">
        <f t="shared" si="67"/>
        <v>12078.232350266197</v>
      </c>
      <c r="R127" s="577">
        <f t="shared" si="67"/>
        <v>12906.817870345087</v>
      </c>
      <c r="S127" s="577">
        <f t="shared" si="67"/>
        <v>13774.996455566501</v>
      </c>
      <c r="T127" s="577">
        <f t="shared" si="67"/>
        <v>14709.555084349582</v>
      </c>
      <c r="U127" s="577">
        <f t="shared" si="67"/>
        <v>15755.652779491744</v>
      </c>
      <c r="V127" s="577">
        <f t="shared" si="67"/>
        <v>16223.59646203701</v>
      </c>
      <c r="W127" s="577">
        <f t="shared" si="67"/>
        <v>16406.760524314745</v>
      </c>
      <c r="X127" s="577">
        <f t="shared" si="67"/>
        <v>16595.042750169767</v>
      </c>
      <c r="Y127" s="577">
        <f t="shared" si="67"/>
        <v>16788.803960363486</v>
      </c>
      <c r="Z127" s="577">
        <f t="shared" si="67"/>
        <v>16988.826693252744</v>
      </c>
      <c r="AA127" s="577">
        <f t="shared" si="67"/>
        <v>17194.727611539376</v>
      </c>
      <c r="AB127" s="577">
        <f t="shared" si="67"/>
        <v>17407.752747664908</v>
      </c>
      <c r="AC127" s="577">
        <f t="shared" si="67"/>
        <v>17627.518355462773</v>
      </c>
      <c r="AD127" s="577">
        <f t="shared" si="67"/>
        <v>17854.921544222721</v>
      </c>
      <c r="AE127" s="577">
        <f t="shared" si="67"/>
        <v>18090.948830136062</v>
      </c>
      <c r="AF127" s="577">
        <f t="shared" si="67"/>
        <v>18335.212476529581</v>
      </c>
      <c r="AG127" s="577">
        <f t="shared" si="67"/>
        <v>18588.744641305413</v>
      </c>
      <c r="AH127" s="752">
        <f t="shared" si="67"/>
        <v>18852.684501250118</v>
      </c>
      <c r="AI127" s="18"/>
      <c r="AJ127" s="18"/>
      <c r="AK127" s="18"/>
      <c r="AL127" s="18"/>
      <c r="AM127" s="18"/>
      <c r="AN127" s="18"/>
    </row>
    <row r="128" spans="2:40" ht="21.95" customHeight="1" x14ac:dyDescent="0.2">
      <c r="B128" s="232"/>
      <c r="C128" s="715"/>
      <c r="D128" s="715"/>
      <c r="E128" s="116"/>
      <c r="F128" s="116"/>
      <c r="G128" s="116"/>
      <c r="H128" s="124" t="s">
        <v>19</v>
      </c>
      <c r="I128" s="577">
        <f t="shared" ref="I128:AH128" si="68">I51*$J$21</f>
        <v>30557.662772805863</v>
      </c>
      <c r="J128" s="577">
        <f t="shared" si="68"/>
        <v>31030.161341286796</v>
      </c>
      <c r="K128" s="577">
        <f t="shared" si="68"/>
        <v>31806.591572949419</v>
      </c>
      <c r="L128" s="577">
        <f t="shared" si="68"/>
        <v>34446.617999503178</v>
      </c>
      <c r="M128" s="577">
        <f t="shared" si="68"/>
        <v>37090.136874326905</v>
      </c>
      <c r="N128" s="577">
        <f t="shared" si="68"/>
        <v>39742.826517954192</v>
      </c>
      <c r="O128" s="577">
        <f t="shared" si="68"/>
        <v>42403.386250861084</v>
      </c>
      <c r="P128" s="577">
        <f t="shared" si="68"/>
        <v>45087.028773581646</v>
      </c>
      <c r="Q128" s="577">
        <f t="shared" si="68"/>
        <v>48312.929401064786</v>
      </c>
      <c r="R128" s="577">
        <f t="shared" si="68"/>
        <v>51627.271481380347</v>
      </c>
      <c r="S128" s="577">
        <f t="shared" si="68"/>
        <v>55099.985822266004</v>
      </c>
      <c r="T128" s="577">
        <f t="shared" si="68"/>
        <v>58838.220337398328</v>
      </c>
      <c r="U128" s="577">
        <f t="shared" si="68"/>
        <v>63022.611117966975</v>
      </c>
      <c r="V128" s="577">
        <f t="shared" si="68"/>
        <v>64894.385848148042</v>
      </c>
      <c r="W128" s="577">
        <f t="shared" si="68"/>
        <v>65627.042097258978</v>
      </c>
      <c r="X128" s="577">
        <f t="shared" si="68"/>
        <v>66380.171000679067</v>
      </c>
      <c r="Y128" s="577">
        <f t="shared" si="68"/>
        <v>67155.215841453944</v>
      </c>
      <c r="Z128" s="577">
        <f t="shared" si="68"/>
        <v>67955.306773010976</v>
      </c>
      <c r="AA128" s="577">
        <f t="shared" si="68"/>
        <v>68778.910446157504</v>
      </c>
      <c r="AB128" s="577">
        <f t="shared" si="68"/>
        <v>69631.010990659634</v>
      </c>
      <c r="AC128" s="577">
        <f t="shared" si="68"/>
        <v>70510.073421851092</v>
      </c>
      <c r="AD128" s="577">
        <f t="shared" si="68"/>
        <v>71419.686176890886</v>
      </c>
      <c r="AE128" s="577">
        <f t="shared" si="68"/>
        <v>72363.795320544246</v>
      </c>
      <c r="AF128" s="577">
        <f t="shared" si="68"/>
        <v>73340.849906118325</v>
      </c>
      <c r="AG128" s="577">
        <f t="shared" si="68"/>
        <v>74354.978565221652</v>
      </c>
      <c r="AH128" s="752">
        <f t="shared" si="68"/>
        <v>75410.738005000472</v>
      </c>
      <c r="AI128" s="18"/>
      <c r="AJ128" s="18"/>
      <c r="AK128" s="18"/>
      <c r="AL128" s="18"/>
      <c r="AM128" s="18"/>
      <c r="AN128" s="18"/>
    </row>
    <row r="129" spans="2:40" ht="21.95" customHeight="1" x14ac:dyDescent="0.2">
      <c r="B129" s="232"/>
      <c r="C129" s="715"/>
      <c r="D129" s="715"/>
      <c r="E129" s="254"/>
      <c r="F129" s="254"/>
      <c r="G129" s="254"/>
      <c r="H129" s="721" t="s">
        <v>25</v>
      </c>
      <c r="I129" s="577">
        <f t="shared" ref="I129:AH129" si="69">SUM(I127:I128)</f>
        <v>38197.078466007326</v>
      </c>
      <c r="J129" s="577">
        <f t="shared" si="69"/>
        <v>38787.701676608493</v>
      </c>
      <c r="K129" s="577">
        <f t="shared" si="69"/>
        <v>39758.239466186773</v>
      </c>
      <c r="L129" s="577">
        <f t="shared" si="69"/>
        <v>43058.272499378974</v>
      </c>
      <c r="M129" s="577">
        <f t="shared" si="69"/>
        <v>46362.671092908633</v>
      </c>
      <c r="N129" s="577">
        <f t="shared" si="69"/>
        <v>49678.533147442737</v>
      </c>
      <c r="O129" s="577">
        <f t="shared" si="69"/>
        <v>53004.232813576353</v>
      </c>
      <c r="P129" s="577">
        <f t="shared" si="69"/>
        <v>56358.785966977055</v>
      </c>
      <c r="Q129" s="577">
        <f t="shared" si="69"/>
        <v>60391.161751330983</v>
      </c>
      <c r="R129" s="577">
        <f t="shared" si="69"/>
        <v>64534.08935172543</v>
      </c>
      <c r="S129" s="577">
        <f t="shared" si="69"/>
        <v>68874.982277832503</v>
      </c>
      <c r="T129" s="577">
        <f t="shared" si="69"/>
        <v>73547.775421747909</v>
      </c>
      <c r="U129" s="577">
        <f t="shared" si="69"/>
        <v>78778.263897458717</v>
      </c>
      <c r="V129" s="577">
        <f t="shared" si="69"/>
        <v>81117.982310185049</v>
      </c>
      <c r="W129" s="577">
        <f t="shared" si="69"/>
        <v>82033.802621573719</v>
      </c>
      <c r="X129" s="577">
        <f t="shared" si="69"/>
        <v>82975.213750848838</v>
      </c>
      <c r="Y129" s="577">
        <f t="shared" si="69"/>
        <v>83944.019801817427</v>
      </c>
      <c r="Z129" s="577">
        <f t="shared" si="69"/>
        <v>84944.133466263724</v>
      </c>
      <c r="AA129" s="577">
        <f t="shared" si="69"/>
        <v>85973.63805769688</v>
      </c>
      <c r="AB129" s="577">
        <f t="shared" si="69"/>
        <v>87038.763738324546</v>
      </c>
      <c r="AC129" s="577">
        <f t="shared" si="69"/>
        <v>88137.591777313864</v>
      </c>
      <c r="AD129" s="577">
        <f t="shared" si="69"/>
        <v>89274.6077211136</v>
      </c>
      <c r="AE129" s="577">
        <f t="shared" si="69"/>
        <v>90454.744150680315</v>
      </c>
      <c r="AF129" s="577">
        <f t="shared" si="69"/>
        <v>91676.062382647913</v>
      </c>
      <c r="AG129" s="577">
        <f t="shared" si="69"/>
        <v>92943.723206527065</v>
      </c>
      <c r="AH129" s="752">
        <f t="shared" si="69"/>
        <v>94263.422506250587</v>
      </c>
      <c r="AI129" s="18"/>
      <c r="AJ129" s="18"/>
      <c r="AK129" s="18"/>
      <c r="AL129" s="18"/>
      <c r="AM129" s="18"/>
      <c r="AN129" s="18"/>
    </row>
    <row r="130" spans="2:40" ht="21.95" customHeight="1" x14ac:dyDescent="0.2">
      <c r="B130" s="232"/>
      <c r="C130" s="715"/>
      <c r="D130" s="715"/>
      <c r="E130" s="116" t="s">
        <v>338</v>
      </c>
      <c r="F130" s="116" t="s">
        <v>282</v>
      </c>
      <c r="G130" s="116" t="s">
        <v>357</v>
      </c>
      <c r="H130" s="116" t="s">
        <v>20</v>
      </c>
      <c r="I130" s="577">
        <f t="shared" ref="I130:AH130" si="70">I52*$K$20</f>
        <v>15656.001865853943</v>
      </c>
      <c r="J130" s="577">
        <f t="shared" si="70"/>
        <v>16238.170702041913</v>
      </c>
      <c r="K130" s="577">
        <f t="shared" si="70"/>
        <v>16857.882866720229</v>
      </c>
      <c r="L130" s="577">
        <f t="shared" si="70"/>
        <v>18232.686028942084</v>
      </c>
      <c r="M130" s="577">
        <f t="shared" si="70"/>
        <v>19607.836702389464</v>
      </c>
      <c r="N130" s="577">
        <f t="shared" si="70"/>
        <v>20983.744769403038</v>
      </c>
      <c r="O130" s="577">
        <f t="shared" si="70"/>
        <v>22358.567720789812</v>
      </c>
      <c r="P130" s="577">
        <f t="shared" si="70"/>
        <v>23734.615313217091</v>
      </c>
      <c r="Q130" s="577">
        <f t="shared" si="70"/>
        <v>25584.63941538869</v>
      </c>
      <c r="R130" s="577">
        <f t="shared" si="70"/>
        <v>27434.859011530003</v>
      </c>
      <c r="S130" s="577">
        <f t="shared" si="70"/>
        <v>29285.219128286899</v>
      </c>
      <c r="T130" s="577">
        <f t="shared" si="70"/>
        <v>31135.971607660904</v>
      </c>
      <c r="U130" s="577">
        <f t="shared" si="70"/>
        <v>32989.127197341812</v>
      </c>
      <c r="V130" s="577">
        <f t="shared" si="70"/>
        <v>34084.485919204279</v>
      </c>
      <c r="W130" s="577">
        <f t="shared" si="70"/>
        <v>34667.602227712778</v>
      </c>
      <c r="X130" s="577">
        <f t="shared" si="70"/>
        <v>35250.891849065905</v>
      </c>
      <c r="Y130" s="577">
        <f t="shared" si="70"/>
        <v>35834.382810653653</v>
      </c>
      <c r="Z130" s="577">
        <f t="shared" si="70"/>
        <v>36418.42111382958</v>
      </c>
      <c r="AA130" s="577">
        <f t="shared" si="70"/>
        <v>37002.415274807281</v>
      </c>
      <c r="AB130" s="577">
        <f t="shared" si="70"/>
        <v>37587.034927632572</v>
      </c>
      <c r="AC130" s="577">
        <f t="shared" si="70"/>
        <v>38171.698487925678</v>
      </c>
      <c r="AD130" s="577">
        <f t="shared" si="70"/>
        <v>38756.773263308954</v>
      </c>
      <c r="AE130" s="577">
        <f t="shared" si="70"/>
        <v>39342.634349080356</v>
      </c>
      <c r="AF130" s="577">
        <f t="shared" si="70"/>
        <v>39928.719589127351</v>
      </c>
      <c r="AG130" s="577">
        <f t="shared" si="70"/>
        <v>40515.419985154207</v>
      </c>
      <c r="AH130" s="752">
        <f t="shared" si="70"/>
        <v>41103.137304310134</v>
      </c>
      <c r="AI130" s="18"/>
      <c r="AJ130" s="18"/>
      <c r="AK130" s="18"/>
      <c r="AL130" s="18"/>
      <c r="AM130" s="18"/>
      <c r="AN130" s="18"/>
    </row>
    <row r="131" spans="2:40" ht="21.95" customHeight="1" x14ac:dyDescent="0.2">
      <c r="B131" s="232"/>
      <c r="C131" s="715"/>
      <c r="D131" s="715"/>
      <c r="E131" s="116"/>
      <c r="F131" s="116"/>
      <c r="G131" s="116"/>
      <c r="H131" s="124" t="s">
        <v>19</v>
      </c>
      <c r="I131" s="577">
        <f t="shared" ref="I131:AH131" si="71">I52*$K$21</f>
        <v>62624.007463415772</v>
      </c>
      <c r="J131" s="577">
        <f t="shared" si="71"/>
        <v>64952.68280816765</v>
      </c>
      <c r="K131" s="577">
        <f t="shared" si="71"/>
        <v>67431.531466880915</v>
      </c>
      <c r="L131" s="577">
        <f t="shared" si="71"/>
        <v>72930.744115768335</v>
      </c>
      <c r="M131" s="577">
        <f t="shared" si="71"/>
        <v>78431.346809557857</v>
      </c>
      <c r="N131" s="577">
        <f t="shared" si="71"/>
        <v>83934.979077612152</v>
      </c>
      <c r="O131" s="577">
        <f t="shared" si="71"/>
        <v>89434.270883159246</v>
      </c>
      <c r="P131" s="577">
        <f t="shared" si="71"/>
        <v>94938.461252868365</v>
      </c>
      <c r="Q131" s="577">
        <f t="shared" si="71"/>
        <v>102338.55766155476</v>
      </c>
      <c r="R131" s="577">
        <f t="shared" si="71"/>
        <v>109739.43604612001</v>
      </c>
      <c r="S131" s="577">
        <f t="shared" si="71"/>
        <v>117140.8765131476</v>
      </c>
      <c r="T131" s="577">
        <f t="shared" si="71"/>
        <v>124543.88643064362</v>
      </c>
      <c r="U131" s="577">
        <f t="shared" si="71"/>
        <v>131956.50878936725</v>
      </c>
      <c r="V131" s="577">
        <f t="shared" si="71"/>
        <v>136337.94367681711</v>
      </c>
      <c r="W131" s="577">
        <f t="shared" si="71"/>
        <v>138670.40891085111</v>
      </c>
      <c r="X131" s="577">
        <f t="shared" si="71"/>
        <v>141003.56739626362</v>
      </c>
      <c r="Y131" s="577">
        <f t="shared" si="71"/>
        <v>143337.53124261461</v>
      </c>
      <c r="Z131" s="577">
        <f t="shared" si="71"/>
        <v>145673.68445531832</v>
      </c>
      <c r="AA131" s="577">
        <f t="shared" si="71"/>
        <v>148009.66109922912</v>
      </c>
      <c r="AB131" s="577">
        <f t="shared" si="71"/>
        <v>150348.13971053029</v>
      </c>
      <c r="AC131" s="577">
        <f t="shared" si="71"/>
        <v>152686.79395170271</v>
      </c>
      <c r="AD131" s="577">
        <f t="shared" si="71"/>
        <v>155027.09305323582</v>
      </c>
      <c r="AE131" s="577">
        <f t="shared" si="71"/>
        <v>157370.53739632142</v>
      </c>
      <c r="AF131" s="577">
        <f t="shared" si="71"/>
        <v>159714.87835650941</v>
      </c>
      <c r="AG131" s="577">
        <f t="shared" si="71"/>
        <v>162061.67994061683</v>
      </c>
      <c r="AH131" s="752">
        <f t="shared" si="71"/>
        <v>164412.54921724054</v>
      </c>
      <c r="AI131" s="18"/>
      <c r="AJ131" s="18"/>
      <c r="AK131" s="18"/>
      <c r="AL131" s="18"/>
      <c r="AM131" s="18"/>
      <c r="AN131" s="18"/>
    </row>
    <row r="132" spans="2:40" ht="21.95" customHeight="1" x14ac:dyDescent="0.2">
      <c r="B132" s="232"/>
      <c r="C132" s="715"/>
      <c r="D132" s="715"/>
      <c r="E132" s="116"/>
      <c r="F132" s="116"/>
      <c r="G132" s="116"/>
      <c r="H132" s="721" t="s">
        <v>25</v>
      </c>
      <c r="I132" s="577">
        <f t="shared" ref="I132:AH132" si="72">SUM(I130:I131)</f>
        <v>78280.009329269713</v>
      </c>
      <c r="J132" s="577">
        <f t="shared" si="72"/>
        <v>81190.853510209563</v>
      </c>
      <c r="K132" s="577">
        <f t="shared" si="72"/>
        <v>84289.414333601148</v>
      </c>
      <c r="L132" s="577">
        <f t="shared" si="72"/>
        <v>91163.430144710423</v>
      </c>
      <c r="M132" s="577">
        <f t="shared" si="72"/>
        <v>98039.183511947325</v>
      </c>
      <c r="N132" s="577">
        <f t="shared" si="72"/>
        <v>104918.72384701519</v>
      </c>
      <c r="O132" s="577">
        <f t="shared" si="72"/>
        <v>111792.83860394906</v>
      </c>
      <c r="P132" s="577">
        <f t="shared" si="72"/>
        <v>118673.07656608545</v>
      </c>
      <c r="Q132" s="577">
        <f t="shared" si="72"/>
        <v>127923.19707694346</v>
      </c>
      <c r="R132" s="577">
        <f t="shared" si="72"/>
        <v>137174.29505765002</v>
      </c>
      <c r="S132" s="577">
        <f t="shared" si="72"/>
        <v>146426.09564143448</v>
      </c>
      <c r="T132" s="577">
        <f t="shared" si="72"/>
        <v>155679.85803830452</v>
      </c>
      <c r="U132" s="577">
        <f t="shared" si="72"/>
        <v>164945.63598670907</v>
      </c>
      <c r="V132" s="577">
        <f t="shared" si="72"/>
        <v>170422.42959602139</v>
      </c>
      <c r="W132" s="577">
        <f t="shared" si="72"/>
        <v>173338.01113856389</v>
      </c>
      <c r="X132" s="577">
        <f t="shared" si="72"/>
        <v>176254.45924532952</v>
      </c>
      <c r="Y132" s="577">
        <f t="shared" si="72"/>
        <v>179171.91405326826</v>
      </c>
      <c r="Z132" s="577">
        <f t="shared" si="72"/>
        <v>182092.10556914791</v>
      </c>
      <c r="AA132" s="577">
        <f t="shared" si="72"/>
        <v>185012.07637403641</v>
      </c>
      <c r="AB132" s="577">
        <f t="shared" si="72"/>
        <v>187935.17463816286</v>
      </c>
      <c r="AC132" s="577">
        <f t="shared" si="72"/>
        <v>190858.4924396284</v>
      </c>
      <c r="AD132" s="577">
        <f t="shared" si="72"/>
        <v>193783.86631654477</v>
      </c>
      <c r="AE132" s="577">
        <f t="shared" si="72"/>
        <v>196713.17174540178</v>
      </c>
      <c r="AF132" s="577">
        <f t="shared" si="72"/>
        <v>199643.59794563675</v>
      </c>
      <c r="AG132" s="577">
        <f t="shared" si="72"/>
        <v>202577.09992577104</v>
      </c>
      <c r="AH132" s="752">
        <f t="shared" si="72"/>
        <v>205515.68652155067</v>
      </c>
      <c r="AI132" s="18"/>
      <c r="AJ132" s="18"/>
      <c r="AK132" s="18"/>
      <c r="AL132" s="18"/>
      <c r="AM132" s="18"/>
      <c r="AN132" s="18"/>
    </row>
    <row r="133" spans="2:40" ht="21.95" customHeight="1" x14ac:dyDescent="0.2">
      <c r="B133" s="232"/>
      <c r="C133" s="715"/>
      <c r="D133" s="715"/>
      <c r="E133" s="116"/>
      <c r="F133" s="116" t="s">
        <v>357</v>
      </c>
      <c r="G133" s="116" t="s">
        <v>346</v>
      </c>
      <c r="H133" s="116" t="s">
        <v>20</v>
      </c>
      <c r="I133" s="577">
        <f t="shared" ref="I133:AH133" si="73">I53*$K$20</f>
        <v>2280.0875564445132</v>
      </c>
      <c r="J133" s="577">
        <f t="shared" si="73"/>
        <v>2361.2256757992427</v>
      </c>
      <c r="K133" s="577">
        <f t="shared" si="73"/>
        <v>2449.5280724221848</v>
      </c>
      <c r="L133" s="577">
        <f t="shared" si="73"/>
        <v>2618.3535746152711</v>
      </c>
      <c r="M133" s="577">
        <f t="shared" si="73"/>
        <v>2787.2450972542665</v>
      </c>
      <c r="N133" s="577">
        <f t="shared" si="73"/>
        <v>2956.1606521653448</v>
      </c>
      <c r="O133" s="577">
        <f t="shared" si="73"/>
        <v>3124.9862566386328</v>
      </c>
      <c r="P133" s="577">
        <f t="shared" si="73"/>
        <v>3293.9529540156072</v>
      </c>
      <c r="Q133" s="577">
        <f t="shared" si="73"/>
        <v>3525.7723857203418</v>
      </c>
      <c r="R133" s="577">
        <f t="shared" si="73"/>
        <v>3757.6373109333235</v>
      </c>
      <c r="S133" s="577">
        <f t="shared" si="73"/>
        <v>3989.4281020585777</v>
      </c>
      <c r="T133" s="577">
        <f t="shared" si="73"/>
        <v>4221.2503804593398</v>
      </c>
      <c r="U133" s="577">
        <f t="shared" si="73"/>
        <v>4453.2551367690776</v>
      </c>
      <c r="V133" s="577">
        <f t="shared" si="73"/>
        <v>4604.4517760591452</v>
      </c>
      <c r="W133" s="577">
        <f t="shared" si="73"/>
        <v>4685.5939126303438</v>
      </c>
      <c r="X133" s="577">
        <f t="shared" si="73"/>
        <v>4766.7368092425522</v>
      </c>
      <c r="Y133" s="577">
        <f t="shared" si="73"/>
        <v>4847.8805928793936</v>
      </c>
      <c r="Z133" s="577">
        <f t="shared" si="73"/>
        <v>4929.0554128400618</v>
      </c>
      <c r="AA133" s="577">
        <f t="shared" si="73"/>
        <v>5010.2014282097125</v>
      </c>
      <c r="AB133" s="577">
        <f t="shared" si="73"/>
        <v>5091.3788369793256</v>
      </c>
      <c r="AC133" s="577">
        <f t="shared" si="73"/>
        <v>5172.5278459679103</v>
      </c>
      <c r="AD133" s="577">
        <f t="shared" si="73"/>
        <v>5253.6787047711514</v>
      </c>
      <c r="AE133" s="577">
        <f t="shared" si="73"/>
        <v>5334.8616985303906</v>
      </c>
      <c r="AF133" s="577">
        <f t="shared" si="73"/>
        <v>5416.0171286606364</v>
      </c>
      <c r="AG133" s="577">
        <f t="shared" si="73"/>
        <v>5497.1753567190444</v>
      </c>
      <c r="AH133" s="752">
        <f t="shared" si="73"/>
        <v>5578.3667936651318</v>
      </c>
      <c r="AI133" s="18"/>
      <c r="AJ133" s="18"/>
      <c r="AK133" s="18"/>
      <c r="AL133" s="18"/>
      <c r="AM133" s="18"/>
      <c r="AN133" s="18"/>
    </row>
    <row r="134" spans="2:40" ht="21.95" customHeight="1" x14ac:dyDescent="0.2">
      <c r="B134" s="232"/>
      <c r="C134" s="715"/>
      <c r="D134" s="715"/>
      <c r="E134" s="116"/>
      <c r="F134" s="116"/>
      <c r="G134" s="116"/>
      <c r="H134" s="124" t="s">
        <v>19</v>
      </c>
      <c r="I134" s="577">
        <f t="shared" ref="I134:AH134" si="74">I53*$K$21</f>
        <v>9120.3502257780528</v>
      </c>
      <c r="J134" s="577">
        <f t="shared" si="74"/>
        <v>9444.9027031969708</v>
      </c>
      <c r="K134" s="577">
        <f t="shared" si="74"/>
        <v>9798.1122896887391</v>
      </c>
      <c r="L134" s="577">
        <f t="shared" si="74"/>
        <v>10473.414298461084</v>
      </c>
      <c r="M134" s="577">
        <f t="shared" si="74"/>
        <v>11148.980389017066</v>
      </c>
      <c r="N134" s="577">
        <f t="shared" si="74"/>
        <v>11824.642608661379</v>
      </c>
      <c r="O134" s="577">
        <f t="shared" si="74"/>
        <v>12499.945026554531</v>
      </c>
      <c r="P134" s="577">
        <f t="shared" si="74"/>
        <v>13175.811816062429</v>
      </c>
      <c r="Q134" s="577">
        <f t="shared" si="74"/>
        <v>14103.089542881367</v>
      </c>
      <c r="R134" s="577">
        <f t="shared" si="74"/>
        <v>15030.549243733294</v>
      </c>
      <c r="S134" s="577">
        <f t="shared" si="74"/>
        <v>15957.712408234311</v>
      </c>
      <c r="T134" s="577">
        <f t="shared" si="74"/>
        <v>16885.001521837359</v>
      </c>
      <c r="U134" s="577">
        <f t="shared" si="74"/>
        <v>17813.02054707631</v>
      </c>
      <c r="V134" s="577">
        <f t="shared" si="74"/>
        <v>18417.807104236581</v>
      </c>
      <c r="W134" s="577">
        <f t="shared" si="74"/>
        <v>18742.375650521375</v>
      </c>
      <c r="X134" s="577">
        <f t="shared" si="74"/>
        <v>19066.947236970209</v>
      </c>
      <c r="Y134" s="577">
        <f t="shared" si="74"/>
        <v>19391.522371517574</v>
      </c>
      <c r="Z134" s="577">
        <f t="shared" si="74"/>
        <v>19716.221651360247</v>
      </c>
      <c r="AA134" s="577">
        <f t="shared" si="74"/>
        <v>20040.80571283885</v>
      </c>
      <c r="AB134" s="577">
        <f t="shared" si="74"/>
        <v>20365.515347917302</v>
      </c>
      <c r="AC134" s="577">
        <f t="shared" si="74"/>
        <v>20690.111383871641</v>
      </c>
      <c r="AD134" s="577">
        <f t="shared" si="74"/>
        <v>21014.714819084606</v>
      </c>
      <c r="AE134" s="577">
        <f t="shared" si="74"/>
        <v>21339.446794121563</v>
      </c>
      <c r="AF134" s="577">
        <f t="shared" si="74"/>
        <v>21664.068514642546</v>
      </c>
      <c r="AG134" s="577">
        <f t="shared" si="74"/>
        <v>21988.701426876178</v>
      </c>
      <c r="AH134" s="752">
        <f t="shared" si="74"/>
        <v>22313.467174660527</v>
      </c>
      <c r="AI134" s="18"/>
      <c r="AJ134" s="18"/>
      <c r="AK134" s="18"/>
      <c r="AL134" s="18"/>
      <c r="AM134" s="18"/>
      <c r="AN134" s="18"/>
    </row>
    <row r="135" spans="2:40" ht="21.95" customHeight="1" x14ac:dyDescent="0.2">
      <c r="B135" s="232"/>
      <c r="C135" s="715"/>
      <c r="D135" s="715"/>
      <c r="E135" s="116"/>
      <c r="F135" s="116"/>
      <c r="G135" s="116"/>
      <c r="H135" s="721" t="s">
        <v>25</v>
      </c>
      <c r="I135" s="577">
        <f t="shared" ref="I135:AH135" si="75">SUM(I133:I134)</f>
        <v>11400.437782222565</v>
      </c>
      <c r="J135" s="577">
        <f t="shared" si="75"/>
        <v>11806.128378996214</v>
      </c>
      <c r="K135" s="577">
        <f t="shared" si="75"/>
        <v>12247.640362110924</v>
      </c>
      <c r="L135" s="577">
        <f t="shared" si="75"/>
        <v>13091.767873076355</v>
      </c>
      <c r="M135" s="577">
        <f t="shared" si="75"/>
        <v>13936.225486271333</v>
      </c>
      <c r="N135" s="577">
        <f t="shared" si="75"/>
        <v>14780.803260826724</v>
      </c>
      <c r="O135" s="577">
        <f t="shared" si="75"/>
        <v>15624.931283193164</v>
      </c>
      <c r="P135" s="577">
        <f t="shared" si="75"/>
        <v>16469.764770078036</v>
      </c>
      <c r="Q135" s="577">
        <f t="shared" si="75"/>
        <v>17628.861928601709</v>
      </c>
      <c r="R135" s="577">
        <f t="shared" si="75"/>
        <v>18788.186554666616</v>
      </c>
      <c r="S135" s="577">
        <f t="shared" si="75"/>
        <v>19947.140510292887</v>
      </c>
      <c r="T135" s="577">
        <f t="shared" si="75"/>
        <v>21106.251902296699</v>
      </c>
      <c r="U135" s="577">
        <f t="shared" si="75"/>
        <v>22266.275683845386</v>
      </c>
      <c r="V135" s="577">
        <f t="shared" si="75"/>
        <v>23022.258880295725</v>
      </c>
      <c r="W135" s="577">
        <f t="shared" si="75"/>
        <v>23427.969563151717</v>
      </c>
      <c r="X135" s="577">
        <f t="shared" si="75"/>
        <v>23833.684046212762</v>
      </c>
      <c r="Y135" s="577">
        <f t="shared" si="75"/>
        <v>24239.40296439697</v>
      </c>
      <c r="Z135" s="577">
        <f t="shared" si="75"/>
        <v>24645.277064200309</v>
      </c>
      <c r="AA135" s="577">
        <f t="shared" si="75"/>
        <v>25051.007141048562</v>
      </c>
      <c r="AB135" s="577">
        <f t="shared" si="75"/>
        <v>25456.894184896628</v>
      </c>
      <c r="AC135" s="577">
        <f t="shared" si="75"/>
        <v>25862.639229839551</v>
      </c>
      <c r="AD135" s="577">
        <f t="shared" si="75"/>
        <v>26268.393523855757</v>
      </c>
      <c r="AE135" s="577">
        <f t="shared" si="75"/>
        <v>26674.308492651951</v>
      </c>
      <c r="AF135" s="577">
        <f t="shared" si="75"/>
        <v>27080.08564330318</v>
      </c>
      <c r="AG135" s="577">
        <f t="shared" si="75"/>
        <v>27485.876783595224</v>
      </c>
      <c r="AH135" s="752">
        <f t="shared" si="75"/>
        <v>27891.83396832566</v>
      </c>
      <c r="AI135" s="18"/>
      <c r="AJ135" s="18"/>
      <c r="AK135" s="18"/>
      <c r="AL135" s="18"/>
      <c r="AM135" s="18"/>
      <c r="AN135" s="18"/>
    </row>
    <row r="136" spans="2:40" ht="21.95" customHeight="1" x14ac:dyDescent="0.2">
      <c r="B136" s="232"/>
      <c r="C136" s="715"/>
      <c r="D136" s="715"/>
      <c r="E136" s="116"/>
      <c r="F136" s="116" t="s">
        <v>346</v>
      </c>
      <c r="G136" s="116" t="s">
        <v>343</v>
      </c>
      <c r="H136" s="116" t="s">
        <v>20</v>
      </c>
      <c r="I136" s="577">
        <f t="shared" ref="I136:AH136" si="76">I54*$K$20</f>
        <v>686.7696641868572</v>
      </c>
      <c r="J136" s="577">
        <f t="shared" si="76"/>
        <v>711.20872710494382</v>
      </c>
      <c r="K136" s="577">
        <f t="shared" si="76"/>
        <v>737.80569436668975</v>
      </c>
      <c r="L136" s="577">
        <f t="shared" si="76"/>
        <v>788.65648552327502</v>
      </c>
      <c r="M136" s="577">
        <f t="shared" si="76"/>
        <v>839.52717153163076</v>
      </c>
      <c r="N136" s="577">
        <f t="shared" si="76"/>
        <v>890.40511238410897</v>
      </c>
      <c r="O136" s="577">
        <f t="shared" si="76"/>
        <v>941.25598735305948</v>
      </c>
      <c r="P136" s="577">
        <f t="shared" si="76"/>
        <v>992.14940529576188</v>
      </c>
      <c r="Q136" s="577">
        <f t="shared" si="76"/>
        <v>1061.9744340658337</v>
      </c>
      <c r="R136" s="577">
        <f t="shared" si="76"/>
        <v>1131.813420484063</v>
      </c>
      <c r="S136" s="577">
        <f t="shared" si="76"/>
        <v>1201.6305277171202</v>
      </c>
      <c r="T136" s="577">
        <f t="shared" si="76"/>
        <v>1271.4578891803167</v>
      </c>
      <c r="U136" s="577">
        <f t="shared" si="76"/>
        <v>1341.3414941316753</v>
      </c>
      <c r="V136" s="577">
        <f t="shared" si="76"/>
        <v>1386.8854285663776</v>
      </c>
      <c r="W136" s="577">
        <f t="shared" si="76"/>
        <v>1411.3277833474333</v>
      </c>
      <c r="X136" s="577">
        <f t="shared" si="76"/>
        <v>1435.770760935568</v>
      </c>
      <c r="Y136" s="577">
        <f t="shared" si="76"/>
        <v>1460.2144653860878</v>
      </c>
      <c r="Z136" s="577">
        <f t="shared" si="76"/>
        <v>1484.6680545394493</v>
      </c>
      <c r="AA136" s="577">
        <f t="shared" si="76"/>
        <v>1509.1135877583843</v>
      </c>
      <c r="AB136" s="577">
        <f t="shared" si="76"/>
        <v>1533.5692982821931</v>
      </c>
      <c r="AC136" s="577">
        <f t="shared" si="76"/>
        <v>1558.0172845885781</v>
      </c>
      <c r="AD136" s="577">
        <f t="shared" si="76"/>
        <v>1582.4667867048331</v>
      </c>
      <c r="AE136" s="577">
        <f t="shared" si="76"/>
        <v>1606.9270737857369</v>
      </c>
      <c r="AF136" s="577">
        <f t="shared" si="76"/>
        <v>1631.3803218246237</v>
      </c>
      <c r="AG136" s="577">
        <f t="shared" si="76"/>
        <v>1655.8358625943533</v>
      </c>
      <c r="AH136" s="752">
        <f t="shared" si="76"/>
        <v>1680.3030683500028</v>
      </c>
      <c r="AI136" s="18"/>
      <c r="AJ136" s="18"/>
      <c r="AK136" s="18"/>
      <c r="AL136" s="18"/>
      <c r="AM136" s="18"/>
      <c r="AN136" s="18"/>
    </row>
    <row r="137" spans="2:40" ht="21.95" customHeight="1" x14ac:dyDescent="0.2">
      <c r="B137" s="232"/>
      <c r="C137" s="715"/>
      <c r="D137" s="715"/>
      <c r="E137" s="116"/>
      <c r="F137" s="116"/>
      <c r="G137" s="116"/>
      <c r="H137" s="124" t="s">
        <v>19</v>
      </c>
      <c r="I137" s="577">
        <f t="shared" ref="I137:AH137" si="77">I54*$K$21</f>
        <v>2747.0786567474288</v>
      </c>
      <c r="J137" s="577">
        <f t="shared" si="77"/>
        <v>2844.8349084197753</v>
      </c>
      <c r="K137" s="577">
        <f t="shared" si="77"/>
        <v>2951.222777466759</v>
      </c>
      <c r="L137" s="577">
        <f t="shared" si="77"/>
        <v>3154.6259420931001</v>
      </c>
      <c r="M137" s="577">
        <f t="shared" si="77"/>
        <v>3358.108686126523</v>
      </c>
      <c r="N137" s="577">
        <f t="shared" si="77"/>
        <v>3561.6204495364359</v>
      </c>
      <c r="O137" s="577">
        <f t="shared" si="77"/>
        <v>3765.0239494122379</v>
      </c>
      <c r="P137" s="577">
        <f t="shared" si="77"/>
        <v>3968.5976211830475</v>
      </c>
      <c r="Q137" s="577">
        <f t="shared" si="77"/>
        <v>4247.897736263335</v>
      </c>
      <c r="R137" s="577">
        <f t="shared" si="77"/>
        <v>4527.2536819362522</v>
      </c>
      <c r="S137" s="577">
        <f t="shared" si="77"/>
        <v>4806.5221108684809</v>
      </c>
      <c r="T137" s="577">
        <f t="shared" si="77"/>
        <v>5085.8315567212667</v>
      </c>
      <c r="U137" s="577">
        <f t="shared" si="77"/>
        <v>5365.3659765267012</v>
      </c>
      <c r="V137" s="577">
        <f t="shared" si="77"/>
        <v>5547.5417142655106</v>
      </c>
      <c r="W137" s="577">
        <f t="shared" si="77"/>
        <v>5645.3111333897332</v>
      </c>
      <c r="X137" s="577">
        <f t="shared" si="77"/>
        <v>5743.0830437422719</v>
      </c>
      <c r="Y137" s="577">
        <f t="shared" si="77"/>
        <v>5840.8578615443512</v>
      </c>
      <c r="Z137" s="577">
        <f t="shared" si="77"/>
        <v>5938.672218157797</v>
      </c>
      <c r="AA137" s="577">
        <f t="shared" si="77"/>
        <v>6036.454351033537</v>
      </c>
      <c r="AB137" s="577">
        <f t="shared" si="77"/>
        <v>6134.2771931287725</v>
      </c>
      <c r="AC137" s="577">
        <f t="shared" si="77"/>
        <v>6232.0691383543126</v>
      </c>
      <c r="AD137" s="577">
        <f t="shared" si="77"/>
        <v>6329.8671468193324</v>
      </c>
      <c r="AE137" s="577">
        <f t="shared" si="77"/>
        <v>6427.7082951429475</v>
      </c>
      <c r="AF137" s="577">
        <f t="shared" si="77"/>
        <v>6525.5212872984948</v>
      </c>
      <c r="AG137" s="577">
        <f t="shared" si="77"/>
        <v>6623.3434503774133</v>
      </c>
      <c r="AH137" s="752">
        <f t="shared" si="77"/>
        <v>6721.2122734000113</v>
      </c>
      <c r="AI137" s="18"/>
      <c r="AJ137" s="18"/>
      <c r="AK137" s="18"/>
      <c r="AL137" s="18"/>
      <c r="AM137" s="18"/>
      <c r="AN137" s="18"/>
    </row>
    <row r="138" spans="2:40" ht="21.95" customHeight="1" x14ac:dyDescent="0.2">
      <c r="B138" s="232"/>
      <c r="C138" s="715"/>
      <c r="D138" s="715"/>
      <c r="E138" s="116"/>
      <c r="F138" s="116"/>
      <c r="G138" s="116"/>
      <c r="H138" s="721" t="s">
        <v>25</v>
      </c>
      <c r="I138" s="577">
        <f t="shared" ref="I138:AH138" si="78">SUM(I136:I137)</f>
        <v>3433.8483209342858</v>
      </c>
      <c r="J138" s="577">
        <f t="shared" si="78"/>
        <v>3556.0436355247193</v>
      </c>
      <c r="K138" s="577">
        <f t="shared" si="78"/>
        <v>3689.0284718334487</v>
      </c>
      <c r="L138" s="577">
        <f t="shared" si="78"/>
        <v>3943.2824276163751</v>
      </c>
      <c r="M138" s="577">
        <f t="shared" si="78"/>
        <v>4197.6358576581533</v>
      </c>
      <c r="N138" s="577">
        <f t="shared" si="78"/>
        <v>4452.0255619205445</v>
      </c>
      <c r="O138" s="577">
        <f t="shared" si="78"/>
        <v>4706.279936765297</v>
      </c>
      <c r="P138" s="577">
        <f t="shared" si="78"/>
        <v>4960.7470264788099</v>
      </c>
      <c r="Q138" s="577">
        <f t="shared" si="78"/>
        <v>5309.8721703291685</v>
      </c>
      <c r="R138" s="577">
        <f t="shared" si="78"/>
        <v>5659.0671024203148</v>
      </c>
      <c r="S138" s="577">
        <f t="shared" si="78"/>
        <v>6008.1526385856014</v>
      </c>
      <c r="T138" s="577">
        <f t="shared" si="78"/>
        <v>6357.2894459015833</v>
      </c>
      <c r="U138" s="577">
        <f t="shared" si="78"/>
        <v>6706.7074706583762</v>
      </c>
      <c r="V138" s="577">
        <f t="shared" si="78"/>
        <v>6934.427142831888</v>
      </c>
      <c r="W138" s="577">
        <f t="shared" si="78"/>
        <v>7056.6389167371663</v>
      </c>
      <c r="X138" s="577">
        <f t="shared" si="78"/>
        <v>7178.8538046778394</v>
      </c>
      <c r="Y138" s="577">
        <f t="shared" si="78"/>
        <v>7301.072326930439</v>
      </c>
      <c r="Z138" s="577">
        <f t="shared" si="78"/>
        <v>7423.3402726972463</v>
      </c>
      <c r="AA138" s="577">
        <f t="shared" si="78"/>
        <v>7545.5679387919208</v>
      </c>
      <c r="AB138" s="577">
        <f t="shared" si="78"/>
        <v>7667.8464914109654</v>
      </c>
      <c r="AC138" s="577">
        <f t="shared" si="78"/>
        <v>7790.0864229428907</v>
      </c>
      <c r="AD138" s="577">
        <f t="shared" si="78"/>
        <v>7912.3339335241653</v>
      </c>
      <c r="AE138" s="577">
        <f t="shared" si="78"/>
        <v>8034.6353689286843</v>
      </c>
      <c r="AF138" s="577">
        <f t="shared" si="78"/>
        <v>8156.9016091231188</v>
      </c>
      <c r="AG138" s="577">
        <f t="shared" si="78"/>
        <v>8279.1793129717662</v>
      </c>
      <c r="AH138" s="752">
        <f t="shared" si="78"/>
        <v>8401.5153417500151</v>
      </c>
      <c r="AI138" s="18"/>
      <c r="AJ138" s="18"/>
      <c r="AK138" s="18"/>
      <c r="AL138" s="18"/>
      <c r="AM138" s="18"/>
      <c r="AN138" s="18"/>
    </row>
    <row r="139" spans="2:40" ht="21.95" customHeight="1" x14ac:dyDescent="0.2">
      <c r="B139" s="232"/>
      <c r="C139" s="715"/>
      <c r="D139" s="715"/>
      <c r="E139" s="116"/>
      <c r="F139" s="116" t="s">
        <v>343</v>
      </c>
      <c r="G139" s="116" t="s">
        <v>350</v>
      </c>
      <c r="H139" s="116" t="s">
        <v>20</v>
      </c>
      <c r="I139" s="577">
        <f t="shared" ref="I139:AH139" si="79">I55*$K$20</f>
        <v>1762.1063593425749</v>
      </c>
      <c r="J139" s="577">
        <f t="shared" si="79"/>
        <v>1822.7903662013357</v>
      </c>
      <c r="K139" s="577">
        <f t="shared" si="79"/>
        <v>1890.4934304883245</v>
      </c>
      <c r="L139" s="577">
        <f t="shared" si="79"/>
        <v>2008.7630757640036</v>
      </c>
      <c r="M139" s="577">
        <f t="shared" si="79"/>
        <v>2127.1032080094374</v>
      </c>
      <c r="N139" s="577">
        <f t="shared" si="79"/>
        <v>2245.4022289679847</v>
      </c>
      <c r="O139" s="577">
        <f t="shared" si="79"/>
        <v>2363.6718888402197</v>
      </c>
      <c r="P139" s="577">
        <f t="shared" si="79"/>
        <v>2482.061971006814</v>
      </c>
      <c r="Q139" s="577">
        <f t="shared" si="79"/>
        <v>2634.537100277812</v>
      </c>
      <c r="R139" s="577">
        <f t="shared" si="79"/>
        <v>2787.0974497988095</v>
      </c>
      <c r="S139" s="577">
        <f t="shared" si="79"/>
        <v>2939.5433479159101</v>
      </c>
      <c r="T139" s="577">
        <f t="shared" si="79"/>
        <v>3092.0187525042056</v>
      </c>
      <c r="U139" s="577">
        <f t="shared" si="79"/>
        <v>3244.6235960296426</v>
      </c>
      <c r="V139" s="577">
        <f t="shared" si="79"/>
        <v>3346.4533359978013</v>
      </c>
      <c r="W139" s="577">
        <f t="shared" si="79"/>
        <v>3407.1377595958352</v>
      </c>
      <c r="X139" s="577">
        <f t="shared" si="79"/>
        <v>3467.8222645621231</v>
      </c>
      <c r="Y139" s="577">
        <f t="shared" si="79"/>
        <v>3528.5068649057694</v>
      </c>
      <c r="Z139" s="577">
        <f t="shared" si="79"/>
        <v>3589.2268193093887</v>
      </c>
      <c r="AA139" s="577">
        <f t="shared" si="79"/>
        <v>3649.9116611933709</v>
      </c>
      <c r="AB139" s="577">
        <f t="shared" si="79"/>
        <v>3710.631896971629</v>
      </c>
      <c r="AC139" s="577">
        <f t="shared" si="79"/>
        <v>3771.317065427465</v>
      </c>
      <c r="AD139" s="577">
        <f t="shared" si="79"/>
        <v>3832.002436765501</v>
      </c>
      <c r="AE139" s="577">
        <f t="shared" si="79"/>
        <v>3892.723285450018</v>
      </c>
      <c r="AF139" s="577">
        <f t="shared" si="79"/>
        <v>3953.4091609511497</v>
      </c>
      <c r="AG139" s="577">
        <f t="shared" si="79"/>
        <v>4014.0953465419752</v>
      </c>
      <c r="AH139" s="752">
        <f t="shared" si="79"/>
        <v>4074.8171314849251</v>
      </c>
      <c r="AI139" s="18"/>
      <c r="AJ139" s="18"/>
      <c r="AK139" s="18"/>
      <c r="AL139" s="18"/>
      <c r="AM139" s="18"/>
      <c r="AN139" s="18"/>
    </row>
    <row r="140" spans="2:40" ht="21.95" customHeight="1" x14ac:dyDescent="0.2">
      <c r="B140" s="232"/>
      <c r="C140" s="715"/>
      <c r="D140" s="715"/>
      <c r="E140" s="116"/>
      <c r="F140" s="116"/>
      <c r="G140" s="116"/>
      <c r="H140" s="124" t="s">
        <v>19</v>
      </c>
      <c r="I140" s="577">
        <f t="shared" ref="I140:AH140" si="80">I55*$K$21</f>
        <v>7048.4254373702997</v>
      </c>
      <c r="J140" s="577">
        <f t="shared" si="80"/>
        <v>7291.1614648053428</v>
      </c>
      <c r="K140" s="577">
        <f t="shared" si="80"/>
        <v>7561.9737219532981</v>
      </c>
      <c r="L140" s="577">
        <f t="shared" si="80"/>
        <v>8035.0523030560144</v>
      </c>
      <c r="M140" s="577">
        <f t="shared" si="80"/>
        <v>8508.4128320377495</v>
      </c>
      <c r="N140" s="577">
        <f t="shared" si="80"/>
        <v>8981.6089158719387</v>
      </c>
      <c r="O140" s="577">
        <f t="shared" si="80"/>
        <v>9454.6875553608788</v>
      </c>
      <c r="P140" s="577">
        <f t="shared" si="80"/>
        <v>9928.2478840272561</v>
      </c>
      <c r="Q140" s="577">
        <f t="shared" si="80"/>
        <v>10538.148401111248</v>
      </c>
      <c r="R140" s="577">
        <f t="shared" si="80"/>
        <v>11148.389799195238</v>
      </c>
      <c r="S140" s="577">
        <f t="shared" si="80"/>
        <v>11758.17339166364</v>
      </c>
      <c r="T140" s="577">
        <f t="shared" si="80"/>
        <v>12368.075010016822</v>
      </c>
      <c r="U140" s="577">
        <f t="shared" si="80"/>
        <v>12978.49438411857</v>
      </c>
      <c r="V140" s="577">
        <f t="shared" si="80"/>
        <v>13385.813343991205</v>
      </c>
      <c r="W140" s="577">
        <f t="shared" si="80"/>
        <v>13628.551038383341</v>
      </c>
      <c r="X140" s="577">
        <f t="shared" si="80"/>
        <v>13871.289058248492</v>
      </c>
      <c r="Y140" s="577">
        <f t="shared" si="80"/>
        <v>14114.027459623077</v>
      </c>
      <c r="Z140" s="577">
        <f t="shared" si="80"/>
        <v>14356.907277237555</v>
      </c>
      <c r="AA140" s="577">
        <f t="shared" si="80"/>
        <v>14599.646644773484</v>
      </c>
      <c r="AB140" s="577">
        <f t="shared" si="80"/>
        <v>14842.527587886516</v>
      </c>
      <c r="AC140" s="577">
        <f t="shared" si="80"/>
        <v>15085.26826170986</v>
      </c>
      <c r="AD140" s="577">
        <f t="shared" si="80"/>
        <v>15328.009747062004</v>
      </c>
      <c r="AE140" s="577">
        <f t="shared" si="80"/>
        <v>15570.893141800072</v>
      </c>
      <c r="AF140" s="577">
        <f t="shared" si="80"/>
        <v>15813.636643804599</v>
      </c>
      <c r="AG140" s="577">
        <f t="shared" si="80"/>
        <v>16056.381386167901</v>
      </c>
      <c r="AH140" s="752">
        <f t="shared" si="80"/>
        <v>16299.2685259397</v>
      </c>
      <c r="AI140" s="18"/>
      <c r="AJ140" s="18"/>
      <c r="AK140" s="18"/>
      <c r="AL140" s="18"/>
      <c r="AM140" s="18"/>
      <c r="AN140" s="18"/>
    </row>
    <row r="141" spans="2:40" ht="21.95" customHeight="1" x14ac:dyDescent="0.2">
      <c r="B141" s="232"/>
      <c r="C141" s="715"/>
      <c r="D141" s="715"/>
      <c r="E141" s="116"/>
      <c r="F141" s="116"/>
      <c r="G141" s="116"/>
      <c r="H141" s="721" t="s">
        <v>25</v>
      </c>
      <c r="I141" s="577">
        <f t="shared" ref="I141:AH141" si="81">SUM(I139:I140)</f>
        <v>8810.531796712874</v>
      </c>
      <c r="J141" s="577">
        <f t="shared" si="81"/>
        <v>9113.9518310066778</v>
      </c>
      <c r="K141" s="577">
        <f t="shared" si="81"/>
        <v>9452.4671524416226</v>
      </c>
      <c r="L141" s="577">
        <f t="shared" si="81"/>
        <v>10043.815378820018</v>
      </c>
      <c r="M141" s="577">
        <f t="shared" si="81"/>
        <v>10635.516040047187</v>
      </c>
      <c r="N141" s="577">
        <f t="shared" si="81"/>
        <v>11227.011144839924</v>
      </c>
      <c r="O141" s="577">
        <f t="shared" si="81"/>
        <v>11818.359444201098</v>
      </c>
      <c r="P141" s="577">
        <f t="shared" si="81"/>
        <v>12410.309855034069</v>
      </c>
      <c r="Q141" s="577">
        <f t="shared" si="81"/>
        <v>13172.68550138906</v>
      </c>
      <c r="R141" s="577">
        <f t="shared" si="81"/>
        <v>13935.487248994048</v>
      </c>
      <c r="S141" s="577">
        <f t="shared" si="81"/>
        <v>14697.716739579551</v>
      </c>
      <c r="T141" s="577">
        <f t="shared" si="81"/>
        <v>15460.093762521028</v>
      </c>
      <c r="U141" s="577">
        <f t="shared" si="81"/>
        <v>16223.117980148214</v>
      </c>
      <c r="V141" s="577">
        <f t="shared" si="81"/>
        <v>16732.266679989007</v>
      </c>
      <c r="W141" s="577">
        <f t="shared" si="81"/>
        <v>17035.688797979175</v>
      </c>
      <c r="X141" s="577">
        <f t="shared" si="81"/>
        <v>17339.111322810615</v>
      </c>
      <c r="Y141" s="577">
        <f t="shared" si="81"/>
        <v>17642.534324528846</v>
      </c>
      <c r="Z141" s="577">
        <f t="shared" si="81"/>
        <v>17946.134096546943</v>
      </c>
      <c r="AA141" s="577">
        <f t="shared" si="81"/>
        <v>18249.558305966853</v>
      </c>
      <c r="AB141" s="577">
        <f t="shared" si="81"/>
        <v>18553.159484858144</v>
      </c>
      <c r="AC141" s="577">
        <f t="shared" si="81"/>
        <v>18856.585327137323</v>
      </c>
      <c r="AD141" s="577">
        <f t="shared" si="81"/>
        <v>19160.012183827504</v>
      </c>
      <c r="AE141" s="577">
        <f t="shared" si="81"/>
        <v>19463.61642725009</v>
      </c>
      <c r="AF141" s="577">
        <f t="shared" si="81"/>
        <v>19767.045804755748</v>
      </c>
      <c r="AG141" s="577">
        <f t="shared" si="81"/>
        <v>20070.476732709874</v>
      </c>
      <c r="AH141" s="752">
        <f t="shared" si="81"/>
        <v>20374.085657424625</v>
      </c>
      <c r="AI141" s="18"/>
      <c r="AJ141" s="18"/>
      <c r="AK141" s="18"/>
      <c r="AL141" s="18"/>
      <c r="AM141" s="18"/>
      <c r="AN141" s="18"/>
    </row>
    <row r="142" spans="2:40" ht="21.95" customHeight="1" x14ac:dyDescent="0.2">
      <c r="B142" s="232"/>
      <c r="C142" s="715"/>
      <c r="D142" s="715"/>
      <c r="E142" s="116"/>
      <c r="F142" s="116" t="s">
        <v>350</v>
      </c>
      <c r="G142" s="116" t="s">
        <v>280</v>
      </c>
      <c r="H142" s="116" t="s">
        <v>20</v>
      </c>
      <c r="I142" s="577">
        <f t="shared" ref="I142:AH142" si="82">I56*$K$20</f>
        <v>12012.827293119686</v>
      </c>
      <c r="J142" s="577">
        <f t="shared" si="82"/>
        <v>12426.529045437266</v>
      </c>
      <c r="K142" s="577">
        <f t="shared" si="82"/>
        <v>12888.081894217074</v>
      </c>
      <c r="L142" s="577">
        <f t="shared" si="82"/>
        <v>13694.362848973004</v>
      </c>
      <c r="M142" s="577">
        <f t="shared" si="82"/>
        <v>14501.12432362501</v>
      </c>
      <c r="N142" s="577">
        <f t="shared" si="82"/>
        <v>15307.605510320445</v>
      </c>
      <c r="O142" s="577">
        <f t="shared" si="82"/>
        <v>16113.886501653244</v>
      </c>
      <c r="P142" s="577">
        <f t="shared" si="82"/>
        <v>16920.988398819063</v>
      </c>
      <c r="Q142" s="577">
        <f t="shared" si="82"/>
        <v>17960.458509871929</v>
      </c>
      <c r="R142" s="577">
        <f t="shared" si="82"/>
        <v>19000.509370653759</v>
      </c>
      <c r="S142" s="577">
        <f t="shared" si="82"/>
        <v>20039.779611935955</v>
      </c>
      <c r="T142" s="577">
        <f t="shared" si="82"/>
        <v>21079.250412894431</v>
      </c>
      <c r="U142" s="577">
        <f t="shared" si="82"/>
        <v>22119.602700306918</v>
      </c>
      <c r="V142" s="577">
        <f t="shared" si="82"/>
        <v>22813.805347184494</v>
      </c>
      <c r="W142" s="577">
        <f t="shared" si="82"/>
        <v>23227.508143790841</v>
      </c>
      <c r="X142" s="577">
        <f t="shared" si="82"/>
        <v>23641.211144294346</v>
      </c>
      <c r="Y142" s="577">
        <f t="shared" si="82"/>
        <v>24054.91438379982</v>
      </c>
      <c r="Z142" s="577">
        <f t="shared" si="82"/>
        <v>24468.858160338641</v>
      </c>
      <c r="AA142" s="577">
        <f t="shared" si="82"/>
        <v>24882.562005109499</v>
      </c>
      <c r="AB142" s="577">
        <f t="shared" si="82"/>
        <v>25296.506486732756</v>
      </c>
      <c r="AC142" s="577">
        <f t="shared" si="82"/>
        <v>25710.211149845785</v>
      </c>
      <c r="AD142" s="577">
        <f t="shared" si="82"/>
        <v>26123.916321352466</v>
      </c>
      <c r="AE142" s="577">
        <f t="shared" si="82"/>
        <v>26537.86233883079</v>
      </c>
      <c r="AF142" s="577">
        <f t="shared" si="82"/>
        <v>26951.568773697785</v>
      </c>
      <c r="AG142" s="577">
        <f t="shared" si="82"/>
        <v>27365.275985605014</v>
      </c>
      <c r="AH142" s="752">
        <f t="shared" si="82"/>
        <v>27779.224349212502</v>
      </c>
      <c r="AI142" s="18"/>
      <c r="AJ142" s="18"/>
      <c r="AK142" s="18"/>
      <c r="AL142" s="18"/>
      <c r="AM142" s="18"/>
      <c r="AN142" s="18"/>
    </row>
    <row r="143" spans="2:40" ht="21.95" customHeight="1" x14ac:dyDescent="0.2">
      <c r="B143" s="232"/>
      <c r="C143" s="715"/>
      <c r="D143" s="715"/>
      <c r="E143" s="116"/>
      <c r="F143" s="116"/>
      <c r="G143" s="116"/>
      <c r="H143" s="124" t="s">
        <v>19</v>
      </c>
      <c r="I143" s="577">
        <f t="shared" ref="I143:AH143" si="83">I56*$K$21</f>
        <v>48051.309172478745</v>
      </c>
      <c r="J143" s="577">
        <f t="shared" si="83"/>
        <v>49706.116181749065</v>
      </c>
      <c r="K143" s="577">
        <f t="shared" si="83"/>
        <v>51552.327576868294</v>
      </c>
      <c r="L143" s="577">
        <f t="shared" si="83"/>
        <v>54777.451395892014</v>
      </c>
      <c r="M143" s="577">
        <f t="shared" si="83"/>
        <v>58004.497294500041</v>
      </c>
      <c r="N143" s="577">
        <f t="shared" si="83"/>
        <v>61230.422041281781</v>
      </c>
      <c r="O143" s="577">
        <f t="shared" si="83"/>
        <v>64455.546006612974</v>
      </c>
      <c r="P143" s="577">
        <f t="shared" si="83"/>
        <v>67683.953595276253</v>
      </c>
      <c r="Q143" s="577">
        <f t="shared" si="83"/>
        <v>71841.834039487716</v>
      </c>
      <c r="R143" s="577">
        <f t="shared" si="83"/>
        <v>76002.037482615036</v>
      </c>
      <c r="S143" s="577">
        <f t="shared" si="83"/>
        <v>80159.118447743822</v>
      </c>
      <c r="T143" s="577">
        <f t="shared" si="83"/>
        <v>84317.001651577724</v>
      </c>
      <c r="U143" s="577">
        <f t="shared" si="83"/>
        <v>88478.41080122767</v>
      </c>
      <c r="V143" s="577">
        <f t="shared" si="83"/>
        <v>91255.221388737977</v>
      </c>
      <c r="W143" s="577">
        <f t="shared" si="83"/>
        <v>92910.032575163365</v>
      </c>
      <c r="X143" s="577">
        <f t="shared" si="83"/>
        <v>94564.844577177384</v>
      </c>
      <c r="Y143" s="577">
        <f t="shared" si="83"/>
        <v>96219.65753519928</v>
      </c>
      <c r="Z143" s="577">
        <f t="shared" si="83"/>
        <v>97875.432641354564</v>
      </c>
      <c r="AA143" s="577">
        <f t="shared" si="83"/>
        <v>99530.248020437997</v>
      </c>
      <c r="AB143" s="577">
        <f t="shared" si="83"/>
        <v>101186.02594693103</v>
      </c>
      <c r="AC143" s="577">
        <f t="shared" si="83"/>
        <v>102840.84459938314</v>
      </c>
      <c r="AD143" s="577">
        <f t="shared" si="83"/>
        <v>104495.66528540986</v>
      </c>
      <c r="AE143" s="577">
        <f t="shared" si="83"/>
        <v>106151.44935532316</v>
      </c>
      <c r="AF143" s="577">
        <f t="shared" si="83"/>
        <v>107806.27509479114</v>
      </c>
      <c r="AG143" s="577">
        <f t="shared" si="83"/>
        <v>109461.10394242006</v>
      </c>
      <c r="AH143" s="752">
        <f t="shared" si="83"/>
        <v>111116.89739685001</v>
      </c>
      <c r="AI143" s="18"/>
      <c r="AJ143" s="18"/>
      <c r="AK143" s="18"/>
      <c r="AL143" s="18"/>
      <c r="AM143" s="18"/>
      <c r="AN143" s="18"/>
    </row>
    <row r="144" spans="2:40" ht="21.95" customHeight="1" x14ac:dyDescent="0.2">
      <c r="B144" s="232"/>
      <c r="C144" s="715"/>
      <c r="D144" s="715"/>
      <c r="E144" s="116"/>
      <c r="F144" s="116"/>
      <c r="G144" s="116"/>
      <c r="H144" s="721" t="s">
        <v>25</v>
      </c>
      <c r="I144" s="577">
        <f t="shared" ref="I144:AH144" si="84">SUM(I142:I143)</f>
        <v>60064.136465598429</v>
      </c>
      <c r="J144" s="577">
        <f t="shared" si="84"/>
        <v>62132.645227186331</v>
      </c>
      <c r="K144" s="577">
        <f t="shared" si="84"/>
        <v>64440.409471085368</v>
      </c>
      <c r="L144" s="577">
        <f t="shared" si="84"/>
        <v>68471.814244865018</v>
      </c>
      <c r="M144" s="577">
        <f t="shared" si="84"/>
        <v>72505.621618125049</v>
      </c>
      <c r="N144" s="577">
        <f t="shared" si="84"/>
        <v>76538.027551602223</v>
      </c>
      <c r="O144" s="577">
        <f t="shared" si="84"/>
        <v>80569.432508266211</v>
      </c>
      <c r="P144" s="577">
        <f t="shared" si="84"/>
        <v>84604.941994095308</v>
      </c>
      <c r="Q144" s="577">
        <f t="shared" si="84"/>
        <v>89802.292549359641</v>
      </c>
      <c r="R144" s="577">
        <f t="shared" si="84"/>
        <v>95002.546853268796</v>
      </c>
      <c r="S144" s="577">
        <f t="shared" si="84"/>
        <v>100198.89805967978</v>
      </c>
      <c r="T144" s="577">
        <f t="shared" si="84"/>
        <v>105396.25206447215</v>
      </c>
      <c r="U144" s="577">
        <f t="shared" si="84"/>
        <v>110598.01350153459</v>
      </c>
      <c r="V144" s="577">
        <f t="shared" si="84"/>
        <v>114069.02673592247</v>
      </c>
      <c r="W144" s="577">
        <f t="shared" si="84"/>
        <v>116137.5407189542</v>
      </c>
      <c r="X144" s="577">
        <f t="shared" si="84"/>
        <v>118206.05572147173</v>
      </c>
      <c r="Y144" s="577">
        <f t="shared" si="84"/>
        <v>120274.57191899911</v>
      </c>
      <c r="Z144" s="577">
        <f t="shared" si="84"/>
        <v>122344.29080169321</v>
      </c>
      <c r="AA144" s="577">
        <f t="shared" si="84"/>
        <v>124412.8100255475</v>
      </c>
      <c r="AB144" s="577">
        <f t="shared" si="84"/>
        <v>126482.53243366379</v>
      </c>
      <c r="AC144" s="577">
        <f t="shared" si="84"/>
        <v>128551.05574922892</v>
      </c>
      <c r="AD144" s="577">
        <f t="shared" si="84"/>
        <v>130619.58160676234</v>
      </c>
      <c r="AE144" s="577">
        <f t="shared" si="84"/>
        <v>132689.31169415393</v>
      </c>
      <c r="AF144" s="577">
        <f t="shared" si="84"/>
        <v>134757.84386848891</v>
      </c>
      <c r="AG144" s="577">
        <f t="shared" si="84"/>
        <v>136826.37992802507</v>
      </c>
      <c r="AH144" s="752">
        <f t="shared" si="84"/>
        <v>138896.1217460625</v>
      </c>
      <c r="AI144" s="18"/>
      <c r="AJ144" s="18"/>
      <c r="AK144" s="18"/>
      <c r="AL144" s="18"/>
      <c r="AM144" s="18"/>
      <c r="AN144" s="18"/>
    </row>
    <row r="145" spans="2:41" ht="21.95" customHeight="1" x14ac:dyDescent="0.2">
      <c r="B145" s="232"/>
      <c r="C145" s="715"/>
      <c r="D145" s="715"/>
      <c r="E145" s="116"/>
      <c r="F145" s="116" t="s">
        <v>280</v>
      </c>
      <c r="G145" s="116" t="s">
        <v>333</v>
      </c>
      <c r="H145" s="116" t="s">
        <v>20</v>
      </c>
      <c r="I145" s="577">
        <f>I57*$K$20</f>
        <v>300.01661128584107</v>
      </c>
      <c r="J145" s="577">
        <f t="shared" ref="J145:AH145" si="85">J57*$K$20</f>
        <v>310.34875505825312</v>
      </c>
      <c r="K145" s="577">
        <f t="shared" si="85"/>
        <v>321.87600990454888</v>
      </c>
      <c r="L145" s="577">
        <f t="shared" si="85"/>
        <v>342.0129672738243</v>
      </c>
      <c r="M145" s="577">
        <f t="shared" si="85"/>
        <v>362.16220875973306</v>
      </c>
      <c r="N145" s="577">
        <f t="shared" si="85"/>
        <v>382.30492254225993</v>
      </c>
      <c r="O145" s="577">
        <f t="shared" si="85"/>
        <v>402.443403611051</v>
      </c>
      <c r="P145" s="577">
        <f t="shared" si="85"/>
        <v>422.60360643370842</v>
      </c>
      <c r="Q145" s="577">
        <f t="shared" si="85"/>
        <v>448.57093308607909</v>
      </c>
      <c r="R145" s="577">
        <f t="shared" si="85"/>
        <v>474.55816531037402</v>
      </c>
      <c r="S145" s="577">
        <f t="shared" si="85"/>
        <v>500.534822583101</v>
      </c>
      <c r="T145" s="577">
        <f t="shared" si="85"/>
        <v>526.5308889493914</v>
      </c>
      <c r="U145" s="577">
        <f t="shared" si="85"/>
        <v>552.57169258510737</v>
      </c>
      <c r="V145" s="577">
        <f t="shared" si="85"/>
        <v>569.9665976172472</v>
      </c>
      <c r="W145" s="577">
        <f t="shared" si="85"/>
        <v>580.34224380532794</v>
      </c>
      <c r="X145" s="577">
        <f t="shared" si="85"/>
        <v>590.72638383084563</v>
      </c>
      <c r="Y145" s="577">
        <f t="shared" si="85"/>
        <v>601.12048007055262</v>
      </c>
      <c r="Z145" s="577">
        <f t="shared" si="85"/>
        <v>611.5322610381703</v>
      </c>
      <c r="AA145" s="577">
        <f t="shared" si="85"/>
        <v>621.95157109577212</v>
      </c>
      <c r="AB145" s="577">
        <f t="shared" si="85"/>
        <v>632.39272408885472</v>
      </c>
      <c r="AC145" s="577">
        <f t="shared" si="85"/>
        <v>642.84612420080703</v>
      </c>
      <c r="AD145" s="577">
        <f t="shared" si="85"/>
        <v>653.3207027002718</v>
      </c>
      <c r="AE145" s="577">
        <f t="shared" si="85"/>
        <v>663.82583551128232</v>
      </c>
      <c r="AF145" s="577">
        <f t="shared" si="85"/>
        <v>674.35304239000232</v>
      </c>
      <c r="AG145" s="577">
        <f t="shared" si="85"/>
        <v>684.91261878992964</v>
      </c>
      <c r="AH145" s="752">
        <f t="shared" si="85"/>
        <v>695.5154853787235</v>
      </c>
      <c r="AI145" s="18"/>
      <c r="AJ145" s="18"/>
      <c r="AK145" s="18"/>
      <c r="AL145" s="18"/>
      <c r="AM145" s="18"/>
      <c r="AN145" s="18"/>
    </row>
    <row r="146" spans="2:41" ht="21.95" customHeight="1" x14ac:dyDescent="0.2">
      <c r="B146" s="232"/>
      <c r="C146" s="715"/>
      <c r="D146" s="715"/>
      <c r="E146" s="116"/>
      <c r="F146" s="116"/>
      <c r="G146" s="116"/>
      <c r="H146" s="124" t="s">
        <v>19</v>
      </c>
      <c r="I146" s="577">
        <f t="shared" ref="I146:AH146" si="86">I57*$K$21</f>
        <v>1200.0664451433643</v>
      </c>
      <c r="J146" s="577">
        <f t="shared" si="86"/>
        <v>1241.3950202330125</v>
      </c>
      <c r="K146" s="577">
        <f t="shared" si="86"/>
        <v>1287.5040396181955</v>
      </c>
      <c r="L146" s="577">
        <f t="shared" si="86"/>
        <v>1368.0518690952972</v>
      </c>
      <c r="M146" s="577">
        <f t="shared" si="86"/>
        <v>1448.6488350389322</v>
      </c>
      <c r="N146" s="577">
        <f t="shared" si="86"/>
        <v>1529.2196901690397</v>
      </c>
      <c r="O146" s="577">
        <f t="shared" si="86"/>
        <v>1609.773614444204</v>
      </c>
      <c r="P146" s="577">
        <f t="shared" si="86"/>
        <v>1690.4144257348337</v>
      </c>
      <c r="Q146" s="577">
        <f t="shared" si="86"/>
        <v>1794.2837323443164</v>
      </c>
      <c r="R146" s="577">
        <f t="shared" si="86"/>
        <v>1898.2326612414961</v>
      </c>
      <c r="S146" s="577">
        <f t="shared" si="86"/>
        <v>2002.139290332404</v>
      </c>
      <c r="T146" s="577">
        <f t="shared" si="86"/>
        <v>2106.1235557975656</v>
      </c>
      <c r="U146" s="577">
        <f t="shared" si="86"/>
        <v>2210.2867703404295</v>
      </c>
      <c r="V146" s="577">
        <f t="shared" si="86"/>
        <v>2279.8663904689888</v>
      </c>
      <c r="W146" s="577">
        <f t="shared" si="86"/>
        <v>2321.3689752213118</v>
      </c>
      <c r="X146" s="577">
        <f t="shared" si="86"/>
        <v>2362.9055353233825</v>
      </c>
      <c r="Y146" s="577">
        <f t="shared" si="86"/>
        <v>2404.4819202822105</v>
      </c>
      <c r="Z146" s="577">
        <f t="shared" si="86"/>
        <v>2446.1290441526812</v>
      </c>
      <c r="AA146" s="577">
        <f t="shared" si="86"/>
        <v>2487.8062843830885</v>
      </c>
      <c r="AB146" s="577">
        <f t="shared" si="86"/>
        <v>2529.5708963554189</v>
      </c>
      <c r="AC146" s="577">
        <f t="shared" si="86"/>
        <v>2571.3844968032281</v>
      </c>
      <c r="AD146" s="577">
        <f t="shared" si="86"/>
        <v>2613.2828108010872</v>
      </c>
      <c r="AE146" s="577">
        <f t="shared" si="86"/>
        <v>2655.3033420451293</v>
      </c>
      <c r="AF146" s="577">
        <f t="shared" si="86"/>
        <v>2697.4121695600093</v>
      </c>
      <c r="AG146" s="577">
        <f t="shared" si="86"/>
        <v>2739.6504751597186</v>
      </c>
      <c r="AH146" s="752">
        <f t="shared" si="86"/>
        <v>2782.061941514894</v>
      </c>
      <c r="AI146" s="18"/>
      <c r="AJ146" s="18"/>
      <c r="AK146" s="18"/>
      <c r="AL146" s="18"/>
      <c r="AM146" s="18"/>
      <c r="AN146" s="18"/>
    </row>
    <row r="147" spans="2:41" ht="21.95" customHeight="1" thickBot="1" x14ac:dyDescent="0.25">
      <c r="B147" s="487"/>
      <c r="C147" s="764"/>
      <c r="D147" s="764"/>
      <c r="E147" s="278"/>
      <c r="F147" s="278"/>
      <c r="G147" s="278"/>
      <c r="H147" s="765" t="s">
        <v>25</v>
      </c>
      <c r="I147" s="735">
        <f t="shared" ref="I147:AH147" si="87">SUM(I145:I146)</f>
        <v>1500.0830564292053</v>
      </c>
      <c r="J147" s="735">
        <f t="shared" si="87"/>
        <v>1551.7437752912656</v>
      </c>
      <c r="K147" s="735">
        <f t="shared" si="87"/>
        <v>1609.3800495227445</v>
      </c>
      <c r="L147" s="735">
        <f t="shared" si="87"/>
        <v>1710.0648363691216</v>
      </c>
      <c r="M147" s="735">
        <f t="shared" si="87"/>
        <v>1810.8110437986652</v>
      </c>
      <c r="N147" s="735">
        <f t="shared" si="87"/>
        <v>1911.5246127112996</v>
      </c>
      <c r="O147" s="735">
        <f t="shared" si="87"/>
        <v>2012.217018055255</v>
      </c>
      <c r="P147" s="735">
        <f t="shared" si="87"/>
        <v>2113.018032168542</v>
      </c>
      <c r="Q147" s="735">
        <f t="shared" si="87"/>
        <v>2242.8546654303955</v>
      </c>
      <c r="R147" s="735">
        <f t="shared" si="87"/>
        <v>2372.7908265518699</v>
      </c>
      <c r="S147" s="735">
        <f t="shared" si="87"/>
        <v>2502.6741129155052</v>
      </c>
      <c r="T147" s="735">
        <f t="shared" si="87"/>
        <v>2632.6544447469569</v>
      </c>
      <c r="U147" s="735">
        <f t="shared" si="87"/>
        <v>2762.858462925537</v>
      </c>
      <c r="V147" s="735">
        <f t="shared" si="87"/>
        <v>2849.8329880862361</v>
      </c>
      <c r="W147" s="735">
        <f t="shared" si="87"/>
        <v>2901.7112190266398</v>
      </c>
      <c r="X147" s="735">
        <f t="shared" si="87"/>
        <v>2953.6319191542279</v>
      </c>
      <c r="Y147" s="735">
        <f t="shared" si="87"/>
        <v>3005.6024003527632</v>
      </c>
      <c r="Z147" s="735">
        <f t="shared" si="87"/>
        <v>3057.6613051908516</v>
      </c>
      <c r="AA147" s="735">
        <f t="shared" si="87"/>
        <v>3109.7578554788606</v>
      </c>
      <c r="AB147" s="735">
        <f t="shared" si="87"/>
        <v>3161.9636204442736</v>
      </c>
      <c r="AC147" s="735">
        <f t="shared" si="87"/>
        <v>3214.2306210040351</v>
      </c>
      <c r="AD147" s="735">
        <f t="shared" si="87"/>
        <v>3266.603513501359</v>
      </c>
      <c r="AE147" s="735">
        <f t="shared" si="87"/>
        <v>3319.1291775564114</v>
      </c>
      <c r="AF147" s="735">
        <f t="shared" si="87"/>
        <v>3371.7652119500117</v>
      </c>
      <c r="AG147" s="735">
        <f t="shared" si="87"/>
        <v>3424.5630939496482</v>
      </c>
      <c r="AH147" s="766">
        <f t="shared" si="87"/>
        <v>3477.5774268936175</v>
      </c>
      <c r="AI147" s="18"/>
      <c r="AJ147" s="18"/>
      <c r="AK147" s="18"/>
      <c r="AL147" s="18"/>
      <c r="AM147" s="18"/>
      <c r="AN147" s="18"/>
    </row>
    <row r="148" spans="2:41" ht="21.95" customHeight="1" thickBot="1" x14ac:dyDescent="0.25">
      <c r="B148" s="487"/>
      <c r="C148" s="764"/>
      <c r="D148" s="764"/>
      <c r="E148" s="278"/>
      <c r="F148" s="278"/>
      <c r="G148" s="278"/>
      <c r="H148" s="767" t="s">
        <v>514</v>
      </c>
      <c r="I148" s="767">
        <f t="shared" ref="I148:AH148" si="88">SUM(I63,I66,I69,I72,I75,I78,I81,I84,I87,I90,I93,I96,I99,I102,I105,I108,I111,I114,I117,I120,I123,I129,I132,I135,I138,I141,I144,I147)</f>
        <v>1761514.4506688197</v>
      </c>
      <c r="J148" s="767">
        <f t="shared" si="88"/>
        <v>1825252.6515050547</v>
      </c>
      <c r="K148" s="767">
        <f t="shared" si="88"/>
        <v>1946566.9821539309</v>
      </c>
      <c r="L148" s="767">
        <f t="shared" si="88"/>
        <v>2139433.8594783749</v>
      </c>
      <c r="M148" s="767">
        <f t="shared" si="88"/>
        <v>2341136.0053552203</v>
      </c>
      <c r="N148" s="767">
        <f t="shared" si="88"/>
        <v>2585525.0565653979</v>
      </c>
      <c r="O148" s="767">
        <f t="shared" si="88"/>
        <v>3006035.6014337423</v>
      </c>
      <c r="P148" s="767">
        <f t="shared" si="88"/>
        <v>3258739.83665318</v>
      </c>
      <c r="Q148" s="767">
        <f t="shared" si="88"/>
        <v>3563166.6055430574</v>
      </c>
      <c r="R148" s="767">
        <f t="shared" si="88"/>
        <v>3892858.9095445196</v>
      </c>
      <c r="S148" s="767">
        <f t="shared" si="88"/>
        <v>4249373.9551123362</v>
      </c>
      <c r="T148" s="767">
        <f t="shared" si="88"/>
        <v>4522025.0267501539</v>
      </c>
      <c r="U148" s="767">
        <f t="shared" si="88"/>
        <v>4830652.829837258</v>
      </c>
      <c r="V148" s="767">
        <f t="shared" si="88"/>
        <v>5007396.5046886746</v>
      </c>
      <c r="W148" s="767">
        <f t="shared" si="88"/>
        <v>5107039.6704566162</v>
      </c>
      <c r="X148" s="767">
        <f t="shared" si="88"/>
        <v>5206123.358980149</v>
      </c>
      <c r="Y148" s="767">
        <f t="shared" si="88"/>
        <v>5307949.703315977</v>
      </c>
      <c r="Z148" s="767">
        <f t="shared" si="88"/>
        <v>5413018.9032881837</v>
      </c>
      <c r="AA148" s="767">
        <f t="shared" si="88"/>
        <v>5521713.7227717414</v>
      </c>
      <c r="AB148" s="767">
        <f t="shared" si="88"/>
        <v>5634691.5071737655</v>
      </c>
      <c r="AC148" s="767">
        <f t="shared" si="88"/>
        <v>5752490.1482347418</v>
      </c>
      <c r="AD148" s="767">
        <f t="shared" si="88"/>
        <v>5875859.5780953523</v>
      </c>
      <c r="AE148" s="767">
        <f t="shared" si="88"/>
        <v>6005682.9172983486</v>
      </c>
      <c r="AF148" s="767">
        <f t="shared" si="88"/>
        <v>6142818.2308385586</v>
      </c>
      <c r="AG148" s="767">
        <f t="shared" si="88"/>
        <v>6288253.6556296153</v>
      </c>
      <c r="AH148" s="768">
        <f t="shared" si="88"/>
        <v>6443301.4516078532</v>
      </c>
      <c r="AI148" s="18"/>
      <c r="AJ148" s="18"/>
      <c r="AK148" s="18"/>
      <c r="AL148" s="18"/>
      <c r="AM148" s="18"/>
      <c r="AN148" s="18"/>
    </row>
    <row r="149" spans="2:41" ht="21.95" customHeight="1" x14ac:dyDescent="0.2">
      <c r="B149" s="9"/>
      <c r="C149" s="715"/>
      <c r="D149" s="715"/>
      <c r="E149" s="116"/>
      <c r="F149" s="116"/>
      <c r="G149" s="116"/>
      <c r="H149" s="769"/>
      <c r="I149" s="769"/>
      <c r="J149" s="769"/>
      <c r="K149" s="769"/>
      <c r="L149" s="769"/>
      <c r="M149" s="769"/>
      <c r="N149" s="769"/>
      <c r="O149" s="769"/>
      <c r="P149" s="769"/>
      <c r="Q149" s="769"/>
      <c r="R149" s="769"/>
      <c r="S149" s="769"/>
      <c r="T149" s="769"/>
      <c r="U149" s="769"/>
      <c r="V149" s="769"/>
      <c r="W149" s="769"/>
      <c r="X149" s="769"/>
      <c r="Y149" s="769"/>
      <c r="Z149" s="769"/>
      <c r="AA149" s="769"/>
      <c r="AB149" s="769"/>
      <c r="AC149" s="769"/>
      <c r="AD149" s="769"/>
      <c r="AE149" s="769"/>
      <c r="AF149" s="769"/>
      <c r="AG149" s="769"/>
      <c r="AH149" s="769"/>
      <c r="AI149" s="18"/>
      <c r="AJ149" s="18"/>
      <c r="AK149" s="18"/>
      <c r="AL149" s="18"/>
      <c r="AM149" s="18"/>
      <c r="AN149" s="18"/>
    </row>
    <row r="150" spans="2:41" ht="21.95" customHeight="1" thickBot="1" x14ac:dyDescent="0.25">
      <c r="B150" s="9"/>
      <c r="C150" s="715"/>
      <c r="D150" s="715"/>
      <c r="E150" s="116"/>
      <c r="F150" s="116"/>
      <c r="G150" s="116"/>
      <c r="H150" s="769"/>
      <c r="I150" s="769"/>
      <c r="J150" s="769"/>
      <c r="K150" s="769"/>
      <c r="L150" s="769"/>
      <c r="M150" s="769"/>
      <c r="N150" s="769"/>
      <c r="O150" s="769"/>
      <c r="P150" s="769"/>
      <c r="Q150" s="769"/>
      <c r="R150" s="769"/>
      <c r="S150" s="769"/>
      <c r="T150" s="769"/>
      <c r="U150" s="769"/>
      <c r="V150" s="769"/>
      <c r="W150" s="769"/>
      <c r="X150" s="769"/>
      <c r="Y150" s="769"/>
      <c r="Z150" s="769"/>
      <c r="AA150" s="769"/>
      <c r="AB150" s="769"/>
      <c r="AC150" s="769"/>
      <c r="AD150" s="769"/>
      <c r="AE150" s="769"/>
      <c r="AF150" s="769"/>
      <c r="AG150" s="769"/>
      <c r="AH150" s="769"/>
      <c r="AI150" s="18"/>
      <c r="AJ150" s="18"/>
      <c r="AK150" s="18"/>
      <c r="AL150" s="18"/>
      <c r="AM150" s="18"/>
      <c r="AN150" s="18"/>
    </row>
    <row r="151" spans="2:41" s="7" customFormat="1" ht="21.95" customHeight="1" thickBot="1" x14ac:dyDescent="0.25">
      <c r="B151" s="234"/>
      <c r="C151" s="485" t="s">
        <v>2</v>
      </c>
      <c r="D151" s="485"/>
      <c r="E151" s="485" t="s">
        <v>328</v>
      </c>
      <c r="F151" s="1338" t="s">
        <v>18</v>
      </c>
      <c r="G151" s="1338"/>
      <c r="H151" s="485" t="s">
        <v>24</v>
      </c>
      <c r="I151" s="763">
        <v>2023</v>
      </c>
      <c r="J151" s="763">
        <v>2024</v>
      </c>
      <c r="K151" s="763">
        <v>2025</v>
      </c>
      <c r="L151" s="763">
        <v>2026</v>
      </c>
      <c r="M151" s="763">
        <v>2027</v>
      </c>
      <c r="N151" s="763">
        <v>2028</v>
      </c>
      <c r="O151" s="763">
        <v>2029</v>
      </c>
      <c r="P151" s="763">
        <v>2030</v>
      </c>
      <c r="Q151" s="763">
        <v>2031</v>
      </c>
      <c r="R151" s="763">
        <v>2032</v>
      </c>
      <c r="S151" s="763">
        <v>2033</v>
      </c>
      <c r="T151" s="763">
        <v>2034</v>
      </c>
      <c r="U151" s="763">
        <v>2035</v>
      </c>
      <c r="V151" s="763">
        <v>2036</v>
      </c>
      <c r="W151" s="763">
        <v>2037</v>
      </c>
      <c r="X151" s="763">
        <v>2038</v>
      </c>
      <c r="Y151" s="763">
        <v>2039</v>
      </c>
      <c r="Z151" s="763">
        <v>2040</v>
      </c>
      <c r="AA151" s="763">
        <v>2041</v>
      </c>
      <c r="AB151" s="763">
        <v>2042</v>
      </c>
      <c r="AC151" s="763">
        <v>2043</v>
      </c>
      <c r="AD151" s="763">
        <v>2044</v>
      </c>
      <c r="AE151" s="763">
        <v>2045</v>
      </c>
      <c r="AF151" s="763">
        <v>2046</v>
      </c>
      <c r="AG151" s="763">
        <v>2047</v>
      </c>
      <c r="AH151" s="762">
        <v>2048</v>
      </c>
      <c r="AI151" s="484"/>
      <c r="AJ151" s="484"/>
      <c r="AK151" s="484"/>
      <c r="AL151" s="484"/>
      <c r="AM151" s="484"/>
      <c r="AN151" s="484"/>
      <c r="AO151" s="484"/>
    </row>
    <row r="152" spans="2:41" ht="21.95" customHeight="1" x14ac:dyDescent="0.2">
      <c r="B152" s="199" t="s">
        <v>213</v>
      </c>
      <c r="C152" s="116" t="s">
        <v>130</v>
      </c>
      <c r="D152" s="240" t="s">
        <v>23</v>
      </c>
      <c r="E152" s="1339" t="s">
        <v>331</v>
      </c>
      <c r="F152" s="116" t="s">
        <v>332</v>
      </c>
      <c r="G152" s="116" t="s">
        <v>282</v>
      </c>
      <c r="H152" s="116" t="s">
        <v>20</v>
      </c>
      <c r="I152" s="577">
        <f t="shared" ref="I152:AH152" si="89">I61*$D$11</f>
        <v>2839.7034752162758</v>
      </c>
      <c r="J152" s="577">
        <f t="shared" si="89"/>
        <v>2970.3508563004407</v>
      </c>
      <c r="K152" s="577">
        <f t="shared" si="89"/>
        <v>3153.8126519317575</v>
      </c>
      <c r="L152" s="577">
        <f t="shared" si="89"/>
        <v>3422.9616824893242</v>
      </c>
      <c r="M152" s="577">
        <f t="shared" si="89"/>
        <v>3692.2386890041835</v>
      </c>
      <c r="N152" s="577">
        <f t="shared" si="89"/>
        <v>3961.5842708512369</v>
      </c>
      <c r="O152" s="577">
        <f t="shared" si="89"/>
        <v>4230.9352599654421</v>
      </c>
      <c r="P152" s="577">
        <f t="shared" si="89"/>
        <v>4500.6923383509293</v>
      </c>
      <c r="Q152" s="577">
        <f t="shared" si="89"/>
        <v>4767.6112633703933</v>
      </c>
      <c r="R152" s="577">
        <f t="shared" si="89"/>
        <v>5035.1568263806066</v>
      </c>
      <c r="S152" s="577">
        <f t="shared" si="89"/>
        <v>5303.5817680723067</v>
      </c>
      <c r="T152" s="577">
        <f t="shared" si="89"/>
        <v>5573.4876528292934</v>
      </c>
      <c r="U152" s="577">
        <f t="shared" si="89"/>
        <v>5845.9113629124058</v>
      </c>
      <c r="V152" s="577">
        <f t="shared" si="89"/>
        <v>6032.285314932943</v>
      </c>
      <c r="W152" s="577">
        <f t="shared" si="89"/>
        <v>6168.5511747790924</v>
      </c>
      <c r="X152" s="577">
        <f t="shared" si="89"/>
        <v>6306.1491284245003</v>
      </c>
      <c r="Y152" s="577">
        <f t="shared" si="89"/>
        <v>6445.3568464861828</v>
      </c>
      <c r="Z152" s="577">
        <f t="shared" si="89"/>
        <v>6586.5602496608426</v>
      </c>
      <c r="AA152" s="577">
        <f t="shared" si="89"/>
        <v>6730.0304868983267</v>
      </c>
      <c r="AB152" s="577">
        <f t="shared" si="89"/>
        <v>6876.3379035577818</v>
      </c>
      <c r="AC152" s="577">
        <f t="shared" si="89"/>
        <v>7025.8933526619639</v>
      </c>
      <c r="AD152" s="577">
        <f t="shared" si="89"/>
        <v>7179.3737807947382</v>
      </c>
      <c r="AE152" s="577">
        <f t="shared" si="89"/>
        <v>7337.5632206416403</v>
      </c>
      <c r="AF152" s="577">
        <f t="shared" si="89"/>
        <v>7501.1662641113817</v>
      </c>
      <c r="AG152" s="577">
        <f t="shared" si="89"/>
        <v>7671.2099199771301</v>
      </c>
      <c r="AH152" s="752">
        <f t="shared" si="89"/>
        <v>7848.8796860496504</v>
      </c>
      <c r="AI152" s="18"/>
      <c r="AJ152" s="18"/>
      <c r="AK152" s="18"/>
      <c r="AL152" s="18"/>
      <c r="AM152" s="18"/>
      <c r="AN152" s="18"/>
    </row>
    <row r="153" spans="2:41" ht="21.95" customHeight="1" x14ac:dyDescent="0.2">
      <c r="B153" s="486" t="s">
        <v>158</v>
      </c>
      <c r="C153" s="715"/>
      <c r="D153" s="240"/>
      <c r="E153" s="1339"/>
      <c r="F153" s="116"/>
      <c r="G153" s="116"/>
      <c r="H153" s="124" t="s">
        <v>19</v>
      </c>
      <c r="I153" s="577">
        <f t="shared" ref="I153:AH153" si="90">I62*$D$12</f>
        <v>6028.7662239213269</v>
      </c>
      <c r="J153" s="577">
        <f t="shared" si="90"/>
        <v>6306.1340988414368</v>
      </c>
      <c r="K153" s="577">
        <f t="shared" si="90"/>
        <v>6695.6283846128772</v>
      </c>
      <c r="L153" s="577">
        <f t="shared" si="90"/>
        <v>7267.0389557476128</v>
      </c>
      <c r="M153" s="577">
        <f t="shared" si="90"/>
        <v>7838.7212232533029</v>
      </c>
      <c r="N153" s="577">
        <f t="shared" si="90"/>
        <v>8410.5490780184136</v>
      </c>
      <c r="O153" s="577">
        <f t="shared" si="90"/>
        <v>8982.3884125559198</v>
      </c>
      <c r="P153" s="577">
        <f t="shared" si="90"/>
        <v>9555.0898854483548</v>
      </c>
      <c r="Q153" s="577">
        <f t="shared" si="90"/>
        <v>10121.765883040031</v>
      </c>
      <c r="R153" s="577">
        <f t="shared" si="90"/>
        <v>10689.772249800963</v>
      </c>
      <c r="S153" s="577">
        <f t="shared" si="90"/>
        <v>11259.645560959172</v>
      </c>
      <c r="T153" s="577">
        <f t="shared" si="90"/>
        <v>11832.662953747549</v>
      </c>
      <c r="U153" s="577">
        <f t="shared" si="90"/>
        <v>12411.025756863573</v>
      </c>
      <c r="V153" s="577">
        <f t="shared" si="90"/>
        <v>12806.70262832797</v>
      </c>
      <c r="W153" s="577">
        <f t="shared" si="90"/>
        <v>13095.998683526654</v>
      </c>
      <c r="X153" s="577">
        <f t="shared" si="90"/>
        <v>13388.122809393333</v>
      </c>
      <c r="Y153" s="577">
        <f t="shared" si="90"/>
        <v>13683.664508054499</v>
      </c>
      <c r="Z153" s="577">
        <f t="shared" si="90"/>
        <v>13983.44309944327</v>
      </c>
      <c r="AA153" s="577">
        <f t="shared" si="90"/>
        <v>14288.034240012779</v>
      </c>
      <c r="AB153" s="577">
        <f t="shared" si="90"/>
        <v>14598.648788173843</v>
      </c>
      <c r="AC153" s="577">
        <f t="shared" si="90"/>
        <v>14916.158995852837</v>
      </c>
      <c r="AD153" s="577">
        <f t="shared" si="90"/>
        <v>15242.00203870413</v>
      </c>
      <c r="AE153" s="577">
        <f t="shared" si="90"/>
        <v>15577.842439032336</v>
      </c>
      <c r="AF153" s="577">
        <f t="shared" si="90"/>
        <v>15925.176064253885</v>
      </c>
      <c r="AG153" s="577">
        <f t="shared" si="90"/>
        <v>16286.183281388574</v>
      </c>
      <c r="AH153" s="752">
        <f t="shared" si="90"/>
        <v>16663.380933910525</v>
      </c>
      <c r="AI153" s="18"/>
      <c r="AJ153" s="18"/>
      <c r="AK153" s="18"/>
      <c r="AL153" s="18"/>
      <c r="AM153" s="18"/>
      <c r="AN153" s="18"/>
    </row>
    <row r="154" spans="2:41" ht="21.95" customHeight="1" x14ac:dyDescent="0.2">
      <c r="B154" s="199"/>
      <c r="C154" s="116"/>
      <c r="D154" s="240"/>
      <c r="E154" s="1339"/>
      <c r="F154" s="116"/>
      <c r="G154" s="116"/>
      <c r="H154" s="720" t="s">
        <v>25</v>
      </c>
      <c r="I154" s="577">
        <f t="shared" ref="I154" si="91">SUM(I152:I153)</f>
        <v>8868.4696991376022</v>
      </c>
      <c r="J154" s="577">
        <f t="shared" ref="J154" si="92">SUM(J152:J153)</f>
        <v>9276.4849551418774</v>
      </c>
      <c r="K154" s="577">
        <f t="shared" ref="K154" si="93">SUM(K152:K153)</f>
        <v>9849.4410365446347</v>
      </c>
      <c r="L154" s="577">
        <f t="shared" ref="L154" si="94">SUM(L152:L153)</f>
        <v>10690.000638236937</v>
      </c>
      <c r="M154" s="577">
        <f t="shared" ref="M154" si="95">SUM(M152:M153)</f>
        <v>11530.959912257487</v>
      </c>
      <c r="N154" s="577">
        <f t="shared" ref="N154" si="96">SUM(N152:N153)</f>
        <v>12372.133348869651</v>
      </c>
      <c r="O154" s="577">
        <f t="shared" ref="O154" si="97">SUM(O152:O153)</f>
        <v>13213.323672521361</v>
      </c>
      <c r="P154" s="577">
        <f t="shared" ref="P154" si="98">SUM(P152:P153)</f>
        <v>14055.782223799284</v>
      </c>
      <c r="Q154" s="577">
        <f t="shared" ref="Q154" si="99">SUM(Q152:Q153)</f>
        <v>14889.377146410425</v>
      </c>
      <c r="R154" s="577">
        <f t="shared" ref="R154" si="100">SUM(R152:R153)</f>
        <v>15724.929076181568</v>
      </c>
      <c r="S154" s="577">
        <f t="shared" ref="S154" si="101">SUM(S152:S153)</f>
        <v>16563.227329031477</v>
      </c>
      <c r="T154" s="577">
        <f t="shared" ref="T154" si="102">SUM(T152:T153)</f>
        <v>17406.150606576841</v>
      </c>
      <c r="U154" s="577">
        <f t="shared" ref="U154" si="103">SUM(U152:U153)</f>
        <v>18256.937119775979</v>
      </c>
      <c r="V154" s="577">
        <f t="shared" ref="V154" si="104">SUM(V152:V153)</f>
        <v>18838.987943260912</v>
      </c>
      <c r="W154" s="577">
        <f t="shared" ref="W154" si="105">SUM(W152:W153)</f>
        <v>19264.549858305745</v>
      </c>
      <c r="X154" s="577">
        <f t="shared" ref="X154" si="106">SUM(X152:X153)</f>
        <v>19694.271937817834</v>
      </c>
      <c r="Y154" s="577">
        <f t="shared" ref="Y154" si="107">SUM(Y152:Y153)</f>
        <v>20129.02135454068</v>
      </c>
      <c r="Z154" s="577">
        <f t="shared" ref="Z154" si="108">SUM(Z152:Z153)</f>
        <v>20570.00334910411</v>
      </c>
      <c r="AA154" s="577">
        <f t="shared" ref="AA154" si="109">SUM(AA152:AA153)</f>
        <v>21018.064726911107</v>
      </c>
      <c r="AB154" s="577">
        <f t="shared" ref="AB154" si="110">SUM(AB152:AB153)</f>
        <v>21474.986691731625</v>
      </c>
      <c r="AC154" s="577">
        <f t="shared" ref="AC154" si="111">SUM(AC152:AC153)</f>
        <v>21942.052348514801</v>
      </c>
      <c r="AD154" s="577">
        <f t="shared" ref="AD154" si="112">SUM(AD152:AD153)</f>
        <v>22421.37581949887</v>
      </c>
      <c r="AE154" s="577">
        <f t="shared" ref="AE154" si="113">SUM(AE152:AE153)</f>
        <v>22915.405659673976</v>
      </c>
      <c r="AF154" s="577">
        <f t="shared" ref="AF154" si="114">SUM(AF152:AF153)</f>
        <v>23426.342328365266</v>
      </c>
      <c r="AG154" s="577">
        <f t="shared" ref="AG154" si="115">SUM(AG152:AG153)</f>
        <v>23957.393201365703</v>
      </c>
      <c r="AH154" s="752">
        <f t="shared" ref="AH154" si="116">SUM(AH152:AH153)</f>
        <v>24512.260619960176</v>
      </c>
      <c r="AI154" s="18"/>
      <c r="AJ154" s="18"/>
      <c r="AK154" s="18"/>
      <c r="AL154" s="18"/>
      <c r="AM154" s="18"/>
      <c r="AN154" s="18"/>
    </row>
    <row r="155" spans="2:41" ht="21.95" customHeight="1" x14ac:dyDescent="0.2">
      <c r="B155" s="197"/>
      <c r="C155" s="715"/>
      <c r="D155" s="715"/>
      <c r="E155" s="1339"/>
      <c r="F155" s="116" t="s">
        <v>282</v>
      </c>
      <c r="G155" s="116" t="s">
        <v>280</v>
      </c>
      <c r="H155" s="116" t="s">
        <v>20</v>
      </c>
      <c r="I155" s="577">
        <f t="shared" ref="I155:AH155" si="117">I64*$D$11</f>
        <v>91311.52253867338</v>
      </c>
      <c r="J155" s="577">
        <f t="shared" si="117"/>
        <v>96369.867127152436</v>
      </c>
      <c r="K155" s="577">
        <f t="shared" si="117"/>
        <v>102235.83855812903</v>
      </c>
      <c r="L155" s="577">
        <f t="shared" si="117"/>
        <v>113181.6121435958</v>
      </c>
      <c r="M155" s="577">
        <f t="shared" si="117"/>
        <v>124131.81808182244</v>
      </c>
      <c r="N155" s="577">
        <f t="shared" si="117"/>
        <v>135084.90437186838</v>
      </c>
      <c r="O155" s="577">
        <f t="shared" si="117"/>
        <v>146033.70942579003</v>
      </c>
      <c r="P155" s="577">
        <f t="shared" si="117"/>
        <v>156996.63005839172</v>
      </c>
      <c r="Q155" s="577">
        <f t="shared" si="117"/>
        <v>170001.38414748866</v>
      </c>
      <c r="R155" s="577">
        <f t="shared" si="117"/>
        <v>183029.8985494978</v>
      </c>
      <c r="S155" s="577">
        <f t="shared" si="117"/>
        <v>196093.3577533332</v>
      </c>
      <c r="T155" s="577">
        <f t="shared" si="117"/>
        <v>209228.23102901559</v>
      </c>
      <c r="U155" s="577">
        <f t="shared" si="117"/>
        <v>222503.15691066126</v>
      </c>
      <c r="V155" s="577">
        <f t="shared" si="117"/>
        <v>230670.18898881238</v>
      </c>
      <c r="W155" s="577">
        <f t="shared" si="117"/>
        <v>235953.73174040724</v>
      </c>
      <c r="X155" s="577">
        <f t="shared" si="117"/>
        <v>241291.37292536002</v>
      </c>
      <c r="Y155" s="577">
        <f t="shared" si="117"/>
        <v>246694.54114983851</v>
      </c>
      <c r="Z155" s="577">
        <f t="shared" si="117"/>
        <v>252180.45648186444</v>
      </c>
      <c r="AA155" s="577">
        <f t="shared" si="117"/>
        <v>257757.74990479107</v>
      </c>
      <c r="AB155" s="577">
        <f t="shared" si="117"/>
        <v>263452.66013114422</v>
      </c>
      <c r="AC155" s="577">
        <f t="shared" si="117"/>
        <v>269279.56551538658</v>
      </c>
      <c r="AD155" s="577">
        <f t="shared" si="117"/>
        <v>275267.90348323324</v>
      </c>
      <c r="AE155" s="577">
        <f t="shared" si="117"/>
        <v>281451.77825497329</v>
      </c>
      <c r="AF155" s="577">
        <f t="shared" si="117"/>
        <v>287857.67447309586</v>
      </c>
      <c r="AG155" s="577">
        <f t="shared" si="117"/>
        <v>294529.88093549071</v>
      </c>
      <c r="AH155" s="752">
        <f t="shared" si="117"/>
        <v>301519.6490632958</v>
      </c>
      <c r="AI155" s="18"/>
      <c r="AJ155" s="18"/>
      <c r="AK155" s="18"/>
      <c r="AL155" s="18"/>
      <c r="AM155" s="18"/>
      <c r="AN155" s="18"/>
    </row>
    <row r="156" spans="2:41" ht="21.95" customHeight="1" x14ac:dyDescent="0.2">
      <c r="B156" s="486"/>
      <c r="C156" s="715"/>
      <c r="D156" s="715"/>
      <c r="E156" s="1339"/>
      <c r="F156" s="116"/>
      <c r="G156" s="116"/>
      <c r="H156" s="124" t="s">
        <v>19</v>
      </c>
      <c r="I156" s="577">
        <f t="shared" ref="I156:AH156" si="118">I65*$D$12</f>
        <v>193856.79798629624</v>
      </c>
      <c r="J156" s="577">
        <f t="shared" si="118"/>
        <v>204595.79847354087</v>
      </c>
      <c r="K156" s="577">
        <f t="shared" si="118"/>
        <v>217049.41228998546</v>
      </c>
      <c r="L156" s="577">
        <f t="shared" si="118"/>
        <v>240287.58157867374</v>
      </c>
      <c r="M156" s="577">
        <f t="shared" si="118"/>
        <v>263535.1608704995</v>
      </c>
      <c r="N156" s="577">
        <f t="shared" si="118"/>
        <v>286788.85522606794</v>
      </c>
      <c r="O156" s="577">
        <f t="shared" si="118"/>
        <v>310033.4604031471</v>
      </c>
      <c r="P156" s="577">
        <f t="shared" si="118"/>
        <v>333308.03333028185</v>
      </c>
      <c r="Q156" s="577">
        <f t="shared" si="118"/>
        <v>360917.47314926825</v>
      </c>
      <c r="R156" s="577">
        <f t="shared" si="118"/>
        <v>388577.35674634814</v>
      </c>
      <c r="S156" s="577">
        <f t="shared" si="118"/>
        <v>416311.42908982013</v>
      </c>
      <c r="T156" s="577">
        <f t="shared" si="118"/>
        <v>444197.11541271687</v>
      </c>
      <c r="U156" s="577">
        <f t="shared" si="118"/>
        <v>472380.13715382636</v>
      </c>
      <c r="V156" s="577">
        <f t="shared" si="118"/>
        <v>489718.96410254133</v>
      </c>
      <c r="W156" s="577">
        <f t="shared" si="118"/>
        <v>500936.06629699963</v>
      </c>
      <c r="X156" s="577">
        <f t="shared" si="118"/>
        <v>512268.02090849431</v>
      </c>
      <c r="Y156" s="577">
        <f t="shared" si="118"/>
        <v>523739.09117276553</v>
      </c>
      <c r="Z156" s="577">
        <f t="shared" si="118"/>
        <v>535385.83575355005</v>
      </c>
      <c r="AA156" s="577">
        <f t="shared" si="118"/>
        <v>547226.57845872897</v>
      </c>
      <c r="AB156" s="577">
        <f t="shared" si="118"/>
        <v>559317.02477488434</v>
      </c>
      <c r="AC156" s="577">
        <f t="shared" si="118"/>
        <v>571687.70033206732</v>
      </c>
      <c r="AD156" s="577">
        <f t="shared" si="118"/>
        <v>584401.10157028283</v>
      </c>
      <c r="AE156" s="577">
        <f t="shared" si="118"/>
        <v>597529.63265889825</v>
      </c>
      <c r="AF156" s="577">
        <f t="shared" si="118"/>
        <v>611129.52120036702</v>
      </c>
      <c r="AG156" s="577">
        <f t="shared" si="118"/>
        <v>625294.79349396506</v>
      </c>
      <c r="AH156" s="752">
        <f t="shared" si="118"/>
        <v>640134.25767384528</v>
      </c>
      <c r="AI156" s="18"/>
      <c r="AJ156" s="18"/>
      <c r="AK156" s="18"/>
      <c r="AL156" s="18"/>
      <c r="AM156" s="18"/>
      <c r="AN156" s="18"/>
    </row>
    <row r="157" spans="2:41" ht="21.95" customHeight="1" x14ac:dyDescent="0.2">
      <c r="B157" s="486"/>
      <c r="C157" s="715"/>
      <c r="D157" s="715"/>
      <c r="E157" s="1339"/>
      <c r="F157" s="116"/>
      <c r="G157" s="116"/>
      <c r="H157" s="720" t="s">
        <v>25</v>
      </c>
      <c r="I157" s="577">
        <f t="shared" ref="I157" si="119">SUM(I155:I156)</f>
        <v>285168.3205249696</v>
      </c>
      <c r="J157" s="577">
        <f t="shared" ref="J157" si="120">SUM(J155:J156)</f>
        <v>300965.66560069332</v>
      </c>
      <c r="K157" s="577">
        <f t="shared" ref="K157" si="121">SUM(K155:K156)</f>
        <v>319285.25084811449</v>
      </c>
      <c r="L157" s="577">
        <f t="shared" ref="L157" si="122">SUM(L155:L156)</f>
        <v>353469.19372226956</v>
      </c>
      <c r="M157" s="577">
        <f t="shared" ref="M157" si="123">SUM(M155:M156)</f>
        <v>387666.97895232192</v>
      </c>
      <c r="N157" s="577">
        <f t="shared" ref="N157" si="124">SUM(N155:N156)</f>
        <v>421873.7595979363</v>
      </c>
      <c r="O157" s="577">
        <f t="shared" ref="O157" si="125">SUM(O155:O156)</f>
        <v>456067.16982893716</v>
      </c>
      <c r="P157" s="577">
        <f t="shared" ref="P157" si="126">SUM(P155:P156)</f>
        <v>490304.66338867357</v>
      </c>
      <c r="Q157" s="577">
        <f t="shared" ref="Q157" si="127">SUM(Q155:Q156)</f>
        <v>530918.85729675693</v>
      </c>
      <c r="R157" s="577">
        <f t="shared" ref="R157" si="128">SUM(R155:R156)</f>
        <v>571607.25529584591</v>
      </c>
      <c r="S157" s="577">
        <f t="shared" ref="S157" si="129">SUM(S155:S156)</f>
        <v>612404.7868431533</v>
      </c>
      <c r="T157" s="577">
        <f t="shared" ref="T157" si="130">SUM(T155:T156)</f>
        <v>653425.34644173249</v>
      </c>
      <c r="U157" s="577">
        <f t="shared" ref="U157" si="131">SUM(U155:U156)</f>
        <v>694883.29406448756</v>
      </c>
      <c r="V157" s="577">
        <f t="shared" ref="V157" si="132">SUM(V155:V156)</f>
        <v>720389.15309135371</v>
      </c>
      <c r="W157" s="577">
        <f t="shared" ref="W157" si="133">SUM(W155:W156)</f>
        <v>736889.79803740687</v>
      </c>
      <c r="X157" s="577">
        <f t="shared" ref="X157" si="134">SUM(X155:X156)</f>
        <v>753559.39383385435</v>
      </c>
      <c r="Y157" s="577">
        <f t="shared" ref="Y157" si="135">SUM(Y155:Y156)</f>
        <v>770433.63232260407</v>
      </c>
      <c r="Z157" s="577">
        <f t="shared" ref="Z157" si="136">SUM(Z155:Z156)</f>
        <v>787566.2922354145</v>
      </c>
      <c r="AA157" s="577">
        <f t="shared" ref="AA157" si="137">SUM(AA155:AA156)</f>
        <v>804984.32836352009</v>
      </c>
      <c r="AB157" s="577">
        <f t="shared" ref="AB157" si="138">SUM(AB155:AB156)</f>
        <v>822769.68490602856</v>
      </c>
      <c r="AC157" s="577">
        <f t="shared" ref="AC157" si="139">SUM(AC155:AC156)</f>
        <v>840967.26584745385</v>
      </c>
      <c r="AD157" s="577">
        <f t="shared" ref="AD157" si="140">SUM(AD155:AD156)</f>
        <v>859669.00505351601</v>
      </c>
      <c r="AE157" s="577">
        <f t="shared" ref="AE157" si="141">SUM(AE155:AE156)</f>
        <v>878981.4109138716</v>
      </c>
      <c r="AF157" s="577">
        <f t="shared" ref="AF157" si="142">SUM(AF155:AF156)</f>
        <v>898987.19567346293</v>
      </c>
      <c r="AG157" s="577">
        <f t="shared" ref="AG157" si="143">SUM(AG155:AG156)</f>
        <v>919824.67442945577</v>
      </c>
      <c r="AH157" s="752">
        <f t="shared" ref="AH157" si="144">SUM(AH155:AH156)</f>
        <v>941653.90673714108</v>
      </c>
      <c r="AI157" s="18"/>
      <c r="AJ157" s="18"/>
      <c r="AK157" s="18"/>
      <c r="AL157" s="18"/>
      <c r="AM157" s="18"/>
      <c r="AN157" s="18"/>
    </row>
    <row r="158" spans="2:41" ht="21.95" customHeight="1" x14ac:dyDescent="0.2">
      <c r="B158" s="486"/>
      <c r="C158" s="715"/>
      <c r="D158" s="715"/>
      <c r="E158" s="1339"/>
      <c r="F158" s="116" t="s">
        <v>280</v>
      </c>
      <c r="G158" s="116" t="s">
        <v>333</v>
      </c>
      <c r="H158" s="116" t="s">
        <v>20</v>
      </c>
      <c r="I158" s="577">
        <f t="shared" ref="I158:AH158" si="145">I67*$D$11</f>
        <v>2129.7737071876254</v>
      </c>
      <c r="J158" s="577">
        <f t="shared" si="145"/>
        <v>2218.709630098399</v>
      </c>
      <c r="K158" s="577">
        <f t="shared" si="145"/>
        <v>2328.7836791877257</v>
      </c>
      <c r="L158" s="577">
        <f t="shared" si="145"/>
        <v>2476.9810204789037</v>
      </c>
      <c r="M158" s="577">
        <f t="shared" si="145"/>
        <v>2625.2320995043146</v>
      </c>
      <c r="N158" s="577">
        <f t="shared" si="145"/>
        <v>2773.4662604444911</v>
      </c>
      <c r="O158" s="577">
        <f t="shared" si="145"/>
        <v>2921.6662824069867</v>
      </c>
      <c r="P158" s="577">
        <f t="shared" si="145"/>
        <v>3069.9749632358817</v>
      </c>
      <c r="Q158" s="577">
        <f t="shared" si="145"/>
        <v>3213.6721740955413</v>
      </c>
      <c r="R158" s="577">
        <f t="shared" si="145"/>
        <v>3357.4274162837241</v>
      </c>
      <c r="S158" s="577">
        <f t="shared" si="145"/>
        <v>3501.1364914673341</v>
      </c>
      <c r="T158" s="577">
        <f t="shared" si="145"/>
        <v>3644.8558830678517</v>
      </c>
      <c r="U158" s="577">
        <f t="shared" si="145"/>
        <v>3788.6966087476926</v>
      </c>
      <c r="V158" s="577">
        <f t="shared" si="145"/>
        <v>3894.2554624809945</v>
      </c>
      <c r="W158" s="577">
        <f t="shared" si="145"/>
        <v>3983.2413434086866</v>
      </c>
      <c r="X158" s="577">
        <f t="shared" si="145"/>
        <v>4072.2397511727409</v>
      </c>
      <c r="Y158" s="577">
        <f t="shared" si="145"/>
        <v>4161.2534382482063</v>
      </c>
      <c r="Z158" s="577">
        <f t="shared" si="145"/>
        <v>4250.3212209788535</v>
      </c>
      <c r="AA158" s="577">
        <f t="shared" si="145"/>
        <v>4339.3759194522972</v>
      </c>
      <c r="AB158" s="577">
        <f t="shared" si="145"/>
        <v>4428.4932214512928</v>
      </c>
      <c r="AC158" s="577">
        <f t="shared" si="145"/>
        <v>4517.6074348730945</v>
      </c>
      <c r="AD158" s="577">
        <f t="shared" si="145"/>
        <v>4606.7604669727498</v>
      </c>
      <c r="AE158" s="577">
        <f t="shared" si="145"/>
        <v>4695.9953720549947</v>
      </c>
      <c r="AF158" s="577">
        <f t="shared" si="145"/>
        <v>4785.2496355217045</v>
      </c>
      <c r="AG158" s="577">
        <f t="shared" si="145"/>
        <v>4874.5689549650233</v>
      </c>
      <c r="AH158" s="752">
        <f t="shared" si="145"/>
        <v>4964.0007530211078</v>
      </c>
      <c r="AI158" s="18"/>
      <c r="AJ158" s="18"/>
      <c r="AK158" s="18"/>
      <c r="AL158" s="18"/>
      <c r="AM158" s="18"/>
      <c r="AN158" s="18"/>
    </row>
    <row r="159" spans="2:41" ht="21.95" customHeight="1" x14ac:dyDescent="0.2">
      <c r="B159" s="486"/>
      <c r="C159" s="715"/>
      <c r="D159" s="715"/>
      <c r="E159" s="1339"/>
      <c r="F159" s="116"/>
      <c r="G159" s="116"/>
      <c r="H159" s="124" t="s">
        <v>19</v>
      </c>
      <c r="I159" s="577">
        <f t="shared" ref="I159:AH159" si="146">I68*$D$12</f>
        <v>4521.5663897832019</v>
      </c>
      <c r="J159" s="577">
        <f t="shared" si="146"/>
        <v>4710.3797263928991</v>
      </c>
      <c r="K159" s="577">
        <f t="shared" si="146"/>
        <v>4944.0698687164577</v>
      </c>
      <c r="L159" s="577">
        <f t="shared" si="146"/>
        <v>5258.6967772823755</v>
      </c>
      <c r="M159" s="577">
        <f t="shared" si="146"/>
        <v>5573.4377724914693</v>
      </c>
      <c r="N159" s="577">
        <f t="shared" si="146"/>
        <v>5888.1428501543369</v>
      </c>
      <c r="O159" s="577">
        <f t="shared" si="146"/>
        <v>6202.7754498569675</v>
      </c>
      <c r="P159" s="577">
        <f t="shared" si="146"/>
        <v>6517.6387352313222</v>
      </c>
      <c r="Q159" s="577">
        <f t="shared" si="146"/>
        <v>6822.7117468549886</v>
      </c>
      <c r="R159" s="577">
        <f t="shared" si="146"/>
        <v>7127.9079605370307</v>
      </c>
      <c r="S159" s="577">
        <f t="shared" si="146"/>
        <v>7433.0061604369102</v>
      </c>
      <c r="T159" s="577">
        <f t="shared" si="146"/>
        <v>7738.1262623650637</v>
      </c>
      <c r="U159" s="577">
        <f t="shared" si="146"/>
        <v>8043.5039597800769</v>
      </c>
      <c r="V159" s="577">
        <f t="shared" si="146"/>
        <v>8267.6082219248128</v>
      </c>
      <c r="W159" s="577">
        <f t="shared" si="146"/>
        <v>8456.5276207370043</v>
      </c>
      <c r="X159" s="577">
        <f t="shared" si="146"/>
        <v>8645.4736143569353</v>
      </c>
      <c r="Y159" s="577">
        <f t="shared" si="146"/>
        <v>8834.4520463625522</v>
      </c>
      <c r="Z159" s="577">
        <f t="shared" si="146"/>
        <v>9023.5453248870599</v>
      </c>
      <c r="AA159" s="577">
        <f t="shared" si="146"/>
        <v>9212.6108251845162</v>
      </c>
      <c r="AB159" s="577">
        <f t="shared" si="146"/>
        <v>9401.809234436605</v>
      </c>
      <c r="AC159" s="577">
        <f t="shared" si="146"/>
        <v>9591.0010865569257</v>
      </c>
      <c r="AD159" s="577">
        <f t="shared" si="146"/>
        <v>9780.2753517657729</v>
      </c>
      <c r="AE159" s="577">
        <f t="shared" si="146"/>
        <v>9969.7234355005348</v>
      </c>
      <c r="AF159" s="577">
        <f t="shared" si="146"/>
        <v>10159.212617601877</v>
      </c>
      <c r="AG159" s="577">
        <f t="shared" si="146"/>
        <v>10348.839915276862</v>
      </c>
      <c r="AH159" s="752">
        <f t="shared" si="146"/>
        <v>10538.706008046991</v>
      </c>
      <c r="AI159" s="18"/>
      <c r="AJ159" s="18"/>
      <c r="AK159" s="18"/>
      <c r="AL159" s="18"/>
      <c r="AM159" s="18"/>
      <c r="AN159" s="18"/>
    </row>
    <row r="160" spans="2:41" ht="21.95" customHeight="1" x14ac:dyDescent="0.2">
      <c r="B160" s="232"/>
      <c r="C160" s="715"/>
      <c r="D160" s="715"/>
      <c r="E160" s="1339"/>
      <c r="F160" s="116"/>
      <c r="G160" s="116"/>
      <c r="H160" s="721" t="s">
        <v>25</v>
      </c>
      <c r="I160" s="577">
        <f t="shared" ref="I160" si="147">SUM(I158:I159)</f>
        <v>6651.3400969708273</v>
      </c>
      <c r="J160" s="577">
        <f t="shared" ref="J160" si="148">SUM(J158:J159)</f>
        <v>6929.0893564912985</v>
      </c>
      <c r="K160" s="577">
        <f t="shared" ref="K160" si="149">SUM(K158:K159)</f>
        <v>7272.8535479041839</v>
      </c>
      <c r="L160" s="577">
        <f t="shared" ref="L160" si="150">SUM(L158:L159)</f>
        <v>7735.6777977612792</v>
      </c>
      <c r="M160" s="577">
        <f t="shared" ref="M160" si="151">SUM(M158:M159)</f>
        <v>8198.669871995784</v>
      </c>
      <c r="N160" s="577">
        <f t="shared" ref="N160" si="152">SUM(N158:N159)</f>
        <v>8661.6091105988271</v>
      </c>
      <c r="O160" s="577">
        <f t="shared" ref="O160" si="153">SUM(O158:O159)</f>
        <v>9124.4417322639547</v>
      </c>
      <c r="P160" s="577">
        <f t="shared" ref="P160" si="154">SUM(P158:P159)</f>
        <v>9587.6136984672048</v>
      </c>
      <c r="Q160" s="577">
        <f t="shared" ref="Q160" si="155">SUM(Q158:Q159)</f>
        <v>10036.38392095053</v>
      </c>
      <c r="R160" s="577">
        <f t="shared" ref="R160" si="156">SUM(R158:R159)</f>
        <v>10485.335376820754</v>
      </c>
      <c r="S160" s="577">
        <f t="shared" ref="S160" si="157">SUM(S158:S159)</f>
        <v>10934.142651904243</v>
      </c>
      <c r="T160" s="577">
        <f t="shared" ref="T160" si="158">SUM(T158:T159)</f>
        <v>11382.982145432916</v>
      </c>
      <c r="U160" s="577">
        <f t="shared" ref="U160" si="159">SUM(U158:U159)</f>
        <v>11832.200568527769</v>
      </c>
      <c r="V160" s="577">
        <f t="shared" ref="V160" si="160">SUM(V158:V159)</f>
        <v>12161.863684405807</v>
      </c>
      <c r="W160" s="577">
        <f t="shared" ref="W160" si="161">SUM(W158:W159)</f>
        <v>12439.768964145691</v>
      </c>
      <c r="X160" s="577">
        <f t="shared" ref="X160" si="162">SUM(X158:X159)</f>
        <v>12717.713365529677</v>
      </c>
      <c r="Y160" s="577">
        <f t="shared" ref="Y160" si="163">SUM(Y158:Y159)</f>
        <v>12995.705484610759</v>
      </c>
      <c r="Z160" s="577">
        <f t="shared" ref="Z160" si="164">SUM(Z158:Z159)</f>
        <v>13273.866545865912</v>
      </c>
      <c r="AA160" s="577">
        <f t="shared" ref="AA160" si="165">SUM(AA158:AA159)</f>
        <v>13551.986744636813</v>
      </c>
      <c r="AB160" s="577">
        <f t="shared" ref="AB160" si="166">SUM(AB158:AB159)</f>
        <v>13830.302455887897</v>
      </c>
      <c r="AC160" s="577">
        <f t="shared" ref="AC160" si="167">SUM(AC158:AC159)</f>
        <v>14108.60852143002</v>
      </c>
      <c r="AD160" s="577">
        <f t="shared" ref="AD160" si="168">SUM(AD158:AD159)</f>
        <v>14387.035818738523</v>
      </c>
      <c r="AE160" s="577">
        <f t="shared" ref="AE160" si="169">SUM(AE158:AE159)</f>
        <v>14665.71880755553</v>
      </c>
      <c r="AF160" s="577">
        <f t="shared" ref="AF160" si="170">SUM(AF158:AF159)</f>
        <v>14944.462253123582</v>
      </c>
      <c r="AG160" s="577">
        <f t="shared" ref="AG160" si="171">SUM(AG158:AG159)</f>
        <v>15223.408870241885</v>
      </c>
      <c r="AH160" s="752">
        <f t="shared" ref="AH160" si="172">SUM(AH158:AH159)</f>
        <v>15502.706761068099</v>
      </c>
      <c r="AI160" s="18"/>
      <c r="AJ160" s="18"/>
      <c r="AK160" s="18"/>
      <c r="AL160" s="18"/>
      <c r="AM160" s="18"/>
      <c r="AN160" s="18"/>
    </row>
    <row r="161" spans="2:40" ht="21.95" customHeight="1" x14ac:dyDescent="0.2">
      <c r="B161" s="232"/>
      <c r="C161" s="715"/>
      <c r="D161" s="715"/>
      <c r="E161" s="1340" t="s">
        <v>280</v>
      </c>
      <c r="F161" s="220" t="s">
        <v>281</v>
      </c>
      <c r="G161" s="220" t="s">
        <v>335</v>
      </c>
      <c r="H161" s="116" t="s">
        <v>20</v>
      </c>
      <c r="I161" s="577">
        <f t="shared" ref="I161:AH161" si="173">I70*$D$11</f>
        <v>21228.695270395223</v>
      </c>
      <c r="J161" s="577">
        <f t="shared" si="173"/>
        <v>23549.067321861494</v>
      </c>
      <c r="K161" s="577">
        <f t="shared" si="173"/>
        <v>26007.436053242141</v>
      </c>
      <c r="L161" s="577">
        <f t="shared" si="173"/>
        <v>33870.534291887438</v>
      </c>
      <c r="M161" s="577">
        <f t="shared" si="173"/>
        <v>44048.647013187627</v>
      </c>
      <c r="N161" s="577">
        <f t="shared" si="173"/>
        <v>67423.677314522502</v>
      </c>
      <c r="O161" s="577">
        <f t="shared" si="173"/>
        <v>147664.89133934223</v>
      </c>
      <c r="P161" s="577">
        <f t="shared" si="173"/>
        <v>167557.32928610666</v>
      </c>
      <c r="Q161" s="577">
        <f t="shared" si="173"/>
        <v>194254.58313968458</v>
      </c>
      <c r="R161" s="577">
        <f t="shared" si="173"/>
        <v>220984.53215256354</v>
      </c>
      <c r="S161" s="577">
        <f t="shared" si="173"/>
        <v>247775.55673007929</v>
      </c>
      <c r="T161" s="577">
        <f t="shared" si="173"/>
        <v>274790.53390804969</v>
      </c>
      <c r="U161" s="577">
        <f t="shared" si="173"/>
        <v>302449.30162083014</v>
      </c>
      <c r="V161" s="577">
        <f t="shared" si="173"/>
        <v>317956.20963383507</v>
      </c>
      <c r="W161" s="577">
        <f t="shared" si="173"/>
        <v>326109.87173218175</v>
      </c>
      <c r="X161" s="577">
        <f t="shared" si="173"/>
        <v>333529.83378357638</v>
      </c>
      <c r="Y161" s="577">
        <f t="shared" si="173"/>
        <v>341229.78437956603</v>
      </c>
      <c r="Z161" s="577">
        <f t="shared" si="173"/>
        <v>349271.24239483598</v>
      </c>
      <c r="AA161" s="577">
        <f t="shared" si="173"/>
        <v>357697.61838955397</v>
      </c>
      <c r="AB161" s="577">
        <f t="shared" si="173"/>
        <v>366591.42581565294</v>
      </c>
      <c r="AC161" s="577">
        <f t="shared" si="173"/>
        <v>376020.57702872017</v>
      </c>
      <c r="AD161" s="577">
        <f t="shared" si="173"/>
        <v>386077.33025826252</v>
      </c>
      <c r="AE161" s="577">
        <f t="shared" si="173"/>
        <v>396882.07940434251</v>
      </c>
      <c r="AF161" s="577">
        <f t="shared" si="173"/>
        <v>408543.62173368235</v>
      </c>
      <c r="AG161" s="577">
        <f t="shared" si="173"/>
        <v>421194.29225950112</v>
      </c>
      <c r="AH161" s="752">
        <f t="shared" si="173"/>
        <v>435010.02891407342</v>
      </c>
      <c r="AI161" s="18"/>
      <c r="AJ161" s="18"/>
      <c r="AK161" s="18"/>
      <c r="AL161" s="18"/>
      <c r="AM161" s="18"/>
      <c r="AN161" s="18"/>
    </row>
    <row r="162" spans="2:40" ht="21.95" customHeight="1" x14ac:dyDescent="0.2">
      <c r="B162" s="232"/>
      <c r="C162" s="715"/>
      <c r="D162" s="715"/>
      <c r="E162" s="1340"/>
      <c r="F162" s="116"/>
      <c r="G162" s="116"/>
      <c r="H162" s="124" t="s">
        <v>19</v>
      </c>
      <c r="I162" s="577">
        <f t="shared" ref="I162:AH162" si="174">I71*$D$12</f>
        <v>50847.17430034784</v>
      </c>
      <c r="J162" s="577">
        <f t="shared" si="174"/>
        <v>56404.951669129325</v>
      </c>
      <c r="K162" s="577">
        <f t="shared" si="174"/>
        <v>62293.26000776561</v>
      </c>
      <c r="L162" s="577">
        <f t="shared" si="174"/>
        <v>81127.028244041765</v>
      </c>
      <c r="M162" s="577">
        <f t="shared" si="174"/>
        <v>105505.7413489524</v>
      </c>
      <c r="N162" s="577">
        <f t="shared" si="174"/>
        <v>161493.83787909581</v>
      </c>
      <c r="O162" s="577">
        <f t="shared" si="174"/>
        <v>353688.36248944246</v>
      </c>
      <c r="P162" s="577">
        <f t="shared" si="174"/>
        <v>401334.9204457645</v>
      </c>
      <c r="Q162" s="577">
        <f t="shared" si="174"/>
        <v>465280.43865792715</v>
      </c>
      <c r="R162" s="577">
        <f t="shared" si="174"/>
        <v>529304.2686288947</v>
      </c>
      <c r="S162" s="577">
        <f t="shared" si="174"/>
        <v>593474.38737743546</v>
      </c>
      <c r="T162" s="577">
        <f t="shared" si="174"/>
        <v>658180.9195402388</v>
      </c>
      <c r="U162" s="577">
        <f t="shared" si="174"/>
        <v>724429.46496007219</v>
      </c>
      <c r="V162" s="577">
        <f t="shared" si="174"/>
        <v>761571.75960200024</v>
      </c>
      <c r="W162" s="577">
        <f t="shared" si="174"/>
        <v>781101.48917887849</v>
      </c>
      <c r="X162" s="577">
        <f t="shared" si="174"/>
        <v>798873.85337383568</v>
      </c>
      <c r="Y162" s="577">
        <f t="shared" si="174"/>
        <v>817316.8488133318</v>
      </c>
      <c r="Z162" s="577">
        <f t="shared" si="174"/>
        <v>836577.82609541551</v>
      </c>
      <c r="AA162" s="577">
        <f t="shared" si="174"/>
        <v>856760.76260971022</v>
      </c>
      <c r="AB162" s="577">
        <f t="shared" si="174"/>
        <v>878063.29536683345</v>
      </c>
      <c r="AC162" s="577">
        <f t="shared" si="174"/>
        <v>900648.0886915453</v>
      </c>
      <c r="AD162" s="577">
        <f t="shared" si="174"/>
        <v>924736.12037907192</v>
      </c>
      <c r="AE162" s="577">
        <f t="shared" si="174"/>
        <v>950615.75905231747</v>
      </c>
      <c r="AF162" s="577">
        <f t="shared" si="174"/>
        <v>978547.59696690389</v>
      </c>
      <c r="AG162" s="577">
        <f t="shared" si="174"/>
        <v>1008848.604214374</v>
      </c>
      <c r="AH162" s="752">
        <f t="shared" si="174"/>
        <v>1041940.1890157448</v>
      </c>
      <c r="AI162" s="18"/>
      <c r="AJ162" s="18"/>
      <c r="AK162" s="18"/>
      <c r="AL162" s="18"/>
      <c r="AM162" s="18"/>
      <c r="AN162" s="18"/>
    </row>
    <row r="163" spans="2:40" ht="21.95" customHeight="1" x14ac:dyDescent="0.2">
      <c r="B163" s="232"/>
      <c r="C163" s="715"/>
      <c r="D163" s="715"/>
      <c r="E163" s="1340"/>
      <c r="F163" s="116"/>
      <c r="G163" s="116"/>
      <c r="H163" s="720" t="s">
        <v>25</v>
      </c>
      <c r="I163" s="577">
        <f t="shared" ref="I163" si="175">SUM(I161:I162)</f>
        <v>72075.86957074306</v>
      </c>
      <c r="J163" s="577">
        <f t="shared" ref="J163" si="176">SUM(J161:J162)</f>
        <v>79954.018990990822</v>
      </c>
      <c r="K163" s="577">
        <f t="shared" ref="K163" si="177">SUM(K161:K162)</f>
        <v>88300.696061007751</v>
      </c>
      <c r="L163" s="577">
        <f t="shared" ref="L163" si="178">SUM(L161:L162)</f>
        <v>114997.5625359292</v>
      </c>
      <c r="M163" s="577">
        <f t="shared" ref="M163" si="179">SUM(M161:M162)</f>
        <v>149554.38836214005</v>
      </c>
      <c r="N163" s="577">
        <f t="shared" ref="N163" si="180">SUM(N161:N162)</f>
        <v>228917.51519361831</v>
      </c>
      <c r="O163" s="577">
        <f t="shared" ref="O163" si="181">SUM(O161:O162)</f>
        <v>501353.25382878468</v>
      </c>
      <c r="P163" s="577">
        <f t="shared" ref="P163" si="182">SUM(P161:P162)</f>
        <v>568892.24973187118</v>
      </c>
      <c r="Q163" s="577">
        <f t="shared" ref="Q163" si="183">SUM(Q161:Q162)</f>
        <v>659535.02179761173</v>
      </c>
      <c r="R163" s="577">
        <f t="shared" ref="R163" si="184">SUM(R161:R162)</f>
        <v>750288.80078145827</v>
      </c>
      <c r="S163" s="577">
        <f t="shared" ref="S163" si="185">SUM(S161:S162)</f>
        <v>841249.94410751481</v>
      </c>
      <c r="T163" s="577">
        <f t="shared" ref="T163" si="186">SUM(T161:T162)</f>
        <v>932971.45344828849</v>
      </c>
      <c r="U163" s="577">
        <f t="shared" ref="U163" si="187">SUM(U161:U162)</f>
        <v>1026878.7665809023</v>
      </c>
      <c r="V163" s="577">
        <f t="shared" ref="V163" si="188">SUM(V161:V162)</f>
        <v>1079527.9692358354</v>
      </c>
      <c r="W163" s="577">
        <f t="shared" ref="W163" si="189">SUM(W161:W162)</f>
        <v>1107211.3609110601</v>
      </c>
      <c r="X163" s="577">
        <f t="shared" ref="X163" si="190">SUM(X161:X162)</f>
        <v>1132403.6871574121</v>
      </c>
      <c r="Y163" s="577">
        <f t="shared" ref="Y163" si="191">SUM(Y161:Y162)</f>
        <v>1158546.6331928978</v>
      </c>
      <c r="Z163" s="577">
        <f t="shared" ref="Z163" si="192">SUM(Z161:Z162)</f>
        <v>1185849.0684902514</v>
      </c>
      <c r="AA163" s="577">
        <f t="shared" ref="AA163" si="193">SUM(AA161:AA162)</f>
        <v>1214458.3809992643</v>
      </c>
      <c r="AB163" s="577">
        <f t="shared" ref="AB163" si="194">SUM(AB161:AB162)</f>
        <v>1244654.7211824865</v>
      </c>
      <c r="AC163" s="577">
        <f t="shared" ref="AC163" si="195">SUM(AC161:AC162)</f>
        <v>1276668.6657202654</v>
      </c>
      <c r="AD163" s="577">
        <f t="shared" ref="AD163" si="196">SUM(AD161:AD162)</f>
        <v>1310813.4506373345</v>
      </c>
      <c r="AE163" s="577">
        <f t="shared" ref="AE163" si="197">SUM(AE161:AE162)</f>
        <v>1347497.83845666</v>
      </c>
      <c r="AF163" s="577">
        <f t="shared" ref="AF163" si="198">SUM(AF161:AF162)</f>
        <v>1387091.2187005864</v>
      </c>
      <c r="AG163" s="577">
        <f t="shared" ref="AG163" si="199">SUM(AG161:AG162)</f>
        <v>1430042.896473875</v>
      </c>
      <c r="AH163" s="752">
        <f t="shared" ref="AH163" si="200">SUM(AH161:AH162)</f>
        <v>1476950.2179298182</v>
      </c>
      <c r="AI163" s="18"/>
      <c r="AJ163" s="18"/>
      <c r="AK163" s="18"/>
      <c r="AL163" s="18"/>
      <c r="AM163" s="18"/>
      <c r="AN163" s="18"/>
    </row>
    <row r="164" spans="2:40" ht="21.95" customHeight="1" x14ac:dyDescent="0.2">
      <c r="B164" s="232"/>
      <c r="C164" s="715"/>
      <c r="D164" s="715"/>
      <c r="E164" s="1340"/>
      <c r="F164" s="116" t="s">
        <v>335</v>
      </c>
      <c r="G164" s="116" t="s">
        <v>323</v>
      </c>
      <c r="H164" s="116" t="s">
        <v>20</v>
      </c>
      <c r="I164" s="577">
        <f t="shared" ref="I164:AH164" si="201">I73*$D$11</f>
        <v>2955.3956340115947</v>
      </c>
      <c r="J164" s="577">
        <f t="shared" si="201"/>
        <v>3348.1232224152468</v>
      </c>
      <c r="K164" s="577">
        <f t="shared" si="201"/>
        <v>3741.1080788143704</v>
      </c>
      <c r="L164" s="577">
        <f t="shared" si="201"/>
        <v>5071.3106021256935</v>
      </c>
      <c r="M164" s="577">
        <f t="shared" si="201"/>
        <v>6408.851674893288</v>
      </c>
      <c r="N164" s="577">
        <f t="shared" si="201"/>
        <v>7798.146877459546</v>
      </c>
      <c r="O164" s="577">
        <f t="shared" si="201"/>
        <v>9442.5116970502604</v>
      </c>
      <c r="P164" s="577">
        <f t="shared" si="201"/>
        <v>12113.828646739163</v>
      </c>
      <c r="Q164" s="577">
        <f t="shared" si="201"/>
        <v>24839.618518502481</v>
      </c>
      <c r="R164" s="577">
        <f t="shared" si="201"/>
        <v>33237.401207667164</v>
      </c>
      <c r="S164" s="577">
        <f t="shared" si="201"/>
        <v>37929.172788281336</v>
      </c>
      <c r="T164" s="577">
        <f t="shared" si="201"/>
        <v>42623.738296794443</v>
      </c>
      <c r="U164" s="577">
        <f t="shared" si="201"/>
        <v>47331.528852007345</v>
      </c>
      <c r="V164" s="577">
        <f t="shared" si="201"/>
        <v>49904.179282464611</v>
      </c>
      <c r="W164" s="577">
        <f t="shared" si="201"/>
        <v>50842.463596216614</v>
      </c>
      <c r="X164" s="577">
        <f t="shared" si="201"/>
        <v>51763.143131006873</v>
      </c>
      <c r="Y164" s="577">
        <f t="shared" si="201"/>
        <v>52687.536857696592</v>
      </c>
      <c r="Z164" s="577">
        <f t="shared" si="201"/>
        <v>53616.848183167531</v>
      </c>
      <c r="AA164" s="577">
        <f t="shared" si="201"/>
        <v>54550.694919743284</v>
      </c>
      <c r="AB164" s="577">
        <f t="shared" si="201"/>
        <v>55491.013973441732</v>
      </c>
      <c r="AC164" s="577">
        <f t="shared" si="201"/>
        <v>56437.675068679288</v>
      </c>
      <c r="AD164" s="577">
        <f t="shared" si="201"/>
        <v>57392.290386270433</v>
      </c>
      <c r="AE164" s="577">
        <f t="shared" si="201"/>
        <v>58356.701090687493</v>
      </c>
      <c r="AF164" s="577">
        <f t="shared" si="201"/>
        <v>59331.233532758662</v>
      </c>
      <c r="AG164" s="577">
        <f t="shared" si="201"/>
        <v>60317.98366619373</v>
      </c>
      <c r="AH164" s="752">
        <f t="shared" si="201"/>
        <v>61319.384187392301</v>
      </c>
      <c r="AI164" s="18"/>
      <c r="AJ164" s="18"/>
      <c r="AK164" s="18"/>
      <c r="AL164" s="18"/>
      <c r="AM164" s="18"/>
      <c r="AN164" s="18"/>
    </row>
    <row r="165" spans="2:40" ht="21.95" customHeight="1" x14ac:dyDescent="0.2">
      <c r="B165" s="232"/>
      <c r="C165" s="715"/>
      <c r="D165" s="715"/>
      <c r="E165" s="1340"/>
      <c r="F165" s="116"/>
      <c r="G165" s="116"/>
      <c r="H165" s="124" t="s">
        <v>19</v>
      </c>
      <c r="I165" s="577">
        <f t="shared" ref="I165:AH165" si="202">I74*$D$12</f>
        <v>7078.7919377523231</v>
      </c>
      <c r="J165" s="577">
        <f t="shared" si="202"/>
        <v>8019.4568201562797</v>
      </c>
      <c r="K165" s="577">
        <f t="shared" si="202"/>
        <v>8960.7379133278337</v>
      </c>
      <c r="L165" s="577">
        <f t="shared" si="202"/>
        <v>12146.851741618428</v>
      </c>
      <c r="M165" s="577">
        <f t="shared" si="202"/>
        <v>15350.542933876141</v>
      </c>
      <c r="N165" s="577">
        <f t="shared" si="202"/>
        <v>18678.19611367556</v>
      </c>
      <c r="O165" s="577">
        <f t="shared" si="202"/>
        <v>22616.794483952719</v>
      </c>
      <c r="P165" s="577">
        <f t="shared" si="202"/>
        <v>29015.158435303383</v>
      </c>
      <c r="Q165" s="577">
        <f t="shared" si="202"/>
        <v>59496.092259886187</v>
      </c>
      <c r="R165" s="577">
        <f t="shared" si="202"/>
        <v>79610.541814771655</v>
      </c>
      <c r="S165" s="577">
        <f t="shared" si="202"/>
        <v>90848.318055763681</v>
      </c>
      <c r="T165" s="577">
        <f t="shared" si="202"/>
        <v>102092.78633962742</v>
      </c>
      <c r="U165" s="577">
        <f t="shared" si="202"/>
        <v>113368.93138205352</v>
      </c>
      <c r="V165" s="577">
        <f t="shared" si="202"/>
        <v>119530.96834123261</v>
      </c>
      <c r="W165" s="577">
        <f t="shared" si="202"/>
        <v>121778.35591908172</v>
      </c>
      <c r="X165" s="577">
        <f t="shared" si="202"/>
        <v>123983.57636169312</v>
      </c>
      <c r="Y165" s="577">
        <f t="shared" si="202"/>
        <v>126197.69307232717</v>
      </c>
      <c r="Z165" s="577">
        <f t="shared" si="202"/>
        <v>128423.58846267672</v>
      </c>
      <c r="AA165" s="577">
        <f t="shared" si="202"/>
        <v>130660.34711315756</v>
      </c>
      <c r="AB165" s="577">
        <f t="shared" si="202"/>
        <v>132912.60831962092</v>
      </c>
      <c r="AC165" s="577">
        <f t="shared" si="202"/>
        <v>135180.06004474082</v>
      </c>
      <c r="AD165" s="577">
        <f t="shared" si="202"/>
        <v>137466.56379945014</v>
      </c>
      <c r="AE165" s="577">
        <f t="shared" si="202"/>
        <v>139776.52955853293</v>
      </c>
      <c r="AF165" s="577">
        <f t="shared" si="202"/>
        <v>142110.73900061956</v>
      </c>
      <c r="AG165" s="577">
        <f t="shared" si="202"/>
        <v>144474.21237411673</v>
      </c>
      <c r="AH165" s="752">
        <f t="shared" si="202"/>
        <v>146872.77649674803</v>
      </c>
      <c r="AI165" s="18"/>
      <c r="AJ165" s="18"/>
      <c r="AK165" s="18"/>
      <c r="AL165" s="18"/>
      <c r="AM165" s="18"/>
      <c r="AN165" s="18"/>
    </row>
    <row r="166" spans="2:40" ht="21.95" customHeight="1" x14ac:dyDescent="0.2">
      <c r="B166" s="232"/>
      <c r="C166" s="715"/>
      <c r="D166" s="715"/>
      <c r="E166" s="1340"/>
      <c r="F166" s="116"/>
      <c r="G166" s="116"/>
      <c r="H166" s="720" t="s">
        <v>25</v>
      </c>
      <c r="I166" s="577">
        <f t="shared" ref="I166" si="203">SUM(I164:I165)</f>
        <v>10034.187571763918</v>
      </c>
      <c r="J166" s="577">
        <f t="shared" ref="J166" si="204">SUM(J164:J165)</f>
        <v>11367.580042571526</v>
      </c>
      <c r="K166" s="577">
        <f t="shared" ref="K166" si="205">SUM(K164:K165)</f>
        <v>12701.845992142204</v>
      </c>
      <c r="L166" s="577">
        <f t="shared" ref="L166" si="206">SUM(L164:L165)</f>
        <v>17218.162343744123</v>
      </c>
      <c r="M166" s="577">
        <f t="shared" ref="M166" si="207">SUM(M164:M165)</f>
        <v>21759.394608769428</v>
      </c>
      <c r="N166" s="577">
        <f t="shared" ref="N166" si="208">SUM(N164:N165)</f>
        <v>26476.342991135105</v>
      </c>
      <c r="O166" s="577">
        <f t="shared" ref="O166" si="209">SUM(O164:O165)</f>
        <v>32059.306181002979</v>
      </c>
      <c r="P166" s="577">
        <f t="shared" ref="P166" si="210">SUM(P164:P165)</f>
        <v>41128.987082042542</v>
      </c>
      <c r="Q166" s="577">
        <f t="shared" ref="Q166" si="211">SUM(Q164:Q165)</f>
        <v>84335.71077838866</v>
      </c>
      <c r="R166" s="577">
        <f t="shared" ref="R166" si="212">SUM(R164:R165)</f>
        <v>112847.94302243882</v>
      </c>
      <c r="S166" s="577">
        <f t="shared" ref="S166" si="213">SUM(S164:S165)</f>
        <v>128777.49084404501</v>
      </c>
      <c r="T166" s="577">
        <f t="shared" ref="T166" si="214">SUM(T164:T165)</f>
        <v>144716.52463642188</v>
      </c>
      <c r="U166" s="577">
        <f t="shared" ref="U166" si="215">SUM(U164:U165)</f>
        <v>160700.46023406085</v>
      </c>
      <c r="V166" s="577">
        <f t="shared" ref="V166" si="216">SUM(V164:V165)</f>
        <v>169435.14762369724</v>
      </c>
      <c r="W166" s="577">
        <f t="shared" ref="W166" si="217">SUM(W164:W165)</f>
        <v>172620.81951529832</v>
      </c>
      <c r="X166" s="577">
        <f t="shared" ref="X166" si="218">SUM(X164:X165)</f>
        <v>175746.71949270001</v>
      </c>
      <c r="Y166" s="577">
        <f t="shared" ref="Y166" si="219">SUM(Y164:Y165)</f>
        <v>178885.22993002375</v>
      </c>
      <c r="Z166" s="577">
        <f t="shared" ref="Z166" si="220">SUM(Z164:Z165)</f>
        <v>182040.43664584425</v>
      </c>
      <c r="AA166" s="577">
        <f t="shared" ref="AA166" si="221">SUM(AA164:AA165)</f>
        <v>185211.04203290085</v>
      </c>
      <c r="AB166" s="577">
        <f t="shared" ref="AB166" si="222">SUM(AB164:AB165)</f>
        <v>188403.62229306265</v>
      </c>
      <c r="AC166" s="577">
        <f t="shared" ref="AC166" si="223">SUM(AC164:AC165)</f>
        <v>191617.73511342012</v>
      </c>
      <c r="AD166" s="577">
        <f t="shared" ref="AD166" si="224">SUM(AD164:AD165)</f>
        <v>194858.85418572059</v>
      </c>
      <c r="AE166" s="577">
        <f t="shared" ref="AE166" si="225">SUM(AE164:AE165)</f>
        <v>198133.23064922041</v>
      </c>
      <c r="AF166" s="577">
        <f t="shared" ref="AF166" si="226">SUM(AF164:AF165)</f>
        <v>201441.97253337823</v>
      </c>
      <c r="AG166" s="577">
        <f t="shared" ref="AG166" si="227">SUM(AG164:AG165)</f>
        <v>204792.19604031046</v>
      </c>
      <c r="AH166" s="752">
        <f t="shared" ref="AH166" si="228">SUM(AH164:AH165)</f>
        <v>208192.16068414034</v>
      </c>
      <c r="AI166" s="18"/>
      <c r="AJ166" s="18"/>
      <c r="AK166" s="18"/>
      <c r="AL166" s="18"/>
      <c r="AM166" s="18"/>
      <c r="AN166" s="18"/>
    </row>
    <row r="167" spans="2:40" ht="21.95" customHeight="1" x14ac:dyDescent="0.2">
      <c r="B167" s="232"/>
      <c r="C167" s="715"/>
      <c r="D167" s="715"/>
      <c r="E167" s="1340"/>
      <c r="F167" s="116" t="s">
        <v>323</v>
      </c>
      <c r="G167" s="116" t="s">
        <v>338</v>
      </c>
      <c r="H167" s="116" t="s">
        <v>20</v>
      </c>
      <c r="I167" s="577">
        <f t="shared" ref="I167:AH167" si="229">I76*$D$11</f>
        <v>41936.86127123647</v>
      </c>
      <c r="J167" s="577">
        <f t="shared" si="229"/>
        <v>43596.143671382619</v>
      </c>
      <c r="K167" s="577">
        <f t="shared" si="229"/>
        <v>45304.78341418397</v>
      </c>
      <c r="L167" s="577">
        <f t="shared" si="229"/>
        <v>48833.464134210706</v>
      </c>
      <c r="M167" s="577">
        <f t="shared" si="229"/>
        <v>52820.493838968134</v>
      </c>
      <c r="N167" s="577">
        <f t="shared" si="229"/>
        <v>57594.383165053645</v>
      </c>
      <c r="O167" s="577">
        <f t="shared" si="229"/>
        <v>63684.685373204666</v>
      </c>
      <c r="P167" s="577">
        <f t="shared" si="229"/>
        <v>71930.344982536728</v>
      </c>
      <c r="Q167" s="577">
        <f t="shared" si="229"/>
        <v>89408.769071072762</v>
      </c>
      <c r="R167" s="577">
        <f t="shared" si="229"/>
        <v>119099.42680898996</v>
      </c>
      <c r="S167" s="577">
        <f t="shared" si="229"/>
        <v>160196.63485270026</v>
      </c>
      <c r="T167" s="577">
        <f t="shared" si="229"/>
        <v>169441.27276493693</v>
      </c>
      <c r="U167" s="577">
        <f t="shared" si="229"/>
        <v>178694.64549998965</v>
      </c>
      <c r="V167" s="577">
        <f t="shared" si="229"/>
        <v>184708.07037480379</v>
      </c>
      <c r="W167" s="577">
        <f t="shared" si="229"/>
        <v>188134.43623821411</v>
      </c>
      <c r="X167" s="577">
        <f t="shared" si="229"/>
        <v>191560.28782106479</v>
      </c>
      <c r="Y167" s="577">
        <f t="shared" si="229"/>
        <v>194986.46081921781</v>
      </c>
      <c r="Z167" s="577">
        <f t="shared" si="229"/>
        <v>198415.16618910339</v>
      </c>
      <c r="AA167" s="577">
        <f t="shared" si="229"/>
        <v>201842.1620190324</v>
      </c>
      <c r="AB167" s="577">
        <f t="shared" si="229"/>
        <v>205271.82909543728</v>
      </c>
      <c r="AC167" s="577">
        <f t="shared" si="229"/>
        <v>208699.94844046645</v>
      </c>
      <c r="AD167" s="577">
        <f t="shared" si="229"/>
        <v>212128.76870908667</v>
      </c>
      <c r="AE167" s="577">
        <f t="shared" si="229"/>
        <v>215560.5592055546</v>
      </c>
      <c r="AF167" s="577">
        <f t="shared" si="229"/>
        <v>218991.1431030941</v>
      </c>
      <c r="AG167" s="577">
        <f t="shared" si="229"/>
        <v>222422.81386699592</v>
      </c>
      <c r="AH167" s="752">
        <f t="shared" si="229"/>
        <v>225857.89552293887</v>
      </c>
      <c r="AI167" s="18"/>
      <c r="AJ167" s="18"/>
      <c r="AK167" s="18"/>
      <c r="AL167" s="18"/>
      <c r="AM167" s="18"/>
      <c r="AN167" s="18"/>
    </row>
    <row r="168" spans="2:40" ht="21.95" customHeight="1" x14ac:dyDescent="0.2">
      <c r="B168" s="232"/>
      <c r="C168" s="715"/>
      <c r="D168" s="715"/>
      <c r="E168" s="1340"/>
      <c r="F168" s="116"/>
      <c r="G168" s="116"/>
      <c r="H168" s="116" t="s">
        <v>19</v>
      </c>
      <c r="I168" s="577">
        <f t="shared" ref="I168:AH168" si="230">I77*$D$12</f>
        <v>100447.57190715322</v>
      </c>
      <c r="J168" s="577">
        <f t="shared" si="230"/>
        <v>104421.90100929969</v>
      </c>
      <c r="K168" s="577">
        <f t="shared" si="230"/>
        <v>108514.45129145862</v>
      </c>
      <c r="L168" s="577">
        <f t="shared" si="230"/>
        <v>116966.38115978613</v>
      </c>
      <c r="M168" s="577">
        <f t="shared" si="230"/>
        <v>126516.15290770811</v>
      </c>
      <c r="N168" s="577">
        <f t="shared" si="230"/>
        <v>137950.61835940994</v>
      </c>
      <c r="O168" s="577">
        <f t="shared" si="230"/>
        <v>152538.16855857405</v>
      </c>
      <c r="P168" s="577">
        <f t="shared" si="230"/>
        <v>172288.25145517779</v>
      </c>
      <c r="Q168" s="577">
        <f t="shared" si="230"/>
        <v>214152.74028999463</v>
      </c>
      <c r="R168" s="577">
        <f t="shared" si="230"/>
        <v>285268.08816524543</v>
      </c>
      <c r="S168" s="577">
        <f t="shared" si="230"/>
        <v>383704.51461724611</v>
      </c>
      <c r="T168" s="577">
        <f t="shared" si="230"/>
        <v>405847.35991601663</v>
      </c>
      <c r="U168" s="577">
        <f t="shared" si="230"/>
        <v>428011.12694608304</v>
      </c>
      <c r="V168" s="577">
        <f t="shared" si="230"/>
        <v>442414.53981988935</v>
      </c>
      <c r="W168" s="577">
        <f t="shared" si="230"/>
        <v>450621.40416338714</v>
      </c>
      <c r="X168" s="577">
        <f t="shared" si="230"/>
        <v>458827.03669716121</v>
      </c>
      <c r="Y168" s="577">
        <f t="shared" si="230"/>
        <v>467033.4390879469</v>
      </c>
      <c r="Z168" s="577">
        <f t="shared" si="230"/>
        <v>475245.90703976864</v>
      </c>
      <c r="AA168" s="577">
        <f t="shared" si="230"/>
        <v>483454.28028510755</v>
      </c>
      <c r="AB168" s="577">
        <f t="shared" si="230"/>
        <v>491669.05172559828</v>
      </c>
      <c r="AC168" s="577">
        <f t="shared" si="230"/>
        <v>499880.11602506938</v>
      </c>
      <c r="AD168" s="577">
        <f t="shared" si="230"/>
        <v>508092.85918344115</v>
      </c>
      <c r="AE168" s="577">
        <f t="shared" si="230"/>
        <v>516312.71666001104</v>
      </c>
      <c r="AF168" s="577">
        <f t="shared" si="230"/>
        <v>524529.68407926732</v>
      </c>
      <c r="AG168" s="577">
        <f t="shared" si="230"/>
        <v>532749.25477124774</v>
      </c>
      <c r="AH168" s="752">
        <f t="shared" si="230"/>
        <v>540976.99526452424</v>
      </c>
      <c r="AI168" s="18"/>
      <c r="AJ168" s="18"/>
      <c r="AK168" s="18"/>
      <c r="AL168" s="18"/>
      <c r="AM168" s="18"/>
      <c r="AN168" s="18"/>
    </row>
    <row r="169" spans="2:40" ht="21.95" customHeight="1" x14ac:dyDescent="0.2">
      <c r="B169" s="232"/>
      <c r="C169" s="715"/>
      <c r="D169" s="715"/>
      <c r="E169" s="1333"/>
      <c r="F169" s="254"/>
      <c r="G169" s="254"/>
      <c r="H169" s="721" t="s">
        <v>25</v>
      </c>
      <c r="I169" s="587">
        <f t="shared" ref="I169" si="231">SUM(I167:I168)</f>
        <v>142384.43317838968</v>
      </c>
      <c r="J169" s="587">
        <f t="shared" ref="J169" si="232">SUM(J167:J168)</f>
        <v>148018.0446806823</v>
      </c>
      <c r="K169" s="587">
        <f t="shared" ref="K169" si="233">SUM(K167:K168)</f>
        <v>153819.23470564259</v>
      </c>
      <c r="L169" s="587">
        <f t="shared" ref="L169" si="234">SUM(L167:L168)</f>
        <v>165799.84529399686</v>
      </c>
      <c r="M169" s="587">
        <f t="shared" ref="M169" si="235">SUM(M167:M168)</f>
        <v>179336.64674667624</v>
      </c>
      <c r="N169" s="587">
        <f t="shared" ref="N169" si="236">SUM(N167:N168)</f>
        <v>195545.00152446359</v>
      </c>
      <c r="O169" s="587">
        <f t="shared" ref="O169" si="237">SUM(O167:O168)</f>
        <v>216222.85393177872</v>
      </c>
      <c r="P169" s="587">
        <f t="shared" ref="P169" si="238">SUM(P167:P168)</f>
        <v>244218.59643771453</v>
      </c>
      <c r="Q169" s="587">
        <f t="shared" ref="Q169" si="239">SUM(Q167:Q168)</f>
        <v>303561.50936106738</v>
      </c>
      <c r="R169" s="587">
        <f t="shared" ref="R169" si="240">SUM(R167:R168)</f>
        <v>404367.51497423538</v>
      </c>
      <c r="S169" s="587">
        <f t="shared" ref="S169" si="241">SUM(S167:S168)</f>
        <v>543901.14946994639</v>
      </c>
      <c r="T169" s="587">
        <f t="shared" ref="T169" si="242">SUM(T167:T168)</f>
        <v>575288.6326809536</v>
      </c>
      <c r="U169" s="587">
        <f t="shared" ref="U169" si="243">SUM(U167:U168)</f>
        <v>606705.77244607266</v>
      </c>
      <c r="V169" s="587">
        <f t="shared" ref="V169" si="244">SUM(V167:V168)</f>
        <v>627122.61019469309</v>
      </c>
      <c r="W169" s="587">
        <f t="shared" ref="W169" si="245">SUM(W167:W168)</f>
        <v>638755.84040160128</v>
      </c>
      <c r="X169" s="587">
        <f t="shared" ref="X169" si="246">SUM(X167:X168)</f>
        <v>650387.32451822597</v>
      </c>
      <c r="Y169" s="587">
        <f t="shared" ref="Y169" si="247">SUM(Y167:Y168)</f>
        <v>662019.89990716474</v>
      </c>
      <c r="Z169" s="587">
        <f t="shared" ref="Z169" si="248">SUM(Z167:Z168)</f>
        <v>673661.07322887203</v>
      </c>
      <c r="AA169" s="587">
        <f t="shared" ref="AA169" si="249">SUM(AA167:AA168)</f>
        <v>685296.44230413996</v>
      </c>
      <c r="AB169" s="587">
        <f t="shared" ref="AB169" si="250">SUM(AB167:AB168)</f>
        <v>696940.88082103559</v>
      </c>
      <c r="AC169" s="587">
        <f t="shared" ref="AC169" si="251">SUM(AC167:AC168)</f>
        <v>708580.0644655358</v>
      </c>
      <c r="AD169" s="587">
        <f t="shared" ref="AD169" si="252">SUM(AD167:AD168)</f>
        <v>720221.62789252785</v>
      </c>
      <c r="AE169" s="587">
        <f t="shared" ref="AE169" si="253">SUM(AE167:AE168)</f>
        <v>731873.27586556564</v>
      </c>
      <c r="AF169" s="587">
        <f t="shared" ref="AF169" si="254">SUM(AF167:AF168)</f>
        <v>743520.82718236139</v>
      </c>
      <c r="AG169" s="587">
        <f t="shared" ref="AG169" si="255">SUM(AG167:AG168)</f>
        <v>755172.06863824371</v>
      </c>
      <c r="AH169" s="754">
        <f t="shared" ref="AH169" si="256">SUM(AH167:AH168)</f>
        <v>766834.89078746317</v>
      </c>
      <c r="AI169" s="18"/>
      <c r="AJ169" s="18"/>
      <c r="AK169" s="18"/>
      <c r="AL169" s="18"/>
      <c r="AM169" s="18"/>
      <c r="AN169" s="18"/>
    </row>
    <row r="170" spans="2:40" ht="21.95" customHeight="1" x14ac:dyDescent="0.2">
      <c r="B170" s="232"/>
      <c r="C170" s="715"/>
      <c r="D170" s="715"/>
      <c r="E170" s="116" t="s">
        <v>339</v>
      </c>
      <c r="F170" s="116" t="s">
        <v>335</v>
      </c>
      <c r="G170" s="116" t="s">
        <v>323</v>
      </c>
      <c r="H170" s="116" t="s">
        <v>20</v>
      </c>
      <c r="I170" s="577">
        <f t="shared" ref="I170:AH170" si="257">I79*$D$11</f>
        <v>282.25467980295559</v>
      </c>
      <c r="J170" s="577">
        <f t="shared" si="257"/>
        <v>456.97032660098517</v>
      </c>
      <c r="K170" s="577">
        <f t="shared" si="257"/>
        <v>1303.7343660098518</v>
      </c>
      <c r="L170" s="577">
        <f t="shared" si="257"/>
        <v>2756.4992029556652</v>
      </c>
      <c r="M170" s="577">
        <f t="shared" si="257"/>
        <v>4210.3930586206916</v>
      </c>
      <c r="N170" s="577">
        <f t="shared" si="257"/>
        <v>5663.7224049261786</v>
      </c>
      <c r="O170" s="577">
        <f t="shared" si="257"/>
        <v>7116.4872418727791</v>
      </c>
      <c r="P170" s="577">
        <f t="shared" si="257"/>
        <v>8571.5101162627871</v>
      </c>
      <c r="Q170" s="577">
        <f t="shared" si="257"/>
        <v>9353.073324647854</v>
      </c>
      <c r="R170" s="577">
        <f t="shared" si="257"/>
        <v>10135.765551766039</v>
      </c>
      <c r="S170" s="577">
        <f t="shared" si="257"/>
        <v>10917.611014873215</v>
      </c>
      <c r="T170" s="577">
        <f t="shared" si="257"/>
        <v>11699.174223355729</v>
      </c>
      <c r="U170" s="577">
        <f t="shared" si="257"/>
        <v>12482.713214699928</v>
      </c>
      <c r="V170" s="577">
        <f t="shared" si="257"/>
        <v>12657.428861566388</v>
      </c>
      <c r="W170" s="577">
        <f t="shared" si="257"/>
        <v>12832.14450844298</v>
      </c>
      <c r="X170" s="577">
        <f t="shared" si="257"/>
        <v>13006.860155331018</v>
      </c>
      <c r="Y170" s="577">
        <f t="shared" si="257"/>
        <v>13181.575802232002</v>
      </c>
      <c r="Z170" s="577">
        <f t="shared" si="257"/>
        <v>13357.138213187593</v>
      </c>
      <c r="AA170" s="577">
        <f t="shared" si="257"/>
        <v>13531.853860119678</v>
      </c>
      <c r="AB170" s="577">
        <f t="shared" si="257"/>
        <v>13707.416271110429</v>
      </c>
      <c r="AC170" s="577">
        <f t="shared" si="257"/>
        <v>13882.131918081823</v>
      </c>
      <c r="AD170" s="577">
        <f t="shared" si="257"/>
        <v>14056.847565076465</v>
      </c>
      <c r="AE170" s="577">
        <f t="shared" si="257"/>
        <v>14232.409976137684</v>
      </c>
      <c r="AF170" s="577">
        <f t="shared" si="257"/>
        <v>14407.125623187569</v>
      </c>
      <c r="AG170" s="577">
        <f t="shared" si="257"/>
        <v>14581.841270269926</v>
      </c>
      <c r="AH170" s="752">
        <f t="shared" si="257"/>
        <v>14757.403681429529</v>
      </c>
      <c r="AI170" s="18"/>
      <c r="AJ170" s="18"/>
      <c r="AK170" s="18"/>
      <c r="AL170" s="18"/>
      <c r="AM170" s="18"/>
      <c r="AN170" s="18"/>
    </row>
    <row r="171" spans="2:40" ht="21.95" customHeight="1" x14ac:dyDescent="0.2">
      <c r="B171" s="232"/>
      <c r="C171" s="715"/>
      <c r="D171" s="715"/>
      <c r="E171" s="116"/>
      <c r="F171" s="116"/>
      <c r="G171" s="116"/>
      <c r="H171" s="124" t="s">
        <v>19</v>
      </c>
      <c r="I171" s="577">
        <f t="shared" ref="I171:AH171" si="258">I80*$D$12</f>
        <v>676.05911330049253</v>
      </c>
      <c r="J171" s="577">
        <f t="shared" si="258"/>
        <v>1094.5397044334975</v>
      </c>
      <c r="K171" s="577">
        <f t="shared" si="258"/>
        <v>3122.7170443349746</v>
      </c>
      <c r="L171" s="577">
        <f t="shared" si="258"/>
        <v>6602.3933004926112</v>
      </c>
      <c r="M171" s="577">
        <f t="shared" si="258"/>
        <v>10084.773793103453</v>
      </c>
      <c r="N171" s="577">
        <f t="shared" si="258"/>
        <v>13565.802167487853</v>
      </c>
      <c r="O171" s="577">
        <f t="shared" si="258"/>
        <v>17045.478423647375</v>
      </c>
      <c r="P171" s="577">
        <f t="shared" si="258"/>
        <v>20530.563152725241</v>
      </c>
      <c r="Q171" s="577">
        <f t="shared" si="258"/>
        <v>22402.570837479889</v>
      </c>
      <c r="R171" s="577">
        <f t="shared" si="258"/>
        <v>24277.282758721052</v>
      </c>
      <c r="S171" s="577">
        <f t="shared" si="258"/>
        <v>26149.966502690339</v>
      </c>
      <c r="T171" s="577">
        <f t="shared" si="258"/>
        <v>28021.974187678392</v>
      </c>
      <c r="U171" s="577">
        <f t="shared" si="258"/>
        <v>29898.714286706418</v>
      </c>
      <c r="V171" s="577">
        <f t="shared" si="258"/>
        <v>30317.194878003327</v>
      </c>
      <c r="W171" s="577">
        <f t="shared" si="258"/>
        <v>30735.675469324506</v>
      </c>
      <c r="X171" s="577">
        <f t="shared" si="258"/>
        <v>31154.1560606731</v>
      </c>
      <c r="Y171" s="577">
        <f t="shared" si="258"/>
        <v>31572.636652052701</v>
      </c>
      <c r="Z171" s="577">
        <f t="shared" si="258"/>
        <v>31993.145420808607</v>
      </c>
      <c r="AA171" s="577">
        <f t="shared" si="258"/>
        <v>32411.626012262703</v>
      </c>
      <c r="AB171" s="577">
        <f t="shared" si="258"/>
        <v>32832.134781102824</v>
      </c>
      <c r="AC171" s="577">
        <f t="shared" si="258"/>
        <v>33250.615372651075</v>
      </c>
      <c r="AD171" s="577">
        <f t="shared" si="258"/>
        <v>33669.095964255008</v>
      </c>
      <c r="AE171" s="577">
        <f t="shared" si="258"/>
        <v>34089.604733263914</v>
      </c>
      <c r="AF171" s="577">
        <f t="shared" si="258"/>
        <v>34508.085325000167</v>
      </c>
      <c r="AG171" s="577">
        <f t="shared" si="258"/>
        <v>34926.565916814194</v>
      </c>
      <c r="AH171" s="752">
        <f t="shared" si="258"/>
        <v>35347.074686058753</v>
      </c>
      <c r="AI171" s="18"/>
      <c r="AJ171" s="18"/>
      <c r="AK171" s="18"/>
      <c r="AL171" s="18"/>
      <c r="AM171" s="18"/>
      <c r="AN171" s="18"/>
    </row>
    <row r="172" spans="2:40" ht="21.95" customHeight="1" x14ac:dyDescent="0.2">
      <c r="B172" s="232"/>
      <c r="C172" s="715"/>
      <c r="D172" s="715"/>
      <c r="E172" s="116"/>
      <c r="F172" s="116"/>
      <c r="G172" s="116"/>
      <c r="H172" s="721" t="s">
        <v>25</v>
      </c>
      <c r="I172" s="577">
        <f t="shared" ref="I172" si="259">SUM(I170:I171)</f>
        <v>958.31379310344812</v>
      </c>
      <c r="J172" s="577">
        <f t="shared" ref="J172" si="260">SUM(J170:J171)</f>
        <v>1551.5100310344826</v>
      </c>
      <c r="K172" s="577">
        <f t="shared" ref="K172" si="261">SUM(K170:K171)</f>
        <v>4426.4514103448264</v>
      </c>
      <c r="L172" s="577">
        <f t="shared" ref="L172" si="262">SUM(L170:L171)</f>
        <v>9358.8925034482763</v>
      </c>
      <c r="M172" s="577">
        <f t="shared" ref="M172" si="263">SUM(M170:M171)</f>
        <v>14295.166851724145</v>
      </c>
      <c r="N172" s="577">
        <f t="shared" ref="N172" si="264">SUM(N170:N171)</f>
        <v>19229.524572414033</v>
      </c>
      <c r="O172" s="577">
        <f t="shared" ref="O172" si="265">SUM(O170:O171)</f>
        <v>24161.965665520154</v>
      </c>
      <c r="P172" s="577">
        <f t="shared" ref="P172" si="266">SUM(P170:P171)</f>
        <v>29102.073268988028</v>
      </c>
      <c r="Q172" s="577">
        <f t="shared" ref="Q172" si="267">SUM(Q170:Q171)</f>
        <v>31755.644162127741</v>
      </c>
      <c r="R172" s="577">
        <f t="shared" ref="R172" si="268">SUM(R170:R171)</f>
        <v>34413.048310487095</v>
      </c>
      <c r="S172" s="577">
        <f t="shared" ref="S172" si="269">SUM(S170:S171)</f>
        <v>37067.57751756355</v>
      </c>
      <c r="T172" s="577">
        <f t="shared" ref="T172" si="270">SUM(T170:T171)</f>
        <v>39721.148411034119</v>
      </c>
      <c r="U172" s="577">
        <f t="shared" ref="U172" si="271">SUM(U170:U171)</f>
        <v>42381.427501406346</v>
      </c>
      <c r="V172" s="577">
        <f t="shared" ref="V172" si="272">SUM(V170:V171)</f>
        <v>42974.623739569717</v>
      </c>
      <c r="W172" s="577">
        <f t="shared" ref="W172" si="273">SUM(W170:W171)</f>
        <v>43567.819977767489</v>
      </c>
      <c r="X172" s="577">
        <f t="shared" ref="X172" si="274">SUM(X170:X171)</f>
        <v>44161.016216004122</v>
      </c>
      <c r="Y172" s="577">
        <f t="shared" ref="Y172" si="275">SUM(Y170:Y171)</f>
        <v>44754.212454284701</v>
      </c>
      <c r="Z172" s="577">
        <f t="shared" ref="Z172" si="276">SUM(Z170:Z171)</f>
        <v>45350.283633996201</v>
      </c>
      <c r="AA172" s="577">
        <f t="shared" ref="AA172" si="277">SUM(AA170:AA171)</f>
        <v>45943.479872382377</v>
      </c>
      <c r="AB172" s="577">
        <f t="shared" ref="AB172" si="278">SUM(AB170:AB171)</f>
        <v>46539.551052213254</v>
      </c>
      <c r="AC172" s="577">
        <f t="shared" ref="AC172" si="279">SUM(AC170:AC171)</f>
        <v>47132.747290732899</v>
      </c>
      <c r="AD172" s="577">
        <f t="shared" ref="AD172" si="280">SUM(AD170:AD171)</f>
        <v>47725.943529331475</v>
      </c>
      <c r="AE172" s="577">
        <f t="shared" ref="AE172" si="281">SUM(AE170:AE171)</f>
        <v>48322.014709401599</v>
      </c>
      <c r="AF172" s="577">
        <f t="shared" ref="AF172" si="282">SUM(AF170:AF171)</f>
        <v>48915.210948187734</v>
      </c>
      <c r="AG172" s="577">
        <f t="shared" ref="AG172" si="283">SUM(AG170:AG171)</f>
        <v>49508.407187084122</v>
      </c>
      <c r="AH172" s="752">
        <f t="shared" ref="AH172" si="284">SUM(AH170:AH171)</f>
        <v>50104.478367488278</v>
      </c>
      <c r="AI172" s="18"/>
      <c r="AJ172" s="18"/>
      <c r="AK172" s="18"/>
      <c r="AL172" s="18"/>
      <c r="AM172" s="18"/>
      <c r="AN172" s="18"/>
    </row>
    <row r="173" spans="2:40" ht="21.95" customHeight="1" x14ac:dyDescent="0.2">
      <c r="B173" s="232"/>
      <c r="C173" s="715"/>
      <c r="D173" s="715"/>
      <c r="E173" s="1340" t="s">
        <v>323</v>
      </c>
      <c r="F173" s="220" t="s">
        <v>282</v>
      </c>
      <c r="G173" s="220" t="s">
        <v>339</v>
      </c>
      <c r="H173" s="116" t="s">
        <v>20</v>
      </c>
      <c r="I173" s="577">
        <f t="shared" ref="I173:AH173" si="285">I82*$D$11</f>
        <v>810.73152709359601</v>
      </c>
      <c r="J173" s="577">
        <f t="shared" si="285"/>
        <v>810.73152709359601</v>
      </c>
      <c r="K173" s="577">
        <f t="shared" si="285"/>
        <v>9486.3696036894908</v>
      </c>
      <c r="L173" s="577">
        <f t="shared" si="285"/>
        <v>18162.014215823048</v>
      </c>
      <c r="M173" s="577">
        <f t="shared" si="285"/>
        <v>26845.423887419227</v>
      </c>
      <c r="N173" s="577">
        <f t="shared" si="285"/>
        <v>35531.062443577488</v>
      </c>
      <c r="O173" s="577">
        <f t="shared" si="285"/>
        <v>44312.203536674169</v>
      </c>
      <c r="P173" s="577">
        <f t="shared" si="285"/>
        <v>53713.401964927332</v>
      </c>
      <c r="Q173" s="577">
        <f t="shared" si="285"/>
        <v>53713.412484514643</v>
      </c>
      <c r="R173" s="577">
        <f t="shared" si="285"/>
        <v>53713.412484514643</v>
      </c>
      <c r="S173" s="577">
        <f t="shared" si="285"/>
        <v>53713.412484514643</v>
      </c>
      <c r="T173" s="577">
        <f t="shared" si="285"/>
        <v>53713.412484514643</v>
      </c>
      <c r="U173" s="577">
        <f t="shared" si="285"/>
        <v>53713.412484514643</v>
      </c>
      <c r="V173" s="577">
        <f t="shared" si="285"/>
        <v>53713.412484514643</v>
      </c>
      <c r="W173" s="577">
        <f t="shared" si="285"/>
        <v>53713.412484514643</v>
      </c>
      <c r="X173" s="577">
        <f t="shared" si="285"/>
        <v>53713.412484514643</v>
      </c>
      <c r="Y173" s="577">
        <f t="shared" si="285"/>
        <v>53713.412484514643</v>
      </c>
      <c r="Z173" s="577">
        <f t="shared" si="285"/>
        <v>53713.412484514643</v>
      </c>
      <c r="AA173" s="577">
        <f t="shared" si="285"/>
        <v>53713.412484514643</v>
      </c>
      <c r="AB173" s="577">
        <f t="shared" si="285"/>
        <v>53713.412484514643</v>
      </c>
      <c r="AC173" s="577">
        <f t="shared" si="285"/>
        <v>53713.412484514643</v>
      </c>
      <c r="AD173" s="577">
        <f t="shared" si="285"/>
        <v>53713.412484514643</v>
      </c>
      <c r="AE173" s="577">
        <f t="shared" si="285"/>
        <v>53713.412484514643</v>
      </c>
      <c r="AF173" s="577">
        <f t="shared" si="285"/>
        <v>53713.412484514643</v>
      </c>
      <c r="AG173" s="577">
        <f t="shared" si="285"/>
        <v>53713.412484514643</v>
      </c>
      <c r="AH173" s="752">
        <f t="shared" si="285"/>
        <v>53713.412484514643</v>
      </c>
      <c r="AI173" s="18"/>
      <c r="AJ173" s="18"/>
      <c r="AK173" s="18"/>
      <c r="AL173" s="18"/>
      <c r="AM173" s="18"/>
      <c r="AN173" s="18"/>
    </row>
    <row r="174" spans="2:40" ht="21.95" customHeight="1" x14ac:dyDescent="0.2">
      <c r="B174" s="232"/>
      <c r="C174" s="715"/>
      <c r="D174" s="715"/>
      <c r="E174" s="1340"/>
      <c r="F174" s="116"/>
      <c r="G174" s="116"/>
      <c r="H174" s="124" t="s">
        <v>19</v>
      </c>
      <c r="I174" s="577">
        <f t="shared" ref="I174:AH174" si="286">I83*$D$12</f>
        <v>1941.8719211822661</v>
      </c>
      <c r="J174" s="577">
        <f t="shared" si="286"/>
        <v>1941.8719211822661</v>
      </c>
      <c r="K174" s="577">
        <f t="shared" si="286"/>
        <v>22721.843362130519</v>
      </c>
      <c r="L174" s="577">
        <f t="shared" si="286"/>
        <v>43501.830457061194</v>
      </c>
      <c r="M174" s="577">
        <f t="shared" si="286"/>
        <v>64300.416496812519</v>
      </c>
      <c r="N174" s="577">
        <f t="shared" si="286"/>
        <v>85104.341182221528</v>
      </c>
      <c r="O174" s="577">
        <f t="shared" si="286"/>
        <v>106137.01445909981</v>
      </c>
      <c r="P174" s="577">
        <f t="shared" si="286"/>
        <v>128654.85500581398</v>
      </c>
      <c r="Q174" s="577">
        <f t="shared" si="286"/>
        <v>128654.88020243029</v>
      </c>
      <c r="R174" s="577">
        <f t="shared" si="286"/>
        <v>128654.88020243029</v>
      </c>
      <c r="S174" s="577">
        <f t="shared" si="286"/>
        <v>128654.88020243029</v>
      </c>
      <c r="T174" s="577">
        <f t="shared" si="286"/>
        <v>128654.88020243029</v>
      </c>
      <c r="U174" s="577">
        <f t="shared" si="286"/>
        <v>128654.88020243029</v>
      </c>
      <c r="V174" s="577">
        <f t="shared" si="286"/>
        <v>128654.88020243029</v>
      </c>
      <c r="W174" s="577">
        <f t="shared" si="286"/>
        <v>128654.88020243029</v>
      </c>
      <c r="X174" s="577">
        <f t="shared" si="286"/>
        <v>128654.88020243029</v>
      </c>
      <c r="Y174" s="577">
        <f t="shared" si="286"/>
        <v>128654.88020243029</v>
      </c>
      <c r="Z174" s="577">
        <f t="shared" si="286"/>
        <v>128654.88020243029</v>
      </c>
      <c r="AA174" s="577">
        <f t="shared" si="286"/>
        <v>128654.88020243029</v>
      </c>
      <c r="AB174" s="577">
        <f t="shared" si="286"/>
        <v>128654.88020243029</v>
      </c>
      <c r="AC174" s="577">
        <f t="shared" si="286"/>
        <v>128654.88020243029</v>
      </c>
      <c r="AD174" s="577">
        <f t="shared" si="286"/>
        <v>128654.88020243029</v>
      </c>
      <c r="AE174" s="577">
        <f t="shared" si="286"/>
        <v>128654.88020243029</v>
      </c>
      <c r="AF174" s="577">
        <f t="shared" si="286"/>
        <v>128654.88020243029</v>
      </c>
      <c r="AG174" s="577">
        <f t="shared" si="286"/>
        <v>128654.88020243029</v>
      </c>
      <c r="AH174" s="752">
        <f t="shared" si="286"/>
        <v>128654.88020243029</v>
      </c>
      <c r="AI174" s="18"/>
      <c r="AJ174" s="18"/>
      <c r="AK174" s="18"/>
      <c r="AL174" s="18"/>
      <c r="AM174" s="18"/>
      <c r="AN174" s="18"/>
    </row>
    <row r="175" spans="2:40" ht="21.95" customHeight="1" x14ac:dyDescent="0.2">
      <c r="B175" s="232"/>
      <c r="C175" s="715"/>
      <c r="D175" s="715"/>
      <c r="E175" s="1340"/>
      <c r="F175" s="116"/>
      <c r="G175" s="116"/>
      <c r="H175" s="720" t="s">
        <v>25</v>
      </c>
      <c r="I175" s="577">
        <f t="shared" ref="I175" si="287">SUM(I173:I174)</f>
        <v>2752.6034482758623</v>
      </c>
      <c r="J175" s="577">
        <f t="shared" ref="J175" si="288">SUM(J173:J174)</f>
        <v>2752.6034482758623</v>
      </c>
      <c r="K175" s="577">
        <f t="shared" ref="K175" si="289">SUM(K173:K174)</f>
        <v>32208.21296582001</v>
      </c>
      <c r="L175" s="577">
        <f t="shared" ref="L175" si="290">SUM(L173:L174)</f>
        <v>61663.844672884239</v>
      </c>
      <c r="M175" s="577">
        <f t="shared" ref="M175" si="291">SUM(M173:M174)</f>
        <v>91145.840384231749</v>
      </c>
      <c r="N175" s="577">
        <f t="shared" ref="N175" si="292">SUM(N173:N174)</f>
        <v>120635.40362579902</v>
      </c>
      <c r="O175" s="577">
        <f t="shared" ref="O175" si="293">SUM(O173:O174)</f>
        <v>150449.21799577397</v>
      </c>
      <c r="P175" s="577">
        <f t="shared" ref="P175" si="294">SUM(P173:P174)</f>
        <v>182368.25697074132</v>
      </c>
      <c r="Q175" s="577">
        <f t="shared" ref="Q175" si="295">SUM(Q173:Q174)</f>
        <v>182368.29268694494</v>
      </c>
      <c r="R175" s="577">
        <f t="shared" ref="R175" si="296">SUM(R173:R174)</f>
        <v>182368.29268694494</v>
      </c>
      <c r="S175" s="577">
        <f t="shared" ref="S175" si="297">SUM(S173:S174)</f>
        <v>182368.29268694494</v>
      </c>
      <c r="T175" s="577">
        <f t="shared" ref="T175" si="298">SUM(T173:T174)</f>
        <v>182368.29268694494</v>
      </c>
      <c r="U175" s="577">
        <f t="shared" ref="U175" si="299">SUM(U173:U174)</f>
        <v>182368.29268694494</v>
      </c>
      <c r="V175" s="577">
        <f t="shared" ref="V175" si="300">SUM(V173:V174)</f>
        <v>182368.29268694494</v>
      </c>
      <c r="W175" s="577">
        <f t="shared" ref="W175" si="301">SUM(W173:W174)</f>
        <v>182368.29268694494</v>
      </c>
      <c r="X175" s="577">
        <f t="shared" ref="X175" si="302">SUM(X173:X174)</f>
        <v>182368.29268694494</v>
      </c>
      <c r="Y175" s="577">
        <f t="shared" ref="Y175" si="303">SUM(Y173:Y174)</f>
        <v>182368.29268694494</v>
      </c>
      <c r="Z175" s="577">
        <f t="shared" ref="Z175" si="304">SUM(Z173:Z174)</f>
        <v>182368.29268694494</v>
      </c>
      <c r="AA175" s="577">
        <f t="shared" ref="AA175" si="305">SUM(AA173:AA174)</f>
        <v>182368.29268694494</v>
      </c>
      <c r="AB175" s="577">
        <f t="shared" ref="AB175" si="306">SUM(AB173:AB174)</f>
        <v>182368.29268694494</v>
      </c>
      <c r="AC175" s="577">
        <f t="shared" ref="AC175" si="307">SUM(AC173:AC174)</f>
        <v>182368.29268694494</v>
      </c>
      <c r="AD175" s="577">
        <f t="shared" ref="AD175" si="308">SUM(AD173:AD174)</f>
        <v>182368.29268694494</v>
      </c>
      <c r="AE175" s="577">
        <f t="shared" ref="AE175" si="309">SUM(AE173:AE174)</f>
        <v>182368.29268694494</v>
      </c>
      <c r="AF175" s="577">
        <f t="shared" ref="AF175" si="310">SUM(AF173:AF174)</f>
        <v>182368.29268694494</v>
      </c>
      <c r="AG175" s="577">
        <f t="shared" ref="AG175" si="311">SUM(AG173:AG174)</f>
        <v>182368.29268694494</v>
      </c>
      <c r="AH175" s="752">
        <f t="shared" ref="AH175" si="312">SUM(AH173:AH174)</f>
        <v>182368.29268694494</v>
      </c>
      <c r="AI175" s="18"/>
      <c r="AJ175" s="18"/>
      <c r="AK175" s="18"/>
      <c r="AL175" s="18"/>
      <c r="AM175" s="18"/>
      <c r="AN175" s="18"/>
    </row>
    <row r="176" spans="2:40" ht="21.95" customHeight="1" x14ac:dyDescent="0.2">
      <c r="B176" s="232"/>
      <c r="C176" s="715"/>
      <c r="D176" s="715"/>
      <c r="E176" s="1340"/>
      <c r="F176" s="116" t="s">
        <v>339</v>
      </c>
      <c r="G176" s="116" t="s">
        <v>288</v>
      </c>
      <c r="H176" s="116" t="s">
        <v>20</v>
      </c>
      <c r="I176" s="577">
        <f t="shared" ref="I176:AH176" si="313">I85*$D$11</f>
        <v>203.51371273712738</v>
      </c>
      <c r="J176" s="577">
        <f t="shared" si="313"/>
        <v>386.67605420054917</v>
      </c>
      <c r="K176" s="577">
        <f t="shared" si="313"/>
        <v>569.8383956644642</v>
      </c>
      <c r="L176" s="577">
        <f t="shared" si="313"/>
        <v>1239.5835256549783</v>
      </c>
      <c r="M176" s="577">
        <f t="shared" si="313"/>
        <v>1908.4038897918713</v>
      </c>
      <c r="N176" s="577">
        <f t="shared" si="313"/>
        <v>2579.0820634456109</v>
      </c>
      <c r="O176" s="577">
        <f t="shared" si="313"/>
        <v>3248.9239094200902</v>
      </c>
      <c r="P176" s="577">
        <f t="shared" si="313"/>
        <v>3919.3893541092857</v>
      </c>
      <c r="Q176" s="577">
        <f t="shared" si="313"/>
        <v>5097.6636488910299</v>
      </c>
      <c r="R176" s="577">
        <f t="shared" si="313"/>
        <v>6386.4451500787454</v>
      </c>
      <c r="S176" s="577">
        <f t="shared" si="313"/>
        <v>8324.0763575989458</v>
      </c>
      <c r="T176" s="577">
        <f t="shared" si="313"/>
        <v>13125.054754869325</v>
      </c>
      <c r="U176" s="577">
        <f t="shared" si="313"/>
        <v>28205.731327867961</v>
      </c>
      <c r="V176" s="577">
        <f t="shared" si="313"/>
        <v>32219.582988573118</v>
      </c>
      <c r="W176" s="577">
        <f t="shared" si="313"/>
        <v>32783.474370350967</v>
      </c>
      <c r="X176" s="577">
        <f t="shared" si="313"/>
        <v>33350.05462401644</v>
      </c>
      <c r="Y176" s="577">
        <f t="shared" si="313"/>
        <v>33916.659051540315</v>
      </c>
      <c r="Z176" s="577">
        <f t="shared" si="313"/>
        <v>34483.29105759754</v>
      </c>
      <c r="AA176" s="577">
        <f t="shared" si="313"/>
        <v>35049.955147013068</v>
      </c>
      <c r="AB176" s="577">
        <f t="shared" si="313"/>
        <v>35616.65646723628</v>
      </c>
      <c r="AC176" s="577">
        <f t="shared" si="313"/>
        <v>36183.400887172647</v>
      </c>
      <c r="AD176" s="577">
        <f t="shared" si="313"/>
        <v>36750.195084163861</v>
      </c>
      <c r="AE176" s="577">
        <f t="shared" si="313"/>
        <v>37314.185561324943</v>
      </c>
      <c r="AF176" s="577">
        <f t="shared" si="313"/>
        <v>37881.10074419291</v>
      </c>
      <c r="AG176" s="577">
        <f t="shared" si="313"/>
        <v>38448.093507676931</v>
      </c>
      <c r="AH176" s="752">
        <f t="shared" si="313"/>
        <v>39015.172847934235</v>
      </c>
      <c r="AI176" s="18"/>
      <c r="AJ176" s="18"/>
      <c r="AK176" s="18"/>
      <c r="AL176" s="18"/>
      <c r="AM176" s="18"/>
      <c r="AN176" s="18"/>
    </row>
    <row r="177" spans="2:40" ht="21.95" customHeight="1" x14ac:dyDescent="0.2">
      <c r="B177" s="232"/>
      <c r="C177" s="715"/>
      <c r="D177" s="715"/>
      <c r="E177" s="1340"/>
      <c r="F177" s="116"/>
      <c r="G177" s="116"/>
      <c r="H177" s="124" t="s">
        <v>19</v>
      </c>
      <c r="I177" s="577">
        <f t="shared" ref="I177:AH177" si="314">I86*$D$12</f>
        <v>487.45799457994582</v>
      </c>
      <c r="J177" s="577">
        <f t="shared" si="314"/>
        <v>926.1701897019143</v>
      </c>
      <c r="K177" s="577">
        <f t="shared" si="314"/>
        <v>1364.882384825064</v>
      </c>
      <c r="L177" s="577">
        <f t="shared" si="314"/>
        <v>2969.0623368981519</v>
      </c>
      <c r="M177" s="577">
        <f t="shared" si="314"/>
        <v>4571.0272809386142</v>
      </c>
      <c r="N177" s="577">
        <f t="shared" si="314"/>
        <v>6177.4420681332003</v>
      </c>
      <c r="O177" s="577">
        <f t="shared" si="314"/>
        <v>7781.853675257702</v>
      </c>
      <c r="P177" s="577">
        <f t="shared" si="314"/>
        <v>9387.758931998289</v>
      </c>
      <c r="Q177" s="577">
        <f t="shared" si="314"/>
        <v>12209.972811715043</v>
      </c>
      <c r="R177" s="577">
        <f t="shared" si="314"/>
        <v>15296.874610967056</v>
      </c>
      <c r="S177" s="577">
        <f t="shared" si="314"/>
        <v>19937.90744335077</v>
      </c>
      <c r="T177" s="577">
        <f t="shared" si="314"/>
        <v>31437.256897890598</v>
      </c>
      <c r="U177" s="577">
        <f t="shared" si="314"/>
        <v>67558.637911060985</v>
      </c>
      <c r="V177" s="577">
        <f t="shared" si="314"/>
        <v>77172.653864845794</v>
      </c>
      <c r="W177" s="577">
        <f t="shared" si="314"/>
        <v>78523.291905032267</v>
      </c>
      <c r="X177" s="577">
        <f t="shared" si="314"/>
        <v>79880.370356925603</v>
      </c>
      <c r="Y177" s="577">
        <f t="shared" si="314"/>
        <v>81237.506710276211</v>
      </c>
      <c r="Z177" s="577">
        <f t="shared" si="314"/>
        <v>82594.709119994106</v>
      </c>
      <c r="AA177" s="577">
        <f t="shared" si="314"/>
        <v>83951.988376079215</v>
      </c>
      <c r="AB177" s="577">
        <f t="shared" si="314"/>
        <v>85309.356807751581</v>
      </c>
      <c r="AC177" s="577">
        <f t="shared" si="314"/>
        <v>86666.828472269815</v>
      </c>
      <c r="AD177" s="577">
        <f t="shared" si="314"/>
        <v>88024.41936326673</v>
      </c>
      <c r="AE177" s="577">
        <f t="shared" si="314"/>
        <v>89375.294757664538</v>
      </c>
      <c r="AF177" s="577">
        <f t="shared" si="314"/>
        <v>90733.175435192607</v>
      </c>
      <c r="AG177" s="577">
        <f t="shared" si="314"/>
        <v>92091.241934555524</v>
      </c>
      <c r="AH177" s="752">
        <f t="shared" si="314"/>
        <v>93449.515803435293</v>
      </c>
      <c r="AI177" s="18"/>
      <c r="AJ177" s="18"/>
      <c r="AK177" s="18"/>
      <c r="AL177" s="18"/>
      <c r="AM177" s="18"/>
      <c r="AN177" s="18"/>
    </row>
    <row r="178" spans="2:40" ht="21.95" customHeight="1" x14ac:dyDescent="0.2">
      <c r="B178" s="232"/>
      <c r="C178" s="715"/>
      <c r="D178" s="715"/>
      <c r="E178" s="1340"/>
      <c r="F178" s="116"/>
      <c r="G178" s="116"/>
      <c r="H178" s="720" t="s">
        <v>25</v>
      </c>
      <c r="I178" s="577">
        <f t="shared" ref="I178" si="315">SUM(I176:I177)</f>
        <v>690.9717073170732</v>
      </c>
      <c r="J178" s="577">
        <f t="shared" ref="J178" si="316">SUM(J176:J177)</f>
        <v>1312.8462439024634</v>
      </c>
      <c r="K178" s="577">
        <f t="shared" ref="K178" si="317">SUM(K176:K177)</f>
        <v>1934.7207804895284</v>
      </c>
      <c r="L178" s="577">
        <f t="shared" ref="L178" si="318">SUM(L176:L177)</f>
        <v>4208.6458625531304</v>
      </c>
      <c r="M178" s="577">
        <f t="shared" ref="M178" si="319">SUM(M176:M177)</f>
        <v>6479.431170730486</v>
      </c>
      <c r="N178" s="577">
        <f t="shared" ref="N178" si="320">SUM(N176:N177)</f>
        <v>8756.5241315788116</v>
      </c>
      <c r="O178" s="577">
        <f t="shared" ref="O178" si="321">SUM(O176:O177)</f>
        <v>11030.777584677791</v>
      </c>
      <c r="P178" s="577">
        <f t="shared" ref="P178" si="322">SUM(P176:P177)</f>
        <v>13307.148286107575</v>
      </c>
      <c r="Q178" s="577">
        <f t="shared" ref="Q178" si="323">SUM(Q176:Q177)</f>
        <v>17307.636460606074</v>
      </c>
      <c r="R178" s="577">
        <f t="shared" ref="R178" si="324">SUM(R176:R177)</f>
        <v>21683.319761045801</v>
      </c>
      <c r="S178" s="577">
        <f t="shared" ref="S178" si="325">SUM(S176:S177)</f>
        <v>28261.983800949718</v>
      </c>
      <c r="T178" s="577">
        <f t="shared" ref="T178" si="326">SUM(T176:T177)</f>
        <v>44562.31165275992</v>
      </c>
      <c r="U178" s="577">
        <f t="shared" ref="U178" si="327">SUM(U176:U177)</f>
        <v>95764.36923892895</v>
      </c>
      <c r="V178" s="577">
        <f t="shared" ref="V178" si="328">SUM(V176:V177)</f>
        <v>109392.23685341892</v>
      </c>
      <c r="W178" s="577">
        <f t="shared" ref="W178" si="329">SUM(W176:W177)</f>
        <v>111306.76627538324</v>
      </c>
      <c r="X178" s="577">
        <f t="shared" ref="X178" si="330">SUM(X176:X177)</f>
        <v>113230.42498094204</v>
      </c>
      <c r="Y178" s="577">
        <f t="shared" ref="Y178" si="331">SUM(Y176:Y177)</f>
        <v>115154.16576181652</v>
      </c>
      <c r="Z178" s="577">
        <f t="shared" ref="Z178" si="332">SUM(Z176:Z177)</f>
        <v>117078.00017759165</v>
      </c>
      <c r="AA178" s="577">
        <f t="shared" ref="AA178" si="333">SUM(AA176:AA177)</f>
        <v>119001.94352309228</v>
      </c>
      <c r="AB178" s="577">
        <f t="shared" ref="AB178" si="334">SUM(AB176:AB177)</f>
        <v>120926.01327498787</v>
      </c>
      <c r="AC178" s="577">
        <f t="shared" ref="AC178" si="335">SUM(AC176:AC177)</f>
        <v>122850.22935944246</v>
      </c>
      <c r="AD178" s="577">
        <f t="shared" ref="AD178" si="336">SUM(AD176:AD177)</f>
        <v>124774.61444743059</v>
      </c>
      <c r="AE178" s="577">
        <f t="shared" ref="AE178" si="337">SUM(AE176:AE177)</f>
        <v>126689.48031898949</v>
      </c>
      <c r="AF178" s="577">
        <f t="shared" ref="AF178" si="338">SUM(AF176:AF177)</f>
        <v>128614.27617938552</v>
      </c>
      <c r="AG178" s="577">
        <f t="shared" ref="AG178" si="339">SUM(AG176:AG177)</f>
        <v>130539.33544223246</v>
      </c>
      <c r="AH178" s="752">
        <f t="shared" ref="AH178" si="340">SUM(AH176:AH177)</f>
        <v>132464.68865136954</v>
      </c>
      <c r="AI178" s="18"/>
      <c r="AJ178" s="18"/>
      <c r="AK178" s="18"/>
      <c r="AL178" s="18"/>
      <c r="AM178" s="18"/>
      <c r="AN178" s="18"/>
    </row>
    <row r="179" spans="2:40" ht="21.95" customHeight="1" x14ac:dyDescent="0.2">
      <c r="B179" s="232"/>
      <c r="C179" s="715"/>
      <c r="D179" s="715"/>
      <c r="E179" s="1340"/>
      <c r="F179" s="116" t="s">
        <v>288</v>
      </c>
      <c r="G179" s="116" t="s">
        <v>340</v>
      </c>
      <c r="H179" s="116" t="s">
        <v>20</v>
      </c>
      <c r="I179" s="577">
        <f t="shared" ref="I179:AH179" si="341">I88*$D$11</f>
        <v>649.59343065693429</v>
      </c>
      <c r="J179" s="577">
        <f t="shared" si="341"/>
        <v>1233.9460277615572</v>
      </c>
      <c r="K179" s="577">
        <f t="shared" si="341"/>
        <v>1818.103746836983</v>
      </c>
      <c r="L179" s="577">
        <f t="shared" si="341"/>
        <v>3955.2011743552721</v>
      </c>
      <c r="M179" s="577">
        <f t="shared" si="341"/>
        <v>6092.3852143356899</v>
      </c>
      <c r="N179" s="577">
        <f t="shared" si="341"/>
        <v>8232.297546846652</v>
      </c>
      <c r="O179" s="577">
        <f t="shared" si="341"/>
        <v>10369.394975896617</v>
      </c>
      <c r="P179" s="577">
        <f t="shared" si="341"/>
        <v>12507.791601692985</v>
      </c>
      <c r="Q179" s="577">
        <f t="shared" si="341"/>
        <v>16224.050874811701</v>
      </c>
      <c r="R179" s="577">
        <f t="shared" si="341"/>
        <v>19938.796195045827</v>
      </c>
      <c r="S179" s="577">
        <f t="shared" si="341"/>
        <v>23654.786030911677</v>
      </c>
      <c r="T179" s="577">
        <f t="shared" si="341"/>
        <v>27371.102690578518</v>
      </c>
      <c r="U179" s="577">
        <f t="shared" si="341"/>
        <v>31090.289020903401</v>
      </c>
      <c r="V179" s="577">
        <f t="shared" si="341"/>
        <v>33252.43477061404</v>
      </c>
      <c r="W179" s="577">
        <f t="shared" si="341"/>
        <v>33836.916888776599</v>
      </c>
      <c r="X179" s="577">
        <f t="shared" si="341"/>
        <v>34421.423414092671</v>
      </c>
      <c r="Y179" s="577">
        <f t="shared" si="341"/>
        <v>35005.95841490545</v>
      </c>
      <c r="Z179" s="577">
        <f t="shared" si="341"/>
        <v>35590.331591600145</v>
      </c>
      <c r="AA179" s="577">
        <f t="shared" si="341"/>
        <v>36174.938163731887</v>
      </c>
      <c r="AB179" s="577">
        <f t="shared" si="341"/>
        <v>36759.39426915189</v>
      </c>
      <c r="AC179" s="577">
        <f t="shared" si="341"/>
        <v>37344.096765309449</v>
      </c>
      <c r="AD179" s="577">
        <f t="shared" si="341"/>
        <v>37928.858522423536</v>
      </c>
      <c r="AE179" s="577">
        <f t="shared" si="341"/>
        <v>38513.493375966835</v>
      </c>
      <c r="AF179" s="577">
        <f t="shared" si="341"/>
        <v>39098.401447515353</v>
      </c>
      <c r="AG179" s="577">
        <f t="shared" si="341"/>
        <v>39683.399058085473</v>
      </c>
      <c r="AH179" s="752">
        <f t="shared" si="341"/>
        <v>40268.303848771888</v>
      </c>
      <c r="AI179" s="18"/>
      <c r="AJ179" s="18"/>
      <c r="AK179" s="18"/>
      <c r="AL179" s="18"/>
      <c r="AM179" s="18"/>
      <c r="AN179" s="18"/>
    </row>
    <row r="180" spans="2:40" ht="21.95" customHeight="1" x14ac:dyDescent="0.2">
      <c r="B180" s="232"/>
      <c r="C180" s="715"/>
      <c r="D180" s="715"/>
      <c r="E180" s="1340"/>
      <c r="F180" s="116"/>
      <c r="G180" s="116"/>
      <c r="H180" s="124" t="s">
        <v>19</v>
      </c>
      <c r="I180" s="577">
        <f t="shared" ref="I180:AH180" si="342">I89*$D$12</f>
        <v>1555.9124087591242</v>
      </c>
      <c r="J180" s="577">
        <f t="shared" si="342"/>
        <v>2955.5593479318736</v>
      </c>
      <c r="K180" s="577">
        <f t="shared" si="342"/>
        <v>4354.7395133819955</v>
      </c>
      <c r="L180" s="577">
        <f t="shared" si="342"/>
        <v>9473.5357469587361</v>
      </c>
      <c r="M180" s="577">
        <f t="shared" si="342"/>
        <v>14592.539435534587</v>
      </c>
      <c r="N180" s="577">
        <f t="shared" si="342"/>
        <v>19718.07795651893</v>
      </c>
      <c r="O180" s="577">
        <f t="shared" si="342"/>
        <v>24836.874193764354</v>
      </c>
      <c r="P180" s="577">
        <f t="shared" si="342"/>
        <v>29958.782279504157</v>
      </c>
      <c r="Q180" s="577">
        <f t="shared" si="342"/>
        <v>38860.002095357369</v>
      </c>
      <c r="R180" s="577">
        <f t="shared" si="342"/>
        <v>47757.595676756471</v>
      </c>
      <c r="S180" s="577">
        <f t="shared" si="342"/>
        <v>56658.17013392019</v>
      </c>
      <c r="T180" s="577">
        <f t="shared" si="342"/>
        <v>65559.527402583277</v>
      </c>
      <c r="U180" s="577">
        <f t="shared" si="342"/>
        <v>74467.758133900366</v>
      </c>
      <c r="V180" s="577">
        <f t="shared" si="342"/>
        <v>79646.550348776145</v>
      </c>
      <c r="W180" s="577">
        <f t="shared" si="342"/>
        <v>81046.507518027793</v>
      </c>
      <c r="X180" s="577">
        <f t="shared" si="342"/>
        <v>82446.523147527361</v>
      </c>
      <c r="Y180" s="577">
        <f t="shared" si="342"/>
        <v>83846.606981809469</v>
      </c>
      <c r="Z180" s="577">
        <f t="shared" si="342"/>
        <v>85246.303213413528</v>
      </c>
      <c r="AA180" s="577">
        <f t="shared" si="342"/>
        <v>86646.558476004531</v>
      </c>
      <c r="AB180" s="577">
        <f t="shared" si="342"/>
        <v>88046.453339285974</v>
      </c>
      <c r="AC180" s="577">
        <f t="shared" si="342"/>
        <v>89446.938360022643</v>
      </c>
      <c r="AD180" s="577">
        <f t="shared" si="342"/>
        <v>90847.565323170144</v>
      </c>
      <c r="AE180" s="577">
        <f t="shared" si="342"/>
        <v>92247.888325669075</v>
      </c>
      <c r="AF180" s="577">
        <f t="shared" si="342"/>
        <v>93648.865742551745</v>
      </c>
      <c r="AG180" s="577">
        <f t="shared" si="342"/>
        <v>95050.057624156834</v>
      </c>
      <c r="AH180" s="752">
        <f t="shared" si="342"/>
        <v>96451.027182687161</v>
      </c>
      <c r="AI180" s="18"/>
      <c r="AJ180" s="18"/>
      <c r="AK180" s="18"/>
      <c r="AL180" s="18"/>
      <c r="AM180" s="18"/>
      <c r="AN180" s="18"/>
    </row>
    <row r="181" spans="2:40" ht="21.95" customHeight="1" x14ac:dyDescent="0.2">
      <c r="B181" s="232"/>
      <c r="C181" s="715"/>
      <c r="D181" s="715"/>
      <c r="E181" s="1340"/>
      <c r="F181" s="116"/>
      <c r="G181" s="116"/>
      <c r="H181" s="720" t="s">
        <v>25</v>
      </c>
      <c r="I181" s="577">
        <f t="shared" ref="I181" si="343">SUM(I179:I180)</f>
        <v>2205.5058394160587</v>
      </c>
      <c r="J181" s="577">
        <f t="shared" ref="J181" si="344">SUM(J179:J180)</f>
        <v>4189.5053756934303</v>
      </c>
      <c r="K181" s="577">
        <f t="shared" ref="K181" si="345">SUM(K179:K180)</f>
        <v>6172.8432602189787</v>
      </c>
      <c r="L181" s="577">
        <f t="shared" ref="L181" si="346">SUM(L179:L180)</f>
        <v>13428.736921314008</v>
      </c>
      <c r="M181" s="577">
        <f t="shared" ref="M181" si="347">SUM(M179:M180)</f>
        <v>20684.924649870278</v>
      </c>
      <c r="N181" s="577">
        <f t="shared" ref="N181" si="348">SUM(N179:N180)</f>
        <v>27950.375503365583</v>
      </c>
      <c r="O181" s="577">
        <f t="shared" ref="O181" si="349">SUM(O179:O180)</f>
        <v>35206.269169660969</v>
      </c>
      <c r="P181" s="577">
        <f t="shared" ref="P181" si="350">SUM(P179:P180)</f>
        <v>42466.573881197139</v>
      </c>
      <c r="Q181" s="577">
        <f t="shared" ref="Q181" si="351">SUM(Q179:Q180)</f>
        <v>55084.052970169068</v>
      </c>
      <c r="R181" s="577">
        <f t="shared" ref="R181" si="352">SUM(R179:R180)</f>
        <v>67696.391871802305</v>
      </c>
      <c r="S181" s="577">
        <f t="shared" ref="S181" si="353">SUM(S179:S180)</f>
        <v>80312.956164831863</v>
      </c>
      <c r="T181" s="577">
        <f t="shared" ref="T181" si="354">SUM(T179:T180)</f>
        <v>92930.630093161803</v>
      </c>
      <c r="U181" s="577">
        <f t="shared" ref="U181" si="355">SUM(U179:U180)</f>
        <v>105558.04715480376</v>
      </c>
      <c r="V181" s="577">
        <f t="shared" ref="V181" si="356">SUM(V179:V180)</f>
        <v>112898.98511939018</v>
      </c>
      <c r="W181" s="577">
        <f t="shared" ref="W181" si="357">SUM(W179:W180)</f>
        <v>114883.42440680439</v>
      </c>
      <c r="X181" s="577">
        <f t="shared" ref="X181" si="358">SUM(X179:X180)</f>
        <v>116867.94656162003</v>
      </c>
      <c r="Y181" s="577">
        <f t="shared" ref="Y181" si="359">SUM(Y179:Y180)</f>
        <v>118852.56539671493</v>
      </c>
      <c r="Z181" s="577">
        <f t="shared" ref="Z181" si="360">SUM(Z179:Z180)</f>
        <v>120836.63480501367</v>
      </c>
      <c r="AA181" s="577">
        <f t="shared" ref="AA181" si="361">SUM(AA179:AA180)</f>
        <v>122821.49663973642</v>
      </c>
      <c r="AB181" s="577">
        <f t="shared" ref="AB181" si="362">SUM(AB179:AB180)</f>
        <v>124805.84760843786</v>
      </c>
      <c r="AC181" s="577">
        <f t="shared" ref="AC181" si="363">SUM(AC179:AC180)</f>
        <v>126791.0351253321</v>
      </c>
      <c r="AD181" s="577">
        <f t="shared" ref="AD181" si="364">SUM(AD179:AD180)</f>
        <v>128776.42384559367</v>
      </c>
      <c r="AE181" s="577">
        <f t="shared" ref="AE181" si="365">SUM(AE179:AE180)</f>
        <v>130761.38170163591</v>
      </c>
      <c r="AF181" s="577">
        <f t="shared" ref="AF181" si="366">SUM(AF179:AF180)</f>
        <v>132747.2671900671</v>
      </c>
      <c r="AG181" s="577">
        <f t="shared" ref="AG181" si="367">SUM(AG179:AG180)</f>
        <v>134733.45668224231</v>
      </c>
      <c r="AH181" s="752">
        <f t="shared" ref="AH181" si="368">SUM(AH179:AH180)</f>
        <v>136719.33103145903</v>
      </c>
      <c r="AI181" s="18"/>
      <c r="AJ181" s="18"/>
      <c r="AK181" s="18"/>
      <c r="AL181" s="18"/>
      <c r="AM181" s="18"/>
      <c r="AN181" s="18"/>
    </row>
    <row r="182" spans="2:40" ht="21.95" customHeight="1" x14ac:dyDescent="0.2">
      <c r="B182" s="232"/>
      <c r="C182" s="715"/>
      <c r="D182" s="715"/>
      <c r="E182" s="1340"/>
      <c r="F182" s="116" t="s">
        <v>340</v>
      </c>
      <c r="G182" s="116" t="s">
        <v>280</v>
      </c>
      <c r="H182" s="116" t="s">
        <v>20</v>
      </c>
      <c r="I182" s="577">
        <f t="shared" ref="I182:AH182" si="369">I91*$D$11</f>
        <v>934.34671532846721</v>
      </c>
      <c r="J182" s="577">
        <f t="shared" si="369"/>
        <v>1774.8538755474451</v>
      </c>
      <c r="K182" s="577">
        <f t="shared" si="369"/>
        <v>2615.0807317518252</v>
      </c>
      <c r="L182" s="577">
        <f t="shared" si="369"/>
        <v>5688.9879905110074</v>
      </c>
      <c r="M182" s="577">
        <f t="shared" si="369"/>
        <v>8763.0198288390056</v>
      </c>
      <c r="N182" s="577">
        <f t="shared" si="369"/>
        <v>11840.975923546557</v>
      </c>
      <c r="O182" s="577">
        <f t="shared" si="369"/>
        <v>14914.883184508839</v>
      </c>
      <c r="P182" s="577">
        <f t="shared" si="369"/>
        <v>17990.65915312005</v>
      </c>
      <c r="Q182" s="577">
        <f t="shared" si="369"/>
        <v>23335.963587057926</v>
      </c>
      <c r="R182" s="577">
        <f t="shared" si="369"/>
        <v>28679.090417531668</v>
      </c>
      <c r="S182" s="577">
        <f t="shared" si="369"/>
        <v>34024.007304735984</v>
      </c>
      <c r="T182" s="577">
        <f t="shared" si="369"/>
        <v>39369.394280969107</v>
      </c>
      <c r="U182" s="577">
        <f t="shared" si="369"/>
        <v>44718.90886568297</v>
      </c>
      <c r="V182" s="577">
        <f t="shared" si="369"/>
        <v>47828.844533074989</v>
      </c>
      <c r="W182" s="577">
        <f t="shared" si="369"/>
        <v>48669.537990706078</v>
      </c>
      <c r="X182" s="577">
        <f t="shared" si="369"/>
        <v>49510.266554516857</v>
      </c>
      <c r="Y182" s="577">
        <f t="shared" si="369"/>
        <v>50351.036076233861</v>
      </c>
      <c r="Z182" s="577">
        <f t="shared" si="369"/>
        <v>51191.572837233092</v>
      </c>
      <c r="AA182" s="577">
        <f t="shared" si="369"/>
        <v>52032.445303997927</v>
      </c>
      <c r="AB182" s="577">
        <f t="shared" si="369"/>
        <v>52873.101346040392</v>
      </c>
      <c r="AC182" s="577">
        <f t="shared" si="369"/>
        <v>53714.111785719077</v>
      </c>
      <c r="AD182" s="577">
        <f t="shared" si="369"/>
        <v>54555.207463759878</v>
      </c>
      <c r="AE182" s="577">
        <f t="shared" si="369"/>
        <v>55396.12060926736</v>
      </c>
      <c r="AF182" s="577">
        <f t="shared" si="369"/>
        <v>56237.426739576877</v>
      </c>
      <c r="AG182" s="577">
        <f t="shared" si="369"/>
        <v>57078.861658890077</v>
      </c>
      <c r="AH182" s="752">
        <f t="shared" si="369"/>
        <v>57920.163070151357</v>
      </c>
      <c r="AI182" s="18"/>
      <c r="AJ182" s="18"/>
      <c r="AK182" s="18"/>
      <c r="AL182" s="18"/>
      <c r="AM182" s="18"/>
      <c r="AN182" s="18"/>
    </row>
    <row r="183" spans="2:40" ht="21.95" customHeight="1" x14ac:dyDescent="0.2">
      <c r="B183" s="232"/>
      <c r="C183" s="715"/>
      <c r="D183" s="715"/>
      <c r="E183" s="1340"/>
      <c r="F183" s="116"/>
      <c r="G183" s="116"/>
      <c r="H183" s="116" t="s">
        <v>19</v>
      </c>
      <c r="I183" s="577">
        <f t="shared" ref="I183:AH183" si="370">I92*$D$12</f>
        <v>2237.9562043795622</v>
      </c>
      <c r="J183" s="577">
        <f t="shared" si="370"/>
        <v>4251.1470072992697</v>
      </c>
      <c r="K183" s="577">
        <f t="shared" si="370"/>
        <v>6263.6664233576657</v>
      </c>
      <c r="L183" s="577">
        <f t="shared" si="370"/>
        <v>13626.318540146127</v>
      </c>
      <c r="M183" s="577">
        <f t="shared" si="370"/>
        <v>20989.269051111391</v>
      </c>
      <c r="N183" s="577">
        <f t="shared" si="370"/>
        <v>28361.61897855463</v>
      </c>
      <c r="O183" s="577">
        <f t="shared" si="370"/>
        <v>35724.271100619975</v>
      </c>
      <c r="P183" s="577">
        <f t="shared" si="370"/>
        <v>43091.399169149823</v>
      </c>
      <c r="Q183" s="577">
        <f t="shared" si="370"/>
        <v>55894.523561815397</v>
      </c>
      <c r="R183" s="577">
        <f t="shared" si="370"/>
        <v>68692.43213780041</v>
      </c>
      <c r="S183" s="577">
        <f t="shared" si="370"/>
        <v>81494.628274816729</v>
      </c>
      <c r="T183" s="577">
        <f t="shared" si="370"/>
        <v>94297.9503735787</v>
      </c>
      <c r="U183" s="577">
        <f t="shared" si="370"/>
        <v>107111.1589597197</v>
      </c>
      <c r="V183" s="577">
        <f t="shared" si="370"/>
        <v>114560.10666604788</v>
      </c>
      <c r="W183" s="577">
        <f t="shared" si="370"/>
        <v>116573.74369031396</v>
      </c>
      <c r="X183" s="577">
        <f t="shared" si="370"/>
        <v>118587.46480123798</v>
      </c>
      <c r="Y183" s="577">
        <f t="shared" si="370"/>
        <v>120601.28401493141</v>
      </c>
      <c r="Z183" s="577">
        <f t="shared" si="370"/>
        <v>122614.54571792358</v>
      </c>
      <c r="AA183" s="577">
        <f t="shared" si="370"/>
        <v>124628.61150658187</v>
      </c>
      <c r="AB183" s="577">
        <f t="shared" si="370"/>
        <v>126642.1589126716</v>
      </c>
      <c r="AC183" s="577">
        <f t="shared" si="370"/>
        <v>128656.55517537503</v>
      </c>
      <c r="AD183" s="577">
        <f t="shared" si="370"/>
        <v>130671.15560182008</v>
      </c>
      <c r="AE183" s="577">
        <f t="shared" si="370"/>
        <v>132685.31882459248</v>
      </c>
      <c r="AF183" s="577">
        <f t="shared" si="370"/>
        <v>134700.42332832786</v>
      </c>
      <c r="AG183" s="577">
        <f t="shared" si="370"/>
        <v>136715.83630871875</v>
      </c>
      <c r="AH183" s="752">
        <f t="shared" si="370"/>
        <v>138730.92950934457</v>
      </c>
      <c r="AI183" s="18"/>
      <c r="AJ183" s="18"/>
      <c r="AK183" s="18"/>
      <c r="AL183" s="18"/>
      <c r="AM183" s="18"/>
      <c r="AN183" s="18"/>
    </row>
    <row r="184" spans="2:40" ht="21.95" customHeight="1" x14ac:dyDescent="0.2">
      <c r="B184" s="232"/>
      <c r="C184" s="715"/>
      <c r="D184" s="715"/>
      <c r="E184" s="1340"/>
      <c r="F184" s="254"/>
      <c r="G184" s="254"/>
      <c r="H184" s="721" t="s">
        <v>25</v>
      </c>
      <c r="I184" s="587">
        <f t="shared" ref="I184" si="371">SUM(I182:I183)</f>
        <v>3172.3029197080295</v>
      </c>
      <c r="J184" s="587">
        <f t="shared" ref="J184" si="372">SUM(J182:J183)</f>
        <v>6026.0008828467144</v>
      </c>
      <c r="K184" s="587">
        <f t="shared" ref="K184" si="373">SUM(K182:K183)</f>
        <v>8878.7471551094914</v>
      </c>
      <c r="L184" s="587">
        <f t="shared" ref="L184" si="374">SUM(L182:L183)</f>
        <v>19315.306530657133</v>
      </c>
      <c r="M184" s="587">
        <f t="shared" ref="M184" si="375">SUM(M182:M183)</f>
        <v>29752.288879950396</v>
      </c>
      <c r="N184" s="587">
        <f t="shared" ref="N184" si="376">SUM(N182:N183)</f>
        <v>40202.594902101191</v>
      </c>
      <c r="O184" s="587">
        <f t="shared" ref="O184" si="377">SUM(O182:O183)</f>
        <v>50639.15428512881</v>
      </c>
      <c r="P184" s="587">
        <f t="shared" ref="P184" si="378">SUM(P182:P183)</f>
        <v>61082.058322269877</v>
      </c>
      <c r="Q184" s="587">
        <f t="shared" ref="Q184" si="379">SUM(Q182:Q183)</f>
        <v>79230.487148873319</v>
      </c>
      <c r="R184" s="587">
        <f t="shared" ref="R184" si="380">SUM(R182:R183)</f>
        <v>97371.522555332078</v>
      </c>
      <c r="S184" s="587">
        <f t="shared" ref="S184" si="381">SUM(S182:S183)</f>
        <v>115518.63557955271</v>
      </c>
      <c r="T184" s="587">
        <f t="shared" ref="T184" si="382">SUM(T182:T183)</f>
        <v>133667.34465454781</v>
      </c>
      <c r="U184" s="587">
        <f t="shared" ref="U184" si="383">SUM(U182:U183)</f>
        <v>151830.06782540266</v>
      </c>
      <c r="V184" s="587">
        <f t="shared" ref="V184" si="384">SUM(V182:V183)</f>
        <v>162388.95119912288</v>
      </c>
      <c r="W184" s="587">
        <f t="shared" ref="W184" si="385">SUM(W182:W183)</f>
        <v>165243.28168102005</v>
      </c>
      <c r="X184" s="587">
        <f t="shared" ref="X184" si="386">SUM(X182:X183)</f>
        <v>168097.73135575483</v>
      </c>
      <c r="Y184" s="587">
        <f t="shared" ref="Y184" si="387">SUM(Y182:Y183)</f>
        <v>170952.32009116528</v>
      </c>
      <c r="Z184" s="587">
        <f t="shared" ref="Z184" si="388">SUM(Z182:Z183)</f>
        <v>173806.11855515669</v>
      </c>
      <c r="AA184" s="587">
        <f t="shared" ref="AA184" si="389">SUM(AA182:AA183)</f>
        <v>176661.05681057979</v>
      </c>
      <c r="AB184" s="587">
        <f t="shared" ref="AB184" si="390">SUM(AB182:AB183)</f>
        <v>179515.26025871199</v>
      </c>
      <c r="AC184" s="587">
        <f t="shared" ref="AC184" si="391">SUM(AC182:AC183)</f>
        <v>182370.6669610941</v>
      </c>
      <c r="AD184" s="587">
        <f t="shared" ref="AD184" si="392">SUM(AD182:AD183)</f>
        <v>185226.36306557996</v>
      </c>
      <c r="AE184" s="587">
        <f t="shared" ref="AE184" si="393">SUM(AE182:AE183)</f>
        <v>188081.43943385984</v>
      </c>
      <c r="AF184" s="587">
        <f t="shared" ref="AF184" si="394">SUM(AF182:AF183)</f>
        <v>190937.85006790474</v>
      </c>
      <c r="AG184" s="587">
        <f t="shared" ref="AG184" si="395">SUM(AG182:AG183)</f>
        <v>193794.69796760881</v>
      </c>
      <c r="AH184" s="754">
        <f t="shared" ref="AH184" si="396">SUM(AH182:AH183)</f>
        <v>196651.09257949592</v>
      </c>
      <c r="AI184" s="18"/>
      <c r="AJ184" s="18"/>
      <c r="AK184" s="18"/>
      <c r="AL184" s="18"/>
      <c r="AM184" s="18"/>
      <c r="AN184" s="18"/>
    </row>
    <row r="185" spans="2:40" ht="21.95" customHeight="1" x14ac:dyDescent="0.2">
      <c r="B185" s="232"/>
      <c r="C185" s="715"/>
      <c r="D185" s="715"/>
      <c r="E185" s="1340" t="s">
        <v>334</v>
      </c>
      <c r="F185" s="116" t="s">
        <v>336</v>
      </c>
      <c r="G185" s="116" t="s">
        <v>337</v>
      </c>
      <c r="H185" s="116" t="s">
        <v>20</v>
      </c>
      <c r="I185" s="577">
        <f t="shared" ref="I185:AH185" si="397">I94*$D$11</f>
        <v>23471.986288130043</v>
      </c>
      <c r="J185" s="577">
        <f t="shared" si="397"/>
        <v>24107.863359884184</v>
      </c>
      <c r="K185" s="577">
        <f t="shared" si="397"/>
        <v>25142.81573392517</v>
      </c>
      <c r="L185" s="577">
        <f t="shared" si="397"/>
        <v>26627.719789409894</v>
      </c>
      <c r="M185" s="577">
        <f t="shared" si="397"/>
        <v>28113.46195711516</v>
      </c>
      <c r="N185" s="577">
        <f t="shared" si="397"/>
        <v>29599.308726347859</v>
      </c>
      <c r="O185" s="577">
        <f t="shared" si="397"/>
        <v>31085.084125523157</v>
      </c>
      <c r="P185" s="577">
        <f t="shared" si="397"/>
        <v>32572.788625383189</v>
      </c>
      <c r="Q185" s="577">
        <f t="shared" si="397"/>
        <v>33896.333786931566</v>
      </c>
      <c r="R185" s="577">
        <f t="shared" si="397"/>
        <v>35221.449072295967</v>
      </c>
      <c r="S185" s="577">
        <f t="shared" si="397"/>
        <v>36547.765318915233</v>
      </c>
      <c r="T185" s="577">
        <f t="shared" si="397"/>
        <v>37876.338406373718</v>
      </c>
      <c r="U185" s="577">
        <f t="shared" si="397"/>
        <v>39209.201583202506</v>
      </c>
      <c r="V185" s="577">
        <f t="shared" si="397"/>
        <v>40089.106324823828</v>
      </c>
      <c r="W185" s="577">
        <f t="shared" si="397"/>
        <v>40733.030576250501</v>
      </c>
      <c r="X185" s="577">
        <f t="shared" si="397"/>
        <v>41378.322817427368</v>
      </c>
      <c r="Y185" s="577">
        <f t="shared" si="397"/>
        <v>42025.18792107817</v>
      </c>
      <c r="Z185" s="577">
        <f t="shared" si="397"/>
        <v>42674.200153622172</v>
      </c>
      <c r="AA185" s="577">
        <f t="shared" si="397"/>
        <v>43324.936993196032</v>
      </c>
      <c r="AB185" s="577">
        <f t="shared" si="397"/>
        <v>43978.379813909174</v>
      </c>
      <c r="AC185" s="577">
        <f t="shared" si="397"/>
        <v>44634.171425217784</v>
      </c>
      <c r="AD185" s="577">
        <f t="shared" si="397"/>
        <v>45293.027844924305</v>
      </c>
      <c r="AE185" s="577">
        <f t="shared" si="397"/>
        <v>45955.716677145916</v>
      </c>
      <c r="AF185" s="577">
        <f t="shared" si="397"/>
        <v>46622.006648675633</v>
      </c>
      <c r="AG185" s="577">
        <f t="shared" si="397"/>
        <v>47292.768092970924</v>
      </c>
      <c r="AH185" s="752">
        <f t="shared" si="397"/>
        <v>47968.941304060201</v>
      </c>
      <c r="AI185" s="18"/>
      <c r="AJ185" s="18"/>
      <c r="AK185" s="18"/>
      <c r="AL185" s="18"/>
      <c r="AM185" s="18"/>
      <c r="AN185" s="18"/>
    </row>
    <row r="186" spans="2:40" ht="21.95" customHeight="1" x14ac:dyDescent="0.2">
      <c r="B186" s="232"/>
      <c r="C186" s="715"/>
      <c r="D186" s="715"/>
      <c r="E186" s="1340"/>
      <c r="F186" s="116"/>
      <c r="G186" s="116"/>
      <c r="H186" s="124" t="s">
        <v>19</v>
      </c>
      <c r="I186" s="577">
        <f t="shared" ref="I186:AH186" si="398">I95*$D$12</f>
        <v>36141.638424836681</v>
      </c>
      <c r="J186" s="577">
        <f t="shared" si="398"/>
        <v>37120.747688444426</v>
      </c>
      <c r="K186" s="577">
        <f t="shared" si="398"/>
        <v>38714.344158310778</v>
      </c>
      <c r="L186" s="577">
        <f t="shared" si="398"/>
        <v>41000.766142803936</v>
      </c>
      <c r="M186" s="577">
        <f t="shared" si="398"/>
        <v>43288.478633710249</v>
      </c>
      <c r="N186" s="577">
        <f t="shared" si="398"/>
        <v>45576.352187704142</v>
      </c>
      <c r="O186" s="577">
        <f t="shared" si="398"/>
        <v>47864.115847683221</v>
      </c>
      <c r="P186" s="577">
        <f t="shared" si="398"/>
        <v>50154.849893661027</v>
      </c>
      <c r="Q186" s="577">
        <f t="shared" si="398"/>
        <v>52192.815069697877</v>
      </c>
      <c r="R186" s="577">
        <f t="shared" si="398"/>
        <v>54233.197887196526</v>
      </c>
      <c r="S186" s="577">
        <f t="shared" si="398"/>
        <v>56275.429917919086</v>
      </c>
      <c r="T186" s="577">
        <f t="shared" si="398"/>
        <v>58321.136981584852</v>
      </c>
      <c r="U186" s="577">
        <f t="shared" si="398"/>
        <v>60373.449828712153</v>
      </c>
      <c r="V186" s="577">
        <f t="shared" si="398"/>
        <v>61728.307429155589</v>
      </c>
      <c r="W186" s="577">
        <f t="shared" si="398"/>
        <v>62719.807559667155</v>
      </c>
      <c r="X186" s="577">
        <f t="shared" si="398"/>
        <v>63713.414090136241</v>
      </c>
      <c r="Y186" s="577">
        <f t="shared" si="398"/>
        <v>64709.442478991194</v>
      </c>
      <c r="Z186" s="577">
        <f t="shared" si="398"/>
        <v>65708.776968793754</v>
      </c>
      <c r="AA186" s="577">
        <f t="shared" si="398"/>
        <v>66710.766969848468</v>
      </c>
      <c r="AB186" s="577">
        <f t="shared" si="398"/>
        <v>67716.923580014118</v>
      </c>
      <c r="AC186" s="577">
        <f t="shared" si="398"/>
        <v>68726.696805296844</v>
      </c>
      <c r="AD186" s="577">
        <f t="shared" si="398"/>
        <v>69741.189153861211</v>
      </c>
      <c r="AE186" s="577">
        <f t="shared" si="398"/>
        <v>70761.582565323042</v>
      </c>
      <c r="AF186" s="577">
        <f t="shared" si="398"/>
        <v>71787.520930381637</v>
      </c>
      <c r="AG186" s="577">
        <f t="shared" si="398"/>
        <v>72820.344368988575</v>
      </c>
      <c r="AH186" s="752">
        <f t="shared" si="398"/>
        <v>73861.500724814672</v>
      </c>
      <c r="AI186" s="18"/>
      <c r="AJ186" s="18"/>
      <c r="AK186" s="18"/>
      <c r="AL186" s="18"/>
      <c r="AM186" s="18"/>
      <c r="AN186" s="18"/>
    </row>
    <row r="187" spans="2:40" ht="21.95" customHeight="1" x14ac:dyDescent="0.2">
      <c r="B187" s="232"/>
      <c r="C187" s="715"/>
      <c r="D187" s="715"/>
      <c r="E187" s="1340"/>
      <c r="F187" s="116"/>
      <c r="G187" s="116"/>
      <c r="H187" s="721" t="s">
        <v>25</v>
      </c>
      <c r="I187" s="577">
        <f t="shared" ref="I187" si="399">SUM(I185:I186)</f>
        <v>59613.624712966724</v>
      </c>
      <c r="J187" s="577">
        <f t="shared" ref="J187" si="400">SUM(J185:J186)</f>
        <v>61228.61104832861</v>
      </c>
      <c r="K187" s="577">
        <f t="shared" ref="K187" si="401">SUM(K185:K186)</f>
        <v>63857.159892235948</v>
      </c>
      <c r="L187" s="577">
        <f t="shared" ref="L187" si="402">SUM(L185:L186)</f>
        <v>67628.485932213836</v>
      </c>
      <c r="M187" s="577">
        <f t="shared" ref="M187" si="403">SUM(M185:M186)</f>
        <v>71401.940590825412</v>
      </c>
      <c r="N187" s="577">
        <f t="shared" ref="N187" si="404">SUM(N185:N186)</f>
        <v>75175.660914052001</v>
      </c>
      <c r="O187" s="577">
        <f t="shared" ref="O187" si="405">SUM(O185:O186)</f>
        <v>78949.199973206385</v>
      </c>
      <c r="P187" s="577">
        <f t="shared" ref="P187" si="406">SUM(P185:P186)</f>
        <v>82727.638519044209</v>
      </c>
      <c r="Q187" s="577">
        <f t="shared" ref="Q187" si="407">SUM(Q185:Q186)</f>
        <v>86089.148856629443</v>
      </c>
      <c r="R187" s="577">
        <f t="shared" ref="R187" si="408">SUM(R185:R186)</f>
        <v>89454.6469594925</v>
      </c>
      <c r="S187" s="577">
        <f t="shared" ref="S187" si="409">SUM(S185:S186)</f>
        <v>92823.195236834319</v>
      </c>
      <c r="T187" s="577">
        <f t="shared" ref="T187" si="410">SUM(T185:T186)</f>
        <v>96197.475387958577</v>
      </c>
      <c r="U187" s="577">
        <f t="shared" ref="U187" si="411">SUM(U185:U186)</f>
        <v>99582.65141191466</v>
      </c>
      <c r="V187" s="577">
        <f t="shared" ref="V187" si="412">SUM(V185:V186)</f>
        <v>101817.41375397942</v>
      </c>
      <c r="W187" s="577">
        <f t="shared" ref="W187" si="413">SUM(W185:W186)</f>
        <v>103452.83813591766</v>
      </c>
      <c r="X187" s="577">
        <f t="shared" ref="X187" si="414">SUM(X185:X186)</f>
        <v>105091.73690756361</v>
      </c>
      <c r="Y187" s="577">
        <f t="shared" ref="Y187" si="415">SUM(Y185:Y186)</f>
        <v>106734.63040006936</v>
      </c>
      <c r="Z187" s="577">
        <f t="shared" ref="Z187" si="416">SUM(Z185:Z186)</f>
        <v>108382.97712241593</v>
      </c>
      <c r="AA187" s="577">
        <f t="shared" ref="AA187" si="417">SUM(AA185:AA186)</f>
        <v>110035.70396304451</v>
      </c>
      <c r="AB187" s="577">
        <f t="shared" ref="AB187" si="418">SUM(AB185:AB186)</f>
        <v>111695.3033939233</v>
      </c>
      <c r="AC187" s="577">
        <f t="shared" ref="AC187" si="419">SUM(AC185:AC186)</f>
        <v>113360.86823051464</v>
      </c>
      <c r="AD187" s="577">
        <f t="shared" ref="AD187" si="420">SUM(AD185:AD186)</f>
        <v>115034.21699878552</v>
      </c>
      <c r="AE187" s="577">
        <f t="shared" ref="AE187" si="421">SUM(AE185:AE186)</f>
        <v>116717.29924246896</v>
      </c>
      <c r="AF187" s="577">
        <f t="shared" ref="AF187" si="422">SUM(AF185:AF186)</f>
        <v>118409.52757905726</v>
      </c>
      <c r="AG187" s="577">
        <f t="shared" ref="AG187" si="423">SUM(AG185:AG186)</f>
        <v>120113.11246195951</v>
      </c>
      <c r="AH187" s="752">
        <f t="shared" ref="AH187" si="424">SUM(AH185:AH186)</f>
        <v>121830.44202887488</v>
      </c>
      <c r="AI187" s="18"/>
      <c r="AJ187" s="18"/>
      <c r="AK187" s="18"/>
      <c r="AL187" s="18"/>
      <c r="AM187" s="18"/>
      <c r="AN187" s="18"/>
    </row>
    <row r="188" spans="2:40" ht="21.95" customHeight="1" x14ac:dyDescent="0.2">
      <c r="B188" s="232"/>
      <c r="C188" s="715"/>
      <c r="D188" s="715"/>
      <c r="E188" s="1340"/>
      <c r="F188" s="116" t="s">
        <v>337</v>
      </c>
      <c r="G188" s="116" t="s">
        <v>386</v>
      </c>
      <c r="H188" s="116" t="s">
        <v>20</v>
      </c>
      <c r="I188" s="577">
        <f t="shared" ref="I188:AH188" si="425">I97*$D$11</f>
        <v>38797.141308020218</v>
      </c>
      <c r="J188" s="577">
        <f t="shared" si="425"/>
        <v>39604.833568472277</v>
      </c>
      <c r="K188" s="577">
        <f t="shared" si="425"/>
        <v>41522.572326279063</v>
      </c>
      <c r="L188" s="577">
        <f t="shared" si="425"/>
        <v>43628.703638065163</v>
      </c>
      <c r="M188" s="577">
        <f t="shared" si="425"/>
        <v>45745.476614720916</v>
      </c>
      <c r="N188" s="577">
        <f t="shared" si="425"/>
        <v>47871.281339175424</v>
      </c>
      <c r="O188" s="577">
        <f t="shared" si="425"/>
        <v>50011.440127973379</v>
      </c>
      <c r="P188" s="577">
        <f t="shared" si="425"/>
        <v>52178.984081418108</v>
      </c>
      <c r="Q188" s="577">
        <f t="shared" si="425"/>
        <v>53385.911555022874</v>
      </c>
      <c r="R188" s="577">
        <f t="shared" si="425"/>
        <v>54607.342879327371</v>
      </c>
      <c r="S188" s="577">
        <f t="shared" si="425"/>
        <v>55842.25298912391</v>
      </c>
      <c r="T188" s="577">
        <f t="shared" si="425"/>
        <v>57097.618037435212</v>
      </c>
      <c r="U188" s="577">
        <f t="shared" si="425"/>
        <v>58373.389557820061</v>
      </c>
      <c r="V188" s="577">
        <f t="shared" si="425"/>
        <v>59467.107157916842</v>
      </c>
      <c r="W188" s="577">
        <f t="shared" si="425"/>
        <v>60429.523035241386</v>
      </c>
      <c r="X188" s="577">
        <f t="shared" si="425"/>
        <v>61412.648050120493</v>
      </c>
      <c r="Y188" s="577">
        <f t="shared" si="425"/>
        <v>62416.993066573763</v>
      </c>
      <c r="Z188" s="577">
        <f t="shared" si="425"/>
        <v>63445.368714205957</v>
      </c>
      <c r="AA188" s="577">
        <f t="shared" si="425"/>
        <v>64500.911805536918</v>
      </c>
      <c r="AB188" s="577">
        <f t="shared" si="425"/>
        <v>65587.117987762627</v>
      </c>
      <c r="AC188" s="577">
        <f t="shared" si="425"/>
        <v>66707.87716110998</v>
      </c>
      <c r="AD188" s="577">
        <f t="shared" si="425"/>
        <v>67867.511852606302</v>
      </c>
      <c r="AE188" s="577">
        <f t="shared" si="425"/>
        <v>69070.818747990532</v>
      </c>
      <c r="AF188" s="577">
        <f t="shared" si="425"/>
        <v>70323.113595468443</v>
      </c>
      <c r="AG188" s="577">
        <f t="shared" si="425"/>
        <v>71627.477516267987</v>
      </c>
      <c r="AH188" s="752">
        <f t="shared" si="425"/>
        <v>72995.882156200285</v>
      </c>
      <c r="AI188" s="18"/>
      <c r="AJ188" s="18"/>
      <c r="AK188" s="18"/>
      <c r="AL188" s="18"/>
      <c r="AM188" s="18"/>
      <c r="AN188" s="18"/>
    </row>
    <row r="189" spans="2:40" ht="21.95" customHeight="1" x14ac:dyDescent="0.2">
      <c r="B189" s="232"/>
      <c r="C189" s="715"/>
      <c r="D189" s="715"/>
      <c r="E189" s="1340"/>
      <c r="F189" s="116"/>
      <c r="G189" s="116"/>
      <c r="H189" s="124" t="s">
        <v>19</v>
      </c>
      <c r="I189" s="577">
        <f t="shared" ref="I189:AH189" si="426">I98*$D$12</f>
        <v>59738.968652212476</v>
      </c>
      <c r="J189" s="577">
        <f t="shared" si="426"/>
        <v>60982.635092600583</v>
      </c>
      <c r="K189" s="577">
        <f t="shared" si="426"/>
        <v>63935.526250900184</v>
      </c>
      <c r="L189" s="577">
        <f t="shared" si="426"/>
        <v>67178.500041503241</v>
      </c>
      <c r="M189" s="577">
        <f t="shared" si="426"/>
        <v>70437.859629168219</v>
      </c>
      <c r="N189" s="577">
        <f t="shared" si="426"/>
        <v>73711.12609967131</v>
      </c>
      <c r="O189" s="577">
        <f t="shared" si="426"/>
        <v>77006.494636742573</v>
      </c>
      <c r="P189" s="577">
        <f t="shared" si="426"/>
        <v>80344.030236571925</v>
      </c>
      <c r="Q189" s="577">
        <f t="shared" si="426"/>
        <v>82202.430110385947</v>
      </c>
      <c r="R189" s="577">
        <f t="shared" si="426"/>
        <v>84083.162688442477</v>
      </c>
      <c r="S189" s="577">
        <f t="shared" si="426"/>
        <v>85984.649598308839</v>
      </c>
      <c r="T189" s="577">
        <f t="shared" si="426"/>
        <v>87917.63256405764</v>
      </c>
      <c r="U189" s="577">
        <f t="shared" si="426"/>
        <v>89882.036958148921</v>
      </c>
      <c r="V189" s="577">
        <f t="shared" si="426"/>
        <v>91566.118806031052</v>
      </c>
      <c r="W189" s="577">
        <f t="shared" si="426"/>
        <v>93048.025203964484</v>
      </c>
      <c r="X189" s="577">
        <f t="shared" si="426"/>
        <v>94561.819067764649</v>
      </c>
      <c r="Y189" s="577">
        <f t="shared" si="426"/>
        <v>96108.287014399291</v>
      </c>
      <c r="Z189" s="577">
        <f t="shared" si="426"/>
        <v>97691.756788341067</v>
      </c>
      <c r="AA189" s="577">
        <f t="shared" si="426"/>
        <v>99317.058383204829</v>
      </c>
      <c r="AB189" s="577">
        <f t="shared" si="426"/>
        <v>100989.57431819737</v>
      </c>
      <c r="AC189" s="577">
        <f t="shared" si="426"/>
        <v>102715.29417450637</v>
      </c>
      <c r="AD189" s="577">
        <f t="shared" si="426"/>
        <v>104500.8736823707</v>
      </c>
      <c r="AE189" s="577">
        <f t="shared" si="426"/>
        <v>106353.69867098625</v>
      </c>
      <c r="AF189" s="577">
        <f t="shared" si="426"/>
        <v>108281.95421030212</v>
      </c>
      <c r="AG189" s="577">
        <f t="shared" si="426"/>
        <v>110290.38454172999</v>
      </c>
      <c r="AH189" s="752">
        <f t="shared" si="426"/>
        <v>112397.42333717749</v>
      </c>
      <c r="AI189" s="18"/>
      <c r="AJ189" s="18"/>
      <c r="AK189" s="18"/>
      <c r="AL189" s="18"/>
      <c r="AM189" s="18"/>
      <c r="AN189" s="18"/>
    </row>
    <row r="190" spans="2:40" ht="21.95" customHeight="1" x14ac:dyDescent="0.2">
      <c r="B190" s="232"/>
      <c r="C190" s="715"/>
      <c r="D190" s="715"/>
      <c r="E190" s="1340"/>
      <c r="F190" s="116"/>
      <c r="G190" s="116"/>
      <c r="H190" s="721" t="s">
        <v>25</v>
      </c>
      <c r="I190" s="577">
        <f t="shared" ref="I190" si="427">SUM(I188:I189)</f>
        <v>98536.109960232687</v>
      </c>
      <c r="J190" s="577">
        <f t="shared" ref="J190" si="428">SUM(J188:J189)</f>
        <v>100587.46866107287</v>
      </c>
      <c r="K190" s="577">
        <f t="shared" ref="K190" si="429">SUM(K188:K189)</f>
        <v>105458.09857717925</v>
      </c>
      <c r="L190" s="577">
        <f t="shared" ref="L190" si="430">SUM(L188:L189)</f>
        <v>110807.2036795684</v>
      </c>
      <c r="M190" s="577">
        <f t="shared" ref="M190" si="431">SUM(M188:M189)</f>
        <v>116183.33624388913</v>
      </c>
      <c r="N190" s="577">
        <f t="shared" ref="N190" si="432">SUM(N188:N189)</f>
        <v>121582.40743884674</v>
      </c>
      <c r="O190" s="577">
        <f t="shared" ref="O190" si="433">SUM(O188:O189)</f>
        <v>127017.93476471596</v>
      </c>
      <c r="P190" s="577">
        <f t="shared" ref="P190" si="434">SUM(P188:P189)</f>
        <v>132523.01431799005</v>
      </c>
      <c r="Q190" s="577">
        <f t="shared" ref="Q190" si="435">SUM(Q188:Q189)</f>
        <v>135588.34166540881</v>
      </c>
      <c r="R190" s="577">
        <f t="shared" ref="R190" si="436">SUM(R188:R189)</f>
        <v>138690.50556776984</v>
      </c>
      <c r="S190" s="577">
        <f t="shared" ref="S190" si="437">SUM(S188:S189)</f>
        <v>141826.90258743276</v>
      </c>
      <c r="T190" s="577">
        <f t="shared" ref="T190" si="438">SUM(T188:T189)</f>
        <v>145015.25060149285</v>
      </c>
      <c r="U190" s="577">
        <f t="shared" ref="U190" si="439">SUM(U188:U189)</f>
        <v>148255.42651596898</v>
      </c>
      <c r="V190" s="577">
        <f t="shared" ref="V190" si="440">SUM(V188:V189)</f>
        <v>151033.22596394789</v>
      </c>
      <c r="W190" s="577">
        <f t="shared" ref="W190" si="441">SUM(W188:W189)</f>
        <v>153477.54823920588</v>
      </c>
      <c r="X190" s="577">
        <f t="shared" ref="X190" si="442">SUM(X188:X189)</f>
        <v>155974.46711788513</v>
      </c>
      <c r="Y190" s="577">
        <f t="shared" ref="Y190" si="443">SUM(Y188:Y189)</f>
        <v>158525.28008097305</v>
      </c>
      <c r="Z190" s="577">
        <f t="shared" ref="Z190" si="444">SUM(Z188:Z189)</f>
        <v>161137.12550254702</v>
      </c>
      <c r="AA190" s="577">
        <f t="shared" ref="AA190" si="445">SUM(AA188:AA189)</f>
        <v>163817.97018874175</v>
      </c>
      <c r="AB190" s="577">
        <f t="shared" ref="AB190" si="446">SUM(AB188:AB189)</f>
        <v>166576.69230595999</v>
      </c>
      <c r="AC190" s="577">
        <f t="shared" ref="AC190" si="447">SUM(AC188:AC189)</f>
        <v>169423.17133561635</v>
      </c>
      <c r="AD190" s="577">
        <f t="shared" ref="AD190" si="448">SUM(AD188:AD189)</f>
        <v>172368.38553497702</v>
      </c>
      <c r="AE190" s="577">
        <f t="shared" ref="AE190" si="449">SUM(AE188:AE189)</f>
        <v>175424.51741897679</v>
      </c>
      <c r="AF190" s="577">
        <f t="shared" ref="AF190" si="450">SUM(AF188:AF189)</f>
        <v>178605.06780577055</v>
      </c>
      <c r="AG190" s="577">
        <f t="shared" ref="AG190" si="451">SUM(AG188:AG189)</f>
        <v>181917.86205799796</v>
      </c>
      <c r="AH190" s="752">
        <f t="shared" ref="AH190" si="452">SUM(AH188:AH189)</f>
        <v>185393.30549337779</v>
      </c>
      <c r="AI190" s="18"/>
      <c r="AJ190" s="18"/>
      <c r="AK190" s="18"/>
      <c r="AL190" s="18"/>
      <c r="AM190" s="18"/>
      <c r="AN190" s="18"/>
    </row>
    <row r="191" spans="2:40" ht="21.95" customHeight="1" x14ac:dyDescent="0.2">
      <c r="B191" s="232"/>
      <c r="C191" s="715"/>
      <c r="D191" s="715"/>
      <c r="E191" s="1340"/>
      <c r="F191" s="116" t="s">
        <v>342</v>
      </c>
      <c r="G191" s="116" t="s">
        <v>341</v>
      </c>
      <c r="H191" s="116" t="s">
        <v>20</v>
      </c>
      <c r="I191" s="577">
        <f t="shared" ref="I191:AH191" si="453">I100*$D$11</f>
        <v>56250.281087063988</v>
      </c>
      <c r="J191" s="577">
        <f t="shared" si="453"/>
        <v>57422.102860190411</v>
      </c>
      <c r="K191" s="577">
        <f t="shared" si="453"/>
        <v>60205.249870950327</v>
      </c>
      <c r="L191" s="577">
        <f t="shared" si="453"/>
        <v>63263.748654205621</v>
      </c>
      <c r="M191" s="577">
        <f t="shared" si="453"/>
        <v>66340.828115300363</v>
      </c>
      <c r="N191" s="577">
        <f t="shared" si="453"/>
        <v>69435.784613461787</v>
      </c>
      <c r="O191" s="577">
        <f t="shared" si="453"/>
        <v>72558.692530601315</v>
      </c>
      <c r="P191" s="577">
        <f t="shared" si="453"/>
        <v>75731.874169365416</v>
      </c>
      <c r="Q191" s="577">
        <f t="shared" si="453"/>
        <v>77504.706654747381</v>
      </c>
      <c r="R191" s="577">
        <f t="shared" si="453"/>
        <v>79304.211615628796</v>
      </c>
      <c r="S191" s="577">
        <f t="shared" si="453"/>
        <v>81130.01121815198</v>
      </c>
      <c r="T191" s="577">
        <f t="shared" si="453"/>
        <v>82993.747851924825</v>
      </c>
      <c r="U191" s="577">
        <f t="shared" si="453"/>
        <v>84896.892244494142</v>
      </c>
      <c r="V191" s="577">
        <f t="shared" si="453"/>
        <v>86536.682989081353</v>
      </c>
      <c r="W191" s="577">
        <f t="shared" si="453"/>
        <v>87986.53093713116</v>
      </c>
      <c r="X191" s="577">
        <f t="shared" si="453"/>
        <v>89474.797078756586</v>
      </c>
      <c r="Y191" s="577">
        <f t="shared" si="453"/>
        <v>91003.229640065067</v>
      </c>
      <c r="Z191" s="577">
        <f t="shared" si="453"/>
        <v>92577.148739808006</v>
      </c>
      <c r="AA191" s="577">
        <f t="shared" si="453"/>
        <v>94202.491914214901</v>
      </c>
      <c r="AB191" s="577">
        <f t="shared" si="453"/>
        <v>95885.875922094594</v>
      </c>
      <c r="AC191" s="577">
        <f t="shared" si="453"/>
        <v>97634.66378670097</v>
      </c>
      <c r="AD191" s="577">
        <f t="shared" si="453"/>
        <v>99457.037431775461</v>
      </c>
      <c r="AE191" s="577">
        <f t="shared" si="453"/>
        <v>101362.07629549816</v>
      </c>
      <c r="AF191" s="577">
        <f t="shared" si="453"/>
        <v>103359.84232685719</v>
      </c>
      <c r="AG191" s="577">
        <f t="shared" si="453"/>
        <v>105456.94888023808</v>
      </c>
      <c r="AH191" s="752">
        <f t="shared" si="453"/>
        <v>107674.49409666148</v>
      </c>
      <c r="AI191" s="18"/>
      <c r="AJ191" s="18"/>
      <c r="AK191" s="18"/>
      <c r="AL191" s="18"/>
      <c r="AM191" s="18"/>
      <c r="AN191" s="18"/>
    </row>
    <row r="192" spans="2:40" ht="21.95" customHeight="1" x14ac:dyDescent="0.2">
      <c r="B192" s="232"/>
      <c r="C192" s="715"/>
      <c r="D192" s="715"/>
      <c r="E192" s="1340"/>
      <c r="F192" s="116"/>
      <c r="G192" s="116"/>
      <c r="H192" s="124" t="s">
        <v>19</v>
      </c>
      <c r="I192" s="577">
        <f t="shared" ref="I192:AH192" si="454">I101*$D$12</f>
        <v>86612.922118661401</v>
      </c>
      <c r="J192" s="577">
        <f t="shared" si="454"/>
        <v>88417.267021678985</v>
      </c>
      <c r="K192" s="577">
        <f t="shared" si="454"/>
        <v>92702.694412070647</v>
      </c>
      <c r="L192" s="577">
        <f t="shared" si="454"/>
        <v>97412.102290479146</v>
      </c>
      <c r="M192" s="577">
        <f t="shared" si="454"/>
        <v>102150.12028018876</v>
      </c>
      <c r="N192" s="577">
        <f t="shared" si="454"/>
        <v>106915.66493090778</v>
      </c>
      <c r="O192" s="577">
        <f t="shared" si="454"/>
        <v>111724.24855011322</v>
      </c>
      <c r="P192" s="577">
        <f t="shared" si="454"/>
        <v>116610.24251912552</v>
      </c>
      <c r="Q192" s="577">
        <f t="shared" si="454"/>
        <v>119340.01024683086</v>
      </c>
      <c r="R192" s="577">
        <f t="shared" si="454"/>
        <v>122110.84765451825</v>
      </c>
      <c r="S192" s="577">
        <f t="shared" si="454"/>
        <v>124922.17296208175</v>
      </c>
      <c r="T192" s="577">
        <f t="shared" si="454"/>
        <v>127791.91286010666</v>
      </c>
      <c r="U192" s="577">
        <f t="shared" si="454"/>
        <v>130722.33194190713</v>
      </c>
      <c r="V192" s="577">
        <f t="shared" si="454"/>
        <v>133247.24497891054</v>
      </c>
      <c r="W192" s="577">
        <f t="shared" si="454"/>
        <v>135479.68835486405</v>
      </c>
      <c r="X192" s="577">
        <f t="shared" si="454"/>
        <v>137771.28720424452</v>
      </c>
      <c r="Y192" s="577">
        <f t="shared" si="454"/>
        <v>140124.73340643037</v>
      </c>
      <c r="Z192" s="577">
        <f t="shared" si="454"/>
        <v>142548.21876103882</v>
      </c>
      <c r="AA192" s="577">
        <f t="shared" si="454"/>
        <v>145050.88575328214</v>
      </c>
      <c r="AB192" s="577">
        <f t="shared" si="454"/>
        <v>147642.92272007719</v>
      </c>
      <c r="AC192" s="577">
        <f t="shared" si="454"/>
        <v>150335.66707960799</v>
      </c>
      <c r="AD192" s="577">
        <f t="shared" si="454"/>
        <v>153141.71717467564</v>
      </c>
      <c r="AE192" s="577">
        <f t="shared" si="454"/>
        <v>156075.05332069861</v>
      </c>
      <c r="AF192" s="577">
        <f t="shared" si="454"/>
        <v>159151.16868121721</v>
      </c>
      <c r="AG192" s="577">
        <f t="shared" si="454"/>
        <v>162380.24635109369</v>
      </c>
      <c r="AH192" s="752">
        <f t="shared" si="454"/>
        <v>165794.77277501338</v>
      </c>
      <c r="AI192" s="18"/>
      <c r="AJ192" s="18"/>
      <c r="AK192" s="18"/>
      <c r="AL192" s="18"/>
      <c r="AM192" s="18"/>
      <c r="AN192" s="18"/>
    </row>
    <row r="193" spans="2:40" ht="21.95" customHeight="1" x14ac:dyDescent="0.2">
      <c r="B193" s="232"/>
      <c r="C193" s="715"/>
      <c r="D193" s="715"/>
      <c r="E193" s="1340"/>
      <c r="F193" s="116"/>
      <c r="G193" s="116"/>
      <c r="H193" s="721" t="s">
        <v>25</v>
      </c>
      <c r="I193" s="577">
        <f t="shared" ref="I193" si="455">SUM(I191:I192)</f>
        <v>142863.20320572538</v>
      </c>
      <c r="J193" s="577">
        <f t="shared" ref="J193" si="456">SUM(J191:J192)</f>
        <v>145839.36988186941</v>
      </c>
      <c r="K193" s="577">
        <f t="shared" ref="K193" si="457">SUM(K191:K192)</f>
        <v>152907.94428302097</v>
      </c>
      <c r="L193" s="577">
        <f t="shared" ref="L193" si="458">SUM(L191:L192)</f>
        <v>160675.85094468476</v>
      </c>
      <c r="M193" s="577">
        <f t="shared" ref="M193" si="459">SUM(M191:M192)</f>
        <v>168490.94839548913</v>
      </c>
      <c r="N193" s="577">
        <f t="shared" ref="N193" si="460">SUM(N191:N192)</f>
        <v>176351.44954436956</v>
      </c>
      <c r="O193" s="577">
        <f t="shared" ref="O193" si="461">SUM(O191:O192)</f>
        <v>184282.94108071452</v>
      </c>
      <c r="P193" s="577">
        <f t="shared" ref="P193" si="462">SUM(P191:P192)</f>
        <v>192342.11668849093</v>
      </c>
      <c r="Q193" s="577">
        <f t="shared" ref="Q193" si="463">SUM(Q191:Q192)</f>
        <v>196844.71690157824</v>
      </c>
      <c r="R193" s="577">
        <f t="shared" ref="R193" si="464">SUM(R191:R192)</f>
        <v>201415.05927014706</v>
      </c>
      <c r="S193" s="577">
        <f t="shared" ref="S193" si="465">SUM(S191:S192)</f>
        <v>206052.18418023374</v>
      </c>
      <c r="T193" s="577">
        <f t="shared" ref="T193" si="466">SUM(T191:T192)</f>
        <v>210785.66071203147</v>
      </c>
      <c r="U193" s="577">
        <f t="shared" ref="U193" si="467">SUM(U191:U192)</f>
        <v>215619.22418640129</v>
      </c>
      <c r="V193" s="577">
        <f t="shared" ref="V193" si="468">SUM(V191:V192)</f>
        <v>219783.92796799191</v>
      </c>
      <c r="W193" s="577">
        <f t="shared" ref="W193" si="469">SUM(W191:W192)</f>
        <v>223466.21929199522</v>
      </c>
      <c r="X193" s="577">
        <f t="shared" ref="X193" si="470">SUM(X191:X192)</f>
        <v>227246.08428300111</v>
      </c>
      <c r="Y193" s="577">
        <f t="shared" ref="Y193" si="471">SUM(Y191:Y192)</f>
        <v>231127.96304649545</v>
      </c>
      <c r="Z193" s="577">
        <f t="shared" ref="Z193" si="472">SUM(Z191:Z192)</f>
        <v>235125.36750084683</v>
      </c>
      <c r="AA193" s="577">
        <f t="shared" ref="AA193" si="473">SUM(AA191:AA192)</f>
        <v>239253.37766749703</v>
      </c>
      <c r="AB193" s="577">
        <f t="shared" ref="AB193" si="474">SUM(AB191:AB192)</f>
        <v>243528.79864217178</v>
      </c>
      <c r="AC193" s="577">
        <f t="shared" ref="AC193" si="475">SUM(AC191:AC192)</f>
        <v>247970.33086630894</v>
      </c>
      <c r="AD193" s="577">
        <f t="shared" ref="AD193" si="476">SUM(AD191:AD192)</f>
        <v>252598.75460645108</v>
      </c>
      <c r="AE193" s="577">
        <f t="shared" ref="AE193" si="477">SUM(AE191:AE192)</f>
        <v>257437.12961619679</v>
      </c>
      <c r="AF193" s="577">
        <f t="shared" ref="AF193" si="478">SUM(AF191:AF192)</f>
        <v>262511.01100807439</v>
      </c>
      <c r="AG193" s="577">
        <f t="shared" ref="AG193" si="479">SUM(AG191:AG192)</f>
        <v>267837.19523133175</v>
      </c>
      <c r="AH193" s="752">
        <f t="shared" ref="AH193" si="480">SUM(AH191:AH192)</f>
        <v>273469.26687167486</v>
      </c>
      <c r="AI193" s="18"/>
      <c r="AJ193" s="18"/>
      <c r="AK193" s="18"/>
      <c r="AL193" s="18"/>
      <c r="AM193" s="18"/>
      <c r="AN193" s="18"/>
    </row>
    <row r="194" spans="2:40" ht="21.95" customHeight="1" x14ac:dyDescent="0.2">
      <c r="B194" s="232"/>
      <c r="C194" s="715"/>
      <c r="D194" s="715"/>
      <c r="E194" s="1340"/>
      <c r="F194" s="116" t="s">
        <v>341</v>
      </c>
      <c r="G194" s="116" t="s">
        <v>344</v>
      </c>
      <c r="H194" s="116" t="s">
        <v>20</v>
      </c>
      <c r="I194" s="577">
        <f t="shared" ref="I194:AH194" si="481">I103*$D$11</f>
        <v>58148.218433797614</v>
      </c>
      <c r="J194" s="577">
        <f t="shared" si="481"/>
        <v>59424.373040408609</v>
      </c>
      <c r="K194" s="577">
        <f t="shared" si="481"/>
        <v>62340.560108134094</v>
      </c>
      <c r="L194" s="577">
        <f t="shared" si="481"/>
        <v>65574.23080197713</v>
      </c>
      <c r="M194" s="577">
        <f t="shared" si="481"/>
        <v>68867.220170233748</v>
      </c>
      <c r="N194" s="577">
        <f t="shared" si="481"/>
        <v>72244.70656138772</v>
      </c>
      <c r="O194" s="577">
        <f t="shared" si="481"/>
        <v>75752.025508174309</v>
      </c>
      <c r="P194" s="577">
        <f t="shared" si="481"/>
        <v>79452.919483431731</v>
      </c>
      <c r="Q194" s="577">
        <f t="shared" si="481"/>
        <v>81605.749786729037</v>
      </c>
      <c r="R194" s="577">
        <f t="shared" si="481"/>
        <v>83857.472288554796</v>
      </c>
      <c r="S194" s="577">
        <f t="shared" si="481"/>
        <v>86235.644473023931</v>
      </c>
      <c r="T194" s="577">
        <f t="shared" si="481"/>
        <v>88759.869871643357</v>
      </c>
      <c r="U194" s="577">
        <f t="shared" si="481"/>
        <v>91467.113597225616</v>
      </c>
      <c r="V194" s="577">
        <f t="shared" si="481"/>
        <v>93899.157227387361</v>
      </c>
      <c r="W194" s="577">
        <f t="shared" si="481"/>
        <v>96150.820572558383</v>
      </c>
      <c r="X194" s="577">
        <f t="shared" si="481"/>
        <v>98557.138774940468</v>
      </c>
      <c r="Y194" s="577">
        <f t="shared" si="481"/>
        <v>101129.81653293272</v>
      </c>
      <c r="Z194" s="577">
        <f t="shared" si="481"/>
        <v>103895.54364873232</v>
      </c>
      <c r="AA194" s="577">
        <f t="shared" si="481"/>
        <v>106879.50797149615</v>
      </c>
      <c r="AB194" s="577">
        <f t="shared" si="481"/>
        <v>110109.77736124702</v>
      </c>
      <c r="AC194" s="577">
        <f t="shared" si="481"/>
        <v>113617.58385781123</v>
      </c>
      <c r="AD194" s="577">
        <f t="shared" si="481"/>
        <v>117437.63152264504</v>
      </c>
      <c r="AE194" s="577">
        <f t="shared" si="481"/>
        <v>121608.42960478089</v>
      </c>
      <c r="AF194" s="577">
        <f t="shared" si="481"/>
        <v>126181.12193851192</v>
      </c>
      <c r="AG194" s="577">
        <f t="shared" si="481"/>
        <v>131186.82541361352</v>
      </c>
      <c r="AH194" s="752">
        <f t="shared" si="481"/>
        <v>136685.48347725905</v>
      </c>
      <c r="AI194" s="18"/>
      <c r="AJ194" s="18"/>
      <c r="AK194" s="18"/>
      <c r="AL194" s="18"/>
      <c r="AM194" s="18"/>
      <c r="AN194" s="18"/>
    </row>
    <row r="195" spans="2:40" ht="21.95" customHeight="1" x14ac:dyDescent="0.2">
      <c r="B195" s="232"/>
      <c r="C195" s="715"/>
      <c r="D195" s="715"/>
      <c r="E195" s="1340"/>
      <c r="F195" s="116"/>
      <c r="G195" s="116"/>
      <c r="H195" s="124" t="s">
        <v>19</v>
      </c>
      <c r="I195" s="577">
        <f t="shared" ref="I195:AH195" si="482">I104*$D$12</f>
        <v>89535.323507986061</v>
      </c>
      <c r="J195" s="577">
        <f t="shared" si="482"/>
        <v>91500.317769662521</v>
      </c>
      <c r="K195" s="577">
        <f t="shared" si="482"/>
        <v>95990.597258033667</v>
      </c>
      <c r="L195" s="577">
        <f t="shared" si="482"/>
        <v>100969.73091835657</v>
      </c>
      <c r="M195" s="577">
        <f t="shared" si="482"/>
        <v>106040.20214407249</v>
      </c>
      <c r="N195" s="577">
        <f t="shared" si="482"/>
        <v>111240.77999187159</v>
      </c>
      <c r="O195" s="577">
        <f t="shared" si="482"/>
        <v>116641.27109898523</v>
      </c>
      <c r="P195" s="577">
        <f t="shared" si="482"/>
        <v>122339.82469647314</v>
      </c>
      <c r="Q195" s="577">
        <f t="shared" si="482"/>
        <v>125654.70454757249</v>
      </c>
      <c r="R195" s="577">
        <f t="shared" si="482"/>
        <v>129121.85638956254</v>
      </c>
      <c r="S195" s="577">
        <f t="shared" si="482"/>
        <v>132783.71261885637</v>
      </c>
      <c r="T195" s="577">
        <f t="shared" si="482"/>
        <v>136670.45831390764</v>
      </c>
      <c r="U195" s="577">
        <f t="shared" si="482"/>
        <v>140839.01152695133</v>
      </c>
      <c r="V195" s="577">
        <f t="shared" si="482"/>
        <v>144583.81780093859</v>
      </c>
      <c r="W195" s="577">
        <f t="shared" si="482"/>
        <v>148050.87855483752</v>
      </c>
      <c r="X195" s="577">
        <f t="shared" si="482"/>
        <v>151756.07339169618</v>
      </c>
      <c r="Y195" s="577">
        <f t="shared" si="482"/>
        <v>155717.42494378003</v>
      </c>
      <c r="Z195" s="577">
        <f t="shared" si="482"/>
        <v>159976.02957033203</v>
      </c>
      <c r="AA195" s="577">
        <f t="shared" si="482"/>
        <v>164570.67095696583</v>
      </c>
      <c r="AB195" s="577">
        <f t="shared" si="482"/>
        <v>169544.56736547872</v>
      </c>
      <c r="AC195" s="577">
        <f t="shared" si="482"/>
        <v>174945.80919081284</v>
      </c>
      <c r="AD195" s="577">
        <f t="shared" si="482"/>
        <v>180827.83296900004</v>
      </c>
      <c r="AE195" s="577">
        <f t="shared" si="482"/>
        <v>187249.93437861899</v>
      </c>
      <c r="AF195" s="577">
        <f t="shared" si="482"/>
        <v>194290.86354946229</v>
      </c>
      <c r="AG195" s="577">
        <f t="shared" si="482"/>
        <v>201998.53357100455</v>
      </c>
      <c r="AH195" s="752">
        <f t="shared" si="482"/>
        <v>210465.24401973162</v>
      </c>
      <c r="AI195" s="18"/>
      <c r="AJ195" s="18"/>
      <c r="AK195" s="18"/>
      <c r="AL195" s="18"/>
      <c r="AM195" s="18"/>
      <c r="AN195" s="18"/>
    </row>
    <row r="196" spans="2:40" ht="21.95" customHeight="1" x14ac:dyDescent="0.2">
      <c r="B196" s="232"/>
      <c r="C196" s="715"/>
      <c r="D196" s="715"/>
      <c r="E196" s="1340"/>
      <c r="F196" s="116"/>
      <c r="G196" s="116"/>
      <c r="H196" s="721" t="s">
        <v>25</v>
      </c>
      <c r="I196" s="577">
        <f t="shared" ref="I196" si="483">SUM(I194:I195)</f>
        <v>147683.54194178368</v>
      </c>
      <c r="J196" s="577">
        <f t="shared" ref="J196" si="484">SUM(J194:J195)</f>
        <v>150924.69081007113</v>
      </c>
      <c r="K196" s="577">
        <f t="shared" ref="K196" si="485">SUM(K194:K195)</f>
        <v>158331.15736616775</v>
      </c>
      <c r="L196" s="577">
        <f t="shared" ref="L196" si="486">SUM(L194:L195)</f>
        <v>166543.9617203337</v>
      </c>
      <c r="M196" s="577">
        <f t="shared" ref="M196" si="487">SUM(M194:M195)</f>
        <v>174907.42231430626</v>
      </c>
      <c r="N196" s="577">
        <f t="shared" ref="N196" si="488">SUM(N194:N195)</f>
        <v>183485.48655325931</v>
      </c>
      <c r="O196" s="577">
        <f t="shared" ref="O196" si="489">SUM(O194:O195)</f>
        <v>192393.29660715954</v>
      </c>
      <c r="P196" s="577">
        <f t="shared" ref="P196" si="490">SUM(P194:P195)</f>
        <v>201792.74417990487</v>
      </c>
      <c r="Q196" s="577">
        <f t="shared" ref="Q196" si="491">SUM(Q194:Q195)</f>
        <v>207260.45433430152</v>
      </c>
      <c r="R196" s="577">
        <f t="shared" ref="R196" si="492">SUM(R194:R195)</f>
        <v>212979.32867811734</v>
      </c>
      <c r="S196" s="577">
        <f t="shared" ref="S196" si="493">SUM(S194:S195)</f>
        <v>219019.35709188029</v>
      </c>
      <c r="T196" s="577">
        <f t="shared" ref="T196" si="494">SUM(T194:T195)</f>
        <v>225430.32818555098</v>
      </c>
      <c r="U196" s="577">
        <f t="shared" ref="U196" si="495">SUM(U194:U195)</f>
        <v>232306.12512417696</v>
      </c>
      <c r="V196" s="577">
        <f t="shared" ref="V196" si="496">SUM(V194:V195)</f>
        <v>238482.97502832595</v>
      </c>
      <c r="W196" s="577">
        <f t="shared" ref="W196" si="497">SUM(W194:W195)</f>
        <v>244201.6991273959</v>
      </c>
      <c r="X196" s="577">
        <f t="shared" ref="X196" si="498">SUM(X194:X195)</f>
        <v>250313.21216663666</v>
      </c>
      <c r="Y196" s="577">
        <f t="shared" ref="Y196" si="499">SUM(Y194:Y195)</f>
        <v>256847.24147671275</v>
      </c>
      <c r="Z196" s="577">
        <f t="shared" ref="Z196" si="500">SUM(Z194:Z195)</f>
        <v>263871.57321906433</v>
      </c>
      <c r="AA196" s="577">
        <f t="shared" ref="AA196" si="501">SUM(AA194:AA195)</f>
        <v>271450.17892846197</v>
      </c>
      <c r="AB196" s="577">
        <f t="shared" ref="AB196" si="502">SUM(AB194:AB195)</f>
        <v>279654.34472672571</v>
      </c>
      <c r="AC196" s="577">
        <f t="shared" ref="AC196" si="503">SUM(AC194:AC195)</f>
        <v>288563.39304862404</v>
      </c>
      <c r="AD196" s="577">
        <f t="shared" ref="AD196" si="504">SUM(AD194:AD195)</f>
        <v>298265.46449164511</v>
      </c>
      <c r="AE196" s="577">
        <f t="shared" ref="AE196" si="505">SUM(AE194:AE195)</f>
        <v>308858.36398339987</v>
      </c>
      <c r="AF196" s="577">
        <f t="shared" ref="AF196" si="506">SUM(AF194:AF195)</f>
        <v>320471.98548797419</v>
      </c>
      <c r="AG196" s="577">
        <f t="shared" ref="AG196" si="507">SUM(AG194:AG195)</f>
        <v>333185.3589846181</v>
      </c>
      <c r="AH196" s="752">
        <f t="shared" ref="AH196" si="508">SUM(AH194:AH195)</f>
        <v>347150.7274969907</v>
      </c>
      <c r="AI196" s="18"/>
      <c r="AJ196" s="18"/>
      <c r="AK196" s="18"/>
      <c r="AL196" s="18"/>
      <c r="AM196" s="18"/>
      <c r="AN196" s="18"/>
    </row>
    <row r="197" spans="2:40" ht="21.95" customHeight="1" x14ac:dyDescent="0.2">
      <c r="B197" s="232"/>
      <c r="C197" s="715"/>
      <c r="D197" s="715"/>
      <c r="E197" s="1340"/>
      <c r="F197" s="116" t="s">
        <v>344</v>
      </c>
      <c r="G197" s="116" t="s">
        <v>345</v>
      </c>
      <c r="H197" s="116" t="s">
        <v>20</v>
      </c>
      <c r="I197" s="577">
        <f t="shared" ref="I197:AH197" si="509">I106*$D$11</f>
        <v>19607.869550950632</v>
      </c>
      <c r="J197" s="577">
        <f t="shared" si="509"/>
        <v>20035.043326535211</v>
      </c>
      <c r="K197" s="577">
        <f t="shared" si="509"/>
        <v>21007.943582829477</v>
      </c>
      <c r="L197" s="577">
        <f t="shared" si="509"/>
        <v>22079.339460455838</v>
      </c>
      <c r="M197" s="577">
        <f t="shared" si="509"/>
        <v>23158.569327159617</v>
      </c>
      <c r="N197" s="577">
        <f t="shared" si="509"/>
        <v>24247.802500517271</v>
      </c>
      <c r="O197" s="577">
        <f t="shared" si="509"/>
        <v>25353.138656606778</v>
      </c>
      <c r="P197" s="577">
        <f t="shared" si="509"/>
        <v>26482.960463142394</v>
      </c>
      <c r="Q197" s="577">
        <f t="shared" si="509"/>
        <v>27119.94086896821</v>
      </c>
      <c r="R197" s="577">
        <f t="shared" si="509"/>
        <v>27768.709998545175</v>
      </c>
      <c r="S197" s="577">
        <f t="shared" si="509"/>
        <v>28433.639299034523</v>
      </c>
      <c r="T197" s="577">
        <f t="shared" si="509"/>
        <v>29116.206649867079</v>
      </c>
      <c r="U197" s="577">
        <f t="shared" si="509"/>
        <v>29821.950315584552</v>
      </c>
      <c r="V197" s="577">
        <f t="shared" si="509"/>
        <v>30433.489213646961</v>
      </c>
      <c r="W197" s="577">
        <f t="shared" si="509"/>
        <v>30981.654217473679</v>
      </c>
      <c r="X197" s="577">
        <f t="shared" si="509"/>
        <v>31549.477647614149</v>
      </c>
      <c r="Y197" s="577">
        <f t="shared" si="509"/>
        <v>32137.457700302461</v>
      </c>
      <c r="Z197" s="577">
        <f t="shared" si="509"/>
        <v>32749.381443076989</v>
      </c>
      <c r="AA197" s="577">
        <f t="shared" si="509"/>
        <v>33388.372895934459</v>
      </c>
      <c r="AB197" s="577">
        <f t="shared" si="509"/>
        <v>34057.913283310991</v>
      </c>
      <c r="AC197" s="577">
        <f t="shared" si="509"/>
        <v>34761.876279228862</v>
      </c>
      <c r="AD197" s="577">
        <f t="shared" si="509"/>
        <v>35504.566188564721</v>
      </c>
      <c r="AE197" s="577">
        <f t="shared" si="509"/>
        <v>36290.759269239119</v>
      </c>
      <c r="AF197" s="577">
        <f t="shared" si="509"/>
        <v>37127.275594300074</v>
      </c>
      <c r="AG197" s="577">
        <f t="shared" si="509"/>
        <v>38017.021031778604</v>
      </c>
      <c r="AH197" s="752">
        <f t="shared" si="509"/>
        <v>38967.907060599842</v>
      </c>
      <c r="AI197" s="18"/>
      <c r="AJ197" s="18"/>
      <c r="AK197" s="18"/>
      <c r="AL197" s="18"/>
      <c r="AM197" s="18"/>
      <c r="AN197" s="18"/>
    </row>
    <row r="198" spans="2:40" ht="21.95" customHeight="1" x14ac:dyDescent="0.2">
      <c r="B198" s="232"/>
      <c r="C198" s="715"/>
      <c r="D198" s="715"/>
      <c r="E198" s="1340"/>
      <c r="F198" s="116"/>
      <c r="G198" s="116"/>
      <c r="H198" s="124" t="s">
        <v>19</v>
      </c>
      <c r="I198" s="577">
        <f t="shared" ref="I198:AH198" si="510">I107*$D$12</f>
        <v>30191.758076741775</v>
      </c>
      <c r="J198" s="577">
        <f t="shared" si="510"/>
        <v>30849.510682432319</v>
      </c>
      <c r="K198" s="577">
        <f t="shared" si="510"/>
        <v>32347.560692124083</v>
      </c>
      <c r="L198" s="577">
        <f t="shared" si="510"/>
        <v>33997.272052027809</v>
      </c>
      <c r="M198" s="577">
        <f t="shared" si="510"/>
        <v>35659.046012735082</v>
      </c>
      <c r="N198" s="577">
        <f t="shared" si="510"/>
        <v>37336.222840830698</v>
      </c>
      <c r="O198" s="577">
        <f t="shared" si="510"/>
        <v>39038.194680831642</v>
      </c>
      <c r="P198" s="577">
        <f t="shared" si="510"/>
        <v>40777.86897660933</v>
      </c>
      <c r="Q198" s="577">
        <f t="shared" si="510"/>
        <v>41758.677129292366</v>
      </c>
      <c r="R198" s="577">
        <f t="shared" si="510"/>
        <v>42757.637294594788</v>
      </c>
      <c r="S198" s="577">
        <f t="shared" si="510"/>
        <v>43781.48052888122</v>
      </c>
      <c r="T198" s="577">
        <f t="shared" si="510"/>
        <v>44832.482437776504</v>
      </c>
      <c r="U198" s="577">
        <f t="shared" si="510"/>
        <v>45919.170716896653</v>
      </c>
      <c r="V198" s="577">
        <f t="shared" si="510"/>
        <v>46860.80460612876</v>
      </c>
      <c r="W198" s="577">
        <f t="shared" si="510"/>
        <v>47704.856793372644</v>
      </c>
      <c r="X198" s="577">
        <f t="shared" si="510"/>
        <v>48579.178584863534</v>
      </c>
      <c r="Y198" s="577">
        <f t="shared" si="510"/>
        <v>49484.537091996943</v>
      </c>
      <c r="Z198" s="577">
        <f t="shared" si="510"/>
        <v>50426.763556491504</v>
      </c>
      <c r="AA198" s="577">
        <f t="shared" si="510"/>
        <v>51410.668274321666</v>
      </c>
      <c r="AB198" s="577">
        <f t="shared" si="510"/>
        <v>52441.611556851814</v>
      </c>
      <c r="AC198" s="577">
        <f t="shared" si="510"/>
        <v>53525.558000523481</v>
      </c>
      <c r="AD198" s="577">
        <f t="shared" si="510"/>
        <v>54669.135277516245</v>
      </c>
      <c r="AE198" s="577">
        <f t="shared" si="510"/>
        <v>55879.697762729178</v>
      </c>
      <c r="AF198" s="577">
        <f t="shared" si="510"/>
        <v>57167.746851787961</v>
      </c>
      <c r="AG198" s="577">
        <f t="shared" si="510"/>
        <v>58537.75693515953</v>
      </c>
      <c r="AH198" s="752">
        <f t="shared" si="510"/>
        <v>60001.909930778194</v>
      </c>
      <c r="AI198" s="18"/>
      <c r="AJ198" s="18"/>
      <c r="AK198" s="18"/>
      <c r="AL198" s="18"/>
      <c r="AM198" s="18"/>
      <c r="AN198" s="18"/>
    </row>
    <row r="199" spans="2:40" ht="21.95" customHeight="1" x14ac:dyDescent="0.2">
      <c r="B199" s="232"/>
      <c r="C199" s="715"/>
      <c r="D199" s="715"/>
      <c r="E199" s="1340"/>
      <c r="F199" s="116"/>
      <c r="G199" s="116"/>
      <c r="H199" s="721" t="s">
        <v>25</v>
      </c>
      <c r="I199" s="577">
        <f t="shared" ref="I199" si="511">SUM(I197:I198)</f>
        <v>49799.627627692404</v>
      </c>
      <c r="J199" s="577">
        <f t="shared" ref="J199" si="512">SUM(J197:J198)</f>
        <v>50884.554008967534</v>
      </c>
      <c r="K199" s="577">
        <f t="shared" ref="K199" si="513">SUM(K197:K198)</f>
        <v>53355.504274953564</v>
      </c>
      <c r="L199" s="577">
        <f t="shared" ref="L199" si="514">SUM(L197:L198)</f>
        <v>56076.611512483651</v>
      </c>
      <c r="M199" s="577">
        <f t="shared" ref="M199" si="515">SUM(M197:M198)</f>
        <v>58817.615339894699</v>
      </c>
      <c r="N199" s="577">
        <f t="shared" ref="N199" si="516">SUM(N197:N198)</f>
        <v>61584.025341347966</v>
      </c>
      <c r="O199" s="577">
        <f t="shared" ref="O199" si="517">SUM(O197:O198)</f>
        <v>64391.333337438424</v>
      </c>
      <c r="P199" s="577">
        <f t="shared" ref="P199" si="518">SUM(P197:P198)</f>
        <v>67260.829439751717</v>
      </c>
      <c r="Q199" s="577">
        <f t="shared" ref="Q199" si="519">SUM(Q197:Q198)</f>
        <v>68878.617998260568</v>
      </c>
      <c r="R199" s="577">
        <f t="shared" ref="R199" si="520">SUM(R197:R198)</f>
        <v>70526.347293139959</v>
      </c>
      <c r="S199" s="577">
        <f t="shared" ref="S199" si="521">SUM(S197:S198)</f>
        <v>72215.11982791574</v>
      </c>
      <c r="T199" s="577">
        <f t="shared" ref="T199" si="522">SUM(T197:T198)</f>
        <v>73948.689087643579</v>
      </c>
      <c r="U199" s="577">
        <f t="shared" ref="U199" si="523">SUM(U197:U198)</f>
        <v>75741.121032481198</v>
      </c>
      <c r="V199" s="577">
        <f t="shared" ref="V199" si="524">SUM(V197:V198)</f>
        <v>77294.293819775718</v>
      </c>
      <c r="W199" s="577">
        <f t="shared" ref="W199" si="525">SUM(W197:W198)</f>
        <v>78686.511010846327</v>
      </c>
      <c r="X199" s="577">
        <f t="shared" ref="X199" si="526">SUM(X197:X198)</f>
        <v>80128.65623247769</v>
      </c>
      <c r="Y199" s="577">
        <f t="shared" ref="Y199" si="527">SUM(Y197:Y198)</f>
        <v>81621.994792299403</v>
      </c>
      <c r="Z199" s="577">
        <f t="shared" ref="Z199" si="528">SUM(Z197:Z198)</f>
        <v>83176.144999568496</v>
      </c>
      <c r="AA199" s="577">
        <f t="shared" ref="AA199" si="529">SUM(AA197:AA198)</f>
        <v>84799.041170256125</v>
      </c>
      <c r="AB199" s="577">
        <f t="shared" ref="AB199" si="530">SUM(AB197:AB198)</f>
        <v>86499.524840162805</v>
      </c>
      <c r="AC199" s="577">
        <f t="shared" ref="AC199" si="531">SUM(AC197:AC198)</f>
        <v>88287.434279752342</v>
      </c>
      <c r="AD199" s="577">
        <f t="shared" ref="AD199" si="532">SUM(AD197:AD198)</f>
        <v>90173.701466080965</v>
      </c>
      <c r="AE199" s="577">
        <f t="shared" ref="AE199" si="533">SUM(AE197:AE198)</f>
        <v>92170.457031968297</v>
      </c>
      <c r="AF199" s="577">
        <f t="shared" ref="AF199" si="534">SUM(AF197:AF198)</f>
        <v>94295.022446088027</v>
      </c>
      <c r="AG199" s="577">
        <f t="shared" ref="AG199" si="535">SUM(AG197:AG198)</f>
        <v>96554.777966938127</v>
      </c>
      <c r="AH199" s="752">
        <f t="shared" ref="AH199" si="536">SUM(AH197:AH198)</f>
        <v>98969.816991378029</v>
      </c>
      <c r="AI199" s="18"/>
      <c r="AJ199" s="18"/>
      <c r="AK199" s="18"/>
      <c r="AL199" s="18"/>
      <c r="AM199" s="18"/>
      <c r="AN199" s="18"/>
    </row>
    <row r="200" spans="2:40" ht="21.95" customHeight="1" x14ac:dyDescent="0.2">
      <c r="B200" s="232"/>
      <c r="C200" s="715"/>
      <c r="D200" s="715"/>
      <c r="E200" s="1340"/>
      <c r="F200" s="116" t="s">
        <v>345</v>
      </c>
      <c r="G200" s="116" t="s">
        <v>323</v>
      </c>
      <c r="H200" s="116" t="s">
        <v>20</v>
      </c>
      <c r="I200" s="577">
        <f t="shared" ref="I200:AH200" si="537">I109*$D$11</f>
        <v>193707.18241446215</v>
      </c>
      <c r="J200" s="577">
        <f t="shared" si="537"/>
        <v>197925.24576617053</v>
      </c>
      <c r="K200" s="577">
        <f t="shared" si="537"/>
        <v>207525.76060846553</v>
      </c>
      <c r="L200" s="577">
        <f t="shared" si="537"/>
        <v>218094.55194367445</v>
      </c>
      <c r="M200" s="577">
        <f t="shared" si="537"/>
        <v>228727.24736991787</v>
      </c>
      <c r="N200" s="577">
        <f t="shared" si="537"/>
        <v>239446.3608196523</v>
      </c>
      <c r="O200" s="577">
        <f t="shared" si="537"/>
        <v>250298.51460765162</v>
      </c>
      <c r="P200" s="577">
        <f t="shared" si="537"/>
        <v>261354.59493639265</v>
      </c>
      <c r="Q200" s="577">
        <f t="shared" si="537"/>
        <v>267562.89616831875</v>
      </c>
      <c r="R200" s="577">
        <f t="shared" si="537"/>
        <v>273876.47528196662</v>
      </c>
      <c r="S200" s="577">
        <f t="shared" si="537"/>
        <v>280317.81250978447</v>
      </c>
      <c r="T200" s="577">
        <f t="shared" si="537"/>
        <v>286913.55373400438</v>
      </c>
      <c r="U200" s="577">
        <f t="shared" si="537"/>
        <v>293697.64950233756</v>
      </c>
      <c r="V200" s="577">
        <f t="shared" si="537"/>
        <v>299560.61863657262</v>
      </c>
      <c r="W200" s="577">
        <f t="shared" si="537"/>
        <v>304788.82522939501</v>
      </c>
      <c r="X200" s="577">
        <f t="shared" si="537"/>
        <v>310172.64703391842</v>
      </c>
      <c r="Y200" s="577">
        <f t="shared" si="537"/>
        <v>315732.9995109539</v>
      </c>
      <c r="Z200" s="577">
        <f t="shared" si="537"/>
        <v>321493.74150206015</v>
      </c>
      <c r="AA200" s="577">
        <f t="shared" si="537"/>
        <v>327480.01467421645</v>
      </c>
      <c r="AB200" s="577">
        <f t="shared" si="537"/>
        <v>333721.88138034585</v>
      </c>
      <c r="AC200" s="577">
        <f t="shared" si="537"/>
        <v>340250.66640215728</v>
      </c>
      <c r="AD200" s="577">
        <f t="shared" si="537"/>
        <v>347102.81960872695</v>
      </c>
      <c r="AE200" s="577">
        <f t="shared" si="537"/>
        <v>354318.84034596418</v>
      </c>
      <c r="AF200" s="577">
        <f t="shared" si="537"/>
        <v>361941.74897682259</v>
      </c>
      <c r="AG200" s="577">
        <f t="shared" si="537"/>
        <v>370021.04773590516</v>
      </c>
      <c r="AH200" s="752">
        <f t="shared" si="537"/>
        <v>378611.54379432235</v>
      </c>
      <c r="AI200" s="18"/>
      <c r="AJ200" s="18"/>
      <c r="AK200" s="18"/>
      <c r="AL200" s="18"/>
      <c r="AM200" s="18"/>
      <c r="AN200" s="18"/>
    </row>
    <row r="201" spans="2:40" ht="21.95" customHeight="1" x14ac:dyDescent="0.2">
      <c r="B201" s="232"/>
      <c r="C201" s="715"/>
      <c r="D201" s="715"/>
      <c r="E201" s="1340"/>
      <c r="F201" s="116"/>
      <c r="G201" s="116"/>
      <c r="H201" s="124" t="s">
        <v>19</v>
      </c>
      <c r="I201" s="577">
        <f t="shared" ref="I201:AH201" si="538">I110*$D$12</f>
        <v>298265.97805477487</v>
      </c>
      <c r="J201" s="577">
        <f t="shared" si="538"/>
        <v>304760.85746715736</v>
      </c>
      <c r="K201" s="577">
        <f t="shared" si="538"/>
        <v>319543.51505152939</v>
      </c>
      <c r="L201" s="577">
        <f t="shared" si="538"/>
        <v>335817.10307836952</v>
      </c>
      <c r="M201" s="577">
        <f t="shared" si="538"/>
        <v>352189.08919234568</v>
      </c>
      <c r="N201" s="577">
        <f t="shared" si="538"/>
        <v>368694.13984206511</v>
      </c>
      <c r="O201" s="577">
        <f t="shared" si="538"/>
        <v>385404.04302290233</v>
      </c>
      <c r="P201" s="577">
        <f t="shared" si="538"/>
        <v>402427.94772070722</v>
      </c>
      <c r="Q201" s="577">
        <f t="shared" si="538"/>
        <v>411987.35081520415</v>
      </c>
      <c r="R201" s="577">
        <f t="shared" si="538"/>
        <v>421708.85843245499</v>
      </c>
      <c r="S201" s="577">
        <f t="shared" si="538"/>
        <v>431627.08513054915</v>
      </c>
      <c r="T201" s="577">
        <f t="shared" si="538"/>
        <v>441783.05964175175</v>
      </c>
      <c r="U201" s="577">
        <f t="shared" si="538"/>
        <v>452229.05825851799</v>
      </c>
      <c r="V201" s="577">
        <f t="shared" si="538"/>
        <v>461256.72672868316</v>
      </c>
      <c r="W201" s="577">
        <f t="shared" si="538"/>
        <v>469307.00206408126</v>
      </c>
      <c r="X201" s="577">
        <f t="shared" si="538"/>
        <v>477596.89021475881</v>
      </c>
      <c r="Y201" s="577">
        <f t="shared" si="538"/>
        <v>486158.59633850888</v>
      </c>
      <c r="Z201" s="577">
        <f t="shared" si="538"/>
        <v>495028.85774483171</v>
      </c>
      <c r="AA201" s="577">
        <f t="shared" si="538"/>
        <v>504246.38700905861</v>
      </c>
      <c r="AB201" s="577">
        <f t="shared" si="538"/>
        <v>513857.4734684538</v>
      </c>
      <c r="AC201" s="577">
        <f t="shared" si="538"/>
        <v>523910.35031983152</v>
      </c>
      <c r="AD201" s="577">
        <f t="shared" si="538"/>
        <v>534461.14225466934</v>
      </c>
      <c r="AE201" s="577">
        <f t="shared" si="538"/>
        <v>545572.20925811422</v>
      </c>
      <c r="AF201" s="577">
        <f t="shared" si="538"/>
        <v>557309.79312085593</v>
      </c>
      <c r="AG201" s="577">
        <f t="shared" si="538"/>
        <v>569750.11627427652</v>
      </c>
      <c r="AH201" s="752">
        <f t="shared" si="538"/>
        <v>582977.56957209599</v>
      </c>
      <c r="AI201" s="18"/>
      <c r="AJ201" s="18"/>
      <c r="AK201" s="18"/>
      <c r="AL201" s="18"/>
      <c r="AM201" s="18"/>
      <c r="AN201" s="18"/>
    </row>
    <row r="202" spans="2:40" ht="21.95" customHeight="1" x14ac:dyDescent="0.2">
      <c r="B202" s="232"/>
      <c r="C202" s="715"/>
      <c r="D202" s="715"/>
      <c r="E202" s="1340"/>
      <c r="F202" s="116"/>
      <c r="G202" s="116"/>
      <c r="H202" s="721" t="s">
        <v>25</v>
      </c>
      <c r="I202" s="577">
        <f t="shared" ref="I202" si="539">SUM(I200:I201)</f>
        <v>491973.16046923702</v>
      </c>
      <c r="J202" s="577">
        <f t="shared" ref="J202" si="540">SUM(J200:J201)</f>
        <v>502686.10323332786</v>
      </c>
      <c r="K202" s="577">
        <f t="shared" ref="K202" si="541">SUM(K200:K201)</f>
        <v>527069.27565999492</v>
      </c>
      <c r="L202" s="577">
        <f t="shared" ref="L202" si="542">SUM(L200:L201)</f>
        <v>553911.65502204397</v>
      </c>
      <c r="M202" s="577">
        <f t="shared" ref="M202" si="543">SUM(M200:M201)</f>
        <v>580916.33656226355</v>
      </c>
      <c r="N202" s="577">
        <f t="shared" ref="N202" si="544">SUM(N200:N201)</f>
        <v>608140.50066171738</v>
      </c>
      <c r="O202" s="577">
        <f t="shared" ref="O202" si="545">SUM(O200:O201)</f>
        <v>635702.55763055396</v>
      </c>
      <c r="P202" s="577">
        <f t="shared" ref="P202" si="546">SUM(P200:P201)</f>
        <v>663782.5426570999</v>
      </c>
      <c r="Q202" s="577">
        <f t="shared" ref="Q202" si="547">SUM(Q200:Q201)</f>
        <v>679550.2469835229</v>
      </c>
      <c r="R202" s="577">
        <f t="shared" ref="R202" si="548">SUM(R200:R201)</f>
        <v>695585.33371442161</v>
      </c>
      <c r="S202" s="577">
        <f t="shared" ref="S202" si="549">SUM(S200:S201)</f>
        <v>711944.89764033363</v>
      </c>
      <c r="T202" s="577">
        <f t="shared" ref="T202" si="550">SUM(T200:T201)</f>
        <v>728696.61337575619</v>
      </c>
      <c r="U202" s="577">
        <f t="shared" ref="U202" si="551">SUM(U200:U201)</f>
        <v>745926.70776085556</v>
      </c>
      <c r="V202" s="577">
        <f t="shared" ref="V202" si="552">SUM(V200:V201)</f>
        <v>760817.34536525584</v>
      </c>
      <c r="W202" s="577">
        <f t="shared" ref="W202" si="553">SUM(W200:W201)</f>
        <v>774095.82729347632</v>
      </c>
      <c r="X202" s="577">
        <f t="shared" ref="X202" si="554">SUM(X200:X201)</f>
        <v>787769.53724867722</v>
      </c>
      <c r="Y202" s="577">
        <f t="shared" ref="Y202" si="555">SUM(Y200:Y201)</f>
        <v>801891.59584946278</v>
      </c>
      <c r="Z202" s="577">
        <f t="shared" ref="Z202" si="556">SUM(Z200:Z201)</f>
        <v>816522.59924689191</v>
      </c>
      <c r="AA202" s="577">
        <f t="shared" ref="AA202" si="557">SUM(AA200:AA201)</f>
        <v>831726.40168327512</v>
      </c>
      <c r="AB202" s="577">
        <f t="shared" ref="AB202" si="558">SUM(AB200:AB201)</f>
        <v>847579.35484879964</v>
      </c>
      <c r="AC202" s="577">
        <f t="shared" ref="AC202" si="559">SUM(AC200:AC201)</f>
        <v>864161.0167219888</v>
      </c>
      <c r="AD202" s="577">
        <f t="shared" ref="AD202" si="560">SUM(AD200:AD201)</f>
        <v>881563.96186339622</v>
      </c>
      <c r="AE202" s="577">
        <f t="shared" ref="AE202" si="561">SUM(AE200:AE201)</f>
        <v>899891.04960407841</v>
      </c>
      <c r="AF202" s="577">
        <f t="shared" ref="AF202" si="562">SUM(AF200:AF201)</f>
        <v>919251.54209767852</v>
      </c>
      <c r="AG202" s="577">
        <f t="shared" ref="AG202" si="563">SUM(AG200:AG201)</f>
        <v>939771.16401018167</v>
      </c>
      <c r="AH202" s="752">
        <f t="shared" ref="AH202" si="564">SUM(AH200:AH201)</f>
        <v>961589.11336641829</v>
      </c>
      <c r="AI202" s="18"/>
      <c r="AJ202" s="18"/>
      <c r="AK202" s="18"/>
      <c r="AL202" s="18"/>
      <c r="AM202" s="18"/>
      <c r="AN202" s="18"/>
    </row>
    <row r="203" spans="2:40" ht="21.95" customHeight="1" x14ac:dyDescent="0.2">
      <c r="B203" s="232"/>
      <c r="C203" s="715"/>
      <c r="D203" s="715"/>
      <c r="E203" s="1340"/>
      <c r="F203" s="116" t="s">
        <v>323</v>
      </c>
      <c r="G203" s="116" t="s">
        <v>347</v>
      </c>
      <c r="H203" s="116" t="s">
        <v>20</v>
      </c>
      <c r="I203" s="577">
        <f t="shared" ref="I203:AH203" si="565">I112*$D$11</f>
        <v>34590.568288296825</v>
      </c>
      <c r="J203" s="577">
        <f t="shared" si="565"/>
        <v>35343.793886816165</v>
      </c>
      <c r="K203" s="577">
        <f t="shared" si="565"/>
        <v>36466.983373322088</v>
      </c>
      <c r="L203" s="577">
        <f t="shared" si="565"/>
        <v>37759.046926209696</v>
      </c>
      <c r="M203" s="577">
        <f t="shared" si="565"/>
        <v>39055.21966695146</v>
      </c>
      <c r="N203" s="577">
        <f t="shared" si="565"/>
        <v>40356.313370615419</v>
      </c>
      <c r="O203" s="577">
        <f t="shared" si="565"/>
        <v>41663.903073327238</v>
      </c>
      <c r="P203" s="577">
        <f t="shared" si="565"/>
        <v>42981.00619633426</v>
      </c>
      <c r="Q203" s="577">
        <f t="shared" si="565"/>
        <v>44047.666007014006</v>
      </c>
      <c r="R203" s="577">
        <f t="shared" si="565"/>
        <v>45123.710647978682</v>
      </c>
      <c r="S203" s="577">
        <f t="shared" si="565"/>
        <v>46211.319879691357</v>
      </c>
      <c r="T203" s="577">
        <f t="shared" si="565"/>
        <v>47313.112325480302</v>
      </c>
      <c r="U203" s="577">
        <f t="shared" si="565"/>
        <v>48432.626660174785</v>
      </c>
      <c r="V203" s="577">
        <f t="shared" si="565"/>
        <v>49388.091505873737</v>
      </c>
      <c r="W203" s="577">
        <f t="shared" si="565"/>
        <v>50230.211485166765</v>
      </c>
      <c r="X203" s="577">
        <f t="shared" si="565"/>
        <v>51087.319935116429</v>
      </c>
      <c r="Y203" s="577">
        <f t="shared" si="565"/>
        <v>51961.583084816659</v>
      </c>
      <c r="Z203" s="577">
        <f t="shared" si="565"/>
        <v>52855.515375762217</v>
      </c>
      <c r="AA203" s="577">
        <f t="shared" si="565"/>
        <v>53771.713630750688</v>
      </c>
      <c r="AB203" s="577">
        <f t="shared" si="565"/>
        <v>54713.409355137919</v>
      </c>
      <c r="AC203" s="577">
        <f t="shared" si="565"/>
        <v>55683.899846248787</v>
      </c>
      <c r="AD203" s="577">
        <f t="shared" si="565"/>
        <v>56687.124205608467</v>
      </c>
      <c r="AE203" s="577">
        <f t="shared" si="565"/>
        <v>57727.485138152741</v>
      </c>
      <c r="AF203" s="577">
        <f t="shared" si="565"/>
        <v>58809.625700543722</v>
      </c>
      <c r="AG203" s="577">
        <f t="shared" si="565"/>
        <v>59938.992104792727</v>
      </c>
      <c r="AH203" s="752">
        <f t="shared" si="565"/>
        <v>61121.648289428173</v>
      </c>
      <c r="AI203" s="18"/>
      <c r="AJ203" s="18"/>
      <c r="AK203" s="18"/>
      <c r="AL203" s="18"/>
      <c r="AM203" s="18"/>
      <c r="AN203" s="18"/>
    </row>
    <row r="204" spans="2:40" ht="21.95" customHeight="1" x14ac:dyDescent="0.2">
      <c r="B204" s="232"/>
      <c r="C204" s="715"/>
      <c r="D204" s="715"/>
      <c r="E204" s="1340"/>
      <c r="F204" s="116"/>
      <c r="G204" s="116"/>
      <c r="H204" s="124" t="s">
        <v>19</v>
      </c>
      <c r="I204" s="577">
        <f t="shared" ref="I204:AH204" si="566">I113*$D$12</f>
        <v>53261.781795495532</v>
      </c>
      <c r="J204" s="577">
        <f t="shared" si="566"/>
        <v>54421.581690563813</v>
      </c>
      <c r="K204" s="577">
        <f t="shared" si="566"/>
        <v>56151.043688605438</v>
      </c>
      <c r="L204" s="577">
        <f t="shared" si="566"/>
        <v>58140.53418920227</v>
      </c>
      <c r="M204" s="577">
        <f t="shared" si="566"/>
        <v>60136.351925160503</v>
      </c>
      <c r="N204" s="577">
        <f t="shared" si="566"/>
        <v>62139.746849536139</v>
      </c>
      <c r="O204" s="577">
        <f t="shared" si="566"/>
        <v>64153.144167655271</v>
      </c>
      <c r="P204" s="577">
        <f t="shared" si="566"/>
        <v>66181.190037127177</v>
      </c>
      <c r="Q204" s="577">
        <f t="shared" si="566"/>
        <v>67823.608907292728</v>
      </c>
      <c r="R204" s="577">
        <f t="shared" si="566"/>
        <v>69480.47832879523</v>
      </c>
      <c r="S204" s="577">
        <f t="shared" si="566"/>
        <v>71155.15464794221</v>
      </c>
      <c r="T204" s="577">
        <f t="shared" si="566"/>
        <v>72851.669962245112</v>
      </c>
      <c r="U204" s="577">
        <f t="shared" si="566"/>
        <v>74575.473043896156</v>
      </c>
      <c r="V204" s="577">
        <f t="shared" si="566"/>
        <v>76046.676399121221</v>
      </c>
      <c r="W204" s="577">
        <f t="shared" si="566"/>
        <v>77343.353869375671</v>
      </c>
      <c r="X204" s="577">
        <f t="shared" si="566"/>
        <v>78663.110250820842</v>
      </c>
      <c r="Y204" s="577">
        <f t="shared" si="566"/>
        <v>80009.281054465333</v>
      </c>
      <c r="Z204" s="577">
        <f t="shared" si="566"/>
        <v>81385.737960968341</v>
      </c>
      <c r="AA204" s="577">
        <f t="shared" si="566"/>
        <v>82796.47949987273</v>
      </c>
      <c r="AB204" s="577">
        <f t="shared" si="566"/>
        <v>84246.48147069996</v>
      </c>
      <c r="AC204" s="577">
        <f t="shared" si="566"/>
        <v>85740.820977970754</v>
      </c>
      <c r="AD204" s="577">
        <f t="shared" si="566"/>
        <v>87285.563361929191</v>
      </c>
      <c r="AE204" s="577">
        <f t="shared" si="566"/>
        <v>88887.487808960577</v>
      </c>
      <c r="AF204" s="577">
        <f t="shared" si="566"/>
        <v>90553.743593651569</v>
      </c>
      <c r="AG204" s="577">
        <f t="shared" si="566"/>
        <v>92292.716671194954</v>
      </c>
      <c r="AH204" s="752">
        <f t="shared" si="566"/>
        <v>94113.744158229849</v>
      </c>
      <c r="AI204" s="18"/>
      <c r="AJ204" s="18"/>
      <c r="AK204" s="18"/>
      <c r="AL204" s="18"/>
      <c r="AM204" s="18"/>
      <c r="AN204" s="18"/>
    </row>
    <row r="205" spans="2:40" ht="21.95" customHeight="1" x14ac:dyDescent="0.2">
      <c r="B205" s="232"/>
      <c r="C205" s="715"/>
      <c r="D205" s="715"/>
      <c r="E205" s="1340"/>
      <c r="F205" s="116"/>
      <c r="G205" s="116"/>
      <c r="H205" s="721" t="s">
        <v>25</v>
      </c>
      <c r="I205" s="577">
        <f t="shared" ref="I205" si="567">SUM(I203:I204)</f>
        <v>87852.350083792349</v>
      </c>
      <c r="J205" s="577">
        <f t="shared" ref="J205" si="568">SUM(J203:J204)</f>
        <v>89765.375577379978</v>
      </c>
      <c r="K205" s="577">
        <f t="shared" ref="K205" si="569">SUM(K203:K204)</f>
        <v>92618.027061927525</v>
      </c>
      <c r="L205" s="577">
        <f t="shared" ref="L205" si="570">SUM(L203:L204)</f>
        <v>95899.581115411973</v>
      </c>
      <c r="M205" s="577">
        <f t="shared" ref="M205" si="571">SUM(M203:M204)</f>
        <v>99191.571592111955</v>
      </c>
      <c r="N205" s="577">
        <f t="shared" ref="N205" si="572">SUM(N203:N204)</f>
        <v>102496.06022015156</v>
      </c>
      <c r="O205" s="577">
        <f t="shared" ref="O205" si="573">SUM(O203:O204)</f>
        <v>105817.0472409825</v>
      </c>
      <c r="P205" s="577">
        <f t="shared" ref="P205" si="574">SUM(P203:P204)</f>
        <v>109162.19623346144</v>
      </c>
      <c r="Q205" s="577">
        <f t="shared" ref="Q205" si="575">SUM(Q203:Q204)</f>
        <v>111871.27491430673</v>
      </c>
      <c r="R205" s="577">
        <f t="shared" ref="R205" si="576">SUM(R203:R204)</f>
        <v>114604.1889767739</v>
      </c>
      <c r="S205" s="577">
        <f t="shared" ref="S205" si="577">SUM(S203:S204)</f>
        <v>117366.47452763357</v>
      </c>
      <c r="T205" s="577">
        <f t="shared" ref="T205" si="578">SUM(T203:T204)</f>
        <v>120164.78228772542</v>
      </c>
      <c r="U205" s="577">
        <f t="shared" ref="U205" si="579">SUM(U203:U204)</f>
        <v>123008.09970407095</v>
      </c>
      <c r="V205" s="577">
        <f t="shared" ref="V205" si="580">SUM(V203:V204)</f>
        <v>125434.76790499495</v>
      </c>
      <c r="W205" s="577">
        <f t="shared" ref="W205" si="581">SUM(W203:W204)</f>
        <v>127573.56535454243</v>
      </c>
      <c r="X205" s="577">
        <f t="shared" ref="X205" si="582">SUM(X203:X204)</f>
        <v>129750.43018593726</v>
      </c>
      <c r="Y205" s="577">
        <f t="shared" ref="Y205" si="583">SUM(Y203:Y204)</f>
        <v>131970.864139282</v>
      </c>
      <c r="Z205" s="577">
        <f t="shared" ref="Z205" si="584">SUM(Z203:Z204)</f>
        <v>134241.25333673056</v>
      </c>
      <c r="AA205" s="577">
        <f t="shared" ref="AA205" si="585">SUM(AA203:AA204)</f>
        <v>136568.19313062343</v>
      </c>
      <c r="AB205" s="577">
        <f t="shared" ref="AB205" si="586">SUM(AB203:AB204)</f>
        <v>138959.89082583788</v>
      </c>
      <c r="AC205" s="577">
        <f t="shared" ref="AC205" si="587">SUM(AC203:AC204)</f>
        <v>141424.72082421955</v>
      </c>
      <c r="AD205" s="577">
        <f t="shared" ref="AD205" si="588">SUM(AD203:AD204)</f>
        <v>143972.68756753765</v>
      </c>
      <c r="AE205" s="577">
        <f t="shared" ref="AE205" si="589">SUM(AE203:AE204)</f>
        <v>146614.97294711333</v>
      </c>
      <c r="AF205" s="577">
        <f t="shared" ref="AF205" si="590">SUM(AF203:AF204)</f>
        <v>149363.36929419529</v>
      </c>
      <c r="AG205" s="577">
        <f t="shared" ref="AG205" si="591">SUM(AG203:AG204)</f>
        <v>152231.70877598767</v>
      </c>
      <c r="AH205" s="752">
        <f t="shared" ref="AH205" si="592">SUM(AH203:AH204)</f>
        <v>155235.39244765803</v>
      </c>
      <c r="AI205" s="18"/>
      <c r="AJ205" s="18"/>
      <c r="AK205" s="18"/>
      <c r="AL205" s="18"/>
      <c r="AM205" s="18"/>
      <c r="AN205" s="18"/>
    </row>
    <row r="206" spans="2:40" ht="21.95" customHeight="1" x14ac:dyDescent="0.2">
      <c r="B206" s="232"/>
      <c r="C206" s="715"/>
      <c r="D206" s="715"/>
      <c r="E206" s="1340"/>
      <c r="F206" s="116" t="s">
        <v>347</v>
      </c>
      <c r="G206" s="116" t="s">
        <v>348</v>
      </c>
      <c r="H206" s="116" t="s">
        <v>20</v>
      </c>
      <c r="I206" s="577">
        <f t="shared" ref="I206:AH206" si="593">I115*$D$11</f>
        <v>28315.539350479768</v>
      </c>
      <c r="J206" s="577">
        <f t="shared" si="593"/>
        <v>28933.375284186081</v>
      </c>
      <c r="K206" s="577">
        <f t="shared" si="593"/>
        <v>29855.290625245056</v>
      </c>
      <c r="L206" s="577">
        <f t="shared" si="593"/>
        <v>30916.999724424972</v>
      </c>
      <c r="M206" s="577">
        <f t="shared" si="593"/>
        <v>31983.784707406168</v>
      </c>
      <c r="N206" s="577">
        <f t="shared" si="593"/>
        <v>33056.908155312769</v>
      </c>
      <c r="O206" s="577">
        <f t="shared" si="593"/>
        <v>34138.437267317386</v>
      </c>
      <c r="P206" s="577">
        <f t="shared" si="593"/>
        <v>35231.856208995028</v>
      </c>
      <c r="Q206" s="577">
        <f t="shared" si="593"/>
        <v>36121.098271786839</v>
      </c>
      <c r="R206" s="577">
        <f t="shared" si="593"/>
        <v>37022.320603912027</v>
      </c>
      <c r="S206" s="577">
        <f t="shared" si="593"/>
        <v>37938.305793508836</v>
      </c>
      <c r="T206" s="577">
        <f t="shared" si="593"/>
        <v>38872.39666210975</v>
      </c>
      <c r="U206" s="577">
        <f t="shared" si="593"/>
        <v>39828.940801209304</v>
      </c>
      <c r="V206" s="577">
        <f t="shared" si="593"/>
        <v>40652.104621589468</v>
      </c>
      <c r="W206" s="577">
        <f t="shared" si="593"/>
        <v>41383.419285497708</v>
      </c>
      <c r="X206" s="577">
        <f t="shared" si="593"/>
        <v>42133.867584209205</v>
      </c>
      <c r="Y206" s="577">
        <f t="shared" si="593"/>
        <v>42906.214832300255</v>
      </c>
      <c r="Z206" s="577">
        <f t="shared" si="593"/>
        <v>43703.642569257652</v>
      </c>
      <c r="AA206" s="577">
        <f t="shared" si="593"/>
        <v>44529.52236302344</v>
      </c>
      <c r="AB206" s="577">
        <f t="shared" si="593"/>
        <v>45387.922837850987</v>
      </c>
      <c r="AC206" s="577">
        <f t="shared" si="593"/>
        <v>46283.109757234539</v>
      </c>
      <c r="AD206" s="577">
        <f t="shared" si="593"/>
        <v>47220.083320173551</v>
      </c>
      <c r="AE206" s="577">
        <f t="shared" si="593"/>
        <v>48204.43554177435</v>
      </c>
      <c r="AF206" s="577">
        <f t="shared" si="593"/>
        <v>49242.150123824031</v>
      </c>
      <c r="AG206" s="577">
        <f t="shared" si="593"/>
        <v>50340.151177528292</v>
      </c>
      <c r="AH206" s="752">
        <f t="shared" si="593"/>
        <v>51506.151377106282</v>
      </c>
      <c r="AI206" s="18"/>
      <c r="AJ206" s="18"/>
      <c r="AK206" s="18"/>
      <c r="AL206" s="18"/>
      <c r="AM206" s="18"/>
      <c r="AN206" s="18"/>
    </row>
    <row r="207" spans="2:40" ht="21.95" customHeight="1" x14ac:dyDescent="0.2">
      <c r="B207" s="232"/>
      <c r="C207" s="715"/>
      <c r="D207" s="715"/>
      <c r="E207" s="1340"/>
      <c r="F207" s="116"/>
      <c r="G207" s="116"/>
      <c r="H207" s="124" t="s">
        <v>19</v>
      </c>
      <c r="I207" s="577">
        <f t="shared" ref="I207:AH207" si="594">I116*$D$12</f>
        <v>43599.632874990231</v>
      </c>
      <c r="J207" s="577">
        <f t="shared" si="594"/>
        <v>44550.962798575652</v>
      </c>
      <c r="K207" s="577">
        <f t="shared" si="594"/>
        <v>45970.507378478273</v>
      </c>
      <c r="L207" s="577">
        <f t="shared" si="594"/>
        <v>47605.303254033322</v>
      </c>
      <c r="M207" s="577">
        <f t="shared" si="594"/>
        <v>49247.914861703255</v>
      </c>
      <c r="N207" s="577">
        <f t="shared" si="594"/>
        <v>50900.286295605634</v>
      </c>
      <c r="O207" s="577">
        <f t="shared" si="594"/>
        <v>52565.600582695712</v>
      </c>
      <c r="P207" s="577">
        <f t="shared" si="594"/>
        <v>54249.222563037685</v>
      </c>
      <c r="Q207" s="577">
        <f t="shared" si="594"/>
        <v>55618.457561348427</v>
      </c>
      <c r="R207" s="577">
        <f t="shared" si="594"/>
        <v>57006.139509873086</v>
      </c>
      <c r="S207" s="577">
        <f t="shared" si="594"/>
        <v>58416.552975462699</v>
      </c>
      <c r="T207" s="577">
        <f t="shared" si="594"/>
        <v>59854.845159792596</v>
      </c>
      <c r="U207" s="577">
        <f t="shared" si="594"/>
        <v>61327.710386806451</v>
      </c>
      <c r="V207" s="577">
        <f t="shared" si="594"/>
        <v>62595.199588418334</v>
      </c>
      <c r="W207" s="577">
        <f t="shared" si="594"/>
        <v>63721.261517447281</v>
      </c>
      <c r="X207" s="577">
        <f t="shared" si="594"/>
        <v>64876.784988517167</v>
      </c>
      <c r="Y207" s="577">
        <f t="shared" si="594"/>
        <v>66066.027971035452</v>
      </c>
      <c r="Z207" s="577">
        <f t="shared" si="594"/>
        <v>67293.88932819826</v>
      </c>
      <c r="AA207" s="577">
        <f t="shared" si="594"/>
        <v>68565.560524758068</v>
      </c>
      <c r="AB207" s="577">
        <f t="shared" si="594"/>
        <v>69887.306337152928</v>
      </c>
      <c r="AC207" s="577">
        <f t="shared" si="594"/>
        <v>71265.695092405615</v>
      </c>
      <c r="AD207" s="577">
        <f t="shared" si="594"/>
        <v>72708.425984869449</v>
      </c>
      <c r="AE207" s="577">
        <f t="shared" si="594"/>
        <v>74224.109474075129</v>
      </c>
      <c r="AF207" s="577">
        <f t="shared" si="594"/>
        <v>75821.959129925788</v>
      </c>
      <c r="AG207" s="577">
        <f t="shared" si="594"/>
        <v>77512.636543670582</v>
      </c>
      <c r="AH207" s="752">
        <f t="shared" si="594"/>
        <v>79308.017518213266</v>
      </c>
      <c r="AI207" s="18"/>
      <c r="AJ207" s="18"/>
      <c r="AK207" s="18"/>
      <c r="AL207" s="18"/>
      <c r="AM207" s="18"/>
      <c r="AN207" s="18"/>
    </row>
    <row r="208" spans="2:40" ht="21.95" customHeight="1" x14ac:dyDescent="0.2">
      <c r="B208" s="232"/>
      <c r="C208" s="715"/>
      <c r="D208" s="715"/>
      <c r="E208" s="1340"/>
      <c r="F208" s="116"/>
      <c r="G208" s="116"/>
      <c r="H208" s="721" t="s">
        <v>25</v>
      </c>
      <c r="I208" s="577">
        <f t="shared" ref="I208" si="595">SUM(I206:I207)</f>
        <v>71915.17222547</v>
      </c>
      <c r="J208" s="577">
        <f t="shared" ref="J208" si="596">SUM(J206:J207)</f>
        <v>73484.338082761737</v>
      </c>
      <c r="K208" s="577">
        <f t="shared" ref="K208" si="597">SUM(K206:K207)</f>
        <v>75825.798003723321</v>
      </c>
      <c r="L208" s="577">
        <f t="shared" ref="L208" si="598">SUM(L206:L207)</f>
        <v>78522.30297845829</v>
      </c>
      <c r="M208" s="577">
        <f t="shared" ref="M208" si="599">SUM(M206:M207)</f>
        <v>81231.69956910942</v>
      </c>
      <c r="N208" s="577">
        <f t="shared" ref="N208" si="600">SUM(N206:N207)</f>
        <v>83957.19445091841</v>
      </c>
      <c r="O208" s="577">
        <f t="shared" ref="O208" si="601">SUM(O206:O207)</f>
        <v>86704.03785001309</v>
      </c>
      <c r="P208" s="577">
        <f t="shared" ref="P208" si="602">SUM(P206:P207)</f>
        <v>89481.078772032721</v>
      </c>
      <c r="Q208" s="577">
        <f t="shared" ref="Q208" si="603">SUM(Q206:Q207)</f>
        <v>91739.555833135266</v>
      </c>
      <c r="R208" s="577">
        <f t="shared" ref="R208" si="604">SUM(R206:R207)</f>
        <v>94028.460113785113</v>
      </c>
      <c r="S208" s="577">
        <f t="shared" ref="S208" si="605">SUM(S206:S207)</f>
        <v>96354.858768971535</v>
      </c>
      <c r="T208" s="577">
        <f t="shared" ref="T208" si="606">SUM(T206:T207)</f>
        <v>98727.241821902338</v>
      </c>
      <c r="U208" s="577">
        <f t="shared" ref="U208" si="607">SUM(U206:U207)</f>
        <v>101156.65118801576</v>
      </c>
      <c r="V208" s="577">
        <f t="shared" ref="V208" si="608">SUM(V206:V207)</f>
        <v>103247.3042100078</v>
      </c>
      <c r="W208" s="577">
        <f t="shared" ref="W208" si="609">SUM(W206:W207)</f>
        <v>105104.68080294499</v>
      </c>
      <c r="X208" s="577">
        <f t="shared" ref="X208" si="610">SUM(X206:X207)</f>
        <v>107010.65257272637</v>
      </c>
      <c r="Y208" s="577">
        <f t="shared" ref="Y208" si="611">SUM(Y206:Y207)</f>
        <v>108972.24280333571</v>
      </c>
      <c r="Z208" s="577">
        <f t="shared" ref="Z208" si="612">SUM(Z206:Z207)</f>
        <v>110997.53189745592</v>
      </c>
      <c r="AA208" s="577">
        <f t="shared" ref="AA208" si="613">SUM(AA206:AA207)</f>
        <v>113095.08288778151</v>
      </c>
      <c r="AB208" s="577">
        <f t="shared" ref="AB208" si="614">SUM(AB206:AB207)</f>
        <v>115275.22917500391</v>
      </c>
      <c r="AC208" s="577">
        <f t="shared" ref="AC208" si="615">SUM(AC206:AC207)</f>
        <v>117548.80484964015</v>
      </c>
      <c r="AD208" s="577">
        <f t="shared" ref="AD208" si="616">SUM(AD206:AD207)</f>
        <v>119928.509305043</v>
      </c>
      <c r="AE208" s="577">
        <f t="shared" ref="AE208" si="617">SUM(AE206:AE207)</f>
        <v>122428.54501584948</v>
      </c>
      <c r="AF208" s="577">
        <f t="shared" ref="AF208" si="618">SUM(AF206:AF207)</f>
        <v>125064.10925374982</v>
      </c>
      <c r="AG208" s="577">
        <f t="shared" ref="AG208" si="619">SUM(AG206:AG207)</f>
        <v>127852.78772119887</v>
      </c>
      <c r="AH208" s="752">
        <f t="shared" ref="AH208" si="620">SUM(AH206:AH207)</f>
        <v>130814.16889531954</v>
      </c>
      <c r="AI208" s="18"/>
      <c r="AJ208" s="18"/>
      <c r="AK208" s="18"/>
      <c r="AL208" s="18"/>
      <c r="AM208" s="18"/>
      <c r="AN208" s="18"/>
    </row>
    <row r="209" spans="2:40" ht="21.95" customHeight="1" x14ac:dyDescent="0.2">
      <c r="B209" s="232"/>
      <c r="C209" s="715"/>
      <c r="D209" s="715"/>
      <c r="E209" s="1340"/>
      <c r="F209" s="116" t="s">
        <v>348</v>
      </c>
      <c r="G209" s="116" t="s">
        <v>349</v>
      </c>
      <c r="H209" s="116" t="s">
        <v>20</v>
      </c>
      <c r="I209" s="577">
        <f t="shared" ref="I209:AH209" si="621">I118*$D$11</f>
        <v>46294.69995263694</v>
      </c>
      <c r="J209" s="577">
        <f t="shared" si="621"/>
        <v>47424.628027721366</v>
      </c>
      <c r="K209" s="577">
        <f t="shared" si="621"/>
        <v>49005.970919382256</v>
      </c>
      <c r="L209" s="577">
        <f t="shared" si="621"/>
        <v>51134.534376639727</v>
      </c>
      <c r="M209" s="577">
        <f t="shared" si="621"/>
        <v>53309.163929614508</v>
      </c>
      <c r="N209" s="577">
        <f t="shared" si="621"/>
        <v>55548.639006045109</v>
      </c>
      <c r="O209" s="577">
        <f t="shared" si="621"/>
        <v>57878.093419938297</v>
      </c>
      <c r="P209" s="577">
        <f t="shared" si="621"/>
        <v>60334.834133488126</v>
      </c>
      <c r="Q209" s="577">
        <f t="shared" si="621"/>
        <v>62839.920307559856</v>
      </c>
      <c r="R209" s="577">
        <f t="shared" si="621"/>
        <v>65555.550718809245</v>
      </c>
      <c r="S209" s="577">
        <f t="shared" si="621"/>
        <v>68550.129924604393</v>
      </c>
      <c r="T209" s="577">
        <f t="shared" si="621"/>
        <v>71911.567071369587</v>
      </c>
      <c r="U209" s="577">
        <f t="shared" si="621"/>
        <v>75753.884799983425</v>
      </c>
      <c r="V209" s="577">
        <f t="shared" si="621"/>
        <v>78989.883426798595</v>
      </c>
      <c r="W209" s="577">
        <f t="shared" si="621"/>
        <v>81741.128228064539</v>
      </c>
      <c r="X209" s="577">
        <f t="shared" si="621"/>
        <v>84768.175930527796</v>
      </c>
      <c r="Y209" s="577">
        <f t="shared" si="621"/>
        <v>88111.913088607238</v>
      </c>
      <c r="Z209" s="577">
        <f t="shared" si="621"/>
        <v>91819.287509771602</v>
      </c>
      <c r="AA209" s="577">
        <f t="shared" si="621"/>
        <v>95940.927250164154</v>
      </c>
      <c r="AB209" s="577">
        <f t="shared" si="621"/>
        <v>100537.08987441508</v>
      </c>
      <c r="AC209" s="577">
        <f t="shared" si="621"/>
        <v>105671.84604065426</v>
      </c>
      <c r="AD209" s="577">
        <f t="shared" si="621"/>
        <v>111419.93350778807</v>
      </c>
      <c r="AE209" s="577">
        <f t="shared" si="621"/>
        <v>117865.43783265943</v>
      </c>
      <c r="AF209" s="577">
        <f t="shared" si="621"/>
        <v>125098.37146315303</v>
      </c>
      <c r="AG209" s="577">
        <f t="shared" si="621"/>
        <v>133223.23111513237</v>
      </c>
      <c r="AH209" s="752">
        <f t="shared" si="621"/>
        <v>142357.07738685404</v>
      </c>
      <c r="AI209" s="18"/>
      <c r="AJ209" s="18"/>
      <c r="AK209" s="18"/>
      <c r="AL209" s="18"/>
      <c r="AM209" s="18"/>
      <c r="AN209" s="18"/>
    </row>
    <row r="210" spans="2:40" ht="21.95" customHeight="1" x14ac:dyDescent="0.2">
      <c r="B210" s="232"/>
      <c r="C210" s="715"/>
      <c r="D210" s="715"/>
      <c r="E210" s="1340"/>
      <c r="F210" s="116"/>
      <c r="G210" s="116"/>
      <c r="H210" s="124" t="s">
        <v>19</v>
      </c>
      <c r="I210" s="577">
        <f t="shared" ref="I210:AH210" si="622">I119*$D$12</f>
        <v>71283.541415523083</v>
      </c>
      <c r="J210" s="577">
        <f t="shared" si="622"/>
        <v>73023.379341230495</v>
      </c>
      <c r="K210" s="577">
        <f t="shared" si="622"/>
        <v>75458.295684249824</v>
      </c>
      <c r="L210" s="577">
        <f t="shared" si="622"/>
        <v>78735.809989693327</v>
      </c>
      <c r="M210" s="577">
        <f t="shared" si="622"/>
        <v>82084.255836874334</v>
      </c>
      <c r="N210" s="577">
        <f t="shared" si="622"/>
        <v>85532.549367734115</v>
      </c>
      <c r="O210" s="577">
        <f t="shared" si="622"/>
        <v>89119.391065773263</v>
      </c>
      <c r="P210" s="577">
        <f t="shared" si="622"/>
        <v>92902.225355242612</v>
      </c>
      <c r="Q210" s="577">
        <f t="shared" si="622"/>
        <v>96759.500901289764</v>
      </c>
      <c r="R210" s="577">
        <f t="shared" si="622"/>
        <v>100940.96774495862</v>
      </c>
      <c r="S210" s="577">
        <f t="shared" si="622"/>
        <v>105551.9536905799</v>
      </c>
      <c r="T210" s="577">
        <f t="shared" si="622"/>
        <v>110727.81927156994</v>
      </c>
      <c r="U210" s="577">
        <f t="shared" si="622"/>
        <v>116644.13399484188</v>
      </c>
      <c r="V210" s="577">
        <f t="shared" si="622"/>
        <v>121626.85215418089</v>
      </c>
      <c r="W210" s="577">
        <f t="shared" si="622"/>
        <v>125863.1572373962</v>
      </c>
      <c r="X210" s="577">
        <f t="shared" si="622"/>
        <v>130524.13744649274</v>
      </c>
      <c r="Y210" s="577">
        <f t="shared" si="622"/>
        <v>135672.74898160223</v>
      </c>
      <c r="Z210" s="577">
        <f t="shared" si="622"/>
        <v>141381.28102445585</v>
      </c>
      <c r="AA210" s="577">
        <f t="shared" si="622"/>
        <v>147727.68952121082</v>
      </c>
      <c r="AB210" s="577">
        <f t="shared" si="622"/>
        <v>154804.75771937307</v>
      </c>
      <c r="AC210" s="577">
        <f t="shared" si="622"/>
        <v>162711.14018235897</v>
      </c>
      <c r="AD210" s="577">
        <f t="shared" si="622"/>
        <v>171561.91643628612</v>
      </c>
      <c r="AE210" s="577">
        <f t="shared" si="622"/>
        <v>181486.55953702907</v>
      </c>
      <c r="AF210" s="577">
        <f t="shared" si="622"/>
        <v>192623.66863445289</v>
      </c>
      <c r="AG210" s="577">
        <f t="shared" si="622"/>
        <v>205134.14542963065</v>
      </c>
      <c r="AH210" s="752">
        <f t="shared" si="622"/>
        <v>219198.23720815845</v>
      </c>
      <c r="AI210" s="18"/>
      <c r="AJ210" s="18"/>
      <c r="AK210" s="18"/>
      <c r="AL210" s="18"/>
      <c r="AM210" s="18"/>
      <c r="AN210" s="18"/>
    </row>
    <row r="211" spans="2:40" ht="21.95" customHeight="1" x14ac:dyDescent="0.2">
      <c r="B211" s="232"/>
      <c r="C211" s="715"/>
      <c r="D211" s="715"/>
      <c r="E211" s="1333"/>
      <c r="F211" s="254"/>
      <c r="G211" s="254"/>
      <c r="H211" s="721" t="s">
        <v>25</v>
      </c>
      <c r="I211" s="577">
        <f t="shared" ref="I211" si="623">SUM(I209:I210)</f>
        <v>117578.24136816003</v>
      </c>
      <c r="J211" s="577">
        <f t="shared" ref="J211" si="624">SUM(J209:J210)</f>
        <v>120448.00736895186</v>
      </c>
      <c r="K211" s="577">
        <f t="shared" ref="K211" si="625">SUM(K209:K210)</f>
        <v>124464.26660363207</v>
      </c>
      <c r="L211" s="577">
        <f t="shared" ref="L211" si="626">SUM(L209:L210)</f>
        <v>129870.34436633305</v>
      </c>
      <c r="M211" s="577">
        <f t="shared" ref="M211" si="627">SUM(M209:M210)</f>
        <v>135393.41976648883</v>
      </c>
      <c r="N211" s="577">
        <f t="shared" ref="N211" si="628">SUM(N209:N210)</f>
        <v>141081.18837377924</v>
      </c>
      <c r="O211" s="577">
        <f t="shared" ref="O211" si="629">SUM(O209:O210)</f>
        <v>146997.48448571155</v>
      </c>
      <c r="P211" s="577">
        <f t="shared" ref="P211" si="630">SUM(P209:P210)</f>
        <v>153237.05948873074</v>
      </c>
      <c r="Q211" s="577">
        <f t="shared" ref="Q211" si="631">SUM(Q209:Q210)</f>
        <v>159599.42120884961</v>
      </c>
      <c r="R211" s="577">
        <f t="shared" ref="R211" si="632">SUM(R209:R210)</f>
        <v>166496.51846376786</v>
      </c>
      <c r="S211" s="577">
        <f t="shared" ref="S211" si="633">SUM(S209:S210)</f>
        <v>174102.0836151843</v>
      </c>
      <c r="T211" s="577">
        <f t="shared" ref="T211" si="634">SUM(T209:T210)</f>
        <v>182639.38634293951</v>
      </c>
      <c r="U211" s="577">
        <f t="shared" ref="U211" si="635">SUM(U209:U210)</f>
        <v>192398.0187948253</v>
      </c>
      <c r="V211" s="577">
        <f t="shared" ref="V211" si="636">SUM(V209:V210)</f>
        <v>200616.7355809795</v>
      </c>
      <c r="W211" s="577">
        <f t="shared" ref="W211" si="637">SUM(W209:W210)</f>
        <v>207604.28546546074</v>
      </c>
      <c r="X211" s="577">
        <f t="shared" ref="X211" si="638">SUM(X209:X210)</f>
        <v>215292.31337702053</v>
      </c>
      <c r="Y211" s="577">
        <f t="shared" ref="Y211" si="639">SUM(Y209:Y210)</f>
        <v>223784.66207020945</v>
      </c>
      <c r="Z211" s="577">
        <f t="shared" ref="Z211" si="640">SUM(Z209:Z210)</f>
        <v>233200.56853422744</v>
      </c>
      <c r="AA211" s="577">
        <f t="shared" ref="AA211" si="641">SUM(AA209:AA210)</f>
        <v>243668.61677137497</v>
      </c>
      <c r="AB211" s="577">
        <f t="shared" ref="AB211" si="642">SUM(AB209:AB210)</f>
        <v>255341.84759378814</v>
      </c>
      <c r="AC211" s="577">
        <f t="shared" ref="AC211" si="643">SUM(AC209:AC210)</f>
        <v>268382.98622301326</v>
      </c>
      <c r="AD211" s="577">
        <f t="shared" ref="AD211" si="644">SUM(AD209:AD210)</f>
        <v>282981.84994407417</v>
      </c>
      <c r="AE211" s="577">
        <f t="shared" ref="AE211" si="645">SUM(AE209:AE210)</f>
        <v>299351.99736968847</v>
      </c>
      <c r="AF211" s="577">
        <f t="shared" ref="AF211" si="646">SUM(AF209:AF210)</f>
        <v>317722.0400976059</v>
      </c>
      <c r="AG211" s="577">
        <f t="shared" ref="AG211" si="647">SUM(AG209:AG210)</f>
        <v>338357.37654476298</v>
      </c>
      <c r="AH211" s="752">
        <f t="shared" ref="AH211" si="648">SUM(AH209:AH210)</f>
        <v>361555.31459501246</v>
      </c>
      <c r="AI211" s="18"/>
      <c r="AJ211" s="18"/>
      <c r="AK211" s="18"/>
      <c r="AL211" s="18"/>
      <c r="AM211" s="18"/>
      <c r="AN211" s="18"/>
    </row>
    <row r="212" spans="2:40" ht="21.95" customHeight="1" x14ac:dyDescent="0.2">
      <c r="B212" s="232"/>
      <c r="C212" s="715"/>
      <c r="D212" s="715"/>
      <c r="E212" s="116" t="s">
        <v>288</v>
      </c>
      <c r="F212" s="116" t="s">
        <v>323</v>
      </c>
      <c r="G212" s="116" t="s">
        <v>348</v>
      </c>
      <c r="H212" s="116" t="s">
        <v>20</v>
      </c>
      <c r="I212" s="577">
        <f t="shared" ref="I212:AH212" si="649">I121*$D$11</f>
        <v>7893.4535565156511</v>
      </c>
      <c r="J212" s="577">
        <f t="shared" si="649"/>
        <v>8189.3705071320355</v>
      </c>
      <c r="K212" s="577">
        <f t="shared" si="649"/>
        <v>8642.0165839140955</v>
      </c>
      <c r="L212" s="577">
        <f t="shared" si="649"/>
        <v>10080.163747143148</v>
      </c>
      <c r="M212" s="577">
        <f t="shared" si="649"/>
        <v>11518.542023829428</v>
      </c>
      <c r="N212" s="577">
        <f t="shared" si="649"/>
        <v>12958.493549029368</v>
      </c>
      <c r="O212" s="577">
        <f t="shared" si="649"/>
        <v>14396.799441844216</v>
      </c>
      <c r="P212" s="577">
        <f t="shared" si="649"/>
        <v>15836.78527949612</v>
      </c>
      <c r="Q212" s="577">
        <f t="shared" si="649"/>
        <v>17735.209212163427</v>
      </c>
      <c r="R212" s="577">
        <f t="shared" si="649"/>
        <v>19636.308915167847</v>
      </c>
      <c r="S212" s="577">
        <f t="shared" si="649"/>
        <v>21545.902384135632</v>
      </c>
      <c r="T212" s="577">
        <f t="shared" si="649"/>
        <v>23472.980130320306</v>
      </c>
      <c r="U212" s="577">
        <f t="shared" si="649"/>
        <v>25439.907375794188</v>
      </c>
      <c r="V212" s="577">
        <f t="shared" si="649"/>
        <v>26406.290704837196</v>
      </c>
      <c r="W212" s="577">
        <f t="shared" si="649"/>
        <v>26725.090989457782</v>
      </c>
      <c r="X212" s="577">
        <f t="shared" si="649"/>
        <v>27046.59092412937</v>
      </c>
      <c r="Y212" s="577">
        <f t="shared" si="649"/>
        <v>27371.074456427046</v>
      </c>
      <c r="Z212" s="577">
        <f t="shared" si="649"/>
        <v>27699.193020591247</v>
      </c>
      <c r="AA212" s="577">
        <f t="shared" si="649"/>
        <v>28030.604713704699</v>
      </c>
      <c r="AB212" s="577">
        <f t="shared" si="649"/>
        <v>28366.366259871102</v>
      </c>
      <c r="AC212" s="577">
        <f t="shared" si="649"/>
        <v>28706.183309050903</v>
      </c>
      <c r="AD212" s="577">
        <f t="shared" si="649"/>
        <v>29050.838233136652</v>
      </c>
      <c r="AE212" s="577">
        <f t="shared" si="649"/>
        <v>29401.171655236791</v>
      </c>
      <c r="AF212" s="577">
        <f t="shared" si="649"/>
        <v>29756.973572623487</v>
      </c>
      <c r="AG212" s="577">
        <f t="shared" si="649"/>
        <v>30119.163847882006</v>
      </c>
      <c r="AH212" s="752">
        <f t="shared" si="649"/>
        <v>30488.736243402032</v>
      </c>
      <c r="AI212" s="18"/>
      <c r="AJ212" s="18"/>
      <c r="AK212" s="18"/>
      <c r="AL212" s="18"/>
      <c r="AM212" s="18"/>
      <c r="AN212" s="18"/>
    </row>
    <row r="213" spans="2:40" ht="21.95" customHeight="1" x14ac:dyDescent="0.2">
      <c r="B213" s="232"/>
      <c r="C213" s="715"/>
      <c r="D213" s="715"/>
      <c r="E213" s="116"/>
      <c r="F213" s="116"/>
      <c r="G213" s="116"/>
      <c r="H213" s="124" t="s">
        <v>19</v>
      </c>
      <c r="I213" s="577">
        <f t="shared" ref="I213:AH213" si="650">I122*$D$12</f>
        <v>18906.475584468626</v>
      </c>
      <c r="J213" s="577">
        <f t="shared" si="650"/>
        <v>19615.258699717451</v>
      </c>
      <c r="K213" s="577">
        <f t="shared" si="650"/>
        <v>20699.44091955472</v>
      </c>
      <c r="L213" s="577">
        <f t="shared" si="650"/>
        <v>24144.104783576404</v>
      </c>
      <c r="M213" s="577">
        <f t="shared" si="650"/>
        <v>27589.322212765099</v>
      </c>
      <c r="N213" s="577">
        <f t="shared" si="650"/>
        <v>31038.307901866752</v>
      </c>
      <c r="O213" s="577">
        <f t="shared" si="650"/>
        <v>34483.351956513092</v>
      </c>
      <c r="P213" s="577">
        <f t="shared" si="650"/>
        <v>37932.419831128434</v>
      </c>
      <c r="Q213" s="577">
        <f t="shared" si="650"/>
        <v>42479.543023145932</v>
      </c>
      <c r="R213" s="577">
        <f t="shared" si="650"/>
        <v>47033.075245911008</v>
      </c>
      <c r="S213" s="577">
        <f t="shared" si="650"/>
        <v>51606.951818288944</v>
      </c>
      <c r="T213" s="577">
        <f t="shared" si="650"/>
        <v>56222.706898970799</v>
      </c>
      <c r="U213" s="577">
        <f t="shared" si="650"/>
        <v>60933.909882141772</v>
      </c>
      <c r="V213" s="577">
        <f t="shared" si="650"/>
        <v>63248.600490628014</v>
      </c>
      <c r="W213" s="577">
        <f t="shared" si="650"/>
        <v>64012.193986725229</v>
      </c>
      <c r="X213" s="577">
        <f t="shared" si="650"/>
        <v>64782.253710489516</v>
      </c>
      <c r="Y213" s="577">
        <f t="shared" si="650"/>
        <v>65559.459775873169</v>
      </c>
      <c r="Z213" s="577">
        <f t="shared" si="650"/>
        <v>66345.372504410174</v>
      </c>
      <c r="AA213" s="577">
        <f t="shared" si="650"/>
        <v>67139.172966957369</v>
      </c>
      <c r="AB213" s="577">
        <f t="shared" si="650"/>
        <v>67943.392239212219</v>
      </c>
      <c r="AC213" s="577">
        <f t="shared" si="650"/>
        <v>68757.325291139889</v>
      </c>
      <c r="AD213" s="577">
        <f t="shared" si="650"/>
        <v>69582.846067393184</v>
      </c>
      <c r="AE213" s="577">
        <f t="shared" si="650"/>
        <v>70421.968036495309</v>
      </c>
      <c r="AF213" s="577">
        <f t="shared" si="650"/>
        <v>71274.18819790057</v>
      </c>
      <c r="AG213" s="577">
        <f t="shared" si="650"/>
        <v>72141.709815286245</v>
      </c>
      <c r="AH213" s="752">
        <f t="shared" si="650"/>
        <v>73026.91315784918</v>
      </c>
      <c r="AI213" s="18"/>
      <c r="AJ213" s="18"/>
      <c r="AK213" s="18"/>
      <c r="AL213" s="18"/>
      <c r="AM213" s="18"/>
      <c r="AN213" s="18"/>
    </row>
    <row r="214" spans="2:40" ht="21.95" customHeight="1" x14ac:dyDescent="0.2">
      <c r="B214" s="232"/>
      <c r="C214" s="715"/>
      <c r="D214" s="715"/>
      <c r="E214" s="116"/>
      <c r="F214" s="116"/>
      <c r="G214" s="116"/>
      <c r="H214" s="721" t="s">
        <v>25</v>
      </c>
      <c r="I214" s="577">
        <f t="shared" ref="I214" si="651">SUM(I212:I213)</f>
        <v>26799.929140984277</v>
      </c>
      <c r="J214" s="577">
        <f t="shared" ref="J214" si="652">SUM(J212:J213)</f>
        <v>27804.629206849488</v>
      </c>
      <c r="K214" s="577">
        <f t="shared" ref="K214" si="653">SUM(K212:K213)</f>
        <v>29341.457503468817</v>
      </c>
      <c r="L214" s="577">
        <f t="shared" ref="L214" si="654">SUM(L212:L213)</f>
        <v>34224.26853071955</v>
      </c>
      <c r="M214" s="577">
        <f t="shared" ref="M214" si="655">SUM(M212:M213)</f>
        <v>39107.864236594527</v>
      </c>
      <c r="N214" s="577">
        <f t="shared" ref="N214" si="656">SUM(N212:N213)</f>
        <v>43996.801450896121</v>
      </c>
      <c r="O214" s="577">
        <f t="shared" ref="O214" si="657">SUM(O212:O213)</f>
        <v>48880.15139835731</v>
      </c>
      <c r="P214" s="577">
        <f t="shared" ref="P214" si="658">SUM(P212:P213)</f>
        <v>53769.205110624556</v>
      </c>
      <c r="Q214" s="577">
        <f t="shared" ref="Q214" si="659">SUM(Q212:Q213)</f>
        <v>60214.752235309359</v>
      </c>
      <c r="R214" s="577">
        <f t="shared" ref="R214" si="660">SUM(R212:R213)</f>
        <v>66669.384161078851</v>
      </c>
      <c r="S214" s="577">
        <f t="shared" ref="S214" si="661">SUM(S212:S213)</f>
        <v>73152.854202424583</v>
      </c>
      <c r="T214" s="577">
        <f t="shared" ref="T214" si="662">SUM(T212:T213)</f>
        <v>79695.687029291104</v>
      </c>
      <c r="U214" s="577">
        <f t="shared" ref="U214" si="663">SUM(U212:U213)</f>
        <v>86373.817257935967</v>
      </c>
      <c r="V214" s="577">
        <f t="shared" ref="V214" si="664">SUM(V212:V213)</f>
        <v>89654.891195465214</v>
      </c>
      <c r="W214" s="577">
        <f t="shared" ref="W214" si="665">SUM(W212:W213)</f>
        <v>90737.284976183015</v>
      </c>
      <c r="X214" s="577">
        <f t="shared" ref="X214" si="666">SUM(X212:X213)</f>
        <v>91828.844634618887</v>
      </c>
      <c r="Y214" s="577">
        <f t="shared" ref="Y214" si="667">SUM(Y212:Y213)</f>
        <v>92930.534232300211</v>
      </c>
      <c r="Z214" s="577">
        <f t="shared" ref="Z214" si="668">SUM(Z212:Z213)</f>
        <v>94044.565525001424</v>
      </c>
      <c r="AA214" s="577">
        <f t="shared" ref="AA214" si="669">SUM(AA212:AA213)</f>
        <v>95169.777680662068</v>
      </c>
      <c r="AB214" s="577">
        <f t="shared" ref="AB214" si="670">SUM(AB212:AB213)</f>
        <v>96309.758499083313</v>
      </c>
      <c r="AC214" s="577">
        <f t="shared" ref="AC214" si="671">SUM(AC212:AC213)</f>
        <v>97463.508600190791</v>
      </c>
      <c r="AD214" s="577">
        <f t="shared" ref="AD214" si="672">SUM(AD212:AD213)</f>
        <v>98633.684300529829</v>
      </c>
      <c r="AE214" s="577">
        <f t="shared" ref="AE214" si="673">SUM(AE212:AE213)</f>
        <v>99823.139691732096</v>
      </c>
      <c r="AF214" s="577">
        <f t="shared" ref="AF214" si="674">SUM(AF212:AF213)</f>
        <v>101031.16177052405</v>
      </c>
      <c r="AG214" s="577">
        <f t="shared" ref="AG214" si="675">SUM(AG212:AG213)</f>
        <v>102260.87366316826</v>
      </c>
      <c r="AH214" s="752">
        <f t="shared" ref="AH214" si="676">SUM(AH212:AH213)</f>
        <v>103515.64940125121</v>
      </c>
      <c r="AI214" s="18"/>
      <c r="AJ214" s="18"/>
      <c r="AK214" s="18"/>
      <c r="AL214" s="18"/>
      <c r="AM214" s="18"/>
      <c r="AN214" s="18"/>
    </row>
    <row r="215" spans="2:40" ht="21.95" customHeight="1" x14ac:dyDescent="0.2">
      <c r="B215" s="232"/>
      <c r="C215" s="715"/>
      <c r="D215" s="715"/>
      <c r="E215" s="220" t="s">
        <v>340</v>
      </c>
      <c r="F215" s="220" t="s">
        <v>335</v>
      </c>
      <c r="G215" s="220" t="s">
        <v>323</v>
      </c>
      <c r="H215" s="116" t="s">
        <v>20</v>
      </c>
      <c r="I215" s="577" t="e">
        <f t="shared" ref="I215:AH215" si="677">I124*$D$11</f>
        <v>#DIV/0!</v>
      </c>
      <c r="J215" s="577" t="e">
        <f t="shared" si="677"/>
        <v>#DIV/0!</v>
      </c>
      <c r="K215" s="577" t="e">
        <f t="shared" si="677"/>
        <v>#DIV/0!</v>
      </c>
      <c r="L215" s="577" t="e">
        <f t="shared" si="677"/>
        <v>#DIV/0!</v>
      </c>
      <c r="M215" s="577" t="e">
        <f t="shared" si="677"/>
        <v>#DIV/0!</v>
      </c>
      <c r="N215" s="577" t="e">
        <f t="shared" si="677"/>
        <v>#DIV/0!</v>
      </c>
      <c r="O215" s="577" t="e">
        <f t="shared" si="677"/>
        <v>#DIV/0!</v>
      </c>
      <c r="P215" s="577" t="e">
        <f t="shared" si="677"/>
        <v>#DIV/0!</v>
      </c>
      <c r="Q215" s="577" t="e">
        <f t="shared" si="677"/>
        <v>#DIV/0!</v>
      </c>
      <c r="R215" s="577" t="e">
        <f t="shared" si="677"/>
        <v>#DIV/0!</v>
      </c>
      <c r="S215" s="577" t="e">
        <f t="shared" si="677"/>
        <v>#DIV/0!</v>
      </c>
      <c r="T215" s="577" t="e">
        <f t="shared" si="677"/>
        <v>#DIV/0!</v>
      </c>
      <c r="U215" s="577" t="e">
        <f t="shared" si="677"/>
        <v>#DIV/0!</v>
      </c>
      <c r="V215" s="577" t="e">
        <f t="shared" si="677"/>
        <v>#DIV/0!</v>
      </c>
      <c r="W215" s="577" t="e">
        <f t="shared" si="677"/>
        <v>#DIV/0!</v>
      </c>
      <c r="X215" s="577" t="e">
        <f t="shared" si="677"/>
        <v>#DIV/0!</v>
      </c>
      <c r="Y215" s="577" t="e">
        <f t="shared" si="677"/>
        <v>#DIV/0!</v>
      </c>
      <c r="Z215" s="577" t="e">
        <f t="shared" si="677"/>
        <v>#DIV/0!</v>
      </c>
      <c r="AA215" s="577" t="e">
        <f t="shared" si="677"/>
        <v>#DIV/0!</v>
      </c>
      <c r="AB215" s="577" t="e">
        <f t="shared" si="677"/>
        <v>#DIV/0!</v>
      </c>
      <c r="AC215" s="577" t="e">
        <f t="shared" si="677"/>
        <v>#DIV/0!</v>
      </c>
      <c r="AD215" s="577" t="e">
        <f t="shared" si="677"/>
        <v>#DIV/0!</v>
      </c>
      <c r="AE215" s="577" t="e">
        <f t="shared" si="677"/>
        <v>#DIV/0!</v>
      </c>
      <c r="AF215" s="577" t="e">
        <f t="shared" si="677"/>
        <v>#DIV/0!</v>
      </c>
      <c r="AG215" s="577" t="e">
        <f t="shared" si="677"/>
        <v>#DIV/0!</v>
      </c>
      <c r="AH215" s="752" t="e">
        <f t="shared" si="677"/>
        <v>#DIV/0!</v>
      </c>
      <c r="AI215" s="18"/>
      <c r="AJ215" s="18"/>
      <c r="AK215" s="18"/>
      <c r="AL215" s="18"/>
      <c r="AM215" s="18"/>
      <c r="AN215" s="18"/>
    </row>
    <row r="216" spans="2:40" ht="21.95" customHeight="1" x14ac:dyDescent="0.2">
      <c r="B216" s="232"/>
      <c r="C216" s="715"/>
      <c r="D216" s="715"/>
      <c r="E216" s="116"/>
      <c r="F216" s="116"/>
      <c r="G216" s="116"/>
      <c r="H216" s="124" t="s">
        <v>19</v>
      </c>
      <c r="I216" s="577" t="e">
        <f t="shared" ref="I216:AH216" si="678">I125*$D$12</f>
        <v>#DIV/0!</v>
      </c>
      <c r="J216" s="577" t="e">
        <f t="shared" si="678"/>
        <v>#DIV/0!</v>
      </c>
      <c r="K216" s="577" t="e">
        <f t="shared" si="678"/>
        <v>#DIV/0!</v>
      </c>
      <c r="L216" s="577" t="e">
        <f t="shared" si="678"/>
        <v>#DIV/0!</v>
      </c>
      <c r="M216" s="577" t="e">
        <f t="shared" si="678"/>
        <v>#DIV/0!</v>
      </c>
      <c r="N216" s="577" t="e">
        <f t="shared" si="678"/>
        <v>#DIV/0!</v>
      </c>
      <c r="O216" s="577" t="e">
        <f t="shared" si="678"/>
        <v>#DIV/0!</v>
      </c>
      <c r="P216" s="577" t="e">
        <f t="shared" si="678"/>
        <v>#DIV/0!</v>
      </c>
      <c r="Q216" s="577" t="e">
        <f t="shared" si="678"/>
        <v>#DIV/0!</v>
      </c>
      <c r="R216" s="577" t="e">
        <f t="shared" si="678"/>
        <v>#DIV/0!</v>
      </c>
      <c r="S216" s="577" t="e">
        <f t="shared" si="678"/>
        <v>#DIV/0!</v>
      </c>
      <c r="T216" s="577" t="e">
        <f t="shared" si="678"/>
        <v>#DIV/0!</v>
      </c>
      <c r="U216" s="577" t="e">
        <f t="shared" si="678"/>
        <v>#DIV/0!</v>
      </c>
      <c r="V216" s="577" t="e">
        <f t="shared" si="678"/>
        <v>#DIV/0!</v>
      </c>
      <c r="W216" s="577" t="e">
        <f t="shared" si="678"/>
        <v>#DIV/0!</v>
      </c>
      <c r="X216" s="577" t="e">
        <f t="shared" si="678"/>
        <v>#DIV/0!</v>
      </c>
      <c r="Y216" s="577" t="e">
        <f t="shared" si="678"/>
        <v>#DIV/0!</v>
      </c>
      <c r="Z216" s="577" t="e">
        <f t="shared" si="678"/>
        <v>#DIV/0!</v>
      </c>
      <c r="AA216" s="577" t="e">
        <f t="shared" si="678"/>
        <v>#DIV/0!</v>
      </c>
      <c r="AB216" s="577" t="e">
        <f t="shared" si="678"/>
        <v>#DIV/0!</v>
      </c>
      <c r="AC216" s="577" t="e">
        <f t="shared" si="678"/>
        <v>#DIV/0!</v>
      </c>
      <c r="AD216" s="577" t="e">
        <f t="shared" si="678"/>
        <v>#DIV/0!</v>
      </c>
      <c r="AE216" s="577" t="e">
        <f t="shared" si="678"/>
        <v>#DIV/0!</v>
      </c>
      <c r="AF216" s="577" t="e">
        <f t="shared" si="678"/>
        <v>#DIV/0!</v>
      </c>
      <c r="AG216" s="577" t="e">
        <f t="shared" si="678"/>
        <v>#DIV/0!</v>
      </c>
      <c r="AH216" s="752" t="e">
        <f t="shared" si="678"/>
        <v>#DIV/0!</v>
      </c>
      <c r="AI216" s="18"/>
      <c r="AJ216" s="18"/>
      <c r="AK216" s="18"/>
      <c r="AL216" s="18"/>
      <c r="AM216" s="18"/>
      <c r="AN216" s="18"/>
    </row>
    <row r="217" spans="2:40" ht="21.95" customHeight="1" x14ac:dyDescent="0.2">
      <c r="B217" s="232"/>
      <c r="C217" s="715"/>
      <c r="D217" s="715"/>
      <c r="E217" s="254"/>
      <c r="F217" s="254"/>
      <c r="G217" s="254"/>
      <c r="H217" s="721" t="s">
        <v>25</v>
      </c>
      <c r="I217" s="577" t="e">
        <f t="shared" ref="I217" si="679">SUM(I215:I216)</f>
        <v>#DIV/0!</v>
      </c>
      <c r="J217" s="577" t="e">
        <f t="shared" ref="J217" si="680">SUM(J215:J216)</f>
        <v>#DIV/0!</v>
      </c>
      <c r="K217" s="577" t="e">
        <f t="shared" ref="K217" si="681">SUM(K215:K216)</f>
        <v>#DIV/0!</v>
      </c>
      <c r="L217" s="577" t="e">
        <f t="shared" ref="L217" si="682">SUM(L215:L216)</f>
        <v>#DIV/0!</v>
      </c>
      <c r="M217" s="577" t="e">
        <f t="shared" ref="M217" si="683">SUM(M215:M216)</f>
        <v>#DIV/0!</v>
      </c>
      <c r="N217" s="577" t="e">
        <f t="shared" ref="N217" si="684">SUM(N215:N216)</f>
        <v>#DIV/0!</v>
      </c>
      <c r="O217" s="577" t="e">
        <f t="shared" ref="O217" si="685">SUM(O215:O216)</f>
        <v>#DIV/0!</v>
      </c>
      <c r="P217" s="577" t="e">
        <f t="shared" ref="P217" si="686">SUM(P215:P216)</f>
        <v>#DIV/0!</v>
      </c>
      <c r="Q217" s="577" t="e">
        <f t="shared" ref="Q217" si="687">SUM(Q215:Q216)</f>
        <v>#DIV/0!</v>
      </c>
      <c r="R217" s="577" t="e">
        <f t="shared" ref="R217" si="688">SUM(R215:R216)</f>
        <v>#DIV/0!</v>
      </c>
      <c r="S217" s="577" t="e">
        <f t="shared" ref="S217" si="689">SUM(S215:S216)</f>
        <v>#DIV/0!</v>
      </c>
      <c r="T217" s="577" t="e">
        <f t="shared" ref="T217" si="690">SUM(T215:T216)</f>
        <v>#DIV/0!</v>
      </c>
      <c r="U217" s="577" t="e">
        <f t="shared" ref="U217" si="691">SUM(U215:U216)</f>
        <v>#DIV/0!</v>
      </c>
      <c r="V217" s="577" t="e">
        <f t="shared" ref="V217" si="692">SUM(V215:V216)</f>
        <v>#DIV/0!</v>
      </c>
      <c r="W217" s="577" t="e">
        <f t="shared" ref="W217" si="693">SUM(W215:W216)</f>
        <v>#DIV/0!</v>
      </c>
      <c r="X217" s="577" t="e">
        <f t="shared" ref="X217" si="694">SUM(X215:X216)</f>
        <v>#DIV/0!</v>
      </c>
      <c r="Y217" s="577" t="e">
        <f t="shared" ref="Y217" si="695">SUM(Y215:Y216)</f>
        <v>#DIV/0!</v>
      </c>
      <c r="Z217" s="577" t="e">
        <f t="shared" ref="Z217" si="696">SUM(Z215:Z216)</f>
        <v>#DIV/0!</v>
      </c>
      <c r="AA217" s="577" t="e">
        <f t="shared" ref="AA217" si="697">SUM(AA215:AA216)</f>
        <v>#DIV/0!</v>
      </c>
      <c r="AB217" s="577" t="e">
        <f t="shared" ref="AB217" si="698">SUM(AB215:AB216)</f>
        <v>#DIV/0!</v>
      </c>
      <c r="AC217" s="577" t="e">
        <f t="shared" ref="AC217" si="699">SUM(AC215:AC216)</f>
        <v>#DIV/0!</v>
      </c>
      <c r="AD217" s="577" t="e">
        <f t="shared" ref="AD217" si="700">SUM(AD215:AD216)</f>
        <v>#DIV/0!</v>
      </c>
      <c r="AE217" s="577" t="e">
        <f t="shared" ref="AE217" si="701">SUM(AE215:AE216)</f>
        <v>#DIV/0!</v>
      </c>
      <c r="AF217" s="577" t="e">
        <f t="shared" ref="AF217" si="702">SUM(AF215:AF216)</f>
        <v>#DIV/0!</v>
      </c>
      <c r="AG217" s="577" t="e">
        <f t="shared" ref="AG217" si="703">SUM(AG215:AG216)</f>
        <v>#DIV/0!</v>
      </c>
      <c r="AH217" s="752" t="e">
        <f t="shared" ref="AH217" si="704">SUM(AH215:AH216)</f>
        <v>#DIV/0!</v>
      </c>
      <c r="AI217" s="18"/>
      <c r="AJ217" s="18"/>
      <c r="AK217" s="18"/>
      <c r="AL217" s="18"/>
      <c r="AM217" s="18"/>
      <c r="AN217" s="18"/>
    </row>
    <row r="218" spans="2:40" ht="21.95" customHeight="1" x14ac:dyDescent="0.2">
      <c r="B218" s="232"/>
      <c r="C218" s="715"/>
      <c r="D218" s="715"/>
      <c r="E218" s="220" t="s">
        <v>357</v>
      </c>
      <c r="F218" s="220" t="s">
        <v>338</v>
      </c>
      <c r="G218" s="220" t="s">
        <v>323</v>
      </c>
      <c r="H218" s="116" t="s">
        <v>20</v>
      </c>
      <c r="I218" s="577">
        <f t="shared" ref="I218:AH218" si="705">I127*$D$11</f>
        <v>12757.824207646447</v>
      </c>
      <c r="J218" s="577">
        <f t="shared" si="705"/>
        <v>12955.092359987237</v>
      </c>
      <c r="K218" s="577">
        <f t="shared" si="705"/>
        <v>13279.251981706382</v>
      </c>
      <c r="L218" s="577">
        <f t="shared" si="705"/>
        <v>14381.463014792576</v>
      </c>
      <c r="M218" s="577">
        <f t="shared" si="705"/>
        <v>15485.132145031483</v>
      </c>
      <c r="N218" s="577">
        <f t="shared" si="705"/>
        <v>16592.630071245876</v>
      </c>
      <c r="O218" s="577">
        <f t="shared" si="705"/>
        <v>17703.413759734503</v>
      </c>
      <c r="P218" s="577">
        <f t="shared" si="705"/>
        <v>18823.834512970338</v>
      </c>
      <c r="Q218" s="577">
        <f t="shared" si="705"/>
        <v>20170.648024944549</v>
      </c>
      <c r="R218" s="577">
        <f t="shared" si="705"/>
        <v>21554.385843476295</v>
      </c>
      <c r="S218" s="577">
        <f t="shared" si="705"/>
        <v>23004.244080796056</v>
      </c>
      <c r="T218" s="577">
        <f t="shared" si="705"/>
        <v>24564.9569908638</v>
      </c>
      <c r="U218" s="577">
        <f t="shared" si="705"/>
        <v>26311.940141751213</v>
      </c>
      <c r="V218" s="577">
        <f t="shared" si="705"/>
        <v>27093.406091601806</v>
      </c>
      <c r="W218" s="577">
        <f t="shared" si="705"/>
        <v>27399.290075605622</v>
      </c>
      <c r="X218" s="577">
        <f t="shared" si="705"/>
        <v>27713.721392783511</v>
      </c>
      <c r="Y218" s="577">
        <f t="shared" si="705"/>
        <v>28037.30261380702</v>
      </c>
      <c r="Z218" s="577">
        <f t="shared" si="705"/>
        <v>28371.34057773208</v>
      </c>
      <c r="AA218" s="577">
        <f t="shared" si="705"/>
        <v>28715.195111270757</v>
      </c>
      <c r="AB218" s="577">
        <f t="shared" si="705"/>
        <v>29070.947088600395</v>
      </c>
      <c r="AC218" s="577">
        <f t="shared" si="705"/>
        <v>29437.95565362283</v>
      </c>
      <c r="AD218" s="577">
        <f t="shared" si="705"/>
        <v>29817.718978851943</v>
      </c>
      <c r="AE218" s="577">
        <f t="shared" si="705"/>
        <v>30211.884546327223</v>
      </c>
      <c r="AF218" s="577">
        <f t="shared" si="705"/>
        <v>30619.8048358044</v>
      </c>
      <c r="AG218" s="577">
        <f t="shared" si="705"/>
        <v>31043.203550980037</v>
      </c>
      <c r="AH218" s="752">
        <f t="shared" si="705"/>
        <v>31483.983117087697</v>
      </c>
      <c r="AI218" s="18"/>
      <c r="AJ218" s="18"/>
      <c r="AK218" s="18"/>
      <c r="AL218" s="18"/>
      <c r="AM218" s="18"/>
      <c r="AN218" s="18"/>
    </row>
    <row r="219" spans="2:40" ht="21.95" customHeight="1" x14ac:dyDescent="0.2">
      <c r="B219" s="232"/>
      <c r="C219" s="715"/>
      <c r="D219" s="715"/>
      <c r="E219" s="116"/>
      <c r="F219" s="116"/>
      <c r="G219" s="116"/>
      <c r="H219" s="124" t="s">
        <v>19</v>
      </c>
      <c r="I219" s="577">
        <f t="shared" ref="I219:AH219" si="706">I128*$D$12</f>
        <v>30557.662772805863</v>
      </c>
      <c r="J219" s="577">
        <f t="shared" si="706"/>
        <v>31030.161341286796</v>
      </c>
      <c r="K219" s="577">
        <f t="shared" si="706"/>
        <v>31806.591572949419</v>
      </c>
      <c r="L219" s="577">
        <f t="shared" si="706"/>
        <v>34446.617999503178</v>
      </c>
      <c r="M219" s="577">
        <f t="shared" si="706"/>
        <v>37090.136874326905</v>
      </c>
      <c r="N219" s="577">
        <f t="shared" si="706"/>
        <v>39742.826517954192</v>
      </c>
      <c r="O219" s="577">
        <f t="shared" si="706"/>
        <v>42403.386250861084</v>
      </c>
      <c r="P219" s="577">
        <f t="shared" si="706"/>
        <v>45087.028773581646</v>
      </c>
      <c r="Q219" s="577">
        <f t="shared" si="706"/>
        <v>48312.929401064786</v>
      </c>
      <c r="R219" s="577">
        <f t="shared" si="706"/>
        <v>51627.271481380347</v>
      </c>
      <c r="S219" s="577">
        <f t="shared" si="706"/>
        <v>55099.985822266004</v>
      </c>
      <c r="T219" s="577">
        <f t="shared" si="706"/>
        <v>58838.220337398328</v>
      </c>
      <c r="U219" s="577">
        <f t="shared" si="706"/>
        <v>63022.611117966975</v>
      </c>
      <c r="V219" s="577">
        <f t="shared" si="706"/>
        <v>64894.385848148042</v>
      </c>
      <c r="W219" s="577">
        <f t="shared" si="706"/>
        <v>65627.042097258978</v>
      </c>
      <c r="X219" s="577">
        <f t="shared" si="706"/>
        <v>66380.171000679067</v>
      </c>
      <c r="Y219" s="577">
        <f t="shared" si="706"/>
        <v>67155.215841453944</v>
      </c>
      <c r="Z219" s="577">
        <f t="shared" si="706"/>
        <v>67955.306773010976</v>
      </c>
      <c r="AA219" s="577">
        <f t="shared" si="706"/>
        <v>68778.910446157504</v>
      </c>
      <c r="AB219" s="577">
        <f t="shared" si="706"/>
        <v>69631.010990659634</v>
      </c>
      <c r="AC219" s="577">
        <f t="shared" si="706"/>
        <v>70510.073421851092</v>
      </c>
      <c r="AD219" s="577">
        <f t="shared" si="706"/>
        <v>71419.686176890886</v>
      </c>
      <c r="AE219" s="577">
        <f t="shared" si="706"/>
        <v>72363.795320544246</v>
      </c>
      <c r="AF219" s="577">
        <f t="shared" si="706"/>
        <v>73340.849906118325</v>
      </c>
      <c r="AG219" s="577">
        <f t="shared" si="706"/>
        <v>74354.978565221652</v>
      </c>
      <c r="AH219" s="752">
        <f t="shared" si="706"/>
        <v>75410.738005000472</v>
      </c>
      <c r="AI219" s="18"/>
      <c r="AJ219" s="18"/>
      <c r="AK219" s="18"/>
      <c r="AL219" s="18"/>
      <c r="AM219" s="18"/>
      <c r="AN219" s="18"/>
    </row>
    <row r="220" spans="2:40" ht="21.95" customHeight="1" x14ac:dyDescent="0.2">
      <c r="B220" s="232"/>
      <c r="C220" s="715"/>
      <c r="D220" s="715"/>
      <c r="E220" s="254"/>
      <c r="F220" s="254"/>
      <c r="G220" s="254"/>
      <c r="H220" s="721" t="s">
        <v>25</v>
      </c>
      <c r="I220" s="577">
        <f t="shared" ref="I220" si="707">SUM(I218:I219)</f>
        <v>43315.486980452311</v>
      </c>
      <c r="J220" s="577">
        <f t="shared" ref="J220" si="708">SUM(J218:J219)</f>
        <v>43985.253701274036</v>
      </c>
      <c r="K220" s="577">
        <f t="shared" ref="K220" si="709">SUM(K218:K219)</f>
        <v>45085.843554655803</v>
      </c>
      <c r="L220" s="577">
        <f t="shared" ref="L220" si="710">SUM(L218:L219)</f>
        <v>48828.081014295756</v>
      </c>
      <c r="M220" s="577">
        <f t="shared" ref="M220" si="711">SUM(M218:M219)</f>
        <v>52575.269019358384</v>
      </c>
      <c r="N220" s="577">
        <f t="shared" ref="N220" si="712">SUM(N218:N219)</f>
        <v>56335.456589200068</v>
      </c>
      <c r="O220" s="577">
        <f t="shared" ref="O220" si="713">SUM(O218:O219)</f>
        <v>60106.800010595587</v>
      </c>
      <c r="P220" s="577">
        <f t="shared" ref="P220" si="714">SUM(P218:P219)</f>
        <v>63910.863286551983</v>
      </c>
      <c r="Q220" s="577">
        <f t="shared" ref="Q220" si="715">SUM(Q218:Q219)</f>
        <v>68483.577426009331</v>
      </c>
      <c r="R220" s="577">
        <f t="shared" ref="R220" si="716">SUM(R218:R219)</f>
        <v>73181.657324856642</v>
      </c>
      <c r="S220" s="577">
        <f t="shared" ref="S220" si="717">SUM(S218:S219)</f>
        <v>78104.229903062063</v>
      </c>
      <c r="T220" s="577">
        <f t="shared" ref="T220" si="718">SUM(T218:T219)</f>
        <v>83403.177328262129</v>
      </c>
      <c r="U220" s="577">
        <f t="shared" ref="U220" si="719">SUM(U218:U219)</f>
        <v>89334.551259718195</v>
      </c>
      <c r="V220" s="577">
        <f t="shared" ref="V220" si="720">SUM(V218:V219)</f>
        <v>91987.791939749848</v>
      </c>
      <c r="W220" s="577">
        <f t="shared" ref="W220" si="721">SUM(W218:W219)</f>
        <v>93026.332172864597</v>
      </c>
      <c r="X220" s="577">
        <f t="shared" ref="X220" si="722">SUM(X218:X219)</f>
        <v>94093.892393462578</v>
      </c>
      <c r="Y220" s="577">
        <f t="shared" ref="Y220" si="723">SUM(Y218:Y219)</f>
        <v>95192.518455260957</v>
      </c>
      <c r="Z220" s="577">
        <f t="shared" ref="Z220" si="724">SUM(Z218:Z219)</f>
        <v>96326.647350743064</v>
      </c>
      <c r="AA220" s="577">
        <f t="shared" ref="AA220" si="725">SUM(AA218:AA219)</f>
        <v>97494.105557428265</v>
      </c>
      <c r="AB220" s="577">
        <f t="shared" ref="AB220" si="726">SUM(AB218:AB219)</f>
        <v>98701.958079260032</v>
      </c>
      <c r="AC220" s="577">
        <f t="shared" ref="AC220" si="727">SUM(AC218:AC219)</f>
        <v>99948.029075473925</v>
      </c>
      <c r="AD220" s="577">
        <f t="shared" ref="AD220" si="728">SUM(AD218:AD219)</f>
        <v>101237.40515574283</v>
      </c>
      <c r="AE220" s="577">
        <f t="shared" ref="AE220" si="729">SUM(AE218:AE219)</f>
        <v>102575.67986687148</v>
      </c>
      <c r="AF220" s="577">
        <f t="shared" ref="AF220" si="730">SUM(AF218:AF219)</f>
        <v>103960.65474192273</v>
      </c>
      <c r="AG220" s="577">
        <f t="shared" ref="AG220" si="731">SUM(AG218:AG219)</f>
        <v>105398.18211620169</v>
      </c>
      <c r="AH220" s="752">
        <f t="shared" ref="AH220" si="732">SUM(AH218:AH219)</f>
        <v>106894.72112208817</v>
      </c>
      <c r="AI220" s="18"/>
      <c r="AJ220" s="18"/>
      <c r="AK220" s="18"/>
      <c r="AL220" s="18"/>
      <c r="AM220" s="18"/>
      <c r="AN220" s="18"/>
    </row>
    <row r="221" spans="2:40" ht="21.95" customHeight="1" x14ac:dyDescent="0.2">
      <c r="B221" s="232"/>
      <c r="C221" s="715"/>
      <c r="D221" s="715"/>
      <c r="E221" s="116" t="s">
        <v>338</v>
      </c>
      <c r="F221" s="116" t="s">
        <v>282</v>
      </c>
      <c r="G221" s="116" t="s">
        <v>357</v>
      </c>
      <c r="H221" s="116" t="s">
        <v>20</v>
      </c>
      <c r="I221" s="577">
        <f t="shared" ref="I221:AH221" si="733">I130*$D$11</f>
        <v>26145.523115976084</v>
      </c>
      <c r="J221" s="577">
        <f t="shared" si="733"/>
        <v>27117.745072409994</v>
      </c>
      <c r="K221" s="577">
        <f t="shared" si="733"/>
        <v>28152.664387422781</v>
      </c>
      <c r="L221" s="577">
        <f t="shared" si="733"/>
        <v>30448.585668333279</v>
      </c>
      <c r="M221" s="577">
        <f t="shared" si="733"/>
        <v>32745.087292990404</v>
      </c>
      <c r="N221" s="577">
        <f t="shared" si="733"/>
        <v>35042.85376490307</v>
      </c>
      <c r="O221" s="577">
        <f t="shared" si="733"/>
        <v>37338.808093718981</v>
      </c>
      <c r="P221" s="577">
        <f t="shared" si="733"/>
        <v>39636.80757307254</v>
      </c>
      <c r="Q221" s="577">
        <f t="shared" si="733"/>
        <v>42726.347823699114</v>
      </c>
      <c r="R221" s="577">
        <f t="shared" si="733"/>
        <v>45816.214549255106</v>
      </c>
      <c r="S221" s="577">
        <f t="shared" si="733"/>
        <v>48906.315944239119</v>
      </c>
      <c r="T221" s="577">
        <f t="shared" si="733"/>
        <v>51997.072584793706</v>
      </c>
      <c r="U221" s="577">
        <f t="shared" si="733"/>
        <v>55091.842419560824</v>
      </c>
      <c r="V221" s="577">
        <f t="shared" si="733"/>
        <v>56921.091485071142</v>
      </c>
      <c r="W221" s="577">
        <f t="shared" si="733"/>
        <v>57894.895720280336</v>
      </c>
      <c r="X221" s="577">
        <f t="shared" si="733"/>
        <v>58868.989387940062</v>
      </c>
      <c r="Y221" s="577">
        <f t="shared" si="733"/>
        <v>59843.419293791601</v>
      </c>
      <c r="Z221" s="577">
        <f t="shared" si="733"/>
        <v>60818.763260095395</v>
      </c>
      <c r="AA221" s="577">
        <f t="shared" si="733"/>
        <v>61794.033508928158</v>
      </c>
      <c r="AB221" s="577">
        <f t="shared" si="733"/>
        <v>62770.348329146393</v>
      </c>
      <c r="AC221" s="577">
        <f t="shared" si="733"/>
        <v>63746.736474835881</v>
      </c>
      <c r="AD221" s="577">
        <f t="shared" si="733"/>
        <v>64723.811349725955</v>
      </c>
      <c r="AE221" s="577">
        <f t="shared" si="733"/>
        <v>65702.199362964195</v>
      </c>
      <c r="AF221" s="577">
        <f t="shared" si="733"/>
        <v>66680.961713842669</v>
      </c>
      <c r="AG221" s="577">
        <f t="shared" si="733"/>
        <v>67660.751375207517</v>
      </c>
      <c r="AH221" s="752">
        <f t="shared" si="733"/>
        <v>68642.239298197921</v>
      </c>
      <c r="AI221" s="18"/>
      <c r="AJ221" s="18"/>
      <c r="AK221" s="18"/>
      <c r="AL221" s="18"/>
      <c r="AM221" s="18"/>
      <c r="AN221" s="18"/>
    </row>
    <row r="222" spans="2:40" ht="21.95" customHeight="1" x14ac:dyDescent="0.2">
      <c r="B222" s="232"/>
      <c r="C222" s="715"/>
      <c r="D222" s="715"/>
      <c r="E222" s="116"/>
      <c r="F222" s="116"/>
      <c r="G222" s="116"/>
      <c r="H222" s="124" t="s">
        <v>19</v>
      </c>
      <c r="I222" s="577">
        <f t="shared" ref="I222:AH222" si="734">I131*$D$12</f>
        <v>62624.007463415772</v>
      </c>
      <c r="J222" s="577">
        <f t="shared" si="734"/>
        <v>64952.68280816765</v>
      </c>
      <c r="K222" s="577">
        <f t="shared" si="734"/>
        <v>67431.531466880915</v>
      </c>
      <c r="L222" s="577">
        <f t="shared" si="734"/>
        <v>72930.744115768335</v>
      </c>
      <c r="M222" s="577">
        <f t="shared" si="734"/>
        <v>78431.346809557857</v>
      </c>
      <c r="N222" s="577">
        <f t="shared" si="734"/>
        <v>83934.979077612152</v>
      </c>
      <c r="O222" s="577">
        <f t="shared" si="734"/>
        <v>89434.270883159246</v>
      </c>
      <c r="P222" s="577">
        <f t="shared" si="734"/>
        <v>94938.461252868365</v>
      </c>
      <c r="Q222" s="577">
        <f t="shared" si="734"/>
        <v>102338.55766155476</v>
      </c>
      <c r="R222" s="577">
        <f t="shared" si="734"/>
        <v>109739.43604612001</v>
      </c>
      <c r="S222" s="577">
        <f t="shared" si="734"/>
        <v>117140.8765131476</v>
      </c>
      <c r="T222" s="577">
        <f t="shared" si="734"/>
        <v>124543.88643064362</v>
      </c>
      <c r="U222" s="577">
        <f t="shared" si="734"/>
        <v>131956.50878936725</v>
      </c>
      <c r="V222" s="577">
        <f t="shared" si="734"/>
        <v>136337.94367681711</v>
      </c>
      <c r="W222" s="577">
        <f t="shared" si="734"/>
        <v>138670.40891085111</v>
      </c>
      <c r="X222" s="577">
        <f t="shared" si="734"/>
        <v>141003.56739626362</v>
      </c>
      <c r="Y222" s="577">
        <f t="shared" si="734"/>
        <v>143337.53124261461</v>
      </c>
      <c r="Z222" s="577">
        <f t="shared" si="734"/>
        <v>145673.68445531832</v>
      </c>
      <c r="AA222" s="577">
        <f t="shared" si="734"/>
        <v>148009.66109922912</v>
      </c>
      <c r="AB222" s="577">
        <f t="shared" si="734"/>
        <v>150348.13971053029</v>
      </c>
      <c r="AC222" s="577">
        <f t="shared" si="734"/>
        <v>152686.79395170271</v>
      </c>
      <c r="AD222" s="577">
        <f t="shared" si="734"/>
        <v>155027.09305323582</v>
      </c>
      <c r="AE222" s="577">
        <f t="shared" si="734"/>
        <v>157370.53739632142</v>
      </c>
      <c r="AF222" s="577">
        <f t="shared" si="734"/>
        <v>159714.87835650941</v>
      </c>
      <c r="AG222" s="577">
        <f t="shared" si="734"/>
        <v>162061.67994061683</v>
      </c>
      <c r="AH222" s="752">
        <f t="shared" si="734"/>
        <v>164412.54921724054</v>
      </c>
      <c r="AI222" s="18"/>
      <c r="AJ222" s="18"/>
      <c r="AK222" s="18"/>
      <c r="AL222" s="18"/>
      <c r="AM222" s="18"/>
      <c r="AN222" s="18"/>
    </row>
    <row r="223" spans="2:40" ht="21.95" customHeight="1" x14ac:dyDescent="0.2">
      <c r="B223" s="232"/>
      <c r="C223" s="715"/>
      <c r="D223" s="715"/>
      <c r="E223" s="116"/>
      <c r="F223" s="116"/>
      <c r="G223" s="116"/>
      <c r="H223" s="721" t="s">
        <v>25</v>
      </c>
      <c r="I223" s="577">
        <f t="shared" ref="I223" si="735">SUM(I221:I222)</f>
        <v>88769.530579391852</v>
      </c>
      <c r="J223" s="577">
        <f t="shared" ref="J223" si="736">SUM(J221:J222)</f>
        <v>92070.427880577641</v>
      </c>
      <c r="K223" s="577">
        <f t="shared" ref="K223" si="737">SUM(K221:K222)</f>
        <v>95584.195854303689</v>
      </c>
      <c r="L223" s="577">
        <f t="shared" ref="L223" si="738">SUM(L221:L222)</f>
        <v>103379.32978410162</v>
      </c>
      <c r="M223" s="577">
        <f t="shared" ref="M223" si="739">SUM(M221:M222)</f>
        <v>111176.43410254826</v>
      </c>
      <c r="N223" s="577">
        <f t="shared" ref="N223" si="740">SUM(N221:N222)</f>
        <v>118977.83284251523</v>
      </c>
      <c r="O223" s="577">
        <f t="shared" ref="O223" si="741">SUM(O221:O222)</f>
        <v>126773.07897687823</v>
      </c>
      <c r="P223" s="577">
        <f t="shared" ref="P223" si="742">SUM(P221:P222)</f>
        <v>134575.2688259409</v>
      </c>
      <c r="Q223" s="577">
        <f t="shared" ref="Q223" si="743">SUM(Q221:Q222)</f>
        <v>145064.90548525387</v>
      </c>
      <c r="R223" s="577">
        <f t="shared" ref="R223" si="744">SUM(R221:R222)</f>
        <v>155555.6505953751</v>
      </c>
      <c r="S223" s="577">
        <f t="shared" ref="S223" si="745">SUM(S221:S222)</f>
        <v>166047.1924573867</v>
      </c>
      <c r="T223" s="577">
        <f t="shared" ref="T223" si="746">SUM(T221:T222)</f>
        <v>176540.95901543731</v>
      </c>
      <c r="U223" s="577">
        <f t="shared" ref="U223" si="747">SUM(U221:U222)</f>
        <v>187048.35120892807</v>
      </c>
      <c r="V223" s="577">
        <f t="shared" ref="V223" si="748">SUM(V221:V222)</f>
        <v>193259.03516188826</v>
      </c>
      <c r="W223" s="577">
        <f t="shared" ref="W223" si="749">SUM(W221:W222)</f>
        <v>196565.30463113144</v>
      </c>
      <c r="X223" s="577">
        <f t="shared" ref="X223" si="750">SUM(X221:X222)</f>
        <v>199872.55678420368</v>
      </c>
      <c r="Y223" s="577">
        <f t="shared" ref="Y223" si="751">SUM(Y221:Y222)</f>
        <v>203180.95053640622</v>
      </c>
      <c r="Z223" s="577">
        <f t="shared" ref="Z223" si="752">SUM(Z221:Z222)</f>
        <v>206492.4477154137</v>
      </c>
      <c r="AA223" s="577">
        <f t="shared" ref="AA223" si="753">SUM(AA221:AA222)</f>
        <v>209803.69460815727</v>
      </c>
      <c r="AB223" s="577">
        <f t="shared" ref="AB223" si="754">SUM(AB221:AB222)</f>
        <v>213118.48803967668</v>
      </c>
      <c r="AC223" s="577">
        <f t="shared" ref="AC223" si="755">SUM(AC221:AC222)</f>
        <v>216433.53042653861</v>
      </c>
      <c r="AD223" s="577">
        <f t="shared" ref="AD223" si="756">SUM(AD221:AD222)</f>
        <v>219750.90440296178</v>
      </c>
      <c r="AE223" s="577">
        <f t="shared" ref="AE223" si="757">SUM(AE221:AE222)</f>
        <v>223072.73675928562</v>
      </c>
      <c r="AF223" s="577">
        <f t="shared" ref="AF223" si="758">SUM(AF221:AF222)</f>
        <v>226395.84007035207</v>
      </c>
      <c r="AG223" s="577">
        <f t="shared" ref="AG223" si="759">SUM(AG221:AG222)</f>
        <v>229722.43131582433</v>
      </c>
      <c r="AH223" s="752">
        <f t="shared" ref="AH223" si="760">SUM(AH221:AH222)</f>
        <v>233054.78851543844</v>
      </c>
      <c r="AI223" s="18"/>
      <c r="AJ223" s="18"/>
      <c r="AK223" s="18"/>
      <c r="AL223" s="18"/>
      <c r="AM223" s="18"/>
      <c r="AN223" s="18"/>
    </row>
    <row r="224" spans="2:40" ht="21.95" customHeight="1" x14ac:dyDescent="0.2">
      <c r="B224" s="232"/>
      <c r="C224" s="715"/>
      <c r="D224" s="715"/>
      <c r="E224" s="116"/>
      <c r="F224" s="116" t="s">
        <v>357</v>
      </c>
      <c r="G224" s="116" t="s">
        <v>346</v>
      </c>
      <c r="H224" s="116" t="s">
        <v>20</v>
      </c>
      <c r="I224" s="577">
        <f t="shared" ref="I224:AH224" si="761">I133*$D$11</f>
        <v>3807.746219262337</v>
      </c>
      <c r="J224" s="577">
        <f t="shared" si="761"/>
        <v>3943.246878584735</v>
      </c>
      <c r="K224" s="577">
        <f t="shared" si="761"/>
        <v>4090.7118809450485</v>
      </c>
      <c r="L224" s="577">
        <f t="shared" si="761"/>
        <v>4372.6504696075026</v>
      </c>
      <c r="M224" s="577">
        <f t="shared" si="761"/>
        <v>4654.6993124146247</v>
      </c>
      <c r="N224" s="577">
        <f t="shared" si="761"/>
        <v>4936.7882891161253</v>
      </c>
      <c r="O224" s="577">
        <f t="shared" si="761"/>
        <v>5218.7270485865165</v>
      </c>
      <c r="P224" s="577">
        <f t="shared" si="761"/>
        <v>5500.9014332060642</v>
      </c>
      <c r="Q224" s="577">
        <f t="shared" si="761"/>
        <v>5888.0398841529704</v>
      </c>
      <c r="R224" s="577">
        <f t="shared" si="761"/>
        <v>6275.2543092586502</v>
      </c>
      <c r="S224" s="577">
        <f t="shared" si="761"/>
        <v>6662.3449304378246</v>
      </c>
      <c r="T224" s="577">
        <f t="shared" si="761"/>
        <v>7049.4881353670971</v>
      </c>
      <c r="U224" s="577">
        <f t="shared" si="761"/>
        <v>7436.9360784043593</v>
      </c>
      <c r="V224" s="577">
        <f t="shared" si="761"/>
        <v>7689.4344660187726</v>
      </c>
      <c r="W224" s="577">
        <f t="shared" si="761"/>
        <v>7824.9418340926741</v>
      </c>
      <c r="X224" s="577">
        <f t="shared" si="761"/>
        <v>7960.4504714350614</v>
      </c>
      <c r="Y224" s="577">
        <f t="shared" si="761"/>
        <v>8095.960590108587</v>
      </c>
      <c r="Z224" s="577">
        <f t="shared" si="761"/>
        <v>8231.5225394429035</v>
      </c>
      <c r="AA224" s="577">
        <f t="shared" si="761"/>
        <v>8367.0363851102193</v>
      </c>
      <c r="AB224" s="577">
        <f t="shared" si="761"/>
        <v>8502.602657755473</v>
      </c>
      <c r="AC224" s="577">
        <f t="shared" si="761"/>
        <v>8638.1215027664093</v>
      </c>
      <c r="AD224" s="577">
        <f t="shared" si="761"/>
        <v>8773.6434369678227</v>
      </c>
      <c r="AE224" s="577">
        <f t="shared" si="761"/>
        <v>8909.2190365457518</v>
      </c>
      <c r="AF224" s="577">
        <f t="shared" si="761"/>
        <v>9044.7486048632618</v>
      </c>
      <c r="AG224" s="577">
        <f t="shared" si="761"/>
        <v>9180.2828457208034</v>
      </c>
      <c r="AH224" s="752">
        <f t="shared" si="761"/>
        <v>9315.8725454207706</v>
      </c>
      <c r="AI224" s="18"/>
      <c r="AJ224" s="18"/>
      <c r="AK224" s="18"/>
      <c r="AL224" s="18"/>
      <c r="AM224" s="18"/>
      <c r="AN224" s="18"/>
    </row>
    <row r="225" spans="2:40" ht="21.95" customHeight="1" x14ac:dyDescent="0.2">
      <c r="B225" s="232"/>
      <c r="C225" s="715"/>
      <c r="D225" s="715"/>
      <c r="E225" s="116"/>
      <c r="F225" s="116"/>
      <c r="G225" s="116"/>
      <c r="H225" s="124" t="s">
        <v>19</v>
      </c>
      <c r="I225" s="577">
        <f t="shared" ref="I225:AH225" si="762">I134*$D$12</f>
        <v>9120.3502257780528</v>
      </c>
      <c r="J225" s="577">
        <f t="shared" si="762"/>
        <v>9444.9027031969708</v>
      </c>
      <c r="K225" s="577">
        <f t="shared" si="762"/>
        <v>9798.1122896887391</v>
      </c>
      <c r="L225" s="577">
        <f t="shared" si="762"/>
        <v>10473.414298461084</v>
      </c>
      <c r="M225" s="577">
        <f t="shared" si="762"/>
        <v>11148.980389017066</v>
      </c>
      <c r="N225" s="577">
        <f t="shared" si="762"/>
        <v>11824.642608661379</v>
      </c>
      <c r="O225" s="577">
        <f t="shared" si="762"/>
        <v>12499.945026554531</v>
      </c>
      <c r="P225" s="577">
        <f t="shared" si="762"/>
        <v>13175.811816062429</v>
      </c>
      <c r="Q225" s="577">
        <f t="shared" si="762"/>
        <v>14103.089542881367</v>
      </c>
      <c r="R225" s="577">
        <f t="shared" si="762"/>
        <v>15030.549243733294</v>
      </c>
      <c r="S225" s="577">
        <f t="shared" si="762"/>
        <v>15957.712408234311</v>
      </c>
      <c r="T225" s="577">
        <f t="shared" si="762"/>
        <v>16885.001521837359</v>
      </c>
      <c r="U225" s="577">
        <f t="shared" si="762"/>
        <v>17813.02054707631</v>
      </c>
      <c r="V225" s="577">
        <f t="shared" si="762"/>
        <v>18417.807104236581</v>
      </c>
      <c r="W225" s="577">
        <f t="shared" si="762"/>
        <v>18742.375650521375</v>
      </c>
      <c r="X225" s="577">
        <f t="shared" si="762"/>
        <v>19066.947236970209</v>
      </c>
      <c r="Y225" s="577">
        <f t="shared" si="762"/>
        <v>19391.522371517574</v>
      </c>
      <c r="Z225" s="577">
        <f t="shared" si="762"/>
        <v>19716.221651360247</v>
      </c>
      <c r="AA225" s="577">
        <f t="shared" si="762"/>
        <v>20040.80571283885</v>
      </c>
      <c r="AB225" s="577">
        <f t="shared" si="762"/>
        <v>20365.515347917302</v>
      </c>
      <c r="AC225" s="577">
        <f t="shared" si="762"/>
        <v>20690.111383871641</v>
      </c>
      <c r="AD225" s="577">
        <f t="shared" si="762"/>
        <v>21014.714819084606</v>
      </c>
      <c r="AE225" s="577">
        <f t="shared" si="762"/>
        <v>21339.446794121563</v>
      </c>
      <c r="AF225" s="577">
        <f t="shared" si="762"/>
        <v>21664.068514642546</v>
      </c>
      <c r="AG225" s="577">
        <f t="shared" si="762"/>
        <v>21988.701426876178</v>
      </c>
      <c r="AH225" s="752">
        <f t="shared" si="762"/>
        <v>22313.467174660527</v>
      </c>
      <c r="AI225" s="18"/>
      <c r="AJ225" s="18"/>
      <c r="AK225" s="18"/>
      <c r="AL225" s="18"/>
      <c r="AM225" s="18"/>
      <c r="AN225" s="18"/>
    </row>
    <row r="226" spans="2:40" ht="21.95" customHeight="1" x14ac:dyDescent="0.2">
      <c r="B226" s="232"/>
      <c r="C226" s="715"/>
      <c r="D226" s="715"/>
      <c r="E226" s="116"/>
      <c r="F226" s="116"/>
      <c r="G226" s="116"/>
      <c r="H226" s="721" t="s">
        <v>25</v>
      </c>
      <c r="I226" s="577">
        <f t="shared" ref="I226" si="763">SUM(I224:I225)</f>
        <v>12928.09644504039</v>
      </c>
      <c r="J226" s="577">
        <f t="shared" ref="J226" si="764">SUM(J224:J225)</f>
        <v>13388.149581781705</v>
      </c>
      <c r="K226" s="577">
        <f t="shared" ref="K226" si="765">SUM(K224:K225)</f>
        <v>13888.824170633787</v>
      </c>
      <c r="L226" s="577">
        <f t="shared" ref="L226" si="766">SUM(L224:L225)</f>
        <v>14846.064768068587</v>
      </c>
      <c r="M226" s="577">
        <f t="shared" ref="M226" si="767">SUM(M224:M225)</f>
        <v>15803.679701431691</v>
      </c>
      <c r="N226" s="577">
        <f t="shared" ref="N226" si="768">SUM(N224:N225)</f>
        <v>16761.430897777504</v>
      </c>
      <c r="O226" s="577">
        <f t="shared" ref="O226" si="769">SUM(O224:O225)</f>
        <v>17718.672075141047</v>
      </c>
      <c r="P226" s="577">
        <f t="shared" ref="P226" si="770">SUM(P224:P225)</f>
        <v>18676.713249268494</v>
      </c>
      <c r="Q226" s="577">
        <f t="shared" ref="Q226" si="771">SUM(Q224:Q225)</f>
        <v>19991.129427034339</v>
      </c>
      <c r="R226" s="577">
        <f t="shared" ref="R226" si="772">SUM(R224:R225)</f>
        <v>21305.803552991943</v>
      </c>
      <c r="S226" s="577">
        <f t="shared" ref="S226" si="773">SUM(S224:S225)</f>
        <v>22620.057338672137</v>
      </c>
      <c r="T226" s="577">
        <f t="shared" ref="T226" si="774">SUM(T224:T225)</f>
        <v>23934.489657204456</v>
      </c>
      <c r="U226" s="577">
        <f t="shared" ref="U226" si="775">SUM(U224:U225)</f>
        <v>25249.95662548067</v>
      </c>
      <c r="V226" s="577">
        <f t="shared" ref="V226" si="776">SUM(V224:V225)</f>
        <v>26107.241570255355</v>
      </c>
      <c r="W226" s="577">
        <f t="shared" ref="W226" si="777">SUM(W224:W225)</f>
        <v>26567.31748461405</v>
      </c>
      <c r="X226" s="577">
        <f t="shared" ref="X226" si="778">SUM(X224:X225)</f>
        <v>27027.397708405271</v>
      </c>
      <c r="Y226" s="577">
        <f t="shared" ref="Y226" si="779">SUM(Y224:Y225)</f>
        <v>27487.482961626163</v>
      </c>
      <c r="Z226" s="577">
        <f t="shared" ref="Z226" si="780">SUM(Z224:Z225)</f>
        <v>27947.744190803151</v>
      </c>
      <c r="AA226" s="577">
        <f t="shared" ref="AA226" si="781">SUM(AA224:AA225)</f>
        <v>28407.842097949069</v>
      </c>
      <c r="AB226" s="577">
        <f t="shared" ref="AB226" si="782">SUM(AB224:AB225)</f>
        <v>28868.118005672775</v>
      </c>
      <c r="AC226" s="577">
        <f t="shared" ref="AC226" si="783">SUM(AC224:AC225)</f>
        <v>29328.232886638049</v>
      </c>
      <c r="AD226" s="577">
        <f t="shared" ref="AD226" si="784">SUM(AD224:AD225)</f>
        <v>29788.35825605243</v>
      </c>
      <c r="AE226" s="577">
        <f t="shared" ref="AE226" si="785">SUM(AE224:AE225)</f>
        <v>30248.665830667313</v>
      </c>
      <c r="AF226" s="577">
        <f t="shared" ref="AF226" si="786">SUM(AF224:AF225)</f>
        <v>30708.817119505809</v>
      </c>
      <c r="AG226" s="577">
        <f t="shared" ref="AG226" si="787">SUM(AG224:AG225)</f>
        <v>31168.984272596979</v>
      </c>
      <c r="AH226" s="752">
        <f t="shared" ref="AH226" si="788">SUM(AH224:AH225)</f>
        <v>31629.339720081298</v>
      </c>
      <c r="AI226" s="18"/>
      <c r="AJ226" s="18"/>
      <c r="AK226" s="18"/>
      <c r="AL226" s="18"/>
      <c r="AM226" s="18"/>
      <c r="AN226" s="18"/>
    </row>
    <row r="227" spans="2:40" ht="21.95" customHeight="1" x14ac:dyDescent="0.2">
      <c r="B227" s="232"/>
      <c r="C227" s="715"/>
      <c r="D227" s="715"/>
      <c r="E227" s="116"/>
      <c r="F227" s="116" t="s">
        <v>346</v>
      </c>
      <c r="G227" s="116" t="s">
        <v>343</v>
      </c>
      <c r="H227" s="116" t="s">
        <v>20</v>
      </c>
      <c r="I227" s="577">
        <f t="shared" ref="I227:AH227" si="789">I136*$D$11</f>
        <v>1146.9053391920515</v>
      </c>
      <c r="J227" s="577">
        <f t="shared" si="789"/>
        <v>1187.7185742652562</v>
      </c>
      <c r="K227" s="577">
        <f t="shared" si="789"/>
        <v>1232.1355095923718</v>
      </c>
      <c r="L227" s="577">
        <f t="shared" si="789"/>
        <v>1317.0563308238693</v>
      </c>
      <c r="M227" s="577">
        <f t="shared" si="789"/>
        <v>1402.0103764578232</v>
      </c>
      <c r="N227" s="577">
        <f t="shared" si="789"/>
        <v>1486.9765376814619</v>
      </c>
      <c r="O227" s="577">
        <f t="shared" si="789"/>
        <v>1571.8974988796092</v>
      </c>
      <c r="P227" s="577">
        <f t="shared" si="789"/>
        <v>1656.8895068439222</v>
      </c>
      <c r="Q227" s="577">
        <f t="shared" si="789"/>
        <v>1773.4973048899424</v>
      </c>
      <c r="R227" s="577">
        <f t="shared" si="789"/>
        <v>1890.1284122083853</v>
      </c>
      <c r="S227" s="577">
        <f t="shared" si="789"/>
        <v>2006.7229812875908</v>
      </c>
      <c r="T227" s="577">
        <f t="shared" si="789"/>
        <v>2123.3346749311286</v>
      </c>
      <c r="U227" s="577">
        <f t="shared" si="789"/>
        <v>2240.0402951998976</v>
      </c>
      <c r="V227" s="577">
        <f t="shared" si="789"/>
        <v>2316.0986657058506</v>
      </c>
      <c r="W227" s="577">
        <f t="shared" si="789"/>
        <v>2356.9173981902136</v>
      </c>
      <c r="X227" s="577">
        <f t="shared" si="789"/>
        <v>2397.7371707623984</v>
      </c>
      <c r="Y227" s="577">
        <f t="shared" si="789"/>
        <v>2438.5581571947664</v>
      </c>
      <c r="Z227" s="577">
        <f t="shared" si="789"/>
        <v>2479.3956510808803</v>
      </c>
      <c r="AA227" s="577">
        <f t="shared" si="789"/>
        <v>2520.2196915565014</v>
      </c>
      <c r="AB227" s="577">
        <f t="shared" si="789"/>
        <v>2561.0607281312623</v>
      </c>
      <c r="AC227" s="577">
        <f t="shared" si="789"/>
        <v>2601.8888652629253</v>
      </c>
      <c r="AD227" s="577">
        <f t="shared" si="789"/>
        <v>2642.7195337970711</v>
      </c>
      <c r="AE227" s="577">
        <f t="shared" si="789"/>
        <v>2683.5682132221805</v>
      </c>
      <c r="AF227" s="577">
        <f t="shared" si="789"/>
        <v>2724.4051374471214</v>
      </c>
      <c r="AG227" s="577">
        <f t="shared" si="789"/>
        <v>2765.2458905325698</v>
      </c>
      <c r="AH227" s="752">
        <f t="shared" si="789"/>
        <v>2806.1061241445045</v>
      </c>
      <c r="AI227" s="18"/>
      <c r="AJ227" s="18"/>
      <c r="AK227" s="18"/>
      <c r="AL227" s="18"/>
      <c r="AM227" s="18"/>
      <c r="AN227" s="18"/>
    </row>
    <row r="228" spans="2:40" ht="21.95" customHeight="1" x14ac:dyDescent="0.2">
      <c r="B228" s="232"/>
      <c r="C228" s="715"/>
      <c r="D228" s="715"/>
      <c r="E228" s="116"/>
      <c r="F228" s="116"/>
      <c r="G228" s="116"/>
      <c r="H228" s="124" t="s">
        <v>19</v>
      </c>
      <c r="I228" s="577">
        <f t="shared" ref="I228:AH228" si="790">I137*$D$12</f>
        <v>2747.0786567474288</v>
      </c>
      <c r="J228" s="577">
        <f t="shared" si="790"/>
        <v>2844.8349084197753</v>
      </c>
      <c r="K228" s="577">
        <f t="shared" si="790"/>
        <v>2951.222777466759</v>
      </c>
      <c r="L228" s="577">
        <f t="shared" si="790"/>
        <v>3154.6259420931001</v>
      </c>
      <c r="M228" s="577">
        <f t="shared" si="790"/>
        <v>3358.108686126523</v>
      </c>
      <c r="N228" s="577">
        <f t="shared" si="790"/>
        <v>3561.6204495364359</v>
      </c>
      <c r="O228" s="577">
        <f t="shared" si="790"/>
        <v>3765.0239494122379</v>
      </c>
      <c r="P228" s="577">
        <f t="shared" si="790"/>
        <v>3968.5976211830475</v>
      </c>
      <c r="Q228" s="577">
        <f t="shared" si="790"/>
        <v>4247.897736263335</v>
      </c>
      <c r="R228" s="577">
        <f t="shared" si="790"/>
        <v>4527.2536819362522</v>
      </c>
      <c r="S228" s="577">
        <f t="shared" si="790"/>
        <v>4806.5221108684809</v>
      </c>
      <c r="T228" s="577">
        <f t="shared" si="790"/>
        <v>5085.8315567212667</v>
      </c>
      <c r="U228" s="577">
        <f t="shared" si="790"/>
        <v>5365.3659765267012</v>
      </c>
      <c r="V228" s="577">
        <f t="shared" si="790"/>
        <v>5547.5417142655106</v>
      </c>
      <c r="W228" s="577">
        <f t="shared" si="790"/>
        <v>5645.3111333897332</v>
      </c>
      <c r="X228" s="577">
        <f t="shared" si="790"/>
        <v>5743.0830437422719</v>
      </c>
      <c r="Y228" s="577">
        <f t="shared" si="790"/>
        <v>5840.8578615443512</v>
      </c>
      <c r="Z228" s="577">
        <f t="shared" si="790"/>
        <v>5938.672218157797</v>
      </c>
      <c r="AA228" s="577">
        <f t="shared" si="790"/>
        <v>6036.454351033537</v>
      </c>
      <c r="AB228" s="577">
        <f t="shared" si="790"/>
        <v>6134.2771931287725</v>
      </c>
      <c r="AC228" s="577">
        <f t="shared" si="790"/>
        <v>6232.0691383543126</v>
      </c>
      <c r="AD228" s="577">
        <f t="shared" si="790"/>
        <v>6329.8671468193324</v>
      </c>
      <c r="AE228" s="577">
        <f t="shared" si="790"/>
        <v>6427.7082951429475</v>
      </c>
      <c r="AF228" s="577">
        <f t="shared" si="790"/>
        <v>6525.5212872984948</v>
      </c>
      <c r="AG228" s="577">
        <f t="shared" si="790"/>
        <v>6623.3434503774133</v>
      </c>
      <c r="AH228" s="752">
        <f t="shared" si="790"/>
        <v>6721.2122734000113</v>
      </c>
      <c r="AI228" s="18"/>
      <c r="AJ228" s="18"/>
      <c r="AK228" s="18"/>
      <c r="AL228" s="18"/>
      <c r="AM228" s="18"/>
      <c r="AN228" s="18"/>
    </row>
    <row r="229" spans="2:40" ht="21.95" customHeight="1" x14ac:dyDescent="0.2">
      <c r="B229" s="232"/>
      <c r="C229" s="715"/>
      <c r="D229" s="715"/>
      <c r="E229" s="116"/>
      <c r="F229" s="116"/>
      <c r="G229" s="116"/>
      <c r="H229" s="721" t="s">
        <v>25</v>
      </c>
      <c r="I229" s="577">
        <f t="shared" ref="I229" si="791">SUM(I227:I228)</f>
        <v>3893.9839959394803</v>
      </c>
      <c r="J229" s="577">
        <f t="shared" ref="J229" si="792">SUM(J227:J228)</f>
        <v>4032.5534826850317</v>
      </c>
      <c r="K229" s="577">
        <f t="shared" ref="K229" si="793">SUM(K227:K228)</f>
        <v>4183.3582870591308</v>
      </c>
      <c r="L229" s="577">
        <f t="shared" ref="L229" si="794">SUM(L227:L228)</f>
        <v>4471.6822729169689</v>
      </c>
      <c r="M229" s="577">
        <f t="shared" ref="M229" si="795">SUM(M227:M228)</f>
        <v>4760.1190625843465</v>
      </c>
      <c r="N229" s="577">
        <f t="shared" ref="N229" si="796">SUM(N227:N228)</f>
        <v>5048.5969872178975</v>
      </c>
      <c r="O229" s="577">
        <f t="shared" ref="O229" si="797">SUM(O227:O228)</f>
        <v>5336.9214482918469</v>
      </c>
      <c r="P229" s="577">
        <f t="shared" ref="P229" si="798">SUM(P227:P228)</f>
        <v>5625.4871280269699</v>
      </c>
      <c r="Q229" s="577">
        <f t="shared" ref="Q229" si="799">SUM(Q227:Q228)</f>
        <v>6021.3950411532769</v>
      </c>
      <c r="R229" s="577">
        <f t="shared" ref="R229" si="800">SUM(R227:R228)</f>
        <v>6417.3820941446374</v>
      </c>
      <c r="S229" s="577">
        <f t="shared" ref="S229" si="801">SUM(S227:S228)</f>
        <v>6813.2450921560721</v>
      </c>
      <c r="T229" s="577">
        <f t="shared" ref="T229" si="802">SUM(T227:T228)</f>
        <v>7209.1662316523953</v>
      </c>
      <c r="U229" s="577">
        <f t="shared" ref="U229" si="803">SUM(U227:U228)</f>
        <v>7605.4062717265988</v>
      </c>
      <c r="V229" s="577">
        <f t="shared" ref="V229" si="804">SUM(V227:V228)</f>
        <v>7863.6403799713607</v>
      </c>
      <c r="W229" s="577">
        <f t="shared" ref="W229" si="805">SUM(W227:W228)</f>
        <v>8002.2285315799472</v>
      </c>
      <c r="X229" s="577">
        <f t="shared" ref="X229" si="806">SUM(X227:X228)</f>
        <v>8140.8202145046707</v>
      </c>
      <c r="Y229" s="577">
        <f t="shared" ref="Y229" si="807">SUM(Y227:Y228)</f>
        <v>8279.4160187391171</v>
      </c>
      <c r="Z229" s="577">
        <f t="shared" ref="Z229" si="808">SUM(Z227:Z228)</f>
        <v>8418.0678692386773</v>
      </c>
      <c r="AA229" s="577">
        <f t="shared" ref="AA229" si="809">SUM(AA227:AA228)</f>
        <v>8556.6740425900389</v>
      </c>
      <c r="AB229" s="577">
        <f t="shared" ref="AB229" si="810">SUM(AB227:AB228)</f>
        <v>8695.3379212600339</v>
      </c>
      <c r="AC229" s="577">
        <f t="shared" ref="AC229" si="811">SUM(AC227:AC228)</f>
        <v>8833.9580036172374</v>
      </c>
      <c r="AD229" s="577">
        <f t="shared" ref="AD229" si="812">SUM(AD227:AD228)</f>
        <v>8972.5866806164031</v>
      </c>
      <c r="AE229" s="577">
        <f t="shared" ref="AE229" si="813">SUM(AE227:AE228)</f>
        <v>9111.2765083651284</v>
      </c>
      <c r="AF229" s="577">
        <f t="shared" ref="AF229" si="814">SUM(AF227:AF228)</f>
        <v>9249.9264247456158</v>
      </c>
      <c r="AG229" s="577">
        <f t="shared" ref="AG229" si="815">SUM(AG227:AG228)</f>
        <v>9388.5893409099826</v>
      </c>
      <c r="AH229" s="752">
        <f t="shared" ref="AH229" si="816">SUM(AH227:AH228)</f>
        <v>9527.3183975445154</v>
      </c>
      <c r="AI229" s="18"/>
      <c r="AJ229" s="18"/>
      <c r="AK229" s="18"/>
      <c r="AL229" s="18"/>
      <c r="AM229" s="18"/>
      <c r="AN229" s="18"/>
    </row>
    <row r="230" spans="2:40" ht="21.95" customHeight="1" x14ac:dyDescent="0.2">
      <c r="B230" s="232"/>
      <c r="C230" s="715"/>
      <c r="D230" s="715"/>
      <c r="E230" s="116"/>
      <c r="F230" s="116" t="s">
        <v>343</v>
      </c>
      <c r="G230" s="116" t="s">
        <v>350</v>
      </c>
      <c r="H230" s="116" t="s">
        <v>20</v>
      </c>
      <c r="I230" s="577">
        <f t="shared" ref="I230:AH230" si="817">I139*$D$11</f>
        <v>2942.7176201021002</v>
      </c>
      <c r="J230" s="577">
        <f t="shared" si="817"/>
        <v>3044.0599115562304</v>
      </c>
      <c r="K230" s="577">
        <f t="shared" si="817"/>
        <v>3157.1240289155016</v>
      </c>
      <c r="L230" s="577">
        <f t="shared" si="817"/>
        <v>3354.6343365258858</v>
      </c>
      <c r="M230" s="577">
        <f t="shared" si="817"/>
        <v>3552.2623573757601</v>
      </c>
      <c r="N230" s="577">
        <f t="shared" si="817"/>
        <v>3749.8217223765341</v>
      </c>
      <c r="O230" s="577">
        <f t="shared" si="817"/>
        <v>3947.3320543631667</v>
      </c>
      <c r="P230" s="577">
        <f t="shared" si="817"/>
        <v>4145.0434915813794</v>
      </c>
      <c r="Q230" s="577">
        <f t="shared" si="817"/>
        <v>4399.6769574639457</v>
      </c>
      <c r="R230" s="577">
        <f t="shared" si="817"/>
        <v>4654.452741164012</v>
      </c>
      <c r="S230" s="577">
        <f t="shared" si="817"/>
        <v>4909.0373910195694</v>
      </c>
      <c r="T230" s="577">
        <f t="shared" si="817"/>
        <v>5163.6713166820227</v>
      </c>
      <c r="U230" s="577">
        <f t="shared" si="817"/>
        <v>5418.5214053695026</v>
      </c>
      <c r="V230" s="577">
        <f t="shared" si="817"/>
        <v>5588.5770711163277</v>
      </c>
      <c r="W230" s="577">
        <f t="shared" si="817"/>
        <v>5689.9200585250446</v>
      </c>
      <c r="X230" s="577">
        <f t="shared" si="817"/>
        <v>5791.2631818187456</v>
      </c>
      <c r="Y230" s="577">
        <f t="shared" si="817"/>
        <v>5892.6064643926347</v>
      </c>
      <c r="Z230" s="577">
        <f t="shared" si="817"/>
        <v>5994.0087882466787</v>
      </c>
      <c r="AA230" s="577">
        <f t="shared" si="817"/>
        <v>6095.3524741929295</v>
      </c>
      <c r="AB230" s="577">
        <f t="shared" si="817"/>
        <v>6196.7552679426199</v>
      </c>
      <c r="AC230" s="577">
        <f t="shared" si="817"/>
        <v>6298.0994992638662</v>
      </c>
      <c r="AD230" s="577">
        <f t="shared" si="817"/>
        <v>6399.4440693983861</v>
      </c>
      <c r="AE230" s="577">
        <f t="shared" si="817"/>
        <v>6500.8478867015301</v>
      </c>
      <c r="AF230" s="577">
        <f t="shared" si="817"/>
        <v>6602.1932987884202</v>
      </c>
      <c r="AG230" s="577">
        <f t="shared" si="817"/>
        <v>6703.5392287250979</v>
      </c>
      <c r="AH230" s="752">
        <f t="shared" si="817"/>
        <v>6804.9446095798248</v>
      </c>
      <c r="AI230" s="18"/>
      <c r="AJ230" s="18"/>
      <c r="AK230" s="18"/>
      <c r="AL230" s="18"/>
      <c r="AM230" s="18"/>
      <c r="AN230" s="18"/>
    </row>
    <row r="231" spans="2:40" ht="21.95" customHeight="1" x14ac:dyDescent="0.2">
      <c r="B231" s="232"/>
      <c r="C231" s="715"/>
      <c r="D231" s="715"/>
      <c r="E231" s="116"/>
      <c r="F231" s="116"/>
      <c r="G231" s="116"/>
      <c r="H231" s="124" t="s">
        <v>19</v>
      </c>
      <c r="I231" s="577">
        <f t="shared" ref="I231:AH231" si="818">I140*$D$12</f>
        <v>7048.4254373702997</v>
      </c>
      <c r="J231" s="577">
        <f t="shared" si="818"/>
        <v>7291.1614648053428</v>
      </c>
      <c r="K231" s="577">
        <f t="shared" si="818"/>
        <v>7561.9737219532981</v>
      </c>
      <c r="L231" s="577">
        <f t="shared" si="818"/>
        <v>8035.0523030560144</v>
      </c>
      <c r="M231" s="577">
        <f t="shared" si="818"/>
        <v>8508.4128320377495</v>
      </c>
      <c r="N231" s="577">
        <f t="shared" si="818"/>
        <v>8981.6089158719387</v>
      </c>
      <c r="O231" s="577">
        <f t="shared" si="818"/>
        <v>9454.6875553608788</v>
      </c>
      <c r="P231" s="577">
        <f t="shared" si="818"/>
        <v>9928.2478840272561</v>
      </c>
      <c r="Q231" s="577">
        <f t="shared" si="818"/>
        <v>10538.148401111248</v>
      </c>
      <c r="R231" s="577">
        <f t="shared" si="818"/>
        <v>11148.389799195238</v>
      </c>
      <c r="S231" s="577">
        <f t="shared" si="818"/>
        <v>11758.17339166364</v>
      </c>
      <c r="T231" s="577">
        <f t="shared" si="818"/>
        <v>12368.075010016822</v>
      </c>
      <c r="U231" s="577">
        <f t="shared" si="818"/>
        <v>12978.49438411857</v>
      </c>
      <c r="V231" s="577">
        <f t="shared" si="818"/>
        <v>13385.813343991205</v>
      </c>
      <c r="W231" s="577">
        <f t="shared" si="818"/>
        <v>13628.551038383341</v>
      </c>
      <c r="X231" s="577">
        <f t="shared" si="818"/>
        <v>13871.289058248492</v>
      </c>
      <c r="Y231" s="577">
        <f t="shared" si="818"/>
        <v>14114.027459623077</v>
      </c>
      <c r="Z231" s="577">
        <f t="shared" si="818"/>
        <v>14356.907277237555</v>
      </c>
      <c r="AA231" s="577">
        <f t="shared" si="818"/>
        <v>14599.646644773484</v>
      </c>
      <c r="AB231" s="577">
        <f t="shared" si="818"/>
        <v>14842.527587886516</v>
      </c>
      <c r="AC231" s="577">
        <f t="shared" si="818"/>
        <v>15085.26826170986</v>
      </c>
      <c r="AD231" s="577">
        <f t="shared" si="818"/>
        <v>15328.009747062004</v>
      </c>
      <c r="AE231" s="577">
        <f t="shared" si="818"/>
        <v>15570.893141800072</v>
      </c>
      <c r="AF231" s="577">
        <f t="shared" si="818"/>
        <v>15813.636643804599</v>
      </c>
      <c r="AG231" s="577">
        <f t="shared" si="818"/>
        <v>16056.381386167901</v>
      </c>
      <c r="AH231" s="752">
        <f t="shared" si="818"/>
        <v>16299.2685259397</v>
      </c>
      <c r="AI231" s="18"/>
      <c r="AJ231" s="18"/>
      <c r="AK231" s="18"/>
      <c r="AL231" s="18"/>
      <c r="AM231" s="18"/>
      <c r="AN231" s="18"/>
    </row>
    <row r="232" spans="2:40" ht="21.95" customHeight="1" x14ac:dyDescent="0.2">
      <c r="B232" s="232"/>
      <c r="C232" s="715"/>
      <c r="D232" s="715"/>
      <c r="E232" s="116"/>
      <c r="F232" s="116"/>
      <c r="G232" s="116"/>
      <c r="H232" s="721" t="s">
        <v>25</v>
      </c>
      <c r="I232" s="577">
        <f t="shared" ref="I232" si="819">SUM(I230:I231)</f>
        <v>9991.1430574724</v>
      </c>
      <c r="J232" s="577">
        <f t="shared" ref="J232" si="820">SUM(J230:J231)</f>
        <v>10335.221376361573</v>
      </c>
      <c r="K232" s="577">
        <f t="shared" ref="K232" si="821">SUM(K230:K231)</f>
        <v>10719.097750868799</v>
      </c>
      <c r="L232" s="577">
        <f t="shared" ref="L232" si="822">SUM(L230:L231)</f>
        <v>11389.6866395819</v>
      </c>
      <c r="M232" s="577">
        <f t="shared" ref="M232" si="823">SUM(M230:M231)</f>
        <v>12060.675189413509</v>
      </c>
      <c r="N232" s="577">
        <f t="shared" ref="N232" si="824">SUM(N230:N231)</f>
        <v>12731.430638248472</v>
      </c>
      <c r="O232" s="577">
        <f t="shared" ref="O232" si="825">SUM(O230:O231)</f>
        <v>13402.019609724046</v>
      </c>
      <c r="P232" s="577">
        <f t="shared" ref="P232" si="826">SUM(P230:P231)</f>
        <v>14073.291375608635</v>
      </c>
      <c r="Q232" s="577">
        <f t="shared" ref="Q232" si="827">SUM(Q230:Q231)</f>
        <v>14937.825358575194</v>
      </c>
      <c r="R232" s="577">
        <f t="shared" ref="R232" si="828">SUM(R230:R231)</f>
        <v>15802.84254035925</v>
      </c>
      <c r="S232" s="577">
        <f t="shared" ref="S232" si="829">SUM(S230:S231)</f>
        <v>16667.210782683211</v>
      </c>
      <c r="T232" s="577">
        <f t="shared" ref="T232" si="830">SUM(T230:T231)</f>
        <v>17531.746326698845</v>
      </c>
      <c r="U232" s="577">
        <f t="shared" ref="U232" si="831">SUM(U230:U231)</f>
        <v>18397.015789488072</v>
      </c>
      <c r="V232" s="577">
        <f t="shared" ref="V232" si="832">SUM(V230:V231)</f>
        <v>18974.390415107533</v>
      </c>
      <c r="W232" s="577">
        <f t="shared" ref="W232" si="833">SUM(W230:W231)</f>
        <v>19318.471096908386</v>
      </c>
      <c r="X232" s="577">
        <f t="shared" ref="X232" si="834">SUM(X230:X231)</f>
        <v>19662.552240067238</v>
      </c>
      <c r="Y232" s="577">
        <f t="shared" ref="Y232" si="835">SUM(Y230:Y231)</f>
        <v>20006.63392401571</v>
      </c>
      <c r="Z232" s="577">
        <f t="shared" ref="Z232" si="836">SUM(Z230:Z231)</f>
        <v>20350.916065484234</v>
      </c>
      <c r="AA232" s="577">
        <f t="shared" ref="AA232" si="837">SUM(AA230:AA231)</f>
        <v>20694.999118966414</v>
      </c>
      <c r="AB232" s="577">
        <f t="shared" ref="AB232" si="838">SUM(AB230:AB231)</f>
        <v>21039.282855829137</v>
      </c>
      <c r="AC232" s="577">
        <f t="shared" ref="AC232" si="839">SUM(AC230:AC231)</f>
        <v>21383.367760973728</v>
      </c>
      <c r="AD232" s="577">
        <f t="shared" ref="AD232" si="840">SUM(AD230:AD231)</f>
        <v>21727.453816460391</v>
      </c>
      <c r="AE232" s="577">
        <f t="shared" ref="AE232" si="841">SUM(AE230:AE231)</f>
        <v>22071.741028501601</v>
      </c>
      <c r="AF232" s="577">
        <f t="shared" ref="AF232" si="842">SUM(AF230:AF231)</f>
        <v>22415.82994259302</v>
      </c>
      <c r="AG232" s="577">
        <f t="shared" ref="AG232" si="843">SUM(AG230:AG231)</f>
        <v>22759.920614892999</v>
      </c>
      <c r="AH232" s="752">
        <f t="shared" ref="AH232" si="844">SUM(AH230:AH231)</f>
        <v>23104.213135519523</v>
      </c>
      <c r="AI232" s="18"/>
      <c r="AJ232" s="18"/>
      <c r="AK232" s="18"/>
      <c r="AL232" s="18"/>
      <c r="AM232" s="18"/>
      <c r="AN232" s="18"/>
    </row>
    <row r="233" spans="2:40" ht="21.95" customHeight="1" x14ac:dyDescent="0.2">
      <c r="B233" s="232"/>
      <c r="C233" s="715"/>
      <c r="D233" s="715"/>
      <c r="E233" s="116"/>
      <c r="F233" s="116" t="s">
        <v>350</v>
      </c>
      <c r="G233" s="116" t="s">
        <v>280</v>
      </c>
      <c r="H233" s="116" t="s">
        <v>20</v>
      </c>
      <c r="I233" s="577">
        <f t="shared" ref="I233:AH233" si="845">I142*$D$11</f>
        <v>20061.421579509875</v>
      </c>
      <c r="J233" s="577">
        <f t="shared" si="845"/>
        <v>20752.303505880234</v>
      </c>
      <c r="K233" s="577">
        <f t="shared" si="845"/>
        <v>21523.096763342513</v>
      </c>
      <c r="L233" s="577">
        <f t="shared" si="845"/>
        <v>22869.585957784915</v>
      </c>
      <c r="M233" s="577">
        <f t="shared" si="845"/>
        <v>24216.877620453764</v>
      </c>
      <c r="N233" s="577">
        <f t="shared" si="845"/>
        <v>25563.701202235141</v>
      </c>
      <c r="O233" s="577">
        <f t="shared" si="845"/>
        <v>26910.190457760917</v>
      </c>
      <c r="P233" s="577">
        <f t="shared" si="845"/>
        <v>28258.050626027834</v>
      </c>
      <c r="Q233" s="577">
        <f t="shared" si="845"/>
        <v>29993.965711486118</v>
      </c>
      <c r="R233" s="577">
        <f t="shared" si="845"/>
        <v>31730.850648991778</v>
      </c>
      <c r="S233" s="577">
        <f t="shared" si="845"/>
        <v>33466.431951933046</v>
      </c>
      <c r="T233" s="577">
        <f t="shared" si="845"/>
        <v>35202.348189533695</v>
      </c>
      <c r="U233" s="577">
        <f t="shared" si="845"/>
        <v>36939.73650951255</v>
      </c>
      <c r="V233" s="577">
        <f t="shared" si="845"/>
        <v>38099.054929798105</v>
      </c>
      <c r="W233" s="577">
        <f t="shared" si="845"/>
        <v>38789.938600130707</v>
      </c>
      <c r="X233" s="577">
        <f t="shared" si="845"/>
        <v>39480.822610971554</v>
      </c>
      <c r="Y233" s="577">
        <f t="shared" si="845"/>
        <v>40171.707020945694</v>
      </c>
      <c r="Z233" s="577">
        <f t="shared" si="845"/>
        <v>40862.993127765527</v>
      </c>
      <c r="AA233" s="577">
        <f t="shared" si="845"/>
        <v>41553.878548532863</v>
      </c>
      <c r="AB233" s="577">
        <f t="shared" si="845"/>
        <v>42245.165832843704</v>
      </c>
      <c r="AC233" s="577">
        <f t="shared" si="845"/>
        <v>42936.052620242459</v>
      </c>
      <c r="AD233" s="577">
        <f t="shared" si="845"/>
        <v>43626.940256658614</v>
      </c>
      <c r="AE233" s="577">
        <f t="shared" si="845"/>
        <v>44318.230105847419</v>
      </c>
      <c r="AF233" s="577">
        <f t="shared" si="845"/>
        <v>45009.119852075302</v>
      </c>
      <c r="AG233" s="577">
        <f t="shared" si="845"/>
        <v>45700.010895960375</v>
      </c>
      <c r="AH233" s="752">
        <f t="shared" si="845"/>
        <v>46391.304663184877</v>
      </c>
      <c r="AI233" s="18"/>
      <c r="AJ233" s="18"/>
      <c r="AK233" s="18"/>
      <c r="AL233" s="18"/>
      <c r="AM233" s="18"/>
      <c r="AN233" s="18"/>
    </row>
    <row r="234" spans="2:40" ht="21.95" customHeight="1" x14ac:dyDescent="0.2">
      <c r="B234" s="232"/>
      <c r="C234" s="715"/>
      <c r="D234" s="715"/>
      <c r="E234" s="116"/>
      <c r="F234" s="116"/>
      <c r="G234" s="116"/>
      <c r="H234" s="124" t="s">
        <v>19</v>
      </c>
      <c r="I234" s="577">
        <f t="shared" ref="I234:AH234" si="846">I143*$D$12</f>
        <v>48051.309172478745</v>
      </c>
      <c r="J234" s="577">
        <f t="shared" si="846"/>
        <v>49706.116181749065</v>
      </c>
      <c r="K234" s="577">
        <f t="shared" si="846"/>
        <v>51552.327576868294</v>
      </c>
      <c r="L234" s="577">
        <f t="shared" si="846"/>
        <v>54777.451395892014</v>
      </c>
      <c r="M234" s="577">
        <f t="shared" si="846"/>
        <v>58004.497294500041</v>
      </c>
      <c r="N234" s="577">
        <f t="shared" si="846"/>
        <v>61230.422041281781</v>
      </c>
      <c r="O234" s="577">
        <f t="shared" si="846"/>
        <v>64455.546006612974</v>
      </c>
      <c r="P234" s="577">
        <f t="shared" si="846"/>
        <v>67683.953595276253</v>
      </c>
      <c r="Q234" s="577">
        <f t="shared" si="846"/>
        <v>71841.834039487716</v>
      </c>
      <c r="R234" s="577">
        <f t="shared" si="846"/>
        <v>76002.037482615036</v>
      </c>
      <c r="S234" s="577">
        <f t="shared" si="846"/>
        <v>80159.118447743822</v>
      </c>
      <c r="T234" s="577">
        <f t="shared" si="846"/>
        <v>84317.001651577724</v>
      </c>
      <c r="U234" s="577">
        <f t="shared" si="846"/>
        <v>88478.41080122767</v>
      </c>
      <c r="V234" s="577">
        <f t="shared" si="846"/>
        <v>91255.221388737977</v>
      </c>
      <c r="W234" s="577">
        <f t="shared" si="846"/>
        <v>92910.032575163365</v>
      </c>
      <c r="X234" s="577">
        <f t="shared" si="846"/>
        <v>94564.844577177384</v>
      </c>
      <c r="Y234" s="577">
        <f t="shared" si="846"/>
        <v>96219.65753519928</v>
      </c>
      <c r="Z234" s="577">
        <f t="shared" si="846"/>
        <v>97875.432641354564</v>
      </c>
      <c r="AA234" s="577">
        <f t="shared" si="846"/>
        <v>99530.248020437997</v>
      </c>
      <c r="AB234" s="577">
        <f t="shared" si="846"/>
        <v>101186.02594693103</v>
      </c>
      <c r="AC234" s="577">
        <f t="shared" si="846"/>
        <v>102840.84459938314</v>
      </c>
      <c r="AD234" s="577">
        <f t="shared" si="846"/>
        <v>104495.66528540986</v>
      </c>
      <c r="AE234" s="577">
        <f t="shared" si="846"/>
        <v>106151.44935532316</v>
      </c>
      <c r="AF234" s="577">
        <f t="shared" si="846"/>
        <v>107806.27509479114</v>
      </c>
      <c r="AG234" s="577">
        <f t="shared" si="846"/>
        <v>109461.10394242006</v>
      </c>
      <c r="AH234" s="752">
        <f t="shared" si="846"/>
        <v>111116.89739685001</v>
      </c>
      <c r="AI234" s="18"/>
      <c r="AJ234" s="18"/>
      <c r="AK234" s="18"/>
      <c r="AL234" s="18"/>
      <c r="AM234" s="18"/>
      <c r="AN234" s="18"/>
    </row>
    <row r="235" spans="2:40" ht="21.95" customHeight="1" x14ac:dyDescent="0.2">
      <c r="B235" s="232"/>
      <c r="C235" s="715"/>
      <c r="D235" s="715"/>
      <c r="E235" s="116"/>
      <c r="F235" s="116"/>
      <c r="G235" s="116"/>
      <c r="H235" s="721" t="s">
        <v>25</v>
      </c>
      <c r="I235" s="577">
        <f t="shared" ref="I235" si="847">SUM(I233:I234)</f>
        <v>68112.730751988624</v>
      </c>
      <c r="J235" s="577">
        <f t="shared" ref="J235" si="848">SUM(J233:J234)</f>
        <v>70458.419687629299</v>
      </c>
      <c r="K235" s="577">
        <f t="shared" ref="K235" si="849">SUM(K233:K234)</f>
        <v>73075.424340210811</v>
      </c>
      <c r="L235" s="577">
        <f t="shared" ref="L235" si="850">SUM(L233:L234)</f>
        <v>77647.037353676933</v>
      </c>
      <c r="M235" s="577">
        <f t="shared" ref="M235" si="851">SUM(M233:M234)</f>
        <v>82221.374914953805</v>
      </c>
      <c r="N235" s="577">
        <f t="shared" ref="N235" si="852">SUM(N233:N234)</f>
        <v>86794.123243516922</v>
      </c>
      <c r="O235" s="577">
        <f t="shared" ref="O235" si="853">SUM(O233:O234)</f>
        <v>91365.736464373884</v>
      </c>
      <c r="P235" s="577">
        <f t="shared" ref="P235" si="854">SUM(P233:P234)</f>
        <v>95942.004221304087</v>
      </c>
      <c r="Q235" s="577">
        <f t="shared" ref="Q235" si="855">SUM(Q233:Q234)</f>
        <v>101835.79975097383</v>
      </c>
      <c r="R235" s="577">
        <f t="shared" ref="R235" si="856">SUM(R233:R234)</f>
        <v>107732.88813160681</v>
      </c>
      <c r="S235" s="577">
        <f t="shared" ref="S235" si="857">SUM(S233:S234)</f>
        <v>113625.55039967687</v>
      </c>
      <c r="T235" s="577">
        <f t="shared" ref="T235" si="858">SUM(T233:T234)</f>
        <v>119519.34984111143</v>
      </c>
      <c r="U235" s="577">
        <f t="shared" ref="U235" si="859">SUM(U233:U234)</f>
        <v>125418.14731074023</v>
      </c>
      <c r="V235" s="577">
        <f t="shared" ref="V235" si="860">SUM(V233:V234)</f>
        <v>129354.27631853608</v>
      </c>
      <c r="W235" s="577">
        <f t="shared" ref="W235" si="861">SUM(W233:W234)</f>
        <v>131699.97117529408</v>
      </c>
      <c r="X235" s="577">
        <f t="shared" ref="X235" si="862">SUM(X233:X234)</f>
        <v>134045.66718814895</v>
      </c>
      <c r="Y235" s="577">
        <f t="shared" ref="Y235" si="863">SUM(Y233:Y234)</f>
        <v>136391.36455614498</v>
      </c>
      <c r="Z235" s="577">
        <f t="shared" ref="Z235" si="864">SUM(Z233:Z234)</f>
        <v>138738.42576912011</v>
      </c>
      <c r="AA235" s="577">
        <f t="shared" ref="AA235" si="865">SUM(AA233:AA234)</f>
        <v>141084.12656897085</v>
      </c>
      <c r="AB235" s="577">
        <f t="shared" ref="AB235" si="866">SUM(AB233:AB234)</f>
        <v>143431.19177977473</v>
      </c>
      <c r="AC235" s="577">
        <f t="shared" ref="AC235" si="867">SUM(AC233:AC234)</f>
        <v>145776.89721962559</v>
      </c>
      <c r="AD235" s="577">
        <f t="shared" ref="AD235" si="868">SUM(AD233:AD234)</f>
        <v>148122.60554206849</v>
      </c>
      <c r="AE235" s="577">
        <f t="shared" ref="AE235" si="869">SUM(AE233:AE234)</f>
        <v>150469.67946117057</v>
      </c>
      <c r="AF235" s="577">
        <f t="shared" ref="AF235" si="870">SUM(AF233:AF234)</f>
        <v>152815.39494686644</v>
      </c>
      <c r="AG235" s="577">
        <f t="shared" ref="AG235" si="871">SUM(AG233:AG234)</f>
        <v>155161.11483838042</v>
      </c>
      <c r="AH235" s="752">
        <f t="shared" ref="AH235" si="872">SUM(AH233:AH234)</f>
        <v>157508.20206003488</v>
      </c>
      <c r="AI235" s="18"/>
      <c r="AJ235" s="18"/>
      <c r="AK235" s="18"/>
      <c r="AL235" s="18"/>
      <c r="AM235" s="18"/>
      <c r="AN235" s="18"/>
    </row>
    <row r="236" spans="2:40" ht="21.95" customHeight="1" x14ac:dyDescent="0.2">
      <c r="B236" s="232"/>
      <c r="C236" s="715"/>
      <c r="D236" s="715"/>
      <c r="E236" s="116"/>
      <c r="F236" s="116" t="s">
        <v>280</v>
      </c>
      <c r="G236" s="116" t="s">
        <v>333</v>
      </c>
      <c r="H236" s="116" t="s">
        <v>20</v>
      </c>
      <c r="I236" s="577">
        <f t="shared" ref="I236:AH236" si="873">I145*$D$11</f>
        <v>501.02774084735455</v>
      </c>
      <c r="J236" s="577">
        <f t="shared" si="873"/>
        <v>518.28242094728273</v>
      </c>
      <c r="K236" s="577">
        <f t="shared" si="873"/>
        <v>537.53293654059655</v>
      </c>
      <c r="L236" s="577">
        <f t="shared" si="873"/>
        <v>571.16165534728657</v>
      </c>
      <c r="M236" s="577">
        <f t="shared" si="873"/>
        <v>604.81088862875424</v>
      </c>
      <c r="N236" s="577">
        <f t="shared" si="873"/>
        <v>638.44922064557409</v>
      </c>
      <c r="O236" s="577">
        <f t="shared" si="873"/>
        <v>672.08048403045518</v>
      </c>
      <c r="P236" s="577">
        <f t="shared" si="873"/>
        <v>705.74802274429305</v>
      </c>
      <c r="Q236" s="577">
        <f t="shared" si="873"/>
        <v>749.11345825375201</v>
      </c>
      <c r="R236" s="577">
        <f t="shared" si="873"/>
        <v>792.51213606832459</v>
      </c>
      <c r="S236" s="577">
        <f t="shared" si="873"/>
        <v>835.89315371377859</v>
      </c>
      <c r="T236" s="577">
        <f t="shared" si="873"/>
        <v>879.30658454548359</v>
      </c>
      <c r="U236" s="577">
        <f t="shared" si="873"/>
        <v>922.7947266171293</v>
      </c>
      <c r="V236" s="577">
        <f t="shared" si="873"/>
        <v>951.84421802080283</v>
      </c>
      <c r="W236" s="577">
        <f t="shared" si="873"/>
        <v>969.17154715489767</v>
      </c>
      <c r="X236" s="577">
        <f t="shared" si="873"/>
        <v>986.51306099751218</v>
      </c>
      <c r="Y236" s="577">
        <f t="shared" si="873"/>
        <v>1003.8712017178228</v>
      </c>
      <c r="Z236" s="577">
        <f t="shared" si="873"/>
        <v>1021.2588759337443</v>
      </c>
      <c r="AA236" s="577">
        <f t="shared" si="873"/>
        <v>1038.6591237299394</v>
      </c>
      <c r="AB236" s="577">
        <f t="shared" si="873"/>
        <v>1056.0958492283874</v>
      </c>
      <c r="AC236" s="577">
        <f t="shared" si="873"/>
        <v>1073.5530274153477</v>
      </c>
      <c r="AD236" s="577">
        <f t="shared" si="873"/>
        <v>1091.0455735094538</v>
      </c>
      <c r="AE236" s="577">
        <f t="shared" si="873"/>
        <v>1108.5891453038414</v>
      </c>
      <c r="AF236" s="577">
        <f t="shared" si="873"/>
        <v>1126.1695807913038</v>
      </c>
      <c r="AG236" s="577">
        <f t="shared" si="873"/>
        <v>1143.8040733791825</v>
      </c>
      <c r="AH236" s="752">
        <f t="shared" si="873"/>
        <v>1161.5108605824682</v>
      </c>
      <c r="AI236" s="18"/>
      <c r="AJ236" s="18"/>
      <c r="AK236" s="18"/>
      <c r="AL236" s="18"/>
      <c r="AM236" s="18"/>
      <c r="AN236" s="18"/>
    </row>
    <row r="237" spans="2:40" ht="21.95" customHeight="1" x14ac:dyDescent="0.2">
      <c r="B237" s="232"/>
      <c r="C237" s="715"/>
      <c r="D237" s="715"/>
      <c r="E237" s="116"/>
      <c r="F237" s="116"/>
      <c r="G237" s="116"/>
      <c r="H237" s="124" t="s">
        <v>19</v>
      </c>
      <c r="I237" s="577">
        <f t="shared" ref="I237:AH237" si="874">I146*$D$12</f>
        <v>1200.0664451433643</v>
      </c>
      <c r="J237" s="577">
        <f t="shared" si="874"/>
        <v>1241.3950202330125</v>
      </c>
      <c r="K237" s="577">
        <f t="shared" si="874"/>
        <v>1287.5040396181955</v>
      </c>
      <c r="L237" s="577">
        <f t="shared" si="874"/>
        <v>1368.0518690952972</v>
      </c>
      <c r="M237" s="577">
        <f t="shared" si="874"/>
        <v>1448.6488350389322</v>
      </c>
      <c r="N237" s="577">
        <f t="shared" si="874"/>
        <v>1529.2196901690397</v>
      </c>
      <c r="O237" s="577">
        <f t="shared" si="874"/>
        <v>1609.773614444204</v>
      </c>
      <c r="P237" s="577">
        <f t="shared" si="874"/>
        <v>1690.4144257348337</v>
      </c>
      <c r="Q237" s="577">
        <f t="shared" si="874"/>
        <v>1794.2837323443164</v>
      </c>
      <c r="R237" s="577">
        <f t="shared" si="874"/>
        <v>1898.2326612414961</v>
      </c>
      <c r="S237" s="577">
        <f t="shared" si="874"/>
        <v>2002.139290332404</v>
      </c>
      <c r="T237" s="577">
        <f t="shared" si="874"/>
        <v>2106.1235557975656</v>
      </c>
      <c r="U237" s="577">
        <f t="shared" si="874"/>
        <v>2210.2867703404295</v>
      </c>
      <c r="V237" s="577">
        <f t="shared" si="874"/>
        <v>2279.8663904689888</v>
      </c>
      <c r="W237" s="577">
        <f t="shared" si="874"/>
        <v>2321.3689752213118</v>
      </c>
      <c r="X237" s="577">
        <f t="shared" si="874"/>
        <v>2362.9055353233825</v>
      </c>
      <c r="Y237" s="577">
        <f t="shared" si="874"/>
        <v>2404.4819202822105</v>
      </c>
      <c r="Z237" s="577">
        <f t="shared" si="874"/>
        <v>2446.1290441526812</v>
      </c>
      <c r="AA237" s="577">
        <f t="shared" si="874"/>
        <v>2487.8062843830885</v>
      </c>
      <c r="AB237" s="577">
        <f t="shared" si="874"/>
        <v>2529.5708963554189</v>
      </c>
      <c r="AC237" s="577">
        <f t="shared" si="874"/>
        <v>2571.3844968032281</v>
      </c>
      <c r="AD237" s="577">
        <f t="shared" si="874"/>
        <v>2613.2828108010872</v>
      </c>
      <c r="AE237" s="577">
        <f t="shared" si="874"/>
        <v>2655.3033420451293</v>
      </c>
      <c r="AF237" s="577">
        <f t="shared" si="874"/>
        <v>2697.4121695600093</v>
      </c>
      <c r="AG237" s="577">
        <f t="shared" si="874"/>
        <v>2739.6504751597186</v>
      </c>
      <c r="AH237" s="752">
        <f t="shared" si="874"/>
        <v>2782.061941514894</v>
      </c>
      <c r="AI237" s="18"/>
      <c r="AJ237" s="18"/>
      <c r="AK237" s="18"/>
      <c r="AL237" s="18"/>
      <c r="AM237" s="18"/>
      <c r="AN237" s="18"/>
    </row>
    <row r="238" spans="2:40" ht="21.95" customHeight="1" thickBot="1" x14ac:dyDescent="0.25">
      <c r="B238" s="487"/>
      <c r="C238" s="764"/>
      <c r="D238" s="764"/>
      <c r="E238" s="278"/>
      <c r="F238" s="278"/>
      <c r="G238" s="278"/>
      <c r="H238" s="765" t="s">
        <v>25</v>
      </c>
      <c r="I238" s="735">
        <f t="shared" ref="I238" si="875">SUM(I236:I237)</f>
        <v>1701.0941859907189</v>
      </c>
      <c r="J238" s="735">
        <f t="shared" ref="J238" si="876">SUM(J236:J237)</f>
        <v>1759.6774411802953</v>
      </c>
      <c r="K238" s="735">
        <f t="shared" ref="K238" si="877">SUM(K236:K237)</f>
        <v>1825.0369761587922</v>
      </c>
      <c r="L238" s="735">
        <f t="shared" ref="L238" si="878">SUM(L236:L237)</f>
        <v>1939.2135244425838</v>
      </c>
      <c r="M238" s="735">
        <f t="shared" ref="M238" si="879">SUM(M236:M237)</f>
        <v>2053.4597236676864</v>
      </c>
      <c r="N238" s="735">
        <f t="shared" ref="N238" si="880">SUM(N236:N237)</f>
        <v>2167.6689108146138</v>
      </c>
      <c r="O238" s="735">
        <f t="shared" ref="O238" si="881">SUM(O236:O237)</f>
        <v>2281.8540984746592</v>
      </c>
      <c r="P238" s="735">
        <f t="shared" ref="P238" si="882">SUM(P236:P237)</f>
        <v>2396.1624484791269</v>
      </c>
      <c r="Q238" s="735">
        <f t="shared" ref="Q238" si="883">SUM(Q236:Q237)</f>
        <v>2543.3971905980684</v>
      </c>
      <c r="R238" s="735">
        <f t="shared" ref="R238" si="884">SUM(R236:R237)</f>
        <v>2690.7447973098206</v>
      </c>
      <c r="S238" s="735">
        <f t="shared" ref="S238" si="885">SUM(S236:S237)</f>
        <v>2838.0324440461827</v>
      </c>
      <c r="T238" s="735">
        <f t="shared" ref="T238" si="886">SUM(T236:T237)</f>
        <v>2985.4301403430491</v>
      </c>
      <c r="U238" s="735">
        <f t="shared" ref="U238" si="887">SUM(U236:U237)</f>
        <v>3133.0814969575586</v>
      </c>
      <c r="V238" s="735">
        <f t="shared" ref="V238" si="888">SUM(V236:V237)</f>
        <v>3231.7106084897914</v>
      </c>
      <c r="W238" s="735">
        <f t="shared" ref="W238" si="889">SUM(W236:W237)</f>
        <v>3290.5405223762095</v>
      </c>
      <c r="X238" s="735">
        <f t="shared" ref="X238" si="890">SUM(X236:X237)</f>
        <v>3349.4185963208947</v>
      </c>
      <c r="Y238" s="735">
        <f t="shared" ref="Y238" si="891">SUM(Y236:Y237)</f>
        <v>3408.3531220000332</v>
      </c>
      <c r="Z238" s="735">
        <f t="shared" ref="Z238" si="892">SUM(Z236:Z237)</f>
        <v>3467.3879200864258</v>
      </c>
      <c r="AA238" s="735">
        <f t="shared" ref="AA238" si="893">SUM(AA236:AA237)</f>
        <v>3526.4654081130279</v>
      </c>
      <c r="AB238" s="735">
        <f t="shared" ref="AB238" si="894">SUM(AB236:AB237)</f>
        <v>3585.666745583806</v>
      </c>
      <c r="AC238" s="735">
        <f t="shared" ref="AC238" si="895">SUM(AC236:AC237)</f>
        <v>3644.9375242185761</v>
      </c>
      <c r="AD238" s="735">
        <f t="shared" ref="AD238" si="896">SUM(AD236:AD237)</f>
        <v>3704.328384310541</v>
      </c>
      <c r="AE238" s="735">
        <f t="shared" ref="AE238" si="897">SUM(AE236:AE237)</f>
        <v>3763.8924873489705</v>
      </c>
      <c r="AF238" s="735">
        <f t="shared" ref="AF238" si="898">SUM(AF236:AF237)</f>
        <v>3823.5817503513131</v>
      </c>
      <c r="AG238" s="735">
        <f t="shared" ref="AG238" si="899">SUM(AG236:AG237)</f>
        <v>3883.4545485389008</v>
      </c>
      <c r="AH238" s="766">
        <f t="shared" ref="AH238" si="900">SUM(AH236:AH237)</f>
        <v>3943.572802097362</v>
      </c>
      <c r="AI238" s="18"/>
      <c r="AJ238" s="18"/>
      <c r="AK238" s="18"/>
      <c r="AL238" s="18"/>
      <c r="AM238" s="18"/>
      <c r="AN238" s="18"/>
    </row>
    <row r="239" spans="2:40" ht="21.95" customHeight="1" thickBot="1" x14ac:dyDescent="0.25">
      <c r="B239" s="487"/>
      <c r="C239" s="764"/>
      <c r="D239" s="764"/>
      <c r="E239" s="278"/>
      <c r="F239" s="278"/>
      <c r="G239" s="278"/>
      <c r="H239" s="767" t="s">
        <v>514</v>
      </c>
      <c r="I239" s="767">
        <f t="shared" ref="I239" si="901">SUM(I154,I157,I160,I163,I166,I169,I172,I175,I178,I181,I184,I187,I190,I193,I196,I199,I202,I205,I208,I211,I214,I220,I223,I226,I229,I232,I235,I238)</f>
        <v>2058289.3450821154</v>
      </c>
      <c r="J239" s="767">
        <f t="shared" ref="J239" si="902">SUM(J154,J157,J160,J163,J166,J169,J172,J175,J178,J181,J184,J187,J190,J193,J196,J199,J202,J205,J208,J211,J214,J220,J223,J226,J229,J232,J235,J238)</f>
        <v>2132026.2006393941</v>
      </c>
      <c r="K239" s="767">
        <f t="shared" ref="K239" si="903">SUM(K154,K157,K160,K163,K166,K169,K172,K175,K178,K181,K184,K187,K190,K193,K196,K199,K202,K205,K208,K211,K214,K220,K223,K226,K229,K232,K235,K238)</f>
        <v>2272440.7679235335</v>
      </c>
      <c r="L239" s="767">
        <f t="shared" ref="L239" si="904">SUM(L154,L157,L160,L163,L166,L169,L172,L175,L178,L181,L184,L187,L190,L193,L196,L199,L202,L205,L208,L211,L214,L220,L223,L226,L229,L232,L235,L238)</f>
        <v>2494547.2299821302</v>
      </c>
      <c r="M239" s="767">
        <f t="shared" ref="M239" si="905">SUM(M154,M157,M160,M163,M166,M169,M172,M175,M178,M181,M184,M187,M190,M193,M196,M199,M202,M205,M208,M211,M214,M220,M223,M226,M229,M232,M235,M238)</f>
        <v>2726697.8567155991</v>
      </c>
      <c r="N239" s="767">
        <f t="shared" ref="N239" si="906">SUM(N154,N157,N160,N163,N166,N169,N172,N175,N178,N181,N184,N187,N190,N193,N196,N199,N202,N205,N208,N211,N214,N220,N223,N226,N229,N232,N235,N238)</f>
        <v>3007288.0995605094</v>
      </c>
      <c r="O239" s="767">
        <f t="shared" ref="O239" si="907">SUM(O154,O157,O160,O163,O166,O169,O172,O175,O178,O181,O184,O187,O190,O193,O196,O199,O202,O205,O208,O211,O214,O220,O223,O226,O229,O232,O235,O238)</f>
        <v>3487648.8009283827</v>
      </c>
      <c r="P239" s="767">
        <f t="shared" ref="P239" si="908">SUM(P154,P157,P160,P163,P166,P169,P172,P175,P178,P181,P184,P187,P190,P193,P196,P199,P202,P205,P208,P211,P214,P220,P223,P226,P229,P232,P235,P238)</f>
        <v>3777792.219234183</v>
      </c>
      <c r="Q239" s="767">
        <f t="shared" ref="Q239" si="909">SUM(Q154,Q157,Q160,Q163,Q166,Q169,Q172,Q175,Q178,Q181,Q184,Q187,Q190,Q193,Q196,Q199,Q202,Q205,Q208,Q211,Q214,Q220,Q223,Q226,Q229,Q232,Q235,Q238)</f>
        <v>4125537.5343408063</v>
      </c>
      <c r="R239" s="767">
        <f t="shared" ref="R239" si="910">SUM(R154,R157,R160,R163,R166,R169,R172,R175,R178,R181,R184,R187,R190,R193,R196,R199,R202,R205,R208,R211,R214,R220,R223,R226,R229,R232,R235,R238)</f>
        <v>4501991.0959477313</v>
      </c>
      <c r="S239" s="767">
        <f t="shared" ref="S239" si="911">SUM(S154,S157,S160,S163,S166,S169,S172,S175,S178,S181,S184,S187,S190,S193,S196,S199,S202,S205,S208,S211,S214,S220,S223,S226,S229,S232,S235,S238)</f>
        <v>4908933.6330919648</v>
      </c>
      <c r="T239" s="767">
        <f t="shared" ref="T239" si="912">SUM(T154,T157,T160,T163,T166,T169,T172,T175,T178,T181,T184,T187,T190,T193,T196,T199,T202,T205,T208,T211,T214,T220,T223,T226,T229,T232,T235,T238)</f>
        <v>5220866.250830858</v>
      </c>
      <c r="U239" s="767">
        <f t="shared" ref="U239" si="913">SUM(U154,U157,U160,U163,U166,U169,U172,U175,U178,U181,U184,U187,U190,U193,U196,U199,U202,U205,U208,U211,U214,U220,U223,U226,U229,U232,U235,U238)</f>
        <v>5573713.988361001</v>
      </c>
      <c r="V239" s="767">
        <f t="shared" ref="V239" si="914">SUM(V154,V157,V160,V163,V166,V169,V172,V175,V178,V181,V184,V187,V190,V193,V196,V199,V202,V205,V208,V211,V214,V220,V223,V226,V229,V232,V235,V238)</f>
        <v>5776459.7885564165</v>
      </c>
      <c r="W239" s="767">
        <f t="shared" ref="W239" si="915">SUM(W154,W157,W160,W163,W166,W169,W172,W175,W178,W181,W184,W187,W190,W193,W196,W199,W202,W205,W208,W211,W214,W220,W223,W226,W229,W232,W235,W238)</f>
        <v>5891422.3480284773</v>
      </c>
      <c r="X239" s="767">
        <f t="shared" ref="X239" si="916">SUM(X154,X157,X160,X163,X166,X169,X172,X175,X178,X181,X184,X187,X190,X193,X196,X199,X202,X205,X208,X211,X214,X220,X223,X226,X229,X232,X235,X238)</f>
        <v>6005832.7619584631</v>
      </c>
      <c r="Y239" s="767">
        <f t="shared" ref="Y239" si="917">SUM(Y154,Y157,Y160,Y163,Y166,Y169,Y172,Y175,Y178,Y181,Y184,Y187,Y190,Y193,Y196,Y199,Y202,Y205,Y208,Y211,Y214,Y220,Y223,Y226,Y229,Y232,Y235,Y238)</f>
        <v>6123445.4070481015</v>
      </c>
      <c r="Z239" s="767">
        <f t="shared" ref="Z239" si="918">SUM(Z154,Z157,Z160,Z163,Z166,Z169,Z172,Z175,Z178,Z181,Z184,Z187,Z190,Z193,Z196,Z199,Z202,Z205,Z208,Z211,Z214,Z220,Z223,Z226,Z229,Z232,Z235,Z238)</f>
        <v>6244841.4141196935</v>
      </c>
      <c r="AA239" s="767">
        <f t="shared" ref="AA239" si="919">SUM(AA154,AA157,AA160,AA163,AA166,AA169,AA172,AA175,AA178,AA181,AA184,AA187,AA190,AA193,AA196,AA199,AA202,AA205,AA208,AA211,AA214,AA220,AA223,AA226,AA229,AA232,AA235,AA238)</f>
        <v>6370468.7661780035</v>
      </c>
      <c r="AB239" s="767">
        <f t="shared" ref="AB239" si="920">SUM(AB154,AB157,AB160,AB163,AB166,AB169,AB172,AB175,AB178,AB181,AB184,AB187,AB190,AB193,AB196,AB199,AB202,AB205,AB208,AB211,AB214,AB220,AB223,AB226,AB229,AB232,AB235,AB238)</f>
        <v>6501089.9515100401</v>
      </c>
      <c r="AC239" s="767">
        <f t="shared" ref="AC239" si="921">SUM(AC154,AC157,AC160,AC163,AC166,AC169,AC172,AC175,AC178,AC181,AC184,AC187,AC190,AC193,AC196,AC199,AC202,AC205,AC208,AC211,AC214,AC220,AC223,AC226,AC229,AC232,AC235,AC238)</f>
        <v>6637332.551317119</v>
      </c>
      <c r="AD239" s="767">
        <f t="shared" ref="AD239" si="922">SUM(AD154,AD157,AD160,AD163,AD166,AD169,AD172,AD175,AD178,AD181,AD184,AD187,AD190,AD193,AD196,AD199,AD202,AD205,AD208,AD211,AD214,AD220,AD223,AD226,AD229,AD232,AD235,AD238)</f>
        <v>6780067.8452989506</v>
      </c>
      <c r="AE239" s="767">
        <f t="shared" ref="AE239" si="923">SUM(AE154,AE157,AE160,AE163,AE166,AE169,AE172,AE175,AE178,AE181,AE184,AE187,AE190,AE193,AE196,AE199,AE202,AE205,AE208,AE211,AE214,AE220,AE223,AE226,AE229,AE232,AE235,AE238)</f>
        <v>6930320.6330670621</v>
      </c>
      <c r="AF239" s="767">
        <f t="shared" ref="AF239" si="924">SUM(AF154,AF157,AF160,AF163,AF166,AF169,AF172,AF175,AF178,AF181,AF184,AF187,AF190,AF193,AF196,AF199,AF202,AF205,AF208,AF211,AF214,AF220,AF223,AF226,AF229,AF232,AF235,AF238)</f>
        <v>7089089.7975808242</v>
      </c>
      <c r="AG239" s="767">
        <f t="shared" ref="AG239" si="925">SUM(AG154,AG157,AG160,AG163,AG166,AG169,AG172,AG175,AG178,AG181,AG184,AG187,AG190,AG193,AG196,AG199,AG202,AG205,AG208,AG211,AG214,AG220,AG223,AG226,AG229,AG232,AG235,AG238)</f>
        <v>7257521.7220850969</v>
      </c>
      <c r="AH239" s="768">
        <f t="shared" ref="AH239" si="926">SUM(AH154,AH157,AH160,AH163,AH166,AH169,AH172,AH175,AH178,AH181,AH184,AH187,AH190,AH193,AH196,AH199,AH202,AH205,AH208,AH211,AH214,AH220,AH223,AH226,AH229,AH232,AH235,AH238)</f>
        <v>7437139.3801771076</v>
      </c>
      <c r="AI239" s="18"/>
      <c r="AJ239" s="18"/>
      <c r="AK239" s="18"/>
      <c r="AL239" s="18"/>
      <c r="AM239" s="18"/>
      <c r="AN239" s="18"/>
    </row>
    <row r="240" spans="2:40" ht="21.95" customHeight="1" x14ac:dyDescent="0.2">
      <c r="B240" s="9"/>
      <c r="C240" s="715"/>
      <c r="D240" s="715"/>
      <c r="E240" s="116"/>
      <c r="F240" s="116"/>
      <c r="G240" s="116"/>
      <c r="H240" s="769"/>
      <c r="I240" s="769"/>
      <c r="J240" s="769"/>
      <c r="K240" s="769"/>
      <c r="L240" s="769"/>
      <c r="M240" s="769"/>
      <c r="N240" s="769"/>
      <c r="O240" s="769"/>
      <c r="P240" s="769"/>
      <c r="Q240" s="769"/>
      <c r="R240" s="769"/>
      <c r="S240" s="769"/>
      <c r="T240" s="769"/>
      <c r="U240" s="769"/>
      <c r="V240" s="769"/>
      <c r="W240" s="769"/>
      <c r="X240" s="769"/>
      <c r="Y240" s="769"/>
      <c r="Z240" s="769"/>
      <c r="AA240" s="769"/>
      <c r="AB240" s="769"/>
      <c r="AC240" s="769"/>
      <c r="AD240" s="769"/>
      <c r="AE240" s="769"/>
      <c r="AF240" s="769"/>
      <c r="AG240" s="769"/>
      <c r="AH240" s="769"/>
      <c r="AI240" s="18"/>
      <c r="AJ240" s="18"/>
      <c r="AK240" s="18"/>
      <c r="AL240" s="18"/>
      <c r="AM240" s="18"/>
      <c r="AN240" s="18"/>
    </row>
    <row r="241" spans="2:41" ht="21.95" customHeight="1" thickBot="1" x14ac:dyDescent="0.25">
      <c r="B241" s="9"/>
      <c r="C241" s="715"/>
      <c r="D241" s="715"/>
      <c r="E241" s="116"/>
      <c r="F241" s="116"/>
      <c r="G241" s="116"/>
      <c r="H241" s="769"/>
      <c r="I241" s="769"/>
      <c r="J241" s="769"/>
      <c r="K241" s="769"/>
      <c r="L241" s="769"/>
      <c r="M241" s="769"/>
      <c r="N241" s="769"/>
      <c r="O241" s="769"/>
      <c r="P241" s="769"/>
      <c r="Q241" s="769"/>
      <c r="R241" s="769"/>
      <c r="S241" s="769"/>
      <c r="T241" s="769"/>
      <c r="U241" s="769"/>
      <c r="V241" s="769"/>
      <c r="W241" s="769"/>
      <c r="X241" s="769"/>
      <c r="Y241" s="769"/>
      <c r="Z241" s="769"/>
      <c r="AA241" s="769"/>
      <c r="AB241" s="769"/>
      <c r="AC241" s="769"/>
      <c r="AD241" s="769"/>
      <c r="AE241" s="769"/>
      <c r="AF241" s="769"/>
      <c r="AG241" s="769"/>
      <c r="AH241" s="769"/>
      <c r="AI241" s="18"/>
      <c r="AJ241" s="18"/>
      <c r="AK241" s="18"/>
      <c r="AL241" s="18"/>
      <c r="AM241" s="18"/>
      <c r="AN241" s="18"/>
    </row>
    <row r="242" spans="2:41" s="7" customFormat="1" ht="21.95" customHeight="1" thickBot="1" x14ac:dyDescent="0.25">
      <c r="B242" s="234"/>
      <c r="C242" s="485" t="s">
        <v>2</v>
      </c>
      <c r="D242" s="485"/>
      <c r="E242" s="485" t="s">
        <v>328</v>
      </c>
      <c r="F242" s="1338" t="s">
        <v>18</v>
      </c>
      <c r="G242" s="1338"/>
      <c r="H242" s="485" t="s">
        <v>24</v>
      </c>
      <c r="I242" s="763">
        <v>2023</v>
      </c>
      <c r="J242" s="763">
        <v>2024</v>
      </c>
      <c r="K242" s="763">
        <v>2025</v>
      </c>
      <c r="L242" s="763">
        <v>2026</v>
      </c>
      <c r="M242" s="763">
        <v>2027</v>
      </c>
      <c r="N242" s="763">
        <v>2028</v>
      </c>
      <c r="O242" s="763">
        <v>2029</v>
      </c>
      <c r="P242" s="763">
        <v>2030</v>
      </c>
      <c r="Q242" s="763">
        <v>2031</v>
      </c>
      <c r="R242" s="763">
        <v>2032</v>
      </c>
      <c r="S242" s="763">
        <v>2033</v>
      </c>
      <c r="T242" s="763">
        <v>2034</v>
      </c>
      <c r="U242" s="763">
        <v>2035</v>
      </c>
      <c r="V242" s="763">
        <v>2036</v>
      </c>
      <c r="W242" s="763">
        <v>2037</v>
      </c>
      <c r="X242" s="763">
        <v>2038</v>
      </c>
      <c r="Y242" s="763">
        <v>2039</v>
      </c>
      <c r="Z242" s="763">
        <v>2040</v>
      </c>
      <c r="AA242" s="763">
        <v>2041</v>
      </c>
      <c r="AB242" s="763">
        <v>2042</v>
      </c>
      <c r="AC242" s="763">
        <v>2043</v>
      </c>
      <c r="AD242" s="763">
        <v>2044</v>
      </c>
      <c r="AE242" s="763">
        <v>2045</v>
      </c>
      <c r="AF242" s="763">
        <v>2046</v>
      </c>
      <c r="AG242" s="763">
        <v>2047</v>
      </c>
      <c r="AH242" s="762">
        <v>2048</v>
      </c>
      <c r="AI242" s="484"/>
      <c r="AJ242" s="484"/>
      <c r="AK242" s="484"/>
      <c r="AL242" s="484"/>
      <c r="AM242" s="484"/>
      <c r="AN242" s="484"/>
      <c r="AO242" s="484"/>
    </row>
    <row r="243" spans="2:41" ht="21.95" customHeight="1" x14ac:dyDescent="0.2">
      <c r="B243" s="199" t="s">
        <v>131</v>
      </c>
      <c r="C243" s="116" t="str">
        <f>baseYear &amp; "$"</f>
        <v>2021$</v>
      </c>
      <c r="D243" s="240" t="s">
        <v>23</v>
      </c>
      <c r="E243" s="1339" t="s">
        <v>331</v>
      </c>
      <c r="F243" s="116" t="s">
        <v>332</v>
      </c>
      <c r="G243" s="116" t="s">
        <v>282</v>
      </c>
      <c r="H243" s="116" t="s">
        <v>20</v>
      </c>
      <c r="I243" s="577">
        <f t="shared" ref="I243:AH243" si="927">I152*$D$13</f>
        <v>53386.425334065985</v>
      </c>
      <c r="J243" s="577">
        <f t="shared" si="927"/>
        <v>55842.596098448288</v>
      </c>
      <c r="K243" s="577">
        <f t="shared" si="927"/>
        <v>59291.677856317045</v>
      </c>
      <c r="L243" s="577">
        <f t="shared" si="927"/>
        <v>64351.679630799299</v>
      </c>
      <c r="M243" s="577">
        <f t="shared" si="927"/>
        <v>69414.08735327865</v>
      </c>
      <c r="N243" s="577">
        <f t="shared" si="927"/>
        <v>74477.784292003256</v>
      </c>
      <c r="O243" s="577">
        <f t="shared" si="927"/>
        <v>79541.58288735032</v>
      </c>
      <c r="P243" s="577">
        <f t="shared" si="927"/>
        <v>84613.01596099748</v>
      </c>
      <c r="Q243" s="577">
        <f t="shared" si="927"/>
        <v>89631.091751363405</v>
      </c>
      <c r="R243" s="577">
        <f t="shared" si="927"/>
        <v>94660.948335955414</v>
      </c>
      <c r="S243" s="577">
        <f t="shared" si="927"/>
        <v>99707.337239759363</v>
      </c>
      <c r="T243" s="577">
        <f t="shared" si="927"/>
        <v>104781.56787319072</v>
      </c>
      <c r="U243" s="577">
        <f t="shared" si="927"/>
        <v>109903.13362275323</v>
      </c>
      <c r="V243" s="577">
        <f t="shared" si="927"/>
        <v>113406.96392073933</v>
      </c>
      <c r="W243" s="577">
        <f t="shared" si="927"/>
        <v>115968.76208584695</v>
      </c>
      <c r="X243" s="577">
        <f t="shared" si="927"/>
        <v>118555.60361438061</v>
      </c>
      <c r="Y243" s="577">
        <f t="shared" si="927"/>
        <v>121172.70871394024</v>
      </c>
      <c r="Z243" s="577">
        <f t="shared" si="927"/>
        <v>123827.33269362384</v>
      </c>
      <c r="AA243" s="577">
        <f t="shared" si="927"/>
        <v>126524.57315368854</v>
      </c>
      <c r="AB243" s="577">
        <f t="shared" si="927"/>
        <v>129275.15258688631</v>
      </c>
      <c r="AC243" s="577">
        <f t="shared" si="927"/>
        <v>132086.79503004492</v>
      </c>
      <c r="AD243" s="577">
        <f t="shared" si="927"/>
        <v>134972.2270789411</v>
      </c>
      <c r="AE243" s="577">
        <f t="shared" si="927"/>
        <v>137946.18854806284</v>
      </c>
      <c r="AF243" s="577">
        <f t="shared" si="927"/>
        <v>141021.92576529397</v>
      </c>
      <c r="AG243" s="577">
        <f t="shared" si="927"/>
        <v>144218.74649557006</v>
      </c>
      <c r="AH243" s="752">
        <f t="shared" si="927"/>
        <v>147558.93809773342</v>
      </c>
      <c r="AI243" s="18"/>
      <c r="AJ243" s="18"/>
      <c r="AK243" s="18"/>
      <c r="AL243" s="18"/>
      <c r="AM243" s="18"/>
      <c r="AN243" s="18"/>
    </row>
    <row r="244" spans="2:41" ht="21.95" customHeight="1" x14ac:dyDescent="0.2">
      <c r="B244" s="486" t="s">
        <v>134</v>
      </c>
      <c r="C244" s="715"/>
      <c r="D244" s="240"/>
      <c r="E244" s="1339"/>
      <c r="F244" s="116"/>
      <c r="G244" s="116"/>
      <c r="H244" s="124" t="s">
        <v>19</v>
      </c>
      <c r="I244" s="577">
        <f t="shared" ref="I244:AH244" si="928">I153*$D$14</f>
        <v>195332.02565505099</v>
      </c>
      <c r="J244" s="577">
        <f t="shared" si="928"/>
        <v>204318.74480246255</v>
      </c>
      <c r="K244" s="577">
        <f t="shared" si="928"/>
        <v>216938.35966145722</v>
      </c>
      <c r="L244" s="577">
        <f t="shared" si="928"/>
        <v>235452.06216622263</v>
      </c>
      <c r="M244" s="577">
        <f t="shared" si="928"/>
        <v>253974.56763340702</v>
      </c>
      <c r="N244" s="577">
        <f t="shared" si="928"/>
        <v>272501.79012779659</v>
      </c>
      <c r="O244" s="577">
        <f t="shared" si="928"/>
        <v>291029.38456681179</v>
      </c>
      <c r="P244" s="577">
        <f t="shared" si="928"/>
        <v>309584.91228852666</v>
      </c>
      <c r="Q244" s="577">
        <f t="shared" si="928"/>
        <v>327945.214610497</v>
      </c>
      <c r="R244" s="577">
        <f t="shared" si="928"/>
        <v>346348.62089355115</v>
      </c>
      <c r="S244" s="577">
        <f t="shared" si="928"/>
        <v>364812.51617507718</v>
      </c>
      <c r="T244" s="577">
        <f t="shared" si="928"/>
        <v>383378.27970142057</v>
      </c>
      <c r="U244" s="577">
        <f t="shared" si="928"/>
        <v>402117.23452237976</v>
      </c>
      <c r="V244" s="577">
        <f t="shared" si="928"/>
        <v>414937.16515782621</v>
      </c>
      <c r="W244" s="577">
        <f t="shared" si="928"/>
        <v>424310.35734626354</v>
      </c>
      <c r="X244" s="577">
        <f t="shared" si="928"/>
        <v>433775.17902434396</v>
      </c>
      <c r="Y244" s="577">
        <f t="shared" si="928"/>
        <v>443350.73006096575</v>
      </c>
      <c r="Z244" s="577">
        <f t="shared" si="928"/>
        <v>453063.55642196193</v>
      </c>
      <c r="AA244" s="577">
        <f t="shared" si="928"/>
        <v>462932.30937641405</v>
      </c>
      <c r="AB244" s="577">
        <f t="shared" si="928"/>
        <v>472996.22073683247</v>
      </c>
      <c r="AC244" s="577">
        <f t="shared" si="928"/>
        <v>483283.55146563187</v>
      </c>
      <c r="AD244" s="577">
        <f t="shared" si="928"/>
        <v>493840.86605401378</v>
      </c>
      <c r="AE244" s="577">
        <f t="shared" si="928"/>
        <v>504722.09502464766</v>
      </c>
      <c r="AF244" s="577">
        <f t="shared" si="928"/>
        <v>515975.70448182581</v>
      </c>
      <c r="AG244" s="577">
        <f t="shared" si="928"/>
        <v>527672.33831698983</v>
      </c>
      <c r="AH244" s="752">
        <f t="shared" si="928"/>
        <v>539893.54225870094</v>
      </c>
      <c r="AI244" s="18"/>
      <c r="AJ244" s="18"/>
      <c r="AK244" s="18"/>
      <c r="AL244" s="18"/>
      <c r="AM244" s="18"/>
      <c r="AN244" s="18"/>
    </row>
    <row r="245" spans="2:41" ht="21.95" customHeight="1" x14ac:dyDescent="0.2">
      <c r="B245" s="199"/>
      <c r="C245" s="116"/>
      <c r="D245" s="240"/>
      <c r="E245" s="1339"/>
      <c r="F245" s="116"/>
      <c r="G245" s="116"/>
      <c r="H245" s="720" t="s">
        <v>25</v>
      </c>
      <c r="I245" s="577">
        <f t="shared" ref="I245:AH245" si="929">SUM(I243:I244)</f>
        <v>248718.45098911697</v>
      </c>
      <c r="J245" s="577">
        <f t="shared" si="929"/>
        <v>260161.34090091084</v>
      </c>
      <c r="K245" s="577">
        <f t="shared" si="929"/>
        <v>276230.03751777427</v>
      </c>
      <c r="L245" s="577">
        <f t="shared" si="929"/>
        <v>299803.74179702194</v>
      </c>
      <c r="M245" s="577">
        <f t="shared" si="929"/>
        <v>323388.65498668567</v>
      </c>
      <c r="N245" s="577">
        <f t="shared" si="929"/>
        <v>346979.57441979984</v>
      </c>
      <c r="O245" s="577">
        <f t="shared" si="929"/>
        <v>370570.96745416208</v>
      </c>
      <c r="P245" s="577">
        <f t="shared" si="929"/>
        <v>394197.92824952415</v>
      </c>
      <c r="Q245" s="577">
        <f t="shared" si="929"/>
        <v>417576.30636186042</v>
      </c>
      <c r="R245" s="577">
        <f t="shared" si="929"/>
        <v>441009.56922950654</v>
      </c>
      <c r="S245" s="577">
        <f t="shared" si="929"/>
        <v>464519.85341483657</v>
      </c>
      <c r="T245" s="577">
        <f t="shared" si="929"/>
        <v>488159.84757461131</v>
      </c>
      <c r="U245" s="577">
        <f t="shared" si="929"/>
        <v>512020.36814513302</v>
      </c>
      <c r="V245" s="577">
        <f t="shared" si="929"/>
        <v>528344.12907856551</v>
      </c>
      <c r="W245" s="577">
        <f t="shared" si="929"/>
        <v>540279.11943211046</v>
      </c>
      <c r="X245" s="577">
        <f t="shared" si="929"/>
        <v>552330.78263872454</v>
      </c>
      <c r="Y245" s="577">
        <f t="shared" si="929"/>
        <v>564523.43877490598</v>
      </c>
      <c r="Z245" s="577">
        <f t="shared" si="929"/>
        <v>576890.88911558571</v>
      </c>
      <c r="AA245" s="577">
        <f t="shared" si="929"/>
        <v>589456.88253010262</v>
      </c>
      <c r="AB245" s="577">
        <f t="shared" si="929"/>
        <v>602271.37332371878</v>
      </c>
      <c r="AC245" s="577">
        <f t="shared" si="929"/>
        <v>615370.34649567679</v>
      </c>
      <c r="AD245" s="577">
        <f t="shared" si="929"/>
        <v>628813.09313295491</v>
      </c>
      <c r="AE245" s="577">
        <f t="shared" si="929"/>
        <v>642668.28357271047</v>
      </c>
      <c r="AF245" s="577">
        <f t="shared" si="929"/>
        <v>656997.63024711981</v>
      </c>
      <c r="AG245" s="577">
        <f t="shared" si="929"/>
        <v>671891.08481255989</v>
      </c>
      <c r="AH245" s="752">
        <f t="shared" si="929"/>
        <v>687452.48035643436</v>
      </c>
      <c r="AI245" s="18"/>
      <c r="AJ245" s="18"/>
      <c r="AK245" s="18"/>
      <c r="AL245" s="18"/>
      <c r="AM245" s="18"/>
      <c r="AN245" s="18"/>
    </row>
    <row r="246" spans="2:41" ht="21.95" customHeight="1" x14ac:dyDescent="0.2">
      <c r="B246" s="197"/>
      <c r="C246" s="715"/>
      <c r="D246" s="715"/>
      <c r="E246" s="1339"/>
      <c r="F246" s="116" t="s">
        <v>282</v>
      </c>
      <c r="G246" s="116" t="s">
        <v>280</v>
      </c>
      <c r="H246" s="116" t="s">
        <v>20</v>
      </c>
      <c r="I246" s="577">
        <f t="shared" ref="I246:AH246" si="930">I155*$D$13</f>
        <v>1716656.6237270597</v>
      </c>
      <c r="J246" s="577">
        <f t="shared" si="930"/>
        <v>1811753.5019904659</v>
      </c>
      <c r="K246" s="577">
        <f t="shared" si="930"/>
        <v>1922033.7648928259</v>
      </c>
      <c r="L246" s="577">
        <f t="shared" si="930"/>
        <v>2127814.3082996011</v>
      </c>
      <c r="M246" s="577">
        <f t="shared" si="930"/>
        <v>2333678.1799382619</v>
      </c>
      <c r="N246" s="577">
        <f t="shared" si="930"/>
        <v>2539596.2021911256</v>
      </c>
      <c r="O246" s="577">
        <f t="shared" si="930"/>
        <v>2745433.7372048525</v>
      </c>
      <c r="P246" s="577">
        <f t="shared" si="930"/>
        <v>2951536.6450977642</v>
      </c>
      <c r="Q246" s="577">
        <f t="shared" si="930"/>
        <v>3196026.0219727871</v>
      </c>
      <c r="R246" s="577">
        <f t="shared" si="930"/>
        <v>3440962.0927305589</v>
      </c>
      <c r="S246" s="577">
        <f t="shared" si="930"/>
        <v>3686555.1257626642</v>
      </c>
      <c r="T246" s="577">
        <f t="shared" si="930"/>
        <v>3933490.743345493</v>
      </c>
      <c r="U246" s="577">
        <f t="shared" si="930"/>
        <v>4183059.3499204316</v>
      </c>
      <c r="V246" s="577">
        <f t="shared" si="930"/>
        <v>4336599.5529896729</v>
      </c>
      <c r="W246" s="577">
        <f t="shared" si="930"/>
        <v>4435930.1567196567</v>
      </c>
      <c r="X246" s="577">
        <f t="shared" si="930"/>
        <v>4536277.8109967681</v>
      </c>
      <c r="Y246" s="577">
        <f t="shared" si="930"/>
        <v>4637857.3736169646</v>
      </c>
      <c r="Z246" s="577">
        <f t="shared" si="930"/>
        <v>4740992.5818590512</v>
      </c>
      <c r="AA246" s="577">
        <f t="shared" si="930"/>
        <v>4845845.6982100727</v>
      </c>
      <c r="AB246" s="577">
        <f t="shared" si="930"/>
        <v>4952910.0104655111</v>
      </c>
      <c r="AC246" s="577">
        <f t="shared" si="930"/>
        <v>5062455.8316892684</v>
      </c>
      <c r="AD246" s="577">
        <f t="shared" si="930"/>
        <v>5175036.585484785</v>
      </c>
      <c r="AE246" s="577">
        <f t="shared" si="930"/>
        <v>5291293.431193498</v>
      </c>
      <c r="AF246" s="577">
        <f t="shared" si="930"/>
        <v>5411724.2800942026</v>
      </c>
      <c r="AG246" s="577">
        <f t="shared" si="930"/>
        <v>5537161.7615872258</v>
      </c>
      <c r="AH246" s="752">
        <f t="shared" si="930"/>
        <v>5668569.4023899613</v>
      </c>
      <c r="AI246" s="18"/>
      <c r="AJ246" s="18"/>
      <c r="AK246" s="18"/>
      <c r="AL246" s="18"/>
      <c r="AM246" s="18"/>
      <c r="AN246" s="18"/>
    </row>
    <row r="247" spans="2:41" ht="21.95" customHeight="1" x14ac:dyDescent="0.2">
      <c r="B247" s="486"/>
      <c r="C247" s="715"/>
      <c r="D247" s="715"/>
      <c r="E247" s="1339"/>
      <c r="F247" s="116"/>
      <c r="G247" s="116"/>
      <c r="H247" s="124" t="s">
        <v>19</v>
      </c>
      <c r="I247" s="577">
        <f t="shared" ref="I247:AH247" si="931">I156*$D$14</f>
        <v>6280960.254755998</v>
      </c>
      <c r="J247" s="577">
        <f t="shared" si="931"/>
        <v>6628903.8705427237</v>
      </c>
      <c r="K247" s="577">
        <f t="shared" si="931"/>
        <v>7032400.958195528</v>
      </c>
      <c r="L247" s="577">
        <f t="shared" si="931"/>
        <v>7785317.6431490285</v>
      </c>
      <c r="M247" s="577">
        <f t="shared" si="931"/>
        <v>8538539.2122041844</v>
      </c>
      <c r="N247" s="577">
        <f t="shared" si="931"/>
        <v>9291958.9093246013</v>
      </c>
      <c r="O247" s="577">
        <f t="shared" si="931"/>
        <v>10045084.117061965</v>
      </c>
      <c r="P247" s="577">
        <f t="shared" si="931"/>
        <v>10799180.279901132</v>
      </c>
      <c r="Q247" s="577">
        <f t="shared" si="931"/>
        <v>11693726.130036291</v>
      </c>
      <c r="R247" s="577">
        <f t="shared" si="931"/>
        <v>12589906.358581679</v>
      </c>
      <c r="S247" s="577">
        <f t="shared" si="931"/>
        <v>13488490.302510172</v>
      </c>
      <c r="T247" s="577">
        <f t="shared" si="931"/>
        <v>14391986.539372025</v>
      </c>
      <c r="U247" s="577">
        <f t="shared" si="931"/>
        <v>15305116.443783974</v>
      </c>
      <c r="V247" s="577">
        <f t="shared" si="931"/>
        <v>15866894.436922338</v>
      </c>
      <c r="W247" s="577">
        <f t="shared" si="931"/>
        <v>16230328.548022788</v>
      </c>
      <c r="X247" s="577">
        <f t="shared" si="931"/>
        <v>16597483.877435215</v>
      </c>
      <c r="Y247" s="577">
        <f t="shared" si="931"/>
        <v>16969146.553997602</v>
      </c>
      <c r="Z247" s="577">
        <f t="shared" si="931"/>
        <v>17346501.078415021</v>
      </c>
      <c r="AA247" s="577">
        <f t="shared" si="931"/>
        <v>17730141.142062817</v>
      </c>
      <c r="AB247" s="577">
        <f t="shared" si="931"/>
        <v>18121871.602706254</v>
      </c>
      <c r="AC247" s="577">
        <f t="shared" si="931"/>
        <v>18522681.490758982</v>
      </c>
      <c r="AD247" s="577">
        <f t="shared" si="931"/>
        <v>18934595.690877162</v>
      </c>
      <c r="AE247" s="577">
        <f t="shared" si="931"/>
        <v>19359960.098148301</v>
      </c>
      <c r="AF247" s="577">
        <f t="shared" si="931"/>
        <v>19800596.486891892</v>
      </c>
      <c r="AG247" s="577">
        <f t="shared" si="931"/>
        <v>20259551.309204467</v>
      </c>
      <c r="AH247" s="752">
        <f t="shared" si="931"/>
        <v>20740349.948632587</v>
      </c>
      <c r="AI247" s="18"/>
      <c r="AJ247" s="18"/>
      <c r="AK247" s="18"/>
      <c r="AL247" s="18"/>
      <c r="AM247" s="18"/>
      <c r="AN247" s="18"/>
    </row>
    <row r="248" spans="2:41" ht="21.95" customHeight="1" x14ac:dyDescent="0.2">
      <c r="B248" s="486"/>
      <c r="C248" s="715"/>
      <c r="D248" s="715"/>
      <c r="E248" s="1339"/>
      <c r="F248" s="116"/>
      <c r="G248" s="116"/>
      <c r="H248" s="720" t="s">
        <v>25</v>
      </c>
      <c r="I248" s="577">
        <f t="shared" ref="I248" si="932">SUM(I246:I247)</f>
        <v>7997616.878483058</v>
      </c>
      <c r="J248" s="577">
        <f t="shared" ref="J248:AH248" si="933">SUM(J246:J247)</f>
        <v>8440657.3725331891</v>
      </c>
      <c r="K248" s="577">
        <f t="shared" si="933"/>
        <v>8954434.7230883539</v>
      </c>
      <c r="L248" s="577">
        <f t="shared" si="933"/>
        <v>9913131.9514486305</v>
      </c>
      <c r="M248" s="577">
        <f t="shared" si="933"/>
        <v>10872217.392142447</v>
      </c>
      <c r="N248" s="577">
        <f t="shared" si="933"/>
        <v>11831555.111515727</v>
      </c>
      <c r="O248" s="577">
        <f t="shared" si="933"/>
        <v>12790517.854266819</v>
      </c>
      <c r="P248" s="577">
        <f t="shared" si="933"/>
        <v>13750716.924998896</v>
      </c>
      <c r="Q248" s="577">
        <f t="shared" si="933"/>
        <v>14889752.152009077</v>
      </c>
      <c r="R248" s="577">
        <f t="shared" si="933"/>
        <v>16030868.451312238</v>
      </c>
      <c r="S248" s="577">
        <f t="shared" si="933"/>
        <v>17175045.428272836</v>
      </c>
      <c r="T248" s="577">
        <f t="shared" si="933"/>
        <v>18325477.282717519</v>
      </c>
      <c r="U248" s="577">
        <f t="shared" si="933"/>
        <v>19488175.793704405</v>
      </c>
      <c r="V248" s="577">
        <f t="shared" si="933"/>
        <v>20203493.989912011</v>
      </c>
      <c r="W248" s="577">
        <f t="shared" si="933"/>
        <v>20666258.704742447</v>
      </c>
      <c r="X248" s="577">
        <f t="shared" si="933"/>
        <v>21133761.688431982</v>
      </c>
      <c r="Y248" s="577">
        <f t="shared" si="933"/>
        <v>21607003.927614566</v>
      </c>
      <c r="Z248" s="577">
        <f t="shared" si="933"/>
        <v>22087493.660274073</v>
      </c>
      <c r="AA248" s="577">
        <f t="shared" si="933"/>
        <v>22575986.840272889</v>
      </c>
      <c r="AB248" s="577">
        <f t="shared" si="933"/>
        <v>23074781.613171764</v>
      </c>
      <c r="AC248" s="577">
        <f t="shared" si="933"/>
        <v>23585137.32244825</v>
      </c>
      <c r="AD248" s="577">
        <f t="shared" si="933"/>
        <v>24109632.276361946</v>
      </c>
      <c r="AE248" s="577">
        <f t="shared" si="933"/>
        <v>24651253.529341798</v>
      </c>
      <c r="AF248" s="577">
        <f t="shared" si="933"/>
        <v>25212320.766986094</v>
      </c>
      <c r="AG248" s="577">
        <f t="shared" si="933"/>
        <v>25796713.070791692</v>
      </c>
      <c r="AH248" s="752">
        <f t="shared" si="933"/>
        <v>26408919.351022549</v>
      </c>
      <c r="AI248" s="18"/>
      <c r="AJ248" s="18"/>
      <c r="AK248" s="18"/>
      <c r="AL248" s="18"/>
      <c r="AM248" s="18"/>
      <c r="AN248" s="18"/>
    </row>
    <row r="249" spans="2:41" ht="21.95" customHeight="1" x14ac:dyDescent="0.2">
      <c r="B249" s="486"/>
      <c r="C249" s="715"/>
      <c r="D249" s="715"/>
      <c r="E249" s="1339"/>
      <c r="F249" s="116" t="s">
        <v>280</v>
      </c>
      <c r="G249" s="116" t="s">
        <v>333</v>
      </c>
      <c r="H249" s="116" t="s">
        <v>20</v>
      </c>
      <c r="I249" s="577">
        <f t="shared" ref="I249:AH249" si="934">I158*$D$13</f>
        <v>40039.745695127356</v>
      </c>
      <c r="J249" s="577">
        <f t="shared" si="934"/>
        <v>41711.7410458499</v>
      </c>
      <c r="K249" s="577">
        <f t="shared" si="934"/>
        <v>43781.133168729248</v>
      </c>
      <c r="L249" s="577">
        <f t="shared" si="934"/>
        <v>46567.24318500339</v>
      </c>
      <c r="M249" s="577">
        <f t="shared" si="934"/>
        <v>49354.363470681121</v>
      </c>
      <c r="N249" s="577">
        <f t="shared" si="934"/>
        <v>52141.165696356438</v>
      </c>
      <c r="O249" s="577">
        <f t="shared" si="934"/>
        <v>54927.326109251349</v>
      </c>
      <c r="P249" s="577">
        <f t="shared" si="934"/>
        <v>57715.529308834579</v>
      </c>
      <c r="Q249" s="577">
        <f t="shared" si="934"/>
        <v>60417.036872996177</v>
      </c>
      <c r="R249" s="577">
        <f t="shared" si="934"/>
        <v>63119.635426134017</v>
      </c>
      <c r="S249" s="577">
        <f t="shared" si="934"/>
        <v>65821.36603958589</v>
      </c>
      <c r="T249" s="577">
        <f t="shared" si="934"/>
        <v>68523.290601675617</v>
      </c>
      <c r="U249" s="577">
        <f t="shared" si="934"/>
        <v>71227.496244456619</v>
      </c>
      <c r="V249" s="577">
        <f t="shared" si="934"/>
        <v>73212.002694642695</v>
      </c>
      <c r="W249" s="577">
        <f t="shared" si="934"/>
        <v>74884.937256083314</v>
      </c>
      <c r="X249" s="577">
        <f t="shared" si="934"/>
        <v>76558.107322047537</v>
      </c>
      <c r="Y249" s="577">
        <f t="shared" si="934"/>
        <v>78231.564639066288</v>
      </c>
      <c r="Z249" s="577">
        <f t="shared" si="934"/>
        <v>79906.038954402451</v>
      </c>
      <c r="AA249" s="577">
        <f t="shared" si="934"/>
        <v>81580.267285703187</v>
      </c>
      <c r="AB249" s="577">
        <f t="shared" si="934"/>
        <v>83255.672563284301</v>
      </c>
      <c r="AC249" s="577">
        <f t="shared" si="934"/>
        <v>84931.019775614186</v>
      </c>
      <c r="AD249" s="577">
        <f t="shared" si="934"/>
        <v>86607.096779087704</v>
      </c>
      <c r="AE249" s="577">
        <f t="shared" si="934"/>
        <v>88284.712994633897</v>
      </c>
      <c r="AF249" s="577">
        <f t="shared" si="934"/>
        <v>89962.693147808051</v>
      </c>
      <c r="AG249" s="577">
        <f t="shared" si="934"/>
        <v>91641.896353342439</v>
      </c>
      <c r="AH249" s="752">
        <f t="shared" si="934"/>
        <v>93323.214156796836</v>
      </c>
      <c r="AI249" s="18"/>
      <c r="AJ249" s="18"/>
      <c r="AK249" s="18"/>
      <c r="AL249" s="18"/>
      <c r="AM249" s="18"/>
      <c r="AN249" s="18"/>
    </row>
    <row r="250" spans="2:41" ht="21.95" customHeight="1" x14ac:dyDescent="0.2">
      <c r="B250" s="486"/>
      <c r="C250" s="715"/>
      <c r="D250" s="715"/>
      <c r="E250" s="1339"/>
      <c r="F250" s="116"/>
      <c r="G250" s="116"/>
      <c r="H250" s="124" t="s">
        <v>19</v>
      </c>
      <c r="I250" s="577">
        <f t="shared" ref="I250:AH250" si="935">I159*$D$14</f>
        <v>146498.75102897573</v>
      </c>
      <c r="J250" s="577">
        <f t="shared" si="935"/>
        <v>152616.30313512991</v>
      </c>
      <c r="K250" s="577">
        <f t="shared" si="935"/>
        <v>160187.86374641323</v>
      </c>
      <c r="L250" s="577">
        <f t="shared" si="935"/>
        <v>170381.77558394897</v>
      </c>
      <c r="M250" s="577">
        <f t="shared" si="935"/>
        <v>180579.3838287236</v>
      </c>
      <c r="N250" s="577">
        <f t="shared" si="935"/>
        <v>190775.82834500051</v>
      </c>
      <c r="O250" s="577">
        <f t="shared" si="935"/>
        <v>200969.92457536573</v>
      </c>
      <c r="P250" s="577">
        <f t="shared" si="935"/>
        <v>211171.49502149483</v>
      </c>
      <c r="Q250" s="577">
        <f t="shared" si="935"/>
        <v>221055.86059810163</v>
      </c>
      <c r="R250" s="577">
        <f t="shared" si="935"/>
        <v>230944.21792139977</v>
      </c>
      <c r="S250" s="577">
        <f t="shared" si="935"/>
        <v>240829.39959815587</v>
      </c>
      <c r="T250" s="577">
        <f t="shared" si="935"/>
        <v>250715.29090062805</v>
      </c>
      <c r="U250" s="577">
        <f t="shared" si="935"/>
        <v>260609.52829687449</v>
      </c>
      <c r="V250" s="577">
        <f t="shared" si="935"/>
        <v>267870.50639036391</v>
      </c>
      <c r="W250" s="577">
        <f t="shared" si="935"/>
        <v>273991.49491187895</v>
      </c>
      <c r="X250" s="577">
        <f t="shared" si="935"/>
        <v>280113.34510516468</v>
      </c>
      <c r="Y250" s="577">
        <f t="shared" si="935"/>
        <v>286236.2463021467</v>
      </c>
      <c r="Z250" s="577">
        <f t="shared" si="935"/>
        <v>292362.86852634075</v>
      </c>
      <c r="AA250" s="577">
        <f t="shared" si="935"/>
        <v>298488.59073597833</v>
      </c>
      <c r="AB250" s="577">
        <f t="shared" si="935"/>
        <v>304618.61919574597</v>
      </c>
      <c r="AC250" s="577">
        <f t="shared" si="935"/>
        <v>310748.43520444439</v>
      </c>
      <c r="AD250" s="577">
        <f t="shared" si="935"/>
        <v>316880.92139721103</v>
      </c>
      <c r="AE250" s="577">
        <f t="shared" si="935"/>
        <v>323019.03931021731</v>
      </c>
      <c r="AF250" s="577">
        <f t="shared" si="935"/>
        <v>329158.48881030083</v>
      </c>
      <c r="AG250" s="577">
        <f t="shared" si="935"/>
        <v>335302.41325497028</v>
      </c>
      <c r="AH250" s="752">
        <f t="shared" si="935"/>
        <v>341454.07466072252</v>
      </c>
      <c r="AI250" s="18"/>
      <c r="AJ250" s="18"/>
      <c r="AK250" s="18"/>
      <c r="AL250" s="18"/>
      <c r="AM250" s="18"/>
      <c r="AN250" s="18"/>
    </row>
    <row r="251" spans="2:41" ht="21.95" customHeight="1" x14ac:dyDescent="0.2">
      <c r="B251" s="232"/>
      <c r="C251" s="715"/>
      <c r="D251" s="715"/>
      <c r="E251" s="1339"/>
      <c r="F251" s="116"/>
      <c r="G251" s="116"/>
      <c r="H251" s="721" t="s">
        <v>25</v>
      </c>
      <c r="I251" s="577">
        <f t="shared" ref="I251" si="936">SUM(I249:I250)</f>
        <v>186538.49672410308</v>
      </c>
      <c r="J251" s="577">
        <f t="shared" ref="J251:AH251" si="937">SUM(J249:J250)</f>
        <v>194328.04418097981</v>
      </c>
      <c r="K251" s="577">
        <f t="shared" si="937"/>
        <v>203968.99691514249</v>
      </c>
      <c r="L251" s="577">
        <f t="shared" si="937"/>
        <v>216949.01876895234</v>
      </c>
      <c r="M251" s="577">
        <f t="shared" si="937"/>
        <v>229933.74729940473</v>
      </c>
      <c r="N251" s="577">
        <f t="shared" si="937"/>
        <v>242916.99404135696</v>
      </c>
      <c r="O251" s="577">
        <f t="shared" si="937"/>
        <v>255897.25068461709</v>
      </c>
      <c r="P251" s="577">
        <f t="shared" si="937"/>
        <v>268887.02433032938</v>
      </c>
      <c r="Q251" s="577">
        <f t="shared" si="937"/>
        <v>281472.89747109782</v>
      </c>
      <c r="R251" s="577">
        <f t="shared" si="937"/>
        <v>294063.85334753379</v>
      </c>
      <c r="S251" s="577">
        <f t="shared" si="937"/>
        <v>306650.76563774177</v>
      </c>
      <c r="T251" s="577">
        <f t="shared" si="937"/>
        <v>319238.58150230366</v>
      </c>
      <c r="U251" s="577">
        <f t="shared" si="937"/>
        <v>331837.02454133111</v>
      </c>
      <c r="V251" s="577">
        <f t="shared" si="937"/>
        <v>341082.5090850066</v>
      </c>
      <c r="W251" s="577">
        <f t="shared" si="937"/>
        <v>348876.43216796225</v>
      </c>
      <c r="X251" s="577">
        <f t="shared" si="937"/>
        <v>356671.45242721221</v>
      </c>
      <c r="Y251" s="577">
        <f t="shared" si="937"/>
        <v>364467.81094121299</v>
      </c>
      <c r="Z251" s="577">
        <f t="shared" si="937"/>
        <v>372268.90748074319</v>
      </c>
      <c r="AA251" s="577">
        <f t="shared" si="937"/>
        <v>380068.85802168155</v>
      </c>
      <c r="AB251" s="577">
        <f t="shared" si="937"/>
        <v>387874.29175903025</v>
      </c>
      <c r="AC251" s="577">
        <f t="shared" si="937"/>
        <v>395679.4549800586</v>
      </c>
      <c r="AD251" s="577">
        <f t="shared" si="937"/>
        <v>403488.0181762987</v>
      </c>
      <c r="AE251" s="577">
        <f t="shared" si="937"/>
        <v>411303.75230485119</v>
      </c>
      <c r="AF251" s="577">
        <f t="shared" si="937"/>
        <v>419121.18195810891</v>
      </c>
      <c r="AG251" s="577">
        <f t="shared" si="937"/>
        <v>426944.30960831273</v>
      </c>
      <c r="AH251" s="752">
        <f t="shared" si="937"/>
        <v>434777.28881751932</v>
      </c>
      <c r="AI251" s="18"/>
      <c r="AJ251" s="18"/>
      <c r="AK251" s="18"/>
      <c r="AL251" s="18"/>
      <c r="AM251" s="18"/>
      <c r="AN251" s="18"/>
    </row>
    <row r="252" spans="2:41" ht="21.95" customHeight="1" x14ac:dyDescent="0.2">
      <c r="B252" s="232"/>
      <c r="C252" s="715"/>
      <c r="D252" s="715"/>
      <c r="E252" s="1340" t="s">
        <v>280</v>
      </c>
      <c r="F252" s="220" t="s">
        <v>281</v>
      </c>
      <c r="G252" s="220" t="s">
        <v>335</v>
      </c>
      <c r="H252" s="116" t="s">
        <v>20</v>
      </c>
      <c r="I252" s="577">
        <f t="shared" ref="I252:AH252" si="938">I161*$D$13</f>
        <v>399099.47108343022</v>
      </c>
      <c r="J252" s="577">
        <f t="shared" si="938"/>
        <v>442722.46565099608</v>
      </c>
      <c r="K252" s="577">
        <f t="shared" si="938"/>
        <v>488939.79780095228</v>
      </c>
      <c r="L252" s="577">
        <f t="shared" si="938"/>
        <v>636766.04468748381</v>
      </c>
      <c r="M252" s="577">
        <f t="shared" si="938"/>
        <v>828114.56384792738</v>
      </c>
      <c r="N252" s="577">
        <f t="shared" si="938"/>
        <v>1267565.1335130231</v>
      </c>
      <c r="O252" s="577">
        <f t="shared" si="938"/>
        <v>2776099.9571796339</v>
      </c>
      <c r="P252" s="577">
        <f t="shared" si="938"/>
        <v>3150077.7905788054</v>
      </c>
      <c r="Q252" s="577">
        <f t="shared" si="938"/>
        <v>3651986.1630260702</v>
      </c>
      <c r="R252" s="577">
        <f t="shared" si="938"/>
        <v>4154509.2044681949</v>
      </c>
      <c r="S252" s="577">
        <f t="shared" si="938"/>
        <v>4658180.4665254904</v>
      </c>
      <c r="T252" s="577">
        <f t="shared" si="938"/>
        <v>5166062.0374713344</v>
      </c>
      <c r="U252" s="577">
        <f t="shared" si="938"/>
        <v>5686046.870471607</v>
      </c>
      <c r="V252" s="577">
        <f t="shared" si="938"/>
        <v>5977576.7411160991</v>
      </c>
      <c r="W252" s="577">
        <f t="shared" si="938"/>
        <v>6130865.5885650171</v>
      </c>
      <c r="X252" s="577">
        <f t="shared" si="938"/>
        <v>6270360.8751312364</v>
      </c>
      <c r="Y252" s="577">
        <f t="shared" si="938"/>
        <v>6415119.9463358419</v>
      </c>
      <c r="Z252" s="577">
        <f t="shared" si="938"/>
        <v>6566299.3570229169</v>
      </c>
      <c r="AA252" s="577">
        <f t="shared" si="938"/>
        <v>6724715.2257236149</v>
      </c>
      <c r="AB252" s="577">
        <f t="shared" si="938"/>
        <v>6891918.8053342756</v>
      </c>
      <c r="AC252" s="577">
        <f t="shared" si="938"/>
        <v>7069186.8481399398</v>
      </c>
      <c r="AD252" s="577">
        <f t="shared" si="938"/>
        <v>7258253.8088553352</v>
      </c>
      <c r="AE252" s="577">
        <f t="shared" si="938"/>
        <v>7461383.0928016398</v>
      </c>
      <c r="AF252" s="577">
        <f t="shared" si="938"/>
        <v>7680620.0885932287</v>
      </c>
      <c r="AG252" s="577">
        <f t="shared" si="938"/>
        <v>7918452.6944786217</v>
      </c>
      <c r="AH252" s="752">
        <f t="shared" si="938"/>
        <v>8178188.5435845805</v>
      </c>
      <c r="AI252" s="18"/>
      <c r="AJ252" s="18"/>
      <c r="AK252" s="18"/>
      <c r="AL252" s="18"/>
      <c r="AM252" s="18"/>
      <c r="AN252" s="18"/>
    </row>
    <row r="253" spans="2:41" ht="21.95" customHeight="1" x14ac:dyDescent="0.2">
      <c r="B253" s="232"/>
      <c r="C253" s="715"/>
      <c r="D253" s="715"/>
      <c r="E253" s="1340"/>
      <c r="F253" s="116"/>
      <c r="G253" s="116"/>
      <c r="H253" s="124" t="s">
        <v>19</v>
      </c>
      <c r="I253" s="577">
        <f t="shared" ref="I253:AH253" si="939">I162*$D$14</f>
        <v>1647448.44733127</v>
      </c>
      <c r="J253" s="577">
        <f t="shared" si="939"/>
        <v>1827520.43407979</v>
      </c>
      <c r="K253" s="577">
        <f t="shared" si="939"/>
        <v>2018301.6242516057</v>
      </c>
      <c r="L253" s="577">
        <f t="shared" si="939"/>
        <v>2628515.7151069529</v>
      </c>
      <c r="M253" s="577">
        <f t="shared" si="939"/>
        <v>3418386.0197060579</v>
      </c>
      <c r="N253" s="577">
        <f t="shared" si="939"/>
        <v>5232400.347282704</v>
      </c>
      <c r="O253" s="577">
        <f t="shared" si="939"/>
        <v>11459502.944657935</v>
      </c>
      <c r="P253" s="577">
        <f t="shared" si="939"/>
        <v>13003251.42244277</v>
      </c>
      <c r="Q253" s="577">
        <f t="shared" si="939"/>
        <v>15075086.212516839</v>
      </c>
      <c r="R253" s="577">
        <f t="shared" si="939"/>
        <v>17149458.303576186</v>
      </c>
      <c r="S253" s="577">
        <f t="shared" si="939"/>
        <v>19228570.151028909</v>
      </c>
      <c r="T253" s="577">
        <f t="shared" si="939"/>
        <v>21325061.793103736</v>
      </c>
      <c r="U253" s="577">
        <f t="shared" si="939"/>
        <v>23471514.664706338</v>
      </c>
      <c r="V253" s="577">
        <f t="shared" si="939"/>
        <v>24674925.011104807</v>
      </c>
      <c r="W253" s="577">
        <f t="shared" si="939"/>
        <v>25307688.249395661</v>
      </c>
      <c r="X253" s="577">
        <f t="shared" si="939"/>
        <v>25883512.849312276</v>
      </c>
      <c r="Y253" s="577">
        <f t="shared" si="939"/>
        <v>26481065.901551951</v>
      </c>
      <c r="Z253" s="577">
        <f t="shared" si="939"/>
        <v>27105121.56549146</v>
      </c>
      <c r="AA253" s="577">
        <f t="shared" si="939"/>
        <v>27759048.708554611</v>
      </c>
      <c r="AB253" s="577">
        <f t="shared" si="939"/>
        <v>28449250.769885402</v>
      </c>
      <c r="AC253" s="577">
        <f t="shared" si="939"/>
        <v>29180998.073606066</v>
      </c>
      <c r="AD253" s="577">
        <f t="shared" si="939"/>
        <v>29961450.300281927</v>
      </c>
      <c r="AE253" s="577">
        <f t="shared" si="939"/>
        <v>30799950.593295086</v>
      </c>
      <c r="AF253" s="577">
        <f t="shared" si="939"/>
        <v>31704942.141727686</v>
      </c>
      <c r="AG253" s="577">
        <f t="shared" si="939"/>
        <v>32686694.776545715</v>
      </c>
      <c r="AH253" s="752">
        <f t="shared" si="939"/>
        <v>33758862.124110132</v>
      </c>
      <c r="AI253" s="18"/>
      <c r="AJ253" s="18"/>
      <c r="AK253" s="18"/>
      <c r="AL253" s="18"/>
      <c r="AM253" s="18"/>
      <c r="AN253" s="18"/>
    </row>
    <row r="254" spans="2:41" ht="21.95" customHeight="1" x14ac:dyDescent="0.2">
      <c r="B254" s="232"/>
      <c r="C254" s="715"/>
      <c r="D254" s="715"/>
      <c r="E254" s="1340"/>
      <c r="F254" s="116"/>
      <c r="G254" s="116"/>
      <c r="H254" s="720" t="s">
        <v>25</v>
      </c>
      <c r="I254" s="577">
        <f t="shared" ref="I254" si="940">SUM(I252:I253)</f>
        <v>2046547.9184147003</v>
      </c>
      <c r="J254" s="577">
        <f t="shared" ref="J254:AH254" si="941">SUM(J252:J253)</f>
        <v>2270242.8997307862</v>
      </c>
      <c r="K254" s="577">
        <f t="shared" si="941"/>
        <v>2507241.422052558</v>
      </c>
      <c r="L254" s="577">
        <f t="shared" si="941"/>
        <v>3265281.7597944369</v>
      </c>
      <c r="M254" s="577">
        <f t="shared" si="941"/>
        <v>4246500.5835539848</v>
      </c>
      <c r="N254" s="577">
        <f t="shared" si="941"/>
        <v>6499965.4807957271</v>
      </c>
      <c r="O254" s="577">
        <f t="shared" si="941"/>
        <v>14235602.901837569</v>
      </c>
      <c r="P254" s="577">
        <f t="shared" si="941"/>
        <v>16153329.213021575</v>
      </c>
      <c r="Q254" s="577">
        <f t="shared" si="941"/>
        <v>18727072.375542909</v>
      </c>
      <c r="R254" s="577">
        <f t="shared" si="941"/>
        <v>21303967.508044381</v>
      </c>
      <c r="S254" s="577">
        <f t="shared" si="941"/>
        <v>23886750.6175544</v>
      </c>
      <c r="T254" s="577">
        <f t="shared" si="941"/>
        <v>26491123.830575071</v>
      </c>
      <c r="U254" s="577">
        <f t="shared" si="941"/>
        <v>29157561.535177946</v>
      </c>
      <c r="V254" s="577">
        <f t="shared" si="941"/>
        <v>30652501.752220906</v>
      </c>
      <c r="W254" s="577">
        <f t="shared" si="941"/>
        <v>31438553.837960679</v>
      </c>
      <c r="X254" s="577">
        <f t="shared" si="941"/>
        <v>32153873.72444351</v>
      </c>
      <c r="Y254" s="577">
        <f t="shared" si="941"/>
        <v>32896185.847887792</v>
      </c>
      <c r="Z254" s="577">
        <f t="shared" si="941"/>
        <v>33671420.922514379</v>
      </c>
      <c r="AA254" s="577">
        <f t="shared" si="941"/>
        <v>34483763.934278227</v>
      </c>
      <c r="AB254" s="577">
        <f t="shared" si="941"/>
        <v>35341169.575219676</v>
      </c>
      <c r="AC254" s="577">
        <f t="shared" si="941"/>
        <v>36250184.921746008</v>
      </c>
      <c r="AD254" s="577">
        <f t="shared" si="941"/>
        <v>37219704.109137259</v>
      </c>
      <c r="AE254" s="577">
        <f t="shared" si="941"/>
        <v>38261333.686096728</v>
      </c>
      <c r="AF254" s="577">
        <f t="shared" si="941"/>
        <v>39385562.230320916</v>
      </c>
      <c r="AG254" s="577">
        <f t="shared" si="941"/>
        <v>40605147.471024334</v>
      </c>
      <c r="AH254" s="752">
        <f t="shared" si="941"/>
        <v>41937050.66769471</v>
      </c>
      <c r="AI254" s="18"/>
      <c r="AJ254" s="18"/>
      <c r="AK254" s="18"/>
      <c r="AL254" s="18"/>
      <c r="AM254" s="18"/>
      <c r="AN254" s="18"/>
    </row>
    <row r="255" spans="2:41" ht="21.95" customHeight="1" x14ac:dyDescent="0.2">
      <c r="B255" s="232"/>
      <c r="C255" s="715"/>
      <c r="D255" s="715"/>
      <c r="E255" s="1340"/>
      <c r="F255" s="116" t="s">
        <v>335</v>
      </c>
      <c r="G255" s="116" t="s">
        <v>323</v>
      </c>
      <c r="H255" s="116" t="s">
        <v>20</v>
      </c>
      <c r="I255" s="577">
        <f t="shared" ref="I255:AH255" si="942">I164*$D$13</f>
        <v>55561.437919417978</v>
      </c>
      <c r="J255" s="577">
        <f t="shared" si="942"/>
        <v>62944.716581406639</v>
      </c>
      <c r="K255" s="577">
        <f t="shared" si="942"/>
        <v>70332.831881710168</v>
      </c>
      <c r="L255" s="577">
        <f t="shared" si="942"/>
        <v>95340.63931996304</v>
      </c>
      <c r="M255" s="577">
        <f t="shared" si="942"/>
        <v>120486.41148799381</v>
      </c>
      <c r="N255" s="577">
        <f t="shared" si="942"/>
        <v>146605.16129623947</v>
      </c>
      <c r="O255" s="577">
        <f t="shared" si="942"/>
        <v>177519.21990454491</v>
      </c>
      <c r="P255" s="577">
        <f t="shared" si="942"/>
        <v>227739.97855869625</v>
      </c>
      <c r="Q255" s="577">
        <f t="shared" si="942"/>
        <v>466984.82814784668</v>
      </c>
      <c r="R255" s="577">
        <f t="shared" si="942"/>
        <v>624863.14270414272</v>
      </c>
      <c r="S255" s="577">
        <f t="shared" si="942"/>
        <v>713068.44841968908</v>
      </c>
      <c r="T255" s="577">
        <f t="shared" si="942"/>
        <v>801326.27997973561</v>
      </c>
      <c r="U255" s="577">
        <f t="shared" si="942"/>
        <v>889832.74241773807</v>
      </c>
      <c r="V255" s="577">
        <f t="shared" si="942"/>
        <v>938198.57051033468</v>
      </c>
      <c r="W255" s="577">
        <f t="shared" si="942"/>
        <v>955838.31560887233</v>
      </c>
      <c r="X255" s="577">
        <f t="shared" si="942"/>
        <v>973147.09086292924</v>
      </c>
      <c r="Y255" s="577">
        <f t="shared" si="942"/>
        <v>990525.69292469602</v>
      </c>
      <c r="Z255" s="577">
        <f t="shared" si="942"/>
        <v>1007996.7458435496</v>
      </c>
      <c r="AA255" s="577">
        <f t="shared" si="942"/>
        <v>1025553.0644911738</v>
      </c>
      <c r="AB255" s="577">
        <f t="shared" si="942"/>
        <v>1043231.0627007046</v>
      </c>
      <c r="AC255" s="577">
        <f t="shared" si="942"/>
        <v>1061028.2912911708</v>
      </c>
      <c r="AD255" s="577">
        <f t="shared" si="942"/>
        <v>1078975.0592618841</v>
      </c>
      <c r="AE255" s="577">
        <f t="shared" si="942"/>
        <v>1097105.9805049249</v>
      </c>
      <c r="AF255" s="577">
        <f t="shared" si="942"/>
        <v>1115427.1904158629</v>
      </c>
      <c r="AG255" s="577">
        <f t="shared" si="942"/>
        <v>1133978.0929244421</v>
      </c>
      <c r="AH255" s="752">
        <f t="shared" si="942"/>
        <v>1152804.4227229753</v>
      </c>
      <c r="AI255" s="18"/>
      <c r="AJ255" s="18"/>
      <c r="AK255" s="18"/>
      <c r="AL255" s="18"/>
      <c r="AM255" s="18"/>
      <c r="AN255" s="18"/>
    </row>
    <row r="256" spans="2:41" ht="21.95" customHeight="1" x14ac:dyDescent="0.2">
      <c r="B256" s="232"/>
      <c r="C256" s="715"/>
      <c r="D256" s="715"/>
      <c r="E256" s="1340"/>
      <c r="F256" s="116"/>
      <c r="G256" s="116"/>
      <c r="H256" s="124" t="s">
        <v>19</v>
      </c>
      <c r="I256" s="577">
        <f t="shared" ref="I256:AH256" si="943">I165*$D$14</f>
        <v>229352.85878317527</v>
      </c>
      <c r="J256" s="577">
        <f t="shared" si="943"/>
        <v>259830.40097306346</v>
      </c>
      <c r="K256" s="577">
        <f t="shared" si="943"/>
        <v>290327.90839182178</v>
      </c>
      <c r="L256" s="577">
        <f t="shared" si="943"/>
        <v>393557.99642843707</v>
      </c>
      <c r="M256" s="577">
        <f t="shared" si="943"/>
        <v>497357.59105758695</v>
      </c>
      <c r="N256" s="577">
        <f t="shared" si="943"/>
        <v>605173.55408308806</v>
      </c>
      <c r="O256" s="577">
        <f t="shared" si="943"/>
        <v>732784.14128006808</v>
      </c>
      <c r="P256" s="577">
        <f t="shared" si="943"/>
        <v>940091.13330382959</v>
      </c>
      <c r="Q256" s="577">
        <f t="shared" si="943"/>
        <v>1927673.3892203125</v>
      </c>
      <c r="R256" s="577">
        <f t="shared" si="943"/>
        <v>2579381.5547986017</v>
      </c>
      <c r="S256" s="577">
        <f t="shared" si="943"/>
        <v>2943485.5050067431</v>
      </c>
      <c r="T256" s="577">
        <f t="shared" si="943"/>
        <v>3307806.2774039283</v>
      </c>
      <c r="U256" s="577">
        <f t="shared" si="943"/>
        <v>3673153.3767785337</v>
      </c>
      <c r="V256" s="577">
        <f t="shared" si="943"/>
        <v>3872803.3742559366</v>
      </c>
      <c r="W256" s="577">
        <f t="shared" si="943"/>
        <v>3945618.7317782473</v>
      </c>
      <c r="X256" s="577">
        <f t="shared" si="943"/>
        <v>4017067.8741188571</v>
      </c>
      <c r="Y256" s="577">
        <f t="shared" si="943"/>
        <v>4088805.2555434001</v>
      </c>
      <c r="Z256" s="577">
        <f t="shared" si="943"/>
        <v>4160924.2661907254</v>
      </c>
      <c r="AA256" s="577">
        <f t="shared" si="943"/>
        <v>4233395.2464663051</v>
      </c>
      <c r="AB256" s="577">
        <f t="shared" si="943"/>
        <v>4306368.5095557179</v>
      </c>
      <c r="AC256" s="577">
        <f t="shared" si="943"/>
        <v>4379833.9454496028</v>
      </c>
      <c r="AD256" s="577">
        <f t="shared" si="943"/>
        <v>4453916.6671021841</v>
      </c>
      <c r="AE256" s="577">
        <f t="shared" si="943"/>
        <v>4528759.5576964663</v>
      </c>
      <c r="AF256" s="577">
        <f t="shared" si="943"/>
        <v>4604387.9436200736</v>
      </c>
      <c r="AG256" s="577">
        <f t="shared" si="943"/>
        <v>4680964.4809213821</v>
      </c>
      <c r="AH256" s="752">
        <f t="shared" si="943"/>
        <v>4758677.9584946362</v>
      </c>
      <c r="AI256" s="18"/>
      <c r="AJ256" s="18"/>
      <c r="AK256" s="18"/>
      <c r="AL256" s="18"/>
      <c r="AM256" s="18"/>
      <c r="AN256" s="18"/>
    </row>
    <row r="257" spans="2:40" ht="21.95" customHeight="1" x14ac:dyDescent="0.2">
      <c r="B257" s="232"/>
      <c r="C257" s="715"/>
      <c r="D257" s="715"/>
      <c r="E257" s="1340"/>
      <c r="F257" s="116"/>
      <c r="G257" s="116"/>
      <c r="H257" s="720" t="s">
        <v>25</v>
      </c>
      <c r="I257" s="577">
        <f t="shared" ref="I257" si="944">SUM(I255:I256)</f>
        <v>284914.29670259322</v>
      </c>
      <c r="J257" s="577">
        <f t="shared" ref="J257:AH257" si="945">SUM(J255:J256)</f>
        <v>322775.11755447008</v>
      </c>
      <c r="K257" s="577">
        <f t="shared" si="945"/>
        <v>360660.74027353193</v>
      </c>
      <c r="L257" s="577">
        <f t="shared" si="945"/>
        <v>488898.63574840012</v>
      </c>
      <c r="M257" s="577">
        <f t="shared" si="945"/>
        <v>617844.00254558073</v>
      </c>
      <c r="N257" s="577">
        <f t="shared" si="945"/>
        <v>751778.71537932754</v>
      </c>
      <c r="O257" s="577">
        <f t="shared" si="945"/>
        <v>910303.36118461296</v>
      </c>
      <c r="P257" s="577">
        <f t="shared" si="945"/>
        <v>1167831.1118625258</v>
      </c>
      <c r="Q257" s="577">
        <f t="shared" si="945"/>
        <v>2394658.217368159</v>
      </c>
      <c r="R257" s="577">
        <f t="shared" si="945"/>
        <v>3204244.6975027444</v>
      </c>
      <c r="S257" s="577">
        <f t="shared" si="945"/>
        <v>3656553.9534264323</v>
      </c>
      <c r="T257" s="577">
        <f t="shared" si="945"/>
        <v>4109132.557383664</v>
      </c>
      <c r="U257" s="577">
        <f t="shared" si="945"/>
        <v>4562986.1191962715</v>
      </c>
      <c r="V257" s="577">
        <f t="shared" si="945"/>
        <v>4811001.9447662709</v>
      </c>
      <c r="W257" s="577">
        <f t="shared" si="945"/>
        <v>4901457.0473871194</v>
      </c>
      <c r="X257" s="577">
        <f t="shared" si="945"/>
        <v>4990214.964981786</v>
      </c>
      <c r="Y257" s="577">
        <f t="shared" si="945"/>
        <v>5079330.9484680966</v>
      </c>
      <c r="Z257" s="577">
        <f t="shared" si="945"/>
        <v>5168921.0120342746</v>
      </c>
      <c r="AA257" s="577">
        <f t="shared" si="945"/>
        <v>5258948.3109574793</v>
      </c>
      <c r="AB257" s="577">
        <f t="shared" si="945"/>
        <v>5349599.5722564226</v>
      </c>
      <c r="AC257" s="577">
        <f t="shared" si="945"/>
        <v>5440862.2367407735</v>
      </c>
      <c r="AD257" s="577">
        <f t="shared" si="945"/>
        <v>5532891.7263640687</v>
      </c>
      <c r="AE257" s="577">
        <f t="shared" si="945"/>
        <v>5625865.5382013917</v>
      </c>
      <c r="AF257" s="577">
        <f t="shared" si="945"/>
        <v>5719815.1340359366</v>
      </c>
      <c r="AG257" s="577">
        <f t="shared" si="945"/>
        <v>5814942.5738458242</v>
      </c>
      <c r="AH257" s="752">
        <f t="shared" si="945"/>
        <v>5911482.381217612</v>
      </c>
      <c r="AI257" s="18"/>
      <c r="AJ257" s="18"/>
      <c r="AK257" s="18"/>
      <c r="AL257" s="18"/>
      <c r="AM257" s="18"/>
      <c r="AN257" s="18"/>
    </row>
    <row r="258" spans="2:40" ht="21.95" customHeight="1" x14ac:dyDescent="0.2">
      <c r="B258" s="232"/>
      <c r="C258" s="715"/>
      <c r="D258" s="715"/>
      <c r="E258" s="1340"/>
      <c r="F258" s="116" t="s">
        <v>323</v>
      </c>
      <c r="G258" s="116" t="s">
        <v>338</v>
      </c>
      <c r="H258" s="116" t="s">
        <v>20</v>
      </c>
      <c r="I258" s="577">
        <f t="shared" ref="I258:AH258" si="946">I167*$D$13</f>
        <v>788412.99189924565</v>
      </c>
      <c r="J258" s="577">
        <f t="shared" si="946"/>
        <v>819607.50102199323</v>
      </c>
      <c r="K258" s="577">
        <f t="shared" si="946"/>
        <v>851729.92818665865</v>
      </c>
      <c r="L258" s="577">
        <f t="shared" si="946"/>
        <v>918069.12572316127</v>
      </c>
      <c r="M258" s="577">
        <f t="shared" si="946"/>
        <v>993025.28417260095</v>
      </c>
      <c r="N258" s="577">
        <f t="shared" si="946"/>
        <v>1082774.4035030087</v>
      </c>
      <c r="O258" s="577">
        <f t="shared" si="946"/>
        <v>1197272.0850162478</v>
      </c>
      <c r="P258" s="577">
        <f t="shared" si="946"/>
        <v>1352290.4856716904</v>
      </c>
      <c r="Q258" s="577">
        <f t="shared" si="946"/>
        <v>1680884.858536168</v>
      </c>
      <c r="R258" s="577">
        <f t="shared" si="946"/>
        <v>2239069.2240090114</v>
      </c>
      <c r="S258" s="577">
        <f t="shared" si="946"/>
        <v>3011696.7352307648</v>
      </c>
      <c r="T258" s="577">
        <f t="shared" si="946"/>
        <v>3185495.9279808146</v>
      </c>
      <c r="U258" s="577">
        <f t="shared" si="946"/>
        <v>3359459.3353998056</v>
      </c>
      <c r="V258" s="577">
        <f t="shared" si="946"/>
        <v>3472511.7230463116</v>
      </c>
      <c r="W258" s="577">
        <f t="shared" si="946"/>
        <v>3536927.4012784255</v>
      </c>
      <c r="X258" s="577">
        <f t="shared" si="946"/>
        <v>3601333.4110360183</v>
      </c>
      <c r="Y258" s="577">
        <f t="shared" si="946"/>
        <v>3665745.4634012952</v>
      </c>
      <c r="Z258" s="577">
        <f t="shared" si="946"/>
        <v>3730205.1243551439</v>
      </c>
      <c r="AA258" s="577">
        <f t="shared" si="946"/>
        <v>3794632.6459578094</v>
      </c>
      <c r="AB258" s="577">
        <f t="shared" si="946"/>
        <v>3859110.3869942208</v>
      </c>
      <c r="AC258" s="577">
        <f t="shared" si="946"/>
        <v>3923559.0306807696</v>
      </c>
      <c r="AD258" s="577">
        <f t="shared" si="946"/>
        <v>3988020.8517308296</v>
      </c>
      <c r="AE258" s="577">
        <f t="shared" si="946"/>
        <v>4052538.5130644268</v>
      </c>
      <c r="AF258" s="577">
        <f t="shared" si="946"/>
        <v>4117033.4903381695</v>
      </c>
      <c r="AG258" s="577">
        <f t="shared" si="946"/>
        <v>4181548.9006995233</v>
      </c>
      <c r="AH258" s="752">
        <f t="shared" si="946"/>
        <v>4246128.4358312506</v>
      </c>
      <c r="AI258" s="18"/>
      <c r="AJ258" s="18"/>
      <c r="AK258" s="18"/>
      <c r="AL258" s="18"/>
      <c r="AM258" s="18"/>
      <c r="AN258" s="18"/>
    </row>
    <row r="259" spans="2:40" ht="21.95" customHeight="1" x14ac:dyDescent="0.2">
      <c r="B259" s="232"/>
      <c r="C259" s="715"/>
      <c r="D259" s="715"/>
      <c r="E259" s="1340"/>
      <c r="F259" s="116"/>
      <c r="G259" s="116"/>
      <c r="H259" s="116" t="s">
        <v>19</v>
      </c>
      <c r="I259" s="577">
        <f t="shared" ref="I259:AH259" si="947">I168*$D$14</f>
        <v>3254501.3297917643</v>
      </c>
      <c r="J259" s="577">
        <f t="shared" si="947"/>
        <v>3383269.5927013098</v>
      </c>
      <c r="K259" s="577">
        <f t="shared" si="947"/>
        <v>3515868.2218432594</v>
      </c>
      <c r="L259" s="577">
        <f t="shared" si="947"/>
        <v>3789710.7495770706</v>
      </c>
      <c r="M259" s="577">
        <f t="shared" si="947"/>
        <v>4099123.3542097425</v>
      </c>
      <c r="N259" s="577">
        <f t="shared" si="947"/>
        <v>4469600.0348448819</v>
      </c>
      <c r="O259" s="577">
        <f t="shared" si="947"/>
        <v>4942236.6612977991</v>
      </c>
      <c r="P259" s="577">
        <f t="shared" si="947"/>
        <v>5582139.34714776</v>
      </c>
      <c r="Q259" s="577">
        <f t="shared" si="947"/>
        <v>6938548.7853958262</v>
      </c>
      <c r="R259" s="577">
        <f t="shared" si="947"/>
        <v>9242686.0565539505</v>
      </c>
      <c r="S259" s="577">
        <f t="shared" si="947"/>
        <v>12432026.273598773</v>
      </c>
      <c r="T259" s="577">
        <f t="shared" si="947"/>
        <v>13149454.461278938</v>
      </c>
      <c r="U259" s="577">
        <f t="shared" si="947"/>
        <v>13867560.513053089</v>
      </c>
      <c r="V259" s="577">
        <f t="shared" si="947"/>
        <v>14334231.090164414</v>
      </c>
      <c r="W259" s="577">
        <f t="shared" si="947"/>
        <v>14600133.494893743</v>
      </c>
      <c r="X259" s="577">
        <f t="shared" si="947"/>
        <v>14865995.988988023</v>
      </c>
      <c r="Y259" s="577">
        <f t="shared" si="947"/>
        <v>15131883.42644948</v>
      </c>
      <c r="Z259" s="577">
        <f t="shared" si="947"/>
        <v>15397967.388088504</v>
      </c>
      <c r="AA259" s="577">
        <f t="shared" si="947"/>
        <v>15663918.681237483</v>
      </c>
      <c r="AB259" s="577">
        <f t="shared" si="947"/>
        <v>15930077.275909383</v>
      </c>
      <c r="AC259" s="577">
        <f t="shared" si="947"/>
        <v>16196115.759212248</v>
      </c>
      <c r="AD259" s="577">
        <f t="shared" si="947"/>
        <v>16462208.637543492</v>
      </c>
      <c r="AE259" s="577">
        <f t="shared" si="947"/>
        <v>16728532.019784357</v>
      </c>
      <c r="AF259" s="577">
        <f t="shared" si="947"/>
        <v>16994761.764168259</v>
      </c>
      <c r="AG259" s="577">
        <f t="shared" si="947"/>
        <v>17261075.854588427</v>
      </c>
      <c r="AH259" s="752">
        <f t="shared" si="947"/>
        <v>17527654.646570586</v>
      </c>
      <c r="AI259" s="18"/>
      <c r="AJ259" s="18"/>
      <c r="AK259" s="18"/>
      <c r="AL259" s="18"/>
      <c r="AM259" s="18"/>
      <c r="AN259" s="18"/>
    </row>
    <row r="260" spans="2:40" ht="21.95" customHeight="1" x14ac:dyDescent="0.2">
      <c r="B260" s="232"/>
      <c r="C260" s="715"/>
      <c r="D260" s="715"/>
      <c r="E260" s="1333"/>
      <c r="F260" s="254"/>
      <c r="G260" s="254"/>
      <c r="H260" s="721" t="s">
        <v>25</v>
      </c>
      <c r="I260" s="587">
        <f t="shared" ref="I260" si="948">SUM(I258:I259)</f>
        <v>4042914.3216910101</v>
      </c>
      <c r="J260" s="587">
        <f t="shared" ref="J260:AH260" si="949">SUM(J258:J259)</f>
        <v>4202877.0937233027</v>
      </c>
      <c r="K260" s="587">
        <f t="shared" si="949"/>
        <v>4367598.1500299182</v>
      </c>
      <c r="L260" s="587">
        <f t="shared" si="949"/>
        <v>4707779.8753002323</v>
      </c>
      <c r="M260" s="587">
        <f t="shared" si="949"/>
        <v>5092148.6383823436</v>
      </c>
      <c r="N260" s="587">
        <f t="shared" si="949"/>
        <v>5552374.438347891</v>
      </c>
      <c r="O260" s="587">
        <f t="shared" si="949"/>
        <v>6139508.7463140469</v>
      </c>
      <c r="P260" s="587">
        <f t="shared" si="949"/>
        <v>6934429.8328194506</v>
      </c>
      <c r="Q260" s="587">
        <f t="shared" si="949"/>
        <v>8619433.6439319942</v>
      </c>
      <c r="R260" s="587">
        <f t="shared" si="949"/>
        <v>11481755.280562961</v>
      </c>
      <c r="S260" s="587">
        <f t="shared" si="949"/>
        <v>15443723.008829538</v>
      </c>
      <c r="T260" s="587">
        <f t="shared" si="949"/>
        <v>16334950.389259752</v>
      </c>
      <c r="U260" s="587">
        <f t="shared" si="949"/>
        <v>17227019.848452896</v>
      </c>
      <c r="V260" s="587">
        <f t="shared" si="949"/>
        <v>17806742.813210726</v>
      </c>
      <c r="W260" s="587">
        <f t="shared" si="949"/>
        <v>18137060.89617217</v>
      </c>
      <c r="X260" s="587">
        <f t="shared" si="949"/>
        <v>18467329.400024042</v>
      </c>
      <c r="Y260" s="587">
        <f t="shared" si="949"/>
        <v>18797628.889850773</v>
      </c>
      <c r="Z260" s="587">
        <f t="shared" si="949"/>
        <v>19128172.512443647</v>
      </c>
      <c r="AA260" s="587">
        <f t="shared" si="949"/>
        <v>19458551.327195294</v>
      </c>
      <c r="AB260" s="587">
        <f t="shared" si="949"/>
        <v>19789187.662903603</v>
      </c>
      <c r="AC260" s="587">
        <f t="shared" si="949"/>
        <v>20119674.789893016</v>
      </c>
      <c r="AD260" s="587">
        <f t="shared" si="949"/>
        <v>20450229.489274323</v>
      </c>
      <c r="AE260" s="587">
        <f t="shared" si="949"/>
        <v>20781070.532848783</v>
      </c>
      <c r="AF260" s="587">
        <f t="shared" si="949"/>
        <v>21111795.254506428</v>
      </c>
      <c r="AG260" s="587">
        <f t="shared" si="949"/>
        <v>21442624.755287949</v>
      </c>
      <c r="AH260" s="754">
        <f t="shared" si="949"/>
        <v>21773783.082401834</v>
      </c>
      <c r="AI260" s="18"/>
      <c r="AJ260" s="18"/>
      <c r="AK260" s="18"/>
      <c r="AL260" s="18"/>
      <c r="AM260" s="18"/>
      <c r="AN260" s="18"/>
    </row>
    <row r="261" spans="2:40" ht="21.95" customHeight="1" x14ac:dyDescent="0.2">
      <c r="B261" s="232"/>
      <c r="C261" s="715"/>
      <c r="D261" s="715"/>
      <c r="E261" s="116" t="s">
        <v>339</v>
      </c>
      <c r="F261" s="116" t="s">
        <v>335</v>
      </c>
      <c r="G261" s="116" t="s">
        <v>323</v>
      </c>
      <c r="H261" s="116" t="s">
        <v>20</v>
      </c>
      <c r="I261" s="577">
        <f t="shared" ref="I261:AH261" si="950">I170*$D$13</f>
        <v>5306.3879802955653</v>
      </c>
      <c r="J261" s="577">
        <f t="shared" si="950"/>
        <v>8591.0421400985215</v>
      </c>
      <c r="K261" s="577">
        <f t="shared" si="950"/>
        <v>24510.206080985216</v>
      </c>
      <c r="L261" s="577">
        <f t="shared" si="950"/>
        <v>51822.185015566509</v>
      </c>
      <c r="M261" s="577">
        <f t="shared" si="950"/>
        <v>79155.389502069011</v>
      </c>
      <c r="N261" s="577">
        <f t="shared" si="950"/>
        <v>106477.98121261215</v>
      </c>
      <c r="O261" s="577">
        <f t="shared" si="950"/>
        <v>133789.96014720824</v>
      </c>
      <c r="P261" s="577">
        <f t="shared" si="950"/>
        <v>161144.3901857404</v>
      </c>
      <c r="Q261" s="577">
        <f t="shared" si="950"/>
        <v>175837.77850337967</v>
      </c>
      <c r="R261" s="577">
        <f t="shared" si="950"/>
        <v>190552.39237320152</v>
      </c>
      <c r="S261" s="577">
        <f t="shared" si="950"/>
        <v>205251.08707961644</v>
      </c>
      <c r="T261" s="577">
        <f t="shared" si="950"/>
        <v>219944.47539908771</v>
      </c>
      <c r="U261" s="577">
        <f t="shared" si="950"/>
        <v>234675.00843635865</v>
      </c>
      <c r="V261" s="577">
        <f t="shared" si="950"/>
        <v>237959.6625974481</v>
      </c>
      <c r="W261" s="577">
        <f t="shared" si="950"/>
        <v>241244.31675872803</v>
      </c>
      <c r="X261" s="577">
        <f t="shared" si="950"/>
        <v>244528.97092022316</v>
      </c>
      <c r="Y261" s="577">
        <f t="shared" si="950"/>
        <v>247813.62508196165</v>
      </c>
      <c r="Z261" s="577">
        <f t="shared" si="950"/>
        <v>251114.19840792674</v>
      </c>
      <c r="AA261" s="577">
        <f t="shared" si="950"/>
        <v>254398.85257024996</v>
      </c>
      <c r="AB261" s="577">
        <f t="shared" si="950"/>
        <v>257699.42589687608</v>
      </c>
      <c r="AC261" s="577">
        <f t="shared" si="950"/>
        <v>260984.08005993828</v>
      </c>
      <c r="AD261" s="577">
        <f t="shared" si="950"/>
        <v>264268.73422343755</v>
      </c>
      <c r="AE261" s="577">
        <f t="shared" si="950"/>
        <v>267569.30755138845</v>
      </c>
      <c r="AF261" s="577">
        <f t="shared" si="950"/>
        <v>270853.9617159263</v>
      </c>
      <c r="AG261" s="577">
        <f t="shared" si="950"/>
        <v>274138.61588107463</v>
      </c>
      <c r="AH261" s="752">
        <f t="shared" si="950"/>
        <v>277439.18921087513</v>
      </c>
      <c r="AI261" s="18"/>
      <c r="AJ261" s="18"/>
      <c r="AK261" s="18"/>
      <c r="AL261" s="18"/>
      <c r="AM261" s="18"/>
      <c r="AN261" s="18"/>
    </row>
    <row r="262" spans="2:40" ht="21.95" customHeight="1" x14ac:dyDescent="0.2">
      <c r="B262" s="232"/>
      <c r="C262" s="715"/>
      <c r="D262" s="715"/>
      <c r="E262" s="116"/>
      <c r="F262" s="116"/>
      <c r="G262" s="116"/>
      <c r="H262" s="124" t="s">
        <v>19</v>
      </c>
      <c r="I262" s="577">
        <f t="shared" ref="I262:AH262" si="951">I171*$D$14</f>
        <v>21904.315270935957</v>
      </c>
      <c r="J262" s="577">
        <f t="shared" si="951"/>
        <v>35463.08642364532</v>
      </c>
      <c r="K262" s="577">
        <f t="shared" si="951"/>
        <v>101176.03223645317</v>
      </c>
      <c r="L262" s="577">
        <f t="shared" si="951"/>
        <v>213917.54293596061</v>
      </c>
      <c r="M262" s="577">
        <f t="shared" si="951"/>
        <v>326746.67089655186</v>
      </c>
      <c r="N262" s="577">
        <f t="shared" si="951"/>
        <v>439531.99022660643</v>
      </c>
      <c r="O262" s="577">
        <f t="shared" si="951"/>
        <v>552273.50092617492</v>
      </c>
      <c r="P262" s="577">
        <f t="shared" si="951"/>
        <v>665190.2461482978</v>
      </c>
      <c r="Q262" s="577">
        <f t="shared" si="951"/>
        <v>725843.29513434833</v>
      </c>
      <c r="R262" s="577">
        <f t="shared" si="951"/>
        <v>786583.96138256206</v>
      </c>
      <c r="S262" s="577">
        <f t="shared" si="951"/>
        <v>847258.91468716692</v>
      </c>
      <c r="T262" s="577">
        <f t="shared" si="951"/>
        <v>907911.96368077991</v>
      </c>
      <c r="U262" s="577">
        <f t="shared" si="951"/>
        <v>968718.34288928786</v>
      </c>
      <c r="V262" s="577">
        <f t="shared" si="951"/>
        <v>982277.11404730775</v>
      </c>
      <c r="W262" s="577">
        <f t="shared" si="951"/>
        <v>995835.88520611392</v>
      </c>
      <c r="X262" s="577">
        <f t="shared" si="951"/>
        <v>1009394.6563658084</v>
      </c>
      <c r="Y262" s="577">
        <f t="shared" si="951"/>
        <v>1022953.4275265074</v>
      </c>
      <c r="Z262" s="577">
        <f t="shared" si="951"/>
        <v>1036577.9116341989</v>
      </c>
      <c r="AA262" s="577">
        <f t="shared" si="951"/>
        <v>1050136.6827973116</v>
      </c>
      <c r="AB262" s="577">
        <f t="shared" si="951"/>
        <v>1063761.1669077314</v>
      </c>
      <c r="AC262" s="577">
        <f t="shared" si="951"/>
        <v>1077319.9380738947</v>
      </c>
      <c r="AD262" s="577">
        <f t="shared" si="951"/>
        <v>1090878.7092418622</v>
      </c>
      <c r="AE262" s="577">
        <f t="shared" si="951"/>
        <v>1104503.1933577508</v>
      </c>
      <c r="AF262" s="577">
        <f t="shared" si="951"/>
        <v>1118061.9645300054</v>
      </c>
      <c r="AG262" s="577">
        <f t="shared" si="951"/>
        <v>1131620.7357047799</v>
      </c>
      <c r="AH262" s="752">
        <f t="shared" si="951"/>
        <v>1145245.2198283037</v>
      </c>
      <c r="AI262" s="18"/>
      <c r="AJ262" s="18"/>
      <c r="AK262" s="18"/>
      <c r="AL262" s="18"/>
      <c r="AM262" s="18"/>
      <c r="AN262" s="18"/>
    </row>
    <row r="263" spans="2:40" ht="21.95" customHeight="1" x14ac:dyDescent="0.2">
      <c r="B263" s="232"/>
      <c r="C263" s="715"/>
      <c r="D263" s="715"/>
      <c r="E263" s="116"/>
      <c r="F263" s="116"/>
      <c r="G263" s="116"/>
      <c r="H263" s="721" t="s">
        <v>25</v>
      </c>
      <c r="I263" s="577">
        <f t="shared" ref="I263" si="952">SUM(I261:I262)</f>
        <v>27210.70325123152</v>
      </c>
      <c r="J263" s="577">
        <f t="shared" ref="J263:AH263" si="953">SUM(J261:J262)</f>
        <v>44054.128563743841</v>
      </c>
      <c r="K263" s="577">
        <f t="shared" si="953"/>
        <v>125686.23831743839</v>
      </c>
      <c r="L263" s="577">
        <f t="shared" si="953"/>
        <v>265739.72795152711</v>
      </c>
      <c r="M263" s="577">
        <f t="shared" si="953"/>
        <v>405902.0603986209</v>
      </c>
      <c r="N263" s="577">
        <f t="shared" si="953"/>
        <v>546009.97143921861</v>
      </c>
      <c r="O263" s="577">
        <f t="shared" si="953"/>
        <v>686063.46107338322</v>
      </c>
      <c r="P263" s="577">
        <f t="shared" si="953"/>
        <v>826334.63633403822</v>
      </c>
      <c r="Q263" s="577">
        <f t="shared" si="953"/>
        <v>901681.073637728</v>
      </c>
      <c r="R263" s="577">
        <f t="shared" si="953"/>
        <v>977136.35375576362</v>
      </c>
      <c r="S263" s="577">
        <f t="shared" si="953"/>
        <v>1052510.0017667834</v>
      </c>
      <c r="T263" s="577">
        <f t="shared" si="953"/>
        <v>1127856.4390798677</v>
      </c>
      <c r="U263" s="577">
        <f t="shared" si="953"/>
        <v>1203393.3513256465</v>
      </c>
      <c r="V263" s="577">
        <f t="shared" si="953"/>
        <v>1220236.7766447559</v>
      </c>
      <c r="W263" s="577">
        <f t="shared" si="953"/>
        <v>1237080.2019648419</v>
      </c>
      <c r="X263" s="577">
        <f t="shared" si="953"/>
        <v>1253923.6272860316</v>
      </c>
      <c r="Y263" s="577">
        <f t="shared" si="953"/>
        <v>1270767.052608469</v>
      </c>
      <c r="Z263" s="577">
        <f t="shared" si="953"/>
        <v>1287692.1100421257</v>
      </c>
      <c r="AA263" s="577">
        <f t="shared" si="953"/>
        <v>1304535.5353675615</v>
      </c>
      <c r="AB263" s="577">
        <f t="shared" si="953"/>
        <v>1321460.5928046075</v>
      </c>
      <c r="AC263" s="577">
        <f t="shared" si="953"/>
        <v>1338304.0181338331</v>
      </c>
      <c r="AD263" s="577">
        <f t="shared" si="953"/>
        <v>1355147.4434652997</v>
      </c>
      <c r="AE263" s="577">
        <f t="shared" si="953"/>
        <v>1372072.5009091392</v>
      </c>
      <c r="AF263" s="577">
        <f t="shared" si="953"/>
        <v>1388915.9262459315</v>
      </c>
      <c r="AG263" s="577">
        <f t="shared" si="953"/>
        <v>1405759.3515858545</v>
      </c>
      <c r="AH263" s="752">
        <f t="shared" si="953"/>
        <v>1422684.4090391789</v>
      </c>
      <c r="AI263" s="18"/>
      <c r="AJ263" s="18"/>
      <c r="AK263" s="18"/>
      <c r="AL263" s="18"/>
      <c r="AM263" s="18"/>
      <c r="AN263" s="18"/>
    </row>
    <row r="264" spans="2:40" ht="21.95" customHeight="1" x14ac:dyDescent="0.2">
      <c r="B264" s="232"/>
      <c r="C264" s="715"/>
      <c r="D264" s="715"/>
      <c r="E264" s="1340" t="s">
        <v>323</v>
      </c>
      <c r="F264" s="220" t="s">
        <v>282</v>
      </c>
      <c r="G264" s="220" t="s">
        <v>339</v>
      </c>
      <c r="H264" s="116" t="s">
        <v>20</v>
      </c>
      <c r="I264" s="577">
        <f t="shared" ref="I264:AH264" si="954">I173*$D$13</f>
        <v>15241.752709359605</v>
      </c>
      <c r="J264" s="577">
        <f t="shared" si="954"/>
        <v>15241.752709359605</v>
      </c>
      <c r="K264" s="577">
        <f t="shared" si="954"/>
        <v>178343.74854936244</v>
      </c>
      <c r="L264" s="577">
        <f t="shared" si="954"/>
        <v>341445.86725747329</v>
      </c>
      <c r="M264" s="577">
        <f t="shared" si="954"/>
        <v>504693.96908348147</v>
      </c>
      <c r="N264" s="577">
        <f t="shared" si="954"/>
        <v>667983.97393925674</v>
      </c>
      <c r="O264" s="577">
        <f t="shared" si="954"/>
        <v>833069.42648947437</v>
      </c>
      <c r="P264" s="577">
        <f t="shared" si="954"/>
        <v>1009811.9569406339</v>
      </c>
      <c r="Q264" s="577">
        <f t="shared" si="954"/>
        <v>1009812.1547088753</v>
      </c>
      <c r="R264" s="577">
        <f t="shared" si="954"/>
        <v>1009812.1547088753</v>
      </c>
      <c r="S264" s="577">
        <f t="shared" si="954"/>
        <v>1009812.1547088753</v>
      </c>
      <c r="T264" s="577">
        <f t="shared" si="954"/>
        <v>1009812.1547088753</v>
      </c>
      <c r="U264" s="577">
        <f t="shared" si="954"/>
        <v>1009812.1547088753</v>
      </c>
      <c r="V264" s="577">
        <f t="shared" si="954"/>
        <v>1009812.1547088753</v>
      </c>
      <c r="W264" s="577">
        <f t="shared" si="954"/>
        <v>1009812.1547088753</v>
      </c>
      <c r="X264" s="577">
        <f t="shared" si="954"/>
        <v>1009812.1547088753</v>
      </c>
      <c r="Y264" s="577">
        <f t="shared" si="954"/>
        <v>1009812.1547088753</v>
      </c>
      <c r="Z264" s="577">
        <f t="shared" si="954"/>
        <v>1009812.1547088753</v>
      </c>
      <c r="AA264" s="577">
        <f t="shared" si="954"/>
        <v>1009812.1547088753</v>
      </c>
      <c r="AB264" s="577">
        <f t="shared" si="954"/>
        <v>1009812.1547088753</v>
      </c>
      <c r="AC264" s="577">
        <f t="shared" si="954"/>
        <v>1009812.1547088753</v>
      </c>
      <c r="AD264" s="577">
        <f t="shared" si="954"/>
        <v>1009812.1547088753</v>
      </c>
      <c r="AE264" s="577">
        <f t="shared" si="954"/>
        <v>1009812.1547088753</v>
      </c>
      <c r="AF264" s="577">
        <f t="shared" si="954"/>
        <v>1009812.1547088753</v>
      </c>
      <c r="AG264" s="577">
        <f t="shared" si="954"/>
        <v>1009812.1547088753</v>
      </c>
      <c r="AH264" s="752">
        <f t="shared" si="954"/>
        <v>1009812.1547088753</v>
      </c>
      <c r="AI264" s="18"/>
      <c r="AJ264" s="18"/>
      <c r="AK264" s="18"/>
      <c r="AL264" s="18"/>
      <c r="AM264" s="18"/>
      <c r="AN264" s="18"/>
    </row>
    <row r="265" spans="2:40" ht="21.95" customHeight="1" x14ac:dyDescent="0.2">
      <c r="B265" s="232"/>
      <c r="C265" s="715"/>
      <c r="D265" s="715"/>
      <c r="E265" s="1340"/>
      <c r="F265" s="116"/>
      <c r="G265" s="116"/>
      <c r="H265" s="124" t="s">
        <v>19</v>
      </c>
      <c r="I265" s="577">
        <f t="shared" ref="I265:AH265" si="955">I174*$D$14</f>
        <v>62916.65024630542</v>
      </c>
      <c r="J265" s="577">
        <f t="shared" si="955"/>
        <v>62916.65024630542</v>
      </c>
      <c r="K265" s="577">
        <f t="shared" si="955"/>
        <v>736187.7249330288</v>
      </c>
      <c r="L265" s="577">
        <f t="shared" si="955"/>
        <v>1409459.3068087827</v>
      </c>
      <c r="M265" s="577">
        <f t="shared" si="955"/>
        <v>2083333.4944967255</v>
      </c>
      <c r="N265" s="577">
        <f t="shared" si="955"/>
        <v>2757380.6543039773</v>
      </c>
      <c r="O265" s="577">
        <f t="shared" si="955"/>
        <v>3438839.2684748336</v>
      </c>
      <c r="P265" s="577">
        <f t="shared" si="955"/>
        <v>4168417.3021883727</v>
      </c>
      <c r="Q265" s="577">
        <f t="shared" si="955"/>
        <v>4168418.1185587412</v>
      </c>
      <c r="R265" s="577">
        <f t="shared" si="955"/>
        <v>4168418.1185587412</v>
      </c>
      <c r="S265" s="577">
        <f t="shared" si="955"/>
        <v>4168418.1185587412</v>
      </c>
      <c r="T265" s="577">
        <f t="shared" si="955"/>
        <v>4168418.1185587412</v>
      </c>
      <c r="U265" s="577">
        <f t="shared" si="955"/>
        <v>4168418.1185587412</v>
      </c>
      <c r="V265" s="577">
        <f t="shared" si="955"/>
        <v>4168418.1185587412</v>
      </c>
      <c r="W265" s="577">
        <f t="shared" si="955"/>
        <v>4168418.1185587412</v>
      </c>
      <c r="X265" s="577">
        <f t="shared" si="955"/>
        <v>4168418.1185587412</v>
      </c>
      <c r="Y265" s="577">
        <f t="shared" si="955"/>
        <v>4168418.1185587412</v>
      </c>
      <c r="Z265" s="577">
        <f t="shared" si="955"/>
        <v>4168418.1185587412</v>
      </c>
      <c r="AA265" s="577">
        <f t="shared" si="955"/>
        <v>4168418.1185587412</v>
      </c>
      <c r="AB265" s="577">
        <f t="shared" si="955"/>
        <v>4168418.1185587412</v>
      </c>
      <c r="AC265" s="577">
        <f t="shared" si="955"/>
        <v>4168418.1185587412</v>
      </c>
      <c r="AD265" s="577">
        <f t="shared" si="955"/>
        <v>4168418.1185587412</v>
      </c>
      <c r="AE265" s="577">
        <f t="shared" si="955"/>
        <v>4168418.1185587412</v>
      </c>
      <c r="AF265" s="577">
        <f t="shared" si="955"/>
        <v>4168418.1185587412</v>
      </c>
      <c r="AG265" s="577">
        <f t="shared" si="955"/>
        <v>4168418.1185587412</v>
      </c>
      <c r="AH265" s="752">
        <f t="shared" si="955"/>
        <v>4168418.1185587412</v>
      </c>
      <c r="AI265" s="18"/>
      <c r="AJ265" s="18"/>
      <c r="AK265" s="18"/>
      <c r="AL265" s="18"/>
      <c r="AM265" s="18"/>
      <c r="AN265" s="18"/>
    </row>
    <row r="266" spans="2:40" ht="21.95" customHeight="1" x14ac:dyDescent="0.2">
      <c r="B266" s="232"/>
      <c r="C266" s="715"/>
      <c r="D266" s="715"/>
      <c r="E266" s="1340"/>
      <c r="F266" s="116"/>
      <c r="G266" s="116"/>
      <c r="H266" s="720" t="s">
        <v>25</v>
      </c>
      <c r="I266" s="577">
        <f t="shared" ref="I266" si="956">SUM(I264:I265)</f>
        <v>78158.40295566502</v>
      </c>
      <c r="J266" s="577">
        <f t="shared" ref="J266:AH266" si="957">SUM(J264:J265)</f>
        <v>78158.40295566502</v>
      </c>
      <c r="K266" s="577">
        <f t="shared" si="957"/>
        <v>914531.47348239121</v>
      </c>
      <c r="L266" s="577">
        <f t="shared" si="957"/>
        <v>1750905.174066256</v>
      </c>
      <c r="M266" s="577">
        <f t="shared" si="957"/>
        <v>2588027.463580207</v>
      </c>
      <c r="N266" s="577">
        <f t="shared" si="957"/>
        <v>3425364.628243234</v>
      </c>
      <c r="O266" s="577">
        <f t="shared" si="957"/>
        <v>4271908.6949643083</v>
      </c>
      <c r="P266" s="577">
        <f t="shared" si="957"/>
        <v>5178229.2591290064</v>
      </c>
      <c r="Q266" s="577">
        <f t="shared" si="957"/>
        <v>5178230.2732676165</v>
      </c>
      <c r="R266" s="577">
        <f t="shared" si="957"/>
        <v>5178230.2732676165</v>
      </c>
      <c r="S266" s="577">
        <f t="shared" si="957"/>
        <v>5178230.2732676165</v>
      </c>
      <c r="T266" s="577">
        <f t="shared" si="957"/>
        <v>5178230.2732676165</v>
      </c>
      <c r="U266" s="577">
        <f t="shared" si="957"/>
        <v>5178230.2732676165</v>
      </c>
      <c r="V266" s="577">
        <f t="shared" si="957"/>
        <v>5178230.2732676165</v>
      </c>
      <c r="W266" s="577">
        <f t="shared" si="957"/>
        <v>5178230.2732676165</v>
      </c>
      <c r="X266" s="577">
        <f t="shared" si="957"/>
        <v>5178230.2732676165</v>
      </c>
      <c r="Y266" s="577">
        <f t="shared" si="957"/>
        <v>5178230.2732676165</v>
      </c>
      <c r="Z266" s="577">
        <f t="shared" si="957"/>
        <v>5178230.2732676165</v>
      </c>
      <c r="AA266" s="577">
        <f t="shared" si="957"/>
        <v>5178230.2732676165</v>
      </c>
      <c r="AB266" s="577">
        <f t="shared" si="957"/>
        <v>5178230.2732676165</v>
      </c>
      <c r="AC266" s="577">
        <f t="shared" si="957"/>
        <v>5178230.2732676165</v>
      </c>
      <c r="AD266" s="577">
        <f t="shared" si="957"/>
        <v>5178230.2732676165</v>
      </c>
      <c r="AE266" s="577">
        <f t="shared" si="957"/>
        <v>5178230.2732676165</v>
      </c>
      <c r="AF266" s="577">
        <f t="shared" si="957"/>
        <v>5178230.2732676165</v>
      </c>
      <c r="AG266" s="577">
        <f t="shared" si="957"/>
        <v>5178230.2732676165</v>
      </c>
      <c r="AH266" s="752">
        <f t="shared" si="957"/>
        <v>5178230.2732676165</v>
      </c>
      <c r="AI266" s="18"/>
      <c r="AJ266" s="18"/>
      <c r="AK266" s="18"/>
      <c r="AL266" s="18"/>
      <c r="AM266" s="18"/>
      <c r="AN266" s="18"/>
    </row>
    <row r="267" spans="2:40" ht="21.95" customHeight="1" x14ac:dyDescent="0.2">
      <c r="B267" s="232"/>
      <c r="C267" s="715"/>
      <c r="D267" s="715"/>
      <c r="E267" s="1340"/>
      <c r="F267" s="116" t="s">
        <v>339</v>
      </c>
      <c r="G267" s="116" t="s">
        <v>288</v>
      </c>
      <c r="H267" s="116" t="s">
        <v>20</v>
      </c>
      <c r="I267" s="577">
        <f t="shared" ref="I267:AH267" si="958">I176*$D$13</f>
        <v>3826.0577994579949</v>
      </c>
      <c r="J267" s="577">
        <f t="shared" si="958"/>
        <v>7269.5098189703249</v>
      </c>
      <c r="K267" s="577">
        <f t="shared" si="958"/>
        <v>10712.961838491927</v>
      </c>
      <c r="L267" s="577">
        <f t="shared" si="958"/>
        <v>23304.170282313593</v>
      </c>
      <c r="M267" s="577">
        <f t="shared" si="958"/>
        <v>35877.993128087182</v>
      </c>
      <c r="N267" s="577">
        <f t="shared" si="958"/>
        <v>48486.742792777484</v>
      </c>
      <c r="O267" s="577">
        <f t="shared" si="958"/>
        <v>61079.769497097695</v>
      </c>
      <c r="P267" s="577">
        <f t="shared" si="958"/>
        <v>73684.519857254578</v>
      </c>
      <c r="Q267" s="577">
        <f t="shared" si="958"/>
        <v>95836.076599151362</v>
      </c>
      <c r="R267" s="577">
        <f t="shared" si="958"/>
        <v>120065.16882148042</v>
      </c>
      <c r="S267" s="577">
        <f t="shared" si="958"/>
        <v>156492.63552286019</v>
      </c>
      <c r="T267" s="577">
        <f t="shared" si="958"/>
        <v>246751.02939154333</v>
      </c>
      <c r="U267" s="577">
        <f t="shared" si="958"/>
        <v>530267.74896391772</v>
      </c>
      <c r="V267" s="577">
        <f t="shared" si="958"/>
        <v>605728.16018517467</v>
      </c>
      <c r="W267" s="577">
        <f t="shared" si="958"/>
        <v>616329.31816259818</v>
      </c>
      <c r="X267" s="577">
        <f t="shared" si="958"/>
        <v>626981.02693150914</v>
      </c>
      <c r="Y267" s="577">
        <f t="shared" si="958"/>
        <v>637633.19016895792</v>
      </c>
      <c r="Z267" s="577">
        <f t="shared" si="958"/>
        <v>648285.87188283377</v>
      </c>
      <c r="AA267" s="577">
        <f t="shared" si="958"/>
        <v>658939.15676384571</v>
      </c>
      <c r="AB267" s="577">
        <f t="shared" si="958"/>
        <v>669593.14158404211</v>
      </c>
      <c r="AC267" s="577">
        <f t="shared" si="958"/>
        <v>680247.93667884578</v>
      </c>
      <c r="AD267" s="577">
        <f t="shared" si="958"/>
        <v>690903.66758228058</v>
      </c>
      <c r="AE267" s="577">
        <f t="shared" si="958"/>
        <v>701506.68855290895</v>
      </c>
      <c r="AF267" s="577">
        <f t="shared" si="958"/>
        <v>712164.69399082672</v>
      </c>
      <c r="AG267" s="577">
        <f t="shared" si="958"/>
        <v>722824.15794432629</v>
      </c>
      <c r="AH267" s="752">
        <f t="shared" si="958"/>
        <v>733485.24954116368</v>
      </c>
      <c r="AI267" s="18"/>
      <c r="AJ267" s="18"/>
      <c r="AK267" s="18"/>
      <c r="AL267" s="18"/>
      <c r="AM267" s="18"/>
      <c r="AN267" s="18"/>
    </row>
    <row r="268" spans="2:40" ht="21.95" customHeight="1" x14ac:dyDescent="0.2">
      <c r="B268" s="232"/>
      <c r="C268" s="715"/>
      <c r="D268" s="715"/>
      <c r="E268" s="1340"/>
      <c r="F268" s="116"/>
      <c r="G268" s="116"/>
      <c r="H268" s="124" t="s">
        <v>19</v>
      </c>
      <c r="I268" s="577">
        <f t="shared" ref="I268:AH268" si="959">I177*$D$14</f>
        <v>15793.639024390244</v>
      </c>
      <c r="J268" s="577">
        <f t="shared" si="959"/>
        <v>30007.91414634202</v>
      </c>
      <c r="K268" s="577">
        <f t="shared" si="959"/>
        <v>44222.189268332069</v>
      </c>
      <c r="L268" s="577">
        <f t="shared" si="959"/>
        <v>96197.619715500114</v>
      </c>
      <c r="M268" s="577">
        <f t="shared" si="959"/>
        <v>148101.28390241109</v>
      </c>
      <c r="N268" s="577">
        <f t="shared" si="959"/>
        <v>200149.12300751568</v>
      </c>
      <c r="O268" s="577">
        <f t="shared" si="959"/>
        <v>252132.05907834953</v>
      </c>
      <c r="P268" s="577">
        <f t="shared" si="959"/>
        <v>304163.38939674455</v>
      </c>
      <c r="Q268" s="577">
        <f t="shared" si="959"/>
        <v>395603.11909956735</v>
      </c>
      <c r="R268" s="577">
        <f t="shared" si="959"/>
        <v>495618.7373953326</v>
      </c>
      <c r="S268" s="577">
        <f t="shared" si="959"/>
        <v>645988.20116456493</v>
      </c>
      <c r="T268" s="577">
        <f t="shared" si="959"/>
        <v>1018567.1234916553</v>
      </c>
      <c r="U268" s="577">
        <f t="shared" si="959"/>
        <v>2188899.8683183757</v>
      </c>
      <c r="V268" s="577">
        <f t="shared" si="959"/>
        <v>2500393.9852210036</v>
      </c>
      <c r="W268" s="577">
        <f t="shared" si="959"/>
        <v>2544154.6577230454</v>
      </c>
      <c r="X268" s="577">
        <f t="shared" si="959"/>
        <v>2588123.9995643892</v>
      </c>
      <c r="Y268" s="577">
        <f t="shared" si="959"/>
        <v>2632095.2174129491</v>
      </c>
      <c r="Z268" s="577">
        <f t="shared" si="959"/>
        <v>2676068.5754878088</v>
      </c>
      <c r="AA268" s="577">
        <f t="shared" si="959"/>
        <v>2720044.4233849663</v>
      </c>
      <c r="AB268" s="577">
        <f t="shared" si="959"/>
        <v>2764023.1605711509</v>
      </c>
      <c r="AC268" s="577">
        <f t="shared" si="959"/>
        <v>2808005.242501542</v>
      </c>
      <c r="AD268" s="577">
        <f t="shared" si="959"/>
        <v>2851991.1873698421</v>
      </c>
      <c r="AE268" s="577">
        <f t="shared" si="959"/>
        <v>2895759.5501483311</v>
      </c>
      <c r="AF268" s="577">
        <f t="shared" si="959"/>
        <v>2939754.8841002402</v>
      </c>
      <c r="AG268" s="577">
        <f t="shared" si="959"/>
        <v>2983756.238679599</v>
      </c>
      <c r="AH268" s="752">
        <f t="shared" si="959"/>
        <v>3027764.3120313035</v>
      </c>
      <c r="AI268" s="18"/>
      <c r="AJ268" s="18"/>
      <c r="AK268" s="18"/>
      <c r="AL268" s="18"/>
      <c r="AM268" s="18"/>
      <c r="AN268" s="18"/>
    </row>
    <row r="269" spans="2:40" ht="21.95" customHeight="1" x14ac:dyDescent="0.2">
      <c r="B269" s="232"/>
      <c r="C269" s="715"/>
      <c r="D269" s="715"/>
      <c r="E269" s="1340"/>
      <c r="F269" s="116"/>
      <c r="G269" s="116"/>
      <c r="H269" s="720" t="s">
        <v>25</v>
      </c>
      <c r="I269" s="577">
        <f t="shared" ref="I269" si="960">SUM(I267:I268)</f>
        <v>19619.69682384824</v>
      </c>
      <c r="J269" s="577">
        <f t="shared" ref="J269:AH269" si="961">SUM(J267:J268)</f>
        <v>37277.423965312344</v>
      </c>
      <c r="K269" s="577">
        <f t="shared" si="961"/>
        <v>54935.151106823992</v>
      </c>
      <c r="L269" s="577">
        <f t="shared" si="961"/>
        <v>119501.7899978137</v>
      </c>
      <c r="M269" s="577">
        <f t="shared" si="961"/>
        <v>183979.27703049826</v>
      </c>
      <c r="N269" s="577">
        <f t="shared" si="961"/>
        <v>248635.86580029316</v>
      </c>
      <c r="O269" s="577">
        <f t="shared" si="961"/>
        <v>313211.8285754472</v>
      </c>
      <c r="P269" s="577">
        <f t="shared" si="961"/>
        <v>377847.90925399913</v>
      </c>
      <c r="Q269" s="577">
        <f t="shared" si="961"/>
        <v>491439.19569871871</v>
      </c>
      <c r="R269" s="577">
        <f t="shared" si="961"/>
        <v>615683.90621681302</v>
      </c>
      <c r="S269" s="577">
        <f t="shared" si="961"/>
        <v>802480.83668742515</v>
      </c>
      <c r="T269" s="577">
        <f t="shared" si="961"/>
        <v>1265318.1528831986</v>
      </c>
      <c r="U269" s="577">
        <f t="shared" si="961"/>
        <v>2719167.6172822933</v>
      </c>
      <c r="V269" s="577">
        <f t="shared" si="961"/>
        <v>3106122.1454061782</v>
      </c>
      <c r="W269" s="577">
        <f t="shared" si="961"/>
        <v>3160483.9758856436</v>
      </c>
      <c r="X269" s="577">
        <f t="shared" si="961"/>
        <v>3215105.0264958981</v>
      </c>
      <c r="Y269" s="577">
        <f t="shared" si="961"/>
        <v>3269728.4075819068</v>
      </c>
      <c r="Z269" s="577">
        <f t="shared" si="961"/>
        <v>3324354.4473706428</v>
      </c>
      <c r="AA269" s="577">
        <f t="shared" si="961"/>
        <v>3378983.5801488119</v>
      </c>
      <c r="AB269" s="577">
        <f t="shared" si="961"/>
        <v>3433616.3021551929</v>
      </c>
      <c r="AC269" s="577">
        <f t="shared" si="961"/>
        <v>3488253.1791803879</v>
      </c>
      <c r="AD269" s="577">
        <f t="shared" si="961"/>
        <v>3542894.8549521226</v>
      </c>
      <c r="AE269" s="577">
        <f t="shared" si="961"/>
        <v>3597266.2387012402</v>
      </c>
      <c r="AF269" s="577">
        <f t="shared" si="961"/>
        <v>3651919.5780910668</v>
      </c>
      <c r="AG269" s="577">
        <f t="shared" si="961"/>
        <v>3706580.3966239253</v>
      </c>
      <c r="AH269" s="752">
        <f t="shared" si="961"/>
        <v>3761249.561572467</v>
      </c>
      <c r="AI269" s="18"/>
      <c r="AJ269" s="18"/>
      <c r="AK269" s="18"/>
      <c r="AL269" s="18"/>
      <c r="AM269" s="18"/>
      <c r="AN269" s="18"/>
    </row>
    <row r="270" spans="2:40" ht="21.95" customHeight="1" x14ac:dyDescent="0.2">
      <c r="B270" s="232"/>
      <c r="C270" s="715"/>
      <c r="D270" s="715"/>
      <c r="E270" s="1340"/>
      <c r="F270" s="116" t="s">
        <v>288</v>
      </c>
      <c r="G270" s="116" t="s">
        <v>340</v>
      </c>
      <c r="H270" s="116" t="s">
        <v>20</v>
      </c>
      <c r="I270" s="577">
        <f t="shared" ref="I270:AH270" si="962">I179*$D$13</f>
        <v>12212.356496350365</v>
      </c>
      <c r="J270" s="577">
        <f t="shared" si="962"/>
        <v>23198.185321917277</v>
      </c>
      <c r="K270" s="577">
        <f t="shared" si="962"/>
        <v>34180.35044053528</v>
      </c>
      <c r="L270" s="577">
        <f t="shared" si="962"/>
        <v>74357.782077879121</v>
      </c>
      <c r="M270" s="577">
        <f t="shared" si="962"/>
        <v>114536.84202951097</v>
      </c>
      <c r="N270" s="577">
        <f t="shared" si="962"/>
        <v>154767.19388071707</v>
      </c>
      <c r="O270" s="577">
        <f t="shared" si="962"/>
        <v>194944.6255468564</v>
      </c>
      <c r="P270" s="577">
        <f t="shared" si="962"/>
        <v>235146.48211182811</v>
      </c>
      <c r="Q270" s="577">
        <f t="shared" si="962"/>
        <v>305012.15644645999</v>
      </c>
      <c r="R270" s="577">
        <f t="shared" si="962"/>
        <v>374849.36846686155</v>
      </c>
      <c r="S270" s="577">
        <f t="shared" si="962"/>
        <v>444709.97738113953</v>
      </c>
      <c r="T270" s="577">
        <f t="shared" si="962"/>
        <v>514576.73058287619</v>
      </c>
      <c r="U270" s="577">
        <f t="shared" si="962"/>
        <v>584497.43359298399</v>
      </c>
      <c r="V270" s="577">
        <f t="shared" si="962"/>
        <v>625145.77368754393</v>
      </c>
      <c r="W270" s="577">
        <f t="shared" si="962"/>
        <v>636134.03750900005</v>
      </c>
      <c r="X270" s="577">
        <f t="shared" si="962"/>
        <v>647122.76018494228</v>
      </c>
      <c r="Y270" s="577">
        <f t="shared" si="962"/>
        <v>658112.01820022252</v>
      </c>
      <c r="Z270" s="577">
        <f t="shared" si="962"/>
        <v>669098.2339220827</v>
      </c>
      <c r="AA270" s="577">
        <f t="shared" si="962"/>
        <v>680088.83747815946</v>
      </c>
      <c r="AB270" s="577">
        <f t="shared" si="962"/>
        <v>691076.6122600555</v>
      </c>
      <c r="AC270" s="577">
        <f t="shared" si="962"/>
        <v>702069.0191878177</v>
      </c>
      <c r="AD270" s="577">
        <f t="shared" si="962"/>
        <v>713062.54022156249</v>
      </c>
      <c r="AE270" s="577">
        <f t="shared" si="962"/>
        <v>724053.67546817649</v>
      </c>
      <c r="AF270" s="577">
        <f t="shared" si="962"/>
        <v>735049.94721328863</v>
      </c>
      <c r="AG270" s="577">
        <f t="shared" si="962"/>
        <v>746047.90229200688</v>
      </c>
      <c r="AH270" s="752">
        <f t="shared" si="962"/>
        <v>757044.11235691153</v>
      </c>
      <c r="AI270" s="18"/>
      <c r="AJ270" s="18"/>
      <c r="AK270" s="18"/>
      <c r="AL270" s="18"/>
      <c r="AM270" s="18"/>
      <c r="AN270" s="18"/>
    </row>
    <row r="271" spans="2:40" ht="21.95" customHeight="1" x14ac:dyDescent="0.2">
      <c r="B271" s="232"/>
      <c r="C271" s="715"/>
      <c r="D271" s="715"/>
      <c r="E271" s="1340"/>
      <c r="F271" s="116"/>
      <c r="G271" s="116"/>
      <c r="H271" s="124" t="s">
        <v>19</v>
      </c>
      <c r="I271" s="577">
        <f t="shared" ref="I271:AH271" si="963">I180*$D$14</f>
        <v>50411.562043795624</v>
      </c>
      <c r="J271" s="577">
        <f t="shared" si="963"/>
        <v>95760.122872992695</v>
      </c>
      <c r="K271" s="577">
        <f t="shared" si="963"/>
        <v>141093.56023357666</v>
      </c>
      <c r="L271" s="577">
        <f t="shared" si="963"/>
        <v>306942.55820146302</v>
      </c>
      <c r="M271" s="577">
        <f t="shared" si="963"/>
        <v>472798.27771132061</v>
      </c>
      <c r="N271" s="577">
        <f t="shared" si="963"/>
        <v>638865.72579121334</v>
      </c>
      <c r="O271" s="577">
        <f t="shared" si="963"/>
        <v>804714.72387796501</v>
      </c>
      <c r="P271" s="577">
        <f t="shared" si="963"/>
        <v>970664.54585593462</v>
      </c>
      <c r="Q271" s="577">
        <f t="shared" si="963"/>
        <v>1259064.0678895786</v>
      </c>
      <c r="R271" s="577">
        <f t="shared" si="963"/>
        <v>1547346.0999269097</v>
      </c>
      <c r="S271" s="577">
        <f t="shared" si="963"/>
        <v>1835724.712339014</v>
      </c>
      <c r="T271" s="577">
        <f t="shared" si="963"/>
        <v>2124128.6878436981</v>
      </c>
      <c r="U271" s="577">
        <f t="shared" si="963"/>
        <v>2412755.3635383719</v>
      </c>
      <c r="V271" s="577">
        <f t="shared" si="963"/>
        <v>2580548.231300347</v>
      </c>
      <c r="W271" s="577">
        <f t="shared" si="963"/>
        <v>2625906.8435841003</v>
      </c>
      <c r="X271" s="577">
        <f t="shared" si="963"/>
        <v>2671267.3499798863</v>
      </c>
      <c r="Y271" s="577">
        <f t="shared" si="963"/>
        <v>2716630.0662106266</v>
      </c>
      <c r="Z271" s="577">
        <f t="shared" si="963"/>
        <v>2761980.2241145982</v>
      </c>
      <c r="AA271" s="577">
        <f t="shared" si="963"/>
        <v>2807348.4946225467</v>
      </c>
      <c r="AB271" s="577">
        <f t="shared" si="963"/>
        <v>2852705.0881928653</v>
      </c>
      <c r="AC271" s="577">
        <f t="shared" si="963"/>
        <v>2898080.8028647336</v>
      </c>
      <c r="AD271" s="577">
        <f t="shared" si="963"/>
        <v>2943461.1164707127</v>
      </c>
      <c r="AE271" s="577">
        <f t="shared" si="963"/>
        <v>2988831.5817516777</v>
      </c>
      <c r="AF271" s="577">
        <f t="shared" si="963"/>
        <v>3034223.2500586766</v>
      </c>
      <c r="AG271" s="577">
        <f t="shared" si="963"/>
        <v>3079621.8670226815</v>
      </c>
      <c r="AH271" s="752">
        <f t="shared" si="963"/>
        <v>3125013.2807190637</v>
      </c>
      <c r="AI271" s="18"/>
      <c r="AJ271" s="18"/>
      <c r="AK271" s="18"/>
      <c r="AL271" s="18"/>
      <c r="AM271" s="18"/>
      <c r="AN271" s="18"/>
    </row>
    <row r="272" spans="2:40" ht="21.95" customHeight="1" x14ac:dyDescent="0.2">
      <c r="B272" s="232"/>
      <c r="C272" s="715"/>
      <c r="D272" s="715"/>
      <c r="E272" s="1340"/>
      <c r="F272" s="116"/>
      <c r="G272" s="116"/>
      <c r="H272" s="720" t="s">
        <v>25</v>
      </c>
      <c r="I272" s="577">
        <f t="shared" ref="I272" si="964">SUM(I270:I271)</f>
        <v>62623.918540145991</v>
      </c>
      <c r="J272" s="577">
        <f t="shared" ref="J272:AH272" si="965">SUM(J270:J271)</f>
        <v>118958.30819490997</v>
      </c>
      <c r="K272" s="577">
        <f t="shared" si="965"/>
        <v>175273.91067411195</v>
      </c>
      <c r="L272" s="577">
        <f t="shared" si="965"/>
        <v>381300.34027934214</v>
      </c>
      <c r="M272" s="577">
        <f t="shared" si="965"/>
        <v>587335.11974083155</v>
      </c>
      <c r="N272" s="577">
        <f t="shared" si="965"/>
        <v>793632.91967193037</v>
      </c>
      <c r="O272" s="577">
        <f t="shared" si="965"/>
        <v>999659.34942482144</v>
      </c>
      <c r="P272" s="577">
        <f t="shared" si="965"/>
        <v>1205811.0279677627</v>
      </c>
      <c r="Q272" s="577">
        <f t="shared" si="965"/>
        <v>1564076.2243360386</v>
      </c>
      <c r="R272" s="577">
        <f t="shared" si="965"/>
        <v>1922195.4683937712</v>
      </c>
      <c r="S272" s="577">
        <f t="shared" si="965"/>
        <v>2280434.6897201538</v>
      </c>
      <c r="T272" s="577">
        <f t="shared" si="965"/>
        <v>2638705.4184265742</v>
      </c>
      <c r="U272" s="577">
        <f t="shared" si="965"/>
        <v>2997252.7971313559</v>
      </c>
      <c r="V272" s="577">
        <f t="shared" si="965"/>
        <v>3205694.0049878908</v>
      </c>
      <c r="W272" s="577">
        <f t="shared" si="965"/>
        <v>3262040.8810931002</v>
      </c>
      <c r="X272" s="577">
        <f t="shared" si="965"/>
        <v>3318390.1101648286</v>
      </c>
      <c r="Y272" s="577">
        <f t="shared" si="965"/>
        <v>3374742.084410849</v>
      </c>
      <c r="Z272" s="577">
        <f t="shared" si="965"/>
        <v>3431078.4580366807</v>
      </c>
      <c r="AA272" s="577">
        <f t="shared" si="965"/>
        <v>3487437.3321007062</v>
      </c>
      <c r="AB272" s="577">
        <f t="shared" si="965"/>
        <v>3543781.700452921</v>
      </c>
      <c r="AC272" s="577">
        <f t="shared" si="965"/>
        <v>3600149.8220525514</v>
      </c>
      <c r="AD272" s="577">
        <f t="shared" si="965"/>
        <v>3656523.6566922753</v>
      </c>
      <c r="AE272" s="577">
        <f t="shared" si="965"/>
        <v>3712885.2572198543</v>
      </c>
      <c r="AF272" s="577">
        <f t="shared" si="965"/>
        <v>3769273.1972719654</v>
      </c>
      <c r="AG272" s="577">
        <f t="shared" si="965"/>
        <v>3825669.7693146886</v>
      </c>
      <c r="AH272" s="752">
        <f t="shared" si="965"/>
        <v>3882057.3930759751</v>
      </c>
      <c r="AI272" s="18"/>
      <c r="AJ272" s="18"/>
      <c r="AK272" s="18"/>
      <c r="AL272" s="18"/>
      <c r="AM272" s="18"/>
      <c r="AN272" s="18"/>
    </row>
    <row r="273" spans="2:40" ht="21.95" customHeight="1" x14ac:dyDescent="0.2">
      <c r="B273" s="232"/>
      <c r="C273" s="715"/>
      <c r="D273" s="715"/>
      <c r="E273" s="1340"/>
      <c r="F273" s="116" t="s">
        <v>340</v>
      </c>
      <c r="G273" s="116" t="s">
        <v>280</v>
      </c>
      <c r="H273" s="116" t="s">
        <v>20</v>
      </c>
      <c r="I273" s="577">
        <f t="shared" ref="I273:AH273" si="966">I182*$D$13</f>
        <v>17565.718248175184</v>
      </c>
      <c r="J273" s="577">
        <f t="shared" si="966"/>
        <v>33367.25286029197</v>
      </c>
      <c r="K273" s="577">
        <f t="shared" si="966"/>
        <v>49163.517756934314</v>
      </c>
      <c r="L273" s="577">
        <f t="shared" si="966"/>
        <v>106952.97422160694</v>
      </c>
      <c r="M273" s="577">
        <f t="shared" si="966"/>
        <v>164744.7727821733</v>
      </c>
      <c r="N273" s="577">
        <f t="shared" si="966"/>
        <v>222610.3473626753</v>
      </c>
      <c r="O273" s="577">
        <f t="shared" si="966"/>
        <v>280399.80386876618</v>
      </c>
      <c r="P273" s="577">
        <f t="shared" si="966"/>
        <v>338224.39207865694</v>
      </c>
      <c r="Q273" s="577">
        <f t="shared" si="966"/>
        <v>438716.115436689</v>
      </c>
      <c r="R273" s="577">
        <f t="shared" si="966"/>
        <v>539166.89984959539</v>
      </c>
      <c r="S273" s="577">
        <f t="shared" si="966"/>
        <v>639651.33732903656</v>
      </c>
      <c r="T273" s="577">
        <f t="shared" si="966"/>
        <v>740144.61248221924</v>
      </c>
      <c r="U273" s="577">
        <f t="shared" si="966"/>
        <v>840715.48667483986</v>
      </c>
      <c r="V273" s="577">
        <f t="shared" si="966"/>
        <v>899182.27722180984</v>
      </c>
      <c r="W273" s="577">
        <f t="shared" si="966"/>
        <v>914987.31422527425</v>
      </c>
      <c r="X273" s="577">
        <f t="shared" si="966"/>
        <v>930793.0112249169</v>
      </c>
      <c r="Y273" s="577">
        <f t="shared" si="966"/>
        <v>946599.47823319666</v>
      </c>
      <c r="Z273" s="577">
        <f t="shared" si="966"/>
        <v>962401.56933998212</v>
      </c>
      <c r="AA273" s="577">
        <f t="shared" si="966"/>
        <v>978209.97171516111</v>
      </c>
      <c r="AB273" s="577">
        <f t="shared" si="966"/>
        <v>994014.30530555942</v>
      </c>
      <c r="AC273" s="577">
        <f t="shared" si="966"/>
        <v>1009825.3015715186</v>
      </c>
      <c r="AD273" s="577">
        <f t="shared" si="966"/>
        <v>1025637.9003186858</v>
      </c>
      <c r="AE273" s="577">
        <f t="shared" si="966"/>
        <v>1041447.0674542264</v>
      </c>
      <c r="AF273" s="577">
        <f t="shared" si="966"/>
        <v>1057263.6227040454</v>
      </c>
      <c r="AG273" s="577">
        <f t="shared" si="966"/>
        <v>1073082.5991871334</v>
      </c>
      <c r="AH273" s="752">
        <f t="shared" si="966"/>
        <v>1088899.0657188455</v>
      </c>
      <c r="AI273" s="18"/>
      <c r="AJ273" s="18"/>
      <c r="AK273" s="18"/>
      <c r="AL273" s="18"/>
      <c r="AM273" s="18"/>
      <c r="AN273" s="18"/>
    </row>
    <row r="274" spans="2:40" ht="21.95" customHeight="1" x14ac:dyDescent="0.2">
      <c r="B274" s="232"/>
      <c r="C274" s="715"/>
      <c r="D274" s="715"/>
      <c r="E274" s="1340"/>
      <c r="F274" s="116"/>
      <c r="G274" s="116"/>
      <c r="H274" s="116" t="s">
        <v>19</v>
      </c>
      <c r="I274" s="577">
        <f t="shared" ref="I274:AH274" si="967">I183*$D$14</f>
        <v>72509.781021897812</v>
      </c>
      <c r="J274" s="577">
        <f t="shared" si="967"/>
        <v>137737.16303649632</v>
      </c>
      <c r="K274" s="577">
        <f t="shared" si="967"/>
        <v>202942.79211678836</v>
      </c>
      <c r="L274" s="577">
        <f t="shared" si="967"/>
        <v>441492.72070073447</v>
      </c>
      <c r="M274" s="577">
        <f t="shared" si="967"/>
        <v>680052.31725600897</v>
      </c>
      <c r="N274" s="577">
        <f t="shared" si="967"/>
        <v>918916.45490517002</v>
      </c>
      <c r="O274" s="577">
        <f t="shared" si="967"/>
        <v>1157466.3836600871</v>
      </c>
      <c r="P274" s="577">
        <f t="shared" si="967"/>
        <v>1396161.3330804543</v>
      </c>
      <c r="Q274" s="577">
        <f t="shared" si="967"/>
        <v>1810982.5634028187</v>
      </c>
      <c r="R274" s="577">
        <f t="shared" si="967"/>
        <v>2225634.8012647331</v>
      </c>
      <c r="S274" s="577">
        <f t="shared" si="967"/>
        <v>2640425.956104062</v>
      </c>
      <c r="T274" s="577">
        <f t="shared" si="967"/>
        <v>3055253.5921039497</v>
      </c>
      <c r="U274" s="577">
        <f t="shared" si="967"/>
        <v>3470401.550294918</v>
      </c>
      <c r="V274" s="577">
        <f t="shared" si="967"/>
        <v>3711747.4559799512</v>
      </c>
      <c r="W274" s="577">
        <f t="shared" si="967"/>
        <v>3776989.2955661723</v>
      </c>
      <c r="X274" s="577">
        <f t="shared" si="967"/>
        <v>3842233.8595601101</v>
      </c>
      <c r="Y274" s="577">
        <f t="shared" si="967"/>
        <v>3907481.6020837775</v>
      </c>
      <c r="Z274" s="577">
        <f t="shared" si="967"/>
        <v>3972711.2812607237</v>
      </c>
      <c r="AA274" s="577">
        <f t="shared" si="967"/>
        <v>4037967.0128132524</v>
      </c>
      <c r="AB274" s="577">
        <f t="shared" si="967"/>
        <v>4103205.9487705599</v>
      </c>
      <c r="AC274" s="577">
        <f t="shared" si="967"/>
        <v>4168472.387682151</v>
      </c>
      <c r="AD274" s="577">
        <f t="shared" si="967"/>
        <v>4233745.4414989706</v>
      </c>
      <c r="AE274" s="577">
        <f t="shared" si="967"/>
        <v>4299004.3299167966</v>
      </c>
      <c r="AF274" s="577">
        <f t="shared" si="967"/>
        <v>4364293.7158378223</v>
      </c>
      <c r="AG274" s="577">
        <f t="shared" si="967"/>
        <v>4429593.0964024868</v>
      </c>
      <c r="AH274" s="752">
        <f t="shared" si="967"/>
        <v>4494882.1161027635</v>
      </c>
      <c r="AI274" s="18"/>
      <c r="AJ274" s="18"/>
      <c r="AK274" s="18"/>
      <c r="AL274" s="18"/>
      <c r="AM274" s="18"/>
      <c r="AN274" s="18"/>
    </row>
    <row r="275" spans="2:40" ht="21.95" customHeight="1" x14ac:dyDescent="0.2">
      <c r="B275" s="232"/>
      <c r="C275" s="715"/>
      <c r="D275" s="715"/>
      <c r="E275" s="1340"/>
      <c r="F275" s="254"/>
      <c r="G275" s="254"/>
      <c r="H275" s="721" t="s">
        <v>25</v>
      </c>
      <c r="I275" s="587">
        <f t="shared" ref="I275" si="968">SUM(I273:I274)</f>
        <v>90075.499270072993</v>
      </c>
      <c r="J275" s="587">
        <f t="shared" ref="J275:AH275" si="969">SUM(J273:J274)</f>
        <v>171104.4158967883</v>
      </c>
      <c r="K275" s="587">
        <f t="shared" si="969"/>
        <v>252106.30987372267</v>
      </c>
      <c r="L275" s="587">
        <f t="shared" si="969"/>
        <v>548445.69492234138</v>
      </c>
      <c r="M275" s="587">
        <f t="shared" si="969"/>
        <v>844797.09003818221</v>
      </c>
      <c r="N275" s="587">
        <f t="shared" si="969"/>
        <v>1141526.8022678453</v>
      </c>
      <c r="O275" s="587">
        <f t="shared" si="969"/>
        <v>1437866.1875288533</v>
      </c>
      <c r="P275" s="587">
        <f t="shared" si="969"/>
        <v>1734385.7251591112</v>
      </c>
      <c r="Q275" s="587">
        <f t="shared" si="969"/>
        <v>2249698.6788395075</v>
      </c>
      <c r="R275" s="587">
        <f t="shared" si="969"/>
        <v>2764801.7011143286</v>
      </c>
      <c r="S275" s="587">
        <f t="shared" si="969"/>
        <v>3280077.2934330986</v>
      </c>
      <c r="T275" s="587">
        <f t="shared" si="969"/>
        <v>3795398.2045861688</v>
      </c>
      <c r="U275" s="587">
        <f t="shared" si="969"/>
        <v>4311117.0369697576</v>
      </c>
      <c r="V275" s="587">
        <f t="shared" si="969"/>
        <v>4610929.7332017608</v>
      </c>
      <c r="W275" s="587">
        <f t="shared" si="969"/>
        <v>4691976.6097914465</v>
      </c>
      <c r="X275" s="587">
        <f t="shared" si="969"/>
        <v>4773026.8707850268</v>
      </c>
      <c r="Y275" s="587">
        <f t="shared" si="969"/>
        <v>4854081.0803169739</v>
      </c>
      <c r="Z275" s="587">
        <f t="shared" si="969"/>
        <v>4935112.8506007055</v>
      </c>
      <c r="AA275" s="587">
        <f t="shared" si="969"/>
        <v>5016176.984528413</v>
      </c>
      <c r="AB275" s="587">
        <f t="shared" si="969"/>
        <v>5097220.2540761195</v>
      </c>
      <c r="AC275" s="587">
        <f t="shared" si="969"/>
        <v>5178297.6892536692</v>
      </c>
      <c r="AD275" s="587">
        <f t="shared" si="969"/>
        <v>5259383.3418176565</v>
      </c>
      <c r="AE275" s="587">
        <f t="shared" si="969"/>
        <v>5340451.397371023</v>
      </c>
      <c r="AF275" s="587">
        <f t="shared" si="969"/>
        <v>5421557.3385418672</v>
      </c>
      <c r="AG275" s="587">
        <f t="shared" si="969"/>
        <v>5502675.6955896206</v>
      </c>
      <c r="AH275" s="754">
        <f t="shared" si="969"/>
        <v>5583781.1818216089</v>
      </c>
      <c r="AI275" s="18"/>
      <c r="AJ275" s="18"/>
      <c r="AK275" s="18"/>
      <c r="AL275" s="18"/>
      <c r="AM275" s="18"/>
      <c r="AN275" s="18"/>
    </row>
    <row r="276" spans="2:40" ht="21.95" customHeight="1" x14ac:dyDescent="0.2">
      <c r="B276" s="232"/>
      <c r="C276" s="715"/>
      <c r="D276" s="715"/>
      <c r="E276" s="1340" t="s">
        <v>334</v>
      </c>
      <c r="F276" s="116" t="s">
        <v>336</v>
      </c>
      <c r="G276" s="116" t="s">
        <v>337</v>
      </c>
      <c r="H276" s="116" t="s">
        <v>20</v>
      </c>
      <c r="I276" s="577">
        <f t="shared" ref="I276:AH276" si="970">I185*$D$13</f>
        <v>441273.34221684485</v>
      </c>
      <c r="J276" s="577">
        <f t="shared" si="970"/>
        <v>453227.83116582269</v>
      </c>
      <c r="K276" s="577">
        <f t="shared" si="970"/>
        <v>472684.93579779321</v>
      </c>
      <c r="L276" s="577">
        <f t="shared" si="970"/>
        <v>500601.132040906</v>
      </c>
      <c r="M276" s="577">
        <f t="shared" si="970"/>
        <v>528533.08479376498</v>
      </c>
      <c r="N276" s="577">
        <f t="shared" si="970"/>
        <v>556467.00405533973</v>
      </c>
      <c r="O276" s="577">
        <f t="shared" si="970"/>
        <v>584399.58155983535</v>
      </c>
      <c r="P276" s="577">
        <f t="shared" si="970"/>
        <v>612368.42615720397</v>
      </c>
      <c r="Q276" s="577">
        <f t="shared" si="970"/>
        <v>637251.07519431342</v>
      </c>
      <c r="R276" s="577">
        <f t="shared" si="970"/>
        <v>662163.24255916418</v>
      </c>
      <c r="S276" s="577">
        <f t="shared" si="970"/>
        <v>687097.98799560638</v>
      </c>
      <c r="T276" s="577">
        <f t="shared" si="970"/>
        <v>712075.16203982593</v>
      </c>
      <c r="U276" s="577">
        <f t="shared" si="970"/>
        <v>737132.98976420716</v>
      </c>
      <c r="V276" s="577">
        <f t="shared" si="970"/>
        <v>753675.19890668802</v>
      </c>
      <c r="W276" s="577">
        <f t="shared" si="970"/>
        <v>765780.97483350942</v>
      </c>
      <c r="X276" s="577">
        <f t="shared" si="970"/>
        <v>777912.4689676346</v>
      </c>
      <c r="Y276" s="577">
        <f t="shared" si="970"/>
        <v>790073.53291626961</v>
      </c>
      <c r="Z276" s="577">
        <f t="shared" si="970"/>
        <v>802274.96288809692</v>
      </c>
      <c r="AA276" s="577">
        <f t="shared" si="970"/>
        <v>814508.81547208538</v>
      </c>
      <c r="AB276" s="577">
        <f t="shared" si="970"/>
        <v>826793.54050149245</v>
      </c>
      <c r="AC276" s="577">
        <f t="shared" si="970"/>
        <v>839122.42279409443</v>
      </c>
      <c r="AD276" s="577">
        <f t="shared" si="970"/>
        <v>851508.92348457698</v>
      </c>
      <c r="AE276" s="577">
        <f t="shared" si="970"/>
        <v>863967.47353034327</v>
      </c>
      <c r="AF276" s="577">
        <f t="shared" si="970"/>
        <v>876493.72499510192</v>
      </c>
      <c r="AG276" s="577">
        <f t="shared" si="970"/>
        <v>889104.04014785343</v>
      </c>
      <c r="AH276" s="752">
        <f t="shared" si="970"/>
        <v>901816.09651633177</v>
      </c>
      <c r="AI276" s="18"/>
      <c r="AJ276" s="18"/>
      <c r="AK276" s="18"/>
      <c r="AL276" s="18"/>
      <c r="AM276" s="18"/>
      <c r="AN276" s="18"/>
    </row>
    <row r="277" spans="2:40" ht="21.95" customHeight="1" x14ac:dyDescent="0.2">
      <c r="B277" s="232"/>
      <c r="C277" s="715"/>
      <c r="D277" s="715"/>
      <c r="E277" s="1340"/>
      <c r="F277" s="116"/>
      <c r="G277" s="116"/>
      <c r="H277" s="124" t="s">
        <v>19</v>
      </c>
      <c r="I277" s="577">
        <f t="shared" ref="I277:AH277" si="971">I186*$D$14</f>
        <v>1170989.0849647084</v>
      </c>
      <c r="J277" s="577">
        <f t="shared" si="971"/>
        <v>1202712.2251055993</v>
      </c>
      <c r="K277" s="577">
        <f t="shared" si="971"/>
        <v>1254344.7507292691</v>
      </c>
      <c r="L277" s="577">
        <f t="shared" si="971"/>
        <v>1328424.8230268476</v>
      </c>
      <c r="M277" s="577">
        <f t="shared" si="971"/>
        <v>1402546.707732212</v>
      </c>
      <c r="N277" s="577">
        <f t="shared" si="971"/>
        <v>1476673.8108816142</v>
      </c>
      <c r="O277" s="577">
        <f t="shared" si="971"/>
        <v>1550797.3534649364</v>
      </c>
      <c r="P277" s="577">
        <f t="shared" si="971"/>
        <v>1625017.1365546172</v>
      </c>
      <c r="Q277" s="577">
        <f t="shared" si="971"/>
        <v>1691047.2082582111</v>
      </c>
      <c r="R277" s="577">
        <f t="shared" si="971"/>
        <v>1757155.6115451674</v>
      </c>
      <c r="S277" s="577">
        <f t="shared" si="971"/>
        <v>1823323.9293405784</v>
      </c>
      <c r="T277" s="577">
        <f t="shared" si="971"/>
        <v>1889604.8382033492</v>
      </c>
      <c r="U277" s="577">
        <f t="shared" si="971"/>
        <v>1956099.7744502737</v>
      </c>
      <c r="V277" s="577">
        <f t="shared" si="971"/>
        <v>1999997.1607046409</v>
      </c>
      <c r="W277" s="577">
        <f t="shared" si="971"/>
        <v>2032121.7649332157</v>
      </c>
      <c r="X277" s="577">
        <f t="shared" si="971"/>
        <v>2064314.6165204141</v>
      </c>
      <c r="Y277" s="577">
        <f t="shared" si="971"/>
        <v>2096585.9363193146</v>
      </c>
      <c r="Z277" s="577">
        <f t="shared" si="971"/>
        <v>2128964.3737889174</v>
      </c>
      <c r="AA277" s="577">
        <f t="shared" si="971"/>
        <v>2161428.8498230902</v>
      </c>
      <c r="AB277" s="577">
        <f t="shared" si="971"/>
        <v>2194028.3239924572</v>
      </c>
      <c r="AC277" s="577">
        <f t="shared" si="971"/>
        <v>2226744.9764916175</v>
      </c>
      <c r="AD277" s="577">
        <f t="shared" si="971"/>
        <v>2259614.5285851033</v>
      </c>
      <c r="AE277" s="577">
        <f t="shared" si="971"/>
        <v>2292675.2751164665</v>
      </c>
      <c r="AF277" s="577">
        <f t="shared" si="971"/>
        <v>2325915.6781443651</v>
      </c>
      <c r="AG277" s="577">
        <f t="shared" si="971"/>
        <v>2359379.15755523</v>
      </c>
      <c r="AH277" s="752">
        <f t="shared" si="971"/>
        <v>2393112.6234839954</v>
      </c>
      <c r="AI277" s="18"/>
      <c r="AJ277" s="18"/>
      <c r="AK277" s="18"/>
      <c r="AL277" s="18"/>
      <c r="AM277" s="18"/>
      <c r="AN277" s="18"/>
    </row>
    <row r="278" spans="2:40" ht="21.95" customHeight="1" x14ac:dyDescent="0.2">
      <c r="B278" s="232"/>
      <c r="C278" s="715"/>
      <c r="D278" s="715"/>
      <c r="E278" s="1340"/>
      <c r="F278" s="116"/>
      <c r="G278" s="116"/>
      <c r="H278" s="721" t="s">
        <v>25</v>
      </c>
      <c r="I278" s="577">
        <f t="shared" ref="I278" si="972">SUM(I276:I277)</f>
        <v>1612262.4271815533</v>
      </c>
      <c r="J278" s="577">
        <f t="shared" ref="J278:AH278" si="973">SUM(J276:J277)</f>
        <v>1655940.056271422</v>
      </c>
      <c r="K278" s="577">
        <f t="shared" si="973"/>
        <v>1727029.6865270622</v>
      </c>
      <c r="L278" s="577">
        <f t="shared" si="973"/>
        <v>1829025.9550677536</v>
      </c>
      <c r="M278" s="577">
        <f t="shared" si="973"/>
        <v>1931079.7925259769</v>
      </c>
      <c r="N278" s="577">
        <f t="shared" si="973"/>
        <v>2033140.8149369541</v>
      </c>
      <c r="O278" s="577">
        <f t="shared" si="973"/>
        <v>2135196.9350247718</v>
      </c>
      <c r="P278" s="577">
        <f t="shared" si="973"/>
        <v>2237385.5627118209</v>
      </c>
      <c r="Q278" s="577">
        <f t="shared" si="973"/>
        <v>2328298.2834525248</v>
      </c>
      <c r="R278" s="577">
        <f t="shared" si="973"/>
        <v>2419318.8541043317</v>
      </c>
      <c r="S278" s="577">
        <f t="shared" si="973"/>
        <v>2510421.9173361845</v>
      </c>
      <c r="T278" s="577">
        <f t="shared" si="973"/>
        <v>2601680.0002431748</v>
      </c>
      <c r="U278" s="577">
        <f t="shared" si="973"/>
        <v>2693232.7642144808</v>
      </c>
      <c r="V278" s="577">
        <f t="shared" si="973"/>
        <v>2753672.3596113287</v>
      </c>
      <c r="W278" s="577">
        <f t="shared" si="973"/>
        <v>2797902.7397667253</v>
      </c>
      <c r="X278" s="577">
        <f t="shared" si="973"/>
        <v>2842227.0854880488</v>
      </c>
      <c r="Y278" s="577">
        <f t="shared" si="973"/>
        <v>2886659.4692355841</v>
      </c>
      <c r="Z278" s="577">
        <f t="shared" si="973"/>
        <v>2931239.3366770144</v>
      </c>
      <c r="AA278" s="577">
        <f t="shared" si="973"/>
        <v>2975937.6652951757</v>
      </c>
      <c r="AB278" s="577">
        <f t="shared" si="973"/>
        <v>3020821.8644939498</v>
      </c>
      <c r="AC278" s="577">
        <f t="shared" si="973"/>
        <v>3065867.3992857118</v>
      </c>
      <c r="AD278" s="577">
        <f t="shared" si="973"/>
        <v>3111123.4520696802</v>
      </c>
      <c r="AE278" s="577">
        <f t="shared" si="973"/>
        <v>3156642.7486468097</v>
      </c>
      <c r="AF278" s="577">
        <f t="shared" si="973"/>
        <v>3202409.4031394669</v>
      </c>
      <c r="AG278" s="577">
        <f t="shared" si="973"/>
        <v>3248483.1977030835</v>
      </c>
      <c r="AH278" s="752">
        <f t="shared" si="973"/>
        <v>3294928.7200003271</v>
      </c>
      <c r="AI278" s="18"/>
      <c r="AJ278" s="18"/>
      <c r="AK278" s="18"/>
      <c r="AL278" s="18"/>
      <c r="AM278" s="18"/>
      <c r="AN278" s="18"/>
    </row>
    <row r="279" spans="2:40" ht="21.95" customHeight="1" x14ac:dyDescent="0.2">
      <c r="B279" s="232"/>
      <c r="C279" s="715"/>
      <c r="D279" s="715"/>
      <c r="E279" s="1340"/>
      <c r="F279" s="116" t="s">
        <v>337</v>
      </c>
      <c r="G279" s="116" t="s">
        <v>386</v>
      </c>
      <c r="H279" s="116" t="s">
        <v>20</v>
      </c>
      <c r="I279" s="577">
        <f t="shared" ref="I279:AH279" si="974">I188*$D$13</f>
        <v>729386.2565907801</v>
      </c>
      <c r="J279" s="577">
        <f t="shared" si="974"/>
        <v>744570.87108727882</v>
      </c>
      <c r="K279" s="577">
        <f t="shared" si="974"/>
        <v>780624.35973404639</v>
      </c>
      <c r="L279" s="577">
        <f t="shared" si="974"/>
        <v>820219.62839562504</v>
      </c>
      <c r="M279" s="577">
        <f t="shared" si="974"/>
        <v>860014.9603567532</v>
      </c>
      <c r="N279" s="577">
        <f t="shared" si="974"/>
        <v>899980.089176498</v>
      </c>
      <c r="O279" s="577">
        <f t="shared" si="974"/>
        <v>940215.07440589962</v>
      </c>
      <c r="P279" s="577">
        <f t="shared" si="974"/>
        <v>980964.90073066042</v>
      </c>
      <c r="Q279" s="577">
        <f t="shared" si="974"/>
        <v>1003655.1372344301</v>
      </c>
      <c r="R279" s="577">
        <f t="shared" si="974"/>
        <v>1026618.0461313546</v>
      </c>
      <c r="S279" s="577">
        <f t="shared" si="974"/>
        <v>1049834.3561955295</v>
      </c>
      <c r="T279" s="577">
        <f t="shared" si="974"/>
        <v>1073435.219103782</v>
      </c>
      <c r="U279" s="577">
        <f t="shared" si="974"/>
        <v>1097419.7236870171</v>
      </c>
      <c r="V279" s="577">
        <f t="shared" si="974"/>
        <v>1117981.6145688368</v>
      </c>
      <c r="W279" s="577">
        <f t="shared" si="974"/>
        <v>1136075.0330625381</v>
      </c>
      <c r="X279" s="577">
        <f t="shared" si="974"/>
        <v>1154557.7833422653</v>
      </c>
      <c r="Y279" s="577">
        <f t="shared" si="974"/>
        <v>1173439.4696515868</v>
      </c>
      <c r="Z279" s="577">
        <f t="shared" si="974"/>
        <v>1192772.9318270721</v>
      </c>
      <c r="AA279" s="577">
        <f t="shared" si="974"/>
        <v>1212617.1419440941</v>
      </c>
      <c r="AB279" s="577">
        <f t="shared" si="974"/>
        <v>1233037.8181699375</v>
      </c>
      <c r="AC279" s="577">
        <f t="shared" si="974"/>
        <v>1254108.0906288677</v>
      </c>
      <c r="AD279" s="577">
        <f t="shared" si="974"/>
        <v>1275909.2228289985</v>
      </c>
      <c r="AE279" s="577">
        <f t="shared" si="974"/>
        <v>1298531.3924622221</v>
      </c>
      <c r="AF279" s="577">
        <f t="shared" si="974"/>
        <v>1322074.5355948068</v>
      </c>
      <c r="AG279" s="577">
        <f t="shared" si="974"/>
        <v>1346596.5773058382</v>
      </c>
      <c r="AH279" s="752">
        <f t="shared" si="974"/>
        <v>1372322.5845365655</v>
      </c>
      <c r="AI279" s="18"/>
      <c r="AJ279" s="18"/>
      <c r="AK279" s="18"/>
      <c r="AL279" s="18"/>
      <c r="AM279" s="18"/>
      <c r="AN279" s="18"/>
    </row>
    <row r="280" spans="2:40" ht="21.95" customHeight="1" x14ac:dyDescent="0.2">
      <c r="B280" s="232"/>
      <c r="C280" s="715"/>
      <c r="D280" s="715"/>
      <c r="E280" s="1340"/>
      <c r="F280" s="116"/>
      <c r="G280" s="116"/>
      <c r="H280" s="124" t="s">
        <v>19</v>
      </c>
      <c r="I280" s="577">
        <f t="shared" ref="I280:AH280" si="975">I189*$D$14</f>
        <v>1935542.584331684</v>
      </c>
      <c r="J280" s="577">
        <f t="shared" si="975"/>
        <v>1975837.3770002588</v>
      </c>
      <c r="K280" s="577">
        <f t="shared" si="975"/>
        <v>2071511.0505291659</v>
      </c>
      <c r="L280" s="577">
        <f t="shared" si="975"/>
        <v>2176583.4013447049</v>
      </c>
      <c r="M280" s="577">
        <f t="shared" si="975"/>
        <v>2282186.6519850502</v>
      </c>
      <c r="N280" s="577">
        <f t="shared" si="975"/>
        <v>2388240.4856293504</v>
      </c>
      <c r="O280" s="577">
        <f t="shared" si="975"/>
        <v>2495010.4262304595</v>
      </c>
      <c r="P280" s="577">
        <f t="shared" si="975"/>
        <v>2603146.5796649302</v>
      </c>
      <c r="Q280" s="577">
        <f t="shared" si="975"/>
        <v>2663358.7355765044</v>
      </c>
      <c r="R280" s="577">
        <f t="shared" si="975"/>
        <v>2724294.471105536</v>
      </c>
      <c r="S280" s="577">
        <f t="shared" si="975"/>
        <v>2785902.6469852063</v>
      </c>
      <c r="T280" s="577">
        <f t="shared" si="975"/>
        <v>2848531.2950754673</v>
      </c>
      <c r="U280" s="577">
        <f t="shared" si="975"/>
        <v>2912177.9974440248</v>
      </c>
      <c r="V280" s="577">
        <f t="shared" si="975"/>
        <v>2966742.2493154062</v>
      </c>
      <c r="W280" s="577">
        <f t="shared" si="975"/>
        <v>3014756.0166084492</v>
      </c>
      <c r="X280" s="577">
        <f t="shared" si="975"/>
        <v>3063802.9377955743</v>
      </c>
      <c r="Y280" s="577">
        <f t="shared" si="975"/>
        <v>3113908.4992665369</v>
      </c>
      <c r="Z280" s="577">
        <f t="shared" si="975"/>
        <v>3165212.9199422505</v>
      </c>
      <c r="AA280" s="577">
        <f t="shared" si="975"/>
        <v>3217872.6916158362</v>
      </c>
      <c r="AB280" s="577">
        <f t="shared" si="975"/>
        <v>3272062.2079095948</v>
      </c>
      <c r="AC280" s="577">
        <f t="shared" si="975"/>
        <v>3327975.5312540065</v>
      </c>
      <c r="AD280" s="577">
        <f t="shared" si="975"/>
        <v>3385828.3073088108</v>
      </c>
      <c r="AE280" s="577">
        <f t="shared" si="975"/>
        <v>3445859.8369399547</v>
      </c>
      <c r="AF280" s="577">
        <f t="shared" si="975"/>
        <v>3508335.3164137886</v>
      </c>
      <c r="AG280" s="577">
        <f t="shared" si="975"/>
        <v>3573408.4591520517</v>
      </c>
      <c r="AH280" s="752">
        <f t="shared" si="975"/>
        <v>3641676.5161245507</v>
      </c>
      <c r="AI280" s="18"/>
      <c r="AJ280" s="18"/>
      <c r="AK280" s="18"/>
      <c r="AL280" s="18"/>
      <c r="AM280" s="18"/>
      <c r="AN280" s="18"/>
    </row>
    <row r="281" spans="2:40" ht="21.95" customHeight="1" x14ac:dyDescent="0.2">
      <c r="B281" s="232"/>
      <c r="C281" s="715"/>
      <c r="D281" s="715"/>
      <c r="E281" s="1340"/>
      <c r="F281" s="116"/>
      <c r="G281" s="116"/>
      <c r="H281" s="721" t="s">
        <v>25</v>
      </c>
      <c r="I281" s="577">
        <f t="shared" ref="I281" si="976">SUM(I279:I280)</f>
        <v>2664928.8409224642</v>
      </c>
      <c r="J281" s="577">
        <f t="shared" ref="J281:AH281" si="977">SUM(J279:J280)</f>
        <v>2720408.2480875375</v>
      </c>
      <c r="K281" s="577">
        <f t="shared" si="977"/>
        <v>2852135.4102632124</v>
      </c>
      <c r="L281" s="577">
        <f t="shared" si="977"/>
        <v>2996803.0297403298</v>
      </c>
      <c r="M281" s="577">
        <f t="shared" si="977"/>
        <v>3142201.6123418035</v>
      </c>
      <c r="N281" s="577">
        <f t="shared" si="977"/>
        <v>3288220.5748058483</v>
      </c>
      <c r="O281" s="577">
        <f t="shared" si="977"/>
        <v>3435225.5006363592</v>
      </c>
      <c r="P281" s="577">
        <f t="shared" si="977"/>
        <v>3584111.4803955909</v>
      </c>
      <c r="Q281" s="577">
        <f t="shared" si="977"/>
        <v>3667013.8728109347</v>
      </c>
      <c r="R281" s="577">
        <f t="shared" si="977"/>
        <v>3750912.5172368907</v>
      </c>
      <c r="S281" s="577">
        <f t="shared" si="977"/>
        <v>3835737.0031807357</v>
      </c>
      <c r="T281" s="577">
        <f t="shared" si="977"/>
        <v>3921966.5141792493</v>
      </c>
      <c r="U281" s="577">
        <f t="shared" si="977"/>
        <v>4009597.7211310416</v>
      </c>
      <c r="V281" s="577">
        <f t="shared" si="977"/>
        <v>4084723.8638842432</v>
      </c>
      <c r="W281" s="577">
        <f t="shared" si="977"/>
        <v>4150831.0496709873</v>
      </c>
      <c r="X281" s="577">
        <f t="shared" si="977"/>
        <v>4218360.7211378394</v>
      </c>
      <c r="Y281" s="577">
        <f t="shared" si="977"/>
        <v>4287347.9689181242</v>
      </c>
      <c r="Z281" s="577">
        <f t="shared" si="977"/>
        <v>4357985.8517693225</v>
      </c>
      <c r="AA281" s="577">
        <f t="shared" si="977"/>
        <v>4430489.8335599303</v>
      </c>
      <c r="AB281" s="577">
        <f t="shared" si="977"/>
        <v>4505100.0260795318</v>
      </c>
      <c r="AC281" s="577">
        <f t="shared" si="977"/>
        <v>4582083.6218828745</v>
      </c>
      <c r="AD281" s="577">
        <f t="shared" si="977"/>
        <v>4661737.530137809</v>
      </c>
      <c r="AE281" s="577">
        <f t="shared" si="977"/>
        <v>4744391.229402177</v>
      </c>
      <c r="AF281" s="577">
        <f t="shared" si="977"/>
        <v>4830409.8520085951</v>
      </c>
      <c r="AG281" s="577">
        <f t="shared" si="977"/>
        <v>4920005.0364578897</v>
      </c>
      <c r="AH281" s="752">
        <f t="shared" si="977"/>
        <v>5013999.1006611157</v>
      </c>
      <c r="AI281" s="18"/>
      <c r="AJ281" s="18"/>
      <c r="AK281" s="18"/>
      <c r="AL281" s="18"/>
      <c r="AM281" s="18"/>
      <c r="AN281" s="18"/>
    </row>
    <row r="282" spans="2:40" ht="21.95" customHeight="1" x14ac:dyDescent="0.2">
      <c r="B282" s="232"/>
      <c r="C282" s="715"/>
      <c r="D282" s="715"/>
      <c r="E282" s="1340"/>
      <c r="F282" s="116" t="s">
        <v>342</v>
      </c>
      <c r="G282" s="116" t="s">
        <v>341</v>
      </c>
      <c r="H282" s="116" t="s">
        <v>20</v>
      </c>
      <c r="I282" s="577">
        <f t="shared" ref="I282:AH282" si="978">I191*$D$13</f>
        <v>1057505.2844368031</v>
      </c>
      <c r="J282" s="577">
        <f t="shared" si="978"/>
        <v>1079535.5337715799</v>
      </c>
      <c r="K282" s="577">
        <f t="shared" si="978"/>
        <v>1131858.6975738662</v>
      </c>
      <c r="L282" s="577">
        <f t="shared" si="978"/>
        <v>1189358.4746990658</v>
      </c>
      <c r="M282" s="577">
        <f t="shared" si="978"/>
        <v>1247207.5685676469</v>
      </c>
      <c r="N282" s="577">
        <f t="shared" si="978"/>
        <v>1305392.7507330817</v>
      </c>
      <c r="O282" s="577">
        <f t="shared" si="978"/>
        <v>1364103.4195753047</v>
      </c>
      <c r="P282" s="577">
        <f t="shared" si="978"/>
        <v>1423759.2343840699</v>
      </c>
      <c r="Q282" s="577">
        <f t="shared" si="978"/>
        <v>1457088.4851092508</v>
      </c>
      <c r="R282" s="577">
        <f t="shared" si="978"/>
        <v>1490919.1783738213</v>
      </c>
      <c r="S282" s="577">
        <f t="shared" si="978"/>
        <v>1525244.2109012573</v>
      </c>
      <c r="T282" s="577">
        <f t="shared" si="978"/>
        <v>1560282.4596161868</v>
      </c>
      <c r="U282" s="577">
        <f t="shared" si="978"/>
        <v>1596061.57419649</v>
      </c>
      <c r="V282" s="577">
        <f t="shared" si="978"/>
        <v>1626889.6401947294</v>
      </c>
      <c r="W282" s="577">
        <f t="shared" si="978"/>
        <v>1654146.7816180659</v>
      </c>
      <c r="X282" s="577">
        <f t="shared" si="978"/>
        <v>1682126.185080624</v>
      </c>
      <c r="Y282" s="577">
        <f t="shared" si="978"/>
        <v>1710860.7172332234</v>
      </c>
      <c r="Z282" s="577">
        <f t="shared" si="978"/>
        <v>1740450.3963083907</v>
      </c>
      <c r="AA282" s="577">
        <f t="shared" si="978"/>
        <v>1771006.8479872402</v>
      </c>
      <c r="AB282" s="577">
        <f t="shared" si="978"/>
        <v>1802654.4673353785</v>
      </c>
      <c r="AC282" s="577">
        <f t="shared" si="978"/>
        <v>1835531.6791899784</v>
      </c>
      <c r="AD282" s="577">
        <f t="shared" si="978"/>
        <v>1869792.3037173788</v>
      </c>
      <c r="AE282" s="577">
        <f t="shared" si="978"/>
        <v>1905607.0343553654</v>
      </c>
      <c r="AF282" s="577">
        <f t="shared" si="978"/>
        <v>1943165.0357449153</v>
      </c>
      <c r="AG282" s="577">
        <f t="shared" si="978"/>
        <v>1982590.6389484759</v>
      </c>
      <c r="AH282" s="752">
        <f t="shared" si="978"/>
        <v>2024280.4890172358</v>
      </c>
      <c r="AI282" s="18"/>
      <c r="AJ282" s="18"/>
      <c r="AK282" s="18"/>
      <c r="AL282" s="18"/>
      <c r="AM282" s="18"/>
      <c r="AN282" s="18"/>
    </row>
    <row r="283" spans="2:40" ht="21.95" customHeight="1" x14ac:dyDescent="0.2">
      <c r="B283" s="232"/>
      <c r="C283" s="715"/>
      <c r="D283" s="715"/>
      <c r="E283" s="1340"/>
      <c r="F283" s="116"/>
      <c r="G283" s="116"/>
      <c r="H283" s="124" t="s">
        <v>19</v>
      </c>
      <c r="I283" s="577">
        <f t="shared" ref="I283:AH283" si="979">I192*$D$14</f>
        <v>2806258.6766446293</v>
      </c>
      <c r="J283" s="577">
        <f t="shared" si="979"/>
        <v>2864719.4515023991</v>
      </c>
      <c r="K283" s="577">
        <f t="shared" si="979"/>
        <v>3003567.2989510889</v>
      </c>
      <c r="L283" s="577">
        <f t="shared" si="979"/>
        <v>3156152.1142115244</v>
      </c>
      <c r="M283" s="577">
        <f t="shared" si="979"/>
        <v>3309663.8970781155</v>
      </c>
      <c r="N283" s="577">
        <f t="shared" si="979"/>
        <v>3464067.5437614117</v>
      </c>
      <c r="O283" s="577">
        <f t="shared" si="979"/>
        <v>3619865.6530236681</v>
      </c>
      <c r="P283" s="577">
        <f t="shared" si="979"/>
        <v>3778171.8576196665</v>
      </c>
      <c r="Q283" s="577">
        <f t="shared" si="979"/>
        <v>3866616.3319973196</v>
      </c>
      <c r="R283" s="577">
        <f t="shared" si="979"/>
        <v>3956391.4640063909</v>
      </c>
      <c r="S283" s="577">
        <f t="shared" si="979"/>
        <v>4047478.4039714485</v>
      </c>
      <c r="T283" s="577">
        <f t="shared" si="979"/>
        <v>4140457.9766674559</v>
      </c>
      <c r="U283" s="577">
        <f t="shared" si="979"/>
        <v>4235403.5549177909</v>
      </c>
      <c r="V283" s="577">
        <f t="shared" si="979"/>
        <v>4317210.7373167016</v>
      </c>
      <c r="W283" s="577">
        <f t="shared" si="979"/>
        <v>4389541.9026975948</v>
      </c>
      <c r="X283" s="577">
        <f t="shared" si="979"/>
        <v>4463789.7054175222</v>
      </c>
      <c r="Y283" s="577">
        <f t="shared" si="979"/>
        <v>4540041.3623683434</v>
      </c>
      <c r="Z283" s="577">
        <f t="shared" si="979"/>
        <v>4618562.2878576573</v>
      </c>
      <c r="AA283" s="577">
        <f t="shared" si="979"/>
        <v>4699648.6984063415</v>
      </c>
      <c r="AB283" s="577">
        <f t="shared" si="979"/>
        <v>4783630.6961305002</v>
      </c>
      <c r="AC283" s="577">
        <f t="shared" si="979"/>
        <v>4870875.6133792987</v>
      </c>
      <c r="AD283" s="577">
        <f t="shared" si="979"/>
        <v>4961791.6364594903</v>
      </c>
      <c r="AE283" s="577">
        <f t="shared" si="979"/>
        <v>5056831.7275906345</v>
      </c>
      <c r="AF283" s="577">
        <f t="shared" si="979"/>
        <v>5156497.865271437</v>
      </c>
      <c r="AG283" s="577">
        <f t="shared" si="979"/>
        <v>5261119.9817754356</v>
      </c>
      <c r="AH283" s="752">
        <f t="shared" si="979"/>
        <v>5371750.6379104331</v>
      </c>
      <c r="AI283" s="18"/>
      <c r="AJ283" s="18"/>
      <c r="AK283" s="18"/>
      <c r="AL283" s="18"/>
      <c r="AM283" s="18"/>
      <c r="AN283" s="18"/>
    </row>
    <row r="284" spans="2:40" ht="21.95" customHeight="1" x14ac:dyDescent="0.2">
      <c r="B284" s="232"/>
      <c r="C284" s="715"/>
      <c r="D284" s="715"/>
      <c r="E284" s="1340"/>
      <c r="F284" s="116"/>
      <c r="G284" s="116"/>
      <c r="H284" s="721" t="s">
        <v>25</v>
      </c>
      <c r="I284" s="577">
        <f t="shared" ref="I284" si="980">SUM(I282:I283)</f>
        <v>3863763.9610814322</v>
      </c>
      <c r="J284" s="577">
        <f t="shared" ref="J284:AH284" si="981">SUM(J282:J283)</f>
        <v>3944254.9852739787</v>
      </c>
      <c r="K284" s="577">
        <f t="shared" si="981"/>
        <v>4135425.9965249551</v>
      </c>
      <c r="L284" s="577">
        <f t="shared" si="981"/>
        <v>4345510.5889105899</v>
      </c>
      <c r="M284" s="577">
        <f t="shared" si="981"/>
        <v>4556871.4656457622</v>
      </c>
      <c r="N284" s="577">
        <f t="shared" si="981"/>
        <v>4769460.2944944929</v>
      </c>
      <c r="O284" s="577">
        <f t="shared" si="981"/>
        <v>4983969.0725989733</v>
      </c>
      <c r="P284" s="577">
        <f t="shared" si="981"/>
        <v>5201931.0920037366</v>
      </c>
      <c r="Q284" s="577">
        <f t="shared" si="981"/>
        <v>5323704.8171065701</v>
      </c>
      <c r="R284" s="577">
        <f t="shared" si="981"/>
        <v>5447310.6423802124</v>
      </c>
      <c r="S284" s="577">
        <f t="shared" si="981"/>
        <v>5572722.6148727061</v>
      </c>
      <c r="T284" s="577">
        <f t="shared" si="981"/>
        <v>5700740.4362836424</v>
      </c>
      <c r="U284" s="577">
        <f t="shared" si="981"/>
        <v>5831465.1291142814</v>
      </c>
      <c r="V284" s="577">
        <f t="shared" si="981"/>
        <v>5944100.3775114305</v>
      </c>
      <c r="W284" s="577">
        <f t="shared" si="981"/>
        <v>6043688.684315661</v>
      </c>
      <c r="X284" s="577">
        <f t="shared" si="981"/>
        <v>6145915.8904981464</v>
      </c>
      <c r="Y284" s="577">
        <f t="shared" si="981"/>
        <v>6250902.0796015672</v>
      </c>
      <c r="Z284" s="577">
        <f t="shared" si="981"/>
        <v>6359012.6841660477</v>
      </c>
      <c r="AA284" s="577">
        <f t="shared" si="981"/>
        <v>6470655.5463935817</v>
      </c>
      <c r="AB284" s="577">
        <f t="shared" si="981"/>
        <v>6586285.1634658789</v>
      </c>
      <c r="AC284" s="577">
        <f t="shared" si="981"/>
        <v>6706407.2925692769</v>
      </c>
      <c r="AD284" s="577">
        <f t="shared" si="981"/>
        <v>6831583.9401768688</v>
      </c>
      <c r="AE284" s="577">
        <f t="shared" si="981"/>
        <v>6962438.7619460002</v>
      </c>
      <c r="AF284" s="577">
        <f t="shared" si="981"/>
        <v>7099662.9010163527</v>
      </c>
      <c r="AG284" s="577">
        <f t="shared" si="981"/>
        <v>7243710.6207239116</v>
      </c>
      <c r="AH284" s="752">
        <f t="shared" si="981"/>
        <v>7396031.1269276692</v>
      </c>
      <c r="AI284" s="18"/>
      <c r="AJ284" s="18"/>
      <c r="AK284" s="18"/>
      <c r="AL284" s="18"/>
      <c r="AM284" s="18"/>
      <c r="AN284" s="18"/>
    </row>
    <row r="285" spans="2:40" ht="21.95" customHeight="1" x14ac:dyDescent="0.2">
      <c r="B285" s="232"/>
      <c r="C285" s="715"/>
      <c r="D285" s="715"/>
      <c r="E285" s="1340"/>
      <c r="F285" s="116" t="s">
        <v>341</v>
      </c>
      <c r="G285" s="116" t="s">
        <v>344</v>
      </c>
      <c r="H285" s="116" t="s">
        <v>20</v>
      </c>
      <c r="I285" s="577">
        <f t="shared" ref="I285:AH285" si="982">I194*$D$13</f>
        <v>1093186.5065553952</v>
      </c>
      <c r="J285" s="577">
        <f t="shared" si="982"/>
        <v>1117178.213159682</v>
      </c>
      <c r="K285" s="577">
        <f t="shared" si="982"/>
        <v>1172002.5300329211</v>
      </c>
      <c r="L285" s="577">
        <f t="shared" si="982"/>
        <v>1232795.5390771702</v>
      </c>
      <c r="M285" s="577">
        <f t="shared" si="982"/>
        <v>1294703.7392003946</v>
      </c>
      <c r="N285" s="577">
        <f t="shared" si="982"/>
        <v>1358200.4833540891</v>
      </c>
      <c r="O285" s="577">
        <f t="shared" si="982"/>
        <v>1424138.079553677</v>
      </c>
      <c r="P285" s="577">
        <f t="shared" si="982"/>
        <v>1493714.8862885167</v>
      </c>
      <c r="Q285" s="577">
        <f t="shared" si="982"/>
        <v>1534188.095990506</v>
      </c>
      <c r="R285" s="577">
        <f t="shared" si="982"/>
        <v>1576520.4790248303</v>
      </c>
      <c r="S285" s="577">
        <f t="shared" si="982"/>
        <v>1621230.11609285</v>
      </c>
      <c r="T285" s="577">
        <f t="shared" si="982"/>
        <v>1668685.5535868951</v>
      </c>
      <c r="U285" s="577">
        <f t="shared" si="982"/>
        <v>1719581.7356278417</v>
      </c>
      <c r="V285" s="577">
        <f t="shared" si="982"/>
        <v>1765304.1558748824</v>
      </c>
      <c r="W285" s="577">
        <f t="shared" si="982"/>
        <v>1807635.4267640978</v>
      </c>
      <c r="X285" s="577">
        <f t="shared" si="982"/>
        <v>1852874.2089688808</v>
      </c>
      <c r="Y285" s="577">
        <f t="shared" si="982"/>
        <v>1901240.550819135</v>
      </c>
      <c r="Z285" s="577">
        <f t="shared" si="982"/>
        <v>1953236.2205961677</v>
      </c>
      <c r="AA285" s="577">
        <f t="shared" si="982"/>
        <v>2009334.7498641277</v>
      </c>
      <c r="AB285" s="577">
        <f t="shared" si="982"/>
        <v>2070063.814391444</v>
      </c>
      <c r="AC285" s="577">
        <f t="shared" si="982"/>
        <v>2136010.5765268514</v>
      </c>
      <c r="AD285" s="577">
        <f t="shared" si="982"/>
        <v>2207827.4726257268</v>
      </c>
      <c r="AE285" s="577">
        <f t="shared" si="982"/>
        <v>2286238.4765698807</v>
      </c>
      <c r="AF285" s="577">
        <f t="shared" si="982"/>
        <v>2372205.092444024</v>
      </c>
      <c r="AG285" s="577">
        <f t="shared" si="982"/>
        <v>2466312.3177759345</v>
      </c>
      <c r="AH285" s="752">
        <f t="shared" si="982"/>
        <v>2569687.0893724705</v>
      </c>
      <c r="AI285" s="18"/>
      <c r="AJ285" s="18"/>
      <c r="AK285" s="18"/>
      <c r="AL285" s="18"/>
      <c r="AM285" s="18"/>
      <c r="AN285" s="18"/>
    </row>
    <row r="286" spans="2:40" ht="21.95" customHeight="1" x14ac:dyDescent="0.2">
      <c r="B286" s="232"/>
      <c r="C286" s="715"/>
      <c r="D286" s="715"/>
      <c r="E286" s="1340"/>
      <c r="F286" s="116"/>
      <c r="G286" s="116"/>
      <c r="H286" s="124" t="s">
        <v>19</v>
      </c>
      <c r="I286" s="577">
        <f t="shared" ref="I286:AH286" si="983">I195*$D$14</f>
        <v>2900944.4816587484</v>
      </c>
      <c r="J286" s="577">
        <f t="shared" si="983"/>
        <v>2964610.2957370654</v>
      </c>
      <c r="K286" s="577">
        <f t="shared" si="983"/>
        <v>3110095.3511602907</v>
      </c>
      <c r="L286" s="577">
        <f t="shared" si="983"/>
        <v>3271419.2817547526</v>
      </c>
      <c r="M286" s="577">
        <f t="shared" si="983"/>
        <v>3435702.5494679487</v>
      </c>
      <c r="N286" s="577">
        <f t="shared" si="983"/>
        <v>3604201.2717366396</v>
      </c>
      <c r="O286" s="577">
        <f t="shared" si="983"/>
        <v>3779177.1836071215</v>
      </c>
      <c r="P286" s="577">
        <f t="shared" si="983"/>
        <v>3963810.3201657296</v>
      </c>
      <c r="Q286" s="577">
        <f t="shared" si="983"/>
        <v>4071212.4273413485</v>
      </c>
      <c r="R286" s="577">
        <f t="shared" si="983"/>
        <v>4183548.1470218264</v>
      </c>
      <c r="S286" s="577">
        <f t="shared" si="983"/>
        <v>4302192.2888509464</v>
      </c>
      <c r="T286" s="577">
        <f t="shared" si="983"/>
        <v>4428122.8493706072</v>
      </c>
      <c r="U286" s="577">
        <f t="shared" si="983"/>
        <v>4563183.9734732229</v>
      </c>
      <c r="V286" s="577">
        <f t="shared" si="983"/>
        <v>4684515.6967504099</v>
      </c>
      <c r="W286" s="577">
        <f t="shared" si="983"/>
        <v>4796848.4651767351</v>
      </c>
      <c r="X286" s="577">
        <f t="shared" si="983"/>
        <v>4916896.777890956</v>
      </c>
      <c r="Y286" s="577">
        <f t="shared" si="983"/>
        <v>5045244.568178473</v>
      </c>
      <c r="Z286" s="577">
        <f t="shared" si="983"/>
        <v>5183223.3580787573</v>
      </c>
      <c r="AA286" s="577">
        <f t="shared" si="983"/>
        <v>5332089.7390056923</v>
      </c>
      <c r="AB286" s="577">
        <f t="shared" si="983"/>
        <v>5493243.9826415107</v>
      </c>
      <c r="AC286" s="577">
        <f t="shared" si="983"/>
        <v>5668244.2177823354</v>
      </c>
      <c r="AD286" s="577">
        <f t="shared" si="983"/>
        <v>5858821.7881956007</v>
      </c>
      <c r="AE286" s="577">
        <f t="shared" si="983"/>
        <v>6066897.8738672547</v>
      </c>
      <c r="AF286" s="577">
        <f t="shared" si="983"/>
        <v>6295023.9790025782</v>
      </c>
      <c r="AG286" s="577">
        <f t="shared" si="983"/>
        <v>6544752.4877005471</v>
      </c>
      <c r="AH286" s="752">
        <f t="shared" si="983"/>
        <v>6819073.9062393038</v>
      </c>
      <c r="AI286" s="18"/>
      <c r="AJ286" s="18"/>
      <c r="AK286" s="18"/>
      <c r="AL286" s="18"/>
      <c r="AM286" s="18"/>
      <c r="AN286" s="18"/>
    </row>
    <row r="287" spans="2:40" ht="21.95" customHeight="1" x14ac:dyDescent="0.2">
      <c r="B287" s="232"/>
      <c r="C287" s="715"/>
      <c r="D287" s="715"/>
      <c r="E287" s="1340"/>
      <c r="F287" s="116"/>
      <c r="G287" s="116"/>
      <c r="H287" s="721" t="s">
        <v>25</v>
      </c>
      <c r="I287" s="577">
        <f t="shared" ref="I287" si="984">SUM(I285:I286)</f>
        <v>3994130.9882141436</v>
      </c>
      <c r="J287" s="577">
        <f t="shared" ref="J287:AH287" si="985">SUM(J285:J286)</f>
        <v>4081788.5088967476</v>
      </c>
      <c r="K287" s="577">
        <f t="shared" si="985"/>
        <v>4282097.8811932113</v>
      </c>
      <c r="L287" s="577">
        <f t="shared" si="985"/>
        <v>4504214.8208319228</v>
      </c>
      <c r="M287" s="577">
        <f t="shared" si="985"/>
        <v>4730406.2886683438</v>
      </c>
      <c r="N287" s="577">
        <f t="shared" si="985"/>
        <v>4962401.7550907284</v>
      </c>
      <c r="O287" s="577">
        <f t="shared" si="985"/>
        <v>5203315.2631607987</v>
      </c>
      <c r="P287" s="577">
        <f t="shared" si="985"/>
        <v>5457525.2064542463</v>
      </c>
      <c r="Q287" s="577">
        <f t="shared" si="985"/>
        <v>5605400.5233318545</v>
      </c>
      <c r="R287" s="577">
        <f t="shared" si="985"/>
        <v>5760068.6260466566</v>
      </c>
      <c r="S287" s="577">
        <f t="shared" si="985"/>
        <v>5923422.4049437959</v>
      </c>
      <c r="T287" s="577">
        <f t="shared" si="985"/>
        <v>6096808.4029575028</v>
      </c>
      <c r="U287" s="577">
        <f t="shared" si="985"/>
        <v>6282765.7091010641</v>
      </c>
      <c r="V287" s="577">
        <f t="shared" si="985"/>
        <v>6449819.8526252918</v>
      </c>
      <c r="W287" s="577">
        <f t="shared" si="985"/>
        <v>6604483.8919408331</v>
      </c>
      <c r="X287" s="577">
        <f t="shared" si="985"/>
        <v>6769770.9868598366</v>
      </c>
      <c r="Y287" s="577">
        <f t="shared" si="985"/>
        <v>6946485.1189976083</v>
      </c>
      <c r="Z287" s="577">
        <f t="shared" si="985"/>
        <v>7136459.5786749255</v>
      </c>
      <c r="AA287" s="577">
        <f t="shared" si="985"/>
        <v>7341424.4888698198</v>
      </c>
      <c r="AB287" s="577">
        <f t="shared" si="985"/>
        <v>7563307.7970329542</v>
      </c>
      <c r="AC287" s="577">
        <f t="shared" si="985"/>
        <v>7804254.7943091867</v>
      </c>
      <c r="AD287" s="577">
        <f t="shared" si="985"/>
        <v>8066649.2608213276</v>
      </c>
      <c r="AE287" s="577">
        <f t="shared" si="985"/>
        <v>8353136.3504371354</v>
      </c>
      <c r="AF287" s="577">
        <f t="shared" si="985"/>
        <v>8667229.0714466013</v>
      </c>
      <c r="AG287" s="577">
        <f t="shared" si="985"/>
        <v>9011064.8054764811</v>
      </c>
      <c r="AH287" s="752">
        <f t="shared" si="985"/>
        <v>9388760.9956117738</v>
      </c>
      <c r="AI287" s="18"/>
      <c r="AJ287" s="18"/>
      <c r="AK287" s="18"/>
      <c r="AL287" s="18"/>
      <c r="AM287" s="18"/>
      <c r="AN287" s="18"/>
    </row>
    <row r="288" spans="2:40" ht="21.95" customHeight="1" x14ac:dyDescent="0.2">
      <c r="B288" s="232"/>
      <c r="C288" s="715"/>
      <c r="D288" s="715"/>
      <c r="E288" s="1340"/>
      <c r="F288" s="116" t="s">
        <v>344</v>
      </c>
      <c r="G288" s="116" t="s">
        <v>345</v>
      </c>
      <c r="H288" s="116" t="s">
        <v>20</v>
      </c>
      <c r="I288" s="577">
        <f t="shared" ref="I288:AH288" si="986">I197*$D$13</f>
        <v>368627.94755787193</v>
      </c>
      <c r="J288" s="577">
        <f t="shared" si="986"/>
        <v>376658.81453886197</v>
      </c>
      <c r="K288" s="577">
        <f t="shared" si="986"/>
        <v>394949.3393571942</v>
      </c>
      <c r="L288" s="577">
        <f t="shared" si="986"/>
        <v>415091.58185656974</v>
      </c>
      <c r="M288" s="577">
        <f t="shared" si="986"/>
        <v>435381.10335060081</v>
      </c>
      <c r="N288" s="577">
        <f t="shared" si="986"/>
        <v>455858.68700972473</v>
      </c>
      <c r="O288" s="577">
        <f t="shared" si="986"/>
        <v>476639.00674420747</v>
      </c>
      <c r="P288" s="577">
        <f t="shared" si="986"/>
        <v>497879.656707077</v>
      </c>
      <c r="Q288" s="577">
        <f t="shared" si="986"/>
        <v>509854.88833660237</v>
      </c>
      <c r="R288" s="577">
        <f t="shared" si="986"/>
        <v>522051.74797264929</v>
      </c>
      <c r="S288" s="577">
        <f t="shared" si="986"/>
        <v>534552.41882184905</v>
      </c>
      <c r="T288" s="577">
        <f t="shared" si="986"/>
        <v>547384.68501750112</v>
      </c>
      <c r="U288" s="577">
        <f t="shared" si="986"/>
        <v>560652.66593298956</v>
      </c>
      <c r="V288" s="577">
        <f t="shared" si="986"/>
        <v>572149.59721656283</v>
      </c>
      <c r="W288" s="577">
        <f t="shared" si="986"/>
        <v>582455.09928850515</v>
      </c>
      <c r="X288" s="577">
        <f t="shared" si="986"/>
        <v>593130.17977514607</v>
      </c>
      <c r="Y288" s="577">
        <f t="shared" si="986"/>
        <v>604184.2047656863</v>
      </c>
      <c r="Z288" s="577">
        <f t="shared" si="986"/>
        <v>615688.37112984736</v>
      </c>
      <c r="AA288" s="577">
        <f t="shared" si="986"/>
        <v>627701.4104435679</v>
      </c>
      <c r="AB288" s="577">
        <f t="shared" si="986"/>
        <v>640288.7697262466</v>
      </c>
      <c r="AC288" s="577">
        <f t="shared" si="986"/>
        <v>653523.27404950268</v>
      </c>
      <c r="AD288" s="577">
        <f t="shared" si="986"/>
        <v>667485.84434501675</v>
      </c>
      <c r="AE288" s="577">
        <f t="shared" si="986"/>
        <v>682266.27426169545</v>
      </c>
      <c r="AF288" s="577">
        <f t="shared" si="986"/>
        <v>697992.78117284144</v>
      </c>
      <c r="AG288" s="577">
        <f t="shared" si="986"/>
        <v>714719.99539743783</v>
      </c>
      <c r="AH288" s="752">
        <f t="shared" si="986"/>
        <v>732596.65273927711</v>
      </c>
      <c r="AI288" s="18"/>
      <c r="AJ288" s="18"/>
      <c r="AK288" s="18"/>
      <c r="AL288" s="18"/>
      <c r="AM288" s="18"/>
      <c r="AN288" s="18"/>
    </row>
    <row r="289" spans="2:40" ht="21.95" customHeight="1" x14ac:dyDescent="0.2">
      <c r="B289" s="232"/>
      <c r="C289" s="715"/>
      <c r="D289" s="715"/>
      <c r="E289" s="1340"/>
      <c r="F289" s="116"/>
      <c r="G289" s="116"/>
      <c r="H289" s="124" t="s">
        <v>19</v>
      </c>
      <c r="I289" s="577">
        <f t="shared" ref="I289:AH289" si="987">I198*$D$14</f>
        <v>978212.96168643341</v>
      </c>
      <c r="J289" s="577">
        <f t="shared" si="987"/>
        <v>999524.14611080708</v>
      </c>
      <c r="K289" s="577">
        <f t="shared" si="987"/>
        <v>1048060.9664248202</v>
      </c>
      <c r="L289" s="577">
        <f t="shared" si="987"/>
        <v>1101511.6144857008</v>
      </c>
      <c r="M289" s="577">
        <f t="shared" si="987"/>
        <v>1155353.0908126165</v>
      </c>
      <c r="N289" s="577">
        <f t="shared" si="987"/>
        <v>1209693.6200429145</v>
      </c>
      <c r="O289" s="577">
        <f t="shared" si="987"/>
        <v>1264837.5076589452</v>
      </c>
      <c r="P289" s="577">
        <f t="shared" si="987"/>
        <v>1321202.9548421423</v>
      </c>
      <c r="Q289" s="577">
        <f t="shared" si="987"/>
        <v>1352981.1389890725</v>
      </c>
      <c r="R289" s="577">
        <f t="shared" si="987"/>
        <v>1385347.4483448712</v>
      </c>
      <c r="S289" s="577">
        <f t="shared" si="987"/>
        <v>1418519.9691357515</v>
      </c>
      <c r="T289" s="577">
        <f t="shared" si="987"/>
        <v>1452572.4309839588</v>
      </c>
      <c r="U289" s="577">
        <f t="shared" si="987"/>
        <v>1487781.1312274516</v>
      </c>
      <c r="V289" s="577">
        <f t="shared" si="987"/>
        <v>1518290.0692385717</v>
      </c>
      <c r="W289" s="577">
        <f t="shared" si="987"/>
        <v>1545637.3601052735</v>
      </c>
      <c r="X289" s="577">
        <f t="shared" si="987"/>
        <v>1573965.3861495785</v>
      </c>
      <c r="Y289" s="577">
        <f t="shared" si="987"/>
        <v>1603299.0017807009</v>
      </c>
      <c r="Z289" s="577">
        <f t="shared" si="987"/>
        <v>1633827.1392303247</v>
      </c>
      <c r="AA289" s="577">
        <f t="shared" si="987"/>
        <v>1665705.6520880219</v>
      </c>
      <c r="AB289" s="577">
        <f t="shared" si="987"/>
        <v>1699108.2144419986</v>
      </c>
      <c r="AC289" s="577">
        <f t="shared" si="987"/>
        <v>1734228.0792169606</v>
      </c>
      <c r="AD289" s="577">
        <f t="shared" si="987"/>
        <v>1771279.9829915264</v>
      </c>
      <c r="AE289" s="577">
        <f t="shared" si="987"/>
        <v>1810502.2075124253</v>
      </c>
      <c r="AF289" s="577">
        <f t="shared" si="987"/>
        <v>1852234.9979979298</v>
      </c>
      <c r="AG289" s="577">
        <f t="shared" si="987"/>
        <v>1896623.3246991688</v>
      </c>
      <c r="AH289" s="752">
        <f t="shared" si="987"/>
        <v>1944061.8817572135</v>
      </c>
      <c r="AI289" s="18"/>
      <c r="AJ289" s="18"/>
      <c r="AK289" s="18"/>
      <c r="AL289" s="18"/>
      <c r="AM289" s="18"/>
      <c r="AN289" s="18"/>
    </row>
    <row r="290" spans="2:40" ht="21.95" customHeight="1" x14ac:dyDescent="0.2">
      <c r="B290" s="232"/>
      <c r="C290" s="715"/>
      <c r="D290" s="715"/>
      <c r="E290" s="1340"/>
      <c r="F290" s="116"/>
      <c r="G290" s="116"/>
      <c r="H290" s="721" t="s">
        <v>25</v>
      </c>
      <c r="I290" s="577">
        <f t="shared" ref="I290" si="988">SUM(I288:I289)</f>
        <v>1346840.9092443055</v>
      </c>
      <c r="J290" s="577">
        <f t="shared" ref="J290:AH290" si="989">SUM(J288:J289)</f>
        <v>1376182.9606496692</v>
      </c>
      <c r="K290" s="577">
        <f t="shared" si="989"/>
        <v>1443010.3057820145</v>
      </c>
      <c r="L290" s="577">
        <f t="shared" si="989"/>
        <v>1516603.1963422706</v>
      </c>
      <c r="M290" s="577">
        <f t="shared" si="989"/>
        <v>1590734.1941632172</v>
      </c>
      <c r="N290" s="577">
        <f t="shared" si="989"/>
        <v>1665552.3070526393</v>
      </c>
      <c r="O290" s="577">
        <f t="shared" si="989"/>
        <v>1741476.5144031527</v>
      </c>
      <c r="P290" s="577">
        <f t="shared" si="989"/>
        <v>1819082.6115492193</v>
      </c>
      <c r="Q290" s="577">
        <f t="shared" si="989"/>
        <v>1862836.0273256749</v>
      </c>
      <c r="R290" s="577">
        <f t="shared" si="989"/>
        <v>1907399.1963175205</v>
      </c>
      <c r="S290" s="577">
        <f t="shared" si="989"/>
        <v>1953072.3879576004</v>
      </c>
      <c r="T290" s="577">
        <f t="shared" si="989"/>
        <v>1999957.1160014598</v>
      </c>
      <c r="U290" s="577">
        <f t="shared" si="989"/>
        <v>2048433.7971604411</v>
      </c>
      <c r="V290" s="577">
        <f t="shared" si="989"/>
        <v>2090439.6664551345</v>
      </c>
      <c r="W290" s="577">
        <f t="shared" si="989"/>
        <v>2128092.4593937788</v>
      </c>
      <c r="X290" s="577">
        <f t="shared" si="989"/>
        <v>2167095.5659247246</v>
      </c>
      <c r="Y290" s="577">
        <f t="shared" si="989"/>
        <v>2207483.2065463872</v>
      </c>
      <c r="Z290" s="577">
        <f t="shared" si="989"/>
        <v>2249515.510360172</v>
      </c>
      <c r="AA290" s="577">
        <f t="shared" si="989"/>
        <v>2293407.0625315895</v>
      </c>
      <c r="AB290" s="577">
        <f t="shared" si="989"/>
        <v>2339396.9841682455</v>
      </c>
      <c r="AC290" s="577">
        <f t="shared" si="989"/>
        <v>2387751.3532664631</v>
      </c>
      <c r="AD290" s="577">
        <f t="shared" si="989"/>
        <v>2438765.8273365432</v>
      </c>
      <c r="AE290" s="577">
        <f t="shared" si="989"/>
        <v>2492768.4817741206</v>
      </c>
      <c r="AF290" s="577">
        <f t="shared" si="989"/>
        <v>2550227.7791707711</v>
      </c>
      <c r="AG290" s="577">
        <f t="shared" si="989"/>
        <v>2611343.3200966064</v>
      </c>
      <c r="AH290" s="752">
        <f t="shared" si="989"/>
        <v>2676658.5344964908</v>
      </c>
      <c r="AI290" s="18"/>
      <c r="AJ290" s="18"/>
      <c r="AK290" s="18"/>
      <c r="AL290" s="18"/>
      <c r="AM290" s="18"/>
      <c r="AN290" s="18"/>
    </row>
    <row r="291" spans="2:40" ht="21.95" customHeight="1" x14ac:dyDescent="0.2">
      <c r="B291" s="232"/>
      <c r="C291" s="715"/>
      <c r="D291" s="715"/>
      <c r="E291" s="1340"/>
      <c r="F291" s="116" t="s">
        <v>345</v>
      </c>
      <c r="G291" s="116" t="s">
        <v>323</v>
      </c>
      <c r="H291" s="116" t="s">
        <v>20</v>
      </c>
      <c r="I291" s="577">
        <f t="shared" ref="I291:AH291" si="990">I200*$D$13</f>
        <v>3641695.0293918885</v>
      </c>
      <c r="J291" s="577">
        <f t="shared" si="990"/>
        <v>3720994.620404006</v>
      </c>
      <c r="K291" s="577">
        <f t="shared" si="990"/>
        <v>3901484.2994391522</v>
      </c>
      <c r="L291" s="577">
        <f t="shared" si="990"/>
        <v>4100177.5765410797</v>
      </c>
      <c r="M291" s="577">
        <f t="shared" si="990"/>
        <v>4300072.2505544564</v>
      </c>
      <c r="N291" s="577">
        <f t="shared" si="990"/>
        <v>4501591.5834094631</v>
      </c>
      <c r="O291" s="577">
        <f t="shared" si="990"/>
        <v>4705612.0746238511</v>
      </c>
      <c r="P291" s="577">
        <f t="shared" si="990"/>
        <v>4913466.3848041818</v>
      </c>
      <c r="Q291" s="577">
        <f t="shared" si="990"/>
        <v>5030182.4479643926</v>
      </c>
      <c r="R291" s="577">
        <f t="shared" si="990"/>
        <v>5148877.7353009731</v>
      </c>
      <c r="S291" s="577">
        <f t="shared" si="990"/>
        <v>5269974.8751839483</v>
      </c>
      <c r="T291" s="577">
        <f t="shared" si="990"/>
        <v>5393974.8101992821</v>
      </c>
      <c r="U291" s="577">
        <f t="shared" si="990"/>
        <v>5521515.8106439468</v>
      </c>
      <c r="V291" s="577">
        <f t="shared" si="990"/>
        <v>5631739.630367565</v>
      </c>
      <c r="W291" s="577">
        <f t="shared" si="990"/>
        <v>5730029.9143126262</v>
      </c>
      <c r="X291" s="577">
        <f t="shared" si="990"/>
        <v>5831245.7642376665</v>
      </c>
      <c r="Y291" s="577">
        <f t="shared" si="990"/>
        <v>5935780.3908059336</v>
      </c>
      <c r="Z291" s="577">
        <f t="shared" si="990"/>
        <v>6044082.3402387314</v>
      </c>
      <c r="AA291" s="577">
        <f t="shared" si="990"/>
        <v>6156624.2758752694</v>
      </c>
      <c r="AB291" s="577">
        <f t="shared" si="990"/>
        <v>6273971.3699505022</v>
      </c>
      <c r="AC291" s="577">
        <f t="shared" si="990"/>
        <v>6396712.5283605568</v>
      </c>
      <c r="AD291" s="577">
        <f t="shared" si="990"/>
        <v>6525533.0086440668</v>
      </c>
      <c r="AE291" s="577">
        <f t="shared" si="990"/>
        <v>6661194.1985041266</v>
      </c>
      <c r="AF291" s="577">
        <f t="shared" si="990"/>
        <v>6804504.8807642646</v>
      </c>
      <c r="AG291" s="577">
        <f t="shared" si="990"/>
        <v>6956395.6974350177</v>
      </c>
      <c r="AH291" s="752">
        <f t="shared" si="990"/>
        <v>7117897.0233332608</v>
      </c>
      <c r="AI291" s="18"/>
      <c r="AJ291" s="18"/>
      <c r="AK291" s="18"/>
      <c r="AL291" s="18"/>
      <c r="AM291" s="18"/>
      <c r="AN291" s="18"/>
    </row>
    <row r="292" spans="2:40" ht="21.95" customHeight="1" x14ac:dyDescent="0.2">
      <c r="B292" s="232"/>
      <c r="C292" s="715"/>
      <c r="D292" s="715"/>
      <c r="E292" s="1340"/>
      <c r="F292" s="116"/>
      <c r="G292" s="116"/>
      <c r="H292" s="124" t="s">
        <v>19</v>
      </c>
      <c r="I292" s="577">
        <f t="shared" ref="I292:AH292" si="991">I201*$D$14</f>
        <v>9663817.6889747046</v>
      </c>
      <c r="J292" s="577">
        <f t="shared" si="991"/>
        <v>9874251.7819358986</v>
      </c>
      <c r="K292" s="577">
        <f t="shared" si="991"/>
        <v>10353209.887669552</v>
      </c>
      <c r="L292" s="577">
        <f t="shared" si="991"/>
        <v>10880474.139739173</v>
      </c>
      <c r="M292" s="577">
        <f t="shared" si="991"/>
        <v>11410926.489831999</v>
      </c>
      <c r="N292" s="577">
        <f t="shared" si="991"/>
        <v>11945690.13088291</v>
      </c>
      <c r="O292" s="577">
        <f t="shared" si="991"/>
        <v>12487090.993942035</v>
      </c>
      <c r="P292" s="577">
        <f t="shared" si="991"/>
        <v>13038665.506150912</v>
      </c>
      <c r="Q292" s="577">
        <f t="shared" si="991"/>
        <v>13348390.166412614</v>
      </c>
      <c r="R292" s="577">
        <f t="shared" si="991"/>
        <v>13663367.013211541</v>
      </c>
      <c r="S292" s="577">
        <f t="shared" si="991"/>
        <v>13984717.558229791</v>
      </c>
      <c r="T292" s="577">
        <f t="shared" si="991"/>
        <v>14313771.132392757</v>
      </c>
      <c r="U292" s="577">
        <f t="shared" si="991"/>
        <v>14652221.487575982</v>
      </c>
      <c r="V292" s="577">
        <f t="shared" si="991"/>
        <v>14944717.946009334</v>
      </c>
      <c r="W292" s="577">
        <f t="shared" si="991"/>
        <v>15205546.866876232</v>
      </c>
      <c r="X292" s="577">
        <f t="shared" si="991"/>
        <v>15474139.242958184</v>
      </c>
      <c r="Y292" s="577">
        <f t="shared" si="991"/>
        <v>15751538.521367688</v>
      </c>
      <c r="Z292" s="577">
        <f t="shared" si="991"/>
        <v>16038934.990932547</v>
      </c>
      <c r="AA292" s="577">
        <f t="shared" si="991"/>
        <v>16337582.939093499</v>
      </c>
      <c r="AB292" s="577">
        <f t="shared" si="991"/>
        <v>16648982.140377901</v>
      </c>
      <c r="AC292" s="577">
        <f t="shared" si="991"/>
        <v>16974695.350362539</v>
      </c>
      <c r="AD292" s="577">
        <f t="shared" si="991"/>
        <v>17316541.009051286</v>
      </c>
      <c r="AE292" s="577">
        <f t="shared" si="991"/>
        <v>17676539.579962902</v>
      </c>
      <c r="AF292" s="577">
        <f t="shared" si="991"/>
        <v>18056837.297115732</v>
      </c>
      <c r="AG292" s="577">
        <f t="shared" si="991"/>
        <v>18459903.767286558</v>
      </c>
      <c r="AH292" s="752">
        <f t="shared" si="991"/>
        <v>18888473.25413591</v>
      </c>
      <c r="AI292" s="18"/>
      <c r="AJ292" s="18"/>
      <c r="AK292" s="18"/>
      <c r="AL292" s="18"/>
      <c r="AM292" s="18"/>
      <c r="AN292" s="18"/>
    </row>
    <row r="293" spans="2:40" ht="21.95" customHeight="1" x14ac:dyDescent="0.2">
      <c r="B293" s="232"/>
      <c r="C293" s="715"/>
      <c r="D293" s="715"/>
      <c r="E293" s="1340"/>
      <c r="F293" s="116"/>
      <c r="G293" s="116"/>
      <c r="H293" s="721" t="s">
        <v>25</v>
      </c>
      <c r="I293" s="577">
        <f t="shared" ref="I293" si="992">SUM(I291:I292)</f>
        <v>13305512.718366593</v>
      </c>
      <c r="J293" s="577">
        <f t="shared" ref="J293:AH293" si="993">SUM(J291:J292)</f>
        <v>13595246.402339906</v>
      </c>
      <c r="K293" s="577">
        <f t="shared" si="993"/>
        <v>14254694.187108705</v>
      </c>
      <c r="L293" s="577">
        <f t="shared" si="993"/>
        <v>14980651.716280252</v>
      </c>
      <c r="M293" s="577">
        <f t="shared" si="993"/>
        <v>15710998.740386456</v>
      </c>
      <c r="N293" s="577">
        <f t="shared" si="993"/>
        <v>16447281.714292374</v>
      </c>
      <c r="O293" s="577">
        <f t="shared" si="993"/>
        <v>17192703.068565886</v>
      </c>
      <c r="P293" s="577">
        <f t="shared" si="993"/>
        <v>17952131.890955094</v>
      </c>
      <c r="Q293" s="577">
        <f t="shared" si="993"/>
        <v>18378572.614377007</v>
      </c>
      <c r="R293" s="577">
        <f t="shared" si="993"/>
        <v>18812244.748512514</v>
      </c>
      <c r="S293" s="577">
        <f t="shared" si="993"/>
        <v>19254692.43341374</v>
      </c>
      <c r="T293" s="577">
        <f t="shared" si="993"/>
        <v>19707745.94259204</v>
      </c>
      <c r="U293" s="577">
        <f t="shared" si="993"/>
        <v>20173737.298219927</v>
      </c>
      <c r="V293" s="577">
        <f t="shared" si="993"/>
        <v>20576457.5763769</v>
      </c>
      <c r="W293" s="577">
        <f t="shared" si="993"/>
        <v>20935576.781188857</v>
      </c>
      <c r="X293" s="577">
        <f t="shared" si="993"/>
        <v>21305385.007195853</v>
      </c>
      <c r="Y293" s="577">
        <f t="shared" si="993"/>
        <v>21687318.912173621</v>
      </c>
      <c r="Z293" s="577">
        <f t="shared" si="993"/>
        <v>22083017.331171278</v>
      </c>
      <c r="AA293" s="577">
        <f t="shared" si="993"/>
        <v>22494207.214968767</v>
      </c>
      <c r="AB293" s="577">
        <f t="shared" si="993"/>
        <v>22922953.510328405</v>
      </c>
      <c r="AC293" s="577">
        <f t="shared" si="993"/>
        <v>23371407.878723096</v>
      </c>
      <c r="AD293" s="577">
        <f t="shared" si="993"/>
        <v>23842074.017695352</v>
      </c>
      <c r="AE293" s="577">
        <f t="shared" si="993"/>
        <v>24337733.778467029</v>
      </c>
      <c r="AF293" s="577">
        <f t="shared" si="993"/>
        <v>24861342.177879997</v>
      </c>
      <c r="AG293" s="577">
        <f t="shared" si="993"/>
        <v>25416299.464721575</v>
      </c>
      <c r="AH293" s="752">
        <f t="shared" si="993"/>
        <v>26006370.277469173</v>
      </c>
      <c r="AI293" s="18"/>
      <c r="AJ293" s="18"/>
      <c r="AK293" s="18"/>
      <c r="AL293" s="18"/>
      <c r="AM293" s="18"/>
      <c r="AN293" s="18"/>
    </row>
    <row r="294" spans="2:40" ht="21.95" customHeight="1" x14ac:dyDescent="0.2">
      <c r="B294" s="232"/>
      <c r="C294" s="715"/>
      <c r="D294" s="715"/>
      <c r="E294" s="1340"/>
      <c r="F294" s="116" t="s">
        <v>323</v>
      </c>
      <c r="G294" s="116" t="s">
        <v>347</v>
      </c>
      <c r="H294" s="116" t="s">
        <v>20</v>
      </c>
      <c r="I294" s="577">
        <f t="shared" ref="I294:AH294" si="994">I203*$D$13</f>
        <v>650302.68381998036</v>
      </c>
      <c r="J294" s="577">
        <f t="shared" si="994"/>
        <v>664463.32507214393</v>
      </c>
      <c r="K294" s="577">
        <f t="shared" si="994"/>
        <v>685579.28741845523</v>
      </c>
      <c r="L294" s="577">
        <f t="shared" si="994"/>
        <v>709870.0822127423</v>
      </c>
      <c r="M294" s="577">
        <f t="shared" si="994"/>
        <v>734238.12973868742</v>
      </c>
      <c r="N294" s="577">
        <f t="shared" si="994"/>
        <v>758698.69136756985</v>
      </c>
      <c r="O294" s="577">
        <f t="shared" si="994"/>
        <v>783281.37777855212</v>
      </c>
      <c r="P294" s="577">
        <f t="shared" si="994"/>
        <v>808042.91649108415</v>
      </c>
      <c r="Q294" s="577">
        <f t="shared" si="994"/>
        <v>828096.12093186332</v>
      </c>
      <c r="R294" s="577">
        <f t="shared" si="994"/>
        <v>848325.7601819993</v>
      </c>
      <c r="S294" s="577">
        <f t="shared" si="994"/>
        <v>868772.81373819755</v>
      </c>
      <c r="T294" s="577">
        <f t="shared" si="994"/>
        <v>889486.51171902975</v>
      </c>
      <c r="U294" s="577">
        <f t="shared" si="994"/>
        <v>910533.38121128595</v>
      </c>
      <c r="V294" s="577">
        <f t="shared" si="994"/>
        <v>928496.12031042634</v>
      </c>
      <c r="W294" s="577">
        <f t="shared" si="994"/>
        <v>944327.97592113516</v>
      </c>
      <c r="X294" s="577">
        <f t="shared" si="994"/>
        <v>960441.61478018889</v>
      </c>
      <c r="Y294" s="577">
        <f t="shared" si="994"/>
        <v>976877.76199455326</v>
      </c>
      <c r="Z294" s="577">
        <f t="shared" si="994"/>
        <v>993683.68906432972</v>
      </c>
      <c r="AA294" s="577">
        <f t="shared" si="994"/>
        <v>1010908.2162581129</v>
      </c>
      <c r="AB294" s="577">
        <f t="shared" si="994"/>
        <v>1028612.0958765929</v>
      </c>
      <c r="AC294" s="577">
        <f t="shared" si="994"/>
        <v>1046857.3171094772</v>
      </c>
      <c r="AD294" s="577">
        <f t="shared" si="994"/>
        <v>1065717.9350654392</v>
      </c>
      <c r="AE294" s="577">
        <f t="shared" si="994"/>
        <v>1085276.7205972716</v>
      </c>
      <c r="AF294" s="577">
        <f t="shared" si="994"/>
        <v>1105620.963170222</v>
      </c>
      <c r="AG294" s="577">
        <f t="shared" si="994"/>
        <v>1126853.0515701033</v>
      </c>
      <c r="AH294" s="752">
        <f t="shared" si="994"/>
        <v>1149086.9878412497</v>
      </c>
      <c r="AI294" s="18"/>
      <c r="AJ294" s="18"/>
      <c r="AK294" s="18"/>
      <c r="AL294" s="18"/>
      <c r="AM294" s="18"/>
      <c r="AN294" s="18"/>
    </row>
    <row r="295" spans="2:40" ht="21.95" customHeight="1" x14ac:dyDescent="0.2">
      <c r="B295" s="232"/>
      <c r="C295" s="715"/>
      <c r="D295" s="715"/>
      <c r="E295" s="1340"/>
      <c r="F295" s="116"/>
      <c r="G295" s="116"/>
      <c r="H295" s="124" t="s">
        <v>19</v>
      </c>
      <c r="I295" s="577">
        <f t="shared" ref="I295:AH295" si="995">I204*$D$14</f>
        <v>1725681.7301740551</v>
      </c>
      <c r="J295" s="577">
        <f t="shared" si="995"/>
        <v>1763259.2467742674</v>
      </c>
      <c r="K295" s="577">
        <f t="shared" si="995"/>
        <v>1819293.8155108162</v>
      </c>
      <c r="L295" s="577">
        <f t="shared" si="995"/>
        <v>1883753.3077301534</v>
      </c>
      <c r="M295" s="577">
        <f t="shared" si="995"/>
        <v>1948417.8023752002</v>
      </c>
      <c r="N295" s="577">
        <f t="shared" si="995"/>
        <v>2013327.7979249707</v>
      </c>
      <c r="O295" s="577">
        <f t="shared" si="995"/>
        <v>2078561.8710320308</v>
      </c>
      <c r="P295" s="577">
        <f t="shared" si="995"/>
        <v>2144270.5572029203</v>
      </c>
      <c r="Q295" s="577">
        <f t="shared" si="995"/>
        <v>2197484.9285962842</v>
      </c>
      <c r="R295" s="577">
        <f t="shared" si="995"/>
        <v>2251167.4978529653</v>
      </c>
      <c r="S295" s="577">
        <f t="shared" si="995"/>
        <v>2305427.0105933277</v>
      </c>
      <c r="T295" s="577">
        <f t="shared" si="995"/>
        <v>2360394.1067767413</v>
      </c>
      <c r="U295" s="577">
        <f t="shared" si="995"/>
        <v>2416245.3266222351</v>
      </c>
      <c r="V295" s="577">
        <f t="shared" si="995"/>
        <v>2463912.3153315275</v>
      </c>
      <c r="W295" s="577">
        <f t="shared" si="995"/>
        <v>2505924.6653677714</v>
      </c>
      <c r="X295" s="577">
        <f t="shared" si="995"/>
        <v>2548684.772126595</v>
      </c>
      <c r="Y295" s="577">
        <f t="shared" si="995"/>
        <v>2592300.7061646767</v>
      </c>
      <c r="Z295" s="577">
        <f t="shared" si="995"/>
        <v>2636897.9099353743</v>
      </c>
      <c r="AA295" s="577">
        <f t="shared" si="995"/>
        <v>2682605.9357958762</v>
      </c>
      <c r="AB295" s="577">
        <f t="shared" si="995"/>
        <v>2729585.9996506786</v>
      </c>
      <c r="AC295" s="577">
        <f t="shared" si="995"/>
        <v>2778002.5996862524</v>
      </c>
      <c r="AD295" s="577">
        <f t="shared" si="995"/>
        <v>2828052.2529265056</v>
      </c>
      <c r="AE295" s="577">
        <f t="shared" si="995"/>
        <v>2879954.6050103228</v>
      </c>
      <c r="AF295" s="577">
        <f t="shared" si="995"/>
        <v>2933941.2924343105</v>
      </c>
      <c r="AG295" s="577">
        <f t="shared" si="995"/>
        <v>2990284.0201467164</v>
      </c>
      <c r="AH295" s="752">
        <f t="shared" si="995"/>
        <v>3049285.3107266468</v>
      </c>
      <c r="AI295" s="18"/>
      <c r="AJ295" s="18"/>
      <c r="AK295" s="18"/>
      <c r="AL295" s="18"/>
      <c r="AM295" s="18"/>
      <c r="AN295" s="18"/>
    </row>
    <row r="296" spans="2:40" ht="21.95" customHeight="1" x14ac:dyDescent="0.2">
      <c r="B296" s="232"/>
      <c r="C296" s="715"/>
      <c r="D296" s="715"/>
      <c r="E296" s="1340"/>
      <c r="F296" s="116"/>
      <c r="G296" s="116"/>
      <c r="H296" s="721" t="s">
        <v>25</v>
      </c>
      <c r="I296" s="577">
        <f t="shared" ref="I296" si="996">SUM(I294:I295)</f>
        <v>2375984.4139940357</v>
      </c>
      <c r="J296" s="577">
        <f t="shared" ref="J296:AH296" si="997">SUM(J294:J295)</f>
        <v>2427722.5718464116</v>
      </c>
      <c r="K296" s="577">
        <f t="shared" si="997"/>
        <v>2504873.1029292713</v>
      </c>
      <c r="L296" s="577">
        <f t="shared" si="997"/>
        <v>2593623.3899428956</v>
      </c>
      <c r="M296" s="577">
        <f t="shared" si="997"/>
        <v>2682655.9321138877</v>
      </c>
      <c r="N296" s="577">
        <f t="shared" si="997"/>
        <v>2772026.4892925406</v>
      </c>
      <c r="O296" s="577">
        <f t="shared" si="997"/>
        <v>2861843.2488105828</v>
      </c>
      <c r="P296" s="577">
        <f t="shared" si="997"/>
        <v>2952313.4736940046</v>
      </c>
      <c r="Q296" s="577">
        <f t="shared" si="997"/>
        <v>3025581.0495281476</v>
      </c>
      <c r="R296" s="577">
        <f t="shared" si="997"/>
        <v>3099493.2580349646</v>
      </c>
      <c r="S296" s="577">
        <f t="shared" si="997"/>
        <v>3174199.8243315252</v>
      </c>
      <c r="T296" s="577">
        <f t="shared" si="997"/>
        <v>3249880.6184957712</v>
      </c>
      <c r="U296" s="577">
        <f t="shared" si="997"/>
        <v>3326778.7078335211</v>
      </c>
      <c r="V296" s="577">
        <f t="shared" si="997"/>
        <v>3392408.4356419537</v>
      </c>
      <c r="W296" s="577">
        <f t="shared" si="997"/>
        <v>3450252.6412889063</v>
      </c>
      <c r="X296" s="577">
        <f t="shared" si="997"/>
        <v>3509126.386906784</v>
      </c>
      <c r="Y296" s="577">
        <f t="shared" si="997"/>
        <v>3569178.46815923</v>
      </c>
      <c r="Z296" s="577">
        <f t="shared" si="997"/>
        <v>3630581.5989997042</v>
      </c>
      <c r="AA296" s="577">
        <f t="shared" si="997"/>
        <v>3693514.152053989</v>
      </c>
      <c r="AB296" s="577">
        <f t="shared" si="997"/>
        <v>3758198.0955272717</v>
      </c>
      <c r="AC296" s="577">
        <f t="shared" si="997"/>
        <v>3824859.9167957297</v>
      </c>
      <c r="AD296" s="577">
        <f t="shared" si="997"/>
        <v>3893770.1879919451</v>
      </c>
      <c r="AE296" s="577">
        <f t="shared" si="997"/>
        <v>3965231.3256075941</v>
      </c>
      <c r="AF296" s="577">
        <f t="shared" si="997"/>
        <v>4039562.2556045325</v>
      </c>
      <c r="AG296" s="577">
        <f t="shared" si="997"/>
        <v>4117137.0717168199</v>
      </c>
      <c r="AH296" s="752">
        <f t="shared" si="997"/>
        <v>4198372.2985678967</v>
      </c>
      <c r="AI296" s="18"/>
      <c r="AJ296" s="18"/>
      <c r="AK296" s="18"/>
      <c r="AL296" s="18"/>
      <c r="AM296" s="18"/>
      <c r="AN296" s="18"/>
    </row>
    <row r="297" spans="2:40" ht="21.95" customHeight="1" x14ac:dyDescent="0.2">
      <c r="B297" s="232"/>
      <c r="C297" s="715"/>
      <c r="D297" s="715"/>
      <c r="E297" s="1340"/>
      <c r="F297" s="116" t="s">
        <v>347</v>
      </c>
      <c r="G297" s="116" t="s">
        <v>348</v>
      </c>
      <c r="H297" s="116" t="s">
        <v>20</v>
      </c>
      <c r="I297" s="577">
        <f t="shared" ref="I297:AH297" si="998">I206*$D$13</f>
        <v>532332.13978901971</v>
      </c>
      <c r="J297" s="577">
        <f t="shared" si="998"/>
        <v>543947.45534269838</v>
      </c>
      <c r="K297" s="577">
        <f t="shared" si="998"/>
        <v>561279.46375460702</v>
      </c>
      <c r="L297" s="577">
        <f t="shared" si="998"/>
        <v>581239.59481918951</v>
      </c>
      <c r="M297" s="577">
        <f t="shared" si="998"/>
        <v>601295.15249923593</v>
      </c>
      <c r="N297" s="577">
        <f t="shared" si="998"/>
        <v>621469.87331988011</v>
      </c>
      <c r="O297" s="577">
        <f t="shared" si="998"/>
        <v>641802.62062556692</v>
      </c>
      <c r="P297" s="577">
        <f t="shared" si="998"/>
        <v>662358.89672910655</v>
      </c>
      <c r="Q297" s="577">
        <f t="shared" si="998"/>
        <v>679076.64750959259</v>
      </c>
      <c r="R297" s="577">
        <f t="shared" si="998"/>
        <v>696019.62735354609</v>
      </c>
      <c r="S297" s="577">
        <f t="shared" si="998"/>
        <v>713240.14891796617</v>
      </c>
      <c r="T297" s="577">
        <f t="shared" si="998"/>
        <v>730801.05724766327</v>
      </c>
      <c r="U297" s="577">
        <f t="shared" si="998"/>
        <v>748784.08706273499</v>
      </c>
      <c r="V297" s="577">
        <f t="shared" si="998"/>
        <v>764259.56688588206</v>
      </c>
      <c r="W297" s="577">
        <f t="shared" si="998"/>
        <v>778008.28256735695</v>
      </c>
      <c r="X297" s="577">
        <f t="shared" si="998"/>
        <v>792116.71058313304</v>
      </c>
      <c r="Y297" s="577">
        <f t="shared" si="998"/>
        <v>806636.83884724486</v>
      </c>
      <c r="Z297" s="577">
        <f t="shared" si="998"/>
        <v>821628.48030204384</v>
      </c>
      <c r="AA297" s="577">
        <f t="shared" si="998"/>
        <v>837155.02042484074</v>
      </c>
      <c r="AB297" s="577">
        <f t="shared" si="998"/>
        <v>853292.94935159863</v>
      </c>
      <c r="AC297" s="577">
        <f t="shared" si="998"/>
        <v>870122.46343600936</v>
      </c>
      <c r="AD297" s="577">
        <f t="shared" si="998"/>
        <v>887737.56641926279</v>
      </c>
      <c r="AE297" s="577">
        <f t="shared" si="998"/>
        <v>906243.38818535779</v>
      </c>
      <c r="AF297" s="577">
        <f t="shared" si="998"/>
        <v>925752.42232789181</v>
      </c>
      <c r="AG297" s="577">
        <f t="shared" si="998"/>
        <v>946394.84213753196</v>
      </c>
      <c r="AH297" s="752">
        <f t="shared" si="998"/>
        <v>968315.64588959818</v>
      </c>
      <c r="AI297" s="18"/>
      <c r="AJ297" s="18"/>
      <c r="AK297" s="18"/>
      <c r="AL297" s="18"/>
      <c r="AM297" s="18"/>
      <c r="AN297" s="18"/>
    </row>
    <row r="298" spans="2:40" ht="21.95" customHeight="1" x14ac:dyDescent="0.2">
      <c r="B298" s="232"/>
      <c r="C298" s="715"/>
      <c r="D298" s="715"/>
      <c r="E298" s="1340"/>
      <c r="F298" s="116"/>
      <c r="G298" s="116"/>
      <c r="H298" s="124" t="s">
        <v>19</v>
      </c>
      <c r="I298" s="577">
        <f t="shared" ref="I298:AH298" si="999">I207*$D$14</f>
        <v>1412628.1051496835</v>
      </c>
      <c r="J298" s="577">
        <f t="shared" si="999"/>
        <v>1443451.1946738511</v>
      </c>
      <c r="K298" s="577">
        <f t="shared" si="999"/>
        <v>1489444.439062696</v>
      </c>
      <c r="L298" s="577">
        <f t="shared" si="999"/>
        <v>1542411.8254306796</v>
      </c>
      <c r="M298" s="577">
        <f t="shared" si="999"/>
        <v>1595632.4415191854</v>
      </c>
      <c r="N298" s="577">
        <f t="shared" si="999"/>
        <v>1649169.2759776225</v>
      </c>
      <c r="O298" s="577">
        <f t="shared" si="999"/>
        <v>1703125.4588793409</v>
      </c>
      <c r="P298" s="577">
        <f t="shared" si="999"/>
        <v>1757674.811042421</v>
      </c>
      <c r="Q298" s="577">
        <f t="shared" si="999"/>
        <v>1802038.024987689</v>
      </c>
      <c r="R298" s="577">
        <f t="shared" si="999"/>
        <v>1846998.9201198879</v>
      </c>
      <c r="S298" s="577">
        <f t="shared" si="999"/>
        <v>1892696.3164049913</v>
      </c>
      <c r="T298" s="577">
        <f t="shared" si="999"/>
        <v>1939296.9831772801</v>
      </c>
      <c r="U298" s="577">
        <f t="shared" si="999"/>
        <v>1987017.816532529</v>
      </c>
      <c r="V298" s="577">
        <f t="shared" si="999"/>
        <v>2028084.4666647539</v>
      </c>
      <c r="W298" s="577">
        <f t="shared" si="999"/>
        <v>2064568.8731652917</v>
      </c>
      <c r="X298" s="577">
        <f t="shared" si="999"/>
        <v>2102007.833627956</v>
      </c>
      <c r="Y298" s="577">
        <f t="shared" si="999"/>
        <v>2140539.3062615483</v>
      </c>
      <c r="Z298" s="577">
        <f t="shared" si="999"/>
        <v>2180322.0142336236</v>
      </c>
      <c r="AA298" s="577">
        <f t="shared" si="999"/>
        <v>2221524.1610021614</v>
      </c>
      <c r="AB298" s="577">
        <f t="shared" si="999"/>
        <v>2264348.7253237548</v>
      </c>
      <c r="AC298" s="577">
        <f t="shared" si="999"/>
        <v>2309008.5209939419</v>
      </c>
      <c r="AD298" s="577">
        <f t="shared" si="999"/>
        <v>2355753.0019097701</v>
      </c>
      <c r="AE298" s="577">
        <f t="shared" si="999"/>
        <v>2404861.146960034</v>
      </c>
      <c r="AF298" s="577">
        <f t="shared" si="999"/>
        <v>2456631.4758095955</v>
      </c>
      <c r="AG298" s="577">
        <f t="shared" si="999"/>
        <v>2511409.4240149269</v>
      </c>
      <c r="AH298" s="752">
        <f t="shared" si="999"/>
        <v>2569579.7675901097</v>
      </c>
      <c r="AI298" s="18"/>
      <c r="AJ298" s="18"/>
      <c r="AK298" s="18"/>
      <c r="AL298" s="18"/>
      <c r="AM298" s="18"/>
      <c r="AN298" s="18"/>
    </row>
    <row r="299" spans="2:40" ht="21.95" customHeight="1" x14ac:dyDescent="0.2">
      <c r="B299" s="232"/>
      <c r="C299" s="715"/>
      <c r="D299" s="715"/>
      <c r="E299" s="1340"/>
      <c r="F299" s="116"/>
      <c r="G299" s="116"/>
      <c r="H299" s="721" t="s">
        <v>25</v>
      </c>
      <c r="I299" s="577">
        <f t="shared" ref="I299" si="1000">SUM(I297:I298)</f>
        <v>1944960.2449387033</v>
      </c>
      <c r="J299" s="577">
        <f t="shared" ref="J299:AH299" si="1001">SUM(J297:J298)</f>
        <v>1987398.6500165495</v>
      </c>
      <c r="K299" s="577">
        <f t="shared" si="1001"/>
        <v>2050723.9028173028</v>
      </c>
      <c r="L299" s="577">
        <f t="shared" si="1001"/>
        <v>2123651.4202498691</v>
      </c>
      <c r="M299" s="577">
        <f t="shared" si="1001"/>
        <v>2196927.5940184211</v>
      </c>
      <c r="N299" s="577">
        <f t="shared" si="1001"/>
        <v>2270639.1492975028</v>
      </c>
      <c r="O299" s="577">
        <f t="shared" si="1001"/>
        <v>2344928.0795049081</v>
      </c>
      <c r="P299" s="577">
        <f t="shared" si="1001"/>
        <v>2420033.7077715276</v>
      </c>
      <c r="Q299" s="577">
        <f t="shared" si="1001"/>
        <v>2481114.6724972818</v>
      </c>
      <c r="R299" s="577">
        <f t="shared" si="1001"/>
        <v>2543018.5474734339</v>
      </c>
      <c r="S299" s="577">
        <f t="shared" si="1001"/>
        <v>2605936.4653229574</v>
      </c>
      <c r="T299" s="577">
        <f t="shared" si="1001"/>
        <v>2670098.0404249434</v>
      </c>
      <c r="U299" s="577">
        <f t="shared" si="1001"/>
        <v>2735801.9035952641</v>
      </c>
      <c r="V299" s="577">
        <f t="shared" si="1001"/>
        <v>2792344.0335506359</v>
      </c>
      <c r="W299" s="577">
        <f t="shared" si="1001"/>
        <v>2842577.1557326484</v>
      </c>
      <c r="X299" s="577">
        <f t="shared" si="1001"/>
        <v>2894124.5442110891</v>
      </c>
      <c r="Y299" s="577">
        <f t="shared" si="1001"/>
        <v>2947176.1451087929</v>
      </c>
      <c r="Z299" s="577">
        <f t="shared" si="1001"/>
        <v>3001950.4945356674</v>
      </c>
      <c r="AA299" s="577">
        <f t="shared" si="1001"/>
        <v>3058679.181427002</v>
      </c>
      <c r="AB299" s="577">
        <f t="shared" si="1001"/>
        <v>3117641.6746753533</v>
      </c>
      <c r="AC299" s="577">
        <f t="shared" si="1001"/>
        <v>3179130.9844299513</v>
      </c>
      <c r="AD299" s="577">
        <f t="shared" si="1001"/>
        <v>3243490.568329033</v>
      </c>
      <c r="AE299" s="577">
        <f t="shared" si="1001"/>
        <v>3311104.5351453917</v>
      </c>
      <c r="AF299" s="577">
        <f t="shared" si="1001"/>
        <v>3382383.8981374875</v>
      </c>
      <c r="AG299" s="577">
        <f t="shared" si="1001"/>
        <v>3457804.2661524587</v>
      </c>
      <c r="AH299" s="752">
        <f t="shared" si="1001"/>
        <v>3537895.4134797081</v>
      </c>
      <c r="AI299" s="18"/>
      <c r="AJ299" s="18"/>
      <c r="AK299" s="18"/>
      <c r="AL299" s="18"/>
      <c r="AM299" s="18"/>
      <c r="AN299" s="18"/>
    </row>
    <row r="300" spans="2:40" ht="21.95" customHeight="1" x14ac:dyDescent="0.2">
      <c r="B300" s="232"/>
      <c r="C300" s="715"/>
      <c r="D300" s="715"/>
      <c r="E300" s="1340"/>
      <c r="F300" s="116" t="s">
        <v>348</v>
      </c>
      <c r="G300" s="116" t="s">
        <v>349</v>
      </c>
      <c r="H300" s="116" t="s">
        <v>20</v>
      </c>
      <c r="I300" s="577">
        <f t="shared" ref="I300:AH300" si="1002">I209*$D$13</f>
        <v>870340.35910957446</v>
      </c>
      <c r="J300" s="577">
        <f t="shared" si="1002"/>
        <v>891583.00692116166</v>
      </c>
      <c r="K300" s="577">
        <f t="shared" si="1002"/>
        <v>921312.25328438648</v>
      </c>
      <c r="L300" s="577">
        <f t="shared" si="1002"/>
        <v>961329.24628082686</v>
      </c>
      <c r="M300" s="577">
        <f t="shared" si="1002"/>
        <v>1002212.2818767527</v>
      </c>
      <c r="N300" s="577">
        <f t="shared" si="1002"/>
        <v>1044314.4133136481</v>
      </c>
      <c r="O300" s="577">
        <f t="shared" si="1002"/>
        <v>1088108.1562948399</v>
      </c>
      <c r="P300" s="577">
        <f t="shared" si="1002"/>
        <v>1134294.8817095768</v>
      </c>
      <c r="Q300" s="577">
        <f t="shared" si="1002"/>
        <v>1181390.5017821253</v>
      </c>
      <c r="R300" s="577">
        <f t="shared" si="1002"/>
        <v>1232444.3535136138</v>
      </c>
      <c r="S300" s="577">
        <f t="shared" si="1002"/>
        <v>1288742.4425825626</v>
      </c>
      <c r="T300" s="577">
        <f t="shared" si="1002"/>
        <v>1351937.4609417482</v>
      </c>
      <c r="U300" s="577">
        <f t="shared" si="1002"/>
        <v>1424173.0342396884</v>
      </c>
      <c r="V300" s="577">
        <f t="shared" si="1002"/>
        <v>1485009.8084238137</v>
      </c>
      <c r="W300" s="577">
        <f t="shared" si="1002"/>
        <v>1536733.2106876133</v>
      </c>
      <c r="X300" s="577">
        <f t="shared" si="1002"/>
        <v>1593641.7074939227</v>
      </c>
      <c r="Y300" s="577">
        <f t="shared" si="1002"/>
        <v>1656503.9660658161</v>
      </c>
      <c r="Z300" s="577">
        <f t="shared" si="1002"/>
        <v>1726202.6051837062</v>
      </c>
      <c r="AA300" s="577">
        <f t="shared" si="1002"/>
        <v>1803689.4323030862</v>
      </c>
      <c r="AB300" s="577">
        <f t="shared" si="1002"/>
        <v>1890097.2896390036</v>
      </c>
      <c r="AC300" s="577">
        <f t="shared" si="1002"/>
        <v>1986630.7055643001</v>
      </c>
      <c r="AD300" s="577">
        <f t="shared" si="1002"/>
        <v>2094694.7499464157</v>
      </c>
      <c r="AE300" s="577">
        <f t="shared" si="1002"/>
        <v>2215870.2312539974</v>
      </c>
      <c r="AF300" s="577">
        <f t="shared" si="1002"/>
        <v>2351849.3835072769</v>
      </c>
      <c r="AG300" s="577">
        <f t="shared" si="1002"/>
        <v>2504596.7449644888</v>
      </c>
      <c r="AH300" s="752">
        <f t="shared" si="1002"/>
        <v>2676313.054872856</v>
      </c>
      <c r="AI300" s="18"/>
      <c r="AJ300" s="18"/>
      <c r="AK300" s="18"/>
      <c r="AL300" s="18"/>
      <c r="AM300" s="18"/>
      <c r="AN300" s="18"/>
    </row>
    <row r="301" spans="2:40" ht="21.95" customHeight="1" x14ac:dyDescent="0.2">
      <c r="B301" s="232"/>
      <c r="C301" s="715"/>
      <c r="D301" s="715"/>
      <c r="E301" s="1340"/>
      <c r="F301" s="116"/>
      <c r="G301" s="116"/>
      <c r="H301" s="124" t="s">
        <v>19</v>
      </c>
      <c r="I301" s="577">
        <f t="shared" ref="I301:AH301" si="1003">I210*$D$14</f>
        <v>2309586.7418629476</v>
      </c>
      <c r="J301" s="577">
        <f t="shared" si="1003"/>
        <v>2365957.4906558678</v>
      </c>
      <c r="K301" s="577">
        <f t="shared" si="1003"/>
        <v>2444848.7801696942</v>
      </c>
      <c r="L301" s="577">
        <f t="shared" si="1003"/>
        <v>2551040.2436660635</v>
      </c>
      <c r="M301" s="577">
        <f t="shared" si="1003"/>
        <v>2659529.8891147282</v>
      </c>
      <c r="N301" s="577">
        <f t="shared" si="1003"/>
        <v>2771254.599514585</v>
      </c>
      <c r="O301" s="577">
        <f t="shared" si="1003"/>
        <v>2887468.2705310537</v>
      </c>
      <c r="P301" s="577">
        <f t="shared" si="1003"/>
        <v>3010032.1015098607</v>
      </c>
      <c r="Q301" s="577">
        <f t="shared" si="1003"/>
        <v>3135007.8292017882</v>
      </c>
      <c r="R301" s="577">
        <f t="shared" si="1003"/>
        <v>3270487.3549366589</v>
      </c>
      <c r="S301" s="577">
        <f t="shared" si="1003"/>
        <v>3419883.2995747887</v>
      </c>
      <c r="T301" s="577">
        <f t="shared" si="1003"/>
        <v>3587581.3443988659</v>
      </c>
      <c r="U301" s="577">
        <f t="shared" si="1003"/>
        <v>3779269.9414328765</v>
      </c>
      <c r="V301" s="577">
        <f t="shared" si="1003"/>
        <v>3940710.0097954604</v>
      </c>
      <c r="W301" s="577">
        <f t="shared" si="1003"/>
        <v>4077966.2944916366</v>
      </c>
      <c r="X301" s="577">
        <f t="shared" si="1003"/>
        <v>4228982.0532663641</v>
      </c>
      <c r="Y301" s="577">
        <f t="shared" si="1003"/>
        <v>4395797.0670039123</v>
      </c>
      <c r="Z301" s="577">
        <f t="shared" si="1003"/>
        <v>4580753.5051923692</v>
      </c>
      <c r="AA301" s="577">
        <f t="shared" si="1003"/>
        <v>4786377.1404872304</v>
      </c>
      <c r="AB301" s="577">
        <f t="shared" si="1003"/>
        <v>5015674.1501076873</v>
      </c>
      <c r="AC301" s="577">
        <f t="shared" si="1003"/>
        <v>5271840.9419084303</v>
      </c>
      <c r="AD301" s="577">
        <f t="shared" si="1003"/>
        <v>5558606.0925356699</v>
      </c>
      <c r="AE301" s="577">
        <f t="shared" si="1003"/>
        <v>5880164.5289997412</v>
      </c>
      <c r="AF301" s="577">
        <f t="shared" si="1003"/>
        <v>6241006.8637562729</v>
      </c>
      <c r="AG301" s="577">
        <f t="shared" si="1003"/>
        <v>6646346.3119200328</v>
      </c>
      <c r="AH301" s="752">
        <f t="shared" si="1003"/>
        <v>7102022.8855443336</v>
      </c>
      <c r="AI301" s="18"/>
      <c r="AJ301" s="18"/>
      <c r="AK301" s="18"/>
      <c r="AL301" s="18"/>
      <c r="AM301" s="18"/>
      <c r="AN301" s="18"/>
    </row>
    <row r="302" spans="2:40" ht="21.95" customHeight="1" x14ac:dyDescent="0.2">
      <c r="B302" s="232"/>
      <c r="C302" s="715"/>
      <c r="D302" s="715"/>
      <c r="E302" s="1333"/>
      <c r="F302" s="254"/>
      <c r="G302" s="254"/>
      <c r="H302" s="721" t="s">
        <v>25</v>
      </c>
      <c r="I302" s="577">
        <f t="shared" ref="I302" si="1004">SUM(I300:I301)</f>
        <v>3179927.1009725221</v>
      </c>
      <c r="J302" s="577">
        <f t="shared" ref="J302:AH302" si="1005">SUM(J300:J301)</f>
        <v>3257540.4975770293</v>
      </c>
      <c r="K302" s="577">
        <f t="shared" si="1005"/>
        <v>3366161.0334540806</v>
      </c>
      <c r="L302" s="577">
        <f t="shared" si="1005"/>
        <v>3512369.4899468906</v>
      </c>
      <c r="M302" s="577">
        <f t="shared" si="1005"/>
        <v>3661742.1709914808</v>
      </c>
      <c r="N302" s="577">
        <f t="shared" si="1005"/>
        <v>3815569.0128282332</v>
      </c>
      <c r="O302" s="577">
        <f t="shared" si="1005"/>
        <v>3975576.4268258936</v>
      </c>
      <c r="P302" s="577">
        <f t="shared" si="1005"/>
        <v>4144326.9832194373</v>
      </c>
      <c r="Q302" s="577">
        <f t="shared" si="1005"/>
        <v>4316398.3309839135</v>
      </c>
      <c r="R302" s="577">
        <f t="shared" si="1005"/>
        <v>4502931.7084502727</v>
      </c>
      <c r="S302" s="577">
        <f t="shared" si="1005"/>
        <v>4708625.7421573512</v>
      </c>
      <c r="T302" s="577">
        <f t="shared" si="1005"/>
        <v>4939518.8053406142</v>
      </c>
      <c r="U302" s="577">
        <f t="shared" si="1005"/>
        <v>5203442.9756725654</v>
      </c>
      <c r="V302" s="577">
        <f t="shared" si="1005"/>
        <v>5425719.8182192743</v>
      </c>
      <c r="W302" s="577">
        <f t="shared" si="1005"/>
        <v>5614699.5051792497</v>
      </c>
      <c r="X302" s="577">
        <f t="shared" si="1005"/>
        <v>5822623.7607602868</v>
      </c>
      <c r="Y302" s="577">
        <f t="shared" si="1005"/>
        <v>6052301.0330697279</v>
      </c>
      <c r="Z302" s="577">
        <f t="shared" si="1005"/>
        <v>6306956.1103760749</v>
      </c>
      <c r="AA302" s="577">
        <f t="shared" si="1005"/>
        <v>6590066.5727903163</v>
      </c>
      <c r="AB302" s="577">
        <f t="shared" si="1005"/>
        <v>6905771.4397466909</v>
      </c>
      <c r="AC302" s="577">
        <f t="shared" si="1005"/>
        <v>7258471.6474727299</v>
      </c>
      <c r="AD302" s="577">
        <f t="shared" si="1005"/>
        <v>7653300.8424820853</v>
      </c>
      <c r="AE302" s="577">
        <f t="shared" si="1005"/>
        <v>8096034.7602537386</v>
      </c>
      <c r="AF302" s="577">
        <f t="shared" si="1005"/>
        <v>8592856.2472635508</v>
      </c>
      <c r="AG302" s="577">
        <f t="shared" si="1005"/>
        <v>9150943.0568845216</v>
      </c>
      <c r="AH302" s="752">
        <f t="shared" si="1005"/>
        <v>9778335.9404171892</v>
      </c>
      <c r="AI302" s="18"/>
      <c r="AJ302" s="18"/>
      <c r="AK302" s="18"/>
      <c r="AL302" s="18"/>
      <c r="AM302" s="18"/>
      <c r="AN302" s="18"/>
    </row>
    <row r="303" spans="2:40" ht="21.95" customHeight="1" x14ac:dyDescent="0.2">
      <c r="B303" s="232"/>
      <c r="C303" s="715"/>
      <c r="D303" s="715"/>
      <c r="E303" s="116" t="s">
        <v>288</v>
      </c>
      <c r="F303" s="116" t="s">
        <v>323</v>
      </c>
      <c r="G303" s="116" t="s">
        <v>348</v>
      </c>
      <c r="H303" s="116" t="s">
        <v>20</v>
      </c>
      <c r="I303" s="577">
        <f t="shared" ref="I303:AH303" si="1006">I212*$D$13</f>
        <v>148396.92686249423</v>
      </c>
      <c r="J303" s="577">
        <f t="shared" si="1006"/>
        <v>153960.16553408228</v>
      </c>
      <c r="K303" s="577">
        <f t="shared" si="1006"/>
        <v>162469.91177758499</v>
      </c>
      <c r="L303" s="577">
        <f t="shared" si="1006"/>
        <v>189507.07844629118</v>
      </c>
      <c r="M303" s="577">
        <f t="shared" si="1006"/>
        <v>216548.59004799326</v>
      </c>
      <c r="N303" s="577">
        <f t="shared" si="1006"/>
        <v>243619.67872175213</v>
      </c>
      <c r="O303" s="577">
        <f t="shared" si="1006"/>
        <v>270659.82950667129</v>
      </c>
      <c r="P303" s="577">
        <f t="shared" si="1006"/>
        <v>297731.56325452705</v>
      </c>
      <c r="Q303" s="577">
        <f t="shared" si="1006"/>
        <v>333421.93318867241</v>
      </c>
      <c r="R303" s="577">
        <f t="shared" si="1006"/>
        <v>369162.60760515556</v>
      </c>
      <c r="S303" s="577">
        <f t="shared" si="1006"/>
        <v>405062.96482174989</v>
      </c>
      <c r="T303" s="577">
        <f t="shared" si="1006"/>
        <v>441292.02645002177</v>
      </c>
      <c r="U303" s="577">
        <f t="shared" si="1006"/>
        <v>478270.25866493076</v>
      </c>
      <c r="V303" s="577">
        <f t="shared" si="1006"/>
        <v>496438.26525093929</v>
      </c>
      <c r="W303" s="577">
        <f t="shared" si="1006"/>
        <v>502431.71060180629</v>
      </c>
      <c r="X303" s="577">
        <f t="shared" si="1006"/>
        <v>508475.90937363217</v>
      </c>
      <c r="Y303" s="577">
        <f t="shared" si="1006"/>
        <v>514576.19978082849</v>
      </c>
      <c r="Z303" s="577">
        <f t="shared" si="1006"/>
        <v>520744.82878711546</v>
      </c>
      <c r="AA303" s="577">
        <f t="shared" si="1006"/>
        <v>526975.36861764838</v>
      </c>
      <c r="AB303" s="577">
        <f t="shared" si="1006"/>
        <v>533287.68568557675</v>
      </c>
      <c r="AC303" s="577">
        <f t="shared" si="1006"/>
        <v>539676.24621015694</v>
      </c>
      <c r="AD303" s="577">
        <f t="shared" si="1006"/>
        <v>546155.75878296909</v>
      </c>
      <c r="AE303" s="577">
        <f t="shared" si="1006"/>
        <v>552742.02711845166</v>
      </c>
      <c r="AF303" s="577">
        <f t="shared" si="1006"/>
        <v>559431.10316532152</v>
      </c>
      <c r="AG303" s="577">
        <f t="shared" si="1006"/>
        <v>566240.28034018178</v>
      </c>
      <c r="AH303" s="752">
        <f t="shared" si="1006"/>
        <v>573188.2413759582</v>
      </c>
      <c r="AI303" s="18"/>
      <c r="AJ303" s="18"/>
      <c r="AK303" s="18"/>
      <c r="AL303" s="18"/>
      <c r="AM303" s="18"/>
      <c r="AN303" s="18"/>
    </row>
    <row r="304" spans="2:40" ht="21.95" customHeight="1" x14ac:dyDescent="0.2">
      <c r="B304" s="232"/>
      <c r="C304" s="715"/>
      <c r="D304" s="715"/>
      <c r="E304" s="116"/>
      <c r="F304" s="116"/>
      <c r="G304" s="116"/>
      <c r="H304" s="124" t="s">
        <v>19</v>
      </c>
      <c r="I304" s="577">
        <f t="shared" ref="I304:AH304" si="1007">I213*$D$14</f>
        <v>612569.80893678346</v>
      </c>
      <c r="J304" s="577">
        <f t="shared" si="1007"/>
        <v>635534.38187084545</v>
      </c>
      <c r="K304" s="577">
        <f t="shared" si="1007"/>
        <v>670661.88579357287</v>
      </c>
      <c r="L304" s="577">
        <f t="shared" si="1007"/>
        <v>782268.99498787546</v>
      </c>
      <c r="M304" s="577">
        <f t="shared" si="1007"/>
        <v>893894.03969358921</v>
      </c>
      <c r="N304" s="577">
        <f t="shared" si="1007"/>
        <v>1005641.1760204827</v>
      </c>
      <c r="O304" s="577">
        <f t="shared" si="1007"/>
        <v>1117260.6033910241</v>
      </c>
      <c r="P304" s="577">
        <f t="shared" si="1007"/>
        <v>1229010.4025285612</v>
      </c>
      <c r="Q304" s="577">
        <f t="shared" si="1007"/>
        <v>1376337.193949928</v>
      </c>
      <c r="R304" s="577">
        <f t="shared" si="1007"/>
        <v>1523871.6379675167</v>
      </c>
      <c r="S304" s="577">
        <f t="shared" si="1007"/>
        <v>1672065.2389125617</v>
      </c>
      <c r="T304" s="577">
        <f t="shared" si="1007"/>
        <v>1821615.7035266538</v>
      </c>
      <c r="U304" s="577">
        <f t="shared" si="1007"/>
        <v>1974258.6801813934</v>
      </c>
      <c r="V304" s="577">
        <f t="shared" si="1007"/>
        <v>2049254.6558963475</v>
      </c>
      <c r="W304" s="577">
        <f t="shared" si="1007"/>
        <v>2073995.0851698974</v>
      </c>
      <c r="X304" s="577">
        <f t="shared" si="1007"/>
        <v>2098945.0202198601</v>
      </c>
      <c r="Y304" s="577">
        <f t="shared" si="1007"/>
        <v>2124126.4967382904</v>
      </c>
      <c r="Z304" s="577">
        <f t="shared" si="1007"/>
        <v>2149590.0691428897</v>
      </c>
      <c r="AA304" s="577">
        <f t="shared" si="1007"/>
        <v>2175309.2041294188</v>
      </c>
      <c r="AB304" s="577">
        <f t="shared" si="1007"/>
        <v>2201365.9085504757</v>
      </c>
      <c r="AC304" s="577">
        <f t="shared" si="1007"/>
        <v>2227737.3394329324</v>
      </c>
      <c r="AD304" s="577">
        <f t="shared" si="1007"/>
        <v>2254484.2125835391</v>
      </c>
      <c r="AE304" s="577">
        <f t="shared" si="1007"/>
        <v>2281671.764382448</v>
      </c>
      <c r="AF304" s="577">
        <f t="shared" si="1007"/>
        <v>2309283.6976119783</v>
      </c>
      <c r="AG304" s="577">
        <f t="shared" si="1007"/>
        <v>2337391.3980152742</v>
      </c>
      <c r="AH304" s="752">
        <f t="shared" si="1007"/>
        <v>2366071.9863143135</v>
      </c>
      <c r="AI304" s="18"/>
      <c r="AJ304" s="18"/>
      <c r="AK304" s="18"/>
      <c r="AL304" s="18"/>
      <c r="AM304" s="18"/>
      <c r="AN304" s="18"/>
    </row>
    <row r="305" spans="2:40" ht="21.95" customHeight="1" x14ac:dyDescent="0.2">
      <c r="B305" s="232"/>
      <c r="C305" s="715"/>
      <c r="D305" s="715"/>
      <c r="E305" s="116"/>
      <c r="F305" s="116"/>
      <c r="G305" s="116"/>
      <c r="H305" s="721" t="s">
        <v>25</v>
      </c>
      <c r="I305" s="577">
        <f t="shared" ref="I305" si="1008">SUM(I303:I304)</f>
        <v>760966.73579927767</v>
      </c>
      <c r="J305" s="577">
        <f t="shared" ref="J305:AH305" si="1009">SUM(J303:J304)</f>
        <v>789494.54740492767</v>
      </c>
      <c r="K305" s="577">
        <f t="shared" si="1009"/>
        <v>833131.7975711578</v>
      </c>
      <c r="L305" s="577">
        <f t="shared" si="1009"/>
        <v>971776.07343416661</v>
      </c>
      <c r="M305" s="577">
        <f t="shared" si="1009"/>
        <v>1110442.6297415826</v>
      </c>
      <c r="N305" s="577">
        <f t="shared" si="1009"/>
        <v>1249260.8547422348</v>
      </c>
      <c r="O305" s="577">
        <f t="shared" si="1009"/>
        <v>1387920.4328976953</v>
      </c>
      <c r="P305" s="577">
        <f t="shared" si="1009"/>
        <v>1526741.9657830882</v>
      </c>
      <c r="Q305" s="577">
        <f t="shared" si="1009"/>
        <v>1709759.1271386005</v>
      </c>
      <c r="R305" s="577">
        <f t="shared" si="1009"/>
        <v>1893034.2455726722</v>
      </c>
      <c r="S305" s="577">
        <f t="shared" si="1009"/>
        <v>2077128.2037343115</v>
      </c>
      <c r="T305" s="577">
        <f t="shared" si="1009"/>
        <v>2262907.7299766755</v>
      </c>
      <c r="U305" s="577">
        <f t="shared" si="1009"/>
        <v>2452528.9388463241</v>
      </c>
      <c r="V305" s="577">
        <f t="shared" si="1009"/>
        <v>2545692.9211472869</v>
      </c>
      <c r="W305" s="577">
        <f t="shared" si="1009"/>
        <v>2576426.7957717036</v>
      </c>
      <c r="X305" s="577">
        <f t="shared" si="1009"/>
        <v>2607420.9295934923</v>
      </c>
      <c r="Y305" s="577">
        <f t="shared" si="1009"/>
        <v>2638702.6965191187</v>
      </c>
      <c r="Z305" s="577">
        <f t="shared" si="1009"/>
        <v>2670334.8979300051</v>
      </c>
      <c r="AA305" s="577">
        <f t="shared" si="1009"/>
        <v>2702284.5727470671</v>
      </c>
      <c r="AB305" s="577">
        <f t="shared" si="1009"/>
        <v>2734653.5942360526</v>
      </c>
      <c r="AC305" s="577">
        <f t="shared" si="1009"/>
        <v>2767413.5856430894</v>
      </c>
      <c r="AD305" s="577">
        <f t="shared" si="1009"/>
        <v>2800639.9713665079</v>
      </c>
      <c r="AE305" s="577">
        <f t="shared" si="1009"/>
        <v>2834413.7915008999</v>
      </c>
      <c r="AF305" s="577">
        <f t="shared" si="1009"/>
        <v>2868714.8007772998</v>
      </c>
      <c r="AG305" s="577">
        <f t="shared" si="1009"/>
        <v>2903631.6783554559</v>
      </c>
      <c r="AH305" s="752">
        <f t="shared" si="1009"/>
        <v>2939260.2276902716</v>
      </c>
      <c r="AI305" s="18"/>
      <c r="AJ305" s="18"/>
      <c r="AK305" s="18"/>
      <c r="AL305" s="18"/>
      <c r="AM305" s="18"/>
      <c r="AN305" s="18"/>
    </row>
    <row r="306" spans="2:40" ht="21.95" customHeight="1" x14ac:dyDescent="0.2">
      <c r="B306" s="232"/>
      <c r="C306" s="715"/>
      <c r="D306" s="715"/>
      <c r="E306" s="220" t="s">
        <v>340</v>
      </c>
      <c r="F306" s="220" t="s">
        <v>335</v>
      </c>
      <c r="G306" s="220" t="s">
        <v>323</v>
      </c>
      <c r="H306" s="116" t="s">
        <v>20</v>
      </c>
      <c r="I306" s="577" t="e">
        <f t="shared" ref="I306:AH306" si="1010">I215*$D$13</f>
        <v>#DIV/0!</v>
      </c>
      <c r="J306" s="577" t="e">
        <f t="shared" si="1010"/>
        <v>#DIV/0!</v>
      </c>
      <c r="K306" s="577" t="e">
        <f t="shared" si="1010"/>
        <v>#DIV/0!</v>
      </c>
      <c r="L306" s="577" t="e">
        <f t="shared" si="1010"/>
        <v>#DIV/0!</v>
      </c>
      <c r="M306" s="577" t="e">
        <f t="shared" si="1010"/>
        <v>#DIV/0!</v>
      </c>
      <c r="N306" s="577" t="e">
        <f t="shared" si="1010"/>
        <v>#DIV/0!</v>
      </c>
      <c r="O306" s="577" t="e">
        <f t="shared" si="1010"/>
        <v>#DIV/0!</v>
      </c>
      <c r="P306" s="577" t="e">
        <f t="shared" si="1010"/>
        <v>#DIV/0!</v>
      </c>
      <c r="Q306" s="577" t="e">
        <f t="shared" si="1010"/>
        <v>#DIV/0!</v>
      </c>
      <c r="R306" s="577" t="e">
        <f t="shared" si="1010"/>
        <v>#DIV/0!</v>
      </c>
      <c r="S306" s="577" t="e">
        <f t="shared" si="1010"/>
        <v>#DIV/0!</v>
      </c>
      <c r="T306" s="577" t="e">
        <f t="shared" si="1010"/>
        <v>#DIV/0!</v>
      </c>
      <c r="U306" s="577" t="e">
        <f t="shared" si="1010"/>
        <v>#DIV/0!</v>
      </c>
      <c r="V306" s="577" t="e">
        <f t="shared" si="1010"/>
        <v>#DIV/0!</v>
      </c>
      <c r="W306" s="577" t="e">
        <f t="shared" si="1010"/>
        <v>#DIV/0!</v>
      </c>
      <c r="X306" s="577" t="e">
        <f t="shared" si="1010"/>
        <v>#DIV/0!</v>
      </c>
      <c r="Y306" s="577" t="e">
        <f t="shared" si="1010"/>
        <v>#DIV/0!</v>
      </c>
      <c r="Z306" s="577" t="e">
        <f t="shared" si="1010"/>
        <v>#DIV/0!</v>
      </c>
      <c r="AA306" s="577" t="e">
        <f t="shared" si="1010"/>
        <v>#DIV/0!</v>
      </c>
      <c r="AB306" s="577" t="e">
        <f t="shared" si="1010"/>
        <v>#DIV/0!</v>
      </c>
      <c r="AC306" s="577" t="e">
        <f t="shared" si="1010"/>
        <v>#DIV/0!</v>
      </c>
      <c r="AD306" s="577" t="e">
        <f t="shared" si="1010"/>
        <v>#DIV/0!</v>
      </c>
      <c r="AE306" s="577" t="e">
        <f t="shared" si="1010"/>
        <v>#DIV/0!</v>
      </c>
      <c r="AF306" s="577" t="e">
        <f t="shared" si="1010"/>
        <v>#DIV/0!</v>
      </c>
      <c r="AG306" s="577" t="e">
        <f t="shared" si="1010"/>
        <v>#DIV/0!</v>
      </c>
      <c r="AH306" s="752" t="e">
        <f t="shared" si="1010"/>
        <v>#DIV/0!</v>
      </c>
      <c r="AI306" s="18"/>
      <c r="AJ306" s="18"/>
      <c r="AK306" s="18"/>
      <c r="AL306" s="18"/>
      <c r="AM306" s="18"/>
      <c r="AN306" s="18"/>
    </row>
    <row r="307" spans="2:40" ht="21.95" customHeight="1" x14ac:dyDescent="0.2">
      <c r="B307" s="232"/>
      <c r="C307" s="715"/>
      <c r="D307" s="715"/>
      <c r="E307" s="116"/>
      <c r="F307" s="116"/>
      <c r="G307" s="116"/>
      <c r="H307" s="124" t="s">
        <v>19</v>
      </c>
      <c r="I307" s="577" t="e">
        <f t="shared" ref="I307:AH307" si="1011">I216*$D$14</f>
        <v>#DIV/0!</v>
      </c>
      <c r="J307" s="577" t="e">
        <f t="shared" si="1011"/>
        <v>#DIV/0!</v>
      </c>
      <c r="K307" s="577" t="e">
        <f t="shared" si="1011"/>
        <v>#DIV/0!</v>
      </c>
      <c r="L307" s="577" t="e">
        <f t="shared" si="1011"/>
        <v>#DIV/0!</v>
      </c>
      <c r="M307" s="577" t="e">
        <f t="shared" si="1011"/>
        <v>#DIV/0!</v>
      </c>
      <c r="N307" s="577" t="e">
        <f t="shared" si="1011"/>
        <v>#DIV/0!</v>
      </c>
      <c r="O307" s="577" t="e">
        <f t="shared" si="1011"/>
        <v>#DIV/0!</v>
      </c>
      <c r="P307" s="577" t="e">
        <f t="shared" si="1011"/>
        <v>#DIV/0!</v>
      </c>
      <c r="Q307" s="577" t="e">
        <f t="shared" si="1011"/>
        <v>#DIV/0!</v>
      </c>
      <c r="R307" s="577" t="e">
        <f t="shared" si="1011"/>
        <v>#DIV/0!</v>
      </c>
      <c r="S307" s="577" t="e">
        <f t="shared" si="1011"/>
        <v>#DIV/0!</v>
      </c>
      <c r="T307" s="577" t="e">
        <f t="shared" si="1011"/>
        <v>#DIV/0!</v>
      </c>
      <c r="U307" s="577" t="e">
        <f t="shared" si="1011"/>
        <v>#DIV/0!</v>
      </c>
      <c r="V307" s="577" t="e">
        <f t="shared" si="1011"/>
        <v>#DIV/0!</v>
      </c>
      <c r="W307" s="577" t="e">
        <f t="shared" si="1011"/>
        <v>#DIV/0!</v>
      </c>
      <c r="X307" s="577" t="e">
        <f t="shared" si="1011"/>
        <v>#DIV/0!</v>
      </c>
      <c r="Y307" s="577" t="e">
        <f t="shared" si="1011"/>
        <v>#DIV/0!</v>
      </c>
      <c r="Z307" s="577" t="e">
        <f t="shared" si="1011"/>
        <v>#DIV/0!</v>
      </c>
      <c r="AA307" s="577" t="e">
        <f t="shared" si="1011"/>
        <v>#DIV/0!</v>
      </c>
      <c r="AB307" s="577" t="e">
        <f t="shared" si="1011"/>
        <v>#DIV/0!</v>
      </c>
      <c r="AC307" s="577" t="e">
        <f t="shared" si="1011"/>
        <v>#DIV/0!</v>
      </c>
      <c r="AD307" s="577" t="e">
        <f t="shared" si="1011"/>
        <v>#DIV/0!</v>
      </c>
      <c r="AE307" s="577" t="e">
        <f t="shared" si="1011"/>
        <v>#DIV/0!</v>
      </c>
      <c r="AF307" s="577" t="e">
        <f t="shared" si="1011"/>
        <v>#DIV/0!</v>
      </c>
      <c r="AG307" s="577" t="e">
        <f t="shared" si="1011"/>
        <v>#DIV/0!</v>
      </c>
      <c r="AH307" s="752" t="e">
        <f t="shared" si="1011"/>
        <v>#DIV/0!</v>
      </c>
      <c r="AI307" s="18"/>
      <c r="AJ307" s="18"/>
      <c r="AK307" s="18"/>
      <c r="AL307" s="18"/>
      <c r="AM307" s="18"/>
      <c r="AN307" s="18"/>
    </row>
    <row r="308" spans="2:40" ht="21.95" customHeight="1" x14ac:dyDescent="0.2">
      <c r="B308" s="232"/>
      <c r="C308" s="715"/>
      <c r="D308" s="715"/>
      <c r="E308" s="254"/>
      <c r="F308" s="254"/>
      <c r="G308" s="254"/>
      <c r="H308" s="721" t="s">
        <v>25</v>
      </c>
      <c r="I308" s="577" t="e">
        <f t="shared" ref="I308" si="1012">SUM(I306:I307)</f>
        <v>#DIV/0!</v>
      </c>
      <c r="J308" s="577" t="e">
        <f t="shared" ref="J308:AH308" si="1013">SUM(J306:J307)</f>
        <v>#DIV/0!</v>
      </c>
      <c r="K308" s="577" t="e">
        <f t="shared" si="1013"/>
        <v>#DIV/0!</v>
      </c>
      <c r="L308" s="577" t="e">
        <f t="shared" si="1013"/>
        <v>#DIV/0!</v>
      </c>
      <c r="M308" s="577" t="e">
        <f t="shared" si="1013"/>
        <v>#DIV/0!</v>
      </c>
      <c r="N308" s="577" t="e">
        <f t="shared" si="1013"/>
        <v>#DIV/0!</v>
      </c>
      <c r="O308" s="577" t="e">
        <f t="shared" si="1013"/>
        <v>#DIV/0!</v>
      </c>
      <c r="P308" s="577" t="e">
        <f t="shared" si="1013"/>
        <v>#DIV/0!</v>
      </c>
      <c r="Q308" s="577" t="e">
        <f t="shared" si="1013"/>
        <v>#DIV/0!</v>
      </c>
      <c r="R308" s="577" t="e">
        <f t="shared" si="1013"/>
        <v>#DIV/0!</v>
      </c>
      <c r="S308" s="577" t="e">
        <f t="shared" si="1013"/>
        <v>#DIV/0!</v>
      </c>
      <c r="T308" s="577" t="e">
        <f t="shared" si="1013"/>
        <v>#DIV/0!</v>
      </c>
      <c r="U308" s="577" t="e">
        <f t="shared" si="1013"/>
        <v>#DIV/0!</v>
      </c>
      <c r="V308" s="577" t="e">
        <f t="shared" si="1013"/>
        <v>#DIV/0!</v>
      </c>
      <c r="W308" s="577" t="e">
        <f t="shared" si="1013"/>
        <v>#DIV/0!</v>
      </c>
      <c r="X308" s="577" t="e">
        <f t="shared" si="1013"/>
        <v>#DIV/0!</v>
      </c>
      <c r="Y308" s="577" t="e">
        <f t="shared" si="1013"/>
        <v>#DIV/0!</v>
      </c>
      <c r="Z308" s="577" t="e">
        <f t="shared" si="1013"/>
        <v>#DIV/0!</v>
      </c>
      <c r="AA308" s="577" t="e">
        <f t="shared" si="1013"/>
        <v>#DIV/0!</v>
      </c>
      <c r="AB308" s="577" t="e">
        <f t="shared" si="1013"/>
        <v>#DIV/0!</v>
      </c>
      <c r="AC308" s="577" t="e">
        <f t="shared" si="1013"/>
        <v>#DIV/0!</v>
      </c>
      <c r="AD308" s="577" t="e">
        <f t="shared" si="1013"/>
        <v>#DIV/0!</v>
      </c>
      <c r="AE308" s="577" t="e">
        <f t="shared" si="1013"/>
        <v>#DIV/0!</v>
      </c>
      <c r="AF308" s="577" t="e">
        <f t="shared" si="1013"/>
        <v>#DIV/0!</v>
      </c>
      <c r="AG308" s="577" t="e">
        <f t="shared" si="1013"/>
        <v>#DIV/0!</v>
      </c>
      <c r="AH308" s="752" t="e">
        <f t="shared" si="1013"/>
        <v>#DIV/0!</v>
      </c>
      <c r="AI308" s="18"/>
      <c r="AJ308" s="18"/>
      <c r="AK308" s="18"/>
      <c r="AL308" s="18"/>
      <c r="AM308" s="18"/>
      <c r="AN308" s="18"/>
    </row>
    <row r="309" spans="2:40" ht="21.95" customHeight="1" x14ac:dyDescent="0.2">
      <c r="B309" s="232"/>
      <c r="C309" s="715"/>
      <c r="D309" s="715"/>
      <c r="E309" s="220" t="s">
        <v>357</v>
      </c>
      <c r="F309" s="220" t="s">
        <v>338</v>
      </c>
      <c r="G309" s="220" t="s">
        <v>323</v>
      </c>
      <c r="H309" s="116" t="s">
        <v>20</v>
      </c>
      <c r="I309" s="577">
        <f t="shared" ref="I309:AH309" si="1014">I218*$D$13</f>
        <v>239847.09510375321</v>
      </c>
      <c r="J309" s="577">
        <f t="shared" si="1014"/>
        <v>243555.73636776005</v>
      </c>
      <c r="K309" s="577">
        <f t="shared" si="1014"/>
        <v>249649.93725607998</v>
      </c>
      <c r="L309" s="577">
        <f t="shared" si="1014"/>
        <v>270371.50467810046</v>
      </c>
      <c r="M309" s="577">
        <f t="shared" si="1014"/>
        <v>291120.48432659189</v>
      </c>
      <c r="N309" s="577">
        <f t="shared" si="1014"/>
        <v>311941.4453394225</v>
      </c>
      <c r="O309" s="577">
        <f t="shared" si="1014"/>
        <v>332824.17868300865</v>
      </c>
      <c r="P309" s="577">
        <f t="shared" si="1014"/>
        <v>353888.08884384239</v>
      </c>
      <c r="Q309" s="577">
        <f t="shared" si="1014"/>
        <v>379208.18286895752</v>
      </c>
      <c r="R309" s="577">
        <f t="shared" si="1014"/>
        <v>405222.45385735435</v>
      </c>
      <c r="S309" s="577">
        <f t="shared" si="1014"/>
        <v>432479.78871896584</v>
      </c>
      <c r="T309" s="577">
        <f t="shared" si="1014"/>
        <v>461821.19142823946</v>
      </c>
      <c r="U309" s="577">
        <f t="shared" si="1014"/>
        <v>494664.4746649228</v>
      </c>
      <c r="V309" s="577">
        <f t="shared" si="1014"/>
        <v>509356.03452211397</v>
      </c>
      <c r="W309" s="577">
        <f t="shared" si="1014"/>
        <v>515106.65342138574</v>
      </c>
      <c r="X309" s="577">
        <f t="shared" si="1014"/>
        <v>521017.96218433004</v>
      </c>
      <c r="Y309" s="577">
        <f t="shared" si="1014"/>
        <v>527101.28913957195</v>
      </c>
      <c r="Z309" s="577">
        <f t="shared" si="1014"/>
        <v>533381.20286136318</v>
      </c>
      <c r="AA309" s="577">
        <f t="shared" si="1014"/>
        <v>539845.66809189029</v>
      </c>
      <c r="AB309" s="577">
        <f t="shared" si="1014"/>
        <v>546533.80526568741</v>
      </c>
      <c r="AC309" s="577">
        <f t="shared" si="1014"/>
        <v>553433.56628810917</v>
      </c>
      <c r="AD309" s="577">
        <f t="shared" si="1014"/>
        <v>560573.11680241651</v>
      </c>
      <c r="AE309" s="577">
        <f t="shared" si="1014"/>
        <v>567983.42947095179</v>
      </c>
      <c r="AF309" s="577">
        <f t="shared" si="1014"/>
        <v>575652.33091312274</v>
      </c>
      <c r="AG309" s="577">
        <f t="shared" si="1014"/>
        <v>583612.22675842477</v>
      </c>
      <c r="AH309" s="752">
        <f t="shared" si="1014"/>
        <v>591898.88260124868</v>
      </c>
      <c r="AI309" s="18"/>
      <c r="AJ309" s="18"/>
      <c r="AK309" s="18"/>
      <c r="AL309" s="18"/>
      <c r="AM309" s="18"/>
      <c r="AN309" s="18"/>
    </row>
    <row r="310" spans="2:40" ht="21.95" customHeight="1" x14ac:dyDescent="0.2">
      <c r="B310" s="232"/>
      <c r="C310" s="715"/>
      <c r="D310" s="715"/>
      <c r="E310" s="116"/>
      <c r="F310" s="116"/>
      <c r="G310" s="116"/>
      <c r="H310" s="124" t="s">
        <v>19</v>
      </c>
      <c r="I310" s="577">
        <f t="shared" ref="I310:AH310" si="1015">I219*$D$14</f>
        <v>990068.27383890992</v>
      </c>
      <c r="J310" s="577">
        <f t="shared" si="1015"/>
        <v>1005377.2274576921</v>
      </c>
      <c r="K310" s="577">
        <f t="shared" si="1015"/>
        <v>1030533.5669635611</v>
      </c>
      <c r="L310" s="577">
        <f t="shared" si="1015"/>
        <v>1116070.4231839029</v>
      </c>
      <c r="M310" s="577">
        <f t="shared" si="1015"/>
        <v>1201720.4347281917</v>
      </c>
      <c r="N310" s="577">
        <f t="shared" si="1015"/>
        <v>1287667.5791817158</v>
      </c>
      <c r="O310" s="577">
        <f t="shared" si="1015"/>
        <v>1373869.7145278992</v>
      </c>
      <c r="P310" s="577">
        <f t="shared" si="1015"/>
        <v>1460819.7322640452</v>
      </c>
      <c r="Q310" s="577">
        <f t="shared" si="1015"/>
        <v>1565338.9125944991</v>
      </c>
      <c r="R310" s="577">
        <f t="shared" si="1015"/>
        <v>1672723.5959967233</v>
      </c>
      <c r="S310" s="577">
        <f t="shared" si="1015"/>
        <v>1785239.5406414184</v>
      </c>
      <c r="T310" s="577">
        <f t="shared" si="1015"/>
        <v>1906358.3389317058</v>
      </c>
      <c r="U310" s="577">
        <f t="shared" si="1015"/>
        <v>2041932.6002221298</v>
      </c>
      <c r="V310" s="577">
        <f t="shared" si="1015"/>
        <v>2102578.1014799965</v>
      </c>
      <c r="W310" s="577">
        <f t="shared" si="1015"/>
        <v>2126316.1639511907</v>
      </c>
      <c r="X310" s="577">
        <f t="shared" si="1015"/>
        <v>2150717.5404220019</v>
      </c>
      <c r="Y310" s="577">
        <f t="shared" si="1015"/>
        <v>2175828.9932631077</v>
      </c>
      <c r="Z310" s="577">
        <f t="shared" si="1015"/>
        <v>2201751.9394455557</v>
      </c>
      <c r="AA310" s="577">
        <f t="shared" si="1015"/>
        <v>2228436.6984555032</v>
      </c>
      <c r="AB310" s="577">
        <f t="shared" si="1015"/>
        <v>2256044.7560973722</v>
      </c>
      <c r="AC310" s="577">
        <f t="shared" si="1015"/>
        <v>2284526.3788679754</v>
      </c>
      <c r="AD310" s="577">
        <f t="shared" si="1015"/>
        <v>2313997.8321312647</v>
      </c>
      <c r="AE310" s="577">
        <f t="shared" si="1015"/>
        <v>2344586.9683856335</v>
      </c>
      <c r="AF310" s="577">
        <f t="shared" si="1015"/>
        <v>2376243.5369582335</v>
      </c>
      <c r="AG310" s="577">
        <f t="shared" si="1015"/>
        <v>2409101.3055131813</v>
      </c>
      <c r="AH310" s="752">
        <f t="shared" si="1015"/>
        <v>2443307.9113620152</v>
      </c>
      <c r="AI310" s="18"/>
      <c r="AJ310" s="18"/>
      <c r="AK310" s="18"/>
      <c r="AL310" s="18"/>
      <c r="AM310" s="18"/>
      <c r="AN310" s="18"/>
    </row>
    <row r="311" spans="2:40" ht="21.95" customHeight="1" x14ac:dyDescent="0.2">
      <c r="B311" s="232"/>
      <c r="C311" s="715"/>
      <c r="D311" s="715"/>
      <c r="E311" s="254"/>
      <c r="F311" s="254"/>
      <c r="G311" s="254"/>
      <c r="H311" s="721" t="s">
        <v>25</v>
      </c>
      <c r="I311" s="577">
        <f t="shared" ref="I311" si="1016">SUM(I309:I310)</f>
        <v>1229915.3689426631</v>
      </c>
      <c r="J311" s="577">
        <f t="shared" ref="J311:AH311" si="1017">SUM(J309:J310)</f>
        <v>1248932.9638254521</v>
      </c>
      <c r="K311" s="577">
        <f t="shared" si="1017"/>
        <v>1280183.504219641</v>
      </c>
      <c r="L311" s="577">
        <f t="shared" si="1017"/>
        <v>1386441.9278620034</v>
      </c>
      <c r="M311" s="577">
        <f t="shared" si="1017"/>
        <v>1492840.9190547836</v>
      </c>
      <c r="N311" s="577">
        <f t="shared" si="1017"/>
        <v>1599609.0245211383</v>
      </c>
      <c r="O311" s="577">
        <f t="shared" si="1017"/>
        <v>1706693.8932109079</v>
      </c>
      <c r="P311" s="577">
        <f t="shared" si="1017"/>
        <v>1814707.8211078877</v>
      </c>
      <c r="Q311" s="577">
        <f t="shared" si="1017"/>
        <v>1944547.0954634566</v>
      </c>
      <c r="R311" s="577">
        <f t="shared" si="1017"/>
        <v>2077946.0498540776</v>
      </c>
      <c r="S311" s="577">
        <f t="shared" si="1017"/>
        <v>2217719.3293603845</v>
      </c>
      <c r="T311" s="577">
        <f t="shared" si="1017"/>
        <v>2368179.5303599453</v>
      </c>
      <c r="U311" s="577">
        <f t="shared" si="1017"/>
        <v>2536597.0748870526</v>
      </c>
      <c r="V311" s="577">
        <f t="shared" si="1017"/>
        <v>2611934.1360021103</v>
      </c>
      <c r="W311" s="577">
        <f t="shared" si="1017"/>
        <v>2641422.8173725763</v>
      </c>
      <c r="X311" s="577">
        <f t="shared" si="1017"/>
        <v>2671735.5026063318</v>
      </c>
      <c r="Y311" s="577">
        <f t="shared" si="1017"/>
        <v>2702930.2824026798</v>
      </c>
      <c r="Z311" s="577">
        <f t="shared" si="1017"/>
        <v>2735133.1423069187</v>
      </c>
      <c r="AA311" s="577">
        <f t="shared" si="1017"/>
        <v>2768282.3665473936</v>
      </c>
      <c r="AB311" s="577">
        <f t="shared" si="1017"/>
        <v>2802578.5613630596</v>
      </c>
      <c r="AC311" s="577">
        <f t="shared" si="1017"/>
        <v>2837959.9451560844</v>
      </c>
      <c r="AD311" s="577">
        <f t="shared" si="1017"/>
        <v>2874570.9489336815</v>
      </c>
      <c r="AE311" s="577">
        <f t="shared" si="1017"/>
        <v>2912570.3978565852</v>
      </c>
      <c r="AF311" s="577">
        <f t="shared" si="1017"/>
        <v>2951895.8678713562</v>
      </c>
      <c r="AG311" s="577">
        <f t="shared" si="1017"/>
        <v>2992713.5322716059</v>
      </c>
      <c r="AH311" s="752">
        <f t="shared" si="1017"/>
        <v>3035206.7939632637</v>
      </c>
      <c r="AI311" s="18"/>
      <c r="AJ311" s="18"/>
      <c r="AK311" s="18"/>
      <c r="AL311" s="18"/>
      <c r="AM311" s="18"/>
      <c r="AN311" s="18"/>
    </row>
    <row r="312" spans="2:40" ht="21.95" customHeight="1" x14ac:dyDescent="0.2">
      <c r="B312" s="232"/>
      <c r="C312" s="715"/>
      <c r="D312" s="715"/>
      <c r="E312" s="116" t="s">
        <v>338</v>
      </c>
      <c r="F312" s="116" t="s">
        <v>282</v>
      </c>
      <c r="G312" s="116" t="s">
        <v>357</v>
      </c>
      <c r="H312" s="116" t="s">
        <v>20</v>
      </c>
      <c r="I312" s="577">
        <f t="shared" ref="I312:AH312" si="1018">I221*$D$13</f>
        <v>491535.83458035038</v>
      </c>
      <c r="J312" s="577">
        <f t="shared" si="1018"/>
        <v>509813.60736130789</v>
      </c>
      <c r="K312" s="577">
        <f t="shared" si="1018"/>
        <v>529270.09048354835</v>
      </c>
      <c r="L312" s="577">
        <f t="shared" si="1018"/>
        <v>572433.41056466568</v>
      </c>
      <c r="M312" s="577">
        <f t="shared" si="1018"/>
        <v>615607.64110821963</v>
      </c>
      <c r="N312" s="577">
        <f t="shared" si="1018"/>
        <v>658805.65078017768</v>
      </c>
      <c r="O312" s="577">
        <f t="shared" si="1018"/>
        <v>701969.59216191689</v>
      </c>
      <c r="P312" s="577">
        <f t="shared" si="1018"/>
        <v>745171.98237376381</v>
      </c>
      <c r="Q312" s="577">
        <f t="shared" si="1018"/>
        <v>803255.33908554341</v>
      </c>
      <c r="R312" s="577">
        <f t="shared" si="1018"/>
        <v>861344.83352599607</v>
      </c>
      <c r="S312" s="577">
        <f t="shared" si="1018"/>
        <v>919438.73975169542</v>
      </c>
      <c r="T312" s="577">
        <f t="shared" si="1018"/>
        <v>977544.96459412167</v>
      </c>
      <c r="U312" s="577">
        <f t="shared" si="1018"/>
        <v>1035726.6374877435</v>
      </c>
      <c r="V312" s="577">
        <f t="shared" si="1018"/>
        <v>1070116.5199193375</v>
      </c>
      <c r="W312" s="577">
        <f t="shared" si="1018"/>
        <v>1088424.0395412704</v>
      </c>
      <c r="X312" s="577">
        <f t="shared" si="1018"/>
        <v>1106737.0004932731</v>
      </c>
      <c r="Y312" s="577">
        <f t="shared" si="1018"/>
        <v>1125056.2827232822</v>
      </c>
      <c r="Z312" s="577">
        <f t="shared" si="1018"/>
        <v>1143392.7492897934</v>
      </c>
      <c r="AA312" s="577">
        <f t="shared" si="1018"/>
        <v>1161727.8299678494</v>
      </c>
      <c r="AB312" s="577">
        <f t="shared" si="1018"/>
        <v>1180082.5485879523</v>
      </c>
      <c r="AC312" s="577">
        <f t="shared" si="1018"/>
        <v>1198438.6457269145</v>
      </c>
      <c r="AD312" s="577">
        <f t="shared" si="1018"/>
        <v>1216807.653374848</v>
      </c>
      <c r="AE312" s="577">
        <f t="shared" si="1018"/>
        <v>1235201.3480237268</v>
      </c>
      <c r="AF312" s="577">
        <f t="shared" si="1018"/>
        <v>1253602.0802202423</v>
      </c>
      <c r="AG312" s="577">
        <f t="shared" si="1018"/>
        <v>1272022.1258539013</v>
      </c>
      <c r="AH312" s="752">
        <f t="shared" si="1018"/>
        <v>1290474.0988061209</v>
      </c>
      <c r="AI312" s="18"/>
      <c r="AJ312" s="18"/>
      <c r="AK312" s="18"/>
      <c r="AL312" s="18"/>
      <c r="AM312" s="18"/>
      <c r="AN312" s="18"/>
    </row>
    <row r="313" spans="2:40" ht="21.95" customHeight="1" x14ac:dyDescent="0.2">
      <c r="B313" s="232"/>
      <c r="C313" s="715"/>
      <c r="D313" s="715"/>
      <c r="E313" s="116"/>
      <c r="F313" s="116"/>
      <c r="G313" s="116"/>
      <c r="H313" s="124" t="s">
        <v>19</v>
      </c>
      <c r="I313" s="577">
        <f t="shared" ref="I313:AH313" si="1019">I222*$D$14</f>
        <v>2029017.8418146709</v>
      </c>
      <c r="J313" s="577">
        <f t="shared" si="1019"/>
        <v>2104466.9229846317</v>
      </c>
      <c r="K313" s="577">
        <f t="shared" si="1019"/>
        <v>2184781.6195269413</v>
      </c>
      <c r="L313" s="577">
        <f t="shared" si="1019"/>
        <v>2362956.1093508941</v>
      </c>
      <c r="M313" s="577">
        <f t="shared" si="1019"/>
        <v>2541175.6366296746</v>
      </c>
      <c r="N313" s="577">
        <f t="shared" si="1019"/>
        <v>2719493.3221146334</v>
      </c>
      <c r="O313" s="577">
        <f t="shared" si="1019"/>
        <v>2897670.3766143597</v>
      </c>
      <c r="P313" s="577">
        <f t="shared" si="1019"/>
        <v>3076006.1445929348</v>
      </c>
      <c r="Q313" s="577">
        <f t="shared" si="1019"/>
        <v>3315769.268234374</v>
      </c>
      <c r="R313" s="577">
        <f t="shared" si="1019"/>
        <v>3555557.727894288</v>
      </c>
      <c r="S313" s="577">
        <f t="shared" si="1019"/>
        <v>3795364.3990259818</v>
      </c>
      <c r="T313" s="577">
        <f t="shared" si="1019"/>
        <v>4035221.9203528529</v>
      </c>
      <c r="U313" s="577">
        <f t="shared" si="1019"/>
        <v>4275390.8847754989</v>
      </c>
      <c r="V313" s="577">
        <f t="shared" si="1019"/>
        <v>4417349.3751288746</v>
      </c>
      <c r="W313" s="577">
        <f t="shared" si="1019"/>
        <v>4492921.2487115758</v>
      </c>
      <c r="X313" s="577">
        <f t="shared" si="1019"/>
        <v>4568515.5836389409</v>
      </c>
      <c r="Y313" s="577">
        <f t="shared" si="1019"/>
        <v>4644136.0122607136</v>
      </c>
      <c r="Z313" s="577">
        <f t="shared" si="1019"/>
        <v>4719827.376352313</v>
      </c>
      <c r="AA313" s="577">
        <f t="shared" si="1019"/>
        <v>4795513.0196150234</v>
      </c>
      <c r="AB313" s="577">
        <f t="shared" si="1019"/>
        <v>4871279.7266211808</v>
      </c>
      <c r="AC313" s="577">
        <f t="shared" si="1019"/>
        <v>4947052.1240351675</v>
      </c>
      <c r="AD313" s="577">
        <f t="shared" si="1019"/>
        <v>5022877.8149248399</v>
      </c>
      <c r="AE313" s="577">
        <f t="shared" si="1019"/>
        <v>5098805.4116408136</v>
      </c>
      <c r="AF313" s="577">
        <f t="shared" si="1019"/>
        <v>5174762.0587509042</v>
      </c>
      <c r="AG313" s="577">
        <f t="shared" si="1019"/>
        <v>5250798.4300759854</v>
      </c>
      <c r="AH313" s="752">
        <f t="shared" si="1019"/>
        <v>5326966.5946385935</v>
      </c>
      <c r="AI313" s="18"/>
      <c r="AJ313" s="18"/>
      <c r="AK313" s="18"/>
      <c r="AL313" s="18"/>
      <c r="AM313" s="18"/>
      <c r="AN313" s="18"/>
    </row>
    <row r="314" spans="2:40" ht="21.95" customHeight="1" x14ac:dyDescent="0.2">
      <c r="B314" s="232"/>
      <c r="C314" s="715"/>
      <c r="D314" s="715"/>
      <c r="E314" s="116"/>
      <c r="F314" s="116"/>
      <c r="G314" s="116"/>
      <c r="H314" s="721" t="s">
        <v>25</v>
      </c>
      <c r="I314" s="577">
        <f t="shared" ref="I314" si="1020">SUM(I312:I313)</f>
        <v>2520553.6763950214</v>
      </c>
      <c r="J314" s="577">
        <f t="shared" ref="J314:AH314" si="1021">SUM(J312:J313)</f>
        <v>2614280.5303459396</v>
      </c>
      <c r="K314" s="577">
        <f t="shared" si="1021"/>
        <v>2714051.7100104894</v>
      </c>
      <c r="L314" s="577">
        <f t="shared" si="1021"/>
        <v>2935389.5199155598</v>
      </c>
      <c r="M314" s="577">
        <f t="shared" si="1021"/>
        <v>3156783.2777378941</v>
      </c>
      <c r="N314" s="577">
        <f t="shared" si="1021"/>
        <v>3378298.9728948111</v>
      </c>
      <c r="O314" s="577">
        <f t="shared" si="1021"/>
        <v>3599639.9687762763</v>
      </c>
      <c r="P314" s="577">
        <f t="shared" si="1021"/>
        <v>3821178.1269666986</v>
      </c>
      <c r="Q314" s="577">
        <f t="shared" si="1021"/>
        <v>4119024.6073199175</v>
      </c>
      <c r="R314" s="577">
        <f t="shared" si="1021"/>
        <v>4416902.5614202842</v>
      </c>
      <c r="S314" s="577">
        <f t="shared" si="1021"/>
        <v>4714803.138777677</v>
      </c>
      <c r="T314" s="577">
        <f t="shared" si="1021"/>
        <v>5012766.8849469749</v>
      </c>
      <c r="U314" s="577">
        <f t="shared" si="1021"/>
        <v>5311117.5222632419</v>
      </c>
      <c r="V314" s="577">
        <f t="shared" si="1021"/>
        <v>5487465.8950482123</v>
      </c>
      <c r="W314" s="577">
        <f t="shared" si="1021"/>
        <v>5581345.2882528463</v>
      </c>
      <c r="X314" s="577">
        <f t="shared" si="1021"/>
        <v>5675252.5841322141</v>
      </c>
      <c r="Y314" s="577">
        <f t="shared" si="1021"/>
        <v>5769192.2949839961</v>
      </c>
      <c r="Z314" s="577">
        <f t="shared" si="1021"/>
        <v>5863220.1256421059</v>
      </c>
      <c r="AA314" s="577">
        <f t="shared" si="1021"/>
        <v>5957240.8495828733</v>
      </c>
      <c r="AB314" s="577">
        <f t="shared" si="1021"/>
        <v>6051362.2752091326</v>
      </c>
      <c r="AC314" s="577">
        <f t="shared" si="1021"/>
        <v>6145490.769762082</v>
      </c>
      <c r="AD314" s="577">
        <f t="shared" si="1021"/>
        <v>6239685.4682996878</v>
      </c>
      <c r="AE314" s="577">
        <f t="shared" si="1021"/>
        <v>6334006.7596645402</v>
      </c>
      <c r="AF314" s="577">
        <f t="shared" si="1021"/>
        <v>6428364.1389711462</v>
      </c>
      <c r="AG314" s="577">
        <f t="shared" si="1021"/>
        <v>6522820.5559298862</v>
      </c>
      <c r="AH314" s="752">
        <f t="shared" si="1021"/>
        <v>6617440.693444714</v>
      </c>
      <c r="AI314" s="18"/>
      <c r="AJ314" s="18"/>
      <c r="AK314" s="18"/>
      <c r="AL314" s="18"/>
      <c r="AM314" s="18"/>
      <c r="AN314" s="18"/>
    </row>
    <row r="315" spans="2:40" ht="21.95" customHeight="1" x14ac:dyDescent="0.2">
      <c r="B315" s="232"/>
      <c r="C315" s="715"/>
      <c r="D315" s="715"/>
      <c r="E315" s="116"/>
      <c r="F315" s="116" t="s">
        <v>357</v>
      </c>
      <c r="G315" s="116" t="s">
        <v>346</v>
      </c>
      <c r="H315" s="116" t="s">
        <v>20</v>
      </c>
      <c r="I315" s="577">
        <f t="shared" ref="I315:AH315" si="1022">I224*$D$13</f>
        <v>71585.628922131946</v>
      </c>
      <c r="J315" s="577">
        <f t="shared" si="1022"/>
        <v>74133.041317393014</v>
      </c>
      <c r="K315" s="577">
        <f t="shared" si="1022"/>
        <v>76905.383361766915</v>
      </c>
      <c r="L315" s="577">
        <f t="shared" si="1022"/>
        <v>82205.828828621059</v>
      </c>
      <c r="M315" s="577">
        <f t="shared" si="1022"/>
        <v>87508.347073394951</v>
      </c>
      <c r="N315" s="577">
        <f t="shared" si="1022"/>
        <v>92811.619835383157</v>
      </c>
      <c r="O315" s="577">
        <f t="shared" si="1022"/>
        <v>98112.068513426508</v>
      </c>
      <c r="P315" s="577">
        <f t="shared" si="1022"/>
        <v>103416.94694427401</v>
      </c>
      <c r="Q315" s="577">
        <f t="shared" si="1022"/>
        <v>110695.14982207585</v>
      </c>
      <c r="R315" s="577">
        <f t="shared" si="1022"/>
        <v>117974.78101406262</v>
      </c>
      <c r="S315" s="577">
        <f t="shared" si="1022"/>
        <v>125252.0846922311</v>
      </c>
      <c r="T315" s="577">
        <f t="shared" si="1022"/>
        <v>132530.37694490142</v>
      </c>
      <c r="U315" s="577">
        <f t="shared" si="1022"/>
        <v>139814.39827400196</v>
      </c>
      <c r="V315" s="577">
        <f t="shared" si="1022"/>
        <v>144561.36796115292</v>
      </c>
      <c r="W315" s="577">
        <f t="shared" si="1022"/>
        <v>147108.90648094227</v>
      </c>
      <c r="X315" s="577">
        <f t="shared" si="1022"/>
        <v>149656.46886297915</v>
      </c>
      <c r="Y315" s="577">
        <f t="shared" si="1022"/>
        <v>152204.05909404144</v>
      </c>
      <c r="Z315" s="577">
        <f t="shared" si="1022"/>
        <v>154752.62374152659</v>
      </c>
      <c r="AA315" s="577">
        <f t="shared" si="1022"/>
        <v>157300.28404007212</v>
      </c>
      <c r="AB315" s="577">
        <f t="shared" si="1022"/>
        <v>159848.9299658029</v>
      </c>
      <c r="AC315" s="577">
        <f t="shared" si="1022"/>
        <v>162396.6842520085</v>
      </c>
      <c r="AD315" s="577">
        <f t="shared" si="1022"/>
        <v>164944.49661499506</v>
      </c>
      <c r="AE315" s="577">
        <f t="shared" si="1022"/>
        <v>167493.31788706014</v>
      </c>
      <c r="AF315" s="577">
        <f t="shared" si="1022"/>
        <v>170041.27377142932</v>
      </c>
      <c r="AG315" s="577">
        <f t="shared" si="1022"/>
        <v>172589.31749955111</v>
      </c>
      <c r="AH315" s="752">
        <f t="shared" si="1022"/>
        <v>175138.40385391048</v>
      </c>
      <c r="AI315" s="18"/>
      <c r="AJ315" s="18"/>
      <c r="AK315" s="18"/>
      <c r="AL315" s="18"/>
      <c r="AM315" s="18"/>
      <c r="AN315" s="18"/>
    </row>
    <row r="316" spans="2:40" ht="21.95" customHeight="1" x14ac:dyDescent="0.2">
      <c r="B316" s="232"/>
      <c r="C316" s="715"/>
      <c r="D316" s="715"/>
      <c r="E316" s="116"/>
      <c r="F316" s="116"/>
      <c r="G316" s="116"/>
      <c r="H316" s="124" t="s">
        <v>19</v>
      </c>
      <c r="I316" s="577">
        <f t="shared" ref="I316:AH316" si="1023">I225*$D$14</f>
        <v>295499.34731520893</v>
      </c>
      <c r="J316" s="577">
        <f t="shared" si="1023"/>
        <v>306014.84758358187</v>
      </c>
      <c r="K316" s="577">
        <f t="shared" si="1023"/>
        <v>317458.83818591514</v>
      </c>
      <c r="L316" s="577">
        <f t="shared" si="1023"/>
        <v>339338.6232701391</v>
      </c>
      <c r="M316" s="577">
        <f t="shared" si="1023"/>
        <v>361226.96460415295</v>
      </c>
      <c r="N316" s="577">
        <f t="shared" si="1023"/>
        <v>383118.42052062869</v>
      </c>
      <c r="O316" s="577">
        <f t="shared" si="1023"/>
        <v>404998.21886036679</v>
      </c>
      <c r="P316" s="577">
        <f t="shared" si="1023"/>
        <v>426896.30284042266</v>
      </c>
      <c r="Q316" s="577">
        <f t="shared" si="1023"/>
        <v>456940.1011893563</v>
      </c>
      <c r="R316" s="577">
        <f t="shared" si="1023"/>
        <v>486989.79549695872</v>
      </c>
      <c r="S316" s="577">
        <f t="shared" si="1023"/>
        <v>517029.88202679163</v>
      </c>
      <c r="T316" s="577">
        <f t="shared" si="1023"/>
        <v>547074.0493075304</v>
      </c>
      <c r="U316" s="577">
        <f t="shared" si="1023"/>
        <v>577141.86572527245</v>
      </c>
      <c r="V316" s="577">
        <f t="shared" si="1023"/>
        <v>596736.95017726521</v>
      </c>
      <c r="W316" s="577">
        <f t="shared" si="1023"/>
        <v>607252.97107689257</v>
      </c>
      <c r="X316" s="577">
        <f t="shared" si="1023"/>
        <v>617769.09047783469</v>
      </c>
      <c r="Y316" s="577">
        <f t="shared" si="1023"/>
        <v>628285.32483716938</v>
      </c>
      <c r="Z316" s="577">
        <f t="shared" si="1023"/>
        <v>638805.58150407195</v>
      </c>
      <c r="AA316" s="577">
        <f t="shared" si="1023"/>
        <v>649322.10509597871</v>
      </c>
      <c r="AB316" s="577">
        <f t="shared" si="1023"/>
        <v>659842.69727252051</v>
      </c>
      <c r="AC316" s="577">
        <f t="shared" si="1023"/>
        <v>670359.60883744119</v>
      </c>
      <c r="AD316" s="577">
        <f t="shared" si="1023"/>
        <v>680876.76013834123</v>
      </c>
      <c r="AE316" s="577">
        <f t="shared" si="1023"/>
        <v>691398.07612953859</v>
      </c>
      <c r="AF316" s="577">
        <f t="shared" si="1023"/>
        <v>701915.81987441843</v>
      </c>
      <c r="AG316" s="577">
        <f t="shared" si="1023"/>
        <v>712433.92623078811</v>
      </c>
      <c r="AH316" s="752">
        <f t="shared" si="1023"/>
        <v>722956.33645900106</v>
      </c>
      <c r="AI316" s="18"/>
      <c r="AJ316" s="18"/>
      <c r="AK316" s="18"/>
      <c r="AL316" s="18"/>
      <c r="AM316" s="18"/>
      <c r="AN316" s="18"/>
    </row>
    <row r="317" spans="2:40" ht="21.95" customHeight="1" x14ac:dyDescent="0.2">
      <c r="B317" s="232"/>
      <c r="C317" s="715"/>
      <c r="D317" s="715"/>
      <c r="E317" s="116"/>
      <c r="F317" s="116"/>
      <c r="G317" s="116"/>
      <c r="H317" s="721" t="s">
        <v>25</v>
      </c>
      <c r="I317" s="577">
        <f t="shared" ref="I317" si="1024">SUM(I315:I316)</f>
        <v>367084.97623734089</v>
      </c>
      <c r="J317" s="577">
        <f t="shared" ref="J317:AH317" si="1025">SUM(J315:J316)</f>
        <v>380147.88890097488</v>
      </c>
      <c r="K317" s="577">
        <f t="shared" si="1025"/>
        <v>394364.22154768207</v>
      </c>
      <c r="L317" s="577">
        <f t="shared" si="1025"/>
        <v>421544.45209876017</v>
      </c>
      <c r="M317" s="577">
        <f t="shared" si="1025"/>
        <v>448735.31167754787</v>
      </c>
      <c r="N317" s="577">
        <f t="shared" si="1025"/>
        <v>475930.04035601183</v>
      </c>
      <c r="O317" s="577">
        <f t="shared" si="1025"/>
        <v>503110.28737379331</v>
      </c>
      <c r="P317" s="577">
        <f t="shared" si="1025"/>
        <v>530313.24978469661</v>
      </c>
      <c r="Q317" s="577">
        <f t="shared" si="1025"/>
        <v>567635.25101143215</v>
      </c>
      <c r="R317" s="577">
        <f t="shared" si="1025"/>
        <v>604964.57651102135</v>
      </c>
      <c r="S317" s="577">
        <f t="shared" si="1025"/>
        <v>642281.96671902272</v>
      </c>
      <c r="T317" s="577">
        <f t="shared" si="1025"/>
        <v>679604.42625243182</v>
      </c>
      <c r="U317" s="577">
        <f t="shared" si="1025"/>
        <v>716956.26399927447</v>
      </c>
      <c r="V317" s="577">
        <f t="shared" si="1025"/>
        <v>741298.31813841814</v>
      </c>
      <c r="W317" s="577">
        <f t="shared" si="1025"/>
        <v>754361.87755783484</v>
      </c>
      <c r="X317" s="577">
        <f t="shared" si="1025"/>
        <v>767425.5593408139</v>
      </c>
      <c r="Y317" s="577">
        <f t="shared" si="1025"/>
        <v>780489.38393121085</v>
      </c>
      <c r="Z317" s="577">
        <f t="shared" si="1025"/>
        <v>793558.20524559857</v>
      </c>
      <c r="AA317" s="577">
        <f t="shared" si="1025"/>
        <v>806622.38913605083</v>
      </c>
      <c r="AB317" s="577">
        <f t="shared" si="1025"/>
        <v>819691.62723832345</v>
      </c>
      <c r="AC317" s="577">
        <f t="shared" si="1025"/>
        <v>832756.29308944964</v>
      </c>
      <c r="AD317" s="577">
        <f t="shared" si="1025"/>
        <v>845821.25675333629</v>
      </c>
      <c r="AE317" s="577">
        <f t="shared" si="1025"/>
        <v>858891.3940165987</v>
      </c>
      <c r="AF317" s="577">
        <f t="shared" si="1025"/>
        <v>871957.09364584775</v>
      </c>
      <c r="AG317" s="577">
        <f t="shared" si="1025"/>
        <v>885023.24373033922</v>
      </c>
      <c r="AH317" s="752">
        <f t="shared" si="1025"/>
        <v>898094.74031291157</v>
      </c>
      <c r="AI317" s="18"/>
      <c r="AJ317" s="18"/>
      <c r="AK317" s="18"/>
      <c r="AL317" s="18"/>
      <c r="AM317" s="18"/>
      <c r="AN317" s="18"/>
    </row>
    <row r="318" spans="2:40" ht="21.95" customHeight="1" x14ac:dyDescent="0.2">
      <c r="B318" s="232"/>
      <c r="C318" s="715"/>
      <c r="D318" s="715"/>
      <c r="E318" s="116"/>
      <c r="F318" s="116" t="s">
        <v>346</v>
      </c>
      <c r="G318" s="116" t="s">
        <v>343</v>
      </c>
      <c r="H318" s="116" t="s">
        <v>20</v>
      </c>
      <c r="I318" s="577">
        <f t="shared" ref="I318:AH318" si="1026">I227*$D$13</f>
        <v>21561.82037681057</v>
      </c>
      <c r="J318" s="577">
        <f t="shared" si="1026"/>
        <v>22329.109196186815</v>
      </c>
      <c r="K318" s="577">
        <f t="shared" si="1026"/>
        <v>23164.14758033659</v>
      </c>
      <c r="L318" s="577">
        <f t="shared" si="1026"/>
        <v>24760.659019488743</v>
      </c>
      <c r="M318" s="577">
        <f t="shared" si="1026"/>
        <v>26357.795077407078</v>
      </c>
      <c r="N318" s="577">
        <f t="shared" si="1026"/>
        <v>27955.158908411486</v>
      </c>
      <c r="O318" s="577">
        <f t="shared" si="1026"/>
        <v>29551.672978936655</v>
      </c>
      <c r="P318" s="577">
        <f t="shared" si="1026"/>
        <v>31149.522728665739</v>
      </c>
      <c r="Q318" s="577">
        <f t="shared" si="1026"/>
        <v>33341.749331930914</v>
      </c>
      <c r="R318" s="577">
        <f t="shared" si="1026"/>
        <v>35534.414149517645</v>
      </c>
      <c r="S318" s="577">
        <f t="shared" si="1026"/>
        <v>37726.392048206704</v>
      </c>
      <c r="T318" s="577">
        <f t="shared" si="1026"/>
        <v>39918.691888705216</v>
      </c>
      <c r="U318" s="577">
        <f t="shared" si="1026"/>
        <v>42112.757549758076</v>
      </c>
      <c r="V318" s="577">
        <f t="shared" si="1026"/>
        <v>43542.654915269995</v>
      </c>
      <c r="W318" s="577">
        <f t="shared" si="1026"/>
        <v>44310.047085976017</v>
      </c>
      <c r="X318" s="577">
        <f t="shared" si="1026"/>
        <v>45077.45881033309</v>
      </c>
      <c r="Y318" s="577">
        <f t="shared" si="1026"/>
        <v>45844.893355261607</v>
      </c>
      <c r="Z318" s="577">
        <f t="shared" si="1026"/>
        <v>46612.63824032055</v>
      </c>
      <c r="AA318" s="577">
        <f t="shared" si="1026"/>
        <v>47380.130201262225</v>
      </c>
      <c r="AB318" s="577">
        <f t="shared" si="1026"/>
        <v>48147.94168886773</v>
      </c>
      <c r="AC318" s="577">
        <f t="shared" si="1026"/>
        <v>48915.510666942995</v>
      </c>
      <c r="AD318" s="577">
        <f t="shared" si="1026"/>
        <v>49683.127235384942</v>
      </c>
      <c r="AE318" s="577">
        <f t="shared" si="1026"/>
        <v>50451.082408576993</v>
      </c>
      <c r="AF318" s="577">
        <f t="shared" si="1026"/>
        <v>51218.816584005886</v>
      </c>
      <c r="AG318" s="577">
        <f t="shared" si="1026"/>
        <v>51986.62274201231</v>
      </c>
      <c r="AH318" s="752">
        <f t="shared" si="1026"/>
        <v>52754.79513391669</v>
      </c>
      <c r="AI318" s="18"/>
      <c r="AJ318" s="18"/>
      <c r="AK318" s="18"/>
      <c r="AL318" s="18"/>
      <c r="AM318" s="18"/>
      <c r="AN318" s="18"/>
    </row>
    <row r="319" spans="2:40" ht="21.95" customHeight="1" x14ac:dyDescent="0.2">
      <c r="B319" s="232"/>
      <c r="C319" s="715"/>
      <c r="D319" s="715"/>
      <c r="E319" s="116"/>
      <c r="F319" s="116"/>
      <c r="G319" s="116"/>
      <c r="H319" s="124" t="s">
        <v>19</v>
      </c>
      <c r="I319" s="577">
        <f t="shared" ref="I319:AH319" si="1027">I228*$D$14</f>
        <v>89005.348478616696</v>
      </c>
      <c r="J319" s="577">
        <f t="shared" si="1027"/>
        <v>92172.651032800713</v>
      </c>
      <c r="K319" s="577">
        <f t="shared" si="1027"/>
        <v>95619.61798992299</v>
      </c>
      <c r="L319" s="577">
        <f t="shared" si="1027"/>
        <v>102209.88052381644</v>
      </c>
      <c r="M319" s="577">
        <f t="shared" si="1027"/>
        <v>108802.72143049934</v>
      </c>
      <c r="N319" s="577">
        <f t="shared" si="1027"/>
        <v>115396.50256498052</v>
      </c>
      <c r="O319" s="577">
        <f t="shared" si="1027"/>
        <v>121986.7759609565</v>
      </c>
      <c r="P319" s="577">
        <f t="shared" si="1027"/>
        <v>128582.56292633073</v>
      </c>
      <c r="Q319" s="577">
        <f t="shared" si="1027"/>
        <v>137631.88665493205</v>
      </c>
      <c r="R319" s="577">
        <f t="shared" si="1027"/>
        <v>146683.01929473458</v>
      </c>
      <c r="S319" s="577">
        <f t="shared" si="1027"/>
        <v>155731.31639213877</v>
      </c>
      <c r="T319" s="577">
        <f t="shared" si="1027"/>
        <v>164780.94243776903</v>
      </c>
      <c r="U319" s="577">
        <f t="shared" si="1027"/>
        <v>173837.8576394651</v>
      </c>
      <c r="V319" s="577">
        <f t="shared" si="1027"/>
        <v>179740.35154220252</v>
      </c>
      <c r="W319" s="577">
        <f t="shared" si="1027"/>
        <v>182908.08072182734</v>
      </c>
      <c r="X319" s="577">
        <f t="shared" si="1027"/>
        <v>186075.89061724959</v>
      </c>
      <c r="Y319" s="577">
        <f t="shared" si="1027"/>
        <v>189243.79471403698</v>
      </c>
      <c r="Z319" s="577">
        <f t="shared" si="1027"/>
        <v>192412.97986831263</v>
      </c>
      <c r="AA319" s="577">
        <f t="shared" si="1027"/>
        <v>195581.1209734866</v>
      </c>
      <c r="AB319" s="577">
        <f t="shared" si="1027"/>
        <v>198750.58105737221</v>
      </c>
      <c r="AC319" s="577">
        <f t="shared" si="1027"/>
        <v>201919.04008267971</v>
      </c>
      <c r="AD319" s="577">
        <f t="shared" si="1027"/>
        <v>205087.69555694636</v>
      </c>
      <c r="AE319" s="577">
        <f t="shared" si="1027"/>
        <v>208257.7487626315</v>
      </c>
      <c r="AF319" s="577">
        <f t="shared" si="1027"/>
        <v>211426.88970847122</v>
      </c>
      <c r="AG319" s="577">
        <f t="shared" si="1027"/>
        <v>214596.32779222817</v>
      </c>
      <c r="AH319" s="752">
        <f t="shared" si="1027"/>
        <v>217767.27765816037</v>
      </c>
      <c r="AI319" s="18"/>
      <c r="AJ319" s="18"/>
      <c r="AK319" s="18"/>
      <c r="AL319" s="18"/>
      <c r="AM319" s="18"/>
      <c r="AN319" s="18"/>
    </row>
    <row r="320" spans="2:40" ht="21.95" customHeight="1" x14ac:dyDescent="0.2">
      <c r="B320" s="232"/>
      <c r="C320" s="715"/>
      <c r="D320" s="715"/>
      <c r="E320" s="116"/>
      <c r="F320" s="116"/>
      <c r="G320" s="116"/>
      <c r="H320" s="721" t="s">
        <v>25</v>
      </c>
      <c r="I320" s="577">
        <f t="shared" ref="I320" si="1028">SUM(I318:I319)</f>
        <v>110567.16885542727</v>
      </c>
      <c r="J320" s="577">
        <f t="shared" ref="J320:AH320" si="1029">SUM(J318:J319)</f>
        <v>114501.76022898752</v>
      </c>
      <c r="K320" s="577">
        <f t="shared" si="1029"/>
        <v>118783.76557025958</v>
      </c>
      <c r="L320" s="577">
        <f t="shared" si="1029"/>
        <v>126970.53954330517</v>
      </c>
      <c r="M320" s="577">
        <f t="shared" si="1029"/>
        <v>135160.51650790643</v>
      </c>
      <c r="N320" s="577">
        <f t="shared" si="1029"/>
        <v>143351.66147339201</v>
      </c>
      <c r="O320" s="577">
        <f t="shared" si="1029"/>
        <v>151538.44893989316</v>
      </c>
      <c r="P320" s="577">
        <f t="shared" si="1029"/>
        <v>159732.08565499648</v>
      </c>
      <c r="Q320" s="577">
        <f t="shared" si="1029"/>
        <v>170973.63598686297</v>
      </c>
      <c r="R320" s="577">
        <f t="shared" si="1029"/>
        <v>182217.43344425224</v>
      </c>
      <c r="S320" s="577">
        <f t="shared" si="1029"/>
        <v>193457.70844034548</v>
      </c>
      <c r="T320" s="577">
        <f t="shared" si="1029"/>
        <v>204699.63432647425</v>
      </c>
      <c r="U320" s="577">
        <f t="shared" si="1029"/>
        <v>215950.61518922317</v>
      </c>
      <c r="V320" s="577">
        <f t="shared" si="1029"/>
        <v>223283.00645747251</v>
      </c>
      <c r="W320" s="577">
        <f t="shared" si="1029"/>
        <v>227218.12780780336</v>
      </c>
      <c r="X320" s="577">
        <f t="shared" si="1029"/>
        <v>231153.3494275827</v>
      </c>
      <c r="Y320" s="577">
        <f t="shared" si="1029"/>
        <v>235088.68806929857</v>
      </c>
      <c r="Z320" s="577">
        <f t="shared" si="1029"/>
        <v>239025.61810863318</v>
      </c>
      <c r="AA320" s="577">
        <f t="shared" si="1029"/>
        <v>242961.25117474882</v>
      </c>
      <c r="AB320" s="577">
        <f t="shared" si="1029"/>
        <v>246898.52274623993</v>
      </c>
      <c r="AC320" s="577">
        <f t="shared" si="1029"/>
        <v>250834.55074962269</v>
      </c>
      <c r="AD320" s="577">
        <f t="shared" si="1029"/>
        <v>254770.82279233131</v>
      </c>
      <c r="AE320" s="577">
        <f t="shared" si="1029"/>
        <v>258708.8311712085</v>
      </c>
      <c r="AF320" s="577">
        <f t="shared" si="1029"/>
        <v>262645.70629247709</v>
      </c>
      <c r="AG320" s="577">
        <f t="shared" si="1029"/>
        <v>266582.95053424046</v>
      </c>
      <c r="AH320" s="752">
        <f t="shared" si="1029"/>
        <v>270522.07279207709</v>
      </c>
      <c r="AI320" s="18"/>
      <c r="AJ320" s="18"/>
      <c r="AK320" s="18"/>
      <c r="AL320" s="18"/>
      <c r="AM320" s="18"/>
      <c r="AN320" s="18"/>
    </row>
    <row r="321" spans="1:41" ht="21.95" customHeight="1" x14ac:dyDescent="0.2">
      <c r="B321" s="232"/>
      <c r="C321" s="715"/>
      <c r="D321" s="715"/>
      <c r="E321" s="116"/>
      <c r="F321" s="116" t="s">
        <v>343</v>
      </c>
      <c r="G321" s="116" t="s">
        <v>350</v>
      </c>
      <c r="H321" s="116" t="s">
        <v>20</v>
      </c>
      <c r="I321" s="577">
        <f t="shared" ref="I321:AH321" si="1030">I230*$D$13</f>
        <v>55323.091257919485</v>
      </c>
      <c r="J321" s="577">
        <f t="shared" si="1030"/>
        <v>57228.326337257131</v>
      </c>
      <c r="K321" s="577">
        <f t="shared" si="1030"/>
        <v>59353.931743611436</v>
      </c>
      <c r="L321" s="577">
        <f t="shared" si="1030"/>
        <v>63067.125526686657</v>
      </c>
      <c r="M321" s="577">
        <f t="shared" si="1030"/>
        <v>66782.532318664293</v>
      </c>
      <c r="N321" s="577">
        <f t="shared" si="1030"/>
        <v>70496.648380678846</v>
      </c>
      <c r="O321" s="577">
        <f t="shared" si="1030"/>
        <v>74209.842622027543</v>
      </c>
      <c r="P321" s="577">
        <f t="shared" si="1030"/>
        <v>77926.81764172994</v>
      </c>
      <c r="Q321" s="577">
        <f t="shared" si="1030"/>
        <v>82713.92680032218</v>
      </c>
      <c r="R321" s="577">
        <f t="shared" si="1030"/>
        <v>87503.711533883426</v>
      </c>
      <c r="S321" s="577">
        <f t="shared" si="1030"/>
        <v>92289.902951167911</v>
      </c>
      <c r="T321" s="577">
        <f t="shared" si="1030"/>
        <v>97077.020753622026</v>
      </c>
      <c r="U321" s="577">
        <f t="shared" si="1030"/>
        <v>101868.20242094665</v>
      </c>
      <c r="V321" s="577">
        <f t="shared" si="1030"/>
        <v>105065.24893698696</v>
      </c>
      <c r="W321" s="577">
        <f t="shared" si="1030"/>
        <v>106970.49710027085</v>
      </c>
      <c r="X321" s="577">
        <f t="shared" si="1030"/>
        <v>108875.74781819242</v>
      </c>
      <c r="Y321" s="577">
        <f t="shared" si="1030"/>
        <v>110781.00153058153</v>
      </c>
      <c r="Z321" s="577">
        <f t="shared" si="1030"/>
        <v>112687.36521903756</v>
      </c>
      <c r="AA321" s="577">
        <f t="shared" si="1030"/>
        <v>114592.62651482708</v>
      </c>
      <c r="AB321" s="577">
        <f t="shared" si="1030"/>
        <v>116498.99903732126</v>
      </c>
      <c r="AC321" s="577">
        <f t="shared" si="1030"/>
        <v>118404.2705861607</v>
      </c>
      <c r="AD321" s="577">
        <f t="shared" si="1030"/>
        <v>120309.54850468966</v>
      </c>
      <c r="AE321" s="577">
        <f t="shared" si="1030"/>
        <v>122215.94026998877</v>
      </c>
      <c r="AF321" s="577">
        <f t="shared" si="1030"/>
        <v>124121.2340172223</v>
      </c>
      <c r="AG321" s="577">
        <f t="shared" si="1030"/>
        <v>126026.53750003185</v>
      </c>
      <c r="AH321" s="752">
        <f t="shared" si="1030"/>
        <v>127932.95866010072</v>
      </c>
      <c r="AI321" s="18"/>
      <c r="AJ321" s="18"/>
      <c r="AK321" s="18"/>
      <c r="AL321" s="18"/>
      <c r="AM321" s="18"/>
      <c r="AN321" s="18"/>
    </row>
    <row r="322" spans="1:41" ht="21.95" customHeight="1" x14ac:dyDescent="0.2">
      <c r="B322" s="232"/>
      <c r="C322" s="715"/>
      <c r="D322" s="715"/>
      <c r="E322" s="116"/>
      <c r="F322" s="116"/>
      <c r="G322" s="116"/>
      <c r="H322" s="124" t="s">
        <v>19</v>
      </c>
      <c r="I322" s="577">
        <f t="shared" ref="I322:AH322" si="1031">I231*$D$14</f>
        <v>228368.98417079769</v>
      </c>
      <c r="J322" s="577">
        <f t="shared" si="1031"/>
        <v>236233.6314596931</v>
      </c>
      <c r="K322" s="577">
        <f t="shared" si="1031"/>
        <v>245007.94859128684</v>
      </c>
      <c r="L322" s="577">
        <f t="shared" si="1031"/>
        <v>260335.69461901486</v>
      </c>
      <c r="M322" s="577">
        <f t="shared" si="1031"/>
        <v>275672.57575802307</v>
      </c>
      <c r="N322" s="577">
        <f t="shared" si="1031"/>
        <v>291004.1288742508</v>
      </c>
      <c r="O322" s="577">
        <f t="shared" si="1031"/>
        <v>306331.87679369247</v>
      </c>
      <c r="P322" s="577">
        <f t="shared" si="1031"/>
        <v>321675.23144248308</v>
      </c>
      <c r="Q322" s="577">
        <f t="shared" si="1031"/>
        <v>341436.00819600443</v>
      </c>
      <c r="R322" s="577">
        <f t="shared" si="1031"/>
        <v>361207.82949392567</v>
      </c>
      <c r="S322" s="577">
        <f t="shared" si="1031"/>
        <v>380964.81788990193</v>
      </c>
      <c r="T322" s="577">
        <f t="shared" si="1031"/>
        <v>400725.63032454503</v>
      </c>
      <c r="U322" s="577">
        <f t="shared" si="1031"/>
        <v>420503.21804544167</v>
      </c>
      <c r="V322" s="577">
        <f t="shared" si="1031"/>
        <v>433700.35234531504</v>
      </c>
      <c r="W322" s="577">
        <f t="shared" si="1031"/>
        <v>441565.05364362022</v>
      </c>
      <c r="X322" s="577">
        <f t="shared" si="1031"/>
        <v>449429.76548725116</v>
      </c>
      <c r="Y322" s="577">
        <f t="shared" si="1031"/>
        <v>457294.48969178769</v>
      </c>
      <c r="Z322" s="577">
        <f t="shared" si="1031"/>
        <v>465163.79578249675</v>
      </c>
      <c r="AA322" s="577">
        <f t="shared" si="1031"/>
        <v>473028.55129066086</v>
      </c>
      <c r="AB322" s="577">
        <f t="shared" si="1031"/>
        <v>480897.89384752308</v>
      </c>
      <c r="AC322" s="577">
        <f t="shared" si="1031"/>
        <v>488762.69167939946</v>
      </c>
      <c r="AD322" s="577">
        <f t="shared" si="1031"/>
        <v>496627.51580480888</v>
      </c>
      <c r="AE322" s="577">
        <f t="shared" si="1031"/>
        <v>504496.93779432232</v>
      </c>
      <c r="AF322" s="577">
        <f t="shared" si="1031"/>
        <v>512361.82725926896</v>
      </c>
      <c r="AG322" s="577">
        <f t="shared" si="1031"/>
        <v>520226.75691183994</v>
      </c>
      <c r="AH322" s="752">
        <f t="shared" si="1031"/>
        <v>528096.30024044623</v>
      </c>
      <c r="AI322" s="18"/>
      <c r="AJ322" s="18"/>
      <c r="AK322" s="18"/>
      <c r="AL322" s="18"/>
      <c r="AM322" s="18"/>
      <c r="AN322" s="18"/>
    </row>
    <row r="323" spans="1:41" ht="21.95" customHeight="1" x14ac:dyDescent="0.2">
      <c r="B323" s="232"/>
      <c r="C323" s="715"/>
      <c r="D323" s="715"/>
      <c r="E323" s="116"/>
      <c r="F323" s="116"/>
      <c r="G323" s="116"/>
      <c r="H323" s="721" t="s">
        <v>25</v>
      </c>
      <c r="I323" s="577">
        <f t="shared" ref="I323" si="1032">SUM(I321:I322)</f>
        <v>283692.07542871719</v>
      </c>
      <c r="J323" s="577">
        <f t="shared" ref="J323:AH323" si="1033">SUM(J321:J322)</f>
        <v>293461.95779695024</v>
      </c>
      <c r="K323" s="577">
        <f t="shared" si="1033"/>
        <v>304361.88033489825</v>
      </c>
      <c r="L323" s="577">
        <f t="shared" si="1033"/>
        <v>323402.82014570152</v>
      </c>
      <c r="M323" s="577">
        <f t="shared" si="1033"/>
        <v>342455.10807668738</v>
      </c>
      <c r="N323" s="577">
        <f t="shared" si="1033"/>
        <v>361500.77725492965</v>
      </c>
      <c r="O323" s="577">
        <f t="shared" si="1033"/>
        <v>380541.71941572003</v>
      </c>
      <c r="P323" s="577">
        <f t="shared" si="1033"/>
        <v>399602.04908421304</v>
      </c>
      <c r="Q323" s="577">
        <f t="shared" si="1033"/>
        <v>424149.93499632663</v>
      </c>
      <c r="R323" s="577">
        <f t="shared" si="1033"/>
        <v>448711.54102780909</v>
      </c>
      <c r="S323" s="577">
        <f t="shared" si="1033"/>
        <v>473254.72084106982</v>
      </c>
      <c r="T323" s="577">
        <f t="shared" si="1033"/>
        <v>497802.65107816702</v>
      </c>
      <c r="U323" s="577">
        <f t="shared" si="1033"/>
        <v>522371.42046638834</v>
      </c>
      <c r="V323" s="577">
        <f t="shared" si="1033"/>
        <v>538765.60128230206</v>
      </c>
      <c r="W323" s="577">
        <f t="shared" si="1033"/>
        <v>548535.55074389104</v>
      </c>
      <c r="X323" s="577">
        <f t="shared" si="1033"/>
        <v>558305.51330544357</v>
      </c>
      <c r="Y323" s="577">
        <f t="shared" si="1033"/>
        <v>568075.49122236925</v>
      </c>
      <c r="Z323" s="577">
        <f t="shared" si="1033"/>
        <v>577851.16100153432</v>
      </c>
      <c r="AA323" s="577">
        <f t="shared" si="1033"/>
        <v>587621.177805488</v>
      </c>
      <c r="AB323" s="577">
        <f t="shared" si="1033"/>
        <v>597396.89288484433</v>
      </c>
      <c r="AC323" s="577">
        <f t="shared" si="1033"/>
        <v>607166.96226556017</v>
      </c>
      <c r="AD323" s="577">
        <f t="shared" si="1033"/>
        <v>616937.06430949853</v>
      </c>
      <c r="AE323" s="577">
        <f t="shared" si="1033"/>
        <v>626712.87806431111</v>
      </c>
      <c r="AF323" s="577">
        <f t="shared" si="1033"/>
        <v>636483.06127649127</v>
      </c>
      <c r="AG323" s="577">
        <f t="shared" si="1033"/>
        <v>646253.29441187182</v>
      </c>
      <c r="AH323" s="752">
        <f t="shared" si="1033"/>
        <v>656029.25890054693</v>
      </c>
      <c r="AI323" s="18"/>
      <c r="AJ323" s="18"/>
      <c r="AK323" s="18"/>
      <c r="AL323" s="18"/>
      <c r="AM323" s="18"/>
      <c r="AN323" s="18"/>
    </row>
    <row r="324" spans="1:41" ht="21.95" customHeight="1" x14ac:dyDescent="0.2">
      <c r="B324" s="232"/>
      <c r="C324" s="715"/>
      <c r="D324" s="715"/>
      <c r="E324" s="116"/>
      <c r="F324" s="116" t="s">
        <v>350</v>
      </c>
      <c r="G324" s="116" t="s">
        <v>280</v>
      </c>
      <c r="H324" s="116" t="s">
        <v>20</v>
      </c>
      <c r="I324" s="577">
        <f t="shared" ref="I324:AH324" si="1034">I233*$D$13</f>
        <v>377154.72569478565</v>
      </c>
      <c r="J324" s="577">
        <f t="shared" si="1034"/>
        <v>390143.30591054843</v>
      </c>
      <c r="K324" s="577">
        <f t="shared" si="1034"/>
        <v>404634.21915083926</v>
      </c>
      <c r="L324" s="577">
        <f t="shared" si="1034"/>
        <v>429948.21600635641</v>
      </c>
      <c r="M324" s="577">
        <f t="shared" si="1034"/>
        <v>455277.29926453077</v>
      </c>
      <c r="N324" s="577">
        <f t="shared" si="1034"/>
        <v>480597.58260202064</v>
      </c>
      <c r="O324" s="577">
        <f t="shared" si="1034"/>
        <v>505911.58060590527</v>
      </c>
      <c r="P324" s="577">
        <f t="shared" si="1034"/>
        <v>531251.35176932334</v>
      </c>
      <c r="Q324" s="577">
        <f t="shared" si="1034"/>
        <v>563886.555375939</v>
      </c>
      <c r="R324" s="577">
        <f t="shared" si="1034"/>
        <v>596539.9922010455</v>
      </c>
      <c r="S324" s="577">
        <f t="shared" si="1034"/>
        <v>629168.92069634132</v>
      </c>
      <c r="T324" s="577">
        <f t="shared" si="1034"/>
        <v>661804.14596323355</v>
      </c>
      <c r="U324" s="577">
        <f t="shared" si="1034"/>
        <v>694467.04637883592</v>
      </c>
      <c r="V324" s="577">
        <f t="shared" si="1034"/>
        <v>716262.23268020444</v>
      </c>
      <c r="W324" s="577">
        <f t="shared" si="1034"/>
        <v>729250.84568245732</v>
      </c>
      <c r="X324" s="577">
        <f t="shared" si="1034"/>
        <v>742239.46508626523</v>
      </c>
      <c r="Y324" s="577">
        <f t="shared" si="1034"/>
        <v>755228.09199377906</v>
      </c>
      <c r="Z324" s="577">
        <f t="shared" si="1034"/>
        <v>768224.27080199192</v>
      </c>
      <c r="AA324" s="577">
        <f t="shared" si="1034"/>
        <v>781212.91671241785</v>
      </c>
      <c r="AB324" s="577">
        <f t="shared" si="1034"/>
        <v>794209.11765746167</v>
      </c>
      <c r="AC324" s="577">
        <f t="shared" si="1034"/>
        <v>807197.7892605582</v>
      </c>
      <c r="AD324" s="577">
        <f t="shared" si="1034"/>
        <v>820186.47682518198</v>
      </c>
      <c r="AE324" s="577">
        <f t="shared" si="1034"/>
        <v>833182.7259899315</v>
      </c>
      <c r="AF324" s="577">
        <f t="shared" si="1034"/>
        <v>846171.45321901573</v>
      </c>
      <c r="AG324" s="577">
        <f t="shared" si="1034"/>
        <v>859160.20484405512</v>
      </c>
      <c r="AH324" s="752">
        <f t="shared" si="1034"/>
        <v>872156.52766787575</v>
      </c>
      <c r="AI324" s="18"/>
      <c r="AJ324" s="18"/>
      <c r="AK324" s="18"/>
      <c r="AL324" s="18"/>
      <c r="AM324" s="18"/>
      <c r="AN324" s="18"/>
    </row>
    <row r="325" spans="1:41" ht="21.95" customHeight="1" x14ac:dyDescent="0.2">
      <c r="B325" s="232"/>
      <c r="C325" s="715"/>
      <c r="D325" s="715"/>
      <c r="E325" s="116"/>
      <c r="F325" s="116"/>
      <c r="G325" s="116"/>
      <c r="H325" s="124" t="s">
        <v>19</v>
      </c>
      <c r="I325" s="577">
        <f t="shared" ref="I325:AH325" si="1035">I234*$D$14</f>
        <v>1556862.4171883112</v>
      </c>
      <c r="J325" s="577">
        <f t="shared" si="1035"/>
        <v>1610478.1642886696</v>
      </c>
      <c r="K325" s="577">
        <f t="shared" si="1035"/>
        <v>1670295.4134905327</v>
      </c>
      <c r="L325" s="577">
        <f t="shared" si="1035"/>
        <v>1774789.4252269012</v>
      </c>
      <c r="M325" s="577">
        <f t="shared" si="1035"/>
        <v>1879345.7123418013</v>
      </c>
      <c r="N325" s="577">
        <f t="shared" si="1035"/>
        <v>1983865.6741375297</v>
      </c>
      <c r="O325" s="577">
        <f t="shared" si="1035"/>
        <v>2088359.6906142603</v>
      </c>
      <c r="P325" s="577">
        <f t="shared" si="1035"/>
        <v>2192960.0964869503</v>
      </c>
      <c r="Q325" s="577">
        <f t="shared" si="1035"/>
        <v>2327675.4228794021</v>
      </c>
      <c r="R325" s="577">
        <f t="shared" si="1035"/>
        <v>2462466.0144367269</v>
      </c>
      <c r="S325" s="577">
        <f t="shared" si="1035"/>
        <v>2597155.4377068998</v>
      </c>
      <c r="T325" s="577">
        <f t="shared" si="1035"/>
        <v>2731870.8535111183</v>
      </c>
      <c r="U325" s="577">
        <f t="shared" si="1035"/>
        <v>2866700.5099597764</v>
      </c>
      <c r="V325" s="577">
        <f t="shared" si="1035"/>
        <v>2956669.1729951105</v>
      </c>
      <c r="W325" s="577">
        <f t="shared" si="1035"/>
        <v>3010285.0554352929</v>
      </c>
      <c r="X325" s="577">
        <f t="shared" si="1035"/>
        <v>3063900.9643005473</v>
      </c>
      <c r="Y325" s="577">
        <f t="shared" si="1035"/>
        <v>3117516.9041404566</v>
      </c>
      <c r="Z325" s="577">
        <f t="shared" si="1035"/>
        <v>3171164.0175798875</v>
      </c>
      <c r="AA325" s="577">
        <f t="shared" si="1035"/>
        <v>3224780.0358621911</v>
      </c>
      <c r="AB325" s="577">
        <f t="shared" si="1035"/>
        <v>3278427.2406805651</v>
      </c>
      <c r="AC325" s="577">
        <f t="shared" si="1035"/>
        <v>3332043.3650200134</v>
      </c>
      <c r="AD325" s="577">
        <f t="shared" si="1035"/>
        <v>3385659.5552472793</v>
      </c>
      <c r="AE325" s="577">
        <f t="shared" si="1035"/>
        <v>3439306.95911247</v>
      </c>
      <c r="AF325" s="577">
        <f t="shared" si="1035"/>
        <v>3492923.3130712328</v>
      </c>
      <c r="AG325" s="577">
        <f t="shared" si="1035"/>
        <v>3546539.7677344098</v>
      </c>
      <c r="AH325" s="752">
        <f t="shared" si="1035"/>
        <v>3600187.4756579399</v>
      </c>
      <c r="AI325" s="18"/>
      <c r="AJ325" s="18"/>
      <c r="AK325" s="18"/>
      <c r="AL325" s="18"/>
      <c r="AM325" s="18"/>
      <c r="AN325" s="18"/>
    </row>
    <row r="326" spans="1:41" ht="21.95" customHeight="1" x14ac:dyDescent="0.2">
      <c r="B326" s="232"/>
      <c r="C326" s="715"/>
      <c r="D326" s="715"/>
      <c r="E326" s="116"/>
      <c r="F326" s="116"/>
      <c r="G326" s="116"/>
      <c r="H326" s="721" t="s">
        <v>25</v>
      </c>
      <c r="I326" s="577">
        <f t="shared" ref="I326" si="1036">SUM(I324:I325)</f>
        <v>1934017.1428830968</v>
      </c>
      <c r="J326" s="577">
        <f t="shared" ref="J326:AH326" si="1037">SUM(J324:J325)</f>
        <v>2000621.470199218</v>
      </c>
      <c r="K326" s="577">
        <f t="shared" si="1037"/>
        <v>2074929.6326413718</v>
      </c>
      <c r="L326" s="577">
        <f t="shared" si="1037"/>
        <v>2204737.6412332575</v>
      </c>
      <c r="M326" s="577">
        <f t="shared" si="1037"/>
        <v>2334623.0116063319</v>
      </c>
      <c r="N326" s="577">
        <f t="shared" si="1037"/>
        <v>2464463.2567395503</v>
      </c>
      <c r="O326" s="577">
        <f t="shared" si="1037"/>
        <v>2594271.2712201653</v>
      </c>
      <c r="P326" s="577">
        <f t="shared" si="1037"/>
        <v>2724211.4482562738</v>
      </c>
      <c r="Q326" s="577">
        <f t="shared" si="1037"/>
        <v>2891561.9782553408</v>
      </c>
      <c r="R326" s="577">
        <f t="shared" si="1037"/>
        <v>3059006.0066377725</v>
      </c>
      <c r="S326" s="577">
        <f t="shared" si="1037"/>
        <v>3226324.3584032413</v>
      </c>
      <c r="T326" s="577">
        <f t="shared" si="1037"/>
        <v>3393674.9994743518</v>
      </c>
      <c r="U326" s="577">
        <f t="shared" si="1037"/>
        <v>3561167.5563386125</v>
      </c>
      <c r="V326" s="577">
        <f t="shared" si="1037"/>
        <v>3672931.4056753148</v>
      </c>
      <c r="W326" s="577">
        <f t="shared" si="1037"/>
        <v>3739535.9011177504</v>
      </c>
      <c r="X326" s="577">
        <f t="shared" si="1037"/>
        <v>3806140.4293868123</v>
      </c>
      <c r="Y326" s="577">
        <f t="shared" si="1037"/>
        <v>3872744.9961342355</v>
      </c>
      <c r="Z326" s="577">
        <f t="shared" si="1037"/>
        <v>3939388.2883818792</v>
      </c>
      <c r="AA326" s="577">
        <f t="shared" si="1037"/>
        <v>4005992.9525746088</v>
      </c>
      <c r="AB326" s="577">
        <f t="shared" si="1037"/>
        <v>4072636.3583380268</v>
      </c>
      <c r="AC326" s="577">
        <f t="shared" si="1037"/>
        <v>4139241.1542805717</v>
      </c>
      <c r="AD326" s="577">
        <f t="shared" si="1037"/>
        <v>4205846.0320724612</v>
      </c>
      <c r="AE326" s="577">
        <f t="shared" si="1037"/>
        <v>4272489.6851024013</v>
      </c>
      <c r="AF326" s="577">
        <f t="shared" si="1037"/>
        <v>4339094.7662902484</v>
      </c>
      <c r="AG326" s="577">
        <f t="shared" si="1037"/>
        <v>4405699.972578465</v>
      </c>
      <c r="AH326" s="752">
        <f t="shared" si="1037"/>
        <v>4472344.0033258153</v>
      </c>
      <c r="AI326" s="18"/>
      <c r="AJ326" s="18"/>
      <c r="AK326" s="18"/>
      <c r="AL326" s="18"/>
      <c r="AM326" s="18"/>
      <c r="AN326" s="18"/>
    </row>
    <row r="327" spans="1:41" ht="21.95" customHeight="1" x14ac:dyDescent="0.2">
      <c r="B327" s="232"/>
      <c r="C327" s="715"/>
      <c r="D327" s="715"/>
      <c r="E327" s="116"/>
      <c r="F327" s="116" t="s">
        <v>280</v>
      </c>
      <c r="G327" s="116" t="s">
        <v>333</v>
      </c>
      <c r="H327" s="116" t="s">
        <v>20</v>
      </c>
      <c r="I327" s="577">
        <f t="shared" ref="I327:AH327" si="1038">I236*$D$13</f>
        <v>9419.3215279302658</v>
      </c>
      <c r="J327" s="577">
        <f t="shared" si="1038"/>
        <v>9743.7095138089153</v>
      </c>
      <c r="K327" s="577">
        <f t="shared" si="1038"/>
        <v>10105.619206963216</v>
      </c>
      <c r="L327" s="577">
        <f t="shared" si="1038"/>
        <v>10737.839120528988</v>
      </c>
      <c r="M327" s="577">
        <f t="shared" si="1038"/>
        <v>11370.44470622058</v>
      </c>
      <c r="N327" s="577">
        <f t="shared" si="1038"/>
        <v>12002.845348136792</v>
      </c>
      <c r="O327" s="577">
        <f t="shared" si="1038"/>
        <v>12635.113099772558</v>
      </c>
      <c r="P327" s="577">
        <f t="shared" si="1038"/>
        <v>13268.06282759271</v>
      </c>
      <c r="Q327" s="577">
        <f t="shared" si="1038"/>
        <v>14083.333015170538</v>
      </c>
      <c r="R327" s="577">
        <f t="shared" si="1038"/>
        <v>14899.228158084503</v>
      </c>
      <c r="S327" s="577">
        <f t="shared" si="1038"/>
        <v>15714.791289819039</v>
      </c>
      <c r="T327" s="577">
        <f t="shared" si="1038"/>
        <v>16530.963789455091</v>
      </c>
      <c r="U327" s="577">
        <f t="shared" si="1038"/>
        <v>17348.54086040203</v>
      </c>
      <c r="V327" s="577">
        <f t="shared" si="1038"/>
        <v>17894.671298791094</v>
      </c>
      <c r="W327" s="577">
        <f t="shared" si="1038"/>
        <v>18220.425086512078</v>
      </c>
      <c r="X327" s="577">
        <f t="shared" si="1038"/>
        <v>18546.445546753228</v>
      </c>
      <c r="Y327" s="577">
        <f t="shared" si="1038"/>
        <v>18872.778592295072</v>
      </c>
      <c r="Z327" s="577">
        <f t="shared" si="1038"/>
        <v>19199.666867554395</v>
      </c>
      <c r="AA327" s="577">
        <f t="shared" si="1038"/>
        <v>19526.791526122863</v>
      </c>
      <c r="AB327" s="577">
        <f t="shared" si="1038"/>
        <v>19854.601965493683</v>
      </c>
      <c r="AC327" s="577">
        <f t="shared" si="1038"/>
        <v>20182.796915408537</v>
      </c>
      <c r="AD327" s="577">
        <f t="shared" si="1038"/>
        <v>20511.656781977734</v>
      </c>
      <c r="AE327" s="577">
        <f t="shared" si="1038"/>
        <v>20841.475931712219</v>
      </c>
      <c r="AF327" s="577">
        <f t="shared" si="1038"/>
        <v>21171.988118876514</v>
      </c>
      <c r="AG327" s="577">
        <f t="shared" si="1038"/>
        <v>21503.51657952863</v>
      </c>
      <c r="AH327" s="752">
        <f t="shared" si="1038"/>
        <v>21836.404178950404</v>
      </c>
      <c r="AI327" s="18"/>
      <c r="AJ327" s="18"/>
      <c r="AK327" s="18"/>
      <c r="AL327" s="18"/>
      <c r="AM327" s="18"/>
      <c r="AN327" s="18"/>
    </row>
    <row r="328" spans="1:41" ht="21.95" customHeight="1" x14ac:dyDescent="0.2">
      <c r="B328" s="232"/>
      <c r="C328" s="715"/>
      <c r="D328" s="715"/>
      <c r="E328" s="116"/>
      <c r="F328" s="116"/>
      <c r="G328" s="116"/>
      <c r="H328" s="124" t="s">
        <v>19</v>
      </c>
      <c r="I328" s="577">
        <f t="shared" ref="I328:AH328" si="1039">I237*$D$14</f>
        <v>38882.152822645003</v>
      </c>
      <c r="J328" s="577">
        <f t="shared" si="1039"/>
        <v>40221.198655549604</v>
      </c>
      <c r="K328" s="577">
        <f t="shared" si="1039"/>
        <v>41715.130883629536</v>
      </c>
      <c r="L328" s="577">
        <f t="shared" si="1039"/>
        <v>44324.880558687626</v>
      </c>
      <c r="M328" s="577">
        <f t="shared" si="1039"/>
        <v>46936.222255261404</v>
      </c>
      <c r="N328" s="577">
        <f t="shared" si="1039"/>
        <v>49546.717961476883</v>
      </c>
      <c r="O328" s="577">
        <f t="shared" si="1039"/>
        <v>52156.665107992209</v>
      </c>
      <c r="P328" s="577">
        <f t="shared" si="1039"/>
        <v>54769.427393808612</v>
      </c>
      <c r="Q328" s="577">
        <f t="shared" si="1039"/>
        <v>58134.792927955845</v>
      </c>
      <c r="R328" s="577">
        <f t="shared" si="1039"/>
        <v>61502.738224224471</v>
      </c>
      <c r="S328" s="577">
        <f t="shared" si="1039"/>
        <v>64869.313006769888</v>
      </c>
      <c r="T328" s="577">
        <f t="shared" si="1039"/>
        <v>68238.403207841126</v>
      </c>
      <c r="U328" s="577">
        <f t="shared" si="1039"/>
        <v>71613.291359029914</v>
      </c>
      <c r="V328" s="577">
        <f t="shared" si="1039"/>
        <v>73867.671051195241</v>
      </c>
      <c r="W328" s="577">
        <f t="shared" si="1039"/>
        <v>75212.354797170497</v>
      </c>
      <c r="X328" s="577">
        <f t="shared" si="1039"/>
        <v>76558.139344477589</v>
      </c>
      <c r="Y328" s="577">
        <f t="shared" si="1039"/>
        <v>77905.214217143613</v>
      </c>
      <c r="Z328" s="577">
        <f t="shared" si="1039"/>
        <v>79254.581030546862</v>
      </c>
      <c r="AA328" s="577">
        <f t="shared" si="1039"/>
        <v>80604.923614012063</v>
      </c>
      <c r="AB328" s="577">
        <f t="shared" si="1039"/>
        <v>81958.097041915564</v>
      </c>
      <c r="AC328" s="577">
        <f t="shared" si="1039"/>
        <v>83312.857696424588</v>
      </c>
      <c r="AD328" s="577">
        <f t="shared" si="1039"/>
        <v>84670.363069955216</v>
      </c>
      <c r="AE328" s="577">
        <f t="shared" si="1039"/>
        <v>86031.828282262184</v>
      </c>
      <c r="AF328" s="577">
        <f t="shared" si="1039"/>
        <v>87396.154293744301</v>
      </c>
      <c r="AG328" s="577">
        <f t="shared" si="1039"/>
        <v>88764.675395174883</v>
      </c>
      <c r="AH328" s="752">
        <f t="shared" si="1039"/>
        <v>90138.806905082558</v>
      </c>
      <c r="AI328" s="18"/>
      <c r="AJ328" s="18"/>
      <c r="AK328" s="18"/>
      <c r="AL328" s="18"/>
      <c r="AM328" s="18"/>
      <c r="AN328" s="18"/>
    </row>
    <row r="329" spans="1:41" ht="21.95" customHeight="1" thickBot="1" x14ac:dyDescent="0.25">
      <c r="B329" s="487"/>
      <c r="C329" s="764"/>
      <c r="D329" s="764"/>
      <c r="E329" s="278"/>
      <c r="F329" s="278"/>
      <c r="G329" s="278"/>
      <c r="H329" s="765" t="s">
        <v>25</v>
      </c>
      <c r="I329" s="735">
        <f>SUM(I327:I328)</f>
        <v>48301.47435057527</v>
      </c>
      <c r="J329" s="735">
        <f t="shared" ref="J329:AH329" si="1040">SUM(J327:J328)</f>
        <v>49964.908169358518</v>
      </c>
      <c r="K329" s="735">
        <f t="shared" si="1040"/>
        <v>51820.750090592752</v>
      </c>
      <c r="L329" s="735">
        <f t="shared" si="1040"/>
        <v>55062.719679216614</v>
      </c>
      <c r="M329" s="735">
        <f t="shared" si="1040"/>
        <v>58306.666961481984</v>
      </c>
      <c r="N329" s="735">
        <f t="shared" si="1040"/>
        <v>61549.563309613673</v>
      </c>
      <c r="O329" s="735">
        <f t="shared" si="1040"/>
        <v>64791.778207764764</v>
      </c>
      <c r="P329" s="735">
        <f t="shared" si="1040"/>
        <v>68037.490221401327</v>
      </c>
      <c r="Q329" s="735">
        <f t="shared" si="1040"/>
        <v>72218.12594312639</v>
      </c>
      <c r="R329" s="735">
        <f t="shared" si="1040"/>
        <v>76401.96638230898</v>
      </c>
      <c r="S329" s="735">
        <f t="shared" si="1040"/>
        <v>80584.104296588921</v>
      </c>
      <c r="T329" s="735">
        <f t="shared" si="1040"/>
        <v>84769.366997296223</v>
      </c>
      <c r="U329" s="735">
        <f t="shared" si="1040"/>
        <v>88961.832219431948</v>
      </c>
      <c r="V329" s="735">
        <f t="shared" si="1040"/>
        <v>91762.342349986342</v>
      </c>
      <c r="W329" s="735">
        <f t="shared" si="1040"/>
        <v>93432.779883682582</v>
      </c>
      <c r="X329" s="735">
        <f t="shared" si="1040"/>
        <v>95104.584891230814</v>
      </c>
      <c r="Y329" s="735">
        <f t="shared" si="1040"/>
        <v>96777.992809438685</v>
      </c>
      <c r="Z329" s="735">
        <f t="shared" si="1040"/>
        <v>98454.247898101254</v>
      </c>
      <c r="AA329" s="735">
        <f t="shared" si="1040"/>
        <v>100131.71514013493</v>
      </c>
      <c r="AB329" s="735">
        <f t="shared" si="1040"/>
        <v>101812.69900740925</v>
      </c>
      <c r="AC329" s="735">
        <f t="shared" si="1040"/>
        <v>103495.65461183313</v>
      </c>
      <c r="AD329" s="735">
        <f t="shared" si="1040"/>
        <v>105182.01985193294</v>
      </c>
      <c r="AE329" s="735">
        <f t="shared" si="1040"/>
        <v>106873.30421397441</v>
      </c>
      <c r="AF329" s="735">
        <f t="shared" si="1040"/>
        <v>108568.14241262081</v>
      </c>
      <c r="AG329" s="735">
        <f t="shared" si="1040"/>
        <v>110268.19197470351</v>
      </c>
      <c r="AH329" s="766">
        <f t="shared" si="1040"/>
        <v>111975.21108403296</v>
      </c>
      <c r="AI329" s="18"/>
      <c r="AJ329" s="18"/>
      <c r="AK329" s="18"/>
      <c r="AL329" s="18"/>
      <c r="AM329" s="18"/>
      <c r="AN329" s="18"/>
    </row>
    <row r="330" spans="1:41" ht="21.95" customHeight="1" thickBot="1" x14ac:dyDescent="0.25">
      <c r="B330" s="487"/>
      <c r="C330" s="764"/>
      <c r="D330" s="764"/>
      <c r="E330" s="278"/>
      <c r="F330" s="278"/>
      <c r="G330" s="278"/>
      <c r="H330" s="767" t="s">
        <v>514</v>
      </c>
      <c r="I330" s="767">
        <f t="shared" ref="I330" si="1041">SUM(I245,I248,I251,I254,I257,I260,I263,I266,I269,I272,I275,I278,I281,I284,I287,I290,I293,I296,I299,I302,I305,I311,I314,I317,I320,I323,I326,I329)</f>
        <v>56628348.807653412</v>
      </c>
      <c r="J330" s="767">
        <f t="shared" ref="J330:AH330" si="1042">SUM(J245,J248,J251,J254,J257,J260,J263,J266,J269,J272,J275,J278,J281,J284,J287,J290,J293,J296,J299,J302,J305,J311,J314,J317,J320,J323,J326,J329)</f>
        <v>58678483.456031106</v>
      </c>
      <c r="K330" s="767">
        <f t="shared" si="1042"/>
        <v>62580445.921917692</v>
      </c>
      <c r="L330" s="767">
        <f t="shared" si="1042"/>
        <v>68785517.0112997</v>
      </c>
      <c r="M330" s="767">
        <f t="shared" si="1042"/>
        <v>75275039.261918351</v>
      </c>
      <c r="N330" s="767">
        <f t="shared" si="1042"/>
        <v>83138996.765305355</v>
      </c>
      <c r="O330" s="767">
        <f t="shared" si="1042"/>
        <v>96673852.512882188</v>
      </c>
      <c r="P330" s="767">
        <f t="shared" si="1042"/>
        <v>104805366.83874017</v>
      </c>
      <c r="Q330" s="767">
        <f t="shared" si="1042"/>
        <v>114603880.98599368</v>
      </c>
      <c r="R330" s="767">
        <f t="shared" si="1042"/>
        <v>125215839.54215465</v>
      </c>
      <c r="S330" s="767">
        <f t="shared" si="1042"/>
        <v>136691361.04610011</v>
      </c>
      <c r="T330" s="767">
        <f t="shared" si="1042"/>
        <v>145466392.07718703</v>
      </c>
      <c r="U330" s="767">
        <f t="shared" si="1042"/>
        <v>155399668.9954468</v>
      </c>
      <c r="V330" s="767">
        <f t="shared" si="1042"/>
        <v>161087199.68175897</v>
      </c>
      <c r="W330" s="767">
        <f t="shared" si="1042"/>
        <v>164292682.02685091</v>
      </c>
      <c r="X330" s="767">
        <f t="shared" si="1042"/>
        <v>167480026.32261321</v>
      </c>
      <c r="Y330" s="767">
        <f t="shared" si="1042"/>
        <v>170755543.98960614</v>
      </c>
      <c r="Z330" s="767">
        <f t="shared" si="1042"/>
        <v>174135320.22642541</v>
      </c>
      <c r="AA330" s="767">
        <f t="shared" si="1042"/>
        <v>177631658.85126734</v>
      </c>
      <c r="AB330" s="767">
        <f t="shared" si="1042"/>
        <v>181265700.29793203</v>
      </c>
      <c r="AC330" s="767">
        <f t="shared" si="1042"/>
        <v>185054737.85848516</v>
      </c>
      <c r="AD330" s="767">
        <f t="shared" si="1042"/>
        <v>189022887.49406189</v>
      </c>
      <c r="AE330" s="767">
        <f t="shared" si="1042"/>
        <v>193198550.00310564</v>
      </c>
      <c r="AF330" s="767">
        <f t="shared" si="1042"/>
        <v>197609315.67467788</v>
      </c>
      <c r="AG330" s="767">
        <f t="shared" si="1042"/>
        <v>202286963.01147228</v>
      </c>
      <c r="AH330" s="768">
        <f t="shared" si="1042"/>
        <v>207273693.47943252</v>
      </c>
      <c r="AI330" s="18"/>
      <c r="AJ330" s="18"/>
      <c r="AK330" s="18"/>
      <c r="AL330" s="18"/>
      <c r="AM330" s="18"/>
      <c r="AN330" s="18"/>
    </row>
    <row r="331" spans="1:41" ht="21.95" customHeight="1" x14ac:dyDescent="0.2">
      <c r="C331" s="116"/>
      <c r="D331" s="116"/>
      <c r="E331" s="116"/>
      <c r="F331" s="116"/>
      <c r="G331" s="116"/>
      <c r="H331" s="240"/>
      <c r="I331" s="724"/>
      <c r="J331" s="724"/>
      <c r="K331" s="724"/>
      <c r="L331" s="724"/>
      <c r="M331" s="724"/>
      <c r="N331" s="724"/>
      <c r="O331" s="724"/>
      <c r="P331" s="724"/>
      <c r="Q331" s="724"/>
      <c r="R331" s="724"/>
      <c r="S331" s="724"/>
      <c r="T331" s="724"/>
      <c r="U331" s="724"/>
      <c r="V331" s="724"/>
      <c r="W331" s="724"/>
      <c r="X331" s="724"/>
      <c r="Y331" s="724"/>
      <c r="Z331" s="724"/>
      <c r="AA331" s="724"/>
      <c r="AB331" s="724"/>
      <c r="AC331" s="724"/>
      <c r="AD331" s="724"/>
      <c r="AE331" s="724"/>
      <c r="AF331" s="724"/>
      <c r="AG331" s="724"/>
      <c r="AH331" s="724"/>
      <c r="AI331" s="18"/>
      <c r="AJ331" s="18"/>
      <c r="AK331" s="18"/>
      <c r="AL331" s="18"/>
      <c r="AM331" s="18"/>
      <c r="AN331" s="18"/>
      <c r="AO331" s="18"/>
    </row>
    <row r="332" spans="1:41" ht="21.95" customHeight="1" x14ac:dyDescent="0.2">
      <c r="C332" s="116"/>
      <c r="D332" s="116"/>
      <c r="E332" s="116"/>
      <c r="F332" s="116"/>
      <c r="G332" s="116"/>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116"/>
      <c r="AF332" s="116"/>
      <c r="AG332" s="116"/>
      <c r="AH332" s="116"/>
    </row>
    <row r="333" spans="1:41" ht="21.95" customHeight="1" x14ac:dyDescent="0.2">
      <c r="A333" s="551"/>
      <c r="B333" s="552" t="s">
        <v>359</v>
      </c>
      <c r="C333" s="116"/>
      <c r="D333" s="116"/>
      <c r="E333" s="116"/>
      <c r="F333" s="116"/>
      <c r="G333" s="228"/>
      <c r="H333" s="228"/>
      <c r="I333" s="228"/>
      <c r="J333" s="116"/>
      <c r="K333" s="116"/>
      <c r="L333" s="116"/>
      <c r="M333" s="116"/>
      <c r="N333" s="228"/>
      <c r="O333" s="228"/>
      <c r="P333" s="228"/>
      <c r="Q333" s="228"/>
      <c r="R333" s="228"/>
      <c r="S333" s="228"/>
      <c r="T333" s="228"/>
      <c r="U333" s="228"/>
      <c r="V333" s="228"/>
      <c r="W333" s="228"/>
      <c r="X333" s="228"/>
      <c r="Y333" s="228"/>
      <c r="Z333" s="228"/>
      <c r="AA333" s="228"/>
      <c r="AB333" s="228"/>
      <c r="AC333" s="228"/>
      <c r="AD333" s="116"/>
      <c r="AE333" s="116"/>
      <c r="AF333" s="116"/>
      <c r="AG333" s="116"/>
      <c r="AH333" s="116"/>
    </row>
    <row r="334" spans="1:41" ht="21.95" customHeight="1" x14ac:dyDescent="0.2">
      <c r="B334" s="1"/>
      <c r="C334" s="240"/>
      <c r="D334" s="240"/>
      <c r="E334" s="240"/>
      <c r="F334" s="240"/>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116"/>
      <c r="AE334" s="116"/>
      <c r="AF334" s="116"/>
      <c r="AG334" s="116"/>
      <c r="AH334" s="116"/>
    </row>
    <row r="335" spans="1:41" ht="21.95" customHeight="1" x14ac:dyDescent="0.2">
      <c r="B335" s="194" t="s">
        <v>13</v>
      </c>
      <c r="C335" s="240"/>
      <c r="D335" s="240"/>
      <c r="E335" s="240"/>
      <c r="F335" s="240"/>
      <c r="G335" s="228"/>
      <c r="H335" s="228"/>
      <c r="I335" s="228"/>
      <c r="J335" s="228"/>
      <c r="K335" s="228"/>
      <c r="L335" s="228"/>
      <c r="M335" s="228"/>
      <c r="N335" s="228"/>
      <c r="O335" s="228"/>
      <c r="P335" s="228"/>
      <c r="Q335" s="228"/>
      <c r="R335" s="228"/>
      <c r="S335" s="228"/>
      <c r="T335" s="228"/>
      <c r="U335" s="228"/>
      <c r="V335" s="228"/>
      <c r="W335" s="228"/>
      <c r="X335" s="228"/>
      <c r="Y335" s="228"/>
      <c r="Z335" s="228"/>
      <c r="AA335" s="228"/>
      <c r="AB335" s="228"/>
      <c r="AC335" s="228"/>
      <c r="AD335" s="116"/>
      <c r="AE335" s="116"/>
      <c r="AF335" s="116"/>
      <c r="AG335" s="116"/>
      <c r="AH335" s="116"/>
    </row>
    <row r="336" spans="1:41" ht="21.95" customHeight="1" thickBot="1" x14ac:dyDescent="0.25">
      <c r="B336" s="9" t="s">
        <v>248</v>
      </c>
      <c r="C336" s="240"/>
      <c r="D336" s="240"/>
      <c r="E336" s="240"/>
      <c r="F336" s="240"/>
      <c r="G336" s="240"/>
      <c r="H336" s="228"/>
      <c r="I336" s="228"/>
      <c r="J336" s="228"/>
      <c r="K336" s="228"/>
      <c r="L336" s="228"/>
      <c r="M336" s="228"/>
      <c r="N336" s="228"/>
      <c r="O336" s="228"/>
      <c r="P336" s="228"/>
      <c r="Q336" s="228"/>
      <c r="R336" s="228"/>
      <c r="S336" s="228"/>
      <c r="T336" s="228"/>
      <c r="U336" s="228"/>
      <c r="V336" s="228"/>
      <c r="W336" s="228"/>
      <c r="X336" s="228"/>
      <c r="Y336" s="228"/>
      <c r="Z336" s="228"/>
      <c r="AA336" s="228"/>
      <c r="AB336" s="228"/>
      <c r="AC336" s="228"/>
      <c r="AD336" s="228"/>
      <c r="AE336" s="116"/>
      <c r="AF336" s="116"/>
      <c r="AG336" s="116"/>
      <c r="AH336" s="116"/>
    </row>
    <row r="337" spans="2:41" s="7" customFormat="1" ht="21.95" customHeight="1" thickBot="1" x14ac:dyDescent="0.25">
      <c r="B337" s="196"/>
      <c r="C337" s="482" t="s">
        <v>2</v>
      </c>
      <c r="D337" s="482"/>
      <c r="E337" s="482" t="s">
        <v>328</v>
      </c>
      <c r="F337" s="1341" t="s">
        <v>18</v>
      </c>
      <c r="G337" s="1341"/>
      <c r="H337" s="482" t="s">
        <v>24</v>
      </c>
      <c r="I337" s="248">
        <v>2023</v>
      </c>
      <c r="J337" s="248">
        <v>2024</v>
      </c>
      <c r="K337" s="248">
        <v>2025</v>
      </c>
      <c r="L337" s="248">
        <v>2026</v>
      </c>
      <c r="M337" s="248">
        <v>2027</v>
      </c>
      <c r="N337" s="248">
        <v>2028</v>
      </c>
      <c r="O337" s="248">
        <v>2029</v>
      </c>
      <c r="P337" s="248">
        <v>2030</v>
      </c>
      <c r="Q337" s="248">
        <v>2031</v>
      </c>
      <c r="R337" s="248">
        <v>2032</v>
      </c>
      <c r="S337" s="248">
        <v>2033</v>
      </c>
      <c r="T337" s="248">
        <v>2034</v>
      </c>
      <c r="U337" s="248">
        <v>2035</v>
      </c>
      <c r="V337" s="248">
        <v>2036</v>
      </c>
      <c r="W337" s="248">
        <v>2037</v>
      </c>
      <c r="X337" s="248">
        <v>2038</v>
      </c>
      <c r="Y337" s="248">
        <v>2039</v>
      </c>
      <c r="Z337" s="248">
        <v>2040</v>
      </c>
      <c r="AA337" s="248">
        <v>2041</v>
      </c>
      <c r="AB337" s="248">
        <v>2042</v>
      </c>
      <c r="AC337" s="248">
        <v>2043</v>
      </c>
      <c r="AD337" s="248">
        <v>2044</v>
      </c>
      <c r="AE337" s="248">
        <v>2045</v>
      </c>
      <c r="AF337" s="248">
        <v>2046</v>
      </c>
      <c r="AG337" s="248">
        <v>2047</v>
      </c>
      <c r="AH337" s="498">
        <v>2048</v>
      </c>
      <c r="AI337" s="484"/>
      <c r="AJ337" s="484"/>
      <c r="AK337" s="484"/>
      <c r="AL337" s="484"/>
      <c r="AM337" s="484"/>
      <c r="AN337" s="484"/>
      <c r="AO337" s="484"/>
    </row>
    <row r="338" spans="2:41" ht="21.95" customHeight="1" x14ac:dyDescent="0.2">
      <c r="B338" s="233" t="s">
        <v>212</v>
      </c>
      <c r="C338" s="770" t="s">
        <v>156</v>
      </c>
      <c r="D338" s="771" t="s">
        <v>23</v>
      </c>
      <c r="E338" s="1342" t="s">
        <v>331</v>
      </c>
      <c r="F338" s="770" t="s">
        <v>332</v>
      </c>
      <c r="G338" s="770" t="s">
        <v>282</v>
      </c>
      <c r="H338" s="726" t="s">
        <v>23</v>
      </c>
      <c r="I338" s="726">
        <f>'Volume and Speed'!H478</f>
        <v>7729.1874665658033</v>
      </c>
      <c r="J338" s="726">
        <f>'Volume and Speed'!I478</f>
        <v>8080.6568918144685</v>
      </c>
      <c r="K338" s="726">
        <f>'Volume and Speed'!J478</f>
        <v>8575.8537455452624</v>
      </c>
      <c r="L338" s="726">
        <f>'Volume and Speed'!K478</f>
        <v>9304.2999225149961</v>
      </c>
      <c r="M338" s="726">
        <f>'Volume and Speed'!L478</f>
        <v>10033.092499420243</v>
      </c>
      <c r="N338" s="726">
        <f>'Volume and Speed'!M478</f>
        <v>10762.043327591367</v>
      </c>
      <c r="O338" s="726">
        <f>'Volume and Speed'!N478</f>
        <v>11491.02438476012</v>
      </c>
      <c r="P338" s="726">
        <f>'Volume and Speed'!O478</f>
        <v>12221.069821463367</v>
      </c>
      <c r="Q338" s="726">
        <f>'Volume and Speed'!P478</f>
        <v>12943.384521105236</v>
      </c>
      <c r="R338" s="726">
        <f>'Volume and Speed'!Q478</f>
        <v>13667.351818432737</v>
      </c>
      <c r="S338" s="726">
        <f>'Volume and Speed'!R478</f>
        <v>14393.622768070498</v>
      </c>
      <c r="T338" s="726">
        <f>'Volume and Speed'!S478</f>
        <v>15123.776700446439</v>
      </c>
      <c r="U338" s="726">
        <f>'Volume and Speed'!T478</f>
        <v>15860.496715839916</v>
      </c>
      <c r="V338" s="726">
        <f>'Volume and Speed'!U478</f>
        <v>16362.994002522586</v>
      </c>
      <c r="W338" s="726">
        <f>'Volume and Speed'!V478</f>
        <v>16729.074658175399</v>
      </c>
      <c r="X338" s="726">
        <f>'Volume and Speed'!W478</f>
        <v>17098.588178746195</v>
      </c>
      <c r="Y338" s="726">
        <f>'Volume and Speed'!X478</f>
        <v>17472.243791708017</v>
      </c>
      <c r="Z338" s="726">
        <f>'Volume and Speed'!Y478</f>
        <v>17851.009104097233</v>
      </c>
      <c r="AA338" s="726">
        <f>'Volume and Speed'!Z478</f>
        <v>18235.607700546811</v>
      </c>
      <c r="AB338" s="726">
        <f>'Volume and Speed'!AA478</f>
        <v>18627.457362276058</v>
      </c>
      <c r="AC338" s="726">
        <f>'Volume and Speed'!AB478</f>
        <v>19027.63589814839</v>
      </c>
      <c r="AD338" s="726">
        <f>'Volume and Speed'!AC478</f>
        <v>19437.845247134239</v>
      </c>
      <c r="AE338" s="726">
        <f>'Volume and Speed'!AD478</f>
        <v>19860.054695498053</v>
      </c>
      <c r="AF338" s="726">
        <f>'Volume and Speed'!AE478</f>
        <v>20296.085297391652</v>
      </c>
      <c r="AG338" s="726">
        <f>'Volume and Speed'!AF478</f>
        <v>20748.518172935212</v>
      </c>
      <c r="AH338" s="751">
        <f>'Volume and Speed'!AG478</f>
        <v>21220.328652973694</v>
      </c>
      <c r="AI338" s="18"/>
      <c r="AJ338" s="18"/>
      <c r="AK338" s="18"/>
      <c r="AL338" s="18"/>
      <c r="AM338" s="18"/>
      <c r="AN338" s="18"/>
    </row>
    <row r="339" spans="2:41" ht="21.95" customHeight="1" x14ac:dyDescent="0.2">
      <c r="B339" s="232" t="s">
        <v>513</v>
      </c>
      <c r="C339" s="715"/>
      <c r="D339" s="715"/>
      <c r="E339" s="1342"/>
      <c r="F339" s="116" t="s">
        <v>282</v>
      </c>
      <c r="G339" s="116" t="s">
        <v>280</v>
      </c>
      <c r="H339" s="577" t="s">
        <v>23</v>
      </c>
      <c r="I339" s="577">
        <f>'Volume and Speed'!H479</f>
        <v>248534.35639268748</v>
      </c>
      <c r="J339" s="577">
        <f>'Volume and Speed'!I479</f>
        <v>261653.35085719993</v>
      </c>
      <c r="K339" s="577">
        <f>'Volume and Speed'!J479</f>
        <v>281346.6595461517</v>
      </c>
      <c r="L339" s="577">
        <f>'Volume and Speed'!K479</f>
        <v>313883.36134210043</v>
      </c>
      <c r="M339" s="577">
        <f>'Volume and Speed'!L479</f>
        <v>346436.24024655746</v>
      </c>
      <c r="N339" s="577">
        <f>'Volume and Speed'!M479</f>
        <v>378990.75990457903</v>
      </c>
      <c r="O339" s="577">
        <f>'Volume and Speed'!N479</f>
        <v>411540.13143218507</v>
      </c>
      <c r="P339" s="577">
        <f>'Volume and Speed'!O479</f>
        <v>444135.13427734718</v>
      </c>
      <c r="Q339" s="577">
        <f>'Volume and Speed'!P479</f>
        <v>477051.8549036542</v>
      </c>
      <c r="R339" s="577">
        <f>'Volume and Speed'!Q479</f>
        <v>510041.20912473847</v>
      </c>
      <c r="S339" s="577">
        <f>'Volume and Speed'!R479</f>
        <v>543131.18457883305</v>
      </c>
      <c r="T339" s="577">
        <f>'Volume and Speed'!S479</f>
        <v>576416.54643636942</v>
      </c>
      <c r="U339" s="577">
        <f>'Volume and Speed'!T479</f>
        <v>610063.08091750217</v>
      </c>
      <c r="V339" s="577">
        <f>'Volume and Speed'!U479</f>
        <v>630772.48812326731</v>
      </c>
      <c r="W339" s="577">
        <f>'Volume and Speed'!V479</f>
        <v>644498.83093908313</v>
      </c>
      <c r="X339" s="577">
        <f>'Volume and Speed'!W479</f>
        <v>658362.95734618232</v>
      </c>
      <c r="Y339" s="577">
        <f>'Volume and Speed'!X479</f>
        <v>672392.39021314972</v>
      </c>
      <c r="Z339" s="577">
        <f>'Volume and Speed'!Y479</f>
        <v>686627.47949215444</v>
      </c>
      <c r="AA339" s="577">
        <f>'Volume and Speed'!Z479</f>
        <v>701090.06804121251</v>
      </c>
      <c r="AB339" s="577">
        <f>'Volume and Speed'!AA479</f>
        <v>715840.53998863581</v>
      </c>
      <c r="AC339" s="577">
        <f>'Volume and Speed'!AB479</f>
        <v>730913.65955145785</v>
      </c>
      <c r="AD339" s="577">
        <f>'Volume and Speed'!AC479</f>
        <v>746377.1133593088</v>
      </c>
      <c r="AE339" s="577">
        <f>'Volume and Speed'!AD479</f>
        <v>762308.8041436245</v>
      </c>
      <c r="AF339" s="577">
        <f>'Volume and Speed'!AE479</f>
        <v>778770.30107500346</v>
      </c>
      <c r="AG339" s="577">
        <f>'Volume and Speed'!AF479</f>
        <v>795861.79789423151</v>
      </c>
      <c r="AH339" s="752">
        <f>'Volume and Speed'!AG479</f>
        <v>813698.45484208758</v>
      </c>
      <c r="AI339" s="18"/>
      <c r="AJ339" s="18"/>
      <c r="AK339" s="18"/>
      <c r="AL339" s="18"/>
      <c r="AM339" s="18"/>
      <c r="AN339" s="18"/>
    </row>
    <row r="340" spans="2:41" ht="21.95" customHeight="1" x14ac:dyDescent="0.2">
      <c r="B340" s="232"/>
      <c r="C340" s="715"/>
      <c r="D340" s="715"/>
      <c r="E340" s="1342"/>
      <c r="F340" s="116" t="s">
        <v>280</v>
      </c>
      <c r="G340" s="116" t="s">
        <v>333</v>
      </c>
      <c r="H340" s="577" t="s">
        <v>23</v>
      </c>
      <c r="I340" s="577">
        <f>'Volume and Speed'!H480</f>
        <v>5796.8799869015402</v>
      </c>
      <c r="J340" s="577">
        <f>'Volume and Speed'!I480</f>
        <v>6038.9483671703838</v>
      </c>
      <c r="K340" s="577">
        <f>'Volume and Speed'!J480</f>
        <v>6338.5511137390477</v>
      </c>
      <c r="L340" s="577">
        <f>'Volume and Speed'!K480</f>
        <v>6741.9189452338151</v>
      </c>
      <c r="M340" s="577">
        <f>'Volume and Speed'!L480</f>
        <v>7145.4330416557295</v>
      </c>
      <c r="N340" s="577">
        <f>'Volume and Speed'!M480</f>
        <v>7548.901089941457</v>
      </c>
      <c r="O340" s="577">
        <f>'Volume and Speed'!N480</f>
        <v>7952.2762177653422</v>
      </c>
      <c r="P340" s="577">
        <f>'Volume and Speed'!O480</f>
        <v>8355.9470964504126</v>
      </c>
      <c r="Q340" s="577">
        <f>'Volume and Speed'!P480</f>
        <v>8747.0663421217796</v>
      </c>
      <c r="R340" s="577">
        <f>'Volume and Speed'!Q480</f>
        <v>9138.3435391500389</v>
      </c>
      <c r="S340" s="577">
        <f>'Volume and Speed'!R480</f>
        <v>9529.4950774832178</v>
      </c>
      <c r="T340" s="577">
        <f>'Volume and Speed'!S480</f>
        <v>9920.6746953398251</v>
      </c>
      <c r="U340" s="577">
        <f>'Volume and Speed'!T480</f>
        <v>10312.18456382061</v>
      </c>
      <c r="V340" s="577">
        <f>'Volume and Speed'!U480</f>
        <v>10599.497720416426</v>
      </c>
      <c r="W340" s="577">
        <f>'Volume and Speed'!V480</f>
        <v>10841.702077867954</v>
      </c>
      <c r="X340" s="577">
        <f>'Volume and Speed'!W480</f>
        <v>11083.940531226839</v>
      </c>
      <c r="Y340" s="577">
        <f>'Volume and Speed'!X480</f>
        <v>11326.220572259681</v>
      </c>
      <c r="Z340" s="577">
        <f>'Volume and Speed'!Y480</f>
        <v>11568.647852419308</v>
      </c>
      <c r="AA340" s="577">
        <f>'Volume and Speed'!Z480</f>
        <v>11811.039519467329</v>
      </c>
      <c r="AB340" s="577">
        <f>'Volume and Speed'!AA480</f>
        <v>12053.601582611032</v>
      </c>
      <c r="AC340" s="577">
        <f>'Volume and Speed'!AB480</f>
        <v>12296.155239175545</v>
      </c>
      <c r="AD340" s="577">
        <f>'Volume and Speed'!AC480</f>
        <v>12538.814553545863</v>
      </c>
      <c r="AE340" s="577">
        <f>'Volume and Speed'!AD480</f>
        <v>12781.696712180172</v>
      </c>
      <c r="AF340" s="577">
        <f>'Volume and Speed'!AE480</f>
        <v>13024.631561028047</v>
      </c>
      <c r="AG340" s="577">
        <f>'Volume and Speed'!AF480</f>
        <v>13267.74348112418</v>
      </c>
      <c r="AH340" s="752">
        <f>'Volume and Speed'!AG480</f>
        <v>13511.161548778193</v>
      </c>
      <c r="AI340" s="18"/>
      <c r="AJ340" s="18"/>
      <c r="AK340" s="18"/>
      <c r="AL340" s="18"/>
      <c r="AM340" s="18"/>
      <c r="AN340" s="18"/>
    </row>
    <row r="341" spans="2:41" ht="21.95" customHeight="1" x14ac:dyDescent="0.2">
      <c r="B341" s="232"/>
      <c r="C341" s="715"/>
      <c r="D341" s="715"/>
      <c r="E341" s="1340" t="s">
        <v>280</v>
      </c>
      <c r="F341" s="220" t="s">
        <v>281</v>
      </c>
      <c r="G341" s="220" t="s">
        <v>335</v>
      </c>
      <c r="H341" s="583" t="s">
        <v>23</v>
      </c>
      <c r="I341" s="583">
        <f>'Volume and Speed'!H481</f>
        <v>65763.478261115772</v>
      </c>
      <c r="J341" s="583">
        <f>'Volume and Speed'!I481</f>
        <v>72415.782905058426</v>
      </c>
      <c r="K341" s="583">
        <f>'Volume and Speed'!J481</f>
        <v>87288.522335980917</v>
      </c>
      <c r="L341" s="583">
        <f>'Volume and Speed'!K481</f>
        <v>117161.58247172119</v>
      </c>
      <c r="M341" s="583">
        <f>'Volume and Speed'!L481</f>
        <v>147053.05782493978</v>
      </c>
      <c r="N341" s="583">
        <f>'Volume and Speed'!M481</f>
        <v>176941.25487427693</v>
      </c>
      <c r="O341" s="583">
        <f>'Volume and Speed'!N481</f>
        <v>206814.37496153795</v>
      </c>
      <c r="P341" s="583">
        <f>'Volume and Speed'!O481</f>
        <v>236724.51294520305</v>
      </c>
      <c r="Q341" s="583">
        <f>'Volume and Speed'!P481</f>
        <v>266074.28511123848</v>
      </c>
      <c r="R341" s="583">
        <f>'Volume and Speed'!Q481</f>
        <v>295440.53938149457</v>
      </c>
      <c r="S341" s="583">
        <f>'Volume and Speed'!R481</f>
        <v>324796.2574665292</v>
      </c>
      <c r="T341" s="583">
        <f>'Volume and Speed'!S481</f>
        <v>354161.87067115289</v>
      </c>
      <c r="U341" s="583">
        <f>'Volume and Speed'!T481</f>
        <v>383585.77297277795</v>
      </c>
      <c r="V341" s="583">
        <f>'Volume and Speed'!U481</f>
        <v>397948.44071096554</v>
      </c>
      <c r="W341" s="583">
        <f>'Volume and Speed'!V481</f>
        <v>404620.31773437036</v>
      </c>
      <c r="X341" s="583">
        <f>'Volume and Speed'!W481</f>
        <v>411295.69241253892</v>
      </c>
      <c r="Y341" s="583">
        <f>'Volume and Speed'!X481</f>
        <v>417975.11787972908</v>
      </c>
      <c r="Z341" s="583">
        <f>'Volume and Speed'!Y481</f>
        <v>424669.46942713438</v>
      </c>
      <c r="AA341" s="583">
        <f>'Volume and Speed'!Z481</f>
        <v>431358.97861661052</v>
      </c>
      <c r="AB341" s="583">
        <f>'Volume and Speed'!AA481</f>
        <v>438064.95914456737</v>
      </c>
      <c r="AC341" s="583">
        <f>'Volume and Speed'!AB481</f>
        <v>444767.80926668266</v>
      </c>
      <c r="AD341" s="583">
        <f>'Volume and Speed'!AC481</f>
        <v>451478.81923727971</v>
      </c>
      <c r="AE341" s="583">
        <f>'Volume and Speed'!AD481</f>
        <v>458209.46147135261</v>
      </c>
      <c r="AF341" s="583">
        <f>'Volume and Speed'!AE481</f>
        <v>464940.45567501691</v>
      </c>
      <c r="AG341" s="583">
        <f>'Volume and Speed'!AF481</f>
        <v>471683.56717088871</v>
      </c>
      <c r="AH341" s="753">
        <f>'Volume and Speed'!AG481</f>
        <v>478450.81527606922</v>
      </c>
      <c r="AI341" s="18"/>
      <c r="AJ341" s="18"/>
      <c r="AK341" s="18"/>
      <c r="AL341" s="18"/>
      <c r="AM341" s="18"/>
      <c r="AN341" s="18"/>
    </row>
    <row r="342" spans="2:41" ht="21.95" customHeight="1" x14ac:dyDescent="0.2">
      <c r="B342" s="232"/>
      <c r="C342" s="715"/>
      <c r="D342" s="715"/>
      <c r="E342" s="1340"/>
      <c r="F342" s="116" t="s">
        <v>335</v>
      </c>
      <c r="G342" s="116" t="s">
        <v>323</v>
      </c>
      <c r="H342" s="577" t="s">
        <v>23</v>
      </c>
      <c r="I342" s="577">
        <f>'Volume and Speed'!H482</f>
        <v>8848.4899221904034</v>
      </c>
      <c r="J342" s="577">
        <f>'Volume and Speed'!I482</f>
        <v>9771.9868377121147</v>
      </c>
      <c r="K342" s="577">
        <f>'Volume and Speed'!J482</f>
        <v>11046.875431843377</v>
      </c>
      <c r="L342" s="577">
        <f>'Volume and Speed'!K482</f>
        <v>13388.461431750598</v>
      </c>
      <c r="M342" s="577">
        <f>'Volume and Speed'!L482</f>
        <v>15732.646657799451</v>
      </c>
      <c r="N342" s="577">
        <f>'Volume and Speed'!M482</f>
        <v>18085.159005128284</v>
      </c>
      <c r="O342" s="577">
        <f>'Volume and Speed'!N482</f>
        <v>20463.212890585626</v>
      </c>
      <c r="P342" s="577">
        <f>'Volume and Speed'!O482</f>
        <v>22921.702896008435</v>
      </c>
      <c r="Q342" s="577">
        <f>'Volume and Speed'!P482</f>
        <v>26880.188954962738</v>
      </c>
      <c r="R342" s="577">
        <f>'Volume and Speed'!Q482</f>
        <v>32361.175878179496</v>
      </c>
      <c r="S342" s="577">
        <f>'Volume and Speed'!R482</f>
        <v>42278.918136019274</v>
      </c>
      <c r="T342" s="577">
        <f>'Volume and Speed'!S482</f>
        <v>63779.238877588781</v>
      </c>
      <c r="U342" s="577">
        <f>'Volume and Speed'!T482</f>
        <v>90918.894539272398</v>
      </c>
      <c r="V342" s="577">
        <f>'Volume and Speed'!U482</f>
        <v>96201.560539323604</v>
      </c>
      <c r="W342" s="577">
        <f>'Volume and Speed'!V482</f>
        <v>98322.452725364303</v>
      </c>
      <c r="X342" s="577">
        <f>'Volume and Speed'!W482</f>
        <v>100442.97933200297</v>
      </c>
      <c r="Y342" s="577">
        <f>'Volume and Speed'!X482</f>
        <v>102563.64279252518</v>
      </c>
      <c r="Z342" s="577">
        <f>'Volume and Speed'!Y482</f>
        <v>104685.99549947897</v>
      </c>
      <c r="AA342" s="577">
        <f>'Volume and Speed'!Z482</f>
        <v>106807.02541706375</v>
      </c>
      <c r="AB342" s="577">
        <f>'Volume and Speed'!AA482</f>
        <v>108929.8185118119</v>
      </c>
      <c r="AC342" s="577">
        <f>'Volume and Speed'!AB482</f>
        <v>111051.37690930188</v>
      </c>
      <c r="AD342" s="577">
        <f>'Volume and Speed'!AC482</f>
        <v>113173.27759483698</v>
      </c>
      <c r="AE342" s="577">
        <f>'Volume and Speed'!AD482</f>
        <v>115297.10999152824</v>
      </c>
      <c r="AF342" s="577">
        <f>'Volume and Speed'!AE482</f>
        <v>117419.90448950586</v>
      </c>
      <c r="AG342" s="577">
        <f>'Volume and Speed'!AF482</f>
        <v>119543.26873748633</v>
      </c>
      <c r="AH342" s="752">
        <f>'Volume and Speed'!AG482</f>
        <v>121668.82976202643</v>
      </c>
      <c r="AI342" s="18"/>
      <c r="AJ342" s="18"/>
      <c r="AK342" s="18"/>
      <c r="AL342" s="18"/>
      <c r="AM342" s="18"/>
      <c r="AN342" s="18"/>
    </row>
    <row r="343" spans="2:41" ht="21.95" customHeight="1" x14ac:dyDescent="0.2">
      <c r="B343" s="232"/>
      <c r="C343" s="715"/>
      <c r="D343" s="715"/>
      <c r="E343" s="1333"/>
      <c r="F343" s="254" t="s">
        <v>323</v>
      </c>
      <c r="G343" s="254" t="s">
        <v>338</v>
      </c>
      <c r="H343" s="587" t="s">
        <v>23</v>
      </c>
      <c r="I343" s="587">
        <f>'Volume and Speed'!H483</f>
        <v>125559.46488394152</v>
      </c>
      <c r="J343" s="587">
        <f>'Volume and Speed'!I483</f>
        <v>129298.84195948513</v>
      </c>
      <c r="K343" s="587">
        <f>'Volume and Speed'!J483</f>
        <v>134763.71428682527</v>
      </c>
      <c r="L343" s="587">
        <f>'Volume and Speed'!K483</f>
        <v>142819.75301685371</v>
      </c>
      <c r="M343" s="587">
        <f>'Volume and Speed'!L483</f>
        <v>151564.0457773144</v>
      </c>
      <c r="N343" s="587">
        <f>'Volume and Speed'!M483</f>
        <v>161367.28869303904</v>
      </c>
      <c r="O343" s="587">
        <f>'Volume and Speed'!N483</f>
        <v>172773.35740434137</v>
      </c>
      <c r="P343" s="587">
        <f>'Volume and Speed'!O483</f>
        <v>186582.19091549522</v>
      </c>
      <c r="Q343" s="587">
        <f>'Volume and Speed'!P483</f>
        <v>204082.44793959323</v>
      </c>
      <c r="R343" s="587">
        <f>'Volume and Speed'!Q483</f>
        <v>226759.75695798732</v>
      </c>
      <c r="S343" s="587">
        <f>'Volume and Speed'!R483</f>
        <v>256799.41087837238</v>
      </c>
      <c r="T343" s="587">
        <f>'Volume and Speed'!S483</f>
        <v>297210.63501489989</v>
      </c>
      <c r="U343" s="587">
        <f>'Volume and Speed'!T483</f>
        <v>352079.19405828248</v>
      </c>
      <c r="V343" s="587">
        <f>'Volume and Speed'!U483</f>
        <v>403036.83741010039</v>
      </c>
      <c r="W343" s="587">
        <f>'Volume and Speed'!V483</f>
        <v>445497.93802874989</v>
      </c>
      <c r="X343" s="587">
        <f>'Volume and Speed'!W483</f>
        <v>477530.93935508019</v>
      </c>
      <c r="Y343" s="587">
        <f>'Volume and Speed'!X483</f>
        <v>485272.51730524574</v>
      </c>
      <c r="Z343" s="587">
        <f>'Volume and Speed'!Y483</f>
        <v>493017.90487224236</v>
      </c>
      <c r="AA343" s="587">
        <f>'Volume and Speed'!Z483</f>
        <v>500759.75031408755</v>
      </c>
      <c r="AB343" s="587">
        <f>'Volume and Speed'!AA483</f>
        <v>508505.44613405102</v>
      </c>
      <c r="AC343" s="587">
        <f>'Volume and Speed'!AB483</f>
        <v>516247.64665636112</v>
      </c>
      <c r="AD343" s="587">
        <f>'Volume and Speed'!AC483</f>
        <v>523990.06452830543</v>
      </c>
      <c r="AE343" s="587">
        <f>'Volume and Speed'!AD483</f>
        <v>531736.41773450305</v>
      </c>
      <c r="AF343" s="587">
        <f>'Volume and Speed'!AE483</f>
        <v>539479.37141869066</v>
      </c>
      <c r="AG343" s="587">
        <f>'Volume and Speed'!AF483</f>
        <v>547222.64973636321</v>
      </c>
      <c r="AH343" s="754">
        <f>'Volume and Speed'!AG483</f>
        <v>554969.98448030138</v>
      </c>
      <c r="AI343" s="18"/>
      <c r="AJ343" s="18"/>
      <c r="AK343" s="18"/>
      <c r="AL343" s="18"/>
      <c r="AM343" s="18"/>
      <c r="AN343" s="18"/>
    </row>
    <row r="344" spans="2:41" ht="21.95" customHeight="1" x14ac:dyDescent="0.2">
      <c r="B344" s="232"/>
      <c r="C344" s="715"/>
      <c r="D344" s="715"/>
      <c r="E344" s="116" t="s">
        <v>339</v>
      </c>
      <c r="F344" s="116" t="s">
        <v>335</v>
      </c>
      <c r="G344" s="116" t="s">
        <v>323</v>
      </c>
      <c r="H344" s="577" t="s">
        <v>23</v>
      </c>
      <c r="I344" s="577">
        <f>'Volume and Speed'!H484</f>
        <v>397.10648148148141</v>
      </c>
      <c r="J344" s="577">
        <f>'Volume and Speed'!I484</f>
        <v>3009.6700231481482</v>
      </c>
      <c r="K344" s="577">
        <f>'Volume and Speed'!J484</f>
        <v>17436.548495908923</v>
      </c>
      <c r="L344" s="577">
        <f>'Volume and Speed'!K484</f>
        <v>40160.575003187303</v>
      </c>
      <c r="M344" s="577">
        <f>'Volume and Speed'!L484</f>
        <v>62899.61175532057</v>
      </c>
      <c r="N344" s="577">
        <f>'Volume and Speed'!M484</f>
        <v>85659.998664049388</v>
      </c>
      <c r="O344" s="577">
        <f>'Volume and Speed'!N484</f>
        <v>108650.04526325772</v>
      </c>
      <c r="P344" s="577">
        <f>'Volume and Speed'!O484</f>
        <v>133457.62142767891</v>
      </c>
      <c r="Q344" s="577">
        <f>'Volume and Speed'!P484</f>
        <v>150403.54066006633</v>
      </c>
      <c r="R344" s="577">
        <f>'Volume and Speed'!Q484</f>
        <v>173275.8753544582</v>
      </c>
      <c r="S344" s="577">
        <f>'Volume and Speed'!R484</f>
        <v>208787.03090752655</v>
      </c>
      <c r="T344" s="577">
        <f>'Volume and Speed'!S484</f>
        <v>269732.01949602127</v>
      </c>
      <c r="U344" s="577">
        <f>'Volume and Speed'!T484</f>
        <v>379740.01955777145</v>
      </c>
      <c r="V344" s="577">
        <f>'Volume and Speed'!U484</f>
        <v>416760.21228104056</v>
      </c>
      <c r="W344" s="577">
        <f>'Volume and Speed'!V484</f>
        <v>422218.52621962351</v>
      </c>
      <c r="X344" s="577">
        <f>'Volume and Speed'!W484</f>
        <v>427676.62491005455</v>
      </c>
      <c r="Y344" s="577">
        <f>'Volume and Speed'!X484</f>
        <v>433134.80048580817</v>
      </c>
      <c r="Z344" s="577">
        <f>'Volume and Speed'!Y484</f>
        <v>438614.63065533526</v>
      </c>
      <c r="AA344" s="577">
        <f>'Volume and Speed'!Z484</f>
        <v>444072.99239947664</v>
      </c>
      <c r="AB344" s="577">
        <f>'Volume and Speed'!AA484</f>
        <v>449553.02803764259</v>
      </c>
      <c r="AC344" s="577">
        <f>'Volume and Speed'!AB484</f>
        <v>455011.62035226135</v>
      </c>
      <c r="AD344" s="577">
        <f>'Volume and Speed'!AC484</f>
        <v>460470.34423125914</v>
      </c>
      <c r="AE344" s="577">
        <f>'Volume and Speed'!AD484</f>
        <v>465950.78722739103</v>
      </c>
      <c r="AF344" s="577">
        <f>'Volume and Speed'!AE484</f>
        <v>471409.83510070911</v>
      </c>
      <c r="AG344" s="577">
        <f>'Volume and Speed'!AF484</f>
        <v>476869.06431121402</v>
      </c>
      <c r="AH344" s="752">
        <f>'Volume and Speed'!AG484</f>
        <v>482350.06926169188</v>
      </c>
      <c r="AI344" s="18"/>
      <c r="AJ344" s="18"/>
      <c r="AK344" s="18"/>
      <c r="AL344" s="18"/>
      <c r="AM344" s="18"/>
      <c r="AN344" s="18"/>
    </row>
    <row r="345" spans="2:41" ht="21.95" customHeight="1" x14ac:dyDescent="0.2">
      <c r="B345" s="232"/>
      <c r="C345" s="715"/>
      <c r="D345" s="715"/>
      <c r="E345" s="1340" t="s">
        <v>323</v>
      </c>
      <c r="F345" s="220" t="s">
        <v>282</v>
      </c>
      <c r="G345" s="220" t="s">
        <v>339</v>
      </c>
      <c r="H345" s="583" t="s">
        <v>23</v>
      </c>
      <c r="I345" s="583">
        <f>'Volume and Speed'!H485</f>
        <v>1198.905109489051</v>
      </c>
      <c r="J345" s="583">
        <f>'Volume and Speed'!I485</f>
        <v>2664.5666058394158</v>
      </c>
      <c r="K345" s="583">
        <f>'Volume and Speed'!J485</f>
        <v>11261.9151459854</v>
      </c>
      <c r="L345" s="583">
        <f>'Volume and Speed'!K485</f>
        <v>25316.080291971932</v>
      </c>
      <c r="M345" s="583">
        <f>'Volume and Speed'!L485</f>
        <v>39378.038321313361</v>
      </c>
      <c r="N345" s="583">
        <f>'Volume and Speed'!M485</f>
        <v>53440.595807103331</v>
      </c>
      <c r="O345" s="583">
        <f>'Volume and Speed'!N485</f>
        <v>67494.761003473541</v>
      </c>
      <c r="P345" s="583">
        <f>'Volume and Speed'!O485</f>
        <v>81565.111751914897</v>
      </c>
      <c r="Q345" s="583">
        <f>'Volume and Speed'!P485</f>
        <v>92415.204285157481</v>
      </c>
      <c r="R345" s="583">
        <f>'Volume and Speed'!Q485</f>
        <v>103267.098022146</v>
      </c>
      <c r="S345" s="583">
        <f>'Volume and Speed'!R485</f>
        <v>114117.20100719389</v>
      </c>
      <c r="T345" s="583">
        <f>'Volume and Speed'!S485</f>
        <v>124967.32246853947</v>
      </c>
      <c r="U345" s="583">
        <f>'Volume and Speed'!T485</f>
        <v>135831.87240782398</v>
      </c>
      <c r="V345" s="583">
        <f>'Volume and Speed'!U485</f>
        <v>141216.81857160493</v>
      </c>
      <c r="W345" s="583">
        <f>'Volume and Speed'!V485</f>
        <v>142682.50214424095</v>
      </c>
      <c r="X345" s="583">
        <f>'Volume and Speed'!W485</f>
        <v>144148.18810430038</v>
      </c>
      <c r="Y345" s="583">
        <f>'Volume and Speed'!X485</f>
        <v>145613.8766824351</v>
      </c>
      <c r="Z345" s="583">
        <f>'Volume and Speed'!Y485</f>
        <v>147083.76438616531</v>
      </c>
      <c r="AA345" s="583">
        <f>'Volume and Speed'!Z485</f>
        <v>148549.45897933331</v>
      </c>
      <c r="AB345" s="583">
        <f>'Volume and Speed'!AA485</f>
        <v>150019.35328198146</v>
      </c>
      <c r="AC345" s="583">
        <f>'Volume and Speed'!AB485</f>
        <v>151485.05506695382</v>
      </c>
      <c r="AD345" s="583">
        <f>'Volume and Speed'!AC485</f>
        <v>152950.7609445136</v>
      </c>
      <c r="AE345" s="583">
        <f>'Volume and Speed'!AD485</f>
        <v>154420.66759960086</v>
      </c>
      <c r="AF345" s="583">
        <f>'Volume and Speed'!AE485</f>
        <v>155886.38281767844</v>
      </c>
      <c r="AG345" s="583">
        <f>'Volume and Speed'!AF485</f>
        <v>157352.10333149429</v>
      </c>
      <c r="AH345" s="753">
        <f>'Volume and Speed'!AG485</f>
        <v>158822.02596842652</v>
      </c>
      <c r="AI345" s="18"/>
      <c r="AJ345" s="18"/>
      <c r="AK345" s="18"/>
      <c r="AL345" s="18"/>
      <c r="AM345" s="18"/>
      <c r="AN345" s="18"/>
    </row>
    <row r="346" spans="2:41" ht="21.95" customHeight="1" x14ac:dyDescent="0.2">
      <c r="B346" s="232"/>
      <c r="C346" s="715"/>
      <c r="D346" s="715"/>
      <c r="E346" s="1340"/>
      <c r="F346" s="116" t="s">
        <v>339</v>
      </c>
      <c r="G346" s="116" t="s">
        <v>288</v>
      </c>
      <c r="H346" s="577" t="s">
        <v>23</v>
      </c>
      <c r="I346" s="577">
        <f>'Volume and Speed'!H486</f>
        <v>0</v>
      </c>
      <c r="J346" s="577">
        <f>'Volume and Speed'!I486</f>
        <v>815.61070559610721</v>
      </c>
      <c r="K346" s="577">
        <f>'Volume and Speed'!J486</f>
        <v>2335.8046228710464</v>
      </c>
      <c r="L346" s="577">
        <f>'Volume and Speed'!K486</f>
        <v>5250.7425790756597</v>
      </c>
      <c r="M346" s="577">
        <f>'Volume and Speed'!L486</f>
        <v>8167.2968370131402</v>
      </c>
      <c r="N346" s="577">
        <f>'Volume and Speed'!M486</f>
        <v>11083.97542665847</v>
      </c>
      <c r="O346" s="577">
        <f>'Volume and Speed'!N486</f>
        <v>13998.913393313032</v>
      </c>
      <c r="P346" s="577">
        <f>'Volume and Speed'!O486</f>
        <v>16917.208363360129</v>
      </c>
      <c r="Q346" s="577">
        <f>'Volume and Speed'!P486</f>
        <v>19167.597925810442</v>
      </c>
      <c r="R346" s="577">
        <f>'Volume and Speed'!Q486</f>
        <v>21418.361071259911</v>
      </c>
      <c r="S346" s="577">
        <f>'Volume and Speed'!R486</f>
        <v>23668.752801492064</v>
      </c>
      <c r="T346" s="577">
        <f>'Volume and Speed'!S486</f>
        <v>25919.148363845226</v>
      </c>
      <c r="U346" s="577">
        <f>'Volume and Speed'!T486</f>
        <v>28172.536499400529</v>
      </c>
      <c r="V346" s="577">
        <f>'Volume and Speed'!U486</f>
        <v>29289.414222258802</v>
      </c>
      <c r="W346" s="577">
        <f>'Volume and Speed'!V486</f>
        <v>29593.407852138866</v>
      </c>
      <c r="X346" s="577">
        <f>'Volume and Speed'!W486</f>
        <v>29897.401977188223</v>
      </c>
      <c r="Y346" s="577">
        <f>'Volume and Speed'!X486</f>
        <v>30201.396645245804</v>
      </c>
      <c r="Z346" s="577">
        <f>'Volume and Speed'!Y486</f>
        <v>30506.26224305651</v>
      </c>
      <c r="AA346" s="577">
        <f>'Volume and Speed'!Z486</f>
        <v>30810.258158676537</v>
      </c>
      <c r="AB346" s="577">
        <f>'Volume and Speed'!AA486</f>
        <v>31115.12512515171</v>
      </c>
      <c r="AC346" s="577">
        <f>'Volume and Speed'!AB486</f>
        <v>31419.122532405239</v>
      </c>
      <c r="AD346" s="577">
        <f>'Volume and Speed'!AC486</f>
        <v>31723.120788491702</v>
      </c>
      <c r="AE346" s="577">
        <f>'Volume and Speed'!AD486</f>
        <v>32027.990316954256</v>
      </c>
      <c r="AF346" s="577">
        <f>'Volume and Speed'!AE486</f>
        <v>32331.990510333308</v>
      </c>
      <c r="AG346" s="577">
        <f>'Volume and Speed'!AF486</f>
        <v>32635.991802087701</v>
      </c>
      <c r="AH346" s="752">
        <f>'Volume and Speed'!AG486</f>
        <v>32940.864645303278</v>
      </c>
      <c r="AI346" s="18"/>
      <c r="AJ346" s="18"/>
      <c r="AK346" s="18"/>
      <c r="AL346" s="18"/>
      <c r="AM346" s="18"/>
      <c r="AN346" s="18"/>
    </row>
    <row r="347" spans="2:41" ht="21.95" customHeight="1" x14ac:dyDescent="0.2">
      <c r="B347" s="232"/>
      <c r="C347" s="715"/>
      <c r="D347" s="715"/>
      <c r="E347" s="1340"/>
      <c r="F347" s="116" t="s">
        <v>288</v>
      </c>
      <c r="G347" s="116" t="s">
        <v>340</v>
      </c>
      <c r="H347" s="577" t="s">
        <v>23</v>
      </c>
      <c r="I347" s="577">
        <f>'Volume and Speed'!H487</f>
        <v>0</v>
      </c>
      <c r="J347" s="577">
        <f>'Volume and Speed'!I487</f>
        <v>2126.4136253041361</v>
      </c>
      <c r="K347" s="577">
        <f>'Volume and Speed'!J487</f>
        <v>6089.7763381995128</v>
      </c>
      <c r="L347" s="577">
        <f>'Volume and Speed'!K487</f>
        <v>13689.436009732968</v>
      </c>
      <c r="M347" s="577">
        <f>'Volume and Speed'!L487</f>
        <v>21293.309610784258</v>
      </c>
      <c r="N347" s="577">
        <f>'Volume and Speed'!M487</f>
        <v>28897.507362359574</v>
      </c>
      <c r="O347" s="577">
        <f>'Volume and Speed'!N487</f>
        <v>36497.167061137545</v>
      </c>
      <c r="P347" s="577">
        <f>'Volume and Speed'!O487</f>
        <v>44105.578947331764</v>
      </c>
      <c r="Q347" s="577">
        <f>'Volume and Speed'!P487</f>
        <v>49972.666020862933</v>
      </c>
      <c r="R347" s="577">
        <f>'Volume and Speed'!Q487</f>
        <v>55840.72707864191</v>
      </c>
      <c r="S347" s="577">
        <f>'Volume and Speed'!R487</f>
        <v>61707.819803890015</v>
      </c>
      <c r="T347" s="577">
        <f>'Volume and Speed'!S487</f>
        <v>67574.922520025022</v>
      </c>
      <c r="U347" s="577">
        <f>'Volume and Speed'!T487</f>
        <v>73449.827302008503</v>
      </c>
      <c r="V347" s="577">
        <f>'Volume and Speed'!U487</f>
        <v>76361.687079460433</v>
      </c>
      <c r="W347" s="577">
        <f>'Volume and Speed'!V487</f>
        <v>77154.241900219175</v>
      </c>
      <c r="X347" s="577">
        <f>'Volume and Speed'!W487</f>
        <v>77946.798011955019</v>
      </c>
      <c r="Y347" s="577">
        <f>'Volume and Speed'!X487</f>
        <v>78739.355539390832</v>
      </c>
      <c r="Z347" s="577">
        <f>'Volume and Speed'!Y487</f>
        <v>79534.183705111616</v>
      </c>
      <c r="AA347" s="577">
        <f>'Volume and Speed'!Z487</f>
        <v>80326.744485120973</v>
      </c>
      <c r="AB347" s="577">
        <f>'Volume and Speed'!AA487</f>
        <v>81121.576219145514</v>
      </c>
      <c r="AC347" s="577">
        <f>'Volume and Speed'!AB487</f>
        <v>81914.140888056514</v>
      </c>
      <c r="AD347" s="577">
        <f>'Volume and Speed'!AC487</f>
        <v>82706.707769996225</v>
      </c>
      <c r="AE347" s="577">
        <f>'Volume and Speed'!AD487</f>
        <v>83501.546183487866</v>
      </c>
      <c r="AF347" s="577">
        <f>'Volume and Speed'!AE487</f>
        <v>84294.118116226105</v>
      </c>
      <c r="AG347" s="577">
        <f>'Volume and Speed'!AF487</f>
        <v>85086.692912585801</v>
      </c>
      <c r="AH347" s="752">
        <f>'Volume and Speed'!AG487</f>
        <v>85881.53996811212</v>
      </c>
      <c r="AI347" s="18"/>
      <c r="AJ347" s="18"/>
      <c r="AK347" s="18"/>
      <c r="AL347" s="18"/>
      <c r="AM347" s="18"/>
      <c r="AN347" s="18"/>
    </row>
    <row r="348" spans="2:41" ht="21.95" customHeight="1" x14ac:dyDescent="0.2">
      <c r="B348" s="232"/>
      <c r="C348" s="715"/>
      <c r="D348" s="715"/>
      <c r="E348" s="1340"/>
      <c r="F348" s="254" t="s">
        <v>340</v>
      </c>
      <c r="G348" s="254" t="s">
        <v>280</v>
      </c>
      <c r="H348" s="587" t="s">
        <v>23</v>
      </c>
      <c r="I348" s="587">
        <f>'Volume and Speed'!H488</f>
        <v>2797.4452554744526</v>
      </c>
      <c r="J348" s="587">
        <f>'Volume and Speed'!I488</f>
        <v>4170.1516423357662</v>
      </c>
      <c r="K348" s="587">
        <f>'Volume and Speed'!J488</f>
        <v>5871.2781021897808</v>
      </c>
      <c r="L348" s="587">
        <f>'Volume and Speed'!K488</f>
        <v>10171.697445255475</v>
      </c>
      <c r="M348" s="587">
        <f>'Volume and Speed'!L488</f>
        <v>14472.583029197107</v>
      </c>
      <c r="N348" s="587">
        <f>'Volume and Speed'!M488</f>
        <v>18775.613321168403</v>
      </c>
      <c r="O348" s="587">
        <f>'Volume and Speed'!N488</f>
        <v>23076.032664238599</v>
      </c>
      <c r="P348" s="587">
        <f>'Volume and Speed'!O488</f>
        <v>27375.053284704438</v>
      </c>
      <c r="Q348" s="587">
        <f>'Volume and Speed'!P488</f>
        <v>38317.81989184086</v>
      </c>
      <c r="R348" s="587">
        <f>'Volume and Speed'!Q488</f>
        <v>49256.297101353739</v>
      </c>
      <c r="S348" s="587">
        <f>'Volume and Speed'!R488</f>
        <v>60193.935227699883</v>
      </c>
      <c r="T348" s="587">
        <f>'Volume and Speed'!S488</f>
        <v>71136.702843070714</v>
      </c>
      <c r="U348" s="587">
        <f>'Volume and Speed'!T488</f>
        <v>82078.075318700285</v>
      </c>
      <c r="V348" s="587">
        <f>'Volume and Speed'!U488</f>
        <v>90418.296359212181</v>
      </c>
      <c r="W348" s="587">
        <f>'Volume and Speed'!V488</f>
        <v>91791.005774260469</v>
      </c>
      <c r="X348" s="587">
        <f>'Volume and Speed'!W488</f>
        <v>93163.715677560234</v>
      </c>
      <c r="Y348" s="587">
        <f>'Volume and Speed'!X488</f>
        <v>94536.426139014598</v>
      </c>
      <c r="Z348" s="587">
        <f>'Volume and Speed'!Y488</f>
        <v>95904.941053790186</v>
      </c>
      <c r="AA348" s="587">
        <f>'Volume and Speed'!Z488</f>
        <v>97277.652874384497</v>
      </c>
      <c r="AB348" s="587">
        <f>'Volume and Speed'!AA488</f>
        <v>98646.169329991753</v>
      </c>
      <c r="AC348" s="587">
        <f>'Volume and Speed'!AB488</f>
        <v>100018.88290496351</v>
      </c>
      <c r="AD348" s="587">
        <f>'Volume and Speed'!AC488</f>
        <v>101391.59753722884</v>
      </c>
      <c r="AE348" s="587">
        <f>'Volume and Speed'!AD488</f>
        <v>102760.11716603776</v>
      </c>
      <c r="AF348" s="587">
        <f>'Volume and Speed'!AE488</f>
        <v>104132.83433818573</v>
      </c>
      <c r="AG348" s="587">
        <f>'Volume and Speed'!AF488</f>
        <v>105505.55302985874</v>
      </c>
      <c r="AH348" s="754">
        <f>'Volume and Speed'!AG488</f>
        <v>106874.07721755569</v>
      </c>
      <c r="AI348" s="18"/>
      <c r="AJ348" s="18"/>
      <c r="AK348" s="18"/>
      <c r="AL348" s="18"/>
      <c r="AM348" s="18"/>
      <c r="AN348" s="18"/>
    </row>
    <row r="349" spans="2:41" ht="21.95" customHeight="1" x14ac:dyDescent="0.2">
      <c r="B349" s="232"/>
      <c r="C349" s="715"/>
      <c r="D349" s="715"/>
      <c r="E349" s="1340" t="s">
        <v>334</v>
      </c>
      <c r="F349" s="116" t="s">
        <v>336</v>
      </c>
      <c r="G349" s="116" t="s">
        <v>337</v>
      </c>
      <c r="H349" s="577" t="s">
        <v>23</v>
      </c>
      <c r="I349" s="583">
        <f>'Volume and Speed'!H489</f>
        <v>50196.720034495389</v>
      </c>
      <c r="J349" s="583">
        <f>'Volume and Speed'!I489</f>
        <v>51587.251965920957</v>
      </c>
      <c r="K349" s="583">
        <f>'Volume and Speed'!J489</f>
        <v>53831.420020626247</v>
      </c>
      <c r="L349" s="583">
        <f>'Volume and Speed'!K489</f>
        <v>57037.673320945672</v>
      </c>
      <c r="M349" s="583">
        <f>'Volume and Speed'!L489</f>
        <v>60245.731396834977</v>
      </c>
      <c r="N349" s="583">
        <f>'Volume and Speed'!M489</f>
        <v>63454.214998305571</v>
      </c>
      <c r="O349" s="583">
        <f>'Volume and Speed'!N489</f>
        <v>66662.40551445735</v>
      </c>
      <c r="P349" s="583">
        <f>'Volume and Speed'!O489</f>
        <v>69874.966156863855</v>
      </c>
      <c r="Q349" s="583">
        <f>'Volume and Speed'!P489</f>
        <v>72736.357307731698</v>
      </c>
      <c r="R349" s="583">
        <f>'Volume and Speed'!Q489</f>
        <v>75601.238119075977</v>
      </c>
      <c r="S349" s="583">
        <f>'Volume and Speed'!R489</f>
        <v>78468.882064532168</v>
      </c>
      <c r="T349" s="583">
        <f>'Volume and Speed'!S489</f>
        <v>81341.635536632515</v>
      </c>
      <c r="U349" s="583">
        <f>'Volume and Speed'!T489</f>
        <v>84224.331542750078</v>
      </c>
      <c r="V349" s="583">
        <f>'Volume and Speed'!U489</f>
        <v>86137.981815861916</v>
      </c>
      <c r="W349" s="583">
        <f>'Volume and Speed'!V489</f>
        <v>87546.980011808875</v>
      </c>
      <c r="X349" s="583">
        <f>'Volume and Speed'!W489</f>
        <v>88959.176142850047</v>
      </c>
      <c r="Y349" s="583">
        <f>'Volume and Speed'!X489</f>
        <v>90375.058054087538</v>
      </c>
      <c r="Z349" s="583">
        <f>'Volume and Speed'!Y489</f>
        <v>91796.095561331211</v>
      </c>
      <c r="AA349" s="583">
        <f>'Volume and Speed'!Z489</f>
        <v>93221.08336365156</v>
      </c>
      <c r="AB349" s="583">
        <f>'Volume and Speed'!AA489</f>
        <v>94652.565814260335</v>
      </c>
      <c r="AC349" s="583">
        <f>'Volume and Speed'!AB489</f>
        <v>96089.494694728957</v>
      </c>
      <c r="AD349" s="583">
        <f>'Volume and Speed'!AC489</f>
        <v>97533.685697613852</v>
      </c>
      <c r="AE349" s="583">
        <f>'Volume and Speed'!AD489</f>
        <v>98987.083635251969</v>
      </c>
      <c r="AF349" s="583">
        <f>'Volume and Speed'!AE489</f>
        <v>100448.94394750291</v>
      </c>
      <c r="AG349" s="583">
        <f>'Volume and Speed'!AF489</f>
        <v>101921.46243968728</v>
      </c>
      <c r="AH349" s="753">
        <f>'Volume and Speed'!AG489</f>
        <v>103407.01117236054</v>
      </c>
      <c r="AI349" s="18"/>
      <c r="AJ349" s="18"/>
      <c r="AK349" s="18"/>
      <c r="AL349" s="18"/>
      <c r="AM349" s="18"/>
      <c r="AN349" s="18"/>
    </row>
    <row r="350" spans="2:41" ht="21.95" customHeight="1" x14ac:dyDescent="0.2">
      <c r="B350" s="232"/>
      <c r="C350" s="715"/>
      <c r="D350" s="715"/>
      <c r="E350" s="1340"/>
      <c r="F350" s="116" t="s">
        <v>337</v>
      </c>
      <c r="G350" s="116" t="s">
        <v>386</v>
      </c>
      <c r="H350" s="577" t="s">
        <v>23</v>
      </c>
      <c r="I350" s="577">
        <f>'Volume and Speed'!H490</f>
        <v>82964.27154107322</v>
      </c>
      <c r="J350" s="577">
        <f>'Volume and Speed'!I490</f>
        <v>83130.396755540089</v>
      </c>
      <c r="K350" s="577">
        <f>'Volume and Speed'!J490</f>
        <v>83296.526330153734</v>
      </c>
      <c r="L350" s="577">
        <f>'Volume and Speed'!K490</f>
        <v>83462.660340899354</v>
      </c>
      <c r="M350" s="577">
        <f>'Volume and Speed'!L490</f>
        <v>83628.798867945385</v>
      </c>
      <c r="N350" s="577">
        <f>'Volume and Speed'!M490</f>
        <v>83794.941992745589</v>
      </c>
      <c r="O350" s="577">
        <f>'Volume and Speed'!N490</f>
        <v>83961.089798056928</v>
      </c>
      <c r="P350" s="577">
        <f>'Volume and Speed'!O490</f>
        <v>84127.242367957762</v>
      </c>
      <c r="Q350" s="577">
        <f>'Volume and Speed'!P490</f>
        <v>84293.39978786635</v>
      </c>
      <c r="R350" s="577">
        <f>'Volume and Speed'!Q490</f>
        <v>84293.399791284333</v>
      </c>
      <c r="S350" s="577">
        <f>'Volume and Speed'!R490</f>
        <v>86287.284524396804</v>
      </c>
      <c r="T350" s="577">
        <f>'Volume and Speed'!S490</f>
        <v>88487.70822145787</v>
      </c>
      <c r="U350" s="577">
        <f>'Volume and Speed'!T490</f>
        <v>90690.836056027358</v>
      </c>
      <c r="V350" s="577">
        <f>'Volume and Speed'!U490</f>
        <v>92468.084634533414</v>
      </c>
      <c r="W350" s="577">
        <f>'Volume and Speed'!V490</f>
        <v>93928.231661337442</v>
      </c>
      <c r="X350" s="577">
        <f>'Volume and Speed'!W490</f>
        <v>95389.382177986117</v>
      </c>
      <c r="Y350" s="577">
        <f>'Volume and Speed'!X490</f>
        <v>96851.685013542476</v>
      </c>
      <c r="Z350" s="577">
        <f>'Volume and Speed'!Y490</f>
        <v>98315.650023890688</v>
      </c>
      <c r="AA350" s="577">
        <f>'Volume and Speed'!Z490</f>
        <v>99780.783689141332</v>
      </c>
      <c r="AB350" s="577">
        <f>'Volume and Speed'!AA490</f>
        <v>101247.9833646419</v>
      </c>
      <c r="AC350" s="577">
        <f>'Volume and Speed'!AB490</f>
        <v>102716.80425693167</v>
      </c>
      <c r="AD350" s="577">
        <f>'Volume and Speed'!AC490</f>
        <v>104187.8575051786</v>
      </c>
      <c r="AE350" s="577">
        <f>'Volume and Speed'!AD490</f>
        <v>105661.78863338695</v>
      </c>
      <c r="AF350" s="577">
        <f>'Volume and Speed'!AE490</f>
        <v>107138.24685512549</v>
      </c>
      <c r="AG350" s="577">
        <f>'Volume and Speed'!AF490</f>
        <v>108617.95195411977</v>
      </c>
      <c r="AH350" s="752">
        <f>'Volume and Speed'!AG490</f>
        <v>110101.6699710948</v>
      </c>
      <c r="AI350" s="18"/>
      <c r="AJ350" s="18"/>
      <c r="AK350" s="18"/>
      <c r="AL350" s="18"/>
      <c r="AM350" s="18"/>
      <c r="AN350" s="18"/>
    </row>
    <row r="351" spans="2:41" ht="21.95" customHeight="1" x14ac:dyDescent="0.2">
      <c r="B351" s="232"/>
      <c r="C351" s="715"/>
      <c r="D351" s="715"/>
      <c r="E351" s="1340"/>
      <c r="F351" s="116" t="s">
        <v>342</v>
      </c>
      <c r="G351" s="116" t="s">
        <v>341</v>
      </c>
      <c r="H351" s="577" t="s">
        <v>23</v>
      </c>
      <c r="I351" s="577">
        <f>'Volume and Speed'!H491</f>
        <v>120288.52750887125</v>
      </c>
      <c r="J351" s="577">
        <f>'Volume and Speed'!I491</f>
        <v>120529.58078002528</v>
      </c>
      <c r="K351" s="577">
        <f>'Volume and Speed'!J491</f>
        <v>120770.64460875111</v>
      </c>
      <c r="L351" s="577">
        <f>'Volume and Speed'!K491</f>
        <v>121011.71917903758</v>
      </c>
      <c r="M351" s="577">
        <f>'Volume and Speed'!L491</f>
        <v>121252.80468500314</v>
      </c>
      <c r="N351" s="577">
        <f>'Volume and Speed'!M491</f>
        <v>121493.90132387818</v>
      </c>
      <c r="O351" s="577">
        <f>'Volume and Speed'!N491</f>
        <v>121735.00929604875</v>
      </c>
      <c r="P351" s="577">
        <f>'Volume and Speed'!O491</f>
        <v>121976.12880510054</v>
      </c>
      <c r="Q351" s="577">
        <f>'Volume and Speed'!P491</f>
        <v>122217.26005786353</v>
      </c>
      <c r="R351" s="577">
        <f>'Volume and Speed'!Q491</f>
        <v>122217.2600661398</v>
      </c>
      <c r="S351" s="577">
        <f>'Volume and Speed'!R491</f>
        <v>125111.22767079814</v>
      </c>
      <c r="T351" s="577">
        <f>'Volume and Speed'!S491</f>
        <v>128305.96737310194</v>
      </c>
      <c r="U351" s="577">
        <f>'Volume and Speed'!T491</f>
        <v>131505.93591882614</v>
      </c>
      <c r="V351" s="577">
        <f>'Volume and Speed'!U491</f>
        <v>134088.49411334208</v>
      </c>
      <c r="W351" s="577">
        <f>'Volume and Speed'!V491</f>
        <v>136211.19231608609</v>
      </c>
      <c r="X351" s="577">
        <f>'Volume and Speed'!W491</f>
        <v>138336.3203489618</v>
      </c>
      <c r="Y351" s="577">
        <f>'Volume and Speed'!X491</f>
        <v>140464.23858366965</v>
      </c>
      <c r="Z351" s="577">
        <f>'Volume and Speed'!Y491</f>
        <v>142595.85184980353</v>
      </c>
      <c r="AA351" s="577">
        <f>'Volume and Speed'!Z491</f>
        <v>144730.62459861074</v>
      </c>
      <c r="AB351" s="577">
        <f>'Volume and Speed'!AA491</f>
        <v>146870.07021790187</v>
      </c>
      <c r="AC351" s="577">
        <f>'Volume and Speed'!AB491</f>
        <v>149013.7711441188</v>
      </c>
      <c r="AD351" s="577">
        <f>'Volume and Speed'!AC491</f>
        <v>151162.87745216204</v>
      </c>
      <c r="AE351" s="577">
        <f>'Volume and Speed'!AD491</f>
        <v>153318.62247568351</v>
      </c>
      <c r="AF351" s="577">
        <f>'Volume and Speed'!AE491</f>
        <v>155480.81627785607</v>
      </c>
      <c r="AG351" s="577">
        <f>'Volume and Speed'!AF491</f>
        <v>157650.87200332727</v>
      </c>
      <c r="AH351" s="752">
        <f>'Volume and Speed'!AG491</f>
        <v>159830.3148025134</v>
      </c>
      <c r="AI351" s="18"/>
      <c r="AJ351" s="18"/>
      <c r="AK351" s="18"/>
      <c r="AL351" s="18"/>
      <c r="AM351" s="18"/>
      <c r="AN351" s="18"/>
    </row>
    <row r="352" spans="2:41" ht="21.95" customHeight="1" x14ac:dyDescent="0.2">
      <c r="B352" s="232"/>
      <c r="C352" s="715"/>
      <c r="D352" s="715"/>
      <c r="E352" s="1340"/>
      <c r="F352" s="116" t="s">
        <v>341</v>
      </c>
      <c r="G352" s="116" t="s">
        <v>344</v>
      </c>
      <c r="H352" s="577" t="s">
        <v>23</v>
      </c>
      <c r="I352" s="577">
        <f>'Volume and Speed'!H492</f>
        <v>124354.61598331397</v>
      </c>
      <c r="J352" s="577">
        <f>'Volume and Speed'!I492</f>
        <v>124605.93967368663</v>
      </c>
      <c r="K352" s="577">
        <f>'Volume and Speed'!J492</f>
        <v>124857.32132583379</v>
      </c>
      <c r="L352" s="577">
        <f>'Volume and Speed'!K492</f>
        <v>125108.76194986672</v>
      </c>
      <c r="M352" s="577">
        <f>'Volume and Speed'!L492</f>
        <v>125360.26261150843</v>
      </c>
      <c r="N352" s="577">
        <f>'Volume and Speed'!M492</f>
        <v>125611.82439356705</v>
      </c>
      <c r="O352" s="577">
        <f>'Volume and Speed'!N492</f>
        <v>125863.44839617526</v>
      </c>
      <c r="P352" s="577">
        <f>'Volume and Speed'!O492</f>
        <v>126115.13573703216</v>
      </c>
      <c r="Q352" s="577">
        <f>'Volume and Speed'!P492</f>
        <v>126366.88755164841</v>
      </c>
      <c r="R352" s="577">
        <f>'Volume and Speed'!Q492</f>
        <v>126366.88759708569</v>
      </c>
      <c r="S352" s="577">
        <f>'Volume and Speed'!R492</f>
        <v>126970.74360098207</v>
      </c>
      <c r="T352" s="577">
        <f>'Volume and Speed'!S492</f>
        <v>129109.27360316778</v>
      </c>
      <c r="U352" s="577">
        <f>'Volume and Speed'!T492</f>
        <v>131198.79308127967</v>
      </c>
      <c r="V352" s="577">
        <f>'Volume and Speed'!U492</f>
        <v>132614.34461889378</v>
      </c>
      <c r="W352" s="577">
        <f>'Volume and Speed'!V492</f>
        <v>133526.69304838486</v>
      </c>
      <c r="X352" s="577">
        <f>'Volume and Speed'!W492</f>
        <v>135641.89600025924</v>
      </c>
      <c r="Y352" s="577">
        <f>'Volume and Speed'!X492</f>
        <v>137765.58238009858</v>
      </c>
      <c r="Z352" s="577">
        <f>'Volume and Speed'!Y492</f>
        <v>139899.48861652787</v>
      </c>
      <c r="AA352" s="577">
        <f>'Volume and Speed'!Z492</f>
        <v>142044.01487640396</v>
      </c>
      <c r="AB352" s="577">
        <f>'Volume and Speed'!AA492</f>
        <v>144201.73393134034</v>
      </c>
      <c r="AC352" s="577">
        <f>'Volume and Speed'!AB492</f>
        <v>146373.40466031621</v>
      </c>
      <c r="AD352" s="577">
        <f>'Volume and Speed'!AC492</f>
        <v>148561.50945116449</v>
      </c>
      <c r="AE352" s="577">
        <f>'Volume and Speed'!AD492</f>
        <v>150768.78382452382</v>
      </c>
      <c r="AF352" s="577">
        <f>'Volume and Speed'!AE492</f>
        <v>152996.67871627223</v>
      </c>
      <c r="AG352" s="577">
        <f>'Volume and Speed'!AF492</f>
        <v>155248.47632906339</v>
      </c>
      <c r="AH352" s="752">
        <f>'Volume and Speed'!AG492</f>
        <v>157527.79939833746</v>
      </c>
      <c r="AI352" s="18"/>
      <c r="AJ352" s="18"/>
      <c r="AK352" s="18"/>
      <c r="AL352" s="18"/>
      <c r="AM352" s="18"/>
      <c r="AN352" s="18"/>
    </row>
    <row r="353" spans="2:40" ht="21.95" customHeight="1" x14ac:dyDescent="0.2">
      <c r="B353" s="232"/>
      <c r="C353" s="715"/>
      <c r="D353" s="715"/>
      <c r="E353" s="1340"/>
      <c r="F353" s="116" t="s">
        <v>344</v>
      </c>
      <c r="G353" s="116" t="s">
        <v>345</v>
      </c>
      <c r="H353" s="577" t="s">
        <v>23</v>
      </c>
      <c r="I353" s="577">
        <f>'Volume and Speed'!H493</f>
        <v>41932.997328808022</v>
      </c>
      <c r="J353" s="577">
        <f>'Volume and Speed'!I493</f>
        <v>42017.187591738417</v>
      </c>
      <c r="K353" s="577">
        <f>'Volume and Speed'!J493</f>
        <v>42101.385043601127</v>
      </c>
      <c r="L353" s="577">
        <f>'Volume and Speed'!K493</f>
        <v>42185.589809679084</v>
      </c>
      <c r="M353" s="577">
        <f>'Volume and Speed'!L493</f>
        <v>42269.802022152682</v>
      </c>
      <c r="N353" s="577">
        <f>'Volume and Speed'!M493</f>
        <v>42354.021815321379</v>
      </c>
      <c r="O353" s="577">
        <f>'Volume and Speed'!N493</f>
        <v>42438.249325633369</v>
      </c>
      <c r="P353" s="577">
        <f>'Volume and Speed'!O493</f>
        <v>42522.484691715596</v>
      </c>
      <c r="Q353" s="577">
        <f>'Volume and Speed'!P493</f>
        <v>42606.72805440412</v>
      </c>
      <c r="R353" s="577">
        <f>'Volume and Speed'!Q493</f>
        <v>42606.728060039655</v>
      </c>
      <c r="S353" s="577">
        <f>'Volume and Speed'!R493</f>
        <v>42808.738824734268</v>
      </c>
      <c r="T353" s="577">
        <f>'Volume and Speed'!S493</f>
        <v>43523.462166789352</v>
      </c>
      <c r="U353" s="577">
        <f>'Volume and Speed'!T493</f>
        <v>44220.651042453566</v>
      </c>
      <c r="V353" s="577">
        <f>'Volume and Speed'!U493</f>
        <v>44692.232601717638</v>
      </c>
      <c r="W353" s="577">
        <f>'Volume and Speed'!V493</f>
        <v>44995.832294580374</v>
      </c>
      <c r="X353" s="577">
        <f>'Volume and Speed'!W493</f>
        <v>45698.569570477062</v>
      </c>
      <c r="Y353" s="577">
        <f>'Volume and Speed'!X493</f>
        <v>46402.359036199028</v>
      </c>
      <c r="Z353" s="577">
        <f>'Volume and Speed'!Y493</f>
        <v>47107.518834042625</v>
      </c>
      <c r="AA353" s="577">
        <f>'Volume and Speed'!Z493</f>
        <v>47813.893046146033</v>
      </c>
      <c r="AB353" s="577">
        <f>'Volume and Speed'!AA493</f>
        <v>48522.006320514432</v>
      </c>
      <c r="AC353" s="577">
        <f>'Volume and Speed'!AB493</f>
        <v>49231.747229938483</v>
      </c>
      <c r="AD353" s="577">
        <f>'Volume and Speed'!AC493</f>
        <v>49943.526437178174</v>
      </c>
      <c r="AE353" s="577">
        <f>'Volume and Speed'!AD493</f>
        <v>50657.786000764609</v>
      </c>
      <c r="AF353" s="577">
        <f>'Volume and Speed'!AE493</f>
        <v>51374.500328510643</v>
      </c>
      <c r="AG353" s="577">
        <f>'Volume and Speed'!AF493</f>
        <v>52094.179283289719</v>
      </c>
      <c r="AH353" s="752">
        <f>'Volume and Speed'!AG493</f>
        <v>52817.374963865572</v>
      </c>
      <c r="AI353" s="18"/>
      <c r="AJ353" s="18"/>
      <c r="AK353" s="18"/>
      <c r="AL353" s="18"/>
      <c r="AM353" s="18"/>
      <c r="AN353" s="18"/>
    </row>
    <row r="354" spans="2:40" ht="21.95" customHeight="1" x14ac:dyDescent="0.2">
      <c r="B354" s="232"/>
      <c r="C354" s="715"/>
      <c r="D354" s="715"/>
      <c r="E354" s="1340"/>
      <c r="F354" s="116" t="s">
        <v>345</v>
      </c>
      <c r="G354" s="116" t="s">
        <v>323</v>
      </c>
      <c r="H354" s="577" t="s">
        <v>23</v>
      </c>
      <c r="I354" s="577">
        <f>'Volume and Speed'!H494</f>
        <v>414258.30285385402</v>
      </c>
      <c r="J354" s="577">
        <f>'Volume and Speed'!I494</f>
        <v>423802.63328273478</v>
      </c>
      <c r="K354" s="577">
        <f>'Volume and Speed'!J494</f>
        <v>437780.88259923155</v>
      </c>
      <c r="L354" s="577">
        <f>'Volume and Speed'!K494</f>
        <v>454581.53613359708</v>
      </c>
      <c r="M354" s="577">
        <f>'Volume and Speed'!L494</f>
        <v>471441.96332887374</v>
      </c>
      <c r="N354" s="577">
        <f>'Volume and Speed'!M494</f>
        <v>488380.3716197433</v>
      </c>
      <c r="O354" s="577">
        <f>'Volume and Speed'!N494</f>
        <v>505417.29362958996</v>
      </c>
      <c r="P354" s="577">
        <f>'Volume and Speed'!O494</f>
        <v>522604.78347617574</v>
      </c>
      <c r="Q354" s="577">
        <f>'Volume and Speed'!P494</f>
        <v>537540.71286574122</v>
      </c>
      <c r="R354" s="577">
        <f>'Volume and Speed'!Q494</f>
        <v>552654.7754477933</v>
      </c>
      <c r="S354" s="577">
        <f>'Volume and Speed'!R494</f>
        <v>567996.58952713828</v>
      </c>
      <c r="T354" s="577">
        <f>'Volume and Speed'!S494</f>
        <v>583624.59613122256</v>
      </c>
      <c r="U354" s="577">
        <f>'Volume and Speed'!T494</f>
        <v>599621.37736185454</v>
      </c>
      <c r="V354" s="577">
        <f>'Volume and Speed'!U494</f>
        <v>612838.43338148599</v>
      </c>
      <c r="W354" s="577">
        <f>'Volume and Speed'!V494</f>
        <v>623946.03366166225</v>
      </c>
      <c r="X354" s="577">
        <f>'Volume and Speed'!W494</f>
        <v>635321.8138052813</v>
      </c>
      <c r="Y354" s="577">
        <f>'Volume and Speed'!X494</f>
        <v>647005.54796451749</v>
      </c>
      <c r="Z354" s="577">
        <f>'Volume and Speed'!Y494</f>
        <v>659045.01934551401</v>
      </c>
      <c r="AA354" s="577">
        <f>'Volume and Speed'!Z494</f>
        <v>671485.28484872507</v>
      </c>
      <c r="AB354" s="577">
        <f>'Volume and Speed'!AA494</f>
        <v>684389.21147404844</v>
      </c>
      <c r="AC354" s="577">
        <f>'Volume and Speed'!AB494</f>
        <v>697814.87812415999</v>
      </c>
      <c r="AD354" s="577">
        <f>'Volume and Speed'!AC494</f>
        <v>711837.13568042836</v>
      </c>
      <c r="AE354" s="577">
        <f>'Volume and Speed'!AD494</f>
        <v>726540.02427585446</v>
      </c>
      <c r="AF354" s="577">
        <f>'Volume and Speed'!AE494</f>
        <v>742006.74592969671</v>
      </c>
      <c r="AG354" s="577">
        <f>'Volume and Speed'!AF494</f>
        <v>758341.18647842458</v>
      </c>
      <c r="AH354" s="752">
        <f>'Volume and Speed'!AG494</f>
        <v>775659.59381272364</v>
      </c>
      <c r="AI354" s="18"/>
      <c r="AJ354" s="18"/>
      <c r="AK354" s="18"/>
      <c r="AL354" s="18"/>
      <c r="AM354" s="18"/>
      <c r="AN354" s="18"/>
    </row>
    <row r="355" spans="2:40" ht="21.95" customHeight="1" x14ac:dyDescent="0.2">
      <c r="B355" s="232"/>
      <c r="C355" s="715"/>
      <c r="D355" s="715"/>
      <c r="E355" s="1340"/>
      <c r="F355" s="116" t="s">
        <v>323</v>
      </c>
      <c r="G355" s="116" t="s">
        <v>347</v>
      </c>
      <c r="H355" s="577" t="s">
        <v>23</v>
      </c>
      <c r="I355" s="577">
        <f>'Volume and Speed'!H495</f>
        <v>73974.696938188237</v>
      </c>
      <c r="J355" s="577">
        <f>'Volume and Speed'!I495</f>
        <v>75615.241040664871</v>
      </c>
      <c r="K355" s="577">
        <f>'Volume and Speed'!J495</f>
        <v>78047.211438552273</v>
      </c>
      <c r="L355" s="577">
        <f>'Volume and Speed'!K495</f>
        <v>81140.366672894321</v>
      </c>
      <c r="M355" s="577">
        <f>'Volume and Speed'!L495</f>
        <v>84244.918057042581</v>
      </c>
      <c r="N355" s="577">
        <f>'Volume and Speed'!M495</f>
        <v>87363.897995896376</v>
      </c>
      <c r="O355" s="577">
        <f>'Volume and Speed'!N495</f>
        <v>90502.287776327459</v>
      </c>
      <c r="P355" s="577">
        <f>'Volume and Speed'!O495</f>
        <v>93669.912014341564</v>
      </c>
      <c r="Q355" s="577">
        <f>'Volume and Speed'!P495</f>
        <v>96515.510320242873</v>
      </c>
      <c r="R355" s="577">
        <f>'Volume and Speed'!Q495</f>
        <v>99399.399143483257</v>
      </c>
      <c r="S355" s="577">
        <f>'Volume and Speed'!R495</f>
        <v>102331.90800102237</v>
      </c>
      <c r="T355" s="577">
        <f>'Volume and Speed'!S495</f>
        <v>105326.88913164652</v>
      </c>
      <c r="U355" s="577">
        <f>'Volume and Speed'!T495</f>
        <v>108402.61969903079</v>
      </c>
      <c r="V355" s="577">
        <f>'Volume and Speed'!U495</f>
        <v>110808.72664512691</v>
      </c>
      <c r="W355" s="577">
        <f>'Volume and Speed'!V495</f>
        <v>112748.44610319295</v>
      </c>
      <c r="X355" s="577">
        <f>'Volume and Speed'!W495</f>
        <v>114736.76676991628</v>
      </c>
      <c r="Y355" s="577">
        <f>'Volume and Speed'!X495</f>
        <v>116780.5374163571</v>
      </c>
      <c r="Z355" s="577">
        <f>'Volume and Speed'!Y495</f>
        <v>118887.79661476646</v>
      </c>
      <c r="AA355" s="577">
        <f>'Volume and Speed'!Z495</f>
        <v>121066.49141673415</v>
      </c>
      <c r="AB355" s="577">
        <f>'Volume and Speed'!AA495</f>
        <v>123326.98880174293</v>
      </c>
      <c r="AC355" s="577">
        <f>'Volume and Speed'!AB495</f>
        <v>125679.35781845303</v>
      </c>
      <c r="AD355" s="577">
        <f>'Volume and Speed'!AC495</f>
        <v>128136.00979411823</v>
      </c>
      <c r="AE355" s="577">
        <f>'Volume and Speed'!AD495</f>
        <v>130710.80433993107</v>
      </c>
      <c r="AF355" s="577">
        <f>'Volume and Speed'!AE495</f>
        <v>133417.86136865432</v>
      </c>
      <c r="AG355" s="577">
        <f>'Volume and Speed'!AF495</f>
        <v>136274.20182909979</v>
      </c>
      <c r="AH355" s="752">
        <f>'Volume and Speed'!AG495</f>
        <v>139298.76839525532</v>
      </c>
      <c r="AI355" s="18"/>
      <c r="AJ355" s="18"/>
      <c r="AK355" s="18"/>
      <c r="AL355" s="18"/>
      <c r="AM355" s="18"/>
      <c r="AN355" s="18"/>
    </row>
    <row r="356" spans="2:40" ht="21.95" customHeight="1" x14ac:dyDescent="0.2">
      <c r="B356" s="232"/>
      <c r="C356" s="715"/>
      <c r="D356" s="715"/>
      <c r="E356" s="1340"/>
      <c r="F356" s="116" t="s">
        <v>347</v>
      </c>
      <c r="G356" s="116" t="s">
        <v>348</v>
      </c>
      <c r="H356" s="577" t="s">
        <v>23</v>
      </c>
      <c r="I356" s="577">
        <f>'Volume and Speed'!H496</f>
        <v>60555.04565970866</v>
      </c>
      <c r="J356" s="577">
        <f>'Volume and Speed'!I496</f>
        <v>61900.713747978029</v>
      </c>
      <c r="K356" s="577">
        <f>'Volume and Speed'!J496</f>
        <v>63896.911716218092</v>
      </c>
      <c r="L356" s="577">
        <f>'Volume and Speed'!K496</f>
        <v>66438.903552233649</v>
      </c>
      <c r="M356" s="577">
        <f>'Volume and Speed'!L496</f>
        <v>68995.019748033388</v>
      </c>
      <c r="N356" s="577">
        <f>'Volume and Speed'!M496</f>
        <v>71569.639508746783</v>
      </c>
      <c r="O356" s="577">
        <f>'Volume and Speed'!N496</f>
        <v>74169.37581417388</v>
      </c>
      <c r="P356" s="577">
        <f>'Volume and Speed'!O496</f>
        <v>76805.669314669212</v>
      </c>
      <c r="Q356" s="577">
        <f>'Volume and Speed'!P496</f>
        <v>79187.660303971512</v>
      </c>
      <c r="R356" s="577">
        <f>'Volume and Speed'!Q496</f>
        <v>81618.410322899945</v>
      </c>
      <c r="S356" s="577">
        <f>'Volume and Speed'!R496</f>
        <v>84111.34757174275</v>
      </c>
      <c r="T356" s="577">
        <f>'Volume and Speed'!S496</f>
        <v>86684.034228375109</v>
      </c>
      <c r="U356" s="577">
        <f>'Volume and Speed'!T496</f>
        <v>89359.221367867227</v>
      </c>
      <c r="V356" s="577">
        <f>'Volume and Speed'!U496</f>
        <v>91478.761592961469</v>
      </c>
      <c r="W356" s="577">
        <f>'Volume and Speed'!V496</f>
        <v>93206.34402907289</v>
      </c>
      <c r="X356" s="577">
        <f>'Volume and Speed'!W496</f>
        <v>94995.968670740054</v>
      </c>
      <c r="Y356" s="577">
        <f>'Volume and Speed'!X496</f>
        <v>96856.378363535216</v>
      </c>
      <c r="Z356" s="577">
        <f>'Volume and Speed'!Y496</f>
        <v>98797.713809527282</v>
      </c>
      <c r="AA356" s="577">
        <f>'Volume and Speed'!Z496</f>
        <v>100830.36185653004</v>
      </c>
      <c r="AB356" s="577">
        <f>'Volume and Speed'!AA496</f>
        <v>102967.31455844315</v>
      </c>
      <c r="AC356" s="577">
        <f>'Volume and Speed'!AB496</f>
        <v>105221.66761296451</v>
      </c>
      <c r="AD356" s="577">
        <f>'Volume and Speed'!AC496</f>
        <v>107609.14379249036</v>
      </c>
      <c r="AE356" s="577">
        <f>'Volume and Speed'!AD496</f>
        <v>110147.31468619134</v>
      </c>
      <c r="AF356" s="577">
        <f>'Volume and Speed'!AE496</f>
        <v>112854.44715006117</v>
      </c>
      <c r="AG356" s="577">
        <f>'Volume and Speed'!AF496</f>
        <v>115752.14840044585</v>
      </c>
      <c r="AH356" s="752">
        <f>'Volume and Speed'!AG496</f>
        <v>118864.47884511776</v>
      </c>
      <c r="AI356" s="18"/>
      <c r="AJ356" s="18"/>
      <c r="AK356" s="18"/>
      <c r="AL356" s="18"/>
      <c r="AM356" s="18"/>
      <c r="AN356" s="18"/>
    </row>
    <row r="357" spans="2:40" ht="21.95" customHeight="1" x14ac:dyDescent="0.2">
      <c r="B357" s="232"/>
      <c r="C357" s="715"/>
      <c r="D357" s="715"/>
      <c r="E357" s="1333"/>
      <c r="F357" s="254" t="s">
        <v>348</v>
      </c>
      <c r="G357" s="254" t="s">
        <v>349</v>
      </c>
      <c r="H357" s="577" t="s">
        <v>23</v>
      </c>
      <c r="I357" s="587">
        <f>'Volume and Speed'!H497</f>
        <v>99004.918632670961</v>
      </c>
      <c r="J357" s="587">
        <f>'Volume and Speed'!I497</f>
        <v>101421.36019615347</v>
      </c>
      <c r="K357" s="587">
        <f>'Volume and Speed'!J497</f>
        <v>104803.18845034699</v>
      </c>
      <c r="L357" s="587">
        <f>'Volume and Speed'!K497</f>
        <v>109355.29165235185</v>
      </c>
      <c r="M357" s="587">
        <f>'Volume and Speed'!L497</f>
        <v>114005.91088454769</v>
      </c>
      <c r="N357" s="587">
        <f>'Volume and Speed'!M497</f>
        <v>118795.20745518628</v>
      </c>
      <c r="O357" s="587">
        <f>'Volume and Speed'!N497</f>
        <v>123776.9320357962</v>
      </c>
      <c r="P357" s="587">
        <f>'Volume and Speed'!O497</f>
        <v>129030.86854894808</v>
      </c>
      <c r="Q357" s="587">
        <f>'Volume and Speed'!P497</f>
        <v>134388.19569623578</v>
      </c>
      <c r="R357" s="587">
        <f>'Volume and Speed'!Q497</f>
        <v>140195.78853466475</v>
      </c>
      <c r="S357" s="587">
        <f>'Volume and Speed'!R497</f>
        <v>146599.93568136098</v>
      </c>
      <c r="T357" s="587">
        <f>'Volume and Speed'!S497</f>
        <v>153788.63787718047</v>
      </c>
      <c r="U357" s="587">
        <f>'Volume and Speed'!T497</f>
        <v>162005.74165950262</v>
      </c>
      <c r="V357" s="587">
        <f>'Volume and Speed'!U497</f>
        <v>168926.18354747345</v>
      </c>
      <c r="W357" s="587">
        <f>'Volume and Speed'!V497</f>
        <v>174809.94060749473</v>
      </c>
      <c r="X357" s="587">
        <f>'Volume and Speed'!W497</f>
        <v>181283.52423123992</v>
      </c>
      <c r="Y357" s="587">
        <f>'Volume and Speed'!X497</f>
        <v>188434.37358555867</v>
      </c>
      <c r="Z357" s="587">
        <f>'Volume and Speed'!Y497</f>
        <v>196362.89031174424</v>
      </c>
      <c r="AA357" s="587">
        <f>'Volume and Speed'!Z497</f>
        <v>205177.34655723727</v>
      </c>
      <c r="AB357" s="587">
        <f>'Volume and Speed'!AA497</f>
        <v>215006.60794357373</v>
      </c>
      <c r="AC357" s="587">
        <f>'Volume and Speed'!AB497</f>
        <v>225987.69469772081</v>
      </c>
      <c r="AD357" s="587">
        <f>'Volume and Speed'!AC497</f>
        <v>238280.43949484185</v>
      </c>
      <c r="AE357" s="587">
        <f>'Volume and Speed'!AD497</f>
        <v>252064.66602365149</v>
      </c>
      <c r="AF357" s="587">
        <f>'Volume and Speed'!AE497</f>
        <v>267532.8731034068</v>
      </c>
      <c r="AG357" s="587">
        <f>'Volume and Speed'!AF497</f>
        <v>284908.53531893145</v>
      </c>
      <c r="AH357" s="754">
        <f>'Volume and Speed'!AG497</f>
        <v>304441.9961224423</v>
      </c>
      <c r="AI357" s="18"/>
      <c r="AJ357" s="18"/>
      <c r="AK357" s="18"/>
      <c r="AL357" s="18"/>
      <c r="AM357" s="18"/>
      <c r="AN357" s="18"/>
    </row>
    <row r="358" spans="2:40" ht="21.95" customHeight="1" x14ac:dyDescent="0.2">
      <c r="B358" s="232"/>
      <c r="C358" s="715"/>
      <c r="D358" s="715"/>
      <c r="E358" s="116" t="s">
        <v>288</v>
      </c>
      <c r="F358" s="116" t="s">
        <v>323</v>
      </c>
      <c r="G358" s="116" t="s">
        <v>348</v>
      </c>
      <c r="H358" s="593" t="s">
        <v>23</v>
      </c>
      <c r="I358" s="593">
        <f>'Volume and Speed'!H498</f>
        <v>23633.09448058578</v>
      </c>
      <c r="J358" s="593">
        <f>'Volume and Speed'!I498</f>
        <v>25086.268028903316</v>
      </c>
      <c r="K358" s="593">
        <f>'Volume and Speed'!J498</f>
        <v>27009.34767579535</v>
      </c>
      <c r="L358" s="593">
        <f>'Volume and Speed'!K498</f>
        <v>29565.011220557259</v>
      </c>
      <c r="M358" s="593">
        <f>'Volume and Speed'!L498</f>
        <v>32121.472183138583</v>
      </c>
      <c r="N358" s="593">
        <f>'Volume and Speed'!M498</f>
        <v>34683.467860256365</v>
      </c>
      <c r="O358" s="593">
        <f>'Volume and Speed'!N498</f>
        <v>37239.201403421932</v>
      </c>
      <c r="P358" s="593">
        <f>'Volume and Speed'!O498</f>
        <v>39797.76805342907</v>
      </c>
      <c r="Q358" s="593">
        <f>'Volume and Speed'!P498</f>
        <v>42130.874021566407</v>
      </c>
      <c r="R358" s="593">
        <f>'Volume and Speed'!Q498</f>
        <v>44462.199718041295</v>
      </c>
      <c r="S358" s="593">
        <f>'Volume and Speed'!R498</f>
        <v>46795.93379712876</v>
      </c>
      <c r="T358" s="593">
        <f>'Volume and Speed'!S498</f>
        <v>49130.022735093225</v>
      </c>
      <c r="U358" s="593">
        <f>'Volume and Speed'!T498</f>
        <v>51473.14433030384</v>
      </c>
      <c r="V358" s="593">
        <f>'Volume and Speed'!U498</f>
        <v>53173.71924606125</v>
      </c>
      <c r="W358" s="593">
        <f>'Volume and Speed'!V498</f>
        <v>54629.356193550047</v>
      </c>
      <c r="X358" s="593">
        <f>'Volume and Speed'!W498</f>
        <v>56085.743856540532</v>
      </c>
      <c r="Y358" s="593">
        <f>'Volume and Speed'!X498</f>
        <v>57543.082156750243</v>
      </c>
      <c r="Z358" s="593">
        <f>'Volume and Speed'!Y498</f>
        <v>59003.199119005847</v>
      </c>
      <c r="AA358" s="593">
        <f>'Volume and Speed'!Z498</f>
        <v>60463.233270405057</v>
      </c>
      <c r="AB358" s="593">
        <f>'Volume and Speed'!AA498</f>
        <v>61928.700641346688</v>
      </c>
      <c r="AC358" s="593">
        <f>'Volume and Speed'!AB498</f>
        <v>63392.91388566768</v>
      </c>
      <c r="AD358" s="593">
        <f>'Volume and Speed'!AC498</f>
        <v>64859.972912607642</v>
      </c>
      <c r="AE358" s="593">
        <f>'Volume and Speed'!AD498</f>
        <v>66332.118244644764</v>
      </c>
      <c r="AF358" s="593">
        <f>'Volume and Speed'!AE498</f>
        <v>67806.932311945056</v>
      </c>
      <c r="AG358" s="593">
        <f>'Volume and Speed'!AF498</f>
        <v>69286.925716258731</v>
      </c>
      <c r="AH358" s="755">
        <f>'Volume and Speed'!AG498</f>
        <v>70776.822927236237</v>
      </c>
      <c r="AI358" s="18"/>
      <c r="AJ358" s="18"/>
      <c r="AK358" s="18"/>
      <c r="AL358" s="18"/>
      <c r="AM358" s="18"/>
      <c r="AN358" s="18"/>
    </row>
    <row r="359" spans="2:40" ht="21.95" customHeight="1" x14ac:dyDescent="0.2">
      <c r="B359" s="232"/>
      <c r="C359" s="715"/>
      <c r="D359" s="715"/>
      <c r="E359" s="277" t="s">
        <v>340</v>
      </c>
      <c r="F359" s="277" t="s">
        <v>335</v>
      </c>
      <c r="G359" s="277" t="s">
        <v>323</v>
      </c>
      <c r="H359" s="577" t="s">
        <v>23</v>
      </c>
      <c r="I359" s="593" t="e">
        <f>'Volume and Speed'!H499</f>
        <v>#DIV/0!</v>
      </c>
      <c r="J359" s="593" t="e">
        <f>'Volume and Speed'!I499</f>
        <v>#DIV/0!</v>
      </c>
      <c r="K359" s="593" t="e">
        <f>'Volume and Speed'!J499</f>
        <v>#DIV/0!</v>
      </c>
      <c r="L359" s="593" t="e">
        <f>'Volume and Speed'!K499</f>
        <v>#DIV/0!</v>
      </c>
      <c r="M359" s="593" t="e">
        <f>'Volume and Speed'!L499</f>
        <v>#DIV/0!</v>
      </c>
      <c r="N359" s="593" t="e">
        <f>'Volume and Speed'!M499</f>
        <v>#DIV/0!</v>
      </c>
      <c r="O359" s="593" t="e">
        <f>'Volume and Speed'!N499</f>
        <v>#DIV/0!</v>
      </c>
      <c r="P359" s="593" t="e">
        <f>'Volume and Speed'!O499</f>
        <v>#DIV/0!</v>
      </c>
      <c r="Q359" s="593" t="e">
        <f>'Volume and Speed'!P499</f>
        <v>#DIV/0!</v>
      </c>
      <c r="R359" s="593" t="e">
        <f>'Volume and Speed'!Q499</f>
        <v>#DIV/0!</v>
      </c>
      <c r="S359" s="593" t="e">
        <f>'Volume and Speed'!R499</f>
        <v>#DIV/0!</v>
      </c>
      <c r="T359" s="593" t="e">
        <f>'Volume and Speed'!S499</f>
        <v>#DIV/0!</v>
      </c>
      <c r="U359" s="593" t="e">
        <f>'Volume and Speed'!T499</f>
        <v>#DIV/0!</v>
      </c>
      <c r="V359" s="593" t="e">
        <f>'Volume and Speed'!U499</f>
        <v>#DIV/0!</v>
      </c>
      <c r="W359" s="593" t="e">
        <f>'Volume and Speed'!V499</f>
        <v>#DIV/0!</v>
      </c>
      <c r="X359" s="593" t="e">
        <f>'Volume and Speed'!W499</f>
        <v>#DIV/0!</v>
      </c>
      <c r="Y359" s="593" t="e">
        <f>'Volume and Speed'!X499</f>
        <v>#DIV/0!</v>
      </c>
      <c r="Z359" s="593" t="e">
        <f>'Volume and Speed'!Y499</f>
        <v>#DIV/0!</v>
      </c>
      <c r="AA359" s="593" t="e">
        <f>'Volume and Speed'!Z499</f>
        <v>#DIV/0!</v>
      </c>
      <c r="AB359" s="593" t="e">
        <f>'Volume and Speed'!AA499</f>
        <v>#DIV/0!</v>
      </c>
      <c r="AC359" s="593" t="e">
        <f>'Volume and Speed'!AB499</f>
        <v>#DIV/0!</v>
      </c>
      <c r="AD359" s="593" t="e">
        <f>'Volume and Speed'!AC499</f>
        <v>#DIV/0!</v>
      </c>
      <c r="AE359" s="593" t="e">
        <f>'Volume and Speed'!AD499</f>
        <v>#DIV/0!</v>
      </c>
      <c r="AF359" s="593" t="e">
        <f>'Volume and Speed'!AE499</f>
        <v>#DIV/0!</v>
      </c>
      <c r="AG359" s="593" t="e">
        <f>'Volume and Speed'!AF499</f>
        <v>#DIV/0!</v>
      </c>
      <c r="AH359" s="755" t="e">
        <f>'Volume and Speed'!AG499</f>
        <v>#DIV/0!</v>
      </c>
      <c r="AI359" s="18"/>
      <c r="AJ359" s="18"/>
      <c r="AK359" s="18"/>
      <c r="AL359" s="18"/>
      <c r="AM359" s="18"/>
      <c r="AN359" s="18"/>
    </row>
    <row r="360" spans="2:40" ht="21.95" customHeight="1" x14ac:dyDescent="0.2">
      <c r="B360" s="232"/>
      <c r="C360" s="715"/>
      <c r="D360" s="715"/>
      <c r="E360" s="277" t="s">
        <v>357</v>
      </c>
      <c r="F360" s="277" t="s">
        <v>338</v>
      </c>
      <c r="G360" s="277" t="s">
        <v>323</v>
      </c>
      <c r="H360" s="593" t="s">
        <v>23</v>
      </c>
      <c r="I360" s="577">
        <f>'Volume and Speed'!H500</f>
        <v>38197.078466007326</v>
      </c>
      <c r="J360" s="577">
        <f>'Volume and Speed'!I500</f>
        <v>38721.779763803679</v>
      </c>
      <c r="K360" s="577">
        <f>'Volume and Speed'!J500</f>
        <v>39628.818791838828</v>
      </c>
      <c r="L360" s="577">
        <f>'Volume and Speed'!K500</f>
        <v>40874.315517841576</v>
      </c>
      <c r="M360" s="577">
        <f>'Volume and Speed'!L500</f>
        <v>42120.684888907825</v>
      </c>
      <c r="N360" s="577">
        <f>'Volume and Speed'!M500</f>
        <v>43369.308493461765</v>
      </c>
      <c r="O360" s="577">
        <f>'Volume and Speed'!N500</f>
        <v>44616.176487885066</v>
      </c>
      <c r="P360" s="577">
        <f>'Volume and Speed'!O500</f>
        <v>45868.15664254452</v>
      </c>
      <c r="Q360" s="577">
        <f>'Volume and Speed'!P500</f>
        <v>46736.938420110149</v>
      </c>
      <c r="R360" s="577">
        <f>'Volume and Speed'!Q500</f>
        <v>47606.376235203563</v>
      </c>
      <c r="S360" s="577">
        <f>'Volume and Speed'!R500</f>
        <v>48476.569086080985</v>
      </c>
      <c r="T360" s="577">
        <f>'Volume and Speed'!S500</f>
        <v>49347.3113494504</v>
      </c>
      <c r="U360" s="577">
        <f>'Volume and Speed'!T500</f>
        <v>50225.144563928057</v>
      </c>
      <c r="V360" s="577">
        <f>'Volume and Speed'!U500</f>
        <v>50753.455398561593</v>
      </c>
      <c r="W360" s="577">
        <f>'Volume and Speed'!V500</f>
        <v>51282.187270734794</v>
      </c>
      <c r="X360" s="577">
        <f>'Volume and Speed'!W500</f>
        <v>51811.381050785356</v>
      </c>
      <c r="Y360" s="577">
        <f>'Volume and Speed'!X500</f>
        <v>52341.081063577003</v>
      </c>
      <c r="Z360" s="577">
        <f>'Volume and Speed'!Y500</f>
        <v>52874.98472114186</v>
      </c>
      <c r="AA360" s="577">
        <f>'Volume and Speed'!Z500</f>
        <v>53405.849774515169</v>
      </c>
      <c r="AB360" s="577">
        <f>'Volume and Speed'!AA500</f>
        <v>53939.42245189994</v>
      </c>
      <c r="AC360" s="577">
        <f>'Volume and Speed'!AB500</f>
        <v>54471.677785010077</v>
      </c>
      <c r="AD360" s="577">
        <f>'Volume and Speed'!AC500</f>
        <v>55004.723559207203</v>
      </c>
      <c r="AE360" s="577">
        <f>'Volume and Speed'!AD500</f>
        <v>55542.306655750363</v>
      </c>
      <c r="AF360" s="577">
        <f>'Volume and Speed'!AE500</f>
        <v>56077.159567186623</v>
      </c>
      <c r="AG360" s="577">
        <f>'Volume and Speed'!AF500</f>
        <v>56613.034734769157</v>
      </c>
      <c r="AH360" s="752">
        <f>'Volume and Speed'!AG500</f>
        <v>57152.088004066471</v>
      </c>
      <c r="AI360" s="18"/>
      <c r="AJ360" s="18"/>
      <c r="AK360" s="18"/>
      <c r="AL360" s="18"/>
      <c r="AM360" s="18"/>
      <c r="AN360" s="18"/>
    </row>
    <row r="361" spans="2:40" ht="21.95" customHeight="1" x14ac:dyDescent="0.2">
      <c r="B361" s="232"/>
      <c r="C361" s="715"/>
      <c r="D361" s="715"/>
      <c r="E361" s="116" t="s">
        <v>338</v>
      </c>
      <c r="F361" s="116" t="s">
        <v>282</v>
      </c>
      <c r="G361" s="116" t="s">
        <v>357</v>
      </c>
      <c r="H361" s="577" t="s">
        <v>23</v>
      </c>
      <c r="I361" s="583">
        <f>'Volume and Speed'!H501</f>
        <v>78280.009329269713</v>
      </c>
      <c r="J361" s="583">
        <f>'Volume and Speed'!I501</f>
        <v>80536.588663159433</v>
      </c>
      <c r="K361" s="583">
        <f>'Volume and Speed'!J501</f>
        <v>82979.083742464209</v>
      </c>
      <c r="L361" s="583">
        <f>'Volume and Speed'!K501</f>
        <v>86219.488973189727</v>
      </c>
      <c r="M361" s="583">
        <f>'Volume and Speed'!L501</f>
        <v>89460.444183401996</v>
      </c>
      <c r="N361" s="583">
        <f>'Volume and Speed'!M501</f>
        <v>92702.73297056045</v>
      </c>
      <c r="O361" s="583">
        <f>'Volume and Speed'!N501</f>
        <v>95943.146904288398</v>
      </c>
      <c r="P361" s="583">
        <f>'Volume and Speed'!O501</f>
        <v>99184.427195162862</v>
      </c>
      <c r="Q361" s="583">
        <f>'Volume and Speed'!P501</f>
        <v>102751.04933618143</v>
      </c>
      <c r="R361" s="583">
        <f>'Volume and Speed'!Q501</f>
        <v>106316.50910134685</v>
      </c>
      <c r="S361" s="583">
        <f>'Volume and Speed'!R501</f>
        <v>109883.15916453424</v>
      </c>
      <c r="T361" s="583">
        <f>'Volume and Speed'!S501</f>
        <v>113449.83086761467</v>
      </c>
      <c r="U361" s="583">
        <f>'Volume and Speed'!T501</f>
        <v>117018.56675792123</v>
      </c>
      <c r="V361" s="583">
        <f>'Volume and Speed'!U501</f>
        <v>119787.04786154658</v>
      </c>
      <c r="W361" s="583">
        <f>'Volume and Speed'!V501</f>
        <v>122043.73481914308</v>
      </c>
      <c r="X361" s="583">
        <f>'Volume and Speed'!W501</f>
        <v>124300.44396078319</v>
      </c>
      <c r="Y361" s="583">
        <f>'Volume and Speed'!X501</f>
        <v>126557.17926163421</v>
      </c>
      <c r="Z361" s="583">
        <f>'Volume and Speed'!Y501</f>
        <v>128813.71045616941</v>
      </c>
      <c r="AA361" s="583">
        <f>'Volume and Speed'!Z501</f>
        <v>131070.51256322782</v>
      </c>
      <c r="AB361" s="583">
        <f>'Volume and Speed'!AA501</f>
        <v>133327.12195163732</v>
      </c>
      <c r="AC361" s="583">
        <f>'Volume and Speed'!AB501</f>
        <v>135584.01535304615</v>
      </c>
      <c r="AD361" s="583">
        <f>'Volume and Speed'!AC501</f>
        <v>137840.96591269207</v>
      </c>
      <c r="AE361" s="583">
        <f>'Volume and Speed'!AD501</f>
        <v>140097.74789206393</v>
      </c>
      <c r="AF361" s="583">
        <f>'Volume and Speed'!AE501</f>
        <v>142354.84149254093</v>
      </c>
      <c r="AG361" s="583">
        <f>'Volume and Speed'!AF501</f>
        <v>144612.02369669895</v>
      </c>
      <c r="AH361" s="753">
        <f>'Volume and Speed'!AG501</f>
        <v>146869.07305334028</v>
      </c>
      <c r="AI361" s="18"/>
      <c r="AJ361" s="18"/>
      <c r="AK361" s="18"/>
      <c r="AL361" s="18"/>
      <c r="AM361" s="18"/>
      <c r="AN361" s="18"/>
    </row>
    <row r="362" spans="2:40" ht="21.95" customHeight="1" x14ac:dyDescent="0.2">
      <c r="B362" s="232"/>
      <c r="C362" s="715"/>
      <c r="D362" s="715"/>
      <c r="E362" s="116"/>
      <c r="F362" s="116" t="s">
        <v>357</v>
      </c>
      <c r="G362" s="116" t="s">
        <v>346</v>
      </c>
      <c r="H362" s="577" t="s">
        <v>23</v>
      </c>
      <c r="I362" s="577">
        <f>'Volume and Speed'!H502</f>
        <v>11400.437782222565</v>
      </c>
      <c r="J362" s="577">
        <f>'Volume and Speed'!I502</f>
        <v>11724.000221011778</v>
      </c>
      <c r="K362" s="577">
        <f>'Volume and Speed'!J502</f>
        <v>12083.06903042028</v>
      </c>
      <c r="L362" s="577">
        <f>'Volume and Speed'!K502</f>
        <v>12587.058426842868</v>
      </c>
      <c r="M362" s="577">
        <f>'Volume and Speed'!L502</f>
        <v>13091.137848784898</v>
      </c>
      <c r="N362" s="577">
        <f>'Volume and Speed'!M502</f>
        <v>13595.322306167503</v>
      </c>
      <c r="O362" s="577">
        <f>'Volume and Speed'!N502</f>
        <v>14099.311800085041</v>
      </c>
      <c r="P362" s="577">
        <f>'Volume and Speed'!O502</f>
        <v>14603.331356264347</v>
      </c>
      <c r="Q362" s="577">
        <f>'Volume and Speed'!P502</f>
        <v>15169.828437975215</v>
      </c>
      <c r="R362" s="577">
        <f>'Volume and Speed'!Q502</f>
        <v>15736.130661249987</v>
      </c>
      <c r="S362" s="577">
        <f>'Volume and Speed'!R502</f>
        <v>16302.628099596561</v>
      </c>
      <c r="T362" s="577">
        <f>'Volume and Speed'!S502</f>
        <v>16869.125822989739</v>
      </c>
      <c r="U362" s="577">
        <f>'Volume and Speed'!T502</f>
        <v>17435.713937548928</v>
      </c>
      <c r="V362" s="577">
        <f>'Volume and Speed'!U502</f>
        <v>17857.351468331635</v>
      </c>
      <c r="W362" s="577">
        <f>'Volume and Speed'!V502</f>
        <v>18180.915159416094</v>
      </c>
      <c r="X362" s="577">
        <f>'Volume and Speed'!W502</f>
        <v>18504.479097296215</v>
      </c>
      <c r="Y362" s="577">
        <f>'Volume and Speed'!X502</f>
        <v>18828.043324421287</v>
      </c>
      <c r="Z362" s="577">
        <f>'Volume and Speed'!Y502</f>
        <v>19151.442882082854</v>
      </c>
      <c r="AA362" s="577">
        <f>'Volume and Speed'!Z502</f>
        <v>19475.007841115694</v>
      </c>
      <c r="AB362" s="577">
        <f>'Volume and Speed'!AA502</f>
        <v>19798.408250293367</v>
      </c>
      <c r="AC362" s="577">
        <f>'Volume and Speed'!AB502</f>
        <v>20121.974198515862</v>
      </c>
      <c r="AD362" s="577">
        <f>'Volume and Speed'!AC502</f>
        <v>20445.540761468044</v>
      </c>
      <c r="AE362" s="577">
        <f>'Volume and Speed'!AD502</f>
        <v>20768.943025014618</v>
      </c>
      <c r="AF362" s="577">
        <f>'Volume and Speed'!AE502</f>
        <v>21092.511114393601</v>
      </c>
      <c r="AG362" s="577">
        <f>'Volume and Speed'!AF502</f>
        <v>21416.080142934457</v>
      </c>
      <c r="AH362" s="752">
        <f>'Volume and Speed'!AG502</f>
        <v>21739.485237948207</v>
      </c>
      <c r="AI362" s="18"/>
      <c r="AJ362" s="18"/>
      <c r="AK362" s="18"/>
      <c r="AL362" s="18"/>
      <c r="AM362" s="18"/>
      <c r="AN362" s="18"/>
    </row>
    <row r="363" spans="2:40" ht="21.95" customHeight="1" x14ac:dyDescent="0.2">
      <c r="B363" s="232"/>
      <c r="C363" s="715"/>
      <c r="D363" s="715"/>
      <c r="E363" s="116"/>
      <c r="F363" s="116" t="s">
        <v>346</v>
      </c>
      <c r="G363" s="116" t="s">
        <v>343</v>
      </c>
      <c r="H363" s="577" t="s">
        <v>23</v>
      </c>
      <c r="I363" s="577">
        <f>'Volume and Speed'!H503</f>
        <v>3433.8483209342858</v>
      </c>
      <c r="J363" s="577">
        <f>'Volume and Speed'!I503</f>
        <v>3531.3063694879775</v>
      </c>
      <c r="K363" s="577">
        <f>'Volume and Speed'!J503</f>
        <v>3639.4590541383932</v>
      </c>
      <c r="L363" s="577">
        <f>'Volume and Speed'!K503</f>
        <v>3791.2622944819923</v>
      </c>
      <c r="M363" s="577">
        <f>'Volume and Speed'!L503</f>
        <v>3943.092662233938</v>
      </c>
      <c r="N363" s="577">
        <f>'Volume and Speed'!M503</f>
        <v>4094.9546832734477</v>
      </c>
      <c r="O363" s="577">
        <f>'Volume and Speed'!N503</f>
        <v>4246.7580035081864</v>
      </c>
      <c r="P363" s="577">
        <f>'Volume and Speed'!O503</f>
        <v>4398.5704102615491</v>
      </c>
      <c r="Q363" s="577">
        <f>'Volume and Speed'!P503</f>
        <v>4569.2013130102168</v>
      </c>
      <c r="R363" s="577">
        <f>'Volume and Speed'!Q503</f>
        <v>4739.7736010189374</v>
      </c>
      <c r="S363" s="577">
        <f>'Volume and Speed'!R503</f>
        <v>4910.4047960087373</v>
      </c>
      <c r="T363" s="577">
        <f>'Volume and Speed'!S503</f>
        <v>5081.0362245767774</v>
      </c>
      <c r="U363" s="577">
        <f>'Volume and Speed'!T503</f>
        <v>5251.6950801781377</v>
      </c>
      <c r="V363" s="577">
        <f>'Volume and Speed'!U503</f>
        <v>5378.6943472404309</v>
      </c>
      <c r="W363" s="577">
        <f>'Volume and Speed'!V503</f>
        <v>5476.1534219734112</v>
      </c>
      <c r="X363" s="577">
        <f>'Volume and Speed'!W503</f>
        <v>5573.6126989403265</v>
      </c>
      <c r="Y363" s="577">
        <f>'Volume and Speed'!X503</f>
        <v>5671.0722129257765</v>
      </c>
      <c r="Z363" s="577">
        <f>'Volume and Speed'!Y503</f>
        <v>5768.4823025216501</v>
      </c>
      <c r="AA363" s="577">
        <f>'Volume and Speed'!Z503</f>
        <v>5865.9424162607083</v>
      </c>
      <c r="AB363" s="577">
        <f>'Volume and Speed'!AA503</f>
        <v>5963.3532036218994</v>
      </c>
      <c r="AC363" s="577">
        <f>'Volume and Speed'!AB503</f>
        <v>6060.8141279413267</v>
      </c>
      <c r="AD363" s="577">
        <f>'Volume and Speed'!AC503</f>
        <v>6158.2755559940924</v>
      </c>
      <c r="AE363" s="577">
        <f>'Volume and Speed'!AD503</f>
        <v>6255.6878628970826</v>
      </c>
      <c r="AF363" s="577">
        <f>'Volume and Speed'!AE503</f>
        <v>6353.1505417631652</v>
      </c>
      <c r="AG363" s="577">
        <f>'Volume and Speed'!AF503</f>
        <v>6450.6139902149152</v>
      </c>
      <c r="AH363" s="752">
        <f>'Volume and Speed'!AG503</f>
        <v>6548.0286173319164</v>
      </c>
      <c r="AI363" s="18"/>
      <c r="AJ363" s="18"/>
      <c r="AK363" s="18"/>
      <c r="AL363" s="18"/>
      <c r="AM363" s="18"/>
      <c r="AN363" s="18"/>
    </row>
    <row r="364" spans="2:40" ht="21.95" customHeight="1" x14ac:dyDescent="0.2">
      <c r="B364" s="232"/>
      <c r="C364" s="715"/>
      <c r="D364" s="715"/>
      <c r="E364" s="116"/>
      <c r="F364" s="116" t="s">
        <v>343</v>
      </c>
      <c r="G364" s="116" t="s">
        <v>350</v>
      </c>
      <c r="H364" s="577" t="s">
        <v>23</v>
      </c>
      <c r="I364" s="577">
        <f>'Volume and Speed'!H504</f>
        <v>8810.531796712874</v>
      </c>
      <c r="J364" s="577">
        <f>'Volume and Speed'!I504</f>
        <v>9060.3691127620968</v>
      </c>
      <c r="K364" s="577">
        <f>'Volume and Speed'!J504</f>
        <v>9345.0520836105425</v>
      </c>
      <c r="L364" s="577">
        <f>'Volume and Speed'!K504</f>
        <v>9708.8095809397528</v>
      </c>
      <c r="M364" s="577">
        <f>'Volume and Speed'!L504</f>
        <v>10072.684555763755</v>
      </c>
      <c r="N364" s="577">
        <f>'Volume and Speed'!M504</f>
        <v>10436.500798904592</v>
      </c>
      <c r="O364" s="577">
        <f>'Volume and Speed'!N504</f>
        <v>10800.258312310603</v>
      </c>
      <c r="P364" s="577">
        <f>'Volume and Speed'!O504</f>
        <v>11164.089256545276</v>
      </c>
      <c r="Q364" s="577">
        <f>'Volume and Speed'!P504</f>
        <v>11575.306197999951</v>
      </c>
      <c r="R364" s="577">
        <f>'Volume and Speed'!Q504</f>
        <v>11986.508478432728</v>
      </c>
      <c r="S364" s="577">
        <f>'Volume and Speed'!R504</f>
        <v>12397.666737939287</v>
      </c>
      <c r="T364" s="577">
        <f>'Volume and Speed'!S504</f>
        <v>12808.883777326171</v>
      </c>
      <c r="U364" s="577">
        <f>'Volume and Speed'!T504</f>
        <v>13220.174295493773</v>
      </c>
      <c r="V364" s="577">
        <f>'Volume and Speed'!U504</f>
        <v>13552.302199962967</v>
      </c>
      <c r="W364" s="577">
        <f>'Volume and Speed'!V504</f>
        <v>13802.139722201126</v>
      </c>
      <c r="X364" s="577">
        <f>'Volume and Speed'!W504</f>
        <v>14051.977285931709</v>
      </c>
      <c r="Y364" s="577">
        <f>'Volume and Speed'!X504</f>
        <v>14301.814898422479</v>
      </c>
      <c r="Z364" s="577">
        <f>'Volume and Speed'!Y504</f>
        <v>14551.579146838299</v>
      </c>
      <c r="AA364" s="577">
        <f>'Volume and Speed'!Z504</f>
        <v>14801.416883215599</v>
      </c>
      <c r="AB364" s="577">
        <f>'Volume and Speed'!AA504</f>
        <v>15051.181276152151</v>
      </c>
      <c r="AC364" s="577">
        <f>'Volume and Speed'!AB504</f>
        <v>15301.019180782423</v>
      </c>
      <c r="AD364" s="577">
        <f>'Volume and Speed'!AC504</f>
        <v>15550.857190314353</v>
      </c>
      <c r="AE364" s="577">
        <f>'Volume and Speed'!AD504</f>
        <v>15800.621899845381</v>
      </c>
      <c r="AF364" s="577">
        <f>'Volume and Speed'!AE504</f>
        <v>16050.460170759208</v>
      </c>
      <c r="AG364" s="577">
        <f>'Volume and Speed'!AF504</f>
        <v>16300.29860296868</v>
      </c>
      <c r="AH364" s="752">
        <f>'Volume and Speed'!AG504</f>
        <v>16550.063799009629</v>
      </c>
      <c r="AI364" s="18"/>
      <c r="AJ364" s="18"/>
      <c r="AK364" s="18"/>
      <c r="AL364" s="18"/>
      <c r="AM364" s="18"/>
      <c r="AN364" s="18"/>
    </row>
    <row r="365" spans="2:40" ht="21.95" customHeight="1" x14ac:dyDescent="0.2">
      <c r="B365" s="232"/>
      <c r="C365" s="715"/>
      <c r="D365" s="715"/>
      <c r="E365" s="116"/>
      <c r="F365" s="116" t="s">
        <v>350</v>
      </c>
      <c r="G365" s="116" t="s">
        <v>280</v>
      </c>
      <c r="H365" s="577" t="s">
        <v>23</v>
      </c>
      <c r="I365" s="577">
        <f>'Volume and Speed'!H505</f>
        <v>60064.136465598429</v>
      </c>
      <c r="J365" s="577">
        <f>'Volume and Speed'!I505</f>
        <v>61767.355168825023</v>
      </c>
      <c r="K365" s="577">
        <f>'Volume and Speed'!J505</f>
        <v>63708.127535640131</v>
      </c>
      <c r="L365" s="577">
        <f>'Volume and Speed'!K505</f>
        <v>66187.975536268277</v>
      </c>
      <c r="M365" s="577">
        <f>'Volume and Speed'!L505</f>
        <v>68668.624401414942</v>
      </c>
      <c r="N365" s="577">
        <f>'Volume and Speed'!M505</f>
        <v>71148.872852004308</v>
      </c>
      <c r="O365" s="577">
        <f>'Volume and Speed'!N505</f>
        <v>73628.720892918616</v>
      </c>
      <c r="P365" s="577">
        <f>'Volume and Speed'!O505</f>
        <v>76109.069492686336</v>
      </c>
      <c r="Q365" s="577">
        <f>'Volume and Speed'!P505</f>
        <v>78912.463090797522</v>
      </c>
      <c r="R365" s="577">
        <f>'Volume and Speed'!Q505</f>
        <v>81715.756640144915</v>
      </c>
      <c r="S365" s="577">
        <f>'Volume and Speed'!R505</f>
        <v>84518.749948327706</v>
      </c>
      <c r="T365" s="577">
        <f>'Volume and Speed'!S505</f>
        <v>87322.143791843002</v>
      </c>
      <c r="U365" s="577">
        <f>'Volume and Speed'!T505</f>
        <v>90126.038314372621</v>
      </c>
      <c r="V365" s="577">
        <f>'Volume and Speed'!U505</f>
        <v>92390.256607081421</v>
      </c>
      <c r="W365" s="577">
        <f>'Volume and Speed'!V505</f>
        <v>94093.475826987866</v>
      </c>
      <c r="X365" s="577">
        <f>'Volume and Speed'!W505</f>
        <v>95796.695150868371</v>
      </c>
      <c r="Y365" s="577">
        <f>'Volume and Speed'!X505</f>
        <v>97499.91459693489</v>
      </c>
      <c r="Z365" s="577">
        <f>'Volume and Speed'!Y505</f>
        <v>99202.63365142321</v>
      </c>
      <c r="AA365" s="577">
        <f>'Volume and Speed'!Z505</f>
        <v>100905.85340793154</v>
      </c>
      <c r="AB365" s="577">
        <f>'Volume and Speed'!AA505</f>
        <v>102608.57282456808</v>
      </c>
      <c r="AC365" s="577">
        <f>'Volume and Speed'!AB505</f>
        <v>104311.79300269426</v>
      </c>
      <c r="AD365" s="577">
        <f>'Volume and Speed'!AC505</f>
        <v>106015.01344368892</v>
      </c>
      <c r="AE365" s="577">
        <f>'Volume and Speed'!AD505</f>
        <v>107717.73365366572</v>
      </c>
      <c r="AF365" s="577">
        <f>'Volume and Speed'!AE505</f>
        <v>109420.95474964587</v>
      </c>
      <c r="AG365" s="577">
        <f>'Volume and Speed'!AF505</f>
        <v>111124.17624980977</v>
      </c>
      <c r="AH365" s="752">
        <f>'Volume and Speed'!AG505</f>
        <v>112826.89767891055</v>
      </c>
      <c r="AI365" s="18"/>
      <c r="AJ365" s="18"/>
      <c r="AK365" s="18"/>
      <c r="AL365" s="18"/>
      <c r="AM365" s="18"/>
      <c r="AN365" s="18"/>
    </row>
    <row r="366" spans="2:40" ht="21.95" customHeight="1" thickBot="1" x14ac:dyDescent="0.25">
      <c r="B366" s="232"/>
      <c r="C366" s="715"/>
      <c r="D366" s="715"/>
      <c r="E366" s="116"/>
      <c r="F366" s="116" t="s">
        <v>280</v>
      </c>
      <c r="G366" s="116" t="s">
        <v>333</v>
      </c>
      <c r="H366" s="577" t="s">
        <v>23</v>
      </c>
      <c r="I366" s="587">
        <f>'Volume and Speed'!H506</f>
        <v>1500.0830564292053</v>
      </c>
      <c r="J366" s="587">
        <f>'Volume and Speed'!I506</f>
        <v>1542.6206970041326</v>
      </c>
      <c r="K366" s="587">
        <f>'Volume and Speed'!J506</f>
        <v>1591.0913271609174</v>
      </c>
      <c r="L366" s="587">
        <f>'Volume and Speed'!K506</f>
        <v>1653.0255790936376</v>
      </c>
      <c r="M366" s="587">
        <f>'Volume and Speed'!L506</f>
        <v>1714.980222283463</v>
      </c>
      <c r="N366" s="587">
        <f>'Volume and Speed'!M506</f>
        <v>1776.9254072623949</v>
      </c>
      <c r="O366" s="587">
        <f>'Volume and Speed'!N506</f>
        <v>1838.861337414517</v>
      </c>
      <c r="P366" s="587">
        <f>'Volume and Speed'!O506</f>
        <v>1900.8107839873219</v>
      </c>
      <c r="Q366" s="587">
        <f>'Volume and Speed'!P506</f>
        <v>1970.8303039901414</v>
      </c>
      <c r="R366" s="587">
        <f>'Volume and Speed'!Q506</f>
        <v>2040.849745413655</v>
      </c>
      <c r="S366" s="587">
        <f>'Volume and Speed'!R506</f>
        <v>2110.8649989294072</v>
      </c>
      <c r="T366" s="587">
        <f>'Volume and Speed'!S506</f>
        <v>2180.8947418411367</v>
      </c>
      <c r="U366" s="587">
        <f>'Volume and Speed'!T506</f>
        <v>2250.943006774366</v>
      </c>
      <c r="V366" s="587">
        <f>'Volume and Speed'!U506</f>
        <v>2307.5145385494761</v>
      </c>
      <c r="W366" s="587">
        <f>'Volume and Speed'!V506</f>
        <v>2350.0737026937231</v>
      </c>
      <c r="X366" s="587">
        <f>'Volume and Speed'!W506</f>
        <v>2392.6371981333941</v>
      </c>
      <c r="Y366" s="587">
        <f>'Volume and Speed'!X506</f>
        <v>2435.2057835323271</v>
      </c>
      <c r="Z366" s="587">
        <f>'Volume and Speed'!Y506</f>
        <v>2477.7678207706026</v>
      </c>
      <c r="AA366" s="587">
        <f>'Volume and Speed'!Z506</f>
        <v>2520.3493383884343</v>
      </c>
      <c r="AB366" s="587">
        <f>'Volume and Speed'!AA506</f>
        <v>2562.9264618005363</v>
      </c>
      <c r="AC366" s="587">
        <f>'Volume and Speed'!AB506</f>
        <v>2605.5255429432427</v>
      </c>
      <c r="AD366" s="587">
        <f>'Volume and Speed'!AC506</f>
        <v>2648.1355745184419</v>
      </c>
      <c r="AE366" s="587">
        <f>'Volume and Speed'!AD506</f>
        <v>2690.7457464705576</v>
      </c>
      <c r="AF366" s="587">
        <f>'Volume and Speed'!AE506</f>
        <v>2733.3830630767343</v>
      </c>
      <c r="AG366" s="587">
        <f>'Volume and Speed'!AF506</f>
        <v>2776.0372169498569</v>
      </c>
      <c r="AH366" s="754">
        <f>'Volume and Speed'!AG506</f>
        <v>2818.698174508042</v>
      </c>
      <c r="AI366" s="18"/>
      <c r="AJ366" s="18"/>
      <c r="AK366" s="18"/>
      <c r="AL366" s="18"/>
      <c r="AM366" s="18"/>
      <c r="AN366" s="18"/>
    </row>
    <row r="367" spans="2:40" ht="21.95" customHeight="1" thickBot="1" x14ac:dyDescent="0.25">
      <c r="B367" s="488"/>
      <c r="C367" s="756"/>
      <c r="D367" s="756"/>
      <c r="E367" s="731"/>
      <c r="F367" s="731"/>
      <c r="G367" s="731"/>
      <c r="H367" s="757" t="s">
        <v>514</v>
      </c>
      <c r="I367" s="757">
        <f t="shared" ref="I367" si="1043">SUM(I338:I358)+SUM(I360:I366)</f>
        <v>1759474.6299385915</v>
      </c>
      <c r="J367" s="757">
        <f t="shared" ref="J367:AH367" si="1044">SUM(J338:J358)+SUM(J360:J366)</f>
        <v>1816626.573480064</v>
      </c>
      <c r="K367" s="757">
        <f t="shared" si="1044"/>
        <v>1921725.039939624</v>
      </c>
      <c r="L367" s="757">
        <f t="shared" si="1044"/>
        <v>2088797.3582001186</v>
      </c>
      <c r="M367" s="757">
        <f t="shared" si="1044"/>
        <v>2256813.6881491868</v>
      </c>
      <c r="N367" s="757">
        <f t="shared" si="1044"/>
        <v>2426179.2039511763</v>
      </c>
      <c r="O367" s="757">
        <f t="shared" si="1044"/>
        <v>2597689.823404687</v>
      </c>
      <c r="P367" s="757">
        <f t="shared" si="1044"/>
        <v>2774114.5460306434</v>
      </c>
      <c r="Q367" s="757">
        <f t="shared" si="1044"/>
        <v>2945725.2596237501</v>
      </c>
      <c r="R367" s="757">
        <f t="shared" si="1044"/>
        <v>3130024.7265911605</v>
      </c>
      <c r="S367" s="757">
        <f t="shared" si="1044"/>
        <v>3345486.2627483639</v>
      </c>
      <c r="T367" s="757">
        <f t="shared" si="1044"/>
        <v>3612324.3116676086</v>
      </c>
      <c r="U367" s="757">
        <f t="shared" si="1044"/>
        <v>3950322.882869313</v>
      </c>
      <c r="V367" s="757">
        <f t="shared" si="1044"/>
        <v>4138221.8316389043</v>
      </c>
      <c r="W367" s="757">
        <f t="shared" si="1044"/>
        <v>4246727.7299044142</v>
      </c>
      <c r="X367" s="757">
        <f t="shared" si="1044"/>
        <v>4347528.2138538267</v>
      </c>
      <c r="Y367" s="757">
        <f t="shared" si="1044"/>
        <v>4425341.1417422751</v>
      </c>
      <c r="Z367" s="757">
        <f t="shared" si="1044"/>
        <v>4504716.1133580878</v>
      </c>
      <c r="AA367" s="757">
        <f t="shared" si="1044"/>
        <v>4585757.6262542196</v>
      </c>
      <c r="AB367" s="757">
        <f t="shared" si="1044"/>
        <v>4668841.2442056527</v>
      </c>
      <c r="AC367" s="757">
        <f t="shared" si="1044"/>
        <v>4754131.6585817011</v>
      </c>
      <c r="AD367" s="757">
        <f t="shared" si="1044"/>
        <v>4842014.1360075669</v>
      </c>
      <c r="AE367" s="757">
        <f t="shared" si="1044"/>
        <v>4932917.4321177509</v>
      </c>
      <c r="AF367" s="757">
        <f t="shared" si="1044"/>
        <v>5027126.4170881668</v>
      </c>
      <c r="AG367" s="757">
        <f t="shared" si="1044"/>
        <v>5125165.1549672624</v>
      </c>
      <c r="AH367" s="758">
        <f t="shared" si="1044"/>
        <v>5227618.3165993877</v>
      </c>
      <c r="AI367" s="18"/>
      <c r="AJ367" s="18"/>
      <c r="AK367" s="18"/>
      <c r="AL367" s="18"/>
      <c r="AM367" s="18"/>
      <c r="AN367" s="18"/>
    </row>
    <row r="368" spans="2:40" ht="21.95" customHeight="1" thickBot="1" x14ac:dyDescent="0.25">
      <c r="B368" s="9"/>
      <c r="C368" s="715"/>
      <c r="D368" s="715"/>
      <c r="E368" s="116"/>
      <c r="F368" s="116"/>
      <c r="G368" s="116"/>
      <c r="H368" s="769"/>
      <c r="I368" s="769"/>
      <c r="J368" s="769"/>
      <c r="K368" s="769"/>
      <c r="L368" s="769"/>
      <c r="M368" s="769"/>
      <c r="N368" s="769"/>
      <c r="O368" s="769"/>
      <c r="P368" s="769"/>
      <c r="Q368" s="769"/>
      <c r="R368" s="769"/>
      <c r="S368" s="769"/>
      <c r="T368" s="769"/>
      <c r="U368" s="769"/>
      <c r="V368" s="769"/>
      <c r="W368" s="769"/>
      <c r="X368" s="769"/>
      <c r="Y368" s="769"/>
      <c r="Z368" s="769"/>
      <c r="AA368" s="769"/>
      <c r="AB368" s="769"/>
      <c r="AC368" s="769"/>
      <c r="AD368" s="769"/>
      <c r="AE368" s="769"/>
      <c r="AF368" s="769"/>
      <c r="AG368" s="769"/>
      <c r="AH368" s="769"/>
      <c r="AI368" s="18"/>
      <c r="AJ368" s="18"/>
      <c r="AK368" s="18"/>
      <c r="AL368" s="18"/>
      <c r="AM368" s="18"/>
      <c r="AN368" s="18"/>
    </row>
    <row r="369" spans="2:41" s="7" customFormat="1" ht="21.95" customHeight="1" thickBot="1" x14ac:dyDescent="0.25">
      <c r="B369" s="234"/>
      <c r="C369" s="485" t="s">
        <v>2</v>
      </c>
      <c r="D369" s="485"/>
      <c r="E369" s="485" t="s">
        <v>328</v>
      </c>
      <c r="F369" s="1338" t="s">
        <v>18</v>
      </c>
      <c r="G369" s="1338"/>
      <c r="H369" s="485" t="s">
        <v>24</v>
      </c>
      <c r="I369" s="763">
        <v>2023</v>
      </c>
      <c r="J369" s="763">
        <v>2024</v>
      </c>
      <c r="K369" s="763">
        <v>2025</v>
      </c>
      <c r="L369" s="763">
        <v>2026</v>
      </c>
      <c r="M369" s="763">
        <v>2027</v>
      </c>
      <c r="N369" s="763">
        <v>2028</v>
      </c>
      <c r="O369" s="763">
        <v>2029</v>
      </c>
      <c r="P369" s="763">
        <v>2030</v>
      </c>
      <c r="Q369" s="763">
        <v>2031</v>
      </c>
      <c r="R369" s="763">
        <v>2032</v>
      </c>
      <c r="S369" s="763">
        <v>2033</v>
      </c>
      <c r="T369" s="763">
        <v>2034</v>
      </c>
      <c r="U369" s="763">
        <v>2035</v>
      </c>
      <c r="V369" s="763">
        <v>2036</v>
      </c>
      <c r="W369" s="763">
        <v>2037</v>
      </c>
      <c r="X369" s="763">
        <v>2038</v>
      </c>
      <c r="Y369" s="763">
        <v>2039</v>
      </c>
      <c r="Z369" s="763">
        <v>2040</v>
      </c>
      <c r="AA369" s="763">
        <v>2041</v>
      </c>
      <c r="AB369" s="763">
        <v>2042</v>
      </c>
      <c r="AC369" s="763">
        <v>2043</v>
      </c>
      <c r="AD369" s="763">
        <v>2044</v>
      </c>
      <c r="AE369" s="763">
        <v>2045</v>
      </c>
      <c r="AF369" s="763">
        <v>2046</v>
      </c>
      <c r="AG369" s="763">
        <v>2047</v>
      </c>
      <c r="AH369" s="762">
        <v>2048</v>
      </c>
      <c r="AI369" s="484"/>
      <c r="AJ369" s="484"/>
      <c r="AK369" s="484"/>
      <c r="AL369" s="484"/>
      <c r="AM369" s="484"/>
      <c r="AN369" s="484"/>
      <c r="AO369" s="484"/>
    </row>
    <row r="370" spans="2:41" ht="21.95" customHeight="1" x14ac:dyDescent="0.2">
      <c r="B370" s="199" t="s">
        <v>212</v>
      </c>
      <c r="C370" s="116" t="s">
        <v>156</v>
      </c>
      <c r="D370" s="240" t="s">
        <v>23</v>
      </c>
      <c r="E370" s="1339" t="s">
        <v>331</v>
      </c>
      <c r="F370" s="116" t="s">
        <v>332</v>
      </c>
      <c r="G370" s="116" t="s">
        <v>282</v>
      </c>
      <c r="H370" s="116" t="s">
        <v>20</v>
      </c>
      <c r="I370" s="577">
        <f t="shared" ref="I370:AH370" si="1045">I338*$C$20</f>
        <v>1700.4212426444767</v>
      </c>
      <c r="J370" s="577">
        <f t="shared" si="1045"/>
        <v>1777.7445161991832</v>
      </c>
      <c r="K370" s="577">
        <f t="shared" si="1045"/>
        <v>1886.6878240199578</v>
      </c>
      <c r="L370" s="577">
        <f t="shared" si="1045"/>
        <v>2046.9459829532991</v>
      </c>
      <c r="M370" s="577">
        <f t="shared" si="1045"/>
        <v>2207.2803498724534</v>
      </c>
      <c r="N370" s="577">
        <f t="shared" si="1045"/>
        <v>2367.649532070101</v>
      </c>
      <c r="O370" s="577">
        <f t="shared" si="1045"/>
        <v>2528.0253646472265</v>
      </c>
      <c r="P370" s="577">
        <f t="shared" si="1045"/>
        <v>2688.6353607219407</v>
      </c>
      <c r="Q370" s="577">
        <f t="shared" si="1045"/>
        <v>2847.5445946431519</v>
      </c>
      <c r="R370" s="577">
        <f t="shared" si="1045"/>
        <v>3006.8174000552021</v>
      </c>
      <c r="S370" s="577">
        <f t="shared" si="1045"/>
        <v>3166.5970089755097</v>
      </c>
      <c r="T370" s="577">
        <f t="shared" si="1045"/>
        <v>3327.2308740982166</v>
      </c>
      <c r="U370" s="577">
        <f t="shared" si="1045"/>
        <v>3489.3092774847814</v>
      </c>
      <c r="V370" s="577">
        <f t="shared" si="1045"/>
        <v>3599.8586805549689</v>
      </c>
      <c r="W370" s="577">
        <f t="shared" si="1045"/>
        <v>3680.3964247985878</v>
      </c>
      <c r="X370" s="577">
        <f t="shared" si="1045"/>
        <v>3761.6893993241629</v>
      </c>
      <c r="Y370" s="577">
        <f t="shared" si="1045"/>
        <v>3843.893634175764</v>
      </c>
      <c r="Z370" s="577">
        <f t="shared" si="1045"/>
        <v>3927.2220029013911</v>
      </c>
      <c r="AA370" s="577">
        <f t="shared" si="1045"/>
        <v>4011.8336941202983</v>
      </c>
      <c r="AB370" s="577">
        <f t="shared" si="1045"/>
        <v>4098.0406197007333</v>
      </c>
      <c r="AC370" s="577">
        <f t="shared" si="1045"/>
        <v>4186.0798975926455</v>
      </c>
      <c r="AD370" s="577">
        <f t="shared" si="1045"/>
        <v>4276.3259543695322</v>
      </c>
      <c r="AE370" s="577">
        <f t="shared" si="1045"/>
        <v>4369.2120330095713</v>
      </c>
      <c r="AF370" s="577">
        <f t="shared" si="1045"/>
        <v>4465.1387654261634</v>
      </c>
      <c r="AG370" s="577">
        <f t="shared" si="1045"/>
        <v>4564.6739980457469</v>
      </c>
      <c r="AH370" s="752">
        <f t="shared" si="1045"/>
        <v>4668.4723036542127</v>
      </c>
      <c r="AI370" s="18"/>
      <c r="AJ370" s="18"/>
      <c r="AK370" s="18"/>
      <c r="AL370" s="18"/>
      <c r="AM370" s="18"/>
      <c r="AN370" s="18"/>
    </row>
    <row r="371" spans="2:41" ht="21.95" customHeight="1" x14ac:dyDescent="0.2">
      <c r="B371" s="486" t="s">
        <v>186</v>
      </c>
      <c r="C371" s="116"/>
      <c r="D371" s="240"/>
      <c r="E371" s="1339"/>
      <c r="F371" s="116"/>
      <c r="G371" s="116"/>
      <c r="H371" s="124" t="s">
        <v>19</v>
      </c>
      <c r="I371" s="577">
        <f t="shared" ref="I371:AH371" si="1046">I338*$C$21</f>
        <v>6028.7662239213269</v>
      </c>
      <c r="J371" s="577">
        <f t="shared" si="1046"/>
        <v>6302.9123756152858</v>
      </c>
      <c r="K371" s="577">
        <f t="shared" si="1046"/>
        <v>6689.1659215253048</v>
      </c>
      <c r="L371" s="577">
        <f t="shared" si="1046"/>
        <v>7257.3539395616972</v>
      </c>
      <c r="M371" s="577">
        <f t="shared" si="1046"/>
        <v>7825.8121495477899</v>
      </c>
      <c r="N371" s="577">
        <f t="shared" si="1046"/>
        <v>8394.3937955212677</v>
      </c>
      <c r="O371" s="577">
        <f t="shared" si="1046"/>
        <v>8962.999020112893</v>
      </c>
      <c r="P371" s="577">
        <f t="shared" si="1046"/>
        <v>9532.4344607414259</v>
      </c>
      <c r="Q371" s="577">
        <f t="shared" si="1046"/>
        <v>10095.839926462084</v>
      </c>
      <c r="R371" s="577">
        <f t="shared" si="1046"/>
        <v>10660.534418377534</v>
      </c>
      <c r="S371" s="577">
        <f t="shared" si="1046"/>
        <v>11227.02575909499</v>
      </c>
      <c r="T371" s="577">
        <f t="shared" si="1046"/>
        <v>11796.545826348223</v>
      </c>
      <c r="U371" s="577">
        <f t="shared" si="1046"/>
        <v>12371.187438355135</v>
      </c>
      <c r="V371" s="577">
        <f t="shared" si="1046"/>
        <v>12763.135321967617</v>
      </c>
      <c r="W371" s="577">
        <f t="shared" si="1046"/>
        <v>13048.678233376811</v>
      </c>
      <c r="X371" s="577">
        <f t="shared" si="1046"/>
        <v>13336.898779422032</v>
      </c>
      <c r="Y371" s="577">
        <f t="shared" si="1046"/>
        <v>13628.350157532253</v>
      </c>
      <c r="Z371" s="577">
        <f t="shared" si="1046"/>
        <v>13923.787101195841</v>
      </c>
      <c r="AA371" s="577">
        <f t="shared" si="1046"/>
        <v>14223.774006426513</v>
      </c>
      <c r="AB371" s="577">
        <f t="shared" si="1046"/>
        <v>14529.416742575326</v>
      </c>
      <c r="AC371" s="577">
        <f t="shared" si="1046"/>
        <v>14841.556000555745</v>
      </c>
      <c r="AD371" s="577">
        <f t="shared" si="1046"/>
        <v>15161.519292764708</v>
      </c>
      <c r="AE371" s="577">
        <f t="shared" si="1046"/>
        <v>15490.842662488481</v>
      </c>
      <c r="AF371" s="577">
        <f t="shared" si="1046"/>
        <v>15830.946531965488</v>
      </c>
      <c r="AG371" s="577">
        <f t="shared" si="1046"/>
        <v>16183.844174889466</v>
      </c>
      <c r="AH371" s="752">
        <f t="shared" si="1046"/>
        <v>16551.856349319482</v>
      </c>
      <c r="AI371" s="18"/>
      <c r="AJ371" s="18"/>
      <c r="AK371" s="18"/>
      <c r="AL371" s="18"/>
      <c r="AM371" s="18"/>
      <c r="AN371" s="18"/>
    </row>
    <row r="372" spans="2:41" ht="21.95" customHeight="1" x14ac:dyDescent="0.2">
      <c r="B372" s="199"/>
      <c r="C372" s="116"/>
      <c r="D372" s="240"/>
      <c r="E372" s="1339"/>
      <c r="F372" s="116"/>
      <c r="G372" s="116"/>
      <c r="H372" s="720" t="s">
        <v>25</v>
      </c>
      <c r="I372" s="577">
        <f t="shared" ref="I372:AH372" si="1047">SUM(I370:I371)</f>
        <v>7729.1874665658033</v>
      </c>
      <c r="J372" s="577">
        <f t="shared" si="1047"/>
        <v>8080.6568918144694</v>
      </c>
      <c r="K372" s="577">
        <f t="shared" si="1047"/>
        <v>8575.8537455452624</v>
      </c>
      <c r="L372" s="577">
        <f t="shared" si="1047"/>
        <v>9304.2999225149961</v>
      </c>
      <c r="M372" s="577">
        <f t="shared" si="1047"/>
        <v>10033.092499420243</v>
      </c>
      <c r="N372" s="577">
        <f t="shared" si="1047"/>
        <v>10762.043327591369</v>
      </c>
      <c r="O372" s="577">
        <f t="shared" si="1047"/>
        <v>11491.02438476012</v>
      </c>
      <c r="P372" s="577">
        <f t="shared" si="1047"/>
        <v>12221.069821463367</v>
      </c>
      <c r="Q372" s="577">
        <f t="shared" si="1047"/>
        <v>12943.384521105236</v>
      </c>
      <c r="R372" s="577">
        <f t="shared" si="1047"/>
        <v>13667.351818432737</v>
      </c>
      <c r="S372" s="577">
        <f t="shared" si="1047"/>
        <v>14393.6227680705</v>
      </c>
      <c r="T372" s="577">
        <f t="shared" si="1047"/>
        <v>15123.77670044644</v>
      </c>
      <c r="U372" s="577">
        <f t="shared" si="1047"/>
        <v>15860.496715839916</v>
      </c>
      <c r="V372" s="577">
        <f t="shared" si="1047"/>
        <v>16362.994002522586</v>
      </c>
      <c r="W372" s="577">
        <f t="shared" si="1047"/>
        <v>16729.074658175399</v>
      </c>
      <c r="X372" s="577">
        <f t="shared" si="1047"/>
        <v>17098.588178746195</v>
      </c>
      <c r="Y372" s="577">
        <f t="shared" si="1047"/>
        <v>17472.243791708017</v>
      </c>
      <c r="Z372" s="577">
        <f t="shared" si="1047"/>
        <v>17851.009104097233</v>
      </c>
      <c r="AA372" s="577">
        <f t="shared" si="1047"/>
        <v>18235.607700546811</v>
      </c>
      <c r="AB372" s="577">
        <f t="shared" si="1047"/>
        <v>18627.457362276058</v>
      </c>
      <c r="AC372" s="577">
        <f t="shared" si="1047"/>
        <v>19027.63589814839</v>
      </c>
      <c r="AD372" s="577">
        <f t="shared" si="1047"/>
        <v>19437.845247134239</v>
      </c>
      <c r="AE372" s="577">
        <f t="shared" si="1047"/>
        <v>19860.054695498053</v>
      </c>
      <c r="AF372" s="577">
        <f t="shared" si="1047"/>
        <v>20296.085297391652</v>
      </c>
      <c r="AG372" s="577">
        <f t="shared" si="1047"/>
        <v>20748.518172935212</v>
      </c>
      <c r="AH372" s="752">
        <f t="shared" si="1047"/>
        <v>21220.328652973694</v>
      </c>
      <c r="AI372" s="18"/>
      <c r="AJ372" s="18"/>
      <c r="AK372" s="18"/>
      <c r="AL372" s="18"/>
      <c r="AM372" s="18"/>
      <c r="AN372" s="18"/>
    </row>
    <row r="373" spans="2:41" ht="21.95" customHeight="1" x14ac:dyDescent="0.2">
      <c r="B373" s="197"/>
      <c r="C373" s="715"/>
      <c r="D373" s="715"/>
      <c r="E373" s="1339"/>
      <c r="F373" s="116" t="s">
        <v>282</v>
      </c>
      <c r="G373" s="116" t="s">
        <v>280</v>
      </c>
      <c r="H373" s="116" t="s">
        <v>20</v>
      </c>
      <c r="I373" s="577">
        <f t="shared" ref="I373:AH373" si="1048">I339*$C$20</f>
        <v>54677.558406391247</v>
      </c>
      <c r="J373" s="577">
        <f t="shared" si="1048"/>
        <v>57563.737188583982</v>
      </c>
      <c r="K373" s="577">
        <f t="shared" si="1048"/>
        <v>61896.265100153374</v>
      </c>
      <c r="L373" s="577">
        <f t="shared" si="1048"/>
        <v>69054.339495262087</v>
      </c>
      <c r="M373" s="577">
        <f t="shared" si="1048"/>
        <v>76215.972854242646</v>
      </c>
      <c r="N373" s="577">
        <f t="shared" si="1048"/>
        <v>83377.967179007392</v>
      </c>
      <c r="O373" s="577">
        <f t="shared" si="1048"/>
        <v>90538.82891508071</v>
      </c>
      <c r="P373" s="577">
        <f t="shared" si="1048"/>
        <v>97709.729541016379</v>
      </c>
      <c r="Q373" s="577">
        <f t="shared" si="1048"/>
        <v>104951.40807880393</v>
      </c>
      <c r="R373" s="577">
        <f t="shared" si="1048"/>
        <v>112209.06600744247</v>
      </c>
      <c r="S373" s="577">
        <f t="shared" si="1048"/>
        <v>119488.86060734327</v>
      </c>
      <c r="T373" s="577">
        <f t="shared" si="1048"/>
        <v>126811.64021600127</v>
      </c>
      <c r="U373" s="577">
        <f t="shared" si="1048"/>
        <v>134213.87780185047</v>
      </c>
      <c r="V373" s="577">
        <f t="shared" si="1048"/>
        <v>138769.94738711879</v>
      </c>
      <c r="W373" s="577">
        <f t="shared" si="1048"/>
        <v>141789.74280659828</v>
      </c>
      <c r="X373" s="577">
        <f t="shared" si="1048"/>
        <v>144839.85061616011</v>
      </c>
      <c r="Y373" s="577">
        <f t="shared" si="1048"/>
        <v>147926.32584689293</v>
      </c>
      <c r="Z373" s="577">
        <f t="shared" si="1048"/>
        <v>151058.04548827399</v>
      </c>
      <c r="AA373" s="577">
        <f t="shared" si="1048"/>
        <v>154239.81496906676</v>
      </c>
      <c r="AB373" s="577">
        <f t="shared" si="1048"/>
        <v>157484.91879749988</v>
      </c>
      <c r="AC373" s="577">
        <f t="shared" si="1048"/>
        <v>160801.00510132074</v>
      </c>
      <c r="AD373" s="577">
        <f t="shared" si="1048"/>
        <v>164202.96493904793</v>
      </c>
      <c r="AE373" s="577">
        <f t="shared" si="1048"/>
        <v>167707.93691159738</v>
      </c>
      <c r="AF373" s="577">
        <f t="shared" si="1048"/>
        <v>171329.46623650077</v>
      </c>
      <c r="AG373" s="577">
        <f t="shared" si="1048"/>
        <v>175089.59553673092</v>
      </c>
      <c r="AH373" s="752">
        <f t="shared" si="1048"/>
        <v>179013.66006525926</v>
      </c>
      <c r="AI373" s="18"/>
      <c r="AJ373" s="18"/>
      <c r="AK373" s="18"/>
      <c r="AL373" s="18"/>
      <c r="AM373" s="18"/>
      <c r="AN373" s="18"/>
    </row>
    <row r="374" spans="2:41" ht="21.95" customHeight="1" x14ac:dyDescent="0.2">
      <c r="B374" s="486"/>
      <c r="C374" s="715"/>
      <c r="D374" s="715"/>
      <c r="E374" s="1339"/>
      <c r="F374" s="116"/>
      <c r="G374" s="116"/>
      <c r="H374" s="124" t="s">
        <v>19</v>
      </c>
      <c r="I374" s="577">
        <f t="shared" ref="I374:AH374" si="1049">I339*$C$21</f>
        <v>193856.79798629624</v>
      </c>
      <c r="J374" s="577">
        <f t="shared" si="1049"/>
        <v>204089.61366861596</v>
      </c>
      <c r="K374" s="577">
        <f t="shared" si="1049"/>
        <v>219450.39444599833</v>
      </c>
      <c r="L374" s="577">
        <f t="shared" si="1049"/>
        <v>244829.02184683835</v>
      </c>
      <c r="M374" s="577">
        <f t="shared" si="1049"/>
        <v>270220.2673923148</v>
      </c>
      <c r="N374" s="577">
        <f t="shared" si="1049"/>
        <v>295612.79272557166</v>
      </c>
      <c r="O374" s="577">
        <f t="shared" si="1049"/>
        <v>321001.30251710437</v>
      </c>
      <c r="P374" s="577">
        <f t="shared" si="1049"/>
        <v>346425.40473633079</v>
      </c>
      <c r="Q374" s="577">
        <f t="shared" si="1049"/>
        <v>372100.44682485028</v>
      </c>
      <c r="R374" s="577">
        <f t="shared" si="1049"/>
        <v>397832.14311729604</v>
      </c>
      <c r="S374" s="577">
        <f t="shared" si="1049"/>
        <v>423642.32397148979</v>
      </c>
      <c r="T374" s="577">
        <f t="shared" si="1049"/>
        <v>449604.90622036817</v>
      </c>
      <c r="U374" s="577">
        <f t="shared" si="1049"/>
        <v>475849.20311565173</v>
      </c>
      <c r="V374" s="577">
        <f t="shared" si="1049"/>
        <v>492002.54073614854</v>
      </c>
      <c r="W374" s="577">
        <f t="shared" si="1049"/>
        <v>502709.08813248487</v>
      </c>
      <c r="X374" s="577">
        <f t="shared" si="1049"/>
        <v>513523.10673002223</v>
      </c>
      <c r="Y374" s="577">
        <f t="shared" si="1049"/>
        <v>524466.06436625682</v>
      </c>
      <c r="Z374" s="577">
        <f t="shared" si="1049"/>
        <v>535569.43400388048</v>
      </c>
      <c r="AA374" s="577">
        <f t="shared" si="1049"/>
        <v>546850.25307214574</v>
      </c>
      <c r="AB374" s="577">
        <f t="shared" si="1049"/>
        <v>558355.62119113596</v>
      </c>
      <c r="AC374" s="577">
        <f t="shared" si="1049"/>
        <v>570112.65445013717</v>
      </c>
      <c r="AD374" s="577">
        <f t="shared" si="1049"/>
        <v>582174.14842026087</v>
      </c>
      <c r="AE374" s="577">
        <f t="shared" si="1049"/>
        <v>594600.86723202711</v>
      </c>
      <c r="AF374" s="577">
        <f t="shared" si="1049"/>
        <v>607440.83483850269</v>
      </c>
      <c r="AG374" s="577">
        <f t="shared" si="1049"/>
        <v>620772.20235750056</v>
      </c>
      <c r="AH374" s="752">
        <f t="shared" si="1049"/>
        <v>634684.79477682838</v>
      </c>
      <c r="AI374" s="18"/>
      <c r="AJ374" s="18"/>
      <c r="AK374" s="18"/>
      <c r="AL374" s="18"/>
      <c r="AM374" s="18"/>
      <c r="AN374" s="18"/>
    </row>
    <row r="375" spans="2:41" ht="21.95" customHeight="1" x14ac:dyDescent="0.2">
      <c r="B375" s="486"/>
      <c r="C375" s="715"/>
      <c r="D375" s="715"/>
      <c r="E375" s="1339"/>
      <c r="F375" s="116"/>
      <c r="G375" s="116"/>
      <c r="H375" s="720" t="s">
        <v>25</v>
      </c>
      <c r="I375" s="577">
        <f t="shared" ref="I375:AH375" si="1050">SUM(I373:I374)</f>
        <v>248534.35639268748</v>
      </c>
      <c r="J375" s="577">
        <f t="shared" si="1050"/>
        <v>261653.35085719993</v>
      </c>
      <c r="K375" s="577">
        <f t="shared" si="1050"/>
        <v>281346.6595461517</v>
      </c>
      <c r="L375" s="577">
        <f t="shared" si="1050"/>
        <v>313883.36134210043</v>
      </c>
      <c r="M375" s="577">
        <f t="shared" si="1050"/>
        <v>346436.24024655746</v>
      </c>
      <c r="N375" s="577">
        <f t="shared" si="1050"/>
        <v>378990.75990457903</v>
      </c>
      <c r="O375" s="577">
        <f t="shared" si="1050"/>
        <v>411540.13143218507</v>
      </c>
      <c r="P375" s="577">
        <f t="shared" si="1050"/>
        <v>444135.13427734718</v>
      </c>
      <c r="Q375" s="577">
        <f t="shared" si="1050"/>
        <v>477051.8549036542</v>
      </c>
      <c r="R375" s="577">
        <f t="shared" si="1050"/>
        <v>510041.20912473853</v>
      </c>
      <c r="S375" s="577">
        <f t="shared" si="1050"/>
        <v>543131.18457883305</v>
      </c>
      <c r="T375" s="577">
        <f t="shared" si="1050"/>
        <v>576416.54643636942</v>
      </c>
      <c r="U375" s="577">
        <f t="shared" si="1050"/>
        <v>610063.08091750217</v>
      </c>
      <c r="V375" s="577">
        <f t="shared" si="1050"/>
        <v>630772.48812326731</v>
      </c>
      <c r="W375" s="577">
        <f t="shared" si="1050"/>
        <v>644498.83093908313</v>
      </c>
      <c r="X375" s="577">
        <f t="shared" si="1050"/>
        <v>658362.95734618232</v>
      </c>
      <c r="Y375" s="577">
        <f t="shared" si="1050"/>
        <v>672392.39021314972</v>
      </c>
      <c r="Z375" s="577">
        <f t="shared" si="1050"/>
        <v>686627.47949215444</v>
      </c>
      <c r="AA375" s="577">
        <f t="shared" si="1050"/>
        <v>701090.06804121251</v>
      </c>
      <c r="AB375" s="577">
        <f t="shared" si="1050"/>
        <v>715840.53998863581</v>
      </c>
      <c r="AC375" s="577">
        <f t="shared" si="1050"/>
        <v>730913.65955145797</v>
      </c>
      <c r="AD375" s="577">
        <f t="shared" si="1050"/>
        <v>746377.1133593088</v>
      </c>
      <c r="AE375" s="577">
        <f t="shared" si="1050"/>
        <v>762308.8041436245</v>
      </c>
      <c r="AF375" s="577">
        <f t="shared" si="1050"/>
        <v>778770.30107500346</v>
      </c>
      <c r="AG375" s="577">
        <f t="shared" si="1050"/>
        <v>795861.79789423151</v>
      </c>
      <c r="AH375" s="752">
        <f t="shared" si="1050"/>
        <v>813698.45484208758</v>
      </c>
      <c r="AI375" s="18"/>
      <c r="AJ375" s="18"/>
      <c r="AK375" s="18"/>
      <c r="AL375" s="18"/>
      <c r="AM375" s="18"/>
      <c r="AN375" s="18"/>
    </row>
    <row r="376" spans="2:41" ht="21.95" customHeight="1" x14ac:dyDescent="0.2">
      <c r="B376" s="486"/>
      <c r="C376" s="715"/>
      <c r="D376" s="715"/>
      <c r="E376" s="1339"/>
      <c r="F376" s="116" t="s">
        <v>280</v>
      </c>
      <c r="G376" s="116" t="s">
        <v>333</v>
      </c>
      <c r="H376" s="116" t="s">
        <v>20</v>
      </c>
      <c r="I376" s="577">
        <f t="shared" ref="I376:AH376" si="1051">I340*$C$20</f>
        <v>1275.3135971183387</v>
      </c>
      <c r="J376" s="577">
        <f t="shared" si="1051"/>
        <v>1328.5686407774845</v>
      </c>
      <c r="K376" s="577">
        <f t="shared" si="1051"/>
        <v>1394.4812450225904</v>
      </c>
      <c r="L376" s="577">
        <f t="shared" si="1051"/>
        <v>1483.2221679514394</v>
      </c>
      <c r="M376" s="577">
        <f t="shared" si="1051"/>
        <v>1571.9952691642604</v>
      </c>
      <c r="N376" s="577">
        <f t="shared" si="1051"/>
        <v>1660.7582397871206</v>
      </c>
      <c r="O376" s="577">
        <f t="shared" si="1051"/>
        <v>1749.5007679083753</v>
      </c>
      <c r="P376" s="577">
        <f t="shared" si="1051"/>
        <v>1838.3083612190908</v>
      </c>
      <c r="Q376" s="577">
        <f t="shared" si="1051"/>
        <v>1924.3545952667914</v>
      </c>
      <c r="R376" s="577">
        <f t="shared" si="1051"/>
        <v>2010.4355786130086</v>
      </c>
      <c r="S376" s="577">
        <f t="shared" si="1051"/>
        <v>2096.488917046308</v>
      </c>
      <c r="T376" s="577">
        <f t="shared" si="1051"/>
        <v>2182.5484329747615</v>
      </c>
      <c r="U376" s="577">
        <f t="shared" si="1051"/>
        <v>2268.6806040405345</v>
      </c>
      <c r="V376" s="577">
        <f t="shared" si="1051"/>
        <v>2331.8894984916137</v>
      </c>
      <c r="W376" s="577">
        <f t="shared" si="1051"/>
        <v>2385.17445713095</v>
      </c>
      <c r="X376" s="577">
        <f t="shared" si="1051"/>
        <v>2438.4669168699047</v>
      </c>
      <c r="Y376" s="577">
        <f t="shared" si="1051"/>
        <v>2491.7685258971296</v>
      </c>
      <c r="Z376" s="577">
        <f t="shared" si="1051"/>
        <v>2545.1025275322477</v>
      </c>
      <c r="AA376" s="577">
        <f t="shared" si="1051"/>
        <v>2598.4286942828126</v>
      </c>
      <c r="AB376" s="577">
        <f t="shared" si="1051"/>
        <v>2651.7923481744269</v>
      </c>
      <c r="AC376" s="577">
        <f t="shared" si="1051"/>
        <v>2705.1541526186197</v>
      </c>
      <c r="AD376" s="577">
        <f t="shared" si="1051"/>
        <v>2758.5392017800896</v>
      </c>
      <c r="AE376" s="577">
        <f t="shared" si="1051"/>
        <v>2811.9732766796378</v>
      </c>
      <c r="AF376" s="577">
        <f t="shared" si="1051"/>
        <v>2865.4189434261702</v>
      </c>
      <c r="AG376" s="577">
        <f t="shared" si="1051"/>
        <v>2918.9035658473194</v>
      </c>
      <c r="AH376" s="752">
        <f t="shared" si="1051"/>
        <v>2972.4555407312023</v>
      </c>
      <c r="AI376" s="18"/>
      <c r="AJ376" s="18"/>
      <c r="AK376" s="18"/>
      <c r="AL376" s="18"/>
      <c r="AM376" s="18"/>
      <c r="AN376" s="18"/>
    </row>
    <row r="377" spans="2:41" ht="21.95" customHeight="1" x14ac:dyDescent="0.2">
      <c r="B377" s="486"/>
      <c r="C377" s="715"/>
      <c r="D377" s="715"/>
      <c r="E377" s="1339"/>
      <c r="F377" s="116"/>
      <c r="G377" s="116"/>
      <c r="H377" s="124" t="s">
        <v>19</v>
      </c>
      <c r="I377" s="577">
        <f t="shared" ref="I377:AH377" si="1052">I340*$C$21</f>
        <v>4521.5663897832019</v>
      </c>
      <c r="J377" s="577">
        <f t="shared" si="1052"/>
        <v>4710.3797263928991</v>
      </c>
      <c r="K377" s="577">
        <f t="shared" si="1052"/>
        <v>4944.0698687164577</v>
      </c>
      <c r="L377" s="577">
        <f t="shared" si="1052"/>
        <v>5258.6967772823755</v>
      </c>
      <c r="M377" s="577">
        <f t="shared" si="1052"/>
        <v>5573.4377724914693</v>
      </c>
      <c r="N377" s="577">
        <f t="shared" si="1052"/>
        <v>5888.1428501543369</v>
      </c>
      <c r="O377" s="577">
        <f t="shared" si="1052"/>
        <v>6202.7754498569675</v>
      </c>
      <c r="P377" s="577">
        <f t="shared" si="1052"/>
        <v>6517.6387352313222</v>
      </c>
      <c r="Q377" s="577">
        <f t="shared" si="1052"/>
        <v>6822.7117468549886</v>
      </c>
      <c r="R377" s="577">
        <f t="shared" si="1052"/>
        <v>7127.9079605370307</v>
      </c>
      <c r="S377" s="577">
        <f t="shared" si="1052"/>
        <v>7433.0061604369102</v>
      </c>
      <c r="T377" s="577">
        <f t="shared" si="1052"/>
        <v>7738.1262623650637</v>
      </c>
      <c r="U377" s="577">
        <f t="shared" si="1052"/>
        <v>8043.5039597800769</v>
      </c>
      <c r="V377" s="577">
        <f t="shared" si="1052"/>
        <v>8267.6082219248128</v>
      </c>
      <c r="W377" s="577">
        <f t="shared" si="1052"/>
        <v>8456.5276207370043</v>
      </c>
      <c r="X377" s="577">
        <f t="shared" si="1052"/>
        <v>8645.4736143569353</v>
      </c>
      <c r="Y377" s="577">
        <f t="shared" si="1052"/>
        <v>8834.4520463625522</v>
      </c>
      <c r="Z377" s="577">
        <f t="shared" si="1052"/>
        <v>9023.5453248870599</v>
      </c>
      <c r="AA377" s="577">
        <f t="shared" si="1052"/>
        <v>9212.6108251845162</v>
      </c>
      <c r="AB377" s="577">
        <f t="shared" si="1052"/>
        <v>9401.809234436605</v>
      </c>
      <c r="AC377" s="577">
        <f t="shared" si="1052"/>
        <v>9591.0010865569257</v>
      </c>
      <c r="AD377" s="577">
        <f t="shared" si="1052"/>
        <v>9780.2753517657729</v>
      </c>
      <c r="AE377" s="577">
        <f t="shared" si="1052"/>
        <v>9969.7234355005348</v>
      </c>
      <c r="AF377" s="577">
        <f t="shared" si="1052"/>
        <v>10159.212617601877</v>
      </c>
      <c r="AG377" s="577">
        <f t="shared" si="1052"/>
        <v>10348.839915276862</v>
      </c>
      <c r="AH377" s="752">
        <f t="shared" si="1052"/>
        <v>10538.706008046991</v>
      </c>
      <c r="AI377" s="18"/>
      <c r="AJ377" s="18"/>
      <c r="AK377" s="18"/>
      <c r="AL377" s="18"/>
      <c r="AM377" s="18"/>
      <c r="AN377" s="18"/>
    </row>
    <row r="378" spans="2:41" ht="21.95" customHeight="1" x14ac:dyDescent="0.2">
      <c r="B378" s="232"/>
      <c r="C378" s="715"/>
      <c r="D378" s="715"/>
      <c r="E378" s="1339"/>
      <c r="F378" s="116"/>
      <c r="G378" s="116"/>
      <c r="H378" s="721" t="s">
        <v>25</v>
      </c>
      <c r="I378" s="577">
        <f t="shared" ref="I378:AH378" si="1053">SUM(I376:I377)</f>
        <v>5796.8799869015402</v>
      </c>
      <c r="J378" s="577">
        <f t="shared" si="1053"/>
        <v>6038.9483671703838</v>
      </c>
      <c r="K378" s="577">
        <f t="shared" si="1053"/>
        <v>6338.5511137390477</v>
      </c>
      <c r="L378" s="577">
        <f t="shared" si="1053"/>
        <v>6741.9189452338151</v>
      </c>
      <c r="M378" s="577">
        <f t="shared" si="1053"/>
        <v>7145.4330416557295</v>
      </c>
      <c r="N378" s="577">
        <f t="shared" si="1053"/>
        <v>7548.901089941457</v>
      </c>
      <c r="O378" s="577">
        <f t="shared" si="1053"/>
        <v>7952.2762177653431</v>
      </c>
      <c r="P378" s="577">
        <f t="shared" si="1053"/>
        <v>8355.9470964504126</v>
      </c>
      <c r="Q378" s="577">
        <f t="shared" si="1053"/>
        <v>8747.0663421217796</v>
      </c>
      <c r="R378" s="577">
        <f t="shared" si="1053"/>
        <v>9138.3435391500389</v>
      </c>
      <c r="S378" s="577">
        <f t="shared" si="1053"/>
        <v>9529.4950774832178</v>
      </c>
      <c r="T378" s="577">
        <f t="shared" si="1053"/>
        <v>9920.6746953398251</v>
      </c>
      <c r="U378" s="577">
        <f t="shared" si="1053"/>
        <v>10312.18456382061</v>
      </c>
      <c r="V378" s="577">
        <f t="shared" si="1053"/>
        <v>10599.497720416426</v>
      </c>
      <c r="W378" s="577">
        <f t="shared" si="1053"/>
        <v>10841.702077867954</v>
      </c>
      <c r="X378" s="577">
        <f t="shared" si="1053"/>
        <v>11083.940531226839</v>
      </c>
      <c r="Y378" s="577">
        <f t="shared" si="1053"/>
        <v>11326.220572259681</v>
      </c>
      <c r="Z378" s="577">
        <f t="shared" si="1053"/>
        <v>11568.647852419308</v>
      </c>
      <c r="AA378" s="577">
        <f t="shared" si="1053"/>
        <v>11811.039519467329</v>
      </c>
      <c r="AB378" s="577">
        <f t="shared" si="1053"/>
        <v>12053.601582611032</v>
      </c>
      <c r="AC378" s="577">
        <f t="shared" si="1053"/>
        <v>12296.155239175545</v>
      </c>
      <c r="AD378" s="577">
        <f t="shared" si="1053"/>
        <v>12538.814553545863</v>
      </c>
      <c r="AE378" s="577">
        <f t="shared" si="1053"/>
        <v>12781.696712180172</v>
      </c>
      <c r="AF378" s="577">
        <f t="shared" si="1053"/>
        <v>13024.631561028047</v>
      </c>
      <c r="AG378" s="577">
        <f t="shared" si="1053"/>
        <v>13267.74348112418</v>
      </c>
      <c r="AH378" s="752">
        <f t="shared" si="1053"/>
        <v>13511.161548778193</v>
      </c>
      <c r="AI378" s="18"/>
      <c r="AJ378" s="18"/>
      <c r="AK378" s="18"/>
      <c r="AL378" s="18"/>
      <c r="AM378" s="18"/>
      <c r="AN378" s="18"/>
    </row>
    <row r="379" spans="2:41" ht="21.95" customHeight="1" x14ac:dyDescent="0.2">
      <c r="B379" s="232"/>
      <c r="C379" s="715"/>
      <c r="D379" s="715"/>
      <c r="E379" s="1340" t="s">
        <v>280</v>
      </c>
      <c r="F379" s="220" t="s">
        <v>281</v>
      </c>
      <c r="G379" s="220" t="s">
        <v>335</v>
      </c>
      <c r="H379" s="116" t="s">
        <v>20</v>
      </c>
      <c r="I379" s="583">
        <f t="shared" ref="I379:AH379" si="1054">I341*$D$20</f>
        <v>13152.695652223156</v>
      </c>
      <c r="J379" s="583">
        <f t="shared" si="1054"/>
        <v>14483.156581011686</v>
      </c>
      <c r="K379" s="583">
        <f t="shared" si="1054"/>
        <v>17457.704467196185</v>
      </c>
      <c r="L379" s="583">
        <f t="shared" si="1054"/>
        <v>23432.316494344239</v>
      </c>
      <c r="M379" s="583">
        <f t="shared" si="1054"/>
        <v>29410.611564987958</v>
      </c>
      <c r="N379" s="583">
        <f t="shared" si="1054"/>
        <v>35388.250974855386</v>
      </c>
      <c r="O379" s="583">
        <f t="shared" si="1054"/>
        <v>41362.874992307596</v>
      </c>
      <c r="P379" s="583">
        <f t="shared" si="1054"/>
        <v>47344.902589040612</v>
      </c>
      <c r="Q379" s="583">
        <f t="shared" si="1054"/>
        <v>53214.857022247699</v>
      </c>
      <c r="R379" s="583">
        <f t="shared" si="1054"/>
        <v>59088.10787629892</v>
      </c>
      <c r="S379" s="583">
        <f t="shared" si="1054"/>
        <v>64959.251493305841</v>
      </c>
      <c r="T379" s="583">
        <f t="shared" si="1054"/>
        <v>70832.374134230588</v>
      </c>
      <c r="U379" s="583">
        <f t="shared" si="1054"/>
        <v>76717.154594555599</v>
      </c>
      <c r="V379" s="583">
        <f t="shared" si="1054"/>
        <v>79589.688142193118</v>
      </c>
      <c r="W379" s="583">
        <f t="shared" si="1054"/>
        <v>80924.06354687408</v>
      </c>
      <c r="X379" s="583">
        <f t="shared" si="1054"/>
        <v>82259.138482507784</v>
      </c>
      <c r="Y379" s="583">
        <f t="shared" si="1054"/>
        <v>83595.023575945816</v>
      </c>
      <c r="Z379" s="583">
        <f t="shared" si="1054"/>
        <v>84933.893885426878</v>
      </c>
      <c r="AA379" s="583">
        <f t="shared" si="1054"/>
        <v>86271.79572332211</v>
      </c>
      <c r="AB379" s="583">
        <f t="shared" si="1054"/>
        <v>87612.99182891348</v>
      </c>
      <c r="AC379" s="583">
        <f t="shared" si="1054"/>
        <v>88953.561853336534</v>
      </c>
      <c r="AD379" s="583">
        <f t="shared" si="1054"/>
        <v>90295.76384745595</v>
      </c>
      <c r="AE379" s="583">
        <f t="shared" si="1054"/>
        <v>91641.892294270525</v>
      </c>
      <c r="AF379" s="583">
        <f t="shared" si="1054"/>
        <v>92988.091135003386</v>
      </c>
      <c r="AG379" s="583">
        <f t="shared" si="1054"/>
        <v>94336.713434177742</v>
      </c>
      <c r="AH379" s="753">
        <f t="shared" si="1054"/>
        <v>95690.163055213852</v>
      </c>
      <c r="AI379" s="18"/>
      <c r="AJ379" s="18"/>
      <c r="AK379" s="18"/>
      <c r="AL379" s="18"/>
      <c r="AM379" s="18"/>
      <c r="AN379" s="18"/>
    </row>
    <row r="380" spans="2:41" ht="21.95" customHeight="1" x14ac:dyDescent="0.2">
      <c r="B380" s="232"/>
      <c r="C380" s="715"/>
      <c r="D380" s="715"/>
      <c r="E380" s="1340"/>
      <c r="F380" s="116"/>
      <c r="G380" s="116"/>
      <c r="H380" s="124" t="s">
        <v>19</v>
      </c>
      <c r="I380" s="577">
        <f t="shared" ref="I380:AH380" si="1055">I341*$D$21</f>
        <v>52610.782608892623</v>
      </c>
      <c r="J380" s="577">
        <f t="shared" si="1055"/>
        <v>57932.626324046745</v>
      </c>
      <c r="K380" s="577">
        <f t="shared" si="1055"/>
        <v>69830.817868784739</v>
      </c>
      <c r="L380" s="577">
        <f t="shared" si="1055"/>
        <v>93729.265977376956</v>
      </c>
      <c r="M380" s="577">
        <f t="shared" si="1055"/>
        <v>117642.44625995183</v>
      </c>
      <c r="N380" s="577">
        <f t="shared" si="1055"/>
        <v>141553.00389942154</v>
      </c>
      <c r="O380" s="577">
        <f t="shared" si="1055"/>
        <v>165451.49996923038</v>
      </c>
      <c r="P380" s="577">
        <f t="shared" si="1055"/>
        <v>189379.61035616245</v>
      </c>
      <c r="Q380" s="577">
        <f t="shared" si="1055"/>
        <v>212859.4280889908</v>
      </c>
      <c r="R380" s="577">
        <f t="shared" si="1055"/>
        <v>236352.43150519568</v>
      </c>
      <c r="S380" s="577">
        <f t="shared" si="1055"/>
        <v>259837.00597322336</v>
      </c>
      <c r="T380" s="577">
        <f t="shared" si="1055"/>
        <v>283329.49653692235</v>
      </c>
      <c r="U380" s="577">
        <f t="shared" si="1055"/>
        <v>306868.6183782224</v>
      </c>
      <c r="V380" s="577">
        <f t="shared" si="1055"/>
        <v>318358.75256877247</v>
      </c>
      <c r="W380" s="577">
        <f t="shared" si="1055"/>
        <v>323696.25418749632</v>
      </c>
      <c r="X380" s="577">
        <f t="shared" si="1055"/>
        <v>329036.55393003114</v>
      </c>
      <c r="Y380" s="577">
        <f t="shared" si="1055"/>
        <v>334380.09430378326</v>
      </c>
      <c r="Z380" s="577">
        <f t="shared" si="1055"/>
        <v>339735.57554170751</v>
      </c>
      <c r="AA380" s="577">
        <f t="shared" si="1055"/>
        <v>345087.18289328844</v>
      </c>
      <c r="AB380" s="577">
        <f t="shared" si="1055"/>
        <v>350451.96731565392</v>
      </c>
      <c r="AC380" s="577">
        <f t="shared" si="1055"/>
        <v>355814.24741334614</v>
      </c>
      <c r="AD380" s="577">
        <f t="shared" si="1055"/>
        <v>361183.0553898238</v>
      </c>
      <c r="AE380" s="577">
        <f t="shared" si="1055"/>
        <v>366567.5691770821</v>
      </c>
      <c r="AF380" s="577">
        <f t="shared" si="1055"/>
        <v>371952.36454001354</v>
      </c>
      <c r="AG380" s="577">
        <f t="shared" si="1055"/>
        <v>377346.85373671097</v>
      </c>
      <c r="AH380" s="752">
        <f t="shared" si="1055"/>
        <v>382760.65222085541</v>
      </c>
      <c r="AI380" s="18"/>
      <c r="AJ380" s="18"/>
      <c r="AK380" s="18"/>
      <c r="AL380" s="18"/>
      <c r="AM380" s="18"/>
      <c r="AN380" s="18"/>
    </row>
    <row r="381" spans="2:41" ht="21.95" customHeight="1" x14ac:dyDescent="0.2">
      <c r="B381" s="232"/>
      <c r="C381" s="715"/>
      <c r="D381" s="715"/>
      <c r="E381" s="1340"/>
      <c r="F381" s="116"/>
      <c r="G381" s="116"/>
      <c r="H381" s="720" t="s">
        <v>25</v>
      </c>
      <c r="I381" s="577">
        <f t="shared" ref="I381:AH381" si="1056">SUM(I379:I380)</f>
        <v>65763.478261115786</v>
      </c>
      <c r="J381" s="577">
        <f t="shared" si="1056"/>
        <v>72415.782905058426</v>
      </c>
      <c r="K381" s="577">
        <f t="shared" si="1056"/>
        <v>87288.522335980932</v>
      </c>
      <c r="L381" s="577">
        <f t="shared" si="1056"/>
        <v>117161.58247172119</v>
      </c>
      <c r="M381" s="577">
        <f t="shared" si="1056"/>
        <v>147053.05782493978</v>
      </c>
      <c r="N381" s="577">
        <f t="shared" si="1056"/>
        <v>176941.25487427693</v>
      </c>
      <c r="O381" s="577">
        <f t="shared" si="1056"/>
        <v>206814.37496153798</v>
      </c>
      <c r="P381" s="577">
        <f t="shared" si="1056"/>
        <v>236724.51294520305</v>
      </c>
      <c r="Q381" s="577">
        <f t="shared" si="1056"/>
        <v>266074.28511123848</v>
      </c>
      <c r="R381" s="577">
        <f t="shared" si="1056"/>
        <v>295440.53938149463</v>
      </c>
      <c r="S381" s="577">
        <f t="shared" si="1056"/>
        <v>324796.2574665292</v>
      </c>
      <c r="T381" s="577">
        <f t="shared" si="1056"/>
        <v>354161.87067115295</v>
      </c>
      <c r="U381" s="577">
        <f t="shared" si="1056"/>
        <v>383585.77297277801</v>
      </c>
      <c r="V381" s="577">
        <f t="shared" si="1056"/>
        <v>397948.4407109656</v>
      </c>
      <c r="W381" s="577">
        <f t="shared" si="1056"/>
        <v>404620.31773437042</v>
      </c>
      <c r="X381" s="577">
        <f t="shared" si="1056"/>
        <v>411295.69241253892</v>
      </c>
      <c r="Y381" s="577">
        <f t="shared" si="1056"/>
        <v>417975.11787972908</v>
      </c>
      <c r="Z381" s="577">
        <f t="shared" si="1056"/>
        <v>424669.46942713438</v>
      </c>
      <c r="AA381" s="577">
        <f t="shared" si="1056"/>
        <v>431358.97861661052</v>
      </c>
      <c r="AB381" s="577">
        <f t="shared" si="1056"/>
        <v>438064.95914456737</v>
      </c>
      <c r="AC381" s="577">
        <f t="shared" si="1056"/>
        <v>444767.80926668266</v>
      </c>
      <c r="AD381" s="577">
        <f t="shared" si="1056"/>
        <v>451478.81923727976</v>
      </c>
      <c r="AE381" s="577">
        <f t="shared" si="1056"/>
        <v>458209.46147135261</v>
      </c>
      <c r="AF381" s="577">
        <f t="shared" si="1056"/>
        <v>464940.45567501691</v>
      </c>
      <c r="AG381" s="577">
        <f t="shared" si="1056"/>
        <v>471683.56717088871</v>
      </c>
      <c r="AH381" s="752">
        <f t="shared" si="1056"/>
        <v>478450.81527606928</v>
      </c>
      <c r="AI381" s="18"/>
      <c r="AJ381" s="18"/>
      <c r="AK381" s="18"/>
      <c r="AL381" s="18"/>
      <c r="AM381" s="18"/>
      <c r="AN381" s="18"/>
    </row>
    <row r="382" spans="2:41" ht="21.95" customHeight="1" x14ac:dyDescent="0.2">
      <c r="B382" s="232"/>
      <c r="C382" s="715"/>
      <c r="D382" s="715"/>
      <c r="E382" s="1340"/>
      <c r="F382" s="116" t="s">
        <v>335</v>
      </c>
      <c r="G382" s="116" t="s">
        <v>323</v>
      </c>
      <c r="H382" s="116" t="s">
        <v>20</v>
      </c>
      <c r="I382" s="577">
        <f t="shared" ref="I382:AH382" si="1057">I342*$D$20</f>
        <v>1769.6979844380808</v>
      </c>
      <c r="J382" s="577">
        <f t="shared" si="1057"/>
        <v>1954.3973675424231</v>
      </c>
      <c r="K382" s="577">
        <f t="shared" si="1057"/>
        <v>2209.3750863686755</v>
      </c>
      <c r="L382" s="577">
        <f t="shared" si="1057"/>
        <v>2677.69228635012</v>
      </c>
      <c r="M382" s="577">
        <f t="shared" si="1057"/>
        <v>3146.5293315598901</v>
      </c>
      <c r="N382" s="577">
        <f t="shared" si="1057"/>
        <v>3617.0318010256569</v>
      </c>
      <c r="O382" s="577">
        <f t="shared" si="1057"/>
        <v>4092.6425781171256</v>
      </c>
      <c r="P382" s="577">
        <f t="shared" si="1057"/>
        <v>4584.3405792016874</v>
      </c>
      <c r="Q382" s="577">
        <f t="shared" si="1057"/>
        <v>5376.0377909925483</v>
      </c>
      <c r="R382" s="577">
        <f t="shared" si="1057"/>
        <v>6472.2351756358994</v>
      </c>
      <c r="S382" s="577">
        <f t="shared" si="1057"/>
        <v>8455.7836272038548</v>
      </c>
      <c r="T382" s="577">
        <f t="shared" si="1057"/>
        <v>12755.847775517757</v>
      </c>
      <c r="U382" s="577">
        <f t="shared" si="1057"/>
        <v>18183.778907854481</v>
      </c>
      <c r="V382" s="577">
        <f t="shared" si="1057"/>
        <v>19240.31210786472</v>
      </c>
      <c r="W382" s="577">
        <f t="shared" si="1057"/>
        <v>19664.490545072862</v>
      </c>
      <c r="X382" s="577">
        <f t="shared" si="1057"/>
        <v>20088.595866400596</v>
      </c>
      <c r="Y382" s="577">
        <f t="shared" si="1057"/>
        <v>20512.728558505038</v>
      </c>
      <c r="Z382" s="577">
        <f t="shared" si="1057"/>
        <v>20937.199099895795</v>
      </c>
      <c r="AA382" s="577">
        <f t="shared" si="1057"/>
        <v>21361.405083412752</v>
      </c>
      <c r="AB382" s="577">
        <f t="shared" si="1057"/>
        <v>21785.96370236238</v>
      </c>
      <c r="AC382" s="577">
        <f t="shared" si="1057"/>
        <v>22210.275381860378</v>
      </c>
      <c r="AD382" s="577">
        <f t="shared" si="1057"/>
        <v>22634.655518967396</v>
      </c>
      <c r="AE382" s="577">
        <f t="shared" si="1057"/>
        <v>23059.42199830565</v>
      </c>
      <c r="AF382" s="577">
        <f t="shared" si="1057"/>
        <v>23483.980897901172</v>
      </c>
      <c r="AG382" s="577">
        <f t="shared" si="1057"/>
        <v>23908.653747497268</v>
      </c>
      <c r="AH382" s="752">
        <f t="shared" si="1057"/>
        <v>24333.765952405287</v>
      </c>
      <c r="AI382" s="18"/>
      <c r="AJ382" s="18"/>
      <c r="AK382" s="18"/>
      <c r="AL382" s="18"/>
      <c r="AM382" s="18"/>
      <c r="AN382" s="18"/>
    </row>
    <row r="383" spans="2:41" ht="21.95" customHeight="1" x14ac:dyDescent="0.2">
      <c r="B383" s="232"/>
      <c r="C383" s="715"/>
      <c r="D383" s="715"/>
      <c r="E383" s="1340"/>
      <c r="F383" s="116"/>
      <c r="G383" s="116"/>
      <c r="H383" s="124" t="s">
        <v>19</v>
      </c>
      <c r="I383" s="577">
        <f t="shared" ref="I383:AH383" si="1058">I342*$D$21</f>
        <v>7078.7919377523231</v>
      </c>
      <c r="J383" s="577">
        <f t="shared" si="1058"/>
        <v>7817.5894701696925</v>
      </c>
      <c r="K383" s="577">
        <f t="shared" si="1058"/>
        <v>8837.500345474702</v>
      </c>
      <c r="L383" s="577">
        <f t="shared" si="1058"/>
        <v>10710.76914540048</v>
      </c>
      <c r="M383" s="577">
        <f t="shared" si="1058"/>
        <v>12586.11732623956</v>
      </c>
      <c r="N383" s="577">
        <f t="shared" si="1058"/>
        <v>14468.127204102628</v>
      </c>
      <c r="O383" s="577">
        <f t="shared" si="1058"/>
        <v>16370.570312468502</v>
      </c>
      <c r="P383" s="577">
        <f t="shared" si="1058"/>
        <v>18337.36231680675</v>
      </c>
      <c r="Q383" s="577">
        <f t="shared" si="1058"/>
        <v>21504.151163970193</v>
      </c>
      <c r="R383" s="577">
        <f t="shared" si="1058"/>
        <v>25888.940702543598</v>
      </c>
      <c r="S383" s="577">
        <f t="shared" si="1058"/>
        <v>33823.134508815419</v>
      </c>
      <c r="T383" s="577">
        <f t="shared" si="1058"/>
        <v>51023.391102071029</v>
      </c>
      <c r="U383" s="577">
        <f t="shared" si="1058"/>
        <v>72735.115631417924</v>
      </c>
      <c r="V383" s="577">
        <f t="shared" si="1058"/>
        <v>76961.24843145888</v>
      </c>
      <c r="W383" s="577">
        <f t="shared" si="1058"/>
        <v>78657.962180291448</v>
      </c>
      <c r="X383" s="577">
        <f t="shared" si="1058"/>
        <v>80354.383465602383</v>
      </c>
      <c r="Y383" s="577">
        <f t="shared" si="1058"/>
        <v>82050.914234020151</v>
      </c>
      <c r="Z383" s="577">
        <f t="shared" si="1058"/>
        <v>83748.796399583181</v>
      </c>
      <c r="AA383" s="577">
        <f t="shared" si="1058"/>
        <v>85445.620333651008</v>
      </c>
      <c r="AB383" s="577">
        <f t="shared" si="1058"/>
        <v>87143.85480944952</v>
      </c>
      <c r="AC383" s="577">
        <f t="shared" si="1058"/>
        <v>88841.101527441511</v>
      </c>
      <c r="AD383" s="577">
        <f t="shared" si="1058"/>
        <v>90538.622075869585</v>
      </c>
      <c r="AE383" s="577">
        <f t="shared" si="1058"/>
        <v>92237.6879932226</v>
      </c>
      <c r="AF383" s="577">
        <f t="shared" si="1058"/>
        <v>93935.923591604689</v>
      </c>
      <c r="AG383" s="577">
        <f t="shared" si="1058"/>
        <v>95634.614989989073</v>
      </c>
      <c r="AH383" s="752">
        <f t="shared" si="1058"/>
        <v>97335.063809621148</v>
      </c>
      <c r="AI383" s="18"/>
      <c r="AJ383" s="18"/>
      <c r="AK383" s="18"/>
      <c r="AL383" s="18"/>
      <c r="AM383" s="18"/>
      <c r="AN383" s="18"/>
    </row>
    <row r="384" spans="2:41" ht="21.95" customHeight="1" x14ac:dyDescent="0.2">
      <c r="B384" s="232"/>
      <c r="C384" s="715"/>
      <c r="D384" s="715"/>
      <c r="E384" s="1340"/>
      <c r="F384" s="116"/>
      <c r="G384" s="116"/>
      <c r="H384" s="720" t="s">
        <v>25</v>
      </c>
      <c r="I384" s="577">
        <f t="shared" ref="I384:AH384" si="1059">SUM(I382:I383)</f>
        <v>8848.4899221904034</v>
      </c>
      <c r="J384" s="577">
        <f t="shared" si="1059"/>
        <v>9771.9868377121165</v>
      </c>
      <c r="K384" s="577">
        <f t="shared" si="1059"/>
        <v>11046.875431843378</v>
      </c>
      <c r="L384" s="577">
        <f t="shared" si="1059"/>
        <v>13388.4614317506</v>
      </c>
      <c r="M384" s="577">
        <f t="shared" si="1059"/>
        <v>15732.646657799451</v>
      </c>
      <c r="N384" s="577">
        <f t="shared" si="1059"/>
        <v>18085.159005128284</v>
      </c>
      <c r="O384" s="577">
        <f t="shared" si="1059"/>
        <v>20463.21289058563</v>
      </c>
      <c r="P384" s="577">
        <f t="shared" si="1059"/>
        <v>22921.702896008435</v>
      </c>
      <c r="Q384" s="577">
        <f t="shared" si="1059"/>
        <v>26880.188954962741</v>
      </c>
      <c r="R384" s="577">
        <f t="shared" si="1059"/>
        <v>32361.175878179496</v>
      </c>
      <c r="S384" s="577">
        <f t="shared" si="1059"/>
        <v>42278.918136019274</v>
      </c>
      <c r="T384" s="577">
        <f t="shared" si="1059"/>
        <v>63779.238877588788</v>
      </c>
      <c r="U384" s="577">
        <f t="shared" si="1059"/>
        <v>90918.894539272413</v>
      </c>
      <c r="V384" s="577">
        <f t="shared" si="1059"/>
        <v>96201.560539323604</v>
      </c>
      <c r="W384" s="577">
        <f t="shared" si="1059"/>
        <v>98322.452725364303</v>
      </c>
      <c r="X384" s="577">
        <f t="shared" si="1059"/>
        <v>100442.97933200299</v>
      </c>
      <c r="Y384" s="577">
        <f t="shared" si="1059"/>
        <v>102563.64279252519</v>
      </c>
      <c r="Z384" s="577">
        <f t="shared" si="1059"/>
        <v>104685.99549947897</v>
      </c>
      <c r="AA384" s="577">
        <f t="shared" si="1059"/>
        <v>106807.02541706376</v>
      </c>
      <c r="AB384" s="577">
        <f t="shared" si="1059"/>
        <v>108929.8185118119</v>
      </c>
      <c r="AC384" s="577">
        <f t="shared" si="1059"/>
        <v>111051.37690930189</v>
      </c>
      <c r="AD384" s="577">
        <f t="shared" si="1059"/>
        <v>113173.27759483698</v>
      </c>
      <c r="AE384" s="577">
        <f t="shared" si="1059"/>
        <v>115297.10999152825</v>
      </c>
      <c r="AF384" s="577">
        <f t="shared" si="1059"/>
        <v>117419.90448950586</v>
      </c>
      <c r="AG384" s="577">
        <f t="shared" si="1059"/>
        <v>119543.26873748635</v>
      </c>
      <c r="AH384" s="752">
        <f t="shared" si="1059"/>
        <v>121668.82976202643</v>
      </c>
      <c r="AI384" s="18"/>
      <c r="AJ384" s="18"/>
      <c r="AK384" s="18"/>
      <c r="AL384" s="18"/>
      <c r="AM384" s="18"/>
      <c r="AN384" s="18"/>
    </row>
    <row r="385" spans="2:40" ht="21.95" customHeight="1" x14ac:dyDescent="0.2">
      <c r="B385" s="232"/>
      <c r="C385" s="715"/>
      <c r="D385" s="715"/>
      <c r="E385" s="1340"/>
      <c r="F385" s="116" t="s">
        <v>323</v>
      </c>
      <c r="G385" s="116" t="s">
        <v>338</v>
      </c>
      <c r="H385" s="116" t="s">
        <v>20</v>
      </c>
      <c r="I385" s="577">
        <f t="shared" ref="I385:AH385" si="1060">I343*$D$20</f>
        <v>25111.892976788306</v>
      </c>
      <c r="J385" s="577">
        <f t="shared" si="1060"/>
        <v>25859.768391897029</v>
      </c>
      <c r="K385" s="577">
        <f t="shared" si="1060"/>
        <v>26952.742857365054</v>
      </c>
      <c r="L385" s="577">
        <f t="shared" si="1060"/>
        <v>28563.950603370744</v>
      </c>
      <c r="M385" s="577">
        <f t="shared" si="1060"/>
        <v>30312.809155462881</v>
      </c>
      <c r="N385" s="577">
        <f t="shared" si="1060"/>
        <v>32273.457738607809</v>
      </c>
      <c r="O385" s="577">
        <f t="shared" si="1060"/>
        <v>34554.671480868274</v>
      </c>
      <c r="P385" s="577">
        <f t="shared" si="1060"/>
        <v>37316.438183099046</v>
      </c>
      <c r="Q385" s="577">
        <f t="shared" si="1060"/>
        <v>40816.489587918652</v>
      </c>
      <c r="R385" s="577">
        <f t="shared" si="1060"/>
        <v>45351.951391597468</v>
      </c>
      <c r="S385" s="577">
        <f t="shared" si="1060"/>
        <v>51359.88217567448</v>
      </c>
      <c r="T385" s="577">
        <f t="shared" si="1060"/>
        <v>59442.127002979978</v>
      </c>
      <c r="U385" s="577">
        <f t="shared" si="1060"/>
        <v>70415.838811656504</v>
      </c>
      <c r="V385" s="577">
        <f t="shared" si="1060"/>
        <v>80607.367482020083</v>
      </c>
      <c r="W385" s="577">
        <f t="shared" si="1060"/>
        <v>89099.587605749985</v>
      </c>
      <c r="X385" s="577">
        <f t="shared" si="1060"/>
        <v>95506.187871016038</v>
      </c>
      <c r="Y385" s="577">
        <f t="shared" si="1060"/>
        <v>97054.503461049157</v>
      </c>
      <c r="Z385" s="577">
        <f t="shared" si="1060"/>
        <v>98603.580974448472</v>
      </c>
      <c r="AA385" s="577">
        <f t="shared" si="1060"/>
        <v>100151.95006281752</v>
      </c>
      <c r="AB385" s="577">
        <f t="shared" si="1060"/>
        <v>101701.0892268102</v>
      </c>
      <c r="AC385" s="577">
        <f t="shared" si="1060"/>
        <v>103249.52933127224</v>
      </c>
      <c r="AD385" s="577">
        <f t="shared" si="1060"/>
        <v>104798.01290566109</v>
      </c>
      <c r="AE385" s="577">
        <f t="shared" si="1060"/>
        <v>106347.28354690061</v>
      </c>
      <c r="AF385" s="577">
        <f t="shared" si="1060"/>
        <v>107895.87428373814</v>
      </c>
      <c r="AG385" s="577">
        <f t="shared" si="1060"/>
        <v>109444.52994727265</v>
      </c>
      <c r="AH385" s="752">
        <f t="shared" si="1060"/>
        <v>110993.99689606029</v>
      </c>
      <c r="AI385" s="18"/>
      <c r="AJ385" s="18"/>
      <c r="AK385" s="18"/>
      <c r="AL385" s="18"/>
      <c r="AM385" s="18"/>
      <c r="AN385" s="18"/>
    </row>
    <row r="386" spans="2:40" ht="21.95" customHeight="1" x14ac:dyDescent="0.2">
      <c r="B386" s="232"/>
      <c r="C386" s="715"/>
      <c r="D386" s="715"/>
      <c r="E386" s="1340"/>
      <c r="F386" s="116"/>
      <c r="G386" s="116"/>
      <c r="H386" s="116" t="s">
        <v>19</v>
      </c>
      <c r="I386" s="577">
        <f t="shared" ref="I386:AH386" si="1061">I343*$D$21</f>
        <v>100447.57190715322</v>
      </c>
      <c r="J386" s="577">
        <f t="shared" si="1061"/>
        <v>103439.07356758812</v>
      </c>
      <c r="K386" s="577">
        <f t="shared" si="1061"/>
        <v>107810.97142946022</v>
      </c>
      <c r="L386" s="577">
        <f t="shared" si="1061"/>
        <v>114255.80241348298</v>
      </c>
      <c r="M386" s="577">
        <f t="shared" si="1061"/>
        <v>121251.23662185152</v>
      </c>
      <c r="N386" s="577">
        <f t="shared" si="1061"/>
        <v>129093.83095443124</v>
      </c>
      <c r="O386" s="577">
        <f t="shared" si="1061"/>
        <v>138218.68592347309</v>
      </c>
      <c r="P386" s="577">
        <f t="shared" si="1061"/>
        <v>149265.75273239618</v>
      </c>
      <c r="Q386" s="577">
        <f t="shared" si="1061"/>
        <v>163265.95835167461</v>
      </c>
      <c r="R386" s="577">
        <f t="shared" si="1061"/>
        <v>181407.80556638987</v>
      </c>
      <c r="S386" s="577">
        <f t="shared" si="1061"/>
        <v>205439.52870269792</v>
      </c>
      <c r="T386" s="577">
        <f t="shared" si="1061"/>
        <v>237768.50801191991</v>
      </c>
      <c r="U386" s="577">
        <f t="shared" si="1061"/>
        <v>281663.35524662602</v>
      </c>
      <c r="V386" s="577">
        <f t="shared" si="1061"/>
        <v>322429.46992808033</v>
      </c>
      <c r="W386" s="577">
        <f t="shared" si="1061"/>
        <v>356398.35042299994</v>
      </c>
      <c r="X386" s="577">
        <f t="shared" si="1061"/>
        <v>382024.75148406415</v>
      </c>
      <c r="Y386" s="577">
        <f t="shared" si="1061"/>
        <v>388218.01384419663</v>
      </c>
      <c r="Z386" s="577">
        <f t="shared" si="1061"/>
        <v>394414.32389779389</v>
      </c>
      <c r="AA386" s="577">
        <f t="shared" si="1061"/>
        <v>400607.80025127006</v>
      </c>
      <c r="AB386" s="577">
        <f t="shared" si="1061"/>
        <v>406804.35690724081</v>
      </c>
      <c r="AC386" s="577">
        <f t="shared" si="1061"/>
        <v>412998.11732508894</v>
      </c>
      <c r="AD386" s="577">
        <f t="shared" si="1061"/>
        <v>419192.05162264436</v>
      </c>
      <c r="AE386" s="577">
        <f t="shared" si="1061"/>
        <v>425389.13418760244</v>
      </c>
      <c r="AF386" s="577">
        <f t="shared" si="1061"/>
        <v>431583.49713495257</v>
      </c>
      <c r="AG386" s="577">
        <f t="shared" si="1061"/>
        <v>437778.11978909059</v>
      </c>
      <c r="AH386" s="752">
        <f t="shared" si="1061"/>
        <v>443975.98758424114</v>
      </c>
      <c r="AI386" s="18"/>
      <c r="AJ386" s="18"/>
      <c r="AK386" s="18"/>
      <c r="AL386" s="18"/>
      <c r="AM386" s="18"/>
      <c r="AN386" s="18"/>
    </row>
    <row r="387" spans="2:40" ht="21.95" customHeight="1" x14ac:dyDescent="0.2">
      <c r="B387" s="232"/>
      <c r="C387" s="715"/>
      <c r="D387" s="715"/>
      <c r="E387" s="1333"/>
      <c r="F387" s="254"/>
      <c r="G387" s="254"/>
      <c r="H387" s="721" t="s">
        <v>25</v>
      </c>
      <c r="I387" s="587">
        <f t="shared" ref="I387:AH387" si="1062">SUM(I385:I386)</f>
        <v>125559.46488394153</v>
      </c>
      <c r="J387" s="587">
        <f t="shared" si="1062"/>
        <v>129298.84195948514</v>
      </c>
      <c r="K387" s="587">
        <f t="shared" si="1062"/>
        <v>134763.71428682527</v>
      </c>
      <c r="L387" s="587">
        <f t="shared" si="1062"/>
        <v>142819.75301685371</v>
      </c>
      <c r="M387" s="587">
        <f t="shared" si="1062"/>
        <v>151564.0457773144</v>
      </c>
      <c r="N387" s="587">
        <f t="shared" si="1062"/>
        <v>161367.28869303904</v>
      </c>
      <c r="O387" s="587">
        <f t="shared" si="1062"/>
        <v>172773.35740434137</v>
      </c>
      <c r="P387" s="587">
        <f t="shared" si="1062"/>
        <v>186582.19091549522</v>
      </c>
      <c r="Q387" s="587">
        <f t="shared" si="1062"/>
        <v>204082.44793959326</v>
      </c>
      <c r="R387" s="587">
        <f t="shared" si="1062"/>
        <v>226759.75695798732</v>
      </c>
      <c r="S387" s="587">
        <f t="shared" si="1062"/>
        <v>256799.41087837241</v>
      </c>
      <c r="T387" s="587">
        <f t="shared" si="1062"/>
        <v>297210.63501489989</v>
      </c>
      <c r="U387" s="587">
        <f t="shared" si="1062"/>
        <v>352079.19405828253</v>
      </c>
      <c r="V387" s="587">
        <f t="shared" si="1062"/>
        <v>403036.83741010039</v>
      </c>
      <c r="W387" s="587">
        <f t="shared" si="1062"/>
        <v>445497.93802874989</v>
      </c>
      <c r="X387" s="587">
        <f t="shared" si="1062"/>
        <v>477530.93935508019</v>
      </c>
      <c r="Y387" s="587">
        <f t="shared" si="1062"/>
        <v>485272.5173052458</v>
      </c>
      <c r="Z387" s="587">
        <f t="shared" si="1062"/>
        <v>493017.90487224236</v>
      </c>
      <c r="AA387" s="587">
        <f t="shared" si="1062"/>
        <v>500759.75031408761</v>
      </c>
      <c r="AB387" s="587">
        <f t="shared" si="1062"/>
        <v>508505.44613405102</v>
      </c>
      <c r="AC387" s="587">
        <f t="shared" si="1062"/>
        <v>516247.64665636118</v>
      </c>
      <c r="AD387" s="587">
        <f t="shared" si="1062"/>
        <v>523990.06452830543</v>
      </c>
      <c r="AE387" s="587">
        <f t="shared" si="1062"/>
        <v>531736.41773450305</v>
      </c>
      <c r="AF387" s="587">
        <f t="shared" si="1062"/>
        <v>539479.37141869077</v>
      </c>
      <c r="AG387" s="587">
        <f t="shared" si="1062"/>
        <v>547222.64973636321</v>
      </c>
      <c r="AH387" s="754">
        <f t="shared" si="1062"/>
        <v>554969.98448030138</v>
      </c>
      <c r="AI387" s="18"/>
      <c r="AJ387" s="18"/>
      <c r="AK387" s="18"/>
      <c r="AL387" s="18"/>
      <c r="AM387" s="18"/>
      <c r="AN387" s="18"/>
    </row>
    <row r="388" spans="2:40" ht="21.95" customHeight="1" x14ac:dyDescent="0.2">
      <c r="B388" s="232"/>
      <c r="C388" s="715"/>
      <c r="D388" s="715"/>
      <c r="E388" s="116" t="s">
        <v>339</v>
      </c>
      <c r="F388" s="116" t="s">
        <v>335</v>
      </c>
      <c r="G388" s="116" t="s">
        <v>323</v>
      </c>
      <c r="H388" s="116" t="s">
        <v>20</v>
      </c>
      <c r="I388" s="577">
        <f t="shared" ref="I388:AH388" si="1063">I344*$E$20</f>
        <v>79.421296296296291</v>
      </c>
      <c r="J388" s="577">
        <f t="shared" si="1063"/>
        <v>601.93400462962961</v>
      </c>
      <c r="K388" s="577">
        <f t="shared" si="1063"/>
        <v>3487.3096991817847</v>
      </c>
      <c r="L388" s="577">
        <f t="shared" si="1063"/>
        <v>8032.115000637461</v>
      </c>
      <c r="M388" s="577">
        <f t="shared" si="1063"/>
        <v>12579.922351064115</v>
      </c>
      <c r="N388" s="577">
        <f t="shared" si="1063"/>
        <v>17131.99973280988</v>
      </c>
      <c r="O388" s="577">
        <f t="shared" si="1063"/>
        <v>21730.009052651545</v>
      </c>
      <c r="P388" s="577">
        <f t="shared" si="1063"/>
        <v>26691.524285535783</v>
      </c>
      <c r="Q388" s="577">
        <f t="shared" si="1063"/>
        <v>30080.708132013267</v>
      </c>
      <c r="R388" s="577">
        <f t="shared" si="1063"/>
        <v>34655.175070891644</v>
      </c>
      <c r="S388" s="577">
        <f t="shared" si="1063"/>
        <v>41757.406181505314</v>
      </c>
      <c r="T388" s="577">
        <f t="shared" si="1063"/>
        <v>53946.403899204255</v>
      </c>
      <c r="U388" s="577">
        <f t="shared" si="1063"/>
        <v>75948.00391155429</v>
      </c>
      <c r="V388" s="577">
        <f t="shared" si="1063"/>
        <v>83352.042456208117</v>
      </c>
      <c r="W388" s="577">
        <f t="shared" si="1063"/>
        <v>84443.705243924705</v>
      </c>
      <c r="X388" s="577">
        <f t="shared" si="1063"/>
        <v>85535.324982010919</v>
      </c>
      <c r="Y388" s="577">
        <f t="shared" si="1063"/>
        <v>86626.960097161646</v>
      </c>
      <c r="Z388" s="577">
        <f t="shared" si="1063"/>
        <v>87722.926131067055</v>
      </c>
      <c r="AA388" s="577">
        <f t="shared" si="1063"/>
        <v>88814.598479895329</v>
      </c>
      <c r="AB388" s="577">
        <f t="shared" si="1063"/>
        <v>89910.605607528531</v>
      </c>
      <c r="AC388" s="577">
        <f t="shared" si="1063"/>
        <v>91002.324070452276</v>
      </c>
      <c r="AD388" s="577">
        <f t="shared" si="1063"/>
        <v>92094.06884625183</v>
      </c>
      <c r="AE388" s="577">
        <f t="shared" si="1063"/>
        <v>93190.157445478209</v>
      </c>
      <c r="AF388" s="577">
        <f t="shared" si="1063"/>
        <v>94281.967020141834</v>
      </c>
      <c r="AG388" s="577">
        <f t="shared" si="1063"/>
        <v>95373.812862242805</v>
      </c>
      <c r="AH388" s="752">
        <f t="shared" si="1063"/>
        <v>96470.013852338379</v>
      </c>
      <c r="AI388" s="18"/>
      <c r="AJ388" s="18"/>
      <c r="AK388" s="18"/>
      <c r="AL388" s="18"/>
      <c r="AM388" s="18"/>
      <c r="AN388" s="18"/>
    </row>
    <row r="389" spans="2:40" ht="21.95" customHeight="1" x14ac:dyDescent="0.2">
      <c r="B389" s="232"/>
      <c r="C389" s="715"/>
      <c r="D389" s="715"/>
      <c r="E389" s="116"/>
      <c r="F389" s="116"/>
      <c r="G389" s="116"/>
      <c r="H389" s="124" t="s">
        <v>19</v>
      </c>
      <c r="I389" s="577">
        <f t="shared" ref="I389:AH389" si="1064">I344*$E$21</f>
        <v>317.68518518518516</v>
      </c>
      <c r="J389" s="577">
        <f t="shared" si="1064"/>
        <v>2407.7360185185184</v>
      </c>
      <c r="K389" s="577">
        <f t="shared" si="1064"/>
        <v>13949.238796727139</v>
      </c>
      <c r="L389" s="577">
        <f t="shared" si="1064"/>
        <v>32128.460002549844</v>
      </c>
      <c r="M389" s="577">
        <f t="shared" si="1064"/>
        <v>50319.68940425646</v>
      </c>
      <c r="N389" s="577">
        <f t="shared" si="1064"/>
        <v>68527.998931239519</v>
      </c>
      <c r="O389" s="577">
        <f t="shared" si="1064"/>
        <v>86920.03621060618</v>
      </c>
      <c r="P389" s="577">
        <f t="shared" si="1064"/>
        <v>106766.09714214313</v>
      </c>
      <c r="Q389" s="577">
        <f t="shared" si="1064"/>
        <v>120322.83252805307</v>
      </c>
      <c r="R389" s="577">
        <f t="shared" si="1064"/>
        <v>138620.70028356658</v>
      </c>
      <c r="S389" s="577">
        <f t="shared" si="1064"/>
        <v>167029.62472602125</v>
      </c>
      <c r="T389" s="577">
        <f t="shared" si="1064"/>
        <v>215785.61559681702</v>
      </c>
      <c r="U389" s="577">
        <f t="shared" si="1064"/>
        <v>303792.01564621716</v>
      </c>
      <c r="V389" s="577">
        <f t="shared" si="1064"/>
        <v>333408.16982483247</v>
      </c>
      <c r="W389" s="577">
        <f t="shared" si="1064"/>
        <v>337774.82097569882</v>
      </c>
      <c r="X389" s="577">
        <f t="shared" si="1064"/>
        <v>342141.29992804368</v>
      </c>
      <c r="Y389" s="577">
        <f t="shared" si="1064"/>
        <v>346507.84038864658</v>
      </c>
      <c r="Z389" s="577">
        <f t="shared" si="1064"/>
        <v>350891.70452426822</v>
      </c>
      <c r="AA389" s="577">
        <f t="shared" si="1064"/>
        <v>355258.39391958131</v>
      </c>
      <c r="AB389" s="577">
        <f t="shared" si="1064"/>
        <v>359642.42243011412</v>
      </c>
      <c r="AC389" s="577">
        <f t="shared" si="1064"/>
        <v>364009.2962818091</v>
      </c>
      <c r="AD389" s="577">
        <f t="shared" si="1064"/>
        <v>368376.27538500732</v>
      </c>
      <c r="AE389" s="577">
        <f t="shared" si="1064"/>
        <v>372760.62978191284</v>
      </c>
      <c r="AF389" s="577">
        <f t="shared" si="1064"/>
        <v>377127.86808056734</v>
      </c>
      <c r="AG389" s="577">
        <f t="shared" si="1064"/>
        <v>381495.25144897122</v>
      </c>
      <c r="AH389" s="752">
        <f t="shared" si="1064"/>
        <v>385880.05540935352</v>
      </c>
      <c r="AI389" s="18"/>
      <c r="AJ389" s="18"/>
      <c r="AK389" s="18"/>
      <c r="AL389" s="18"/>
      <c r="AM389" s="18"/>
      <c r="AN389" s="18"/>
    </row>
    <row r="390" spans="2:40" ht="21.95" customHeight="1" x14ac:dyDescent="0.2">
      <c r="B390" s="232"/>
      <c r="C390" s="715"/>
      <c r="D390" s="715"/>
      <c r="E390" s="116"/>
      <c r="F390" s="116"/>
      <c r="G390" s="116"/>
      <c r="H390" s="721" t="s">
        <v>25</v>
      </c>
      <c r="I390" s="577">
        <f t="shared" ref="I390:AH390" si="1065">SUM(I388:I389)</f>
        <v>397.10648148148147</v>
      </c>
      <c r="J390" s="577">
        <f t="shared" si="1065"/>
        <v>3009.6700231481482</v>
      </c>
      <c r="K390" s="577">
        <f t="shared" si="1065"/>
        <v>17436.548495908923</v>
      </c>
      <c r="L390" s="577">
        <f t="shared" si="1065"/>
        <v>40160.575003187303</v>
      </c>
      <c r="M390" s="577">
        <f t="shared" si="1065"/>
        <v>62899.611755320577</v>
      </c>
      <c r="N390" s="577">
        <f t="shared" si="1065"/>
        <v>85659.998664049403</v>
      </c>
      <c r="O390" s="577">
        <f t="shared" si="1065"/>
        <v>108650.04526325772</v>
      </c>
      <c r="P390" s="577">
        <f t="shared" si="1065"/>
        <v>133457.62142767891</v>
      </c>
      <c r="Q390" s="577">
        <f t="shared" si="1065"/>
        <v>150403.54066006633</v>
      </c>
      <c r="R390" s="577">
        <f t="shared" si="1065"/>
        <v>173275.87535445823</v>
      </c>
      <c r="S390" s="577">
        <f t="shared" si="1065"/>
        <v>208787.03090752655</v>
      </c>
      <c r="T390" s="577">
        <f t="shared" si="1065"/>
        <v>269732.01949602127</v>
      </c>
      <c r="U390" s="577">
        <f t="shared" si="1065"/>
        <v>379740.01955777145</v>
      </c>
      <c r="V390" s="577">
        <f t="shared" si="1065"/>
        <v>416760.21228104061</v>
      </c>
      <c r="W390" s="577">
        <f t="shared" si="1065"/>
        <v>422218.52621962351</v>
      </c>
      <c r="X390" s="577">
        <f t="shared" si="1065"/>
        <v>427676.62491005461</v>
      </c>
      <c r="Y390" s="577">
        <f t="shared" si="1065"/>
        <v>433134.80048580823</v>
      </c>
      <c r="Z390" s="577">
        <f t="shared" si="1065"/>
        <v>438614.63065533526</v>
      </c>
      <c r="AA390" s="577">
        <f t="shared" si="1065"/>
        <v>444072.99239947664</v>
      </c>
      <c r="AB390" s="577">
        <f t="shared" si="1065"/>
        <v>449553.02803764265</v>
      </c>
      <c r="AC390" s="577">
        <f t="shared" si="1065"/>
        <v>455011.62035226135</v>
      </c>
      <c r="AD390" s="577">
        <f t="shared" si="1065"/>
        <v>460470.34423125914</v>
      </c>
      <c r="AE390" s="577">
        <f t="shared" si="1065"/>
        <v>465950.78722739103</v>
      </c>
      <c r="AF390" s="577">
        <f t="shared" si="1065"/>
        <v>471409.83510070917</v>
      </c>
      <c r="AG390" s="577">
        <f t="shared" si="1065"/>
        <v>476869.06431121402</v>
      </c>
      <c r="AH390" s="752">
        <f t="shared" si="1065"/>
        <v>482350.06926169188</v>
      </c>
      <c r="AI390" s="18"/>
      <c r="AJ390" s="18"/>
      <c r="AK390" s="18"/>
      <c r="AL390" s="18"/>
      <c r="AM390" s="18"/>
      <c r="AN390" s="18"/>
    </row>
    <row r="391" spans="2:40" ht="21.95" customHeight="1" x14ac:dyDescent="0.2">
      <c r="B391" s="232"/>
      <c r="C391" s="715"/>
      <c r="D391" s="715"/>
      <c r="E391" s="1340" t="s">
        <v>323</v>
      </c>
      <c r="F391" s="220" t="s">
        <v>282</v>
      </c>
      <c r="G391" s="220" t="s">
        <v>339</v>
      </c>
      <c r="H391" s="116" t="s">
        <v>20</v>
      </c>
      <c r="I391" s="583">
        <f t="shared" ref="I391:AH391" si="1066">I345*$F$20</f>
        <v>239.78102189781021</v>
      </c>
      <c r="J391" s="583">
        <f t="shared" si="1066"/>
        <v>532.91332116788317</v>
      </c>
      <c r="K391" s="583">
        <f t="shared" si="1066"/>
        <v>2252.3830291970803</v>
      </c>
      <c r="L391" s="583">
        <f t="shared" si="1066"/>
        <v>5063.2160583943869</v>
      </c>
      <c r="M391" s="583">
        <f t="shared" si="1066"/>
        <v>7875.6076642626722</v>
      </c>
      <c r="N391" s="583">
        <f t="shared" si="1066"/>
        <v>10688.119161420667</v>
      </c>
      <c r="O391" s="583">
        <f t="shared" si="1066"/>
        <v>13498.952200694708</v>
      </c>
      <c r="P391" s="583">
        <f t="shared" si="1066"/>
        <v>16313.02235038298</v>
      </c>
      <c r="Q391" s="583">
        <f t="shared" si="1066"/>
        <v>18483.040857031498</v>
      </c>
      <c r="R391" s="583">
        <f t="shared" si="1066"/>
        <v>20653.419604429204</v>
      </c>
      <c r="S391" s="583">
        <f t="shared" si="1066"/>
        <v>22823.440201438778</v>
      </c>
      <c r="T391" s="583">
        <f t="shared" si="1066"/>
        <v>24993.464493707896</v>
      </c>
      <c r="U391" s="583">
        <f t="shared" si="1066"/>
        <v>27166.374481564795</v>
      </c>
      <c r="V391" s="583">
        <f t="shared" si="1066"/>
        <v>28243.363714320989</v>
      </c>
      <c r="W391" s="583">
        <f t="shared" si="1066"/>
        <v>28536.50042884819</v>
      </c>
      <c r="X391" s="583">
        <f t="shared" si="1066"/>
        <v>28829.637620860078</v>
      </c>
      <c r="Y391" s="583">
        <f t="shared" si="1066"/>
        <v>29122.775336487022</v>
      </c>
      <c r="Z391" s="583">
        <f t="shared" si="1066"/>
        <v>29416.752877233062</v>
      </c>
      <c r="AA391" s="583">
        <f t="shared" si="1066"/>
        <v>29709.891795866664</v>
      </c>
      <c r="AB391" s="583">
        <f t="shared" si="1066"/>
        <v>30003.870656396291</v>
      </c>
      <c r="AC391" s="583">
        <f t="shared" si="1066"/>
        <v>30297.011013390766</v>
      </c>
      <c r="AD391" s="583">
        <f t="shared" si="1066"/>
        <v>30590.152188902721</v>
      </c>
      <c r="AE391" s="583">
        <f t="shared" si="1066"/>
        <v>30884.133519920171</v>
      </c>
      <c r="AF391" s="583">
        <f t="shared" si="1066"/>
        <v>31177.276563535692</v>
      </c>
      <c r="AG391" s="583">
        <f t="shared" si="1066"/>
        <v>31470.420666298858</v>
      </c>
      <c r="AH391" s="753">
        <f t="shared" si="1066"/>
        <v>31764.405193685307</v>
      </c>
      <c r="AI391" s="18"/>
      <c r="AJ391" s="18"/>
      <c r="AK391" s="18"/>
      <c r="AL391" s="18"/>
      <c r="AM391" s="18"/>
      <c r="AN391" s="18"/>
    </row>
    <row r="392" spans="2:40" ht="21.95" customHeight="1" x14ac:dyDescent="0.2">
      <c r="B392" s="232"/>
      <c r="C392" s="715"/>
      <c r="D392" s="715"/>
      <c r="E392" s="1340"/>
      <c r="F392" s="116"/>
      <c r="G392" s="116"/>
      <c r="H392" s="124" t="s">
        <v>19</v>
      </c>
      <c r="I392" s="577">
        <f t="shared" ref="I392:AH392" si="1067">I345*$F$21</f>
        <v>959.12408759124082</v>
      </c>
      <c r="J392" s="577">
        <f t="shared" si="1067"/>
        <v>2131.6532846715327</v>
      </c>
      <c r="K392" s="577">
        <f t="shared" si="1067"/>
        <v>9009.5321167883212</v>
      </c>
      <c r="L392" s="577">
        <f t="shared" si="1067"/>
        <v>20252.864233577548</v>
      </c>
      <c r="M392" s="577">
        <f t="shared" si="1067"/>
        <v>31502.430657050689</v>
      </c>
      <c r="N392" s="577">
        <f t="shared" si="1067"/>
        <v>42752.476645682669</v>
      </c>
      <c r="O392" s="577">
        <f t="shared" si="1067"/>
        <v>53995.808802778833</v>
      </c>
      <c r="P392" s="577">
        <f t="shared" si="1067"/>
        <v>65252.089401531921</v>
      </c>
      <c r="Q392" s="577">
        <f t="shared" si="1067"/>
        <v>73932.16342812599</v>
      </c>
      <c r="R392" s="577">
        <f t="shared" si="1067"/>
        <v>82613.678417716816</v>
      </c>
      <c r="S392" s="577">
        <f t="shared" si="1067"/>
        <v>91293.760805755112</v>
      </c>
      <c r="T392" s="577">
        <f t="shared" si="1067"/>
        <v>99973.857974831582</v>
      </c>
      <c r="U392" s="577">
        <f t="shared" si="1067"/>
        <v>108665.49792625918</v>
      </c>
      <c r="V392" s="577">
        <f t="shared" si="1067"/>
        <v>112973.45485728396</v>
      </c>
      <c r="W392" s="577">
        <f t="shared" si="1067"/>
        <v>114146.00171539276</v>
      </c>
      <c r="X392" s="577">
        <f t="shared" si="1067"/>
        <v>115318.55048344031</v>
      </c>
      <c r="Y392" s="577">
        <f t="shared" si="1067"/>
        <v>116491.10134594809</v>
      </c>
      <c r="Z392" s="577">
        <f t="shared" si="1067"/>
        <v>117667.01150893225</v>
      </c>
      <c r="AA392" s="577">
        <f t="shared" si="1067"/>
        <v>118839.56718346666</v>
      </c>
      <c r="AB392" s="577">
        <f t="shared" si="1067"/>
        <v>120015.48262558517</v>
      </c>
      <c r="AC392" s="577">
        <f t="shared" si="1067"/>
        <v>121188.04405356306</v>
      </c>
      <c r="AD392" s="577">
        <f t="shared" si="1067"/>
        <v>122360.60875561088</v>
      </c>
      <c r="AE392" s="577">
        <f t="shared" si="1067"/>
        <v>123536.53407968068</v>
      </c>
      <c r="AF392" s="577">
        <f t="shared" si="1067"/>
        <v>124709.10625414277</v>
      </c>
      <c r="AG392" s="577">
        <f t="shared" si="1067"/>
        <v>125881.68266519543</v>
      </c>
      <c r="AH392" s="752">
        <f t="shared" si="1067"/>
        <v>127057.62077474123</v>
      </c>
      <c r="AI392" s="18"/>
      <c r="AJ392" s="18"/>
      <c r="AK392" s="18"/>
      <c r="AL392" s="18"/>
      <c r="AM392" s="18"/>
      <c r="AN392" s="18"/>
    </row>
    <row r="393" spans="2:40" ht="21.95" customHeight="1" x14ac:dyDescent="0.2">
      <c r="B393" s="232"/>
      <c r="C393" s="715"/>
      <c r="D393" s="715"/>
      <c r="E393" s="1340"/>
      <c r="F393" s="116"/>
      <c r="G393" s="116"/>
      <c r="H393" s="720" t="s">
        <v>25</v>
      </c>
      <c r="I393" s="577">
        <f t="shared" ref="I393:AH393" si="1068">SUM(I391:I392)</f>
        <v>1198.905109489051</v>
      </c>
      <c r="J393" s="577">
        <f t="shared" si="1068"/>
        <v>2664.5666058394158</v>
      </c>
      <c r="K393" s="577">
        <f t="shared" si="1068"/>
        <v>11261.915145985402</v>
      </c>
      <c r="L393" s="577">
        <f t="shared" si="1068"/>
        <v>25316.080291971935</v>
      </c>
      <c r="M393" s="577">
        <f t="shared" si="1068"/>
        <v>39378.038321313361</v>
      </c>
      <c r="N393" s="577">
        <f t="shared" si="1068"/>
        <v>53440.595807103338</v>
      </c>
      <c r="O393" s="577">
        <f t="shared" si="1068"/>
        <v>67494.761003473541</v>
      </c>
      <c r="P393" s="577">
        <f t="shared" si="1068"/>
        <v>81565.111751914897</v>
      </c>
      <c r="Q393" s="577">
        <f t="shared" si="1068"/>
        <v>92415.204285157495</v>
      </c>
      <c r="R393" s="577">
        <f t="shared" si="1068"/>
        <v>103267.09802214602</v>
      </c>
      <c r="S393" s="577">
        <f t="shared" si="1068"/>
        <v>114117.20100719389</v>
      </c>
      <c r="T393" s="577">
        <f t="shared" si="1068"/>
        <v>124967.32246853948</v>
      </c>
      <c r="U393" s="577">
        <f t="shared" si="1068"/>
        <v>135831.87240782398</v>
      </c>
      <c r="V393" s="577">
        <f t="shared" si="1068"/>
        <v>141216.81857160493</v>
      </c>
      <c r="W393" s="577">
        <f t="shared" si="1068"/>
        <v>142682.50214424095</v>
      </c>
      <c r="X393" s="577">
        <f t="shared" si="1068"/>
        <v>144148.18810430038</v>
      </c>
      <c r="Y393" s="577">
        <f t="shared" si="1068"/>
        <v>145613.8766824351</v>
      </c>
      <c r="Z393" s="577">
        <f t="shared" si="1068"/>
        <v>147083.76438616531</v>
      </c>
      <c r="AA393" s="577">
        <f t="shared" si="1068"/>
        <v>148549.45897933331</v>
      </c>
      <c r="AB393" s="577">
        <f t="shared" si="1068"/>
        <v>150019.35328198146</v>
      </c>
      <c r="AC393" s="577">
        <f t="shared" si="1068"/>
        <v>151485.05506695382</v>
      </c>
      <c r="AD393" s="577">
        <f t="shared" si="1068"/>
        <v>152950.7609445136</v>
      </c>
      <c r="AE393" s="577">
        <f t="shared" si="1068"/>
        <v>154420.66759960086</v>
      </c>
      <c r="AF393" s="577">
        <f t="shared" si="1068"/>
        <v>155886.38281767844</v>
      </c>
      <c r="AG393" s="577">
        <f t="shared" si="1068"/>
        <v>157352.10333149429</v>
      </c>
      <c r="AH393" s="752">
        <f t="shared" si="1068"/>
        <v>158822.02596842655</v>
      </c>
      <c r="AI393" s="18"/>
      <c r="AJ393" s="18"/>
      <c r="AK393" s="18"/>
      <c r="AL393" s="18"/>
      <c r="AM393" s="18"/>
      <c r="AN393" s="18"/>
    </row>
    <row r="394" spans="2:40" ht="21.95" customHeight="1" x14ac:dyDescent="0.2">
      <c r="B394" s="232"/>
      <c r="C394" s="715"/>
      <c r="D394" s="715"/>
      <c r="E394" s="1340"/>
      <c r="F394" s="116" t="s">
        <v>339</v>
      </c>
      <c r="G394" s="116" t="s">
        <v>288</v>
      </c>
      <c r="H394" s="116" t="s">
        <v>20</v>
      </c>
      <c r="I394" s="577">
        <f t="shared" ref="I394:AH394" si="1069">I346*$F$20</f>
        <v>0</v>
      </c>
      <c r="J394" s="577">
        <f t="shared" si="1069"/>
        <v>163.12214111922145</v>
      </c>
      <c r="K394" s="577">
        <f t="shared" si="1069"/>
        <v>467.16092457420928</v>
      </c>
      <c r="L394" s="577">
        <f t="shared" si="1069"/>
        <v>1050.148515815132</v>
      </c>
      <c r="M394" s="577">
        <f t="shared" si="1069"/>
        <v>1633.4593674026282</v>
      </c>
      <c r="N394" s="577">
        <f t="shared" si="1069"/>
        <v>2216.7950853316938</v>
      </c>
      <c r="O394" s="577">
        <f t="shared" si="1069"/>
        <v>2799.7826786626065</v>
      </c>
      <c r="P394" s="577">
        <f t="shared" si="1069"/>
        <v>3383.441672672026</v>
      </c>
      <c r="Q394" s="577">
        <f t="shared" si="1069"/>
        <v>3833.5195851620883</v>
      </c>
      <c r="R394" s="577">
        <f t="shared" si="1069"/>
        <v>4283.672214251982</v>
      </c>
      <c r="S394" s="577">
        <f t="shared" si="1069"/>
        <v>4733.7505602984129</v>
      </c>
      <c r="T394" s="577">
        <f t="shared" si="1069"/>
        <v>5183.8296727690458</v>
      </c>
      <c r="U394" s="577">
        <f t="shared" si="1069"/>
        <v>5634.5072998801061</v>
      </c>
      <c r="V394" s="577">
        <f t="shared" si="1069"/>
        <v>5857.8828444517603</v>
      </c>
      <c r="W394" s="577">
        <f t="shared" si="1069"/>
        <v>5918.6815704277733</v>
      </c>
      <c r="X394" s="577">
        <f t="shared" si="1069"/>
        <v>5979.4803954376448</v>
      </c>
      <c r="Y394" s="577">
        <f t="shared" si="1069"/>
        <v>6040.2793290491609</v>
      </c>
      <c r="Z394" s="577">
        <f t="shared" si="1069"/>
        <v>6101.2524486113025</v>
      </c>
      <c r="AA394" s="577">
        <f t="shared" si="1069"/>
        <v>6162.0516317353076</v>
      </c>
      <c r="AB394" s="577">
        <f t="shared" si="1069"/>
        <v>6223.0250250303425</v>
      </c>
      <c r="AC394" s="577">
        <f t="shared" si="1069"/>
        <v>6283.824506481048</v>
      </c>
      <c r="AD394" s="577">
        <f t="shared" si="1069"/>
        <v>6344.6241576983412</v>
      </c>
      <c r="AE394" s="577">
        <f t="shared" si="1069"/>
        <v>6405.5980633908512</v>
      </c>
      <c r="AF394" s="577">
        <f t="shared" si="1069"/>
        <v>6466.3981020666615</v>
      </c>
      <c r="AG394" s="577">
        <f t="shared" si="1069"/>
        <v>6527.1983604175402</v>
      </c>
      <c r="AH394" s="752">
        <f t="shared" si="1069"/>
        <v>6588.1729290606563</v>
      </c>
      <c r="AI394" s="18"/>
      <c r="AJ394" s="18"/>
      <c r="AK394" s="18"/>
      <c r="AL394" s="18"/>
      <c r="AM394" s="18"/>
      <c r="AN394" s="18"/>
    </row>
    <row r="395" spans="2:40" ht="21.95" customHeight="1" x14ac:dyDescent="0.2">
      <c r="B395" s="232"/>
      <c r="C395" s="715"/>
      <c r="D395" s="715"/>
      <c r="E395" s="1340"/>
      <c r="F395" s="116"/>
      <c r="G395" s="116"/>
      <c r="H395" s="124" t="s">
        <v>19</v>
      </c>
      <c r="I395" s="577">
        <f t="shared" ref="I395:AH395" si="1070">I346*$F$21</f>
        <v>0</v>
      </c>
      <c r="J395" s="577">
        <f t="shared" si="1070"/>
        <v>652.48856447688581</v>
      </c>
      <c r="K395" s="577">
        <f t="shared" si="1070"/>
        <v>1868.6436982968371</v>
      </c>
      <c r="L395" s="577">
        <f t="shared" si="1070"/>
        <v>4200.5940632605279</v>
      </c>
      <c r="M395" s="577">
        <f t="shared" si="1070"/>
        <v>6533.8374696105129</v>
      </c>
      <c r="N395" s="577">
        <f t="shared" si="1070"/>
        <v>8867.1803413267753</v>
      </c>
      <c r="O395" s="577">
        <f t="shared" si="1070"/>
        <v>11199.130714650426</v>
      </c>
      <c r="P395" s="577">
        <f t="shared" si="1070"/>
        <v>13533.766690688104</v>
      </c>
      <c r="Q395" s="577">
        <f t="shared" si="1070"/>
        <v>15334.078340648353</v>
      </c>
      <c r="R395" s="577">
        <f t="shared" si="1070"/>
        <v>17134.688857007928</v>
      </c>
      <c r="S395" s="577">
        <f t="shared" si="1070"/>
        <v>18935.002241193652</v>
      </c>
      <c r="T395" s="577">
        <f t="shared" si="1070"/>
        <v>20735.318691076183</v>
      </c>
      <c r="U395" s="577">
        <f t="shared" si="1070"/>
        <v>22538.029199520424</v>
      </c>
      <c r="V395" s="577">
        <f t="shared" si="1070"/>
        <v>23431.531377807041</v>
      </c>
      <c r="W395" s="577">
        <f t="shared" si="1070"/>
        <v>23674.726281711093</v>
      </c>
      <c r="X395" s="577">
        <f t="shared" si="1070"/>
        <v>23917.921581750579</v>
      </c>
      <c r="Y395" s="577">
        <f t="shared" si="1070"/>
        <v>24161.117316196644</v>
      </c>
      <c r="Z395" s="577">
        <f t="shared" si="1070"/>
        <v>24405.00979444521</v>
      </c>
      <c r="AA395" s="577">
        <f t="shared" si="1070"/>
        <v>24648.206526941231</v>
      </c>
      <c r="AB395" s="577">
        <f t="shared" si="1070"/>
        <v>24892.10010012137</v>
      </c>
      <c r="AC395" s="577">
        <f t="shared" si="1070"/>
        <v>25135.298025924192</v>
      </c>
      <c r="AD395" s="577">
        <f t="shared" si="1070"/>
        <v>25378.496630793365</v>
      </c>
      <c r="AE395" s="577">
        <f t="shared" si="1070"/>
        <v>25622.392253563405</v>
      </c>
      <c r="AF395" s="577">
        <f t="shared" si="1070"/>
        <v>25865.592408266646</v>
      </c>
      <c r="AG395" s="577">
        <f t="shared" si="1070"/>
        <v>26108.793441670161</v>
      </c>
      <c r="AH395" s="752">
        <f t="shared" si="1070"/>
        <v>26352.691716242625</v>
      </c>
      <c r="AI395" s="18"/>
      <c r="AJ395" s="18"/>
      <c r="AK395" s="18"/>
      <c r="AL395" s="18"/>
      <c r="AM395" s="18"/>
      <c r="AN395" s="18"/>
    </row>
    <row r="396" spans="2:40" ht="21.95" customHeight="1" x14ac:dyDescent="0.2">
      <c r="B396" s="232"/>
      <c r="C396" s="715"/>
      <c r="D396" s="715"/>
      <c r="E396" s="1340"/>
      <c r="F396" s="116"/>
      <c r="G396" s="116"/>
      <c r="H396" s="720" t="s">
        <v>25</v>
      </c>
      <c r="I396" s="577">
        <f t="shared" ref="I396:AH396" si="1071">SUM(I394:I395)</f>
        <v>0</v>
      </c>
      <c r="J396" s="577">
        <f t="shared" si="1071"/>
        <v>815.61070559610721</v>
      </c>
      <c r="K396" s="577">
        <f t="shared" si="1071"/>
        <v>2335.8046228710464</v>
      </c>
      <c r="L396" s="577">
        <f t="shared" si="1071"/>
        <v>5250.7425790756597</v>
      </c>
      <c r="M396" s="577">
        <f t="shared" si="1071"/>
        <v>8167.2968370131412</v>
      </c>
      <c r="N396" s="577">
        <f t="shared" si="1071"/>
        <v>11083.97542665847</v>
      </c>
      <c r="O396" s="577">
        <f t="shared" si="1071"/>
        <v>13998.913393313032</v>
      </c>
      <c r="P396" s="577">
        <f t="shared" si="1071"/>
        <v>16917.208363360129</v>
      </c>
      <c r="Q396" s="577">
        <f t="shared" si="1071"/>
        <v>19167.597925810442</v>
      </c>
      <c r="R396" s="577">
        <f t="shared" si="1071"/>
        <v>21418.361071259911</v>
      </c>
      <c r="S396" s="577">
        <f t="shared" si="1071"/>
        <v>23668.752801492064</v>
      </c>
      <c r="T396" s="577">
        <f t="shared" si="1071"/>
        <v>25919.14836384523</v>
      </c>
      <c r="U396" s="577">
        <f t="shared" si="1071"/>
        <v>28172.536499400529</v>
      </c>
      <c r="V396" s="577">
        <f t="shared" si="1071"/>
        <v>29289.414222258802</v>
      </c>
      <c r="W396" s="577">
        <f t="shared" si="1071"/>
        <v>29593.407852138866</v>
      </c>
      <c r="X396" s="577">
        <f t="shared" si="1071"/>
        <v>29897.401977188223</v>
      </c>
      <c r="Y396" s="577">
        <f t="shared" si="1071"/>
        <v>30201.396645245804</v>
      </c>
      <c r="Z396" s="577">
        <f t="shared" si="1071"/>
        <v>30506.262243056513</v>
      </c>
      <c r="AA396" s="577">
        <f t="shared" si="1071"/>
        <v>30810.258158676537</v>
      </c>
      <c r="AB396" s="577">
        <f t="shared" si="1071"/>
        <v>31115.125125151713</v>
      </c>
      <c r="AC396" s="577">
        <f t="shared" si="1071"/>
        <v>31419.122532405239</v>
      </c>
      <c r="AD396" s="577">
        <f t="shared" si="1071"/>
        <v>31723.120788491706</v>
      </c>
      <c r="AE396" s="577">
        <f t="shared" si="1071"/>
        <v>32027.990316954256</v>
      </c>
      <c r="AF396" s="577">
        <f t="shared" si="1071"/>
        <v>32331.990510333308</v>
      </c>
      <c r="AG396" s="577">
        <f t="shared" si="1071"/>
        <v>32635.991802087701</v>
      </c>
      <c r="AH396" s="752">
        <f t="shared" si="1071"/>
        <v>32940.864645303285</v>
      </c>
      <c r="AI396" s="18"/>
      <c r="AJ396" s="18"/>
      <c r="AK396" s="18"/>
      <c r="AL396" s="18"/>
      <c r="AM396" s="18"/>
      <c r="AN396" s="18"/>
    </row>
    <row r="397" spans="2:40" ht="21.95" customHeight="1" x14ac:dyDescent="0.2">
      <c r="B397" s="232"/>
      <c r="C397" s="715"/>
      <c r="D397" s="715"/>
      <c r="E397" s="1340"/>
      <c r="F397" s="116" t="s">
        <v>288</v>
      </c>
      <c r="G397" s="116" t="s">
        <v>340</v>
      </c>
      <c r="H397" s="116" t="s">
        <v>20</v>
      </c>
      <c r="I397" s="577">
        <f t="shared" ref="I397:AH397" si="1072">I347*$F$20</f>
        <v>0</v>
      </c>
      <c r="J397" s="577">
        <f t="shared" si="1072"/>
        <v>425.28272506082726</v>
      </c>
      <c r="K397" s="577">
        <f t="shared" si="1072"/>
        <v>1217.9552676399026</v>
      </c>
      <c r="L397" s="577">
        <f t="shared" si="1072"/>
        <v>2737.8872019465939</v>
      </c>
      <c r="M397" s="577">
        <f t="shared" si="1072"/>
        <v>4258.6619221568517</v>
      </c>
      <c r="N397" s="577">
        <f t="shared" si="1072"/>
        <v>5779.5014724719149</v>
      </c>
      <c r="O397" s="577">
        <f t="shared" si="1072"/>
        <v>7299.4334122275095</v>
      </c>
      <c r="P397" s="577">
        <f t="shared" si="1072"/>
        <v>8821.1157894663538</v>
      </c>
      <c r="Q397" s="577">
        <f t="shared" si="1072"/>
        <v>9994.5332041725869</v>
      </c>
      <c r="R397" s="577">
        <f t="shared" si="1072"/>
        <v>11168.145415728382</v>
      </c>
      <c r="S397" s="577">
        <f t="shared" si="1072"/>
        <v>12341.563960778003</v>
      </c>
      <c r="T397" s="577">
        <f t="shared" si="1072"/>
        <v>13514.984504005006</v>
      </c>
      <c r="U397" s="577">
        <f t="shared" si="1072"/>
        <v>14689.965460401701</v>
      </c>
      <c r="V397" s="577">
        <f t="shared" si="1072"/>
        <v>15272.337415892087</v>
      </c>
      <c r="W397" s="577">
        <f t="shared" si="1072"/>
        <v>15430.848380043835</v>
      </c>
      <c r="X397" s="577">
        <f t="shared" si="1072"/>
        <v>15589.359602391005</v>
      </c>
      <c r="Y397" s="577">
        <f t="shared" si="1072"/>
        <v>15747.871107878167</v>
      </c>
      <c r="Z397" s="577">
        <f t="shared" si="1072"/>
        <v>15906.836741022324</v>
      </c>
      <c r="AA397" s="577">
        <f t="shared" si="1072"/>
        <v>16065.348897024196</v>
      </c>
      <c r="AB397" s="577">
        <f t="shared" si="1072"/>
        <v>16224.315243829104</v>
      </c>
      <c r="AC397" s="577">
        <f t="shared" si="1072"/>
        <v>16382.828177611304</v>
      </c>
      <c r="AD397" s="577">
        <f t="shared" si="1072"/>
        <v>16541.341553999246</v>
      </c>
      <c r="AE397" s="577">
        <f t="shared" si="1072"/>
        <v>16700.309236697572</v>
      </c>
      <c r="AF397" s="577">
        <f t="shared" si="1072"/>
        <v>16858.823623245222</v>
      </c>
      <c r="AG397" s="577">
        <f t="shared" si="1072"/>
        <v>17017.338582517161</v>
      </c>
      <c r="AH397" s="752">
        <f t="shared" si="1072"/>
        <v>17176.307993622424</v>
      </c>
      <c r="AI397" s="18"/>
      <c r="AJ397" s="18"/>
      <c r="AK397" s="18"/>
      <c r="AL397" s="18"/>
      <c r="AM397" s="18"/>
      <c r="AN397" s="18"/>
    </row>
    <row r="398" spans="2:40" ht="21.95" customHeight="1" x14ac:dyDescent="0.2">
      <c r="B398" s="232"/>
      <c r="C398" s="715"/>
      <c r="D398" s="715"/>
      <c r="E398" s="1340"/>
      <c r="F398" s="116"/>
      <c r="G398" s="116"/>
      <c r="H398" s="124" t="s">
        <v>19</v>
      </c>
      <c r="I398" s="577">
        <f t="shared" ref="I398:AH398" si="1073">I347*$F$21</f>
        <v>0</v>
      </c>
      <c r="J398" s="577">
        <f t="shared" si="1073"/>
        <v>1701.130900243309</v>
      </c>
      <c r="K398" s="577">
        <f t="shared" si="1073"/>
        <v>4871.8210705596102</v>
      </c>
      <c r="L398" s="577">
        <f t="shared" si="1073"/>
        <v>10951.548807786376</v>
      </c>
      <c r="M398" s="577">
        <f t="shared" si="1073"/>
        <v>17034.647688627407</v>
      </c>
      <c r="N398" s="577">
        <f t="shared" si="1073"/>
        <v>23118.00588988766</v>
      </c>
      <c r="O398" s="577">
        <f t="shared" si="1073"/>
        <v>29197.733648910038</v>
      </c>
      <c r="P398" s="577">
        <f t="shared" si="1073"/>
        <v>35284.463157865415</v>
      </c>
      <c r="Q398" s="577">
        <f t="shared" si="1073"/>
        <v>39978.132816690348</v>
      </c>
      <c r="R398" s="577">
        <f t="shared" si="1073"/>
        <v>44672.58166291353</v>
      </c>
      <c r="S398" s="577">
        <f t="shared" si="1073"/>
        <v>49366.255843112012</v>
      </c>
      <c r="T398" s="577">
        <f t="shared" si="1073"/>
        <v>54059.938016020023</v>
      </c>
      <c r="U398" s="577">
        <f t="shared" si="1073"/>
        <v>58759.861841606806</v>
      </c>
      <c r="V398" s="577">
        <f t="shared" si="1073"/>
        <v>61089.349663568348</v>
      </c>
      <c r="W398" s="577">
        <f t="shared" si="1073"/>
        <v>61723.393520175341</v>
      </c>
      <c r="X398" s="577">
        <f t="shared" si="1073"/>
        <v>62357.43840956402</v>
      </c>
      <c r="Y398" s="577">
        <f t="shared" si="1073"/>
        <v>62991.484431512668</v>
      </c>
      <c r="Z398" s="577">
        <f t="shared" si="1073"/>
        <v>63627.346964089294</v>
      </c>
      <c r="AA398" s="577">
        <f t="shared" si="1073"/>
        <v>64261.395588096784</v>
      </c>
      <c r="AB398" s="577">
        <f t="shared" si="1073"/>
        <v>64897.260975316414</v>
      </c>
      <c r="AC398" s="577">
        <f t="shared" si="1073"/>
        <v>65531.312710445214</v>
      </c>
      <c r="AD398" s="577">
        <f t="shared" si="1073"/>
        <v>66165.366215996983</v>
      </c>
      <c r="AE398" s="577">
        <f t="shared" si="1073"/>
        <v>66801.23694679029</v>
      </c>
      <c r="AF398" s="577">
        <f t="shared" si="1073"/>
        <v>67435.294492980887</v>
      </c>
      <c r="AG398" s="577">
        <f t="shared" si="1073"/>
        <v>68069.354330068643</v>
      </c>
      <c r="AH398" s="752">
        <f t="shared" si="1073"/>
        <v>68705.231974489696</v>
      </c>
      <c r="AI398" s="18"/>
      <c r="AJ398" s="18"/>
      <c r="AK398" s="18"/>
      <c r="AL398" s="18"/>
      <c r="AM398" s="18"/>
      <c r="AN398" s="18"/>
    </row>
    <row r="399" spans="2:40" ht="21.95" customHeight="1" x14ac:dyDescent="0.2">
      <c r="B399" s="232"/>
      <c r="C399" s="715"/>
      <c r="D399" s="715"/>
      <c r="E399" s="1340"/>
      <c r="F399" s="116"/>
      <c r="G399" s="116"/>
      <c r="H399" s="720" t="s">
        <v>25</v>
      </c>
      <c r="I399" s="577">
        <f t="shared" ref="I399:AH399" si="1074">SUM(I397:I398)</f>
        <v>0</v>
      </c>
      <c r="J399" s="577">
        <f t="shared" si="1074"/>
        <v>2126.4136253041361</v>
      </c>
      <c r="K399" s="577">
        <f t="shared" si="1074"/>
        <v>6089.7763381995128</v>
      </c>
      <c r="L399" s="577">
        <f t="shared" si="1074"/>
        <v>13689.43600973297</v>
      </c>
      <c r="M399" s="577">
        <f t="shared" si="1074"/>
        <v>21293.309610784258</v>
      </c>
      <c r="N399" s="577">
        <f t="shared" si="1074"/>
        <v>28897.507362359574</v>
      </c>
      <c r="O399" s="577">
        <f t="shared" si="1074"/>
        <v>36497.167061137545</v>
      </c>
      <c r="P399" s="577">
        <f t="shared" si="1074"/>
        <v>44105.578947331771</v>
      </c>
      <c r="Q399" s="577">
        <f t="shared" si="1074"/>
        <v>49972.666020862933</v>
      </c>
      <c r="R399" s="577">
        <f t="shared" si="1074"/>
        <v>55840.72707864191</v>
      </c>
      <c r="S399" s="577">
        <f t="shared" si="1074"/>
        <v>61707.819803890015</v>
      </c>
      <c r="T399" s="577">
        <f t="shared" si="1074"/>
        <v>67574.922520025022</v>
      </c>
      <c r="U399" s="577">
        <f t="shared" si="1074"/>
        <v>73449.827302008503</v>
      </c>
      <c r="V399" s="577">
        <f t="shared" si="1074"/>
        <v>76361.687079460433</v>
      </c>
      <c r="W399" s="577">
        <f t="shared" si="1074"/>
        <v>77154.241900219175</v>
      </c>
      <c r="X399" s="577">
        <f t="shared" si="1074"/>
        <v>77946.798011955019</v>
      </c>
      <c r="Y399" s="577">
        <f t="shared" si="1074"/>
        <v>78739.355539390832</v>
      </c>
      <c r="Z399" s="577">
        <f t="shared" si="1074"/>
        <v>79534.183705111616</v>
      </c>
      <c r="AA399" s="577">
        <f t="shared" si="1074"/>
        <v>80326.744485120988</v>
      </c>
      <c r="AB399" s="577">
        <f t="shared" si="1074"/>
        <v>81121.576219145514</v>
      </c>
      <c r="AC399" s="577">
        <f t="shared" si="1074"/>
        <v>81914.140888056514</v>
      </c>
      <c r="AD399" s="577">
        <f t="shared" si="1074"/>
        <v>82706.707769996225</v>
      </c>
      <c r="AE399" s="577">
        <f t="shared" si="1074"/>
        <v>83501.546183487866</v>
      </c>
      <c r="AF399" s="577">
        <f t="shared" si="1074"/>
        <v>84294.118116226105</v>
      </c>
      <c r="AG399" s="577">
        <f t="shared" si="1074"/>
        <v>85086.692912585801</v>
      </c>
      <c r="AH399" s="752">
        <f t="shared" si="1074"/>
        <v>85881.53996811212</v>
      </c>
      <c r="AI399" s="18"/>
      <c r="AJ399" s="18"/>
      <c r="AK399" s="18"/>
      <c r="AL399" s="18"/>
      <c r="AM399" s="18"/>
      <c r="AN399" s="18"/>
    </row>
    <row r="400" spans="2:40" ht="21.95" customHeight="1" x14ac:dyDescent="0.2">
      <c r="B400" s="232"/>
      <c r="C400" s="715"/>
      <c r="D400" s="715"/>
      <c r="E400" s="1340"/>
      <c r="F400" s="116" t="s">
        <v>340</v>
      </c>
      <c r="G400" s="116" t="s">
        <v>280</v>
      </c>
      <c r="H400" s="116" t="s">
        <v>20</v>
      </c>
      <c r="I400" s="577">
        <f t="shared" ref="I400:AH400" si="1075">I348*$F$20</f>
        <v>559.48905109489056</v>
      </c>
      <c r="J400" s="577">
        <f t="shared" si="1075"/>
        <v>834.03032846715325</v>
      </c>
      <c r="K400" s="577">
        <f t="shared" si="1075"/>
        <v>1174.2556204379562</v>
      </c>
      <c r="L400" s="577">
        <f t="shared" si="1075"/>
        <v>2034.3394890510951</v>
      </c>
      <c r="M400" s="577">
        <f t="shared" si="1075"/>
        <v>2894.5166058394216</v>
      </c>
      <c r="N400" s="577">
        <f t="shared" si="1075"/>
        <v>3755.1226642336806</v>
      </c>
      <c r="O400" s="577">
        <f t="shared" si="1075"/>
        <v>4615.2065328477202</v>
      </c>
      <c r="P400" s="577">
        <f t="shared" si="1075"/>
        <v>5475.0106569408881</v>
      </c>
      <c r="Q400" s="577">
        <f t="shared" si="1075"/>
        <v>7663.5639783681727</v>
      </c>
      <c r="R400" s="577">
        <f t="shared" si="1075"/>
        <v>9851.2594202707478</v>
      </c>
      <c r="S400" s="577">
        <f t="shared" si="1075"/>
        <v>12038.787045539977</v>
      </c>
      <c r="T400" s="577">
        <f t="shared" si="1075"/>
        <v>14227.340568614143</v>
      </c>
      <c r="U400" s="577">
        <f t="shared" si="1075"/>
        <v>16415.615063740057</v>
      </c>
      <c r="V400" s="577">
        <f t="shared" si="1075"/>
        <v>18083.659271842436</v>
      </c>
      <c r="W400" s="577">
        <f t="shared" si="1075"/>
        <v>18358.201154852093</v>
      </c>
      <c r="X400" s="577">
        <f t="shared" si="1075"/>
        <v>18632.743135512046</v>
      </c>
      <c r="Y400" s="577">
        <f t="shared" si="1075"/>
        <v>18907.28522780292</v>
      </c>
      <c r="Z400" s="577">
        <f t="shared" si="1075"/>
        <v>19180.988210758038</v>
      </c>
      <c r="AA400" s="577">
        <f t="shared" si="1075"/>
        <v>19455.530574876899</v>
      </c>
      <c r="AB400" s="577">
        <f t="shared" si="1075"/>
        <v>19729.233865998351</v>
      </c>
      <c r="AC400" s="577">
        <f t="shared" si="1075"/>
        <v>20003.776580992704</v>
      </c>
      <c r="AD400" s="577">
        <f t="shared" si="1075"/>
        <v>20278.319507445769</v>
      </c>
      <c r="AE400" s="577">
        <f t="shared" si="1075"/>
        <v>20552.023433207552</v>
      </c>
      <c r="AF400" s="577">
        <f t="shared" si="1075"/>
        <v>20826.566867637146</v>
      </c>
      <c r="AG400" s="577">
        <f t="shared" si="1075"/>
        <v>21101.110605971749</v>
      </c>
      <c r="AH400" s="752">
        <f t="shared" si="1075"/>
        <v>21374.815443511139</v>
      </c>
      <c r="AI400" s="18"/>
      <c r="AJ400" s="18"/>
      <c r="AK400" s="18"/>
      <c r="AL400" s="18"/>
      <c r="AM400" s="18"/>
      <c r="AN400" s="18"/>
    </row>
    <row r="401" spans="2:40" ht="21.95" customHeight="1" x14ac:dyDescent="0.2">
      <c r="B401" s="232"/>
      <c r="C401" s="715"/>
      <c r="D401" s="715"/>
      <c r="E401" s="1340"/>
      <c r="F401" s="116"/>
      <c r="G401" s="116"/>
      <c r="H401" s="116" t="s">
        <v>19</v>
      </c>
      <c r="I401" s="577">
        <f t="shared" ref="I401:AH401" si="1076">I348*$F$21</f>
        <v>2237.9562043795622</v>
      </c>
      <c r="J401" s="577">
        <f t="shared" si="1076"/>
        <v>3336.121313868613</v>
      </c>
      <c r="K401" s="577">
        <f t="shared" si="1076"/>
        <v>4697.0224817518247</v>
      </c>
      <c r="L401" s="577">
        <f t="shared" si="1076"/>
        <v>8137.3579562043806</v>
      </c>
      <c r="M401" s="577">
        <f t="shared" si="1076"/>
        <v>11578.066423357686</v>
      </c>
      <c r="N401" s="577">
        <f t="shared" si="1076"/>
        <v>15020.490656934722</v>
      </c>
      <c r="O401" s="577">
        <f t="shared" si="1076"/>
        <v>18460.826131390881</v>
      </c>
      <c r="P401" s="577">
        <f t="shared" si="1076"/>
        <v>21900.042627763552</v>
      </c>
      <c r="Q401" s="577">
        <f t="shared" si="1076"/>
        <v>30654.255913472691</v>
      </c>
      <c r="R401" s="577">
        <f t="shared" si="1076"/>
        <v>39405.037681082991</v>
      </c>
      <c r="S401" s="577">
        <f t="shared" si="1076"/>
        <v>48155.148182159908</v>
      </c>
      <c r="T401" s="577">
        <f t="shared" si="1076"/>
        <v>56909.362274456573</v>
      </c>
      <c r="U401" s="577">
        <f t="shared" si="1076"/>
        <v>65662.460254960228</v>
      </c>
      <c r="V401" s="577">
        <f t="shared" si="1076"/>
        <v>72334.637087369745</v>
      </c>
      <c r="W401" s="577">
        <f t="shared" si="1076"/>
        <v>73432.804619408373</v>
      </c>
      <c r="X401" s="577">
        <f t="shared" si="1076"/>
        <v>74530.972542048185</v>
      </c>
      <c r="Y401" s="577">
        <f t="shared" si="1076"/>
        <v>75629.140911211682</v>
      </c>
      <c r="Z401" s="577">
        <f t="shared" si="1076"/>
        <v>76723.952843032152</v>
      </c>
      <c r="AA401" s="577">
        <f t="shared" si="1076"/>
        <v>77822.122299507595</v>
      </c>
      <c r="AB401" s="577">
        <f t="shared" si="1076"/>
        <v>78916.935463993403</v>
      </c>
      <c r="AC401" s="577">
        <f t="shared" si="1076"/>
        <v>80015.106323970816</v>
      </c>
      <c r="AD401" s="577">
        <f t="shared" si="1076"/>
        <v>81113.278029783076</v>
      </c>
      <c r="AE401" s="577">
        <f t="shared" si="1076"/>
        <v>82208.09373283021</v>
      </c>
      <c r="AF401" s="577">
        <f t="shared" si="1076"/>
        <v>83306.267470548584</v>
      </c>
      <c r="AG401" s="577">
        <f t="shared" si="1076"/>
        <v>84404.442423886998</v>
      </c>
      <c r="AH401" s="752">
        <f t="shared" si="1076"/>
        <v>85499.261774044557</v>
      </c>
      <c r="AI401" s="18"/>
      <c r="AJ401" s="18"/>
      <c r="AK401" s="18"/>
      <c r="AL401" s="18"/>
      <c r="AM401" s="18"/>
      <c r="AN401" s="18"/>
    </row>
    <row r="402" spans="2:40" ht="21.95" customHeight="1" x14ac:dyDescent="0.2">
      <c r="B402" s="232"/>
      <c r="C402" s="715"/>
      <c r="D402" s="715"/>
      <c r="E402" s="1340"/>
      <c r="F402" s="254"/>
      <c r="G402" s="254"/>
      <c r="H402" s="721" t="s">
        <v>25</v>
      </c>
      <c r="I402" s="587">
        <f t="shared" ref="I402:AH402" si="1077">SUM(I400:I401)</f>
        <v>2797.445255474453</v>
      </c>
      <c r="J402" s="587">
        <f t="shared" si="1077"/>
        <v>4170.1516423357662</v>
      </c>
      <c r="K402" s="587">
        <f t="shared" si="1077"/>
        <v>5871.2781021897808</v>
      </c>
      <c r="L402" s="587">
        <f t="shared" si="1077"/>
        <v>10171.697445255475</v>
      </c>
      <c r="M402" s="587">
        <f t="shared" si="1077"/>
        <v>14472.583029197107</v>
      </c>
      <c r="N402" s="587">
        <f t="shared" si="1077"/>
        <v>18775.613321168403</v>
      </c>
      <c r="O402" s="587">
        <f t="shared" si="1077"/>
        <v>23076.032664238599</v>
      </c>
      <c r="P402" s="587">
        <f t="shared" si="1077"/>
        <v>27375.053284704441</v>
      </c>
      <c r="Q402" s="587">
        <f t="shared" si="1077"/>
        <v>38317.81989184086</v>
      </c>
      <c r="R402" s="587">
        <f t="shared" si="1077"/>
        <v>49256.297101353739</v>
      </c>
      <c r="S402" s="587">
        <f t="shared" si="1077"/>
        <v>60193.935227699883</v>
      </c>
      <c r="T402" s="587">
        <f t="shared" si="1077"/>
        <v>71136.702843070714</v>
      </c>
      <c r="U402" s="587">
        <f t="shared" si="1077"/>
        <v>82078.075318700285</v>
      </c>
      <c r="V402" s="587">
        <f t="shared" si="1077"/>
        <v>90418.296359212181</v>
      </c>
      <c r="W402" s="587">
        <f t="shared" si="1077"/>
        <v>91791.005774260469</v>
      </c>
      <c r="X402" s="587">
        <f t="shared" si="1077"/>
        <v>93163.715677560234</v>
      </c>
      <c r="Y402" s="587">
        <f t="shared" si="1077"/>
        <v>94536.426139014598</v>
      </c>
      <c r="Z402" s="587">
        <f t="shared" si="1077"/>
        <v>95904.941053790186</v>
      </c>
      <c r="AA402" s="587">
        <f t="shared" si="1077"/>
        <v>97277.652874384497</v>
      </c>
      <c r="AB402" s="587">
        <f t="shared" si="1077"/>
        <v>98646.169329991753</v>
      </c>
      <c r="AC402" s="587">
        <f t="shared" si="1077"/>
        <v>100018.88290496352</v>
      </c>
      <c r="AD402" s="587">
        <f t="shared" si="1077"/>
        <v>101391.59753722884</v>
      </c>
      <c r="AE402" s="587">
        <f t="shared" si="1077"/>
        <v>102760.11716603776</v>
      </c>
      <c r="AF402" s="587">
        <f t="shared" si="1077"/>
        <v>104132.83433818573</v>
      </c>
      <c r="AG402" s="587">
        <f t="shared" si="1077"/>
        <v>105505.55302985874</v>
      </c>
      <c r="AH402" s="754">
        <f t="shared" si="1077"/>
        <v>106874.07721755569</v>
      </c>
      <c r="AI402" s="18"/>
      <c r="AJ402" s="18"/>
      <c r="AK402" s="18"/>
      <c r="AL402" s="18"/>
      <c r="AM402" s="18"/>
      <c r="AN402" s="18"/>
    </row>
    <row r="403" spans="2:40" ht="21.95" customHeight="1" x14ac:dyDescent="0.2">
      <c r="B403" s="232"/>
      <c r="C403" s="715"/>
      <c r="D403" s="715"/>
      <c r="E403" s="1340" t="s">
        <v>334</v>
      </c>
      <c r="F403" s="116" t="s">
        <v>336</v>
      </c>
      <c r="G403" s="116" t="s">
        <v>337</v>
      </c>
      <c r="H403" s="116" t="s">
        <v>20</v>
      </c>
      <c r="I403" s="577">
        <f t="shared" ref="I403:AH403" si="1078">I349*$G$20</f>
        <v>14055.08160965871</v>
      </c>
      <c r="J403" s="577">
        <f t="shared" si="1078"/>
        <v>14444.43055045787</v>
      </c>
      <c r="K403" s="577">
        <f t="shared" si="1078"/>
        <v>15072.797605775351</v>
      </c>
      <c r="L403" s="577">
        <f t="shared" si="1078"/>
        <v>15970.548529864789</v>
      </c>
      <c r="M403" s="577">
        <f t="shared" si="1078"/>
        <v>16868.804791113795</v>
      </c>
      <c r="N403" s="577">
        <f t="shared" si="1078"/>
        <v>17767.180199525563</v>
      </c>
      <c r="O403" s="577">
        <f t="shared" si="1078"/>
        <v>18665.473544048058</v>
      </c>
      <c r="P403" s="577">
        <f t="shared" si="1078"/>
        <v>19564.990523921882</v>
      </c>
      <c r="Q403" s="577">
        <f t="shared" si="1078"/>
        <v>20366.180046164878</v>
      </c>
      <c r="R403" s="577">
        <f t="shared" si="1078"/>
        <v>21168.346673341275</v>
      </c>
      <c r="S403" s="577">
        <f t="shared" si="1078"/>
        <v>21971.286978069009</v>
      </c>
      <c r="T403" s="577">
        <f t="shared" si="1078"/>
        <v>22775.657950257108</v>
      </c>
      <c r="U403" s="577">
        <f t="shared" si="1078"/>
        <v>23582.812831970023</v>
      </c>
      <c r="V403" s="577">
        <f t="shared" si="1078"/>
        <v>24118.634908441338</v>
      </c>
      <c r="W403" s="577">
        <f t="shared" si="1078"/>
        <v>24513.154403306486</v>
      </c>
      <c r="X403" s="577">
        <f t="shared" si="1078"/>
        <v>24908.569319998016</v>
      </c>
      <c r="Y403" s="577">
        <f t="shared" si="1078"/>
        <v>25305.016255144514</v>
      </c>
      <c r="Z403" s="577">
        <f t="shared" si="1078"/>
        <v>25702.906757172743</v>
      </c>
      <c r="AA403" s="577">
        <f t="shared" si="1078"/>
        <v>26101.903341822439</v>
      </c>
      <c r="AB403" s="577">
        <f t="shared" si="1078"/>
        <v>26502.718427992895</v>
      </c>
      <c r="AC403" s="577">
        <f t="shared" si="1078"/>
        <v>26905.058514524109</v>
      </c>
      <c r="AD403" s="577">
        <f t="shared" si="1078"/>
        <v>27309.431995331881</v>
      </c>
      <c r="AE403" s="577">
        <f t="shared" si="1078"/>
        <v>27716.383417870555</v>
      </c>
      <c r="AF403" s="577">
        <f t="shared" si="1078"/>
        <v>28125.704305300816</v>
      </c>
      <c r="AG403" s="577">
        <f t="shared" si="1078"/>
        <v>28538.009483112441</v>
      </c>
      <c r="AH403" s="752">
        <f t="shared" si="1078"/>
        <v>28953.963128260952</v>
      </c>
      <c r="AI403" s="18"/>
      <c r="AJ403" s="18"/>
      <c r="AK403" s="18"/>
      <c r="AL403" s="18"/>
      <c r="AM403" s="18"/>
      <c r="AN403" s="18"/>
    </row>
    <row r="404" spans="2:40" ht="21.95" customHeight="1" x14ac:dyDescent="0.2">
      <c r="B404" s="232"/>
      <c r="C404" s="715"/>
      <c r="D404" s="715"/>
      <c r="E404" s="1340"/>
      <c r="F404" s="116"/>
      <c r="G404" s="116"/>
      <c r="H404" s="124" t="s">
        <v>19</v>
      </c>
      <c r="I404" s="577">
        <f t="shared" ref="I404:AH404" si="1079">I349*$G$21</f>
        <v>36141.638424836681</v>
      </c>
      <c r="J404" s="577">
        <f t="shared" si="1079"/>
        <v>37142.821415463091</v>
      </c>
      <c r="K404" s="577">
        <f t="shared" si="1079"/>
        <v>38758.622414850899</v>
      </c>
      <c r="L404" s="577">
        <f t="shared" si="1079"/>
        <v>41067.124791080882</v>
      </c>
      <c r="M404" s="577">
        <f t="shared" si="1079"/>
        <v>43376.926605721179</v>
      </c>
      <c r="N404" s="577">
        <f t="shared" si="1079"/>
        <v>45687.034798780012</v>
      </c>
      <c r="O404" s="577">
        <f t="shared" si="1079"/>
        <v>47996.931970409292</v>
      </c>
      <c r="P404" s="577">
        <f t="shared" si="1079"/>
        <v>50309.975632941976</v>
      </c>
      <c r="Q404" s="577">
        <f t="shared" si="1079"/>
        <v>52370.177261566823</v>
      </c>
      <c r="R404" s="577">
        <f t="shared" si="1079"/>
        <v>54432.891445734698</v>
      </c>
      <c r="S404" s="577">
        <f t="shared" si="1079"/>
        <v>56497.59508646316</v>
      </c>
      <c r="T404" s="577">
        <f t="shared" si="1079"/>
        <v>58565.977586375411</v>
      </c>
      <c r="U404" s="577">
        <f t="shared" si="1079"/>
        <v>60641.518710780052</v>
      </c>
      <c r="V404" s="577">
        <f t="shared" si="1079"/>
        <v>62019.346907420579</v>
      </c>
      <c r="W404" s="577">
        <f t="shared" si="1079"/>
        <v>63033.82560850239</v>
      </c>
      <c r="X404" s="577">
        <f t="shared" si="1079"/>
        <v>64050.606822852031</v>
      </c>
      <c r="Y404" s="577">
        <f t="shared" si="1079"/>
        <v>65070.041798943028</v>
      </c>
      <c r="Z404" s="577">
        <f t="shared" si="1079"/>
        <v>66093.188804158475</v>
      </c>
      <c r="AA404" s="577">
        <f t="shared" si="1079"/>
        <v>67119.180021829117</v>
      </c>
      <c r="AB404" s="577">
        <f t="shared" si="1079"/>
        <v>68149.847386267444</v>
      </c>
      <c r="AC404" s="577">
        <f t="shared" si="1079"/>
        <v>69184.436180204852</v>
      </c>
      <c r="AD404" s="577">
        <f t="shared" si="1079"/>
        <v>70224.253702281974</v>
      </c>
      <c r="AE404" s="577">
        <f t="shared" si="1079"/>
        <v>71270.700217381411</v>
      </c>
      <c r="AF404" s="577">
        <f t="shared" si="1079"/>
        <v>72323.239642202083</v>
      </c>
      <c r="AG404" s="577">
        <f t="shared" si="1079"/>
        <v>73383.452956574838</v>
      </c>
      <c r="AH404" s="752">
        <f t="shared" si="1079"/>
        <v>74453.048044099589</v>
      </c>
      <c r="AI404" s="18"/>
      <c r="AJ404" s="18"/>
      <c r="AK404" s="18"/>
      <c r="AL404" s="18"/>
      <c r="AM404" s="18"/>
      <c r="AN404" s="18"/>
    </row>
    <row r="405" spans="2:40" ht="21.95" customHeight="1" x14ac:dyDescent="0.2">
      <c r="B405" s="232"/>
      <c r="C405" s="715"/>
      <c r="D405" s="715"/>
      <c r="E405" s="1340"/>
      <c r="F405" s="116"/>
      <c r="G405" s="116"/>
      <c r="H405" s="721" t="s">
        <v>25</v>
      </c>
      <c r="I405" s="577">
        <f t="shared" ref="I405:AH405" si="1080">SUM(I403:I404)</f>
        <v>50196.720034495389</v>
      </c>
      <c r="J405" s="577">
        <f t="shared" si="1080"/>
        <v>51587.251965920965</v>
      </c>
      <c r="K405" s="577">
        <f t="shared" si="1080"/>
        <v>53831.420020626247</v>
      </c>
      <c r="L405" s="577">
        <f t="shared" si="1080"/>
        <v>57037.673320945672</v>
      </c>
      <c r="M405" s="577">
        <f t="shared" si="1080"/>
        <v>60245.731396834977</v>
      </c>
      <c r="N405" s="577">
        <f t="shared" si="1080"/>
        <v>63454.214998305571</v>
      </c>
      <c r="O405" s="577">
        <f t="shared" si="1080"/>
        <v>66662.40551445735</v>
      </c>
      <c r="P405" s="577">
        <f t="shared" si="1080"/>
        <v>69874.966156863855</v>
      </c>
      <c r="Q405" s="577">
        <f t="shared" si="1080"/>
        <v>72736.357307731698</v>
      </c>
      <c r="R405" s="577">
        <f t="shared" si="1080"/>
        <v>75601.238119075977</v>
      </c>
      <c r="S405" s="577">
        <f t="shared" si="1080"/>
        <v>78468.882064532168</v>
      </c>
      <c r="T405" s="577">
        <f t="shared" si="1080"/>
        <v>81341.635536632515</v>
      </c>
      <c r="U405" s="577">
        <f t="shared" si="1080"/>
        <v>84224.331542750078</v>
      </c>
      <c r="V405" s="577">
        <f t="shared" si="1080"/>
        <v>86137.981815861916</v>
      </c>
      <c r="W405" s="577">
        <f t="shared" si="1080"/>
        <v>87546.980011808875</v>
      </c>
      <c r="X405" s="577">
        <f t="shared" si="1080"/>
        <v>88959.176142850047</v>
      </c>
      <c r="Y405" s="577">
        <f t="shared" si="1080"/>
        <v>90375.058054087538</v>
      </c>
      <c r="Z405" s="577">
        <f t="shared" si="1080"/>
        <v>91796.095561331225</v>
      </c>
      <c r="AA405" s="577">
        <f t="shared" si="1080"/>
        <v>93221.08336365156</v>
      </c>
      <c r="AB405" s="577">
        <f t="shared" si="1080"/>
        <v>94652.565814260335</v>
      </c>
      <c r="AC405" s="577">
        <f t="shared" si="1080"/>
        <v>96089.494694728957</v>
      </c>
      <c r="AD405" s="577">
        <f t="shared" si="1080"/>
        <v>97533.685697613852</v>
      </c>
      <c r="AE405" s="577">
        <f t="shared" si="1080"/>
        <v>98987.083635251969</v>
      </c>
      <c r="AF405" s="577">
        <f t="shared" si="1080"/>
        <v>100448.94394750291</v>
      </c>
      <c r="AG405" s="577">
        <f t="shared" si="1080"/>
        <v>101921.46243968728</v>
      </c>
      <c r="AH405" s="752">
        <f t="shared" si="1080"/>
        <v>103407.01117236054</v>
      </c>
      <c r="AI405" s="18"/>
      <c r="AJ405" s="18"/>
      <c r="AK405" s="18"/>
      <c r="AL405" s="18"/>
      <c r="AM405" s="18"/>
      <c r="AN405" s="18"/>
    </row>
    <row r="406" spans="2:40" ht="21.95" customHeight="1" x14ac:dyDescent="0.2">
      <c r="B406" s="232"/>
      <c r="C406" s="715"/>
      <c r="D406" s="715"/>
      <c r="E406" s="1340"/>
      <c r="F406" s="116" t="s">
        <v>337</v>
      </c>
      <c r="G406" s="116" t="s">
        <v>386</v>
      </c>
      <c r="H406" s="116" t="s">
        <v>20</v>
      </c>
      <c r="I406" s="577">
        <f t="shared" ref="I406:AH406" si="1081">I350*$G$20</f>
        <v>23229.996031500505</v>
      </c>
      <c r="J406" s="577">
        <f t="shared" si="1081"/>
        <v>23276.511091551227</v>
      </c>
      <c r="K406" s="577">
        <f t="shared" si="1081"/>
        <v>23323.027372443048</v>
      </c>
      <c r="L406" s="577">
        <f t="shared" si="1081"/>
        <v>23369.544895451822</v>
      </c>
      <c r="M406" s="577">
        <f t="shared" si="1081"/>
        <v>23416.063683024709</v>
      </c>
      <c r="N406" s="577">
        <f t="shared" si="1081"/>
        <v>23462.583757968769</v>
      </c>
      <c r="O406" s="577">
        <f t="shared" si="1081"/>
        <v>23509.105143455941</v>
      </c>
      <c r="P406" s="577">
        <f t="shared" si="1081"/>
        <v>23555.627863028174</v>
      </c>
      <c r="Q406" s="577">
        <f t="shared" si="1081"/>
        <v>23602.15194060258</v>
      </c>
      <c r="R406" s="577">
        <f t="shared" si="1081"/>
        <v>23602.151941559616</v>
      </c>
      <c r="S406" s="577">
        <f t="shared" si="1081"/>
        <v>24160.439666831109</v>
      </c>
      <c r="T406" s="577">
        <f t="shared" si="1081"/>
        <v>24776.558302008205</v>
      </c>
      <c r="U406" s="577">
        <f t="shared" si="1081"/>
        <v>25393.434095687662</v>
      </c>
      <c r="V406" s="577">
        <f t="shared" si="1081"/>
        <v>25891.063697669357</v>
      </c>
      <c r="W406" s="577">
        <f t="shared" si="1081"/>
        <v>26299.904865174485</v>
      </c>
      <c r="X406" s="577">
        <f t="shared" si="1081"/>
        <v>26709.027009836114</v>
      </c>
      <c r="Y406" s="577">
        <f t="shared" si="1081"/>
        <v>27118.471803791897</v>
      </c>
      <c r="Z406" s="577">
        <f t="shared" si="1081"/>
        <v>27528.382006689397</v>
      </c>
      <c r="AA406" s="577">
        <f t="shared" si="1081"/>
        <v>27938.619432959575</v>
      </c>
      <c r="AB406" s="577">
        <f t="shared" si="1081"/>
        <v>28349.435342099736</v>
      </c>
      <c r="AC406" s="577">
        <f t="shared" si="1081"/>
        <v>28760.705191940873</v>
      </c>
      <c r="AD406" s="577">
        <f t="shared" si="1081"/>
        <v>29172.600101450011</v>
      </c>
      <c r="AE406" s="577">
        <f t="shared" si="1081"/>
        <v>29585.30081734835</v>
      </c>
      <c r="AF406" s="577">
        <f t="shared" si="1081"/>
        <v>29998.709119435138</v>
      </c>
      <c r="AG406" s="577">
        <f t="shared" si="1081"/>
        <v>30413.026547153539</v>
      </c>
      <c r="AH406" s="752">
        <f t="shared" si="1081"/>
        <v>30828.467591906548</v>
      </c>
      <c r="AI406" s="18"/>
      <c r="AJ406" s="18"/>
      <c r="AK406" s="18"/>
      <c r="AL406" s="18"/>
      <c r="AM406" s="18"/>
      <c r="AN406" s="18"/>
    </row>
    <row r="407" spans="2:40" ht="21.95" customHeight="1" x14ac:dyDescent="0.2">
      <c r="B407" s="232"/>
      <c r="C407" s="715"/>
      <c r="D407" s="715"/>
      <c r="E407" s="1340"/>
      <c r="F407" s="116"/>
      <c r="G407" s="116"/>
      <c r="H407" s="124" t="s">
        <v>19</v>
      </c>
      <c r="I407" s="577">
        <f t="shared" ref="I407:AH407" si="1082">I350*$G$21</f>
        <v>59734.275509572719</v>
      </c>
      <c r="J407" s="577">
        <f t="shared" si="1082"/>
        <v>59853.885663988862</v>
      </c>
      <c r="K407" s="577">
        <f t="shared" si="1082"/>
        <v>59973.49895771069</v>
      </c>
      <c r="L407" s="577">
        <f t="shared" si="1082"/>
        <v>60093.115445447533</v>
      </c>
      <c r="M407" s="577">
        <f t="shared" si="1082"/>
        <v>60212.735184920675</v>
      </c>
      <c r="N407" s="577">
        <f t="shared" si="1082"/>
        <v>60332.358234776824</v>
      </c>
      <c r="O407" s="577">
        <f t="shared" si="1082"/>
        <v>60451.984654600987</v>
      </c>
      <c r="P407" s="577">
        <f t="shared" si="1082"/>
        <v>60571.614504929588</v>
      </c>
      <c r="Q407" s="577">
        <f t="shared" si="1082"/>
        <v>60691.247847263767</v>
      </c>
      <c r="R407" s="577">
        <f t="shared" si="1082"/>
        <v>60691.247849724721</v>
      </c>
      <c r="S407" s="577">
        <f t="shared" si="1082"/>
        <v>62126.844857565695</v>
      </c>
      <c r="T407" s="577">
        <f t="shared" si="1082"/>
        <v>63711.149919449665</v>
      </c>
      <c r="U407" s="577">
        <f t="shared" si="1082"/>
        <v>65297.401960339696</v>
      </c>
      <c r="V407" s="577">
        <f t="shared" si="1082"/>
        <v>66577.02093686405</v>
      </c>
      <c r="W407" s="577">
        <f t="shared" si="1082"/>
        <v>67628.326796162961</v>
      </c>
      <c r="X407" s="577">
        <f t="shared" si="1082"/>
        <v>68680.355168149996</v>
      </c>
      <c r="Y407" s="577">
        <f t="shared" si="1082"/>
        <v>69733.213209750582</v>
      </c>
      <c r="Z407" s="577">
        <f t="shared" si="1082"/>
        <v>70787.268017201292</v>
      </c>
      <c r="AA407" s="577">
        <f t="shared" si="1082"/>
        <v>71842.164256181757</v>
      </c>
      <c r="AB407" s="577">
        <f t="shared" si="1082"/>
        <v>72898.548022542163</v>
      </c>
      <c r="AC407" s="577">
        <f t="shared" si="1082"/>
        <v>73956.099064990805</v>
      </c>
      <c r="AD407" s="577">
        <f t="shared" si="1082"/>
        <v>75015.257403728596</v>
      </c>
      <c r="AE407" s="577">
        <f t="shared" si="1082"/>
        <v>76076.4878160386</v>
      </c>
      <c r="AF407" s="577">
        <f t="shared" si="1082"/>
        <v>77139.537735690348</v>
      </c>
      <c r="AG407" s="577">
        <f t="shared" si="1082"/>
        <v>78204.925406966227</v>
      </c>
      <c r="AH407" s="752">
        <f t="shared" si="1082"/>
        <v>79273.202379188253</v>
      </c>
      <c r="AI407" s="18"/>
      <c r="AJ407" s="18"/>
      <c r="AK407" s="18"/>
      <c r="AL407" s="18"/>
      <c r="AM407" s="18"/>
      <c r="AN407" s="18"/>
    </row>
    <row r="408" spans="2:40" ht="21.95" customHeight="1" x14ac:dyDescent="0.2">
      <c r="B408" s="232"/>
      <c r="C408" s="715"/>
      <c r="D408" s="715"/>
      <c r="E408" s="1340"/>
      <c r="F408" s="116"/>
      <c r="G408" s="116"/>
      <c r="H408" s="721" t="s">
        <v>25</v>
      </c>
      <c r="I408" s="577">
        <f t="shared" ref="I408:AH408" si="1083">SUM(I406:I407)</f>
        <v>82964.27154107322</v>
      </c>
      <c r="J408" s="577">
        <f t="shared" si="1083"/>
        <v>83130.396755540089</v>
      </c>
      <c r="K408" s="577">
        <f t="shared" si="1083"/>
        <v>83296.526330153734</v>
      </c>
      <c r="L408" s="577">
        <f t="shared" si="1083"/>
        <v>83462.660340899354</v>
      </c>
      <c r="M408" s="577">
        <f t="shared" si="1083"/>
        <v>83628.798867945385</v>
      </c>
      <c r="N408" s="577">
        <f t="shared" si="1083"/>
        <v>83794.941992745589</v>
      </c>
      <c r="O408" s="577">
        <f t="shared" si="1083"/>
        <v>83961.089798056928</v>
      </c>
      <c r="P408" s="577">
        <f t="shared" si="1083"/>
        <v>84127.242367957762</v>
      </c>
      <c r="Q408" s="577">
        <f t="shared" si="1083"/>
        <v>84293.39978786635</v>
      </c>
      <c r="R408" s="577">
        <f t="shared" si="1083"/>
        <v>84293.399791284333</v>
      </c>
      <c r="S408" s="577">
        <f t="shared" si="1083"/>
        <v>86287.284524396804</v>
      </c>
      <c r="T408" s="577">
        <f t="shared" si="1083"/>
        <v>88487.70822145787</v>
      </c>
      <c r="U408" s="577">
        <f t="shared" si="1083"/>
        <v>90690.836056027358</v>
      </c>
      <c r="V408" s="577">
        <f t="shared" si="1083"/>
        <v>92468.084634533414</v>
      </c>
      <c r="W408" s="577">
        <f t="shared" si="1083"/>
        <v>93928.231661337442</v>
      </c>
      <c r="X408" s="577">
        <f t="shared" si="1083"/>
        <v>95389.382177986117</v>
      </c>
      <c r="Y408" s="577">
        <f t="shared" si="1083"/>
        <v>96851.685013542476</v>
      </c>
      <c r="Z408" s="577">
        <f t="shared" si="1083"/>
        <v>98315.650023890688</v>
      </c>
      <c r="AA408" s="577">
        <f t="shared" si="1083"/>
        <v>99780.783689141332</v>
      </c>
      <c r="AB408" s="577">
        <f t="shared" si="1083"/>
        <v>101247.9833646419</v>
      </c>
      <c r="AC408" s="577">
        <f t="shared" si="1083"/>
        <v>102716.80425693167</v>
      </c>
      <c r="AD408" s="577">
        <f t="shared" si="1083"/>
        <v>104187.8575051786</v>
      </c>
      <c r="AE408" s="577">
        <f t="shared" si="1083"/>
        <v>105661.78863338695</v>
      </c>
      <c r="AF408" s="577">
        <f t="shared" si="1083"/>
        <v>107138.24685512549</v>
      </c>
      <c r="AG408" s="577">
        <f t="shared" si="1083"/>
        <v>108617.95195411977</v>
      </c>
      <c r="AH408" s="752">
        <f t="shared" si="1083"/>
        <v>110101.6699710948</v>
      </c>
      <c r="AI408" s="18"/>
      <c r="AJ408" s="18"/>
      <c r="AK408" s="18"/>
      <c r="AL408" s="18"/>
      <c r="AM408" s="18"/>
      <c r="AN408" s="18"/>
    </row>
    <row r="409" spans="2:40" ht="21.95" customHeight="1" x14ac:dyDescent="0.2">
      <c r="B409" s="232"/>
      <c r="C409" s="715"/>
      <c r="D409" s="715"/>
      <c r="E409" s="1340"/>
      <c r="F409" s="116" t="s">
        <v>342</v>
      </c>
      <c r="G409" s="116" t="s">
        <v>341</v>
      </c>
      <c r="H409" s="116" t="s">
        <v>20</v>
      </c>
      <c r="I409" s="577">
        <f t="shared" ref="I409:AH409" si="1084">I351*$G$20</f>
        <v>33680.787702483954</v>
      </c>
      <c r="J409" s="577">
        <f t="shared" si="1084"/>
        <v>33748.28261840708</v>
      </c>
      <c r="K409" s="577">
        <f t="shared" si="1084"/>
        <v>33815.780490450314</v>
      </c>
      <c r="L409" s="577">
        <f t="shared" si="1084"/>
        <v>33883.281370130528</v>
      </c>
      <c r="M409" s="577">
        <f t="shared" si="1084"/>
        <v>33950.785311800879</v>
      </c>
      <c r="N409" s="577">
        <f t="shared" si="1084"/>
        <v>34018.292370685893</v>
      </c>
      <c r="O409" s="577">
        <f t="shared" si="1084"/>
        <v>34085.802602893651</v>
      </c>
      <c r="P409" s="577">
        <f t="shared" si="1084"/>
        <v>34153.316065428153</v>
      </c>
      <c r="Q409" s="577">
        <f t="shared" si="1084"/>
        <v>34220.832816201793</v>
      </c>
      <c r="R409" s="577">
        <f t="shared" si="1084"/>
        <v>34220.832818519149</v>
      </c>
      <c r="S409" s="577">
        <f t="shared" si="1084"/>
        <v>35031.14374782348</v>
      </c>
      <c r="T409" s="577">
        <f t="shared" si="1084"/>
        <v>35925.67086446855</v>
      </c>
      <c r="U409" s="577">
        <f t="shared" si="1084"/>
        <v>36821.662057271322</v>
      </c>
      <c r="V409" s="577">
        <f t="shared" si="1084"/>
        <v>37544.778351735789</v>
      </c>
      <c r="W409" s="577">
        <f t="shared" si="1084"/>
        <v>38139.133848504105</v>
      </c>
      <c r="X409" s="577">
        <f t="shared" si="1084"/>
        <v>38734.169697709309</v>
      </c>
      <c r="Y409" s="577">
        <f t="shared" si="1084"/>
        <v>39329.986803427506</v>
      </c>
      <c r="Z409" s="577">
        <f t="shared" si="1084"/>
        <v>39926.838517944991</v>
      </c>
      <c r="AA409" s="577">
        <f t="shared" si="1084"/>
        <v>40524.574887611008</v>
      </c>
      <c r="AB409" s="577">
        <f t="shared" si="1084"/>
        <v>41123.619661012526</v>
      </c>
      <c r="AC409" s="577">
        <f t="shared" si="1084"/>
        <v>41723.855920353271</v>
      </c>
      <c r="AD409" s="577">
        <f t="shared" si="1084"/>
        <v>42325.605686605377</v>
      </c>
      <c r="AE409" s="577">
        <f t="shared" si="1084"/>
        <v>42929.214293191391</v>
      </c>
      <c r="AF409" s="577">
        <f t="shared" si="1084"/>
        <v>43534.628557799704</v>
      </c>
      <c r="AG409" s="577">
        <f t="shared" si="1084"/>
        <v>44142.244160931637</v>
      </c>
      <c r="AH409" s="752">
        <f t="shared" si="1084"/>
        <v>44752.488144703755</v>
      </c>
      <c r="AI409" s="18"/>
      <c r="AJ409" s="18"/>
      <c r="AK409" s="18"/>
      <c r="AL409" s="18"/>
      <c r="AM409" s="18"/>
      <c r="AN409" s="18"/>
    </row>
    <row r="410" spans="2:40" ht="21.95" customHeight="1" x14ac:dyDescent="0.2">
      <c r="B410" s="232"/>
      <c r="C410" s="715"/>
      <c r="D410" s="715"/>
      <c r="E410" s="1340"/>
      <c r="F410" s="116"/>
      <c r="G410" s="116"/>
      <c r="H410" s="124" t="s">
        <v>19</v>
      </c>
      <c r="I410" s="577">
        <f t="shared" ref="I410:AH410" si="1085">I351*$G$21</f>
        <v>86607.739806387297</v>
      </c>
      <c r="J410" s="577">
        <f t="shared" si="1085"/>
        <v>86781.298161618193</v>
      </c>
      <c r="K410" s="577">
        <f t="shared" si="1085"/>
        <v>86954.8641183008</v>
      </c>
      <c r="L410" s="577">
        <f t="shared" si="1085"/>
        <v>87128.437808907052</v>
      </c>
      <c r="M410" s="577">
        <f t="shared" si="1085"/>
        <v>87302.01937320226</v>
      </c>
      <c r="N410" s="577">
        <f t="shared" si="1085"/>
        <v>87475.608953192277</v>
      </c>
      <c r="O410" s="577">
        <f t="shared" si="1085"/>
        <v>87649.206693155094</v>
      </c>
      <c r="P410" s="577">
        <f t="shared" si="1085"/>
        <v>87822.812739672387</v>
      </c>
      <c r="Q410" s="577">
        <f t="shared" si="1085"/>
        <v>87996.427241661746</v>
      </c>
      <c r="R410" s="577">
        <f t="shared" si="1085"/>
        <v>87996.427247620653</v>
      </c>
      <c r="S410" s="577">
        <f t="shared" si="1085"/>
        <v>90080.083922974649</v>
      </c>
      <c r="T410" s="577">
        <f t="shared" si="1085"/>
        <v>92380.296508633401</v>
      </c>
      <c r="U410" s="577">
        <f t="shared" si="1085"/>
        <v>94684.273861554815</v>
      </c>
      <c r="V410" s="577">
        <f t="shared" si="1085"/>
        <v>96543.71576160629</v>
      </c>
      <c r="W410" s="577">
        <f t="shared" si="1085"/>
        <v>98072.058467581985</v>
      </c>
      <c r="X410" s="577">
        <f t="shared" si="1085"/>
        <v>99602.150651252494</v>
      </c>
      <c r="Y410" s="577">
        <f t="shared" si="1085"/>
        <v>101134.25178024215</v>
      </c>
      <c r="Z410" s="577">
        <f t="shared" si="1085"/>
        <v>102669.01333185853</v>
      </c>
      <c r="AA410" s="577">
        <f t="shared" si="1085"/>
        <v>104206.04971099972</v>
      </c>
      <c r="AB410" s="577">
        <f t="shared" si="1085"/>
        <v>105746.45055688934</v>
      </c>
      <c r="AC410" s="577">
        <f t="shared" si="1085"/>
        <v>107289.91522376554</v>
      </c>
      <c r="AD410" s="577">
        <f t="shared" si="1085"/>
        <v>108837.27176555667</v>
      </c>
      <c r="AE410" s="577">
        <f t="shared" si="1085"/>
        <v>110389.40818249213</v>
      </c>
      <c r="AF410" s="577">
        <f t="shared" si="1085"/>
        <v>111946.18772005636</v>
      </c>
      <c r="AG410" s="577">
        <f t="shared" si="1085"/>
        <v>113508.62784239562</v>
      </c>
      <c r="AH410" s="752">
        <f t="shared" si="1085"/>
        <v>115077.82665780964</v>
      </c>
      <c r="AI410" s="18"/>
      <c r="AJ410" s="18"/>
      <c r="AK410" s="18"/>
      <c r="AL410" s="18"/>
      <c r="AM410" s="18"/>
      <c r="AN410" s="18"/>
    </row>
    <row r="411" spans="2:40" ht="21.95" customHeight="1" x14ac:dyDescent="0.2">
      <c r="B411" s="232"/>
      <c r="C411" s="715"/>
      <c r="D411" s="715"/>
      <c r="E411" s="1340"/>
      <c r="F411" s="116"/>
      <c r="G411" s="116"/>
      <c r="H411" s="721" t="s">
        <v>25</v>
      </c>
      <c r="I411" s="577">
        <f t="shared" ref="I411:AH411" si="1086">SUM(I409:I410)</f>
        <v>120288.52750887125</v>
      </c>
      <c r="J411" s="577">
        <f t="shared" si="1086"/>
        <v>120529.58078002528</v>
      </c>
      <c r="K411" s="577">
        <f t="shared" si="1086"/>
        <v>120770.64460875111</v>
      </c>
      <c r="L411" s="577">
        <f t="shared" si="1086"/>
        <v>121011.71917903758</v>
      </c>
      <c r="M411" s="577">
        <f t="shared" si="1086"/>
        <v>121252.80468500314</v>
      </c>
      <c r="N411" s="577">
        <f t="shared" si="1086"/>
        <v>121493.90132387818</v>
      </c>
      <c r="O411" s="577">
        <f t="shared" si="1086"/>
        <v>121735.00929604875</v>
      </c>
      <c r="P411" s="577">
        <f t="shared" si="1086"/>
        <v>121976.12880510054</v>
      </c>
      <c r="Q411" s="577">
        <f t="shared" si="1086"/>
        <v>122217.26005786355</v>
      </c>
      <c r="R411" s="577">
        <f t="shared" si="1086"/>
        <v>122217.2600661398</v>
      </c>
      <c r="S411" s="577">
        <f t="shared" si="1086"/>
        <v>125111.22767079814</v>
      </c>
      <c r="T411" s="577">
        <f t="shared" si="1086"/>
        <v>128305.96737310194</v>
      </c>
      <c r="U411" s="577">
        <f t="shared" si="1086"/>
        <v>131505.93591882614</v>
      </c>
      <c r="V411" s="577">
        <f t="shared" si="1086"/>
        <v>134088.49411334208</v>
      </c>
      <c r="W411" s="577">
        <f t="shared" si="1086"/>
        <v>136211.19231608609</v>
      </c>
      <c r="X411" s="577">
        <f t="shared" si="1086"/>
        <v>138336.3203489618</v>
      </c>
      <c r="Y411" s="577">
        <f t="shared" si="1086"/>
        <v>140464.23858366965</v>
      </c>
      <c r="Z411" s="577">
        <f t="shared" si="1086"/>
        <v>142595.85184980353</v>
      </c>
      <c r="AA411" s="577">
        <f t="shared" si="1086"/>
        <v>144730.62459861074</v>
      </c>
      <c r="AB411" s="577">
        <f t="shared" si="1086"/>
        <v>146870.07021790187</v>
      </c>
      <c r="AC411" s="577">
        <f t="shared" si="1086"/>
        <v>149013.7711441188</v>
      </c>
      <c r="AD411" s="577">
        <f t="shared" si="1086"/>
        <v>151162.87745216204</v>
      </c>
      <c r="AE411" s="577">
        <f t="shared" si="1086"/>
        <v>153318.62247568351</v>
      </c>
      <c r="AF411" s="577">
        <f t="shared" si="1086"/>
        <v>155480.81627785607</v>
      </c>
      <c r="AG411" s="577">
        <f t="shared" si="1086"/>
        <v>157650.87200332727</v>
      </c>
      <c r="AH411" s="752">
        <f t="shared" si="1086"/>
        <v>159830.3148025134</v>
      </c>
      <c r="AI411" s="18"/>
      <c r="AJ411" s="18"/>
      <c r="AK411" s="18"/>
      <c r="AL411" s="18"/>
      <c r="AM411" s="18"/>
      <c r="AN411" s="18"/>
    </row>
    <row r="412" spans="2:40" ht="21.95" customHeight="1" x14ac:dyDescent="0.2">
      <c r="B412" s="232"/>
      <c r="C412" s="715"/>
      <c r="D412" s="715"/>
      <c r="E412" s="1340"/>
      <c r="F412" s="116" t="s">
        <v>341</v>
      </c>
      <c r="G412" s="116" t="s">
        <v>344</v>
      </c>
      <c r="H412" s="116" t="s">
        <v>20</v>
      </c>
      <c r="I412" s="577">
        <f t="shared" ref="I412:AH412" si="1087">I352*$G$20</f>
        <v>34819.292475327915</v>
      </c>
      <c r="J412" s="577">
        <f t="shared" si="1087"/>
        <v>34889.66310863226</v>
      </c>
      <c r="K412" s="577">
        <f t="shared" si="1087"/>
        <v>34960.049971233464</v>
      </c>
      <c r="L412" s="577">
        <f t="shared" si="1087"/>
        <v>35030.453345962684</v>
      </c>
      <c r="M412" s="577">
        <f t="shared" si="1087"/>
        <v>35100.873531222365</v>
      </c>
      <c r="N412" s="577">
        <f t="shared" si="1087"/>
        <v>35171.310830198774</v>
      </c>
      <c r="O412" s="577">
        <f t="shared" si="1087"/>
        <v>35241.765550929078</v>
      </c>
      <c r="P412" s="577">
        <f t="shared" si="1087"/>
        <v>35312.238006369007</v>
      </c>
      <c r="Q412" s="577">
        <f t="shared" si="1087"/>
        <v>35382.72851446156</v>
      </c>
      <c r="R412" s="577">
        <f t="shared" si="1087"/>
        <v>35382.728527183994</v>
      </c>
      <c r="S412" s="577">
        <f t="shared" si="1087"/>
        <v>35551.808208274982</v>
      </c>
      <c r="T412" s="577">
        <f t="shared" si="1087"/>
        <v>36150.596608886983</v>
      </c>
      <c r="U412" s="577">
        <f t="shared" si="1087"/>
        <v>36735.662062758311</v>
      </c>
      <c r="V412" s="577">
        <f t="shared" si="1087"/>
        <v>37132.016493290263</v>
      </c>
      <c r="W412" s="577">
        <f t="shared" si="1087"/>
        <v>37387.474053547761</v>
      </c>
      <c r="X412" s="577">
        <f t="shared" si="1087"/>
        <v>37979.730880072588</v>
      </c>
      <c r="Y412" s="577">
        <f t="shared" si="1087"/>
        <v>38574.363066427606</v>
      </c>
      <c r="Z412" s="577">
        <f t="shared" si="1087"/>
        <v>39171.856812627811</v>
      </c>
      <c r="AA412" s="577">
        <f t="shared" si="1087"/>
        <v>39772.324165393111</v>
      </c>
      <c r="AB412" s="577">
        <f t="shared" si="1087"/>
        <v>40376.485500775299</v>
      </c>
      <c r="AC412" s="577">
        <f t="shared" si="1087"/>
        <v>40984.553304888541</v>
      </c>
      <c r="AD412" s="577">
        <f t="shared" si="1087"/>
        <v>41597.222646326059</v>
      </c>
      <c r="AE412" s="577">
        <f t="shared" si="1087"/>
        <v>42215.259470866673</v>
      </c>
      <c r="AF412" s="577">
        <f t="shared" si="1087"/>
        <v>42839.070040556231</v>
      </c>
      <c r="AG412" s="577">
        <f t="shared" si="1087"/>
        <v>43469.573372137755</v>
      </c>
      <c r="AH412" s="752">
        <f t="shared" si="1087"/>
        <v>44107.783831534492</v>
      </c>
      <c r="AI412" s="18"/>
      <c r="AJ412" s="18"/>
      <c r="AK412" s="18"/>
      <c r="AL412" s="18"/>
      <c r="AM412" s="18"/>
      <c r="AN412" s="18"/>
    </row>
    <row r="413" spans="2:40" ht="21.95" customHeight="1" x14ac:dyDescent="0.2">
      <c r="B413" s="232"/>
      <c r="C413" s="715"/>
      <c r="D413" s="715"/>
      <c r="E413" s="1340"/>
      <c r="F413" s="116"/>
      <c r="G413" s="116"/>
      <c r="H413" s="124" t="s">
        <v>19</v>
      </c>
      <c r="I413" s="577">
        <f t="shared" ref="I413:AH413" si="1088">I352*$G$21</f>
        <v>89535.323507986061</v>
      </c>
      <c r="J413" s="577">
        <f t="shared" si="1088"/>
        <v>89716.276565054373</v>
      </c>
      <c r="K413" s="577">
        <f t="shared" si="1088"/>
        <v>89897.271354600322</v>
      </c>
      <c r="L413" s="577">
        <f t="shared" si="1088"/>
        <v>90078.308603904035</v>
      </c>
      <c r="M413" s="577">
        <f t="shared" si="1088"/>
        <v>90259.38908028607</v>
      </c>
      <c r="N413" s="577">
        <f t="shared" si="1088"/>
        <v>90440.513563368266</v>
      </c>
      <c r="O413" s="577">
        <f t="shared" si="1088"/>
        <v>90621.682845246178</v>
      </c>
      <c r="P413" s="577">
        <f t="shared" si="1088"/>
        <v>90802.897730663157</v>
      </c>
      <c r="Q413" s="577">
        <f t="shared" si="1088"/>
        <v>90984.159037186851</v>
      </c>
      <c r="R413" s="577">
        <f t="shared" si="1088"/>
        <v>90984.159069901696</v>
      </c>
      <c r="S413" s="577">
        <f t="shared" si="1088"/>
        <v>91418.935392707092</v>
      </c>
      <c r="T413" s="577">
        <f t="shared" si="1088"/>
        <v>92958.676994280802</v>
      </c>
      <c r="U413" s="577">
        <f t="shared" si="1088"/>
        <v>94463.131018521352</v>
      </c>
      <c r="V413" s="577">
        <f t="shared" si="1088"/>
        <v>95482.328125603526</v>
      </c>
      <c r="W413" s="577">
        <f t="shared" si="1088"/>
        <v>96139.218994837094</v>
      </c>
      <c r="X413" s="577">
        <f t="shared" si="1088"/>
        <v>97662.165120186648</v>
      </c>
      <c r="Y413" s="577">
        <f t="shared" si="1088"/>
        <v>99191.219313670968</v>
      </c>
      <c r="Z413" s="577">
        <f t="shared" si="1088"/>
        <v>100727.63180390006</v>
      </c>
      <c r="AA413" s="577">
        <f t="shared" si="1088"/>
        <v>102271.69071101084</v>
      </c>
      <c r="AB413" s="577">
        <f t="shared" si="1088"/>
        <v>103825.24843056504</v>
      </c>
      <c r="AC413" s="577">
        <f t="shared" si="1088"/>
        <v>105388.85135542767</v>
      </c>
      <c r="AD413" s="577">
        <f t="shared" si="1088"/>
        <v>106964.28680483843</v>
      </c>
      <c r="AE413" s="577">
        <f t="shared" si="1088"/>
        <v>108553.52435365715</v>
      </c>
      <c r="AF413" s="577">
        <f t="shared" si="1088"/>
        <v>110157.60867571601</v>
      </c>
      <c r="AG413" s="577">
        <f t="shared" si="1088"/>
        <v>111778.90295692564</v>
      </c>
      <c r="AH413" s="752">
        <f t="shared" si="1088"/>
        <v>113420.01556680296</v>
      </c>
      <c r="AI413" s="18"/>
      <c r="AJ413" s="18"/>
      <c r="AK413" s="18"/>
      <c r="AL413" s="18"/>
      <c r="AM413" s="18"/>
      <c r="AN413" s="18"/>
    </row>
    <row r="414" spans="2:40" ht="21.95" customHeight="1" x14ac:dyDescent="0.2">
      <c r="B414" s="232"/>
      <c r="C414" s="715"/>
      <c r="D414" s="715"/>
      <c r="E414" s="1340"/>
      <c r="F414" s="116"/>
      <c r="G414" s="116"/>
      <c r="H414" s="721" t="s">
        <v>25</v>
      </c>
      <c r="I414" s="577">
        <f t="shared" ref="I414:AH414" si="1089">SUM(I412:I413)</f>
        <v>124354.61598331397</v>
      </c>
      <c r="J414" s="577">
        <f t="shared" si="1089"/>
        <v>124605.93967368663</v>
      </c>
      <c r="K414" s="577">
        <f t="shared" si="1089"/>
        <v>124857.32132583379</v>
      </c>
      <c r="L414" s="577">
        <f t="shared" si="1089"/>
        <v>125108.76194986672</v>
      </c>
      <c r="M414" s="577">
        <f t="shared" si="1089"/>
        <v>125360.26261150843</v>
      </c>
      <c r="N414" s="577">
        <f t="shared" si="1089"/>
        <v>125611.82439356705</v>
      </c>
      <c r="O414" s="577">
        <f t="shared" si="1089"/>
        <v>125863.44839617526</v>
      </c>
      <c r="P414" s="577">
        <f t="shared" si="1089"/>
        <v>126115.13573703216</v>
      </c>
      <c r="Q414" s="577">
        <f t="shared" si="1089"/>
        <v>126366.88755164841</v>
      </c>
      <c r="R414" s="577">
        <f t="shared" si="1089"/>
        <v>126366.88759708569</v>
      </c>
      <c r="S414" s="577">
        <f t="shared" si="1089"/>
        <v>126970.74360098207</v>
      </c>
      <c r="T414" s="577">
        <f t="shared" si="1089"/>
        <v>129109.27360316779</v>
      </c>
      <c r="U414" s="577">
        <f t="shared" si="1089"/>
        <v>131198.79308127967</v>
      </c>
      <c r="V414" s="577">
        <f t="shared" si="1089"/>
        <v>132614.34461889378</v>
      </c>
      <c r="W414" s="577">
        <f t="shared" si="1089"/>
        <v>133526.69304838486</v>
      </c>
      <c r="X414" s="577">
        <f t="shared" si="1089"/>
        <v>135641.89600025924</v>
      </c>
      <c r="Y414" s="577">
        <f t="shared" si="1089"/>
        <v>137765.58238009858</v>
      </c>
      <c r="Z414" s="577">
        <f t="shared" si="1089"/>
        <v>139899.48861652787</v>
      </c>
      <c r="AA414" s="577">
        <f t="shared" si="1089"/>
        <v>142044.01487640396</v>
      </c>
      <c r="AB414" s="577">
        <f t="shared" si="1089"/>
        <v>144201.73393134034</v>
      </c>
      <c r="AC414" s="577">
        <f t="shared" si="1089"/>
        <v>146373.40466031621</v>
      </c>
      <c r="AD414" s="577">
        <f t="shared" si="1089"/>
        <v>148561.50945116449</v>
      </c>
      <c r="AE414" s="577">
        <f t="shared" si="1089"/>
        <v>150768.78382452382</v>
      </c>
      <c r="AF414" s="577">
        <f t="shared" si="1089"/>
        <v>152996.67871627223</v>
      </c>
      <c r="AG414" s="577">
        <f t="shared" si="1089"/>
        <v>155248.47632906339</v>
      </c>
      <c r="AH414" s="752">
        <f t="shared" si="1089"/>
        <v>157527.79939833746</v>
      </c>
      <c r="AI414" s="18"/>
      <c r="AJ414" s="18"/>
      <c r="AK414" s="18"/>
      <c r="AL414" s="18"/>
      <c r="AM414" s="18"/>
      <c r="AN414" s="18"/>
    </row>
    <row r="415" spans="2:40" ht="21.95" customHeight="1" x14ac:dyDescent="0.2">
      <c r="B415" s="232"/>
      <c r="C415" s="715"/>
      <c r="D415" s="715"/>
      <c r="E415" s="1340"/>
      <c r="F415" s="116" t="s">
        <v>344</v>
      </c>
      <c r="G415" s="116" t="s">
        <v>345</v>
      </c>
      <c r="H415" s="116" t="s">
        <v>20</v>
      </c>
      <c r="I415" s="577">
        <f t="shared" ref="I415:AH415" si="1090">I353*$G$20</f>
        <v>11741.239252066247</v>
      </c>
      <c r="J415" s="577">
        <f t="shared" si="1090"/>
        <v>11764.812525686757</v>
      </c>
      <c r="K415" s="577">
        <f t="shared" si="1090"/>
        <v>11788.387812208317</v>
      </c>
      <c r="L415" s="577">
        <f t="shared" si="1090"/>
        <v>11811.965146710145</v>
      </c>
      <c r="M415" s="577">
        <f t="shared" si="1090"/>
        <v>11835.544566202752</v>
      </c>
      <c r="N415" s="577">
        <f t="shared" si="1090"/>
        <v>11859.126108289987</v>
      </c>
      <c r="O415" s="577">
        <f t="shared" si="1090"/>
        <v>11882.709811177345</v>
      </c>
      <c r="P415" s="577">
        <f t="shared" si="1090"/>
        <v>11906.295713680367</v>
      </c>
      <c r="Q415" s="577">
        <f t="shared" si="1090"/>
        <v>11929.883855233154</v>
      </c>
      <c r="R415" s="577">
        <f t="shared" si="1090"/>
        <v>11929.883856811104</v>
      </c>
      <c r="S415" s="577">
        <f t="shared" si="1090"/>
        <v>11986.446870925596</v>
      </c>
      <c r="T415" s="577">
        <f t="shared" si="1090"/>
        <v>12186.569406701019</v>
      </c>
      <c r="U415" s="577">
        <f t="shared" si="1090"/>
        <v>12381.782291887001</v>
      </c>
      <c r="V415" s="577">
        <f t="shared" si="1090"/>
        <v>12513.825128480939</v>
      </c>
      <c r="W415" s="577">
        <f t="shared" si="1090"/>
        <v>12598.833042482505</v>
      </c>
      <c r="X415" s="577">
        <f t="shared" si="1090"/>
        <v>12795.599479733579</v>
      </c>
      <c r="Y415" s="577">
        <f t="shared" si="1090"/>
        <v>12992.660530135729</v>
      </c>
      <c r="Z415" s="577">
        <f t="shared" si="1090"/>
        <v>13190.105273531935</v>
      </c>
      <c r="AA415" s="577">
        <f t="shared" si="1090"/>
        <v>13387.890052920891</v>
      </c>
      <c r="AB415" s="577">
        <f t="shared" si="1090"/>
        <v>13586.161769744042</v>
      </c>
      <c r="AC415" s="577">
        <f t="shared" si="1090"/>
        <v>13784.889224382776</v>
      </c>
      <c r="AD415" s="577">
        <f t="shared" si="1090"/>
        <v>13984.187402409891</v>
      </c>
      <c r="AE415" s="577">
        <f t="shared" si="1090"/>
        <v>14184.180080214092</v>
      </c>
      <c r="AF415" s="577">
        <f t="shared" si="1090"/>
        <v>14384.860091982982</v>
      </c>
      <c r="AG415" s="577">
        <f t="shared" si="1090"/>
        <v>14586.370199321123</v>
      </c>
      <c r="AH415" s="752">
        <f t="shared" si="1090"/>
        <v>14788.864989882362</v>
      </c>
      <c r="AI415" s="18"/>
      <c r="AJ415" s="18"/>
      <c r="AK415" s="18"/>
      <c r="AL415" s="18"/>
      <c r="AM415" s="18"/>
      <c r="AN415" s="18"/>
    </row>
    <row r="416" spans="2:40" ht="21.95" customHeight="1" x14ac:dyDescent="0.2">
      <c r="B416" s="232"/>
      <c r="C416" s="715"/>
      <c r="D416" s="715"/>
      <c r="E416" s="1340"/>
      <c r="F416" s="116"/>
      <c r="G416" s="116"/>
      <c r="H416" s="124" t="s">
        <v>19</v>
      </c>
      <c r="I416" s="577">
        <f t="shared" ref="I416:AH416" si="1091">I353*$G$21</f>
        <v>30191.758076741775</v>
      </c>
      <c r="J416" s="577">
        <f t="shared" si="1091"/>
        <v>30252.37506605166</v>
      </c>
      <c r="K416" s="577">
        <f t="shared" si="1091"/>
        <v>30312.997231392812</v>
      </c>
      <c r="L416" s="577">
        <f t="shared" si="1091"/>
        <v>30373.624662968941</v>
      </c>
      <c r="M416" s="577">
        <f t="shared" si="1091"/>
        <v>30434.25745594993</v>
      </c>
      <c r="N416" s="577">
        <f t="shared" si="1091"/>
        <v>30494.895707031392</v>
      </c>
      <c r="O416" s="577">
        <f t="shared" si="1091"/>
        <v>30555.539514456024</v>
      </c>
      <c r="P416" s="577">
        <f t="shared" si="1091"/>
        <v>30616.188978035229</v>
      </c>
      <c r="Q416" s="577">
        <f t="shared" si="1091"/>
        <v>30676.844199170966</v>
      </c>
      <c r="R416" s="577">
        <f t="shared" si="1091"/>
        <v>30676.844203228549</v>
      </c>
      <c r="S416" s="577">
        <f t="shared" si="1091"/>
        <v>30822.291953808672</v>
      </c>
      <c r="T416" s="577">
        <f t="shared" si="1091"/>
        <v>31336.892760088333</v>
      </c>
      <c r="U416" s="577">
        <f t="shared" si="1091"/>
        <v>31838.868750566566</v>
      </c>
      <c r="V416" s="577">
        <f t="shared" si="1091"/>
        <v>32178.407473236697</v>
      </c>
      <c r="W416" s="577">
        <f t="shared" si="1091"/>
        <v>32396.999252097867</v>
      </c>
      <c r="X416" s="577">
        <f t="shared" si="1091"/>
        <v>32902.970090743482</v>
      </c>
      <c r="Y416" s="577">
        <f t="shared" si="1091"/>
        <v>33409.698506063301</v>
      </c>
      <c r="Z416" s="577">
        <f t="shared" si="1091"/>
        <v>33917.413560510686</v>
      </c>
      <c r="AA416" s="577">
        <f t="shared" si="1091"/>
        <v>34426.002993225142</v>
      </c>
      <c r="AB416" s="577">
        <f t="shared" si="1091"/>
        <v>34935.844550770387</v>
      </c>
      <c r="AC416" s="577">
        <f t="shared" si="1091"/>
        <v>35446.858005555703</v>
      </c>
      <c r="AD416" s="577">
        <f t="shared" si="1091"/>
        <v>35959.339034768287</v>
      </c>
      <c r="AE416" s="577">
        <f t="shared" si="1091"/>
        <v>36473.605920550515</v>
      </c>
      <c r="AF416" s="577">
        <f t="shared" si="1091"/>
        <v>36989.640236527659</v>
      </c>
      <c r="AG416" s="577">
        <f t="shared" si="1091"/>
        <v>37507.809083968597</v>
      </c>
      <c r="AH416" s="752">
        <f t="shared" si="1091"/>
        <v>38028.509973983208</v>
      </c>
      <c r="AI416" s="18"/>
      <c r="AJ416" s="18"/>
      <c r="AK416" s="18"/>
      <c r="AL416" s="18"/>
      <c r="AM416" s="18"/>
      <c r="AN416" s="18"/>
    </row>
    <row r="417" spans="2:40" ht="21.95" customHeight="1" x14ac:dyDescent="0.2">
      <c r="B417" s="232"/>
      <c r="C417" s="715"/>
      <c r="D417" s="715"/>
      <c r="E417" s="1340"/>
      <c r="F417" s="116"/>
      <c r="G417" s="116"/>
      <c r="H417" s="721" t="s">
        <v>25</v>
      </c>
      <c r="I417" s="577">
        <f t="shared" ref="I417:AH417" si="1092">SUM(I415:I416)</f>
        <v>41932.997328808022</v>
      </c>
      <c r="J417" s="577">
        <f t="shared" si="1092"/>
        <v>42017.187591738417</v>
      </c>
      <c r="K417" s="577">
        <f t="shared" si="1092"/>
        <v>42101.385043601127</v>
      </c>
      <c r="L417" s="577">
        <f t="shared" si="1092"/>
        <v>42185.589809679084</v>
      </c>
      <c r="M417" s="577">
        <f t="shared" si="1092"/>
        <v>42269.802022152682</v>
      </c>
      <c r="N417" s="577">
        <f t="shared" si="1092"/>
        <v>42354.021815321379</v>
      </c>
      <c r="O417" s="577">
        <f t="shared" si="1092"/>
        <v>42438.249325633369</v>
      </c>
      <c r="P417" s="577">
        <f t="shared" si="1092"/>
        <v>42522.484691715596</v>
      </c>
      <c r="Q417" s="577">
        <f t="shared" si="1092"/>
        <v>42606.72805440412</v>
      </c>
      <c r="R417" s="577">
        <f t="shared" si="1092"/>
        <v>42606.728060039655</v>
      </c>
      <c r="S417" s="577">
        <f t="shared" si="1092"/>
        <v>42808.738824734268</v>
      </c>
      <c r="T417" s="577">
        <f t="shared" si="1092"/>
        <v>43523.462166789352</v>
      </c>
      <c r="U417" s="577">
        <f t="shared" si="1092"/>
        <v>44220.651042453566</v>
      </c>
      <c r="V417" s="577">
        <f t="shared" si="1092"/>
        <v>44692.232601717638</v>
      </c>
      <c r="W417" s="577">
        <f t="shared" si="1092"/>
        <v>44995.832294580374</v>
      </c>
      <c r="X417" s="577">
        <f t="shared" si="1092"/>
        <v>45698.569570477062</v>
      </c>
      <c r="Y417" s="577">
        <f t="shared" si="1092"/>
        <v>46402.359036199028</v>
      </c>
      <c r="Z417" s="577">
        <f t="shared" si="1092"/>
        <v>47107.518834042625</v>
      </c>
      <c r="AA417" s="577">
        <f t="shared" si="1092"/>
        <v>47813.893046146033</v>
      </c>
      <c r="AB417" s="577">
        <f t="shared" si="1092"/>
        <v>48522.006320514425</v>
      </c>
      <c r="AC417" s="577">
        <f t="shared" si="1092"/>
        <v>49231.747229938483</v>
      </c>
      <c r="AD417" s="577">
        <f t="shared" si="1092"/>
        <v>49943.526437178181</v>
      </c>
      <c r="AE417" s="577">
        <f t="shared" si="1092"/>
        <v>50657.786000764609</v>
      </c>
      <c r="AF417" s="577">
        <f t="shared" si="1092"/>
        <v>51374.500328510643</v>
      </c>
      <c r="AG417" s="577">
        <f t="shared" si="1092"/>
        <v>52094.179283289719</v>
      </c>
      <c r="AH417" s="752">
        <f t="shared" si="1092"/>
        <v>52817.374963865572</v>
      </c>
      <c r="AI417" s="18"/>
      <c r="AJ417" s="18"/>
      <c r="AK417" s="18"/>
      <c r="AL417" s="18"/>
      <c r="AM417" s="18"/>
      <c r="AN417" s="18"/>
    </row>
    <row r="418" spans="2:40" ht="21.95" customHeight="1" x14ac:dyDescent="0.2">
      <c r="B418" s="232"/>
      <c r="C418" s="715"/>
      <c r="D418" s="715"/>
      <c r="E418" s="1340"/>
      <c r="F418" s="116" t="s">
        <v>345</v>
      </c>
      <c r="G418" s="116" t="s">
        <v>323</v>
      </c>
      <c r="H418" s="116" t="s">
        <v>20</v>
      </c>
      <c r="I418" s="577">
        <f t="shared" ref="I418:AH418" si="1093">I354*$G$20</f>
        <v>115992.32479907914</v>
      </c>
      <c r="J418" s="577">
        <f t="shared" si="1093"/>
        <v>118664.73731916575</v>
      </c>
      <c r="K418" s="577">
        <f t="shared" si="1093"/>
        <v>122578.64712778485</v>
      </c>
      <c r="L418" s="577">
        <f t="shared" si="1093"/>
        <v>127282.8301174072</v>
      </c>
      <c r="M418" s="577">
        <f t="shared" si="1093"/>
        <v>132003.74973208466</v>
      </c>
      <c r="N418" s="577">
        <f t="shared" si="1093"/>
        <v>136746.50405352813</v>
      </c>
      <c r="O418" s="577">
        <f t="shared" si="1093"/>
        <v>141516.84221628521</v>
      </c>
      <c r="P418" s="577">
        <f t="shared" si="1093"/>
        <v>146329.33937332922</v>
      </c>
      <c r="Q418" s="577">
        <f t="shared" si="1093"/>
        <v>150511.39960240756</v>
      </c>
      <c r="R418" s="577">
        <f t="shared" si="1093"/>
        <v>154743.33712538215</v>
      </c>
      <c r="S418" s="577">
        <f t="shared" si="1093"/>
        <v>159039.04506759872</v>
      </c>
      <c r="T418" s="577">
        <f t="shared" si="1093"/>
        <v>163414.88691674234</v>
      </c>
      <c r="U418" s="577">
        <f t="shared" si="1093"/>
        <v>167893.98566131928</v>
      </c>
      <c r="V418" s="577">
        <f t="shared" si="1093"/>
        <v>171594.76134681609</v>
      </c>
      <c r="W418" s="577">
        <f t="shared" si="1093"/>
        <v>174704.88942526546</v>
      </c>
      <c r="X418" s="577">
        <f t="shared" si="1093"/>
        <v>177890.10786547879</v>
      </c>
      <c r="Y418" s="577">
        <f t="shared" si="1093"/>
        <v>181161.5534300649</v>
      </c>
      <c r="Z418" s="577">
        <f t="shared" si="1093"/>
        <v>184532.60541674393</v>
      </c>
      <c r="AA418" s="577">
        <f t="shared" si="1093"/>
        <v>188015.87975764304</v>
      </c>
      <c r="AB418" s="577">
        <f t="shared" si="1093"/>
        <v>191628.97921273357</v>
      </c>
      <c r="AC418" s="577">
        <f t="shared" si="1093"/>
        <v>195388.16587476482</v>
      </c>
      <c r="AD418" s="577">
        <f t="shared" si="1093"/>
        <v>199314.39799051997</v>
      </c>
      <c r="AE418" s="577">
        <f t="shared" si="1093"/>
        <v>203431.20679723928</v>
      </c>
      <c r="AF418" s="577">
        <f t="shared" si="1093"/>
        <v>207761.88886031511</v>
      </c>
      <c r="AG418" s="577">
        <f t="shared" si="1093"/>
        <v>212335.53221395891</v>
      </c>
      <c r="AH418" s="752">
        <f t="shared" si="1093"/>
        <v>217184.68626756265</v>
      </c>
      <c r="AI418" s="18"/>
      <c r="AJ418" s="18"/>
      <c r="AK418" s="18"/>
      <c r="AL418" s="18"/>
      <c r="AM418" s="18"/>
      <c r="AN418" s="18"/>
    </row>
    <row r="419" spans="2:40" ht="21.95" customHeight="1" x14ac:dyDescent="0.2">
      <c r="B419" s="232"/>
      <c r="C419" s="715"/>
      <c r="D419" s="715"/>
      <c r="E419" s="1340"/>
      <c r="F419" s="116"/>
      <c r="G419" s="116"/>
      <c r="H419" s="124" t="s">
        <v>19</v>
      </c>
      <c r="I419" s="577">
        <f t="shared" ref="I419:AH419" si="1094">I354*$G$21</f>
        <v>298265.97805477487</v>
      </c>
      <c r="J419" s="577">
        <f t="shared" si="1094"/>
        <v>305137.89596356906</v>
      </c>
      <c r="K419" s="577">
        <f t="shared" si="1094"/>
        <v>315202.23547144671</v>
      </c>
      <c r="L419" s="577">
        <f t="shared" si="1094"/>
        <v>327298.70601618988</v>
      </c>
      <c r="M419" s="577">
        <f t="shared" si="1094"/>
        <v>339438.21359678911</v>
      </c>
      <c r="N419" s="577">
        <f t="shared" si="1094"/>
        <v>351633.86756621517</v>
      </c>
      <c r="O419" s="577">
        <f t="shared" si="1094"/>
        <v>363900.45141330478</v>
      </c>
      <c r="P419" s="577">
        <f t="shared" si="1094"/>
        <v>376275.44410284649</v>
      </c>
      <c r="Q419" s="577">
        <f t="shared" si="1094"/>
        <v>387029.31326333369</v>
      </c>
      <c r="R419" s="577">
        <f t="shared" si="1094"/>
        <v>397911.43832241115</v>
      </c>
      <c r="S419" s="577">
        <f t="shared" si="1094"/>
        <v>408957.54445953952</v>
      </c>
      <c r="T419" s="577">
        <f t="shared" si="1094"/>
        <v>420209.70921448024</v>
      </c>
      <c r="U419" s="577">
        <f t="shared" si="1094"/>
        <v>431727.39170053526</v>
      </c>
      <c r="V419" s="577">
        <f t="shared" si="1094"/>
        <v>441243.6720346699</v>
      </c>
      <c r="W419" s="577">
        <f t="shared" si="1094"/>
        <v>449241.14423639682</v>
      </c>
      <c r="X419" s="577">
        <f t="shared" si="1094"/>
        <v>457431.70593980252</v>
      </c>
      <c r="Y419" s="577">
        <f t="shared" si="1094"/>
        <v>465843.99453445256</v>
      </c>
      <c r="Z419" s="577">
        <f t="shared" si="1094"/>
        <v>474512.41392877005</v>
      </c>
      <c r="AA419" s="577">
        <f t="shared" si="1094"/>
        <v>483469.40509108204</v>
      </c>
      <c r="AB419" s="577">
        <f t="shared" si="1094"/>
        <v>492760.23226131487</v>
      </c>
      <c r="AC419" s="577">
        <f t="shared" si="1094"/>
        <v>502426.7122493952</v>
      </c>
      <c r="AD419" s="577">
        <f t="shared" si="1094"/>
        <v>512522.73768990842</v>
      </c>
      <c r="AE419" s="577">
        <f t="shared" si="1094"/>
        <v>523108.81747861521</v>
      </c>
      <c r="AF419" s="577">
        <f t="shared" si="1094"/>
        <v>534244.85706938163</v>
      </c>
      <c r="AG419" s="577">
        <f t="shared" si="1094"/>
        <v>546005.65426446567</v>
      </c>
      <c r="AH419" s="752">
        <f t="shared" si="1094"/>
        <v>558474.90754516097</v>
      </c>
      <c r="AI419" s="18"/>
      <c r="AJ419" s="18"/>
      <c r="AK419" s="18"/>
      <c r="AL419" s="18"/>
      <c r="AM419" s="18"/>
      <c r="AN419" s="18"/>
    </row>
    <row r="420" spans="2:40" ht="21.95" customHeight="1" x14ac:dyDescent="0.2">
      <c r="B420" s="232"/>
      <c r="C420" s="715"/>
      <c r="D420" s="715"/>
      <c r="E420" s="1340"/>
      <c r="F420" s="116"/>
      <c r="G420" s="116"/>
      <c r="H420" s="721" t="s">
        <v>25</v>
      </c>
      <c r="I420" s="577">
        <f t="shared" ref="I420:AH420" si="1095">SUM(I418:I419)</f>
        <v>414258.30285385402</v>
      </c>
      <c r="J420" s="577">
        <f t="shared" si="1095"/>
        <v>423802.63328273478</v>
      </c>
      <c r="K420" s="577">
        <f t="shared" si="1095"/>
        <v>437780.88259923155</v>
      </c>
      <c r="L420" s="577">
        <f t="shared" si="1095"/>
        <v>454581.53613359708</v>
      </c>
      <c r="M420" s="577">
        <f t="shared" si="1095"/>
        <v>471441.96332887374</v>
      </c>
      <c r="N420" s="577">
        <f t="shared" si="1095"/>
        <v>488380.3716197433</v>
      </c>
      <c r="O420" s="577">
        <f t="shared" si="1095"/>
        <v>505417.29362958996</v>
      </c>
      <c r="P420" s="577">
        <f t="shared" si="1095"/>
        <v>522604.78347617574</v>
      </c>
      <c r="Q420" s="577">
        <f t="shared" si="1095"/>
        <v>537540.71286574122</v>
      </c>
      <c r="R420" s="577">
        <f t="shared" si="1095"/>
        <v>552654.7754477933</v>
      </c>
      <c r="S420" s="577">
        <f t="shared" si="1095"/>
        <v>567996.58952713828</v>
      </c>
      <c r="T420" s="577">
        <f t="shared" si="1095"/>
        <v>583624.59613122256</v>
      </c>
      <c r="U420" s="577">
        <f t="shared" si="1095"/>
        <v>599621.37736185454</v>
      </c>
      <c r="V420" s="577">
        <f t="shared" si="1095"/>
        <v>612838.43338148599</v>
      </c>
      <c r="W420" s="577">
        <f t="shared" si="1095"/>
        <v>623946.03366166225</v>
      </c>
      <c r="X420" s="577">
        <f t="shared" si="1095"/>
        <v>635321.8138052813</v>
      </c>
      <c r="Y420" s="577">
        <f t="shared" si="1095"/>
        <v>647005.54796451749</v>
      </c>
      <c r="Z420" s="577">
        <f t="shared" si="1095"/>
        <v>659045.01934551401</v>
      </c>
      <c r="AA420" s="577">
        <f t="shared" si="1095"/>
        <v>671485.28484872507</v>
      </c>
      <c r="AB420" s="577">
        <f t="shared" si="1095"/>
        <v>684389.21147404844</v>
      </c>
      <c r="AC420" s="577">
        <f t="shared" si="1095"/>
        <v>697814.87812415999</v>
      </c>
      <c r="AD420" s="577">
        <f t="shared" si="1095"/>
        <v>711837.13568042836</v>
      </c>
      <c r="AE420" s="577">
        <f t="shared" si="1095"/>
        <v>726540.02427585446</v>
      </c>
      <c r="AF420" s="577">
        <f t="shared" si="1095"/>
        <v>742006.74592969671</v>
      </c>
      <c r="AG420" s="577">
        <f t="shared" si="1095"/>
        <v>758341.18647842458</v>
      </c>
      <c r="AH420" s="752">
        <f t="shared" si="1095"/>
        <v>775659.59381272364</v>
      </c>
      <c r="AI420" s="18"/>
      <c r="AJ420" s="18"/>
      <c r="AK420" s="18"/>
      <c r="AL420" s="18"/>
      <c r="AM420" s="18"/>
      <c r="AN420" s="18"/>
    </row>
    <row r="421" spans="2:40" ht="21.95" customHeight="1" x14ac:dyDescent="0.2">
      <c r="B421" s="232"/>
      <c r="C421" s="715"/>
      <c r="D421" s="715"/>
      <c r="E421" s="1340"/>
      <c r="F421" s="116" t="s">
        <v>323</v>
      </c>
      <c r="G421" s="116" t="s">
        <v>347</v>
      </c>
      <c r="H421" s="116" t="s">
        <v>20</v>
      </c>
      <c r="I421" s="577">
        <f t="shared" ref="I421:AH421" si="1096">I355*$G$20</f>
        <v>20712.915142692709</v>
      </c>
      <c r="J421" s="577">
        <f t="shared" si="1096"/>
        <v>21172.267491386167</v>
      </c>
      <c r="K421" s="577">
        <f t="shared" si="1096"/>
        <v>21853.219202794637</v>
      </c>
      <c r="L421" s="577">
        <f t="shared" si="1096"/>
        <v>22719.302668410412</v>
      </c>
      <c r="M421" s="577">
        <f t="shared" si="1096"/>
        <v>23588.577055971924</v>
      </c>
      <c r="N421" s="577">
        <f t="shared" si="1096"/>
        <v>24461.891438850987</v>
      </c>
      <c r="O421" s="577">
        <f t="shared" si="1096"/>
        <v>25340.640577371691</v>
      </c>
      <c r="P421" s="577">
        <f t="shared" si="1096"/>
        <v>26227.57536401564</v>
      </c>
      <c r="Q421" s="577">
        <f t="shared" si="1096"/>
        <v>27024.342889668005</v>
      </c>
      <c r="R421" s="577">
        <f t="shared" si="1096"/>
        <v>27831.831760175315</v>
      </c>
      <c r="S421" s="577">
        <f t="shared" si="1096"/>
        <v>28652.934240286268</v>
      </c>
      <c r="T421" s="577">
        <f t="shared" si="1096"/>
        <v>29491.528956861028</v>
      </c>
      <c r="U421" s="577">
        <f t="shared" si="1096"/>
        <v>30352.733515728625</v>
      </c>
      <c r="V421" s="577">
        <f t="shared" si="1096"/>
        <v>31026.443460635539</v>
      </c>
      <c r="W421" s="577">
        <f t="shared" si="1096"/>
        <v>31569.56490889403</v>
      </c>
      <c r="X421" s="577">
        <f t="shared" si="1096"/>
        <v>32126.294695576562</v>
      </c>
      <c r="Y421" s="577">
        <f t="shared" si="1096"/>
        <v>32698.550476579989</v>
      </c>
      <c r="Z421" s="577">
        <f t="shared" si="1096"/>
        <v>33288.583052134614</v>
      </c>
      <c r="AA421" s="577">
        <f t="shared" si="1096"/>
        <v>33898.617596685566</v>
      </c>
      <c r="AB421" s="577">
        <f t="shared" si="1096"/>
        <v>34531.556864488026</v>
      </c>
      <c r="AC421" s="577">
        <f t="shared" si="1096"/>
        <v>35190.220189166852</v>
      </c>
      <c r="AD421" s="577">
        <f t="shared" si="1096"/>
        <v>35878.082742353108</v>
      </c>
      <c r="AE421" s="577">
        <f t="shared" si="1096"/>
        <v>36599.0252151807</v>
      </c>
      <c r="AF421" s="577">
        <f t="shared" si="1096"/>
        <v>37357.001183223212</v>
      </c>
      <c r="AG421" s="577">
        <f t="shared" si="1096"/>
        <v>38156.776512147946</v>
      </c>
      <c r="AH421" s="752">
        <f t="shared" si="1096"/>
        <v>39003.655150671497</v>
      </c>
      <c r="AI421" s="18"/>
      <c r="AJ421" s="18"/>
      <c r="AK421" s="18"/>
      <c r="AL421" s="18"/>
      <c r="AM421" s="18"/>
      <c r="AN421" s="18"/>
    </row>
    <row r="422" spans="2:40" ht="21.95" customHeight="1" x14ac:dyDescent="0.2">
      <c r="B422" s="232"/>
      <c r="C422" s="715"/>
      <c r="D422" s="715"/>
      <c r="E422" s="1340"/>
      <c r="F422" s="116"/>
      <c r="G422" s="116"/>
      <c r="H422" s="124" t="s">
        <v>19</v>
      </c>
      <c r="I422" s="577">
        <f t="shared" ref="I422:AH422" si="1097">I355*$G$21</f>
        <v>53261.781795495532</v>
      </c>
      <c r="J422" s="577">
        <f t="shared" si="1097"/>
        <v>54442.973549278708</v>
      </c>
      <c r="K422" s="577">
        <f t="shared" si="1097"/>
        <v>56193.992235757636</v>
      </c>
      <c r="L422" s="577">
        <f t="shared" si="1097"/>
        <v>58421.064004483909</v>
      </c>
      <c r="M422" s="577">
        <f t="shared" si="1097"/>
        <v>60656.341001070658</v>
      </c>
      <c r="N422" s="577">
        <f t="shared" si="1097"/>
        <v>62902.006557045388</v>
      </c>
      <c r="O422" s="577">
        <f t="shared" si="1097"/>
        <v>65161.647198955769</v>
      </c>
      <c r="P422" s="577">
        <f t="shared" si="1097"/>
        <v>67442.336650325917</v>
      </c>
      <c r="Q422" s="577">
        <f t="shared" si="1097"/>
        <v>69491.16743057486</v>
      </c>
      <c r="R422" s="577">
        <f t="shared" si="1097"/>
        <v>71567.567383307949</v>
      </c>
      <c r="S422" s="577">
        <f t="shared" si="1097"/>
        <v>73678.973760736102</v>
      </c>
      <c r="T422" s="577">
        <f t="shared" si="1097"/>
        <v>75835.360174785485</v>
      </c>
      <c r="U422" s="577">
        <f t="shared" si="1097"/>
        <v>78049.886183302166</v>
      </c>
      <c r="V422" s="577">
        <f t="shared" si="1097"/>
        <v>79782.283184491374</v>
      </c>
      <c r="W422" s="577">
        <f t="shared" si="1097"/>
        <v>81178.881194298927</v>
      </c>
      <c r="X422" s="577">
        <f t="shared" si="1097"/>
        <v>82610.472074339719</v>
      </c>
      <c r="Y422" s="577">
        <f t="shared" si="1097"/>
        <v>84081.986939777111</v>
      </c>
      <c r="Z422" s="577">
        <f t="shared" si="1097"/>
        <v>85599.213562631849</v>
      </c>
      <c r="AA422" s="577">
        <f t="shared" si="1097"/>
        <v>87167.873820048582</v>
      </c>
      <c r="AB422" s="577">
        <f t="shared" si="1097"/>
        <v>88795.431937254907</v>
      </c>
      <c r="AC422" s="577">
        <f t="shared" si="1097"/>
        <v>90489.137629286182</v>
      </c>
      <c r="AD422" s="577">
        <f t="shared" si="1097"/>
        <v>92257.927051765117</v>
      </c>
      <c r="AE422" s="577">
        <f t="shared" si="1097"/>
        <v>94111.779124750363</v>
      </c>
      <c r="AF422" s="577">
        <f t="shared" si="1097"/>
        <v>96060.860185431113</v>
      </c>
      <c r="AG422" s="577">
        <f t="shared" si="1097"/>
        <v>98117.425316951849</v>
      </c>
      <c r="AH422" s="752">
        <f t="shared" si="1097"/>
        <v>100295.11324458383</v>
      </c>
      <c r="AI422" s="18"/>
      <c r="AJ422" s="18"/>
      <c r="AK422" s="18"/>
      <c r="AL422" s="18"/>
      <c r="AM422" s="18"/>
      <c r="AN422" s="18"/>
    </row>
    <row r="423" spans="2:40" ht="21.95" customHeight="1" x14ac:dyDescent="0.2">
      <c r="B423" s="232"/>
      <c r="C423" s="715"/>
      <c r="D423" s="715"/>
      <c r="E423" s="1340"/>
      <c r="F423" s="116"/>
      <c r="G423" s="116"/>
      <c r="H423" s="721" t="s">
        <v>25</v>
      </c>
      <c r="I423" s="577">
        <f t="shared" ref="I423:AH423" si="1098">SUM(I421:I422)</f>
        <v>73974.696938188237</v>
      </c>
      <c r="J423" s="577">
        <f t="shared" si="1098"/>
        <v>75615.241040664871</v>
      </c>
      <c r="K423" s="577">
        <f t="shared" si="1098"/>
        <v>78047.211438552273</v>
      </c>
      <c r="L423" s="577">
        <f t="shared" si="1098"/>
        <v>81140.366672894321</v>
      </c>
      <c r="M423" s="577">
        <f t="shared" si="1098"/>
        <v>84244.918057042581</v>
      </c>
      <c r="N423" s="577">
        <f t="shared" si="1098"/>
        <v>87363.897995896376</v>
      </c>
      <c r="O423" s="577">
        <f t="shared" si="1098"/>
        <v>90502.287776327459</v>
      </c>
      <c r="P423" s="577">
        <f t="shared" si="1098"/>
        <v>93669.912014341564</v>
      </c>
      <c r="Q423" s="577">
        <f t="shared" si="1098"/>
        <v>96515.510320242873</v>
      </c>
      <c r="R423" s="577">
        <f t="shared" si="1098"/>
        <v>99399.399143483257</v>
      </c>
      <c r="S423" s="577">
        <f t="shared" si="1098"/>
        <v>102331.90800102237</v>
      </c>
      <c r="T423" s="577">
        <f t="shared" si="1098"/>
        <v>105326.88913164652</v>
      </c>
      <c r="U423" s="577">
        <f t="shared" si="1098"/>
        <v>108402.61969903079</v>
      </c>
      <c r="V423" s="577">
        <f t="shared" si="1098"/>
        <v>110808.72664512691</v>
      </c>
      <c r="W423" s="577">
        <f t="shared" si="1098"/>
        <v>112748.44610319295</v>
      </c>
      <c r="X423" s="577">
        <f t="shared" si="1098"/>
        <v>114736.76676991628</v>
      </c>
      <c r="Y423" s="577">
        <f t="shared" si="1098"/>
        <v>116780.5374163571</v>
      </c>
      <c r="Z423" s="577">
        <f t="shared" si="1098"/>
        <v>118887.79661476647</v>
      </c>
      <c r="AA423" s="577">
        <f t="shared" si="1098"/>
        <v>121066.49141673415</v>
      </c>
      <c r="AB423" s="577">
        <f t="shared" si="1098"/>
        <v>123326.98880174293</v>
      </c>
      <c r="AC423" s="577">
        <f t="shared" si="1098"/>
        <v>125679.35781845303</v>
      </c>
      <c r="AD423" s="577">
        <f t="shared" si="1098"/>
        <v>128136.00979411823</v>
      </c>
      <c r="AE423" s="577">
        <f t="shared" si="1098"/>
        <v>130710.80433993106</v>
      </c>
      <c r="AF423" s="577">
        <f t="shared" si="1098"/>
        <v>133417.86136865432</v>
      </c>
      <c r="AG423" s="577">
        <f t="shared" si="1098"/>
        <v>136274.20182909979</v>
      </c>
      <c r="AH423" s="752">
        <f t="shared" si="1098"/>
        <v>139298.76839525532</v>
      </c>
      <c r="AI423" s="18"/>
      <c r="AJ423" s="18"/>
      <c r="AK423" s="18"/>
      <c r="AL423" s="18"/>
      <c r="AM423" s="18"/>
      <c r="AN423" s="18"/>
    </row>
    <row r="424" spans="2:40" ht="21.95" customHeight="1" x14ac:dyDescent="0.2">
      <c r="B424" s="232"/>
      <c r="C424" s="715"/>
      <c r="D424" s="715"/>
      <c r="E424" s="1340"/>
      <c r="F424" s="116" t="s">
        <v>347</v>
      </c>
      <c r="G424" s="116" t="s">
        <v>348</v>
      </c>
      <c r="H424" s="116" t="s">
        <v>20</v>
      </c>
      <c r="I424" s="577">
        <f t="shared" ref="I424:AH424" si="1099">I356*$G$20</f>
        <v>16955.412784718425</v>
      </c>
      <c r="J424" s="577">
        <f t="shared" si="1099"/>
        <v>17332.199849433851</v>
      </c>
      <c r="K424" s="577">
        <f t="shared" si="1099"/>
        <v>17891.135280541068</v>
      </c>
      <c r="L424" s="577">
        <f t="shared" si="1099"/>
        <v>18602.892994625425</v>
      </c>
      <c r="M424" s="577">
        <f t="shared" si="1099"/>
        <v>19318.605529449349</v>
      </c>
      <c r="N424" s="577">
        <f t="shared" si="1099"/>
        <v>20039.4990624491</v>
      </c>
      <c r="O424" s="577">
        <f t="shared" si="1099"/>
        <v>20767.425227968688</v>
      </c>
      <c r="P424" s="577">
        <f t="shared" si="1099"/>
        <v>21505.587408107382</v>
      </c>
      <c r="Q424" s="577">
        <f t="shared" si="1099"/>
        <v>22172.544885112024</v>
      </c>
      <c r="R424" s="577">
        <f t="shared" si="1099"/>
        <v>22853.154890411988</v>
      </c>
      <c r="S424" s="577">
        <f t="shared" si="1099"/>
        <v>23551.177320087972</v>
      </c>
      <c r="T424" s="577">
        <f t="shared" si="1099"/>
        <v>24271.529583945034</v>
      </c>
      <c r="U424" s="577">
        <f t="shared" si="1099"/>
        <v>25020.581983002827</v>
      </c>
      <c r="V424" s="577">
        <f t="shared" si="1099"/>
        <v>25614.053246029212</v>
      </c>
      <c r="W424" s="577">
        <f t="shared" si="1099"/>
        <v>26097.776328140411</v>
      </c>
      <c r="X424" s="577">
        <f t="shared" si="1099"/>
        <v>26598.871227807216</v>
      </c>
      <c r="Y424" s="577">
        <f t="shared" si="1099"/>
        <v>27119.785941789862</v>
      </c>
      <c r="Z424" s="577">
        <f t="shared" si="1099"/>
        <v>27663.359866667641</v>
      </c>
      <c r="AA424" s="577">
        <f t="shared" si="1099"/>
        <v>28232.501319828414</v>
      </c>
      <c r="AB424" s="577">
        <f t="shared" si="1099"/>
        <v>28830.848076364084</v>
      </c>
      <c r="AC424" s="577">
        <f t="shared" si="1099"/>
        <v>29462.066931630063</v>
      </c>
      <c r="AD424" s="577">
        <f t="shared" si="1099"/>
        <v>30130.560261897303</v>
      </c>
      <c r="AE424" s="577">
        <f t="shared" si="1099"/>
        <v>30841.248112133577</v>
      </c>
      <c r="AF424" s="577">
        <f t="shared" si="1099"/>
        <v>31599.245202017129</v>
      </c>
      <c r="AG424" s="577">
        <f t="shared" si="1099"/>
        <v>32410.601552124841</v>
      </c>
      <c r="AH424" s="752">
        <f t="shared" si="1099"/>
        <v>33282.054076632972</v>
      </c>
      <c r="AI424" s="18"/>
      <c r="AJ424" s="18"/>
      <c r="AK424" s="18"/>
      <c r="AL424" s="18"/>
      <c r="AM424" s="18"/>
      <c r="AN424" s="18"/>
    </row>
    <row r="425" spans="2:40" ht="21.95" customHeight="1" x14ac:dyDescent="0.2">
      <c r="B425" s="232"/>
      <c r="C425" s="715"/>
      <c r="D425" s="715"/>
      <c r="E425" s="1340"/>
      <c r="F425" s="116"/>
      <c r="G425" s="116"/>
      <c r="H425" s="124" t="s">
        <v>19</v>
      </c>
      <c r="I425" s="577">
        <f t="shared" ref="I425:AH425" si="1100">I356*$G$21</f>
        <v>43599.632874990231</v>
      </c>
      <c r="J425" s="577">
        <f t="shared" si="1100"/>
        <v>44568.513898544181</v>
      </c>
      <c r="K425" s="577">
        <f t="shared" si="1100"/>
        <v>46005.776435677028</v>
      </c>
      <c r="L425" s="577">
        <f t="shared" si="1100"/>
        <v>47836.010557608228</v>
      </c>
      <c r="M425" s="577">
        <f t="shared" si="1100"/>
        <v>49676.414218584039</v>
      </c>
      <c r="N425" s="577">
        <f t="shared" si="1100"/>
        <v>51530.140446297679</v>
      </c>
      <c r="O425" s="577">
        <f t="shared" si="1100"/>
        <v>53401.950586205188</v>
      </c>
      <c r="P425" s="577">
        <f t="shared" si="1100"/>
        <v>55300.081906561834</v>
      </c>
      <c r="Q425" s="577">
        <f t="shared" si="1100"/>
        <v>57015.115418859488</v>
      </c>
      <c r="R425" s="577">
        <f t="shared" si="1100"/>
        <v>58765.25543248796</v>
      </c>
      <c r="S425" s="577">
        <f t="shared" si="1100"/>
        <v>60560.170251654781</v>
      </c>
      <c r="T425" s="577">
        <f t="shared" si="1100"/>
        <v>62412.504644430075</v>
      </c>
      <c r="U425" s="577">
        <f t="shared" si="1100"/>
        <v>64338.6393848644</v>
      </c>
      <c r="V425" s="577">
        <f t="shared" si="1100"/>
        <v>65864.708346932253</v>
      </c>
      <c r="W425" s="577">
        <f t="shared" si="1100"/>
        <v>67108.567700932472</v>
      </c>
      <c r="X425" s="577">
        <f t="shared" si="1100"/>
        <v>68397.097442932834</v>
      </c>
      <c r="Y425" s="577">
        <f t="shared" si="1100"/>
        <v>69736.592421745358</v>
      </c>
      <c r="Z425" s="577">
        <f t="shared" si="1100"/>
        <v>71134.353942859641</v>
      </c>
      <c r="AA425" s="577">
        <f t="shared" si="1100"/>
        <v>72597.860536701628</v>
      </c>
      <c r="AB425" s="577">
        <f t="shared" si="1100"/>
        <v>74136.466482079064</v>
      </c>
      <c r="AC425" s="577">
        <f t="shared" si="1100"/>
        <v>75759.600681334443</v>
      </c>
      <c r="AD425" s="577">
        <f t="shared" si="1100"/>
        <v>77478.583530593052</v>
      </c>
      <c r="AE425" s="577">
        <f t="shared" si="1100"/>
        <v>79306.066574057768</v>
      </c>
      <c r="AF425" s="577">
        <f t="shared" si="1100"/>
        <v>81255.201948044036</v>
      </c>
      <c r="AG425" s="577">
        <f t="shared" si="1100"/>
        <v>83341.546848321013</v>
      </c>
      <c r="AH425" s="752">
        <f t="shared" si="1100"/>
        <v>85582.42476848478</v>
      </c>
      <c r="AI425" s="18"/>
      <c r="AJ425" s="18"/>
      <c r="AK425" s="18"/>
      <c r="AL425" s="18"/>
      <c r="AM425" s="18"/>
      <c r="AN425" s="18"/>
    </row>
    <row r="426" spans="2:40" ht="21.95" customHeight="1" x14ac:dyDescent="0.2">
      <c r="B426" s="232"/>
      <c r="C426" s="715"/>
      <c r="D426" s="715"/>
      <c r="E426" s="1340"/>
      <c r="F426" s="116"/>
      <c r="G426" s="116"/>
      <c r="H426" s="721" t="s">
        <v>25</v>
      </c>
      <c r="I426" s="577">
        <f t="shared" ref="I426:AH426" si="1101">SUM(I424:I425)</f>
        <v>60555.04565970866</v>
      </c>
      <c r="J426" s="577">
        <f t="shared" si="1101"/>
        <v>61900.713747978036</v>
      </c>
      <c r="K426" s="577">
        <f t="shared" si="1101"/>
        <v>63896.911716218092</v>
      </c>
      <c r="L426" s="577">
        <f t="shared" si="1101"/>
        <v>66438.903552233649</v>
      </c>
      <c r="M426" s="577">
        <f t="shared" si="1101"/>
        <v>68995.019748033388</v>
      </c>
      <c r="N426" s="577">
        <f t="shared" si="1101"/>
        <v>71569.639508746783</v>
      </c>
      <c r="O426" s="577">
        <f t="shared" si="1101"/>
        <v>74169.37581417388</v>
      </c>
      <c r="P426" s="577">
        <f t="shared" si="1101"/>
        <v>76805.669314669212</v>
      </c>
      <c r="Q426" s="577">
        <f t="shared" si="1101"/>
        <v>79187.660303971512</v>
      </c>
      <c r="R426" s="577">
        <f t="shared" si="1101"/>
        <v>81618.410322899945</v>
      </c>
      <c r="S426" s="577">
        <f t="shared" si="1101"/>
        <v>84111.34757174275</v>
      </c>
      <c r="T426" s="577">
        <f t="shared" si="1101"/>
        <v>86684.034228375109</v>
      </c>
      <c r="U426" s="577">
        <f t="shared" si="1101"/>
        <v>89359.221367867227</v>
      </c>
      <c r="V426" s="577">
        <f t="shared" si="1101"/>
        <v>91478.761592961469</v>
      </c>
      <c r="W426" s="577">
        <f t="shared" si="1101"/>
        <v>93206.344029072876</v>
      </c>
      <c r="X426" s="577">
        <f t="shared" si="1101"/>
        <v>94995.968670740054</v>
      </c>
      <c r="Y426" s="577">
        <f t="shared" si="1101"/>
        <v>96856.378363535216</v>
      </c>
      <c r="Z426" s="577">
        <f t="shared" si="1101"/>
        <v>98797.713809527282</v>
      </c>
      <c r="AA426" s="577">
        <f t="shared" si="1101"/>
        <v>100830.36185653004</v>
      </c>
      <c r="AB426" s="577">
        <f t="shared" si="1101"/>
        <v>102967.31455844315</v>
      </c>
      <c r="AC426" s="577">
        <f t="shared" si="1101"/>
        <v>105221.66761296451</v>
      </c>
      <c r="AD426" s="577">
        <f t="shared" si="1101"/>
        <v>107609.14379249036</v>
      </c>
      <c r="AE426" s="577">
        <f t="shared" si="1101"/>
        <v>110147.31468619134</v>
      </c>
      <c r="AF426" s="577">
        <f t="shared" si="1101"/>
        <v>112854.44715006117</v>
      </c>
      <c r="AG426" s="577">
        <f t="shared" si="1101"/>
        <v>115752.14840044585</v>
      </c>
      <c r="AH426" s="752">
        <f t="shared" si="1101"/>
        <v>118864.47884511776</v>
      </c>
      <c r="AI426" s="18"/>
      <c r="AJ426" s="18"/>
      <c r="AK426" s="18"/>
      <c r="AL426" s="18"/>
      <c r="AM426" s="18"/>
      <c r="AN426" s="18"/>
    </row>
    <row r="427" spans="2:40" ht="21.95" customHeight="1" x14ac:dyDescent="0.2">
      <c r="B427" s="232"/>
      <c r="C427" s="715"/>
      <c r="D427" s="715"/>
      <c r="E427" s="1340"/>
      <c r="F427" s="116" t="s">
        <v>348</v>
      </c>
      <c r="G427" s="116" t="s">
        <v>349</v>
      </c>
      <c r="H427" s="116" t="s">
        <v>20</v>
      </c>
      <c r="I427" s="577">
        <f t="shared" ref="I427:AH427" si="1102">I357*$G$20</f>
        <v>27721.37721714787</v>
      </c>
      <c r="J427" s="577">
        <f t="shared" si="1102"/>
        <v>28397.980854922975</v>
      </c>
      <c r="K427" s="577">
        <f t="shared" si="1102"/>
        <v>29344.89276609716</v>
      </c>
      <c r="L427" s="577">
        <f t="shared" si="1102"/>
        <v>30619.48166265852</v>
      </c>
      <c r="M427" s="577">
        <f t="shared" si="1102"/>
        <v>31921.655047673357</v>
      </c>
      <c r="N427" s="577">
        <f t="shared" si="1102"/>
        <v>33262.658087452161</v>
      </c>
      <c r="O427" s="577">
        <f t="shared" si="1102"/>
        <v>34657.540970022936</v>
      </c>
      <c r="P427" s="577">
        <f t="shared" si="1102"/>
        <v>36128.643193705466</v>
      </c>
      <c r="Q427" s="577">
        <f t="shared" si="1102"/>
        <v>37628.694794946023</v>
      </c>
      <c r="R427" s="577">
        <f t="shared" si="1102"/>
        <v>39254.820789706137</v>
      </c>
      <c r="S427" s="577">
        <f t="shared" si="1102"/>
        <v>41047.981990781074</v>
      </c>
      <c r="T427" s="577">
        <f t="shared" si="1102"/>
        <v>43060.818605610533</v>
      </c>
      <c r="U427" s="577">
        <f t="shared" si="1102"/>
        <v>45361.60766466074</v>
      </c>
      <c r="V427" s="577">
        <f t="shared" si="1102"/>
        <v>47299.331393292574</v>
      </c>
      <c r="W427" s="577">
        <f t="shared" si="1102"/>
        <v>48946.783370098528</v>
      </c>
      <c r="X427" s="577">
        <f t="shared" si="1102"/>
        <v>50759.386784747185</v>
      </c>
      <c r="Y427" s="577">
        <f t="shared" si="1102"/>
        <v>52761.624603956436</v>
      </c>
      <c r="Z427" s="577">
        <f t="shared" si="1102"/>
        <v>54981.609287288389</v>
      </c>
      <c r="AA427" s="577">
        <f t="shared" si="1102"/>
        <v>57449.657036026438</v>
      </c>
      <c r="AB427" s="577">
        <f t="shared" si="1102"/>
        <v>60201.850224200651</v>
      </c>
      <c r="AC427" s="577">
        <f t="shared" si="1102"/>
        <v>63276.554515361837</v>
      </c>
      <c r="AD427" s="577">
        <f t="shared" si="1102"/>
        <v>66718.523058555729</v>
      </c>
      <c r="AE427" s="577">
        <f t="shared" si="1102"/>
        <v>70578.106486622419</v>
      </c>
      <c r="AF427" s="577">
        <f t="shared" si="1102"/>
        <v>74909.204468953918</v>
      </c>
      <c r="AG427" s="577">
        <f t="shared" si="1102"/>
        <v>79774.389889300815</v>
      </c>
      <c r="AH427" s="752">
        <f t="shared" si="1102"/>
        <v>85243.758914283855</v>
      </c>
      <c r="AI427" s="18"/>
      <c r="AJ427" s="18"/>
      <c r="AK427" s="18"/>
      <c r="AL427" s="18"/>
      <c r="AM427" s="18"/>
      <c r="AN427" s="18"/>
    </row>
    <row r="428" spans="2:40" ht="21.95" customHeight="1" x14ac:dyDescent="0.2">
      <c r="B428" s="232"/>
      <c r="C428" s="715"/>
      <c r="D428" s="715"/>
      <c r="E428" s="1340"/>
      <c r="F428" s="116"/>
      <c r="G428" s="116"/>
      <c r="H428" s="124" t="s">
        <v>19</v>
      </c>
      <c r="I428" s="577">
        <f t="shared" ref="I428:AH428" si="1103">I357*$G$21</f>
        <v>71283.541415523083</v>
      </c>
      <c r="J428" s="577">
        <f t="shared" si="1103"/>
        <v>73023.379341230495</v>
      </c>
      <c r="K428" s="577">
        <f t="shared" si="1103"/>
        <v>75458.295684249824</v>
      </c>
      <c r="L428" s="577">
        <f t="shared" si="1103"/>
        <v>78735.809989693327</v>
      </c>
      <c r="M428" s="577">
        <f t="shared" si="1103"/>
        <v>82084.255836874334</v>
      </c>
      <c r="N428" s="577">
        <f t="shared" si="1103"/>
        <v>85532.549367734115</v>
      </c>
      <c r="O428" s="577">
        <f t="shared" si="1103"/>
        <v>89119.391065773263</v>
      </c>
      <c r="P428" s="577">
        <f t="shared" si="1103"/>
        <v>92902.225355242612</v>
      </c>
      <c r="Q428" s="577">
        <f t="shared" si="1103"/>
        <v>96759.500901289764</v>
      </c>
      <c r="R428" s="577">
        <f t="shared" si="1103"/>
        <v>100940.96774495862</v>
      </c>
      <c r="S428" s="577">
        <f t="shared" si="1103"/>
        <v>105551.9536905799</v>
      </c>
      <c r="T428" s="577">
        <f t="shared" si="1103"/>
        <v>110727.81927156994</v>
      </c>
      <c r="U428" s="577">
        <f t="shared" si="1103"/>
        <v>116644.13399484188</v>
      </c>
      <c r="V428" s="577">
        <f t="shared" si="1103"/>
        <v>121626.85215418089</v>
      </c>
      <c r="W428" s="577">
        <f t="shared" si="1103"/>
        <v>125863.1572373962</v>
      </c>
      <c r="X428" s="577">
        <f t="shared" si="1103"/>
        <v>130524.13744649274</v>
      </c>
      <c r="Y428" s="577">
        <f t="shared" si="1103"/>
        <v>135672.74898160223</v>
      </c>
      <c r="Z428" s="577">
        <f t="shared" si="1103"/>
        <v>141381.28102445585</v>
      </c>
      <c r="AA428" s="577">
        <f t="shared" si="1103"/>
        <v>147727.68952121082</v>
      </c>
      <c r="AB428" s="577">
        <f t="shared" si="1103"/>
        <v>154804.75771937307</v>
      </c>
      <c r="AC428" s="577">
        <f t="shared" si="1103"/>
        <v>162711.14018235897</v>
      </c>
      <c r="AD428" s="577">
        <f t="shared" si="1103"/>
        <v>171561.91643628612</v>
      </c>
      <c r="AE428" s="577">
        <f t="shared" si="1103"/>
        <v>181486.55953702907</v>
      </c>
      <c r="AF428" s="577">
        <f t="shared" si="1103"/>
        <v>192623.66863445289</v>
      </c>
      <c r="AG428" s="577">
        <f t="shared" si="1103"/>
        <v>205134.14542963065</v>
      </c>
      <c r="AH428" s="752">
        <f t="shared" si="1103"/>
        <v>219198.23720815845</v>
      </c>
      <c r="AI428" s="18"/>
      <c r="AJ428" s="18"/>
      <c r="AK428" s="18"/>
      <c r="AL428" s="18"/>
      <c r="AM428" s="18"/>
      <c r="AN428" s="18"/>
    </row>
    <row r="429" spans="2:40" ht="21.95" customHeight="1" x14ac:dyDescent="0.2">
      <c r="B429" s="232"/>
      <c r="C429" s="715"/>
      <c r="D429" s="715"/>
      <c r="E429" s="1333"/>
      <c r="F429" s="254"/>
      <c r="G429" s="254"/>
      <c r="H429" s="721" t="s">
        <v>25</v>
      </c>
      <c r="I429" s="577">
        <f t="shared" ref="I429:AH429" si="1104">SUM(I427:I428)</f>
        <v>99004.918632670946</v>
      </c>
      <c r="J429" s="577">
        <f t="shared" si="1104"/>
        <v>101421.36019615347</v>
      </c>
      <c r="K429" s="577">
        <f t="shared" si="1104"/>
        <v>104803.18845034699</v>
      </c>
      <c r="L429" s="577">
        <f t="shared" si="1104"/>
        <v>109355.29165235185</v>
      </c>
      <c r="M429" s="577">
        <f t="shared" si="1104"/>
        <v>114005.91088454769</v>
      </c>
      <c r="N429" s="577">
        <f t="shared" si="1104"/>
        <v>118795.20745518628</v>
      </c>
      <c r="O429" s="577">
        <f t="shared" si="1104"/>
        <v>123776.9320357962</v>
      </c>
      <c r="P429" s="577">
        <f t="shared" si="1104"/>
        <v>129030.86854894808</v>
      </c>
      <c r="Q429" s="577">
        <f t="shared" si="1104"/>
        <v>134388.19569623578</v>
      </c>
      <c r="R429" s="577">
        <f t="shared" si="1104"/>
        <v>140195.78853466475</v>
      </c>
      <c r="S429" s="577">
        <f t="shared" si="1104"/>
        <v>146599.93568136098</v>
      </c>
      <c r="T429" s="577">
        <f t="shared" si="1104"/>
        <v>153788.63787718047</v>
      </c>
      <c r="U429" s="577">
        <f t="shared" si="1104"/>
        <v>162005.74165950262</v>
      </c>
      <c r="V429" s="577">
        <f t="shared" si="1104"/>
        <v>168926.18354747345</v>
      </c>
      <c r="W429" s="577">
        <f t="shared" si="1104"/>
        <v>174809.94060749473</v>
      </c>
      <c r="X429" s="577">
        <f t="shared" si="1104"/>
        <v>181283.52423123992</v>
      </c>
      <c r="Y429" s="577">
        <f t="shared" si="1104"/>
        <v>188434.37358555867</v>
      </c>
      <c r="Z429" s="577">
        <f t="shared" si="1104"/>
        <v>196362.89031174424</v>
      </c>
      <c r="AA429" s="577">
        <f t="shared" si="1104"/>
        <v>205177.34655723727</v>
      </c>
      <c r="AB429" s="577">
        <f t="shared" si="1104"/>
        <v>215006.60794357373</v>
      </c>
      <c r="AC429" s="577">
        <f t="shared" si="1104"/>
        <v>225987.69469772081</v>
      </c>
      <c r="AD429" s="577">
        <f t="shared" si="1104"/>
        <v>238280.43949484185</v>
      </c>
      <c r="AE429" s="577">
        <f t="shared" si="1104"/>
        <v>252064.66602365149</v>
      </c>
      <c r="AF429" s="577">
        <f t="shared" si="1104"/>
        <v>267532.8731034068</v>
      </c>
      <c r="AG429" s="577">
        <f t="shared" si="1104"/>
        <v>284908.53531893145</v>
      </c>
      <c r="AH429" s="752">
        <f t="shared" si="1104"/>
        <v>304441.9961224423</v>
      </c>
      <c r="AI429" s="18"/>
      <c r="AJ429" s="18"/>
      <c r="AK429" s="18"/>
      <c r="AL429" s="18"/>
      <c r="AM429" s="18"/>
      <c r="AN429" s="18"/>
    </row>
    <row r="430" spans="2:40" ht="21.95" customHeight="1" x14ac:dyDescent="0.2">
      <c r="B430" s="232"/>
      <c r="C430" s="715"/>
      <c r="D430" s="715"/>
      <c r="E430" s="116" t="s">
        <v>288</v>
      </c>
      <c r="F430" s="116" t="s">
        <v>323</v>
      </c>
      <c r="G430" s="116" t="s">
        <v>348</v>
      </c>
      <c r="H430" s="116" t="s">
        <v>20</v>
      </c>
      <c r="I430" s="577">
        <f t="shared" ref="I430:AH430" si="1105">I358*$H$20</f>
        <v>4726.6188961171565</v>
      </c>
      <c r="J430" s="577">
        <f t="shared" si="1105"/>
        <v>5017.2536057806637</v>
      </c>
      <c r="K430" s="577">
        <f t="shared" si="1105"/>
        <v>5401.8695351590704</v>
      </c>
      <c r="L430" s="577">
        <f t="shared" si="1105"/>
        <v>5913.0022441114525</v>
      </c>
      <c r="M430" s="577">
        <f t="shared" si="1105"/>
        <v>6424.294436627717</v>
      </c>
      <c r="N430" s="577">
        <f t="shared" si="1105"/>
        <v>6936.6935720512738</v>
      </c>
      <c r="O430" s="577">
        <f t="shared" si="1105"/>
        <v>7447.8402806843869</v>
      </c>
      <c r="P430" s="577">
        <f t="shared" si="1105"/>
        <v>7959.5536106858144</v>
      </c>
      <c r="Q430" s="577">
        <f t="shared" si="1105"/>
        <v>8426.1748043132811</v>
      </c>
      <c r="R430" s="577">
        <f t="shared" si="1105"/>
        <v>8892.4399436082585</v>
      </c>
      <c r="S430" s="577">
        <f t="shared" si="1105"/>
        <v>9359.1867594257528</v>
      </c>
      <c r="T430" s="577">
        <f t="shared" si="1105"/>
        <v>9826.0045470186451</v>
      </c>
      <c r="U430" s="577">
        <f t="shared" si="1105"/>
        <v>10294.628866060768</v>
      </c>
      <c r="V430" s="577">
        <f t="shared" si="1105"/>
        <v>10634.743849212251</v>
      </c>
      <c r="W430" s="577">
        <f t="shared" si="1105"/>
        <v>10925.871238710009</v>
      </c>
      <c r="X430" s="577">
        <f t="shared" si="1105"/>
        <v>11217.148771308108</v>
      </c>
      <c r="Y430" s="577">
        <f t="shared" si="1105"/>
        <v>11508.616431350049</v>
      </c>
      <c r="Z430" s="577">
        <f t="shared" si="1105"/>
        <v>11800.63982380117</v>
      </c>
      <c r="AA430" s="577">
        <f t="shared" si="1105"/>
        <v>12092.646654081012</v>
      </c>
      <c r="AB430" s="577">
        <f t="shared" si="1105"/>
        <v>12385.740128269339</v>
      </c>
      <c r="AC430" s="577">
        <f t="shared" si="1105"/>
        <v>12678.582777133537</v>
      </c>
      <c r="AD430" s="577">
        <f t="shared" si="1105"/>
        <v>12971.994582521529</v>
      </c>
      <c r="AE430" s="577">
        <f t="shared" si="1105"/>
        <v>13266.423648928954</v>
      </c>
      <c r="AF430" s="577">
        <f t="shared" si="1105"/>
        <v>13561.386462389011</v>
      </c>
      <c r="AG430" s="577">
        <f t="shared" si="1105"/>
        <v>13857.385143251748</v>
      </c>
      <c r="AH430" s="752">
        <f t="shared" si="1105"/>
        <v>14155.364585447249</v>
      </c>
      <c r="AI430" s="18"/>
      <c r="AJ430" s="18"/>
      <c r="AK430" s="18"/>
      <c r="AL430" s="18"/>
      <c r="AM430" s="18"/>
      <c r="AN430" s="18"/>
    </row>
    <row r="431" spans="2:40" ht="21.95" customHeight="1" x14ac:dyDescent="0.2">
      <c r="B431" s="232"/>
      <c r="C431" s="715"/>
      <c r="D431" s="715"/>
      <c r="E431" s="116"/>
      <c r="F431" s="116"/>
      <c r="G431" s="116"/>
      <c r="H431" s="124" t="s">
        <v>19</v>
      </c>
      <c r="I431" s="577">
        <f t="shared" ref="I431:AH431" si="1106">I358*$H$21</f>
        <v>18906.475584468626</v>
      </c>
      <c r="J431" s="577">
        <f t="shared" si="1106"/>
        <v>20069.014423122655</v>
      </c>
      <c r="K431" s="577">
        <f t="shared" si="1106"/>
        <v>21607.478140636282</v>
      </c>
      <c r="L431" s="577">
        <f t="shared" si="1106"/>
        <v>23652.00897644581</v>
      </c>
      <c r="M431" s="577">
        <f t="shared" si="1106"/>
        <v>25697.177746510868</v>
      </c>
      <c r="N431" s="577">
        <f t="shared" si="1106"/>
        <v>27746.774288205095</v>
      </c>
      <c r="O431" s="577">
        <f t="shared" si="1106"/>
        <v>29791.361122737548</v>
      </c>
      <c r="P431" s="577">
        <f t="shared" si="1106"/>
        <v>31838.214442743258</v>
      </c>
      <c r="Q431" s="577">
        <f t="shared" si="1106"/>
        <v>33704.699217253125</v>
      </c>
      <c r="R431" s="577">
        <f t="shared" si="1106"/>
        <v>35569.759774433034</v>
      </c>
      <c r="S431" s="577">
        <f t="shared" si="1106"/>
        <v>37436.747037703011</v>
      </c>
      <c r="T431" s="577">
        <f t="shared" si="1106"/>
        <v>39304.01818807458</v>
      </c>
      <c r="U431" s="577">
        <f t="shared" si="1106"/>
        <v>41178.515464243072</v>
      </c>
      <c r="V431" s="577">
        <f t="shared" si="1106"/>
        <v>42538.975396849004</v>
      </c>
      <c r="W431" s="577">
        <f t="shared" si="1106"/>
        <v>43703.484954840038</v>
      </c>
      <c r="X431" s="577">
        <f t="shared" si="1106"/>
        <v>44868.595085232431</v>
      </c>
      <c r="Y431" s="577">
        <f t="shared" si="1106"/>
        <v>46034.465725400194</v>
      </c>
      <c r="Z431" s="577">
        <f t="shared" si="1106"/>
        <v>47202.559295204679</v>
      </c>
      <c r="AA431" s="577">
        <f t="shared" si="1106"/>
        <v>48370.58661632405</v>
      </c>
      <c r="AB431" s="577">
        <f t="shared" si="1106"/>
        <v>49542.960513077356</v>
      </c>
      <c r="AC431" s="577">
        <f t="shared" si="1106"/>
        <v>50714.331108534148</v>
      </c>
      <c r="AD431" s="577">
        <f t="shared" si="1106"/>
        <v>51887.978330086116</v>
      </c>
      <c r="AE431" s="577">
        <f t="shared" si="1106"/>
        <v>53065.694595715817</v>
      </c>
      <c r="AF431" s="577">
        <f t="shared" si="1106"/>
        <v>54245.545849556045</v>
      </c>
      <c r="AG431" s="577">
        <f t="shared" si="1106"/>
        <v>55429.540573006991</v>
      </c>
      <c r="AH431" s="752">
        <f t="shared" si="1106"/>
        <v>56621.458341788995</v>
      </c>
      <c r="AI431" s="18"/>
      <c r="AJ431" s="18"/>
      <c r="AK431" s="18"/>
      <c r="AL431" s="18"/>
      <c r="AM431" s="18"/>
      <c r="AN431" s="18"/>
    </row>
    <row r="432" spans="2:40" ht="21.95" customHeight="1" x14ac:dyDescent="0.2">
      <c r="B432" s="232"/>
      <c r="C432" s="715"/>
      <c r="D432" s="715"/>
      <c r="E432" s="116"/>
      <c r="F432" s="116"/>
      <c r="G432" s="116"/>
      <c r="H432" s="721" t="s">
        <v>25</v>
      </c>
      <c r="I432" s="577">
        <f t="shared" ref="I432:AH432" si="1107">SUM(I430:I431)</f>
        <v>23633.094480585783</v>
      </c>
      <c r="J432" s="577">
        <f t="shared" si="1107"/>
        <v>25086.26802890332</v>
      </c>
      <c r="K432" s="577">
        <f t="shared" si="1107"/>
        <v>27009.347675795354</v>
      </c>
      <c r="L432" s="577">
        <f t="shared" si="1107"/>
        <v>29565.011220557262</v>
      </c>
      <c r="M432" s="577">
        <f t="shared" si="1107"/>
        <v>32121.472183138583</v>
      </c>
      <c r="N432" s="577">
        <f t="shared" si="1107"/>
        <v>34683.467860256365</v>
      </c>
      <c r="O432" s="577">
        <f t="shared" si="1107"/>
        <v>37239.201403421932</v>
      </c>
      <c r="P432" s="577">
        <f t="shared" si="1107"/>
        <v>39797.76805342907</v>
      </c>
      <c r="Q432" s="577">
        <f t="shared" si="1107"/>
        <v>42130.874021566407</v>
      </c>
      <c r="R432" s="577">
        <f t="shared" si="1107"/>
        <v>44462.199718041295</v>
      </c>
      <c r="S432" s="577">
        <f t="shared" si="1107"/>
        <v>46795.93379712876</v>
      </c>
      <c r="T432" s="577">
        <f t="shared" si="1107"/>
        <v>49130.022735093225</v>
      </c>
      <c r="U432" s="577">
        <f t="shared" si="1107"/>
        <v>51473.14433030384</v>
      </c>
      <c r="V432" s="577">
        <f t="shared" si="1107"/>
        <v>53173.719246061257</v>
      </c>
      <c r="W432" s="577">
        <f t="shared" si="1107"/>
        <v>54629.356193550047</v>
      </c>
      <c r="X432" s="577">
        <f t="shared" si="1107"/>
        <v>56085.743856540539</v>
      </c>
      <c r="Y432" s="577">
        <f t="shared" si="1107"/>
        <v>57543.082156750243</v>
      </c>
      <c r="Z432" s="577">
        <f t="shared" si="1107"/>
        <v>59003.199119005847</v>
      </c>
      <c r="AA432" s="577">
        <f t="shared" si="1107"/>
        <v>60463.233270405064</v>
      </c>
      <c r="AB432" s="577">
        <f t="shared" si="1107"/>
        <v>61928.700641346695</v>
      </c>
      <c r="AC432" s="577">
        <f t="shared" si="1107"/>
        <v>63392.913885667687</v>
      </c>
      <c r="AD432" s="577">
        <f t="shared" si="1107"/>
        <v>64859.972912607642</v>
      </c>
      <c r="AE432" s="577">
        <f t="shared" si="1107"/>
        <v>66332.118244644778</v>
      </c>
      <c r="AF432" s="577">
        <f t="shared" si="1107"/>
        <v>67806.932311945056</v>
      </c>
      <c r="AG432" s="577">
        <f t="shared" si="1107"/>
        <v>69286.925716258731</v>
      </c>
      <c r="AH432" s="752">
        <f t="shared" si="1107"/>
        <v>70776.822927236237</v>
      </c>
      <c r="AI432" s="18"/>
      <c r="AJ432" s="18"/>
      <c r="AK432" s="18"/>
      <c r="AL432" s="18"/>
      <c r="AM432" s="18"/>
      <c r="AN432" s="18"/>
    </row>
    <row r="433" spans="2:40" ht="21.95" customHeight="1" x14ac:dyDescent="0.2">
      <c r="B433" s="232"/>
      <c r="C433" s="715"/>
      <c r="D433" s="715"/>
      <c r="E433" s="220" t="s">
        <v>340</v>
      </c>
      <c r="F433" s="220" t="s">
        <v>335</v>
      </c>
      <c r="G433" s="220" t="s">
        <v>323</v>
      </c>
      <c r="H433" s="116" t="s">
        <v>20</v>
      </c>
      <c r="I433" s="577" t="e">
        <f t="shared" ref="I433:AH433" si="1108">I359*$I$20</f>
        <v>#DIV/0!</v>
      </c>
      <c r="J433" s="577" t="e">
        <f t="shared" si="1108"/>
        <v>#DIV/0!</v>
      </c>
      <c r="K433" s="577" t="e">
        <f t="shared" si="1108"/>
        <v>#DIV/0!</v>
      </c>
      <c r="L433" s="577" t="e">
        <f t="shared" si="1108"/>
        <v>#DIV/0!</v>
      </c>
      <c r="M433" s="577" t="e">
        <f t="shared" si="1108"/>
        <v>#DIV/0!</v>
      </c>
      <c r="N433" s="577" t="e">
        <f t="shared" si="1108"/>
        <v>#DIV/0!</v>
      </c>
      <c r="O433" s="577" t="e">
        <f t="shared" si="1108"/>
        <v>#DIV/0!</v>
      </c>
      <c r="P433" s="577" t="e">
        <f t="shared" si="1108"/>
        <v>#DIV/0!</v>
      </c>
      <c r="Q433" s="577" t="e">
        <f t="shared" si="1108"/>
        <v>#DIV/0!</v>
      </c>
      <c r="R433" s="577" t="e">
        <f t="shared" si="1108"/>
        <v>#DIV/0!</v>
      </c>
      <c r="S433" s="577" t="e">
        <f t="shared" si="1108"/>
        <v>#DIV/0!</v>
      </c>
      <c r="T433" s="577" t="e">
        <f t="shared" si="1108"/>
        <v>#DIV/0!</v>
      </c>
      <c r="U433" s="577" t="e">
        <f t="shared" si="1108"/>
        <v>#DIV/0!</v>
      </c>
      <c r="V433" s="577" t="e">
        <f t="shared" si="1108"/>
        <v>#DIV/0!</v>
      </c>
      <c r="W433" s="577" t="e">
        <f t="shared" si="1108"/>
        <v>#DIV/0!</v>
      </c>
      <c r="X433" s="577" t="e">
        <f t="shared" si="1108"/>
        <v>#DIV/0!</v>
      </c>
      <c r="Y433" s="577" t="e">
        <f t="shared" si="1108"/>
        <v>#DIV/0!</v>
      </c>
      <c r="Z433" s="577" t="e">
        <f t="shared" si="1108"/>
        <v>#DIV/0!</v>
      </c>
      <c r="AA433" s="577" t="e">
        <f t="shared" si="1108"/>
        <v>#DIV/0!</v>
      </c>
      <c r="AB433" s="577" t="e">
        <f t="shared" si="1108"/>
        <v>#DIV/0!</v>
      </c>
      <c r="AC433" s="577" t="e">
        <f t="shared" si="1108"/>
        <v>#DIV/0!</v>
      </c>
      <c r="AD433" s="577" t="e">
        <f t="shared" si="1108"/>
        <v>#DIV/0!</v>
      </c>
      <c r="AE433" s="577" t="e">
        <f t="shared" si="1108"/>
        <v>#DIV/0!</v>
      </c>
      <c r="AF433" s="577" t="e">
        <f t="shared" si="1108"/>
        <v>#DIV/0!</v>
      </c>
      <c r="AG433" s="577" t="e">
        <f t="shared" si="1108"/>
        <v>#DIV/0!</v>
      </c>
      <c r="AH433" s="752" t="e">
        <f t="shared" si="1108"/>
        <v>#DIV/0!</v>
      </c>
      <c r="AI433" s="18"/>
      <c r="AJ433" s="18"/>
      <c r="AK433" s="18"/>
      <c r="AL433" s="18"/>
      <c r="AM433" s="18"/>
      <c r="AN433" s="18"/>
    </row>
    <row r="434" spans="2:40" ht="21.95" customHeight="1" x14ac:dyDescent="0.2">
      <c r="B434" s="232"/>
      <c r="C434" s="715"/>
      <c r="D434" s="715"/>
      <c r="E434" s="116"/>
      <c r="F434" s="116"/>
      <c r="G434" s="116"/>
      <c r="H434" s="124" t="s">
        <v>19</v>
      </c>
      <c r="I434" s="577" t="e">
        <f t="shared" ref="I434:AH434" si="1109">I359*$I$21</f>
        <v>#DIV/0!</v>
      </c>
      <c r="J434" s="577" t="e">
        <f t="shared" si="1109"/>
        <v>#DIV/0!</v>
      </c>
      <c r="K434" s="577" t="e">
        <f t="shared" si="1109"/>
        <v>#DIV/0!</v>
      </c>
      <c r="L434" s="577" t="e">
        <f t="shared" si="1109"/>
        <v>#DIV/0!</v>
      </c>
      <c r="M434" s="577" t="e">
        <f t="shared" si="1109"/>
        <v>#DIV/0!</v>
      </c>
      <c r="N434" s="577" t="e">
        <f t="shared" si="1109"/>
        <v>#DIV/0!</v>
      </c>
      <c r="O434" s="577" t="e">
        <f t="shared" si="1109"/>
        <v>#DIV/0!</v>
      </c>
      <c r="P434" s="577" t="e">
        <f t="shared" si="1109"/>
        <v>#DIV/0!</v>
      </c>
      <c r="Q434" s="577" t="e">
        <f t="shared" si="1109"/>
        <v>#DIV/0!</v>
      </c>
      <c r="R434" s="577" t="e">
        <f t="shared" si="1109"/>
        <v>#DIV/0!</v>
      </c>
      <c r="S434" s="577" t="e">
        <f t="shared" si="1109"/>
        <v>#DIV/0!</v>
      </c>
      <c r="T434" s="577" t="e">
        <f t="shared" si="1109"/>
        <v>#DIV/0!</v>
      </c>
      <c r="U434" s="577" t="e">
        <f t="shared" si="1109"/>
        <v>#DIV/0!</v>
      </c>
      <c r="V434" s="577" t="e">
        <f t="shared" si="1109"/>
        <v>#DIV/0!</v>
      </c>
      <c r="W434" s="577" t="e">
        <f t="shared" si="1109"/>
        <v>#DIV/0!</v>
      </c>
      <c r="X434" s="577" t="e">
        <f t="shared" si="1109"/>
        <v>#DIV/0!</v>
      </c>
      <c r="Y434" s="577" t="e">
        <f t="shared" si="1109"/>
        <v>#DIV/0!</v>
      </c>
      <c r="Z434" s="577" t="e">
        <f t="shared" si="1109"/>
        <v>#DIV/0!</v>
      </c>
      <c r="AA434" s="577" t="e">
        <f t="shared" si="1109"/>
        <v>#DIV/0!</v>
      </c>
      <c r="AB434" s="577" t="e">
        <f t="shared" si="1109"/>
        <v>#DIV/0!</v>
      </c>
      <c r="AC434" s="577" t="e">
        <f t="shared" si="1109"/>
        <v>#DIV/0!</v>
      </c>
      <c r="AD434" s="577" t="e">
        <f t="shared" si="1109"/>
        <v>#DIV/0!</v>
      </c>
      <c r="AE434" s="577" t="e">
        <f t="shared" si="1109"/>
        <v>#DIV/0!</v>
      </c>
      <c r="AF434" s="577" t="e">
        <f t="shared" si="1109"/>
        <v>#DIV/0!</v>
      </c>
      <c r="AG434" s="577" t="e">
        <f t="shared" si="1109"/>
        <v>#DIV/0!</v>
      </c>
      <c r="AH434" s="752" t="e">
        <f t="shared" si="1109"/>
        <v>#DIV/0!</v>
      </c>
      <c r="AI434" s="18"/>
      <c r="AJ434" s="18"/>
      <c r="AK434" s="18"/>
      <c r="AL434" s="18"/>
      <c r="AM434" s="18"/>
      <c r="AN434" s="18"/>
    </row>
    <row r="435" spans="2:40" ht="21.95" customHeight="1" x14ac:dyDescent="0.2">
      <c r="B435" s="232"/>
      <c r="C435" s="715"/>
      <c r="D435" s="715"/>
      <c r="E435" s="254"/>
      <c r="F435" s="254"/>
      <c r="G435" s="254"/>
      <c r="H435" s="721" t="s">
        <v>25</v>
      </c>
      <c r="I435" s="577" t="e">
        <f t="shared" ref="I435:AH435" si="1110">SUM(I433:I434)</f>
        <v>#DIV/0!</v>
      </c>
      <c r="J435" s="577" t="e">
        <f t="shared" si="1110"/>
        <v>#DIV/0!</v>
      </c>
      <c r="K435" s="577" t="e">
        <f t="shared" si="1110"/>
        <v>#DIV/0!</v>
      </c>
      <c r="L435" s="577" t="e">
        <f t="shared" si="1110"/>
        <v>#DIV/0!</v>
      </c>
      <c r="M435" s="577" t="e">
        <f t="shared" si="1110"/>
        <v>#DIV/0!</v>
      </c>
      <c r="N435" s="577" t="e">
        <f t="shared" si="1110"/>
        <v>#DIV/0!</v>
      </c>
      <c r="O435" s="577" t="e">
        <f t="shared" si="1110"/>
        <v>#DIV/0!</v>
      </c>
      <c r="P435" s="577" t="e">
        <f t="shared" si="1110"/>
        <v>#DIV/0!</v>
      </c>
      <c r="Q435" s="577" t="e">
        <f t="shared" si="1110"/>
        <v>#DIV/0!</v>
      </c>
      <c r="R435" s="577" t="e">
        <f t="shared" si="1110"/>
        <v>#DIV/0!</v>
      </c>
      <c r="S435" s="577" t="e">
        <f t="shared" si="1110"/>
        <v>#DIV/0!</v>
      </c>
      <c r="T435" s="577" t="e">
        <f t="shared" si="1110"/>
        <v>#DIV/0!</v>
      </c>
      <c r="U435" s="577" t="e">
        <f t="shared" si="1110"/>
        <v>#DIV/0!</v>
      </c>
      <c r="V435" s="577" t="e">
        <f t="shared" si="1110"/>
        <v>#DIV/0!</v>
      </c>
      <c r="W435" s="577" t="e">
        <f t="shared" si="1110"/>
        <v>#DIV/0!</v>
      </c>
      <c r="X435" s="577" t="e">
        <f t="shared" si="1110"/>
        <v>#DIV/0!</v>
      </c>
      <c r="Y435" s="577" t="e">
        <f t="shared" si="1110"/>
        <v>#DIV/0!</v>
      </c>
      <c r="Z435" s="577" t="e">
        <f t="shared" si="1110"/>
        <v>#DIV/0!</v>
      </c>
      <c r="AA435" s="577" t="e">
        <f t="shared" si="1110"/>
        <v>#DIV/0!</v>
      </c>
      <c r="AB435" s="577" t="e">
        <f t="shared" si="1110"/>
        <v>#DIV/0!</v>
      </c>
      <c r="AC435" s="577" t="e">
        <f t="shared" si="1110"/>
        <v>#DIV/0!</v>
      </c>
      <c r="AD435" s="577" t="e">
        <f t="shared" si="1110"/>
        <v>#DIV/0!</v>
      </c>
      <c r="AE435" s="577" t="e">
        <f t="shared" si="1110"/>
        <v>#DIV/0!</v>
      </c>
      <c r="AF435" s="577" t="e">
        <f t="shared" si="1110"/>
        <v>#DIV/0!</v>
      </c>
      <c r="AG435" s="577" t="e">
        <f t="shared" si="1110"/>
        <v>#DIV/0!</v>
      </c>
      <c r="AH435" s="752" t="e">
        <f t="shared" si="1110"/>
        <v>#DIV/0!</v>
      </c>
      <c r="AI435" s="18"/>
      <c r="AJ435" s="18"/>
      <c r="AK435" s="18"/>
      <c r="AL435" s="18"/>
      <c r="AM435" s="18"/>
      <c r="AN435" s="18"/>
    </row>
    <row r="436" spans="2:40" ht="21.95" customHeight="1" x14ac:dyDescent="0.2">
      <c r="B436" s="232"/>
      <c r="C436" s="715"/>
      <c r="D436" s="715"/>
      <c r="E436" s="220" t="s">
        <v>357</v>
      </c>
      <c r="F436" s="220" t="s">
        <v>338</v>
      </c>
      <c r="G436" s="220" t="s">
        <v>323</v>
      </c>
      <c r="H436" s="116" t="s">
        <v>20</v>
      </c>
      <c r="I436" s="577">
        <f t="shared" ref="I436:AH436" si="1111">I360*$J$20</f>
        <v>7639.4156932014657</v>
      </c>
      <c r="J436" s="577">
        <f t="shared" si="1111"/>
        <v>7744.3559527607358</v>
      </c>
      <c r="K436" s="577">
        <f t="shared" si="1111"/>
        <v>7925.7637583677661</v>
      </c>
      <c r="L436" s="577">
        <f t="shared" si="1111"/>
        <v>8174.8631035683156</v>
      </c>
      <c r="M436" s="577">
        <f t="shared" si="1111"/>
        <v>8424.1369777815653</v>
      </c>
      <c r="N436" s="577">
        <f t="shared" si="1111"/>
        <v>8673.8616986923535</v>
      </c>
      <c r="O436" s="577">
        <f t="shared" si="1111"/>
        <v>8923.2352975770136</v>
      </c>
      <c r="P436" s="577">
        <f t="shared" si="1111"/>
        <v>9173.6313285089036</v>
      </c>
      <c r="Q436" s="577">
        <f t="shared" si="1111"/>
        <v>9347.387684022031</v>
      </c>
      <c r="R436" s="577">
        <f t="shared" si="1111"/>
        <v>9521.2752470407122</v>
      </c>
      <c r="S436" s="577">
        <f t="shared" si="1111"/>
        <v>9695.313817216198</v>
      </c>
      <c r="T436" s="577">
        <f t="shared" si="1111"/>
        <v>9869.4622698900803</v>
      </c>
      <c r="U436" s="577">
        <f t="shared" si="1111"/>
        <v>10045.028912785612</v>
      </c>
      <c r="V436" s="577">
        <f t="shared" si="1111"/>
        <v>10150.69107971232</v>
      </c>
      <c r="W436" s="577">
        <f t="shared" si="1111"/>
        <v>10256.437454146959</v>
      </c>
      <c r="X436" s="577">
        <f t="shared" si="1111"/>
        <v>10362.276210157072</v>
      </c>
      <c r="Y436" s="577">
        <f t="shared" si="1111"/>
        <v>10468.216212715401</v>
      </c>
      <c r="Z436" s="577">
        <f t="shared" si="1111"/>
        <v>10574.996944228373</v>
      </c>
      <c r="AA436" s="577">
        <f t="shared" si="1111"/>
        <v>10681.169954903035</v>
      </c>
      <c r="AB436" s="577">
        <f t="shared" si="1111"/>
        <v>10787.884490379989</v>
      </c>
      <c r="AC436" s="577">
        <f t="shared" si="1111"/>
        <v>10894.335557002016</v>
      </c>
      <c r="AD436" s="577">
        <f t="shared" si="1111"/>
        <v>11000.944711841441</v>
      </c>
      <c r="AE436" s="577">
        <f t="shared" si="1111"/>
        <v>11108.461331150073</v>
      </c>
      <c r="AF436" s="577">
        <f t="shared" si="1111"/>
        <v>11215.431913437325</v>
      </c>
      <c r="AG436" s="577">
        <f t="shared" si="1111"/>
        <v>11322.606946953832</v>
      </c>
      <c r="AH436" s="752">
        <f t="shared" si="1111"/>
        <v>11430.417600813294</v>
      </c>
      <c r="AI436" s="18"/>
      <c r="AJ436" s="18"/>
      <c r="AK436" s="18"/>
      <c r="AL436" s="18"/>
      <c r="AM436" s="18"/>
      <c r="AN436" s="18"/>
    </row>
    <row r="437" spans="2:40" ht="21.95" customHeight="1" x14ac:dyDescent="0.2">
      <c r="B437" s="232"/>
      <c r="C437" s="715"/>
      <c r="D437" s="715"/>
      <c r="E437" s="116"/>
      <c r="F437" s="116"/>
      <c r="G437" s="116"/>
      <c r="H437" s="124" t="s">
        <v>19</v>
      </c>
      <c r="I437" s="577">
        <f t="shared" ref="I437:AH437" si="1112">I360*$J$21</f>
        <v>30557.662772805863</v>
      </c>
      <c r="J437" s="577">
        <f t="shared" si="1112"/>
        <v>30977.423811042943</v>
      </c>
      <c r="K437" s="577">
        <f t="shared" si="1112"/>
        <v>31703.055033471064</v>
      </c>
      <c r="L437" s="577">
        <f t="shared" si="1112"/>
        <v>32699.452414273263</v>
      </c>
      <c r="M437" s="577">
        <f t="shared" si="1112"/>
        <v>33696.547911126261</v>
      </c>
      <c r="N437" s="577">
        <f t="shared" si="1112"/>
        <v>34695.446794769414</v>
      </c>
      <c r="O437" s="577">
        <f t="shared" si="1112"/>
        <v>35692.941190308055</v>
      </c>
      <c r="P437" s="577">
        <f t="shared" si="1112"/>
        <v>36694.525314035614</v>
      </c>
      <c r="Q437" s="577">
        <f t="shared" si="1112"/>
        <v>37389.550736088124</v>
      </c>
      <c r="R437" s="577">
        <f t="shared" si="1112"/>
        <v>38085.100988162849</v>
      </c>
      <c r="S437" s="577">
        <f t="shared" si="1112"/>
        <v>38781.255268864792</v>
      </c>
      <c r="T437" s="577">
        <f t="shared" si="1112"/>
        <v>39477.849079560321</v>
      </c>
      <c r="U437" s="577">
        <f t="shared" si="1112"/>
        <v>40180.115651142449</v>
      </c>
      <c r="V437" s="577">
        <f t="shared" si="1112"/>
        <v>40602.76431884928</v>
      </c>
      <c r="W437" s="577">
        <f t="shared" si="1112"/>
        <v>41025.749816587835</v>
      </c>
      <c r="X437" s="577">
        <f t="shared" si="1112"/>
        <v>41449.104840628286</v>
      </c>
      <c r="Y437" s="577">
        <f t="shared" si="1112"/>
        <v>41872.864850861602</v>
      </c>
      <c r="Z437" s="577">
        <f t="shared" si="1112"/>
        <v>42299.987776913491</v>
      </c>
      <c r="AA437" s="577">
        <f t="shared" si="1112"/>
        <v>42724.679819612138</v>
      </c>
      <c r="AB437" s="577">
        <f t="shared" si="1112"/>
        <v>43151.537961519956</v>
      </c>
      <c r="AC437" s="577">
        <f t="shared" si="1112"/>
        <v>43577.342228008063</v>
      </c>
      <c r="AD437" s="577">
        <f t="shared" si="1112"/>
        <v>44003.778847365764</v>
      </c>
      <c r="AE437" s="577">
        <f t="shared" si="1112"/>
        <v>44433.84532460029</v>
      </c>
      <c r="AF437" s="577">
        <f t="shared" si="1112"/>
        <v>44861.727653749302</v>
      </c>
      <c r="AG437" s="577">
        <f t="shared" si="1112"/>
        <v>45290.42778781533</v>
      </c>
      <c r="AH437" s="752">
        <f t="shared" si="1112"/>
        <v>45721.670403253178</v>
      </c>
      <c r="AI437" s="18"/>
      <c r="AJ437" s="18"/>
      <c r="AK437" s="18"/>
      <c r="AL437" s="18"/>
      <c r="AM437" s="18"/>
      <c r="AN437" s="18"/>
    </row>
    <row r="438" spans="2:40" ht="21.95" customHeight="1" x14ac:dyDescent="0.2">
      <c r="B438" s="232"/>
      <c r="C438" s="715"/>
      <c r="D438" s="715"/>
      <c r="E438" s="254"/>
      <c r="F438" s="254"/>
      <c r="G438" s="254"/>
      <c r="H438" s="721" t="s">
        <v>25</v>
      </c>
      <c r="I438" s="577">
        <f t="shared" ref="I438:AH438" si="1113">SUM(I436:I437)</f>
        <v>38197.078466007326</v>
      </c>
      <c r="J438" s="577">
        <f t="shared" si="1113"/>
        <v>38721.779763803679</v>
      </c>
      <c r="K438" s="577">
        <f t="shared" si="1113"/>
        <v>39628.818791838828</v>
      </c>
      <c r="L438" s="577">
        <f t="shared" si="1113"/>
        <v>40874.315517841576</v>
      </c>
      <c r="M438" s="577">
        <f t="shared" si="1113"/>
        <v>42120.684888907825</v>
      </c>
      <c r="N438" s="577">
        <f t="shared" si="1113"/>
        <v>43369.308493461765</v>
      </c>
      <c r="O438" s="577">
        <f t="shared" si="1113"/>
        <v>44616.176487885066</v>
      </c>
      <c r="P438" s="577">
        <f t="shared" si="1113"/>
        <v>45868.15664254452</v>
      </c>
      <c r="Q438" s="577">
        <f t="shared" si="1113"/>
        <v>46736.938420110157</v>
      </c>
      <c r="R438" s="577">
        <f t="shared" si="1113"/>
        <v>47606.376235203563</v>
      </c>
      <c r="S438" s="577">
        <f t="shared" si="1113"/>
        <v>48476.569086080992</v>
      </c>
      <c r="T438" s="577">
        <f t="shared" si="1113"/>
        <v>49347.3113494504</v>
      </c>
      <c r="U438" s="577">
        <f t="shared" si="1113"/>
        <v>50225.144563928057</v>
      </c>
      <c r="V438" s="577">
        <f t="shared" si="1113"/>
        <v>50753.4553985616</v>
      </c>
      <c r="W438" s="577">
        <f t="shared" si="1113"/>
        <v>51282.187270734794</v>
      </c>
      <c r="X438" s="577">
        <f t="shared" si="1113"/>
        <v>51811.381050785356</v>
      </c>
      <c r="Y438" s="577">
        <f t="shared" si="1113"/>
        <v>52341.081063577003</v>
      </c>
      <c r="Z438" s="577">
        <f t="shared" si="1113"/>
        <v>52874.984721141867</v>
      </c>
      <c r="AA438" s="577">
        <f t="shared" si="1113"/>
        <v>53405.849774515169</v>
      </c>
      <c r="AB438" s="577">
        <f t="shared" si="1113"/>
        <v>53939.422451899947</v>
      </c>
      <c r="AC438" s="577">
        <f t="shared" si="1113"/>
        <v>54471.677785010077</v>
      </c>
      <c r="AD438" s="577">
        <f t="shared" si="1113"/>
        <v>55004.723559207203</v>
      </c>
      <c r="AE438" s="577">
        <f t="shared" si="1113"/>
        <v>55542.306655750363</v>
      </c>
      <c r="AF438" s="577">
        <f t="shared" si="1113"/>
        <v>56077.159567186623</v>
      </c>
      <c r="AG438" s="577">
        <f t="shared" si="1113"/>
        <v>56613.034734769164</v>
      </c>
      <c r="AH438" s="752">
        <f t="shared" si="1113"/>
        <v>57152.088004066471</v>
      </c>
      <c r="AI438" s="18"/>
      <c r="AJ438" s="18"/>
      <c r="AK438" s="18"/>
      <c r="AL438" s="18"/>
      <c r="AM438" s="18"/>
      <c r="AN438" s="18"/>
    </row>
    <row r="439" spans="2:40" ht="21.95" customHeight="1" x14ac:dyDescent="0.2">
      <c r="B439" s="232"/>
      <c r="C439" s="715"/>
      <c r="D439" s="715"/>
      <c r="E439" s="116" t="s">
        <v>338</v>
      </c>
      <c r="F439" s="116" t="s">
        <v>282</v>
      </c>
      <c r="G439" s="116" t="s">
        <v>357</v>
      </c>
      <c r="H439" s="116" t="s">
        <v>20</v>
      </c>
      <c r="I439" s="577">
        <f t="shared" ref="I439:AH439" si="1114">I361*$K$20</f>
        <v>15656.001865853943</v>
      </c>
      <c r="J439" s="577">
        <f t="shared" si="1114"/>
        <v>16107.317732631887</v>
      </c>
      <c r="K439" s="577">
        <f t="shared" si="1114"/>
        <v>16595.816748492842</v>
      </c>
      <c r="L439" s="577">
        <f t="shared" si="1114"/>
        <v>17243.897794637945</v>
      </c>
      <c r="M439" s="577">
        <f t="shared" si="1114"/>
        <v>17892.088836680399</v>
      </c>
      <c r="N439" s="577">
        <f t="shared" si="1114"/>
        <v>18540.546594112089</v>
      </c>
      <c r="O439" s="577">
        <f t="shared" si="1114"/>
        <v>19188.629380857681</v>
      </c>
      <c r="P439" s="577">
        <f t="shared" si="1114"/>
        <v>19836.885439032572</v>
      </c>
      <c r="Q439" s="577">
        <f t="shared" si="1114"/>
        <v>20550.209867236288</v>
      </c>
      <c r="R439" s="577">
        <f t="shared" si="1114"/>
        <v>21263.301820269371</v>
      </c>
      <c r="S439" s="577">
        <f t="shared" si="1114"/>
        <v>21976.631832906849</v>
      </c>
      <c r="T439" s="577">
        <f t="shared" si="1114"/>
        <v>22689.966173522935</v>
      </c>
      <c r="U439" s="577">
        <f t="shared" si="1114"/>
        <v>23403.713351584247</v>
      </c>
      <c r="V439" s="577">
        <f t="shared" si="1114"/>
        <v>23957.40957230932</v>
      </c>
      <c r="W439" s="577">
        <f t="shared" si="1114"/>
        <v>24408.746963828617</v>
      </c>
      <c r="X439" s="577">
        <f t="shared" si="1114"/>
        <v>24860.088792156639</v>
      </c>
      <c r="Y439" s="577">
        <f t="shared" si="1114"/>
        <v>25311.435852326846</v>
      </c>
      <c r="Z439" s="577">
        <f t="shared" si="1114"/>
        <v>25762.742091233886</v>
      </c>
      <c r="AA439" s="577">
        <f t="shared" si="1114"/>
        <v>26214.102512645564</v>
      </c>
      <c r="AB439" s="577">
        <f t="shared" si="1114"/>
        <v>26665.424390327466</v>
      </c>
      <c r="AC439" s="577">
        <f t="shared" si="1114"/>
        <v>27116.803070609232</v>
      </c>
      <c r="AD439" s="577">
        <f t="shared" si="1114"/>
        <v>27568.193182538416</v>
      </c>
      <c r="AE439" s="577">
        <f t="shared" si="1114"/>
        <v>28019.549578412785</v>
      </c>
      <c r="AF439" s="577">
        <f t="shared" si="1114"/>
        <v>28470.968298508189</v>
      </c>
      <c r="AG439" s="577">
        <f t="shared" si="1114"/>
        <v>28922.404739339792</v>
      </c>
      <c r="AH439" s="752">
        <f t="shared" si="1114"/>
        <v>29373.814610668058</v>
      </c>
      <c r="AI439" s="18"/>
      <c r="AJ439" s="18"/>
      <c r="AK439" s="18"/>
      <c r="AL439" s="18"/>
      <c r="AM439" s="18"/>
      <c r="AN439" s="18"/>
    </row>
    <row r="440" spans="2:40" ht="21.95" customHeight="1" x14ac:dyDescent="0.2">
      <c r="B440" s="232"/>
      <c r="C440" s="715"/>
      <c r="D440" s="715"/>
      <c r="E440" s="116"/>
      <c r="F440" s="116"/>
      <c r="G440" s="116"/>
      <c r="H440" s="124" t="s">
        <v>19</v>
      </c>
      <c r="I440" s="577">
        <f t="shared" ref="I440:AH440" si="1115">I361*$K$21</f>
        <v>62624.007463415772</v>
      </c>
      <c r="J440" s="577">
        <f t="shared" si="1115"/>
        <v>64429.270930527549</v>
      </c>
      <c r="K440" s="577">
        <f t="shared" si="1115"/>
        <v>66383.266993971367</v>
      </c>
      <c r="L440" s="577">
        <f t="shared" si="1115"/>
        <v>68975.591178551782</v>
      </c>
      <c r="M440" s="577">
        <f t="shared" si="1115"/>
        <v>71568.355346721597</v>
      </c>
      <c r="N440" s="577">
        <f t="shared" si="1115"/>
        <v>74162.186376448357</v>
      </c>
      <c r="O440" s="577">
        <f t="shared" si="1115"/>
        <v>76754.517523430724</v>
      </c>
      <c r="P440" s="577">
        <f t="shared" si="1115"/>
        <v>79347.541756130289</v>
      </c>
      <c r="Q440" s="577">
        <f t="shared" si="1115"/>
        <v>82200.839468945152</v>
      </c>
      <c r="R440" s="577">
        <f t="shared" si="1115"/>
        <v>85053.207281077484</v>
      </c>
      <c r="S440" s="577">
        <f t="shared" si="1115"/>
        <v>87906.527331627396</v>
      </c>
      <c r="T440" s="577">
        <f t="shared" si="1115"/>
        <v>90759.864694091739</v>
      </c>
      <c r="U440" s="577">
        <f t="shared" si="1115"/>
        <v>93614.853406336988</v>
      </c>
      <c r="V440" s="577">
        <f t="shared" si="1115"/>
        <v>95829.638289237279</v>
      </c>
      <c r="W440" s="577">
        <f t="shared" si="1115"/>
        <v>97634.987855314466</v>
      </c>
      <c r="X440" s="577">
        <f t="shared" si="1115"/>
        <v>99440.355168626556</v>
      </c>
      <c r="Y440" s="577">
        <f t="shared" si="1115"/>
        <v>101245.74340930738</v>
      </c>
      <c r="Z440" s="577">
        <f t="shared" si="1115"/>
        <v>103050.96836493554</v>
      </c>
      <c r="AA440" s="577">
        <f t="shared" si="1115"/>
        <v>104856.41005058226</v>
      </c>
      <c r="AB440" s="577">
        <f t="shared" si="1115"/>
        <v>106661.69756130986</v>
      </c>
      <c r="AC440" s="577">
        <f t="shared" si="1115"/>
        <v>108467.21228243693</v>
      </c>
      <c r="AD440" s="577">
        <f t="shared" si="1115"/>
        <v>110272.77273015367</v>
      </c>
      <c r="AE440" s="577">
        <f t="shared" si="1115"/>
        <v>112078.19831365114</v>
      </c>
      <c r="AF440" s="577">
        <f t="shared" si="1115"/>
        <v>113883.87319403276</v>
      </c>
      <c r="AG440" s="577">
        <f t="shared" si="1115"/>
        <v>115689.61895735917</v>
      </c>
      <c r="AH440" s="752">
        <f t="shared" si="1115"/>
        <v>117495.25844267223</v>
      </c>
      <c r="AI440" s="18"/>
      <c r="AJ440" s="18"/>
      <c r="AK440" s="18"/>
      <c r="AL440" s="18"/>
      <c r="AM440" s="18"/>
      <c r="AN440" s="18"/>
    </row>
    <row r="441" spans="2:40" ht="21.95" customHeight="1" x14ac:dyDescent="0.2">
      <c r="B441" s="232"/>
      <c r="C441" s="715"/>
      <c r="D441" s="715"/>
      <c r="E441" s="116"/>
      <c r="F441" s="116"/>
      <c r="G441" s="116"/>
      <c r="H441" s="721" t="s">
        <v>25</v>
      </c>
      <c r="I441" s="577">
        <f t="shared" ref="I441:AH441" si="1116">SUM(I439:I440)</f>
        <v>78280.009329269713</v>
      </c>
      <c r="J441" s="577">
        <f t="shared" si="1116"/>
        <v>80536.588663159433</v>
      </c>
      <c r="K441" s="577">
        <f t="shared" si="1116"/>
        <v>82979.083742464209</v>
      </c>
      <c r="L441" s="577">
        <f t="shared" si="1116"/>
        <v>86219.488973189727</v>
      </c>
      <c r="M441" s="577">
        <f t="shared" si="1116"/>
        <v>89460.444183401996</v>
      </c>
      <c r="N441" s="577">
        <f t="shared" si="1116"/>
        <v>92702.73297056045</v>
      </c>
      <c r="O441" s="577">
        <f t="shared" si="1116"/>
        <v>95943.146904288413</v>
      </c>
      <c r="P441" s="577">
        <f t="shared" si="1116"/>
        <v>99184.427195162862</v>
      </c>
      <c r="Q441" s="577">
        <f t="shared" si="1116"/>
        <v>102751.04933618144</v>
      </c>
      <c r="R441" s="577">
        <f t="shared" si="1116"/>
        <v>106316.50910134686</v>
      </c>
      <c r="S441" s="577">
        <f t="shared" si="1116"/>
        <v>109883.15916453424</v>
      </c>
      <c r="T441" s="577">
        <f t="shared" si="1116"/>
        <v>113449.83086761467</v>
      </c>
      <c r="U441" s="577">
        <f t="shared" si="1116"/>
        <v>117018.56675792123</v>
      </c>
      <c r="V441" s="577">
        <f t="shared" si="1116"/>
        <v>119787.0478615466</v>
      </c>
      <c r="W441" s="577">
        <f t="shared" si="1116"/>
        <v>122043.73481914308</v>
      </c>
      <c r="X441" s="577">
        <f t="shared" si="1116"/>
        <v>124300.44396078319</v>
      </c>
      <c r="Y441" s="577">
        <f t="shared" si="1116"/>
        <v>126557.17926163423</v>
      </c>
      <c r="Z441" s="577">
        <f t="shared" si="1116"/>
        <v>128813.71045616943</v>
      </c>
      <c r="AA441" s="577">
        <f t="shared" si="1116"/>
        <v>131070.51256322782</v>
      </c>
      <c r="AB441" s="577">
        <f t="shared" si="1116"/>
        <v>133327.12195163732</v>
      </c>
      <c r="AC441" s="577">
        <f t="shared" si="1116"/>
        <v>135584.01535304615</v>
      </c>
      <c r="AD441" s="577">
        <f t="shared" si="1116"/>
        <v>137840.96591269207</v>
      </c>
      <c r="AE441" s="577">
        <f t="shared" si="1116"/>
        <v>140097.74789206393</v>
      </c>
      <c r="AF441" s="577">
        <f t="shared" si="1116"/>
        <v>142354.84149254096</v>
      </c>
      <c r="AG441" s="577">
        <f t="shared" si="1116"/>
        <v>144612.02369669895</v>
      </c>
      <c r="AH441" s="752">
        <f t="shared" si="1116"/>
        <v>146869.07305334028</v>
      </c>
      <c r="AI441" s="18"/>
      <c r="AJ441" s="18"/>
      <c r="AK441" s="18"/>
      <c r="AL441" s="18"/>
      <c r="AM441" s="18"/>
      <c r="AN441" s="18"/>
    </row>
    <row r="442" spans="2:40" ht="21.95" customHeight="1" x14ac:dyDescent="0.2">
      <c r="B442" s="232"/>
      <c r="C442" s="715"/>
      <c r="D442" s="715"/>
      <c r="E442" s="116"/>
      <c r="F442" s="116" t="s">
        <v>357</v>
      </c>
      <c r="G442" s="116" t="s">
        <v>346</v>
      </c>
      <c r="H442" s="116" t="s">
        <v>20</v>
      </c>
      <c r="I442" s="577">
        <f t="shared" ref="I442:AH442" si="1117">I362*$K$20</f>
        <v>2280.0875564445132</v>
      </c>
      <c r="J442" s="577">
        <f t="shared" si="1117"/>
        <v>2344.8000442023558</v>
      </c>
      <c r="K442" s="577">
        <f t="shared" si="1117"/>
        <v>2416.6138060840563</v>
      </c>
      <c r="L442" s="577">
        <f t="shared" si="1117"/>
        <v>2517.4116853685737</v>
      </c>
      <c r="M442" s="577">
        <f t="shared" si="1117"/>
        <v>2618.2275697569798</v>
      </c>
      <c r="N442" s="577">
        <f t="shared" si="1117"/>
        <v>2719.0644612335009</v>
      </c>
      <c r="O442" s="577">
        <f t="shared" si="1117"/>
        <v>2819.8623600170085</v>
      </c>
      <c r="P442" s="577">
        <f t="shared" si="1117"/>
        <v>2920.6662712528696</v>
      </c>
      <c r="Q442" s="577">
        <f t="shared" si="1117"/>
        <v>3033.9656875950432</v>
      </c>
      <c r="R442" s="577">
        <f t="shared" si="1117"/>
        <v>3147.2261322499976</v>
      </c>
      <c r="S442" s="577">
        <f t="shared" si="1117"/>
        <v>3260.5256199193122</v>
      </c>
      <c r="T442" s="577">
        <f t="shared" si="1117"/>
        <v>3373.8251645979481</v>
      </c>
      <c r="U442" s="577">
        <f t="shared" si="1117"/>
        <v>3487.1427875097856</v>
      </c>
      <c r="V442" s="577">
        <f t="shared" si="1117"/>
        <v>3571.4702936663271</v>
      </c>
      <c r="W442" s="577">
        <f t="shared" si="1117"/>
        <v>3636.183031883219</v>
      </c>
      <c r="X442" s="577">
        <f t="shared" si="1117"/>
        <v>3700.8958194592433</v>
      </c>
      <c r="Y442" s="577">
        <f t="shared" si="1117"/>
        <v>3765.6086648842575</v>
      </c>
      <c r="Z442" s="577">
        <f t="shared" si="1117"/>
        <v>3830.2885764165712</v>
      </c>
      <c r="AA442" s="577">
        <f t="shared" si="1117"/>
        <v>3895.0015682231387</v>
      </c>
      <c r="AB442" s="577">
        <f t="shared" si="1117"/>
        <v>3959.6816500586738</v>
      </c>
      <c r="AC442" s="577">
        <f t="shared" si="1117"/>
        <v>4024.3948397031727</v>
      </c>
      <c r="AD442" s="577">
        <f t="shared" si="1117"/>
        <v>4089.1081522936092</v>
      </c>
      <c r="AE442" s="577">
        <f t="shared" si="1117"/>
        <v>4153.7886050029238</v>
      </c>
      <c r="AF442" s="577">
        <f t="shared" si="1117"/>
        <v>4218.5022228787202</v>
      </c>
      <c r="AG442" s="577">
        <f t="shared" si="1117"/>
        <v>4283.2160285868913</v>
      </c>
      <c r="AH442" s="752">
        <f t="shared" si="1117"/>
        <v>4347.8970475896413</v>
      </c>
      <c r="AI442" s="18"/>
      <c r="AJ442" s="18"/>
      <c r="AK442" s="18"/>
      <c r="AL442" s="18"/>
      <c r="AM442" s="18"/>
      <c r="AN442" s="18"/>
    </row>
    <row r="443" spans="2:40" ht="21.95" customHeight="1" x14ac:dyDescent="0.2">
      <c r="B443" s="232"/>
      <c r="C443" s="715"/>
      <c r="D443" s="715"/>
      <c r="E443" s="116"/>
      <c r="F443" s="116"/>
      <c r="G443" s="116"/>
      <c r="H443" s="124" t="s">
        <v>19</v>
      </c>
      <c r="I443" s="577">
        <f t="shared" ref="I443:AH443" si="1118">I362*$K$21</f>
        <v>9120.3502257780528</v>
      </c>
      <c r="J443" s="577">
        <f t="shared" si="1118"/>
        <v>9379.2001768094233</v>
      </c>
      <c r="K443" s="577">
        <f t="shared" si="1118"/>
        <v>9666.455224336225</v>
      </c>
      <c r="L443" s="577">
        <f t="shared" si="1118"/>
        <v>10069.646741474295</v>
      </c>
      <c r="M443" s="577">
        <f t="shared" si="1118"/>
        <v>10472.910279027919</v>
      </c>
      <c r="N443" s="577">
        <f t="shared" si="1118"/>
        <v>10876.257844934004</v>
      </c>
      <c r="O443" s="577">
        <f t="shared" si="1118"/>
        <v>11279.449440068034</v>
      </c>
      <c r="P443" s="577">
        <f t="shared" si="1118"/>
        <v>11682.665085011478</v>
      </c>
      <c r="Q443" s="577">
        <f t="shared" si="1118"/>
        <v>12135.862750380173</v>
      </c>
      <c r="R443" s="577">
        <f t="shared" si="1118"/>
        <v>12588.90452899999</v>
      </c>
      <c r="S443" s="577">
        <f t="shared" si="1118"/>
        <v>13042.102479677249</v>
      </c>
      <c r="T443" s="577">
        <f t="shared" si="1118"/>
        <v>13495.300658391792</v>
      </c>
      <c r="U443" s="577">
        <f t="shared" si="1118"/>
        <v>13948.571150039143</v>
      </c>
      <c r="V443" s="577">
        <f t="shared" si="1118"/>
        <v>14285.881174665308</v>
      </c>
      <c r="W443" s="577">
        <f t="shared" si="1118"/>
        <v>14544.732127532876</v>
      </c>
      <c r="X443" s="577">
        <f t="shared" si="1118"/>
        <v>14803.583277836973</v>
      </c>
      <c r="Y443" s="577">
        <f t="shared" si="1118"/>
        <v>15062.43465953703</v>
      </c>
      <c r="Z443" s="577">
        <f t="shared" si="1118"/>
        <v>15321.154305666285</v>
      </c>
      <c r="AA443" s="577">
        <f t="shared" si="1118"/>
        <v>15580.006272892555</v>
      </c>
      <c r="AB443" s="577">
        <f t="shared" si="1118"/>
        <v>15838.726600234695</v>
      </c>
      <c r="AC443" s="577">
        <f t="shared" si="1118"/>
        <v>16097.579358812691</v>
      </c>
      <c r="AD443" s="577">
        <f t="shared" si="1118"/>
        <v>16356.432609174437</v>
      </c>
      <c r="AE443" s="577">
        <f t="shared" si="1118"/>
        <v>16615.154420011695</v>
      </c>
      <c r="AF443" s="577">
        <f t="shared" si="1118"/>
        <v>16874.008891514881</v>
      </c>
      <c r="AG443" s="577">
        <f t="shared" si="1118"/>
        <v>17132.864114347565</v>
      </c>
      <c r="AH443" s="752">
        <f t="shared" si="1118"/>
        <v>17391.588190358565</v>
      </c>
      <c r="AI443" s="18"/>
      <c r="AJ443" s="18"/>
      <c r="AK443" s="18"/>
      <c r="AL443" s="18"/>
      <c r="AM443" s="18"/>
      <c r="AN443" s="18"/>
    </row>
    <row r="444" spans="2:40" ht="21.95" customHeight="1" x14ac:dyDescent="0.2">
      <c r="B444" s="232"/>
      <c r="C444" s="715"/>
      <c r="D444" s="715"/>
      <c r="E444" s="116"/>
      <c r="F444" s="116"/>
      <c r="G444" s="116"/>
      <c r="H444" s="721" t="s">
        <v>25</v>
      </c>
      <c r="I444" s="577">
        <f t="shared" ref="I444:AH444" si="1119">SUM(I442:I443)</f>
        <v>11400.437782222565</v>
      </c>
      <c r="J444" s="577">
        <f t="shared" si="1119"/>
        <v>11724.000221011778</v>
      </c>
      <c r="K444" s="577">
        <f t="shared" si="1119"/>
        <v>12083.069030420282</v>
      </c>
      <c r="L444" s="577">
        <f t="shared" si="1119"/>
        <v>12587.058426842868</v>
      </c>
      <c r="M444" s="577">
        <f t="shared" si="1119"/>
        <v>13091.1378487849</v>
      </c>
      <c r="N444" s="577">
        <f t="shared" si="1119"/>
        <v>13595.322306167505</v>
      </c>
      <c r="O444" s="577">
        <f t="shared" si="1119"/>
        <v>14099.311800085043</v>
      </c>
      <c r="P444" s="577">
        <f t="shared" si="1119"/>
        <v>14603.331356264349</v>
      </c>
      <c r="Q444" s="577">
        <f t="shared" si="1119"/>
        <v>15169.828437975215</v>
      </c>
      <c r="R444" s="577">
        <f t="shared" si="1119"/>
        <v>15736.130661249988</v>
      </c>
      <c r="S444" s="577">
        <f t="shared" si="1119"/>
        <v>16302.628099596561</v>
      </c>
      <c r="T444" s="577">
        <f t="shared" si="1119"/>
        <v>16869.125822989739</v>
      </c>
      <c r="U444" s="577">
        <f t="shared" si="1119"/>
        <v>17435.713937548928</v>
      </c>
      <c r="V444" s="577">
        <f t="shared" si="1119"/>
        <v>17857.351468331635</v>
      </c>
      <c r="W444" s="577">
        <f t="shared" si="1119"/>
        <v>18180.915159416094</v>
      </c>
      <c r="X444" s="577">
        <f t="shared" si="1119"/>
        <v>18504.479097296215</v>
      </c>
      <c r="Y444" s="577">
        <f t="shared" si="1119"/>
        <v>18828.043324421287</v>
      </c>
      <c r="Z444" s="577">
        <f t="shared" si="1119"/>
        <v>19151.442882082854</v>
      </c>
      <c r="AA444" s="577">
        <f t="shared" si="1119"/>
        <v>19475.007841115694</v>
      </c>
      <c r="AB444" s="577">
        <f t="shared" si="1119"/>
        <v>19798.408250293367</v>
      </c>
      <c r="AC444" s="577">
        <f t="shared" si="1119"/>
        <v>20121.974198515862</v>
      </c>
      <c r="AD444" s="577">
        <f t="shared" si="1119"/>
        <v>20445.540761468044</v>
      </c>
      <c r="AE444" s="577">
        <f t="shared" si="1119"/>
        <v>20768.943025014618</v>
      </c>
      <c r="AF444" s="577">
        <f t="shared" si="1119"/>
        <v>21092.511114393601</v>
      </c>
      <c r="AG444" s="577">
        <f t="shared" si="1119"/>
        <v>21416.080142934457</v>
      </c>
      <c r="AH444" s="752">
        <f t="shared" si="1119"/>
        <v>21739.485237948207</v>
      </c>
      <c r="AI444" s="18"/>
      <c r="AJ444" s="18"/>
      <c r="AK444" s="18"/>
      <c r="AL444" s="18"/>
      <c r="AM444" s="18"/>
      <c r="AN444" s="18"/>
    </row>
    <row r="445" spans="2:40" ht="21.95" customHeight="1" x14ac:dyDescent="0.2">
      <c r="B445" s="232"/>
      <c r="C445" s="715"/>
      <c r="D445" s="715"/>
      <c r="E445" s="116"/>
      <c r="F445" s="116" t="s">
        <v>346</v>
      </c>
      <c r="G445" s="116" t="s">
        <v>343</v>
      </c>
      <c r="H445" s="116" t="s">
        <v>20</v>
      </c>
      <c r="I445" s="577">
        <f t="shared" ref="I445:AH445" si="1120">I363*$K$20</f>
        <v>686.7696641868572</v>
      </c>
      <c r="J445" s="577">
        <f t="shared" si="1120"/>
        <v>706.26127389759552</v>
      </c>
      <c r="K445" s="577">
        <f t="shared" si="1120"/>
        <v>727.89181082767868</v>
      </c>
      <c r="L445" s="577">
        <f t="shared" si="1120"/>
        <v>758.25245889639848</v>
      </c>
      <c r="M445" s="577">
        <f t="shared" si="1120"/>
        <v>788.61853244678764</v>
      </c>
      <c r="N445" s="577">
        <f t="shared" si="1120"/>
        <v>818.99093665468956</v>
      </c>
      <c r="O445" s="577">
        <f t="shared" si="1120"/>
        <v>849.35160070163738</v>
      </c>
      <c r="P445" s="577">
        <f t="shared" si="1120"/>
        <v>879.71408205230989</v>
      </c>
      <c r="Q445" s="577">
        <f t="shared" si="1120"/>
        <v>913.84026260204337</v>
      </c>
      <c r="R445" s="577">
        <f t="shared" si="1120"/>
        <v>947.95472020378747</v>
      </c>
      <c r="S445" s="577">
        <f t="shared" si="1120"/>
        <v>982.08095920174753</v>
      </c>
      <c r="T445" s="577">
        <f t="shared" si="1120"/>
        <v>1016.2072449153555</v>
      </c>
      <c r="U445" s="577">
        <f t="shared" si="1120"/>
        <v>1050.3390160356275</v>
      </c>
      <c r="V445" s="577">
        <f t="shared" si="1120"/>
        <v>1075.7388694480862</v>
      </c>
      <c r="W445" s="577">
        <f t="shared" si="1120"/>
        <v>1095.2306843946824</v>
      </c>
      <c r="X445" s="577">
        <f t="shared" si="1120"/>
        <v>1114.7225397880654</v>
      </c>
      <c r="Y445" s="577">
        <f t="shared" si="1120"/>
        <v>1134.2144425851554</v>
      </c>
      <c r="Z445" s="577">
        <f t="shared" si="1120"/>
        <v>1153.6964605043302</v>
      </c>
      <c r="AA445" s="577">
        <f t="shared" si="1120"/>
        <v>1173.1884832521416</v>
      </c>
      <c r="AB445" s="577">
        <f t="shared" si="1120"/>
        <v>1192.6706407243798</v>
      </c>
      <c r="AC445" s="577">
        <f t="shared" si="1120"/>
        <v>1212.1628255882654</v>
      </c>
      <c r="AD445" s="577">
        <f t="shared" si="1120"/>
        <v>1231.6551111988185</v>
      </c>
      <c r="AE445" s="577">
        <f t="shared" si="1120"/>
        <v>1251.1375725794167</v>
      </c>
      <c r="AF445" s="577">
        <f t="shared" si="1120"/>
        <v>1270.6301083526332</v>
      </c>
      <c r="AG445" s="577">
        <f t="shared" si="1120"/>
        <v>1290.122798042983</v>
      </c>
      <c r="AH445" s="752">
        <f t="shared" si="1120"/>
        <v>1309.6057234663833</v>
      </c>
      <c r="AI445" s="18"/>
      <c r="AJ445" s="18"/>
      <c r="AK445" s="18"/>
      <c r="AL445" s="18"/>
      <c r="AM445" s="18"/>
      <c r="AN445" s="18"/>
    </row>
    <row r="446" spans="2:40" ht="21.95" customHeight="1" x14ac:dyDescent="0.2">
      <c r="B446" s="232"/>
      <c r="C446" s="715"/>
      <c r="D446" s="715"/>
      <c r="E446" s="116"/>
      <c r="F446" s="116"/>
      <c r="G446" s="116"/>
      <c r="H446" s="124" t="s">
        <v>19</v>
      </c>
      <c r="I446" s="577">
        <f t="shared" ref="I446:AH446" si="1121">I363*$K$21</f>
        <v>2747.0786567474288</v>
      </c>
      <c r="J446" s="577">
        <f t="shared" si="1121"/>
        <v>2825.0450955903821</v>
      </c>
      <c r="K446" s="577">
        <f t="shared" si="1121"/>
        <v>2911.5672433107147</v>
      </c>
      <c r="L446" s="577">
        <f t="shared" si="1121"/>
        <v>3033.0098355855939</v>
      </c>
      <c r="M446" s="577">
        <f t="shared" si="1121"/>
        <v>3154.4741297871506</v>
      </c>
      <c r="N446" s="577">
        <f t="shared" si="1121"/>
        <v>3275.9637466187583</v>
      </c>
      <c r="O446" s="577">
        <f t="shared" si="1121"/>
        <v>3397.4064028065495</v>
      </c>
      <c r="P446" s="577">
        <f t="shared" si="1121"/>
        <v>3518.8563282092396</v>
      </c>
      <c r="Q446" s="577">
        <f t="shared" si="1121"/>
        <v>3655.3610504081735</v>
      </c>
      <c r="R446" s="577">
        <f t="shared" si="1121"/>
        <v>3791.8188808151499</v>
      </c>
      <c r="S446" s="577">
        <f t="shared" si="1121"/>
        <v>3928.3238368069901</v>
      </c>
      <c r="T446" s="577">
        <f t="shared" si="1121"/>
        <v>4064.8289796614222</v>
      </c>
      <c r="U446" s="577">
        <f t="shared" si="1121"/>
        <v>4201.3560641425101</v>
      </c>
      <c r="V446" s="577">
        <f t="shared" si="1121"/>
        <v>4302.9554777923449</v>
      </c>
      <c r="W446" s="577">
        <f t="shared" si="1121"/>
        <v>4380.9227375787295</v>
      </c>
      <c r="X446" s="577">
        <f t="shared" si="1121"/>
        <v>4458.8901591522617</v>
      </c>
      <c r="Y446" s="577">
        <f t="shared" si="1121"/>
        <v>4536.8577703406218</v>
      </c>
      <c r="Z446" s="577">
        <f t="shared" si="1121"/>
        <v>4614.7858420173206</v>
      </c>
      <c r="AA446" s="577">
        <f t="shared" si="1121"/>
        <v>4692.7539330085665</v>
      </c>
      <c r="AB446" s="577">
        <f t="shared" si="1121"/>
        <v>4770.6825628975193</v>
      </c>
      <c r="AC446" s="577">
        <f t="shared" si="1121"/>
        <v>4848.6513023530615</v>
      </c>
      <c r="AD446" s="577">
        <f t="shared" si="1121"/>
        <v>4926.6204447952741</v>
      </c>
      <c r="AE446" s="577">
        <f t="shared" si="1121"/>
        <v>5004.5502903176666</v>
      </c>
      <c r="AF446" s="577">
        <f t="shared" si="1121"/>
        <v>5082.5204334105329</v>
      </c>
      <c r="AG446" s="577">
        <f t="shared" si="1121"/>
        <v>5160.4911921719322</v>
      </c>
      <c r="AH446" s="752">
        <f t="shared" si="1121"/>
        <v>5238.4228938655333</v>
      </c>
      <c r="AI446" s="18"/>
      <c r="AJ446" s="18"/>
      <c r="AK446" s="18"/>
      <c r="AL446" s="18"/>
      <c r="AM446" s="18"/>
      <c r="AN446" s="18"/>
    </row>
    <row r="447" spans="2:40" ht="21.95" customHeight="1" x14ac:dyDescent="0.2">
      <c r="B447" s="232"/>
      <c r="C447" s="715"/>
      <c r="D447" s="715"/>
      <c r="E447" s="116"/>
      <c r="F447" s="116"/>
      <c r="G447" s="116"/>
      <c r="H447" s="721" t="s">
        <v>25</v>
      </c>
      <c r="I447" s="577">
        <f t="shared" ref="I447:AH447" si="1122">SUM(I445:I446)</f>
        <v>3433.8483209342858</v>
      </c>
      <c r="J447" s="577">
        <f t="shared" si="1122"/>
        <v>3531.3063694879775</v>
      </c>
      <c r="K447" s="577">
        <f t="shared" si="1122"/>
        <v>3639.4590541383932</v>
      </c>
      <c r="L447" s="577">
        <f t="shared" si="1122"/>
        <v>3791.2622944819923</v>
      </c>
      <c r="M447" s="577">
        <f t="shared" si="1122"/>
        <v>3943.0926622339384</v>
      </c>
      <c r="N447" s="577">
        <f t="shared" si="1122"/>
        <v>4094.9546832734477</v>
      </c>
      <c r="O447" s="577">
        <f t="shared" si="1122"/>
        <v>4246.7580035081864</v>
      </c>
      <c r="P447" s="577">
        <f t="shared" si="1122"/>
        <v>4398.5704102615491</v>
      </c>
      <c r="Q447" s="577">
        <f t="shared" si="1122"/>
        <v>4569.2013130102168</v>
      </c>
      <c r="R447" s="577">
        <f t="shared" si="1122"/>
        <v>4739.7736010189374</v>
      </c>
      <c r="S447" s="577">
        <f t="shared" si="1122"/>
        <v>4910.4047960087373</v>
      </c>
      <c r="T447" s="577">
        <f t="shared" si="1122"/>
        <v>5081.0362245767774</v>
      </c>
      <c r="U447" s="577">
        <f t="shared" si="1122"/>
        <v>5251.6950801781377</v>
      </c>
      <c r="V447" s="577">
        <f t="shared" si="1122"/>
        <v>5378.6943472404309</v>
      </c>
      <c r="W447" s="577">
        <f t="shared" si="1122"/>
        <v>5476.1534219734122</v>
      </c>
      <c r="X447" s="577">
        <f t="shared" si="1122"/>
        <v>5573.6126989403274</v>
      </c>
      <c r="Y447" s="577">
        <f t="shared" si="1122"/>
        <v>5671.0722129257774</v>
      </c>
      <c r="Z447" s="577">
        <f t="shared" si="1122"/>
        <v>5768.482302521651</v>
      </c>
      <c r="AA447" s="577">
        <f t="shared" si="1122"/>
        <v>5865.9424162607083</v>
      </c>
      <c r="AB447" s="577">
        <f t="shared" si="1122"/>
        <v>5963.3532036218994</v>
      </c>
      <c r="AC447" s="577">
        <f t="shared" si="1122"/>
        <v>6060.8141279413267</v>
      </c>
      <c r="AD447" s="577">
        <f t="shared" si="1122"/>
        <v>6158.2755559940924</v>
      </c>
      <c r="AE447" s="577">
        <f t="shared" si="1122"/>
        <v>6255.6878628970835</v>
      </c>
      <c r="AF447" s="577">
        <f t="shared" si="1122"/>
        <v>6353.1505417631661</v>
      </c>
      <c r="AG447" s="577">
        <f t="shared" si="1122"/>
        <v>6450.6139902149152</v>
      </c>
      <c r="AH447" s="752">
        <f t="shared" si="1122"/>
        <v>6548.0286173319164</v>
      </c>
      <c r="AI447" s="18"/>
      <c r="AJ447" s="18"/>
      <c r="AK447" s="18"/>
      <c r="AL447" s="18"/>
      <c r="AM447" s="18"/>
      <c r="AN447" s="18"/>
    </row>
    <row r="448" spans="2:40" ht="21.95" customHeight="1" x14ac:dyDescent="0.2">
      <c r="B448" s="232"/>
      <c r="C448" s="715"/>
      <c r="D448" s="715"/>
      <c r="E448" s="116"/>
      <c r="F448" s="116" t="s">
        <v>343</v>
      </c>
      <c r="G448" s="116" t="s">
        <v>350</v>
      </c>
      <c r="H448" s="116" t="s">
        <v>20</v>
      </c>
      <c r="I448" s="577">
        <f t="shared" ref="I448:AH448" si="1123">I364*$K$20</f>
        <v>1762.1063593425749</v>
      </c>
      <c r="J448" s="577">
        <f t="shared" si="1123"/>
        <v>1812.0738225524194</v>
      </c>
      <c r="K448" s="577">
        <f t="shared" si="1123"/>
        <v>1869.0104167221086</v>
      </c>
      <c r="L448" s="577">
        <f t="shared" si="1123"/>
        <v>1941.7619161879506</v>
      </c>
      <c r="M448" s="577">
        <f t="shared" si="1123"/>
        <v>2014.5369111527511</v>
      </c>
      <c r="N448" s="577">
        <f t="shared" si="1123"/>
        <v>2087.3001597809184</v>
      </c>
      <c r="O448" s="577">
        <f t="shared" si="1123"/>
        <v>2160.0516624621209</v>
      </c>
      <c r="P448" s="577">
        <f t="shared" si="1123"/>
        <v>2232.8178513090552</v>
      </c>
      <c r="Q448" s="577">
        <f t="shared" si="1123"/>
        <v>2315.0612395999901</v>
      </c>
      <c r="R448" s="577">
        <f t="shared" si="1123"/>
        <v>2397.3016956865458</v>
      </c>
      <c r="S448" s="577">
        <f t="shared" si="1123"/>
        <v>2479.5333475878579</v>
      </c>
      <c r="T448" s="577">
        <f t="shared" si="1123"/>
        <v>2561.7767554652346</v>
      </c>
      <c r="U448" s="577">
        <f t="shared" si="1123"/>
        <v>2644.0348590987546</v>
      </c>
      <c r="V448" s="577">
        <f t="shared" si="1123"/>
        <v>2710.4604399925938</v>
      </c>
      <c r="W448" s="577">
        <f t="shared" si="1123"/>
        <v>2760.4279444402255</v>
      </c>
      <c r="X448" s="577">
        <f t="shared" si="1123"/>
        <v>2810.3954571863419</v>
      </c>
      <c r="Y448" s="577">
        <f t="shared" si="1123"/>
        <v>2860.3629796844962</v>
      </c>
      <c r="Z448" s="577">
        <f t="shared" si="1123"/>
        <v>2910.3158293676602</v>
      </c>
      <c r="AA448" s="577">
        <f t="shared" si="1123"/>
        <v>2960.2833766431199</v>
      </c>
      <c r="AB448" s="577">
        <f t="shared" si="1123"/>
        <v>3010.2362552304303</v>
      </c>
      <c r="AC448" s="577">
        <f t="shared" si="1123"/>
        <v>3060.2038361564846</v>
      </c>
      <c r="AD448" s="577">
        <f t="shared" si="1123"/>
        <v>3110.1714380628709</v>
      </c>
      <c r="AE448" s="577">
        <f t="shared" si="1123"/>
        <v>3160.1243799690765</v>
      </c>
      <c r="AF448" s="577">
        <f t="shared" si="1123"/>
        <v>3210.0920341518417</v>
      </c>
      <c r="AG448" s="577">
        <f t="shared" si="1123"/>
        <v>3260.0597205937361</v>
      </c>
      <c r="AH448" s="752">
        <f t="shared" si="1123"/>
        <v>3310.0127598019262</v>
      </c>
      <c r="AI448" s="18"/>
      <c r="AJ448" s="18"/>
      <c r="AK448" s="18"/>
      <c r="AL448" s="18"/>
      <c r="AM448" s="18"/>
      <c r="AN448" s="18"/>
    </row>
    <row r="449" spans="2:41" ht="21.95" customHeight="1" x14ac:dyDescent="0.2">
      <c r="B449" s="232"/>
      <c r="C449" s="715"/>
      <c r="D449" s="715"/>
      <c r="E449" s="116"/>
      <c r="F449" s="116"/>
      <c r="G449" s="116"/>
      <c r="H449" s="124" t="s">
        <v>19</v>
      </c>
      <c r="I449" s="577">
        <f t="shared" ref="I449:AH449" si="1124">I364*$K$21</f>
        <v>7048.4254373702997</v>
      </c>
      <c r="J449" s="577">
        <f t="shared" si="1124"/>
        <v>7248.2952902096777</v>
      </c>
      <c r="K449" s="577">
        <f t="shared" si="1124"/>
        <v>7476.0416668884345</v>
      </c>
      <c r="L449" s="577">
        <f t="shared" si="1124"/>
        <v>7767.0476647518026</v>
      </c>
      <c r="M449" s="577">
        <f t="shared" si="1124"/>
        <v>8058.1476446110046</v>
      </c>
      <c r="N449" s="577">
        <f t="shared" si="1124"/>
        <v>8349.2006391236737</v>
      </c>
      <c r="O449" s="577">
        <f t="shared" si="1124"/>
        <v>8640.2066498484837</v>
      </c>
      <c r="P449" s="577">
        <f t="shared" si="1124"/>
        <v>8931.2714052362207</v>
      </c>
      <c r="Q449" s="577">
        <f t="shared" si="1124"/>
        <v>9260.2449583999605</v>
      </c>
      <c r="R449" s="577">
        <f t="shared" si="1124"/>
        <v>9589.2067827461833</v>
      </c>
      <c r="S449" s="577">
        <f t="shared" si="1124"/>
        <v>9918.1333903514314</v>
      </c>
      <c r="T449" s="577">
        <f t="shared" si="1124"/>
        <v>10247.107021860938</v>
      </c>
      <c r="U449" s="577">
        <f t="shared" si="1124"/>
        <v>10576.139436395018</v>
      </c>
      <c r="V449" s="577">
        <f t="shared" si="1124"/>
        <v>10841.841759970375</v>
      </c>
      <c r="W449" s="577">
        <f t="shared" si="1124"/>
        <v>11041.711777760902</v>
      </c>
      <c r="X449" s="577">
        <f t="shared" si="1124"/>
        <v>11241.581828745368</v>
      </c>
      <c r="Y449" s="577">
        <f t="shared" si="1124"/>
        <v>11441.451918737985</v>
      </c>
      <c r="Z449" s="577">
        <f t="shared" si="1124"/>
        <v>11641.263317470641</v>
      </c>
      <c r="AA449" s="577">
        <f t="shared" si="1124"/>
        <v>11841.13350657248</v>
      </c>
      <c r="AB449" s="577">
        <f t="shared" si="1124"/>
        <v>12040.945020921721</v>
      </c>
      <c r="AC449" s="577">
        <f t="shared" si="1124"/>
        <v>12240.815344625938</v>
      </c>
      <c r="AD449" s="577">
        <f t="shared" si="1124"/>
        <v>12440.685752251484</v>
      </c>
      <c r="AE449" s="577">
        <f t="shared" si="1124"/>
        <v>12640.497519876306</v>
      </c>
      <c r="AF449" s="577">
        <f t="shared" si="1124"/>
        <v>12840.368136607367</v>
      </c>
      <c r="AG449" s="577">
        <f t="shared" si="1124"/>
        <v>13040.238882374944</v>
      </c>
      <c r="AH449" s="752">
        <f t="shared" si="1124"/>
        <v>13240.051039207705</v>
      </c>
      <c r="AI449" s="18"/>
      <c r="AJ449" s="18"/>
      <c r="AK449" s="18"/>
      <c r="AL449" s="18"/>
      <c r="AM449" s="18"/>
      <c r="AN449" s="18"/>
    </row>
    <row r="450" spans="2:41" ht="21.95" customHeight="1" x14ac:dyDescent="0.2">
      <c r="B450" s="232"/>
      <c r="C450" s="715"/>
      <c r="D450" s="715"/>
      <c r="E450" s="116"/>
      <c r="F450" s="116"/>
      <c r="G450" s="116"/>
      <c r="H450" s="721" t="s">
        <v>25</v>
      </c>
      <c r="I450" s="577">
        <f t="shared" ref="I450:AH450" si="1125">SUM(I448:I449)</f>
        <v>8810.531796712874</v>
      </c>
      <c r="J450" s="577">
        <f t="shared" si="1125"/>
        <v>9060.3691127620968</v>
      </c>
      <c r="K450" s="577">
        <f t="shared" si="1125"/>
        <v>9345.0520836105425</v>
      </c>
      <c r="L450" s="577">
        <f t="shared" si="1125"/>
        <v>9708.8095809397528</v>
      </c>
      <c r="M450" s="577">
        <f t="shared" si="1125"/>
        <v>10072.684555763755</v>
      </c>
      <c r="N450" s="577">
        <f t="shared" si="1125"/>
        <v>10436.500798904592</v>
      </c>
      <c r="O450" s="577">
        <f t="shared" si="1125"/>
        <v>10800.258312310605</v>
      </c>
      <c r="P450" s="577">
        <f t="shared" si="1125"/>
        <v>11164.089256545276</v>
      </c>
      <c r="Q450" s="577">
        <f t="shared" si="1125"/>
        <v>11575.306197999951</v>
      </c>
      <c r="R450" s="577">
        <f t="shared" si="1125"/>
        <v>11986.50847843273</v>
      </c>
      <c r="S450" s="577">
        <f t="shared" si="1125"/>
        <v>12397.666737939289</v>
      </c>
      <c r="T450" s="577">
        <f t="shared" si="1125"/>
        <v>12808.883777326173</v>
      </c>
      <c r="U450" s="577">
        <f t="shared" si="1125"/>
        <v>13220.174295493773</v>
      </c>
      <c r="V450" s="577">
        <f t="shared" si="1125"/>
        <v>13552.302199962969</v>
      </c>
      <c r="W450" s="577">
        <f t="shared" si="1125"/>
        <v>13802.139722201127</v>
      </c>
      <c r="X450" s="577">
        <f t="shared" si="1125"/>
        <v>14051.977285931709</v>
      </c>
      <c r="Y450" s="577">
        <f t="shared" si="1125"/>
        <v>14301.814898422481</v>
      </c>
      <c r="Z450" s="577">
        <f t="shared" si="1125"/>
        <v>14551.579146838301</v>
      </c>
      <c r="AA450" s="577">
        <f t="shared" si="1125"/>
        <v>14801.416883215599</v>
      </c>
      <c r="AB450" s="577">
        <f t="shared" si="1125"/>
        <v>15051.181276152151</v>
      </c>
      <c r="AC450" s="577">
        <f t="shared" si="1125"/>
        <v>15301.019180782423</v>
      </c>
      <c r="AD450" s="577">
        <f t="shared" si="1125"/>
        <v>15550.857190314355</v>
      </c>
      <c r="AE450" s="577">
        <f t="shared" si="1125"/>
        <v>15800.621899845382</v>
      </c>
      <c r="AF450" s="577">
        <f t="shared" si="1125"/>
        <v>16050.460170759208</v>
      </c>
      <c r="AG450" s="577">
        <f t="shared" si="1125"/>
        <v>16300.29860296868</v>
      </c>
      <c r="AH450" s="752">
        <f t="shared" si="1125"/>
        <v>16550.063799009629</v>
      </c>
      <c r="AI450" s="18"/>
      <c r="AJ450" s="18"/>
      <c r="AK450" s="18"/>
      <c r="AL450" s="18"/>
      <c r="AM450" s="18"/>
      <c r="AN450" s="18"/>
    </row>
    <row r="451" spans="2:41" ht="21.95" customHeight="1" x14ac:dyDescent="0.2">
      <c r="B451" s="232"/>
      <c r="C451" s="715"/>
      <c r="D451" s="715"/>
      <c r="E451" s="116"/>
      <c r="F451" s="116" t="s">
        <v>350</v>
      </c>
      <c r="G451" s="116" t="s">
        <v>280</v>
      </c>
      <c r="H451" s="116" t="s">
        <v>20</v>
      </c>
      <c r="I451" s="577">
        <f t="shared" ref="I451:AH451" si="1126">I365*$K$20</f>
        <v>12012.827293119686</v>
      </c>
      <c r="J451" s="577">
        <f t="shared" si="1126"/>
        <v>12353.471033765005</v>
      </c>
      <c r="K451" s="577">
        <f t="shared" si="1126"/>
        <v>12741.625507128027</v>
      </c>
      <c r="L451" s="577">
        <f t="shared" si="1126"/>
        <v>13237.595107253655</v>
      </c>
      <c r="M451" s="577">
        <f t="shared" si="1126"/>
        <v>13733.724880282989</v>
      </c>
      <c r="N451" s="577">
        <f t="shared" si="1126"/>
        <v>14229.774570400863</v>
      </c>
      <c r="O451" s="577">
        <f t="shared" si="1126"/>
        <v>14725.744178583724</v>
      </c>
      <c r="P451" s="577">
        <f t="shared" si="1126"/>
        <v>15221.813898537268</v>
      </c>
      <c r="Q451" s="577">
        <f t="shared" si="1126"/>
        <v>15782.492618159506</v>
      </c>
      <c r="R451" s="577">
        <f t="shared" si="1126"/>
        <v>16343.151328028984</v>
      </c>
      <c r="S451" s="577">
        <f t="shared" si="1126"/>
        <v>16903.749989665543</v>
      </c>
      <c r="T451" s="577">
        <f t="shared" si="1126"/>
        <v>17464.428758368602</v>
      </c>
      <c r="U451" s="577">
        <f t="shared" si="1126"/>
        <v>18025.207662874524</v>
      </c>
      <c r="V451" s="577">
        <f t="shared" si="1126"/>
        <v>18478.051321416286</v>
      </c>
      <c r="W451" s="577">
        <f t="shared" si="1126"/>
        <v>18818.695165397574</v>
      </c>
      <c r="X451" s="577">
        <f t="shared" si="1126"/>
        <v>19159.339030173676</v>
      </c>
      <c r="Y451" s="577">
        <f t="shared" si="1126"/>
        <v>19499.982919386977</v>
      </c>
      <c r="Z451" s="577">
        <f t="shared" si="1126"/>
        <v>19840.526730284644</v>
      </c>
      <c r="AA451" s="577">
        <f t="shared" si="1126"/>
        <v>20181.170681586311</v>
      </c>
      <c r="AB451" s="577">
        <f t="shared" si="1126"/>
        <v>20521.714564913618</v>
      </c>
      <c r="AC451" s="577">
        <f t="shared" si="1126"/>
        <v>20862.358600538853</v>
      </c>
      <c r="AD451" s="577">
        <f t="shared" si="1126"/>
        <v>21203.002688737786</v>
      </c>
      <c r="AE451" s="577">
        <f t="shared" si="1126"/>
        <v>21543.546730733146</v>
      </c>
      <c r="AF451" s="577">
        <f t="shared" si="1126"/>
        <v>21884.190949929176</v>
      </c>
      <c r="AG451" s="577">
        <f t="shared" si="1126"/>
        <v>22224.835249961954</v>
      </c>
      <c r="AH451" s="752">
        <f t="shared" si="1126"/>
        <v>22565.379535782111</v>
      </c>
      <c r="AI451" s="18"/>
      <c r="AJ451" s="18"/>
      <c r="AK451" s="18"/>
      <c r="AL451" s="18"/>
      <c r="AM451" s="18"/>
      <c r="AN451" s="18"/>
    </row>
    <row r="452" spans="2:41" ht="21.95" customHeight="1" x14ac:dyDescent="0.2">
      <c r="B452" s="232"/>
      <c r="C452" s="715"/>
      <c r="D452" s="715"/>
      <c r="E452" s="116"/>
      <c r="F452" s="116"/>
      <c r="G452" s="116"/>
      <c r="H452" s="124" t="s">
        <v>19</v>
      </c>
      <c r="I452" s="577">
        <f t="shared" ref="I452:AH452" si="1127">I365*$K$21</f>
        <v>48051.309172478745</v>
      </c>
      <c r="J452" s="577">
        <f t="shared" si="1127"/>
        <v>49413.88413506002</v>
      </c>
      <c r="K452" s="577">
        <f t="shared" si="1127"/>
        <v>50966.502028512106</v>
      </c>
      <c r="L452" s="577">
        <f t="shared" si="1127"/>
        <v>52950.380429014622</v>
      </c>
      <c r="M452" s="577">
        <f t="shared" si="1127"/>
        <v>54934.899521131956</v>
      </c>
      <c r="N452" s="577">
        <f t="shared" si="1127"/>
        <v>56919.098281603452</v>
      </c>
      <c r="O452" s="577">
        <f t="shared" si="1127"/>
        <v>58902.976714334894</v>
      </c>
      <c r="P452" s="577">
        <f t="shared" si="1127"/>
        <v>60887.255594149072</v>
      </c>
      <c r="Q452" s="577">
        <f t="shared" si="1127"/>
        <v>63129.970472638022</v>
      </c>
      <c r="R452" s="577">
        <f t="shared" si="1127"/>
        <v>65372.605312115935</v>
      </c>
      <c r="S452" s="577">
        <f t="shared" si="1127"/>
        <v>67614.999958662171</v>
      </c>
      <c r="T452" s="577">
        <f t="shared" si="1127"/>
        <v>69857.715033474407</v>
      </c>
      <c r="U452" s="577">
        <f t="shared" si="1127"/>
        <v>72100.830651498094</v>
      </c>
      <c r="V452" s="577">
        <f t="shared" si="1127"/>
        <v>73912.205285665143</v>
      </c>
      <c r="W452" s="577">
        <f t="shared" si="1127"/>
        <v>75274.780661590295</v>
      </c>
      <c r="X452" s="577">
        <f t="shared" si="1127"/>
        <v>76637.356120694705</v>
      </c>
      <c r="Y452" s="577">
        <f t="shared" si="1127"/>
        <v>77999.931677547909</v>
      </c>
      <c r="Z452" s="577">
        <f t="shared" si="1127"/>
        <v>79362.106921138577</v>
      </c>
      <c r="AA452" s="577">
        <f t="shared" si="1127"/>
        <v>80724.682726345243</v>
      </c>
      <c r="AB452" s="577">
        <f t="shared" si="1127"/>
        <v>82086.858259654473</v>
      </c>
      <c r="AC452" s="577">
        <f t="shared" si="1127"/>
        <v>83449.434402155413</v>
      </c>
      <c r="AD452" s="577">
        <f t="shared" si="1127"/>
        <v>84812.010754951145</v>
      </c>
      <c r="AE452" s="577">
        <f t="shared" si="1127"/>
        <v>86174.186922932582</v>
      </c>
      <c r="AF452" s="577">
        <f t="shared" si="1127"/>
        <v>87536.763799716704</v>
      </c>
      <c r="AG452" s="577">
        <f t="shared" si="1127"/>
        <v>88899.340999847816</v>
      </c>
      <c r="AH452" s="752">
        <f t="shared" si="1127"/>
        <v>90261.518143128444</v>
      </c>
      <c r="AI452" s="18"/>
      <c r="AJ452" s="18"/>
      <c r="AK452" s="18"/>
      <c r="AL452" s="18"/>
      <c r="AM452" s="18"/>
      <c r="AN452" s="18"/>
    </row>
    <row r="453" spans="2:41" ht="21.95" customHeight="1" x14ac:dyDescent="0.2">
      <c r="B453" s="232"/>
      <c r="C453" s="715"/>
      <c r="D453" s="715"/>
      <c r="E453" s="116"/>
      <c r="F453" s="116"/>
      <c r="G453" s="116"/>
      <c r="H453" s="721" t="s">
        <v>25</v>
      </c>
      <c r="I453" s="577">
        <f t="shared" ref="I453:AH453" si="1128">SUM(I451:I452)</f>
        <v>60064.136465598429</v>
      </c>
      <c r="J453" s="577">
        <f t="shared" si="1128"/>
        <v>61767.355168825023</v>
      </c>
      <c r="K453" s="577">
        <f t="shared" si="1128"/>
        <v>63708.127535640131</v>
      </c>
      <c r="L453" s="577">
        <f t="shared" si="1128"/>
        <v>66187.975536268277</v>
      </c>
      <c r="M453" s="577">
        <f t="shared" si="1128"/>
        <v>68668.624401414942</v>
      </c>
      <c r="N453" s="577">
        <f t="shared" si="1128"/>
        <v>71148.872852004308</v>
      </c>
      <c r="O453" s="577">
        <f t="shared" si="1128"/>
        <v>73628.720892918616</v>
      </c>
      <c r="P453" s="577">
        <f t="shared" si="1128"/>
        <v>76109.069492686336</v>
      </c>
      <c r="Q453" s="577">
        <f t="shared" si="1128"/>
        <v>78912.463090797522</v>
      </c>
      <c r="R453" s="577">
        <f t="shared" si="1128"/>
        <v>81715.756640144915</v>
      </c>
      <c r="S453" s="577">
        <f t="shared" si="1128"/>
        <v>84518.749948327721</v>
      </c>
      <c r="T453" s="577">
        <f t="shared" si="1128"/>
        <v>87322.143791843002</v>
      </c>
      <c r="U453" s="577">
        <f t="shared" si="1128"/>
        <v>90126.038314372621</v>
      </c>
      <c r="V453" s="577">
        <f t="shared" si="1128"/>
        <v>92390.256607081421</v>
      </c>
      <c r="W453" s="577">
        <f t="shared" si="1128"/>
        <v>94093.475826987866</v>
      </c>
      <c r="X453" s="577">
        <f t="shared" si="1128"/>
        <v>95796.695150868385</v>
      </c>
      <c r="Y453" s="577">
        <f t="shared" si="1128"/>
        <v>97499.91459693489</v>
      </c>
      <c r="Z453" s="577">
        <f t="shared" si="1128"/>
        <v>99202.633651423224</v>
      </c>
      <c r="AA453" s="577">
        <f t="shared" si="1128"/>
        <v>100905.85340793156</v>
      </c>
      <c r="AB453" s="577">
        <f t="shared" si="1128"/>
        <v>102608.57282456809</v>
      </c>
      <c r="AC453" s="577">
        <f t="shared" si="1128"/>
        <v>104311.79300269426</v>
      </c>
      <c r="AD453" s="577">
        <f t="shared" si="1128"/>
        <v>106015.01344368893</v>
      </c>
      <c r="AE453" s="577">
        <f t="shared" si="1128"/>
        <v>107717.73365366572</v>
      </c>
      <c r="AF453" s="577">
        <f t="shared" si="1128"/>
        <v>109420.95474964588</v>
      </c>
      <c r="AG453" s="577">
        <f t="shared" si="1128"/>
        <v>111124.17624980977</v>
      </c>
      <c r="AH453" s="752">
        <f t="shared" si="1128"/>
        <v>112826.89767891055</v>
      </c>
      <c r="AI453" s="18"/>
      <c r="AJ453" s="18"/>
      <c r="AK453" s="18"/>
      <c r="AL453" s="18"/>
      <c r="AM453" s="18"/>
      <c r="AN453" s="18"/>
    </row>
    <row r="454" spans="2:41" ht="21.95" customHeight="1" x14ac:dyDescent="0.2">
      <c r="B454" s="232"/>
      <c r="C454" s="715"/>
      <c r="D454" s="715"/>
      <c r="E454" s="116"/>
      <c r="F454" s="116" t="s">
        <v>280</v>
      </c>
      <c r="G454" s="116" t="s">
        <v>333</v>
      </c>
      <c r="H454" s="116" t="s">
        <v>20</v>
      </c>
      <c r="I454" s="577">
        <f t="shared" ref="I454:AH454" si="1129">I366*$K$20</f>
        <v>300.01661128584107</v>
      </c>
      <c r="J454" s="577">
        <f t="shared" si="1129"/>
        <v>308.52413940082653</v>
      </c>
      <c r="K454" s="577">
        <f t="shared" si="1129"/>
        <v>318.2182654321835</v>
      </c>
      <c r="L454" s="577">
        <f t="shared" si="1129"/>
        <v>330.60511581872754</v>
      </c>
      <c r="M454" s="577">
        <f t="shared" si="1129"/>
        <v>342.99604445669263</v>
      </c>
      <c r="N454" s="577">
        <f t="shared" si="1129"/>
        <v>355.38508145247897</v>
      </c>
      <c r="O454" s="577">
        <f t="shared" si="1129"/>
        <v>367.77226748290343</v>
      </c>
      <c r="P454" s="577">
        <f t="shared" si="1129"/>
        <v>380.16215679746438</v>
      </c>
      <c r="Q454" s="577">
        <f t="shared" si="1129"/>
        <v>394.1660607980283</v>
      </c>
      <c r="R454" s="577">
        <f t="shared" si="1129"/>
        <v>408.16994908273102</v>
      </c>
      <c r="S454" s="577">
        <f t="shared" si="1129"/>
        <v>422.17299978588147</v>
      </c>
      <c r="T454" s="577">
        <f t="shared" si="1129"/>
        <v>436.17894836822734</v>
      </c>
      <c r="U454" s="577">
        <f t="shared" si="1129"/>
        <v>450.18860135487324</v>
      </c>
      <c r="V454" s="577">
        <f t="shared" si="1129"/>
        <v>461.50290770989523</v>
      </c>
      <c r="W454" s="577">
        <f t="shared" si="1129"/>
        <v>470.01474053874466</v>
      </c>
      <c r="X454" s="577">
        <f t="shared" si="1129"/>
        <v>478.52743962667887</v>
      </c>
      <c r="Y454" s="577">
        <f t="shared" si="1129"/>
        <v>487.04115670646547</v>
      </c>
      <c r="Z454" s="577">
        <f t="shared" si="1129"/>
        <v>495.55356415412052</v>
      </c>
      <c r="AA454" s="577">
        <f t="shared" si="1129"/>
        <v>504.06986767768689</v>
      </c>
      <c r="AB454" s="577">
        <f t="shared" si="1129"/>
        <v>512.58529236010725</v>
      </c>
      <c r="AC454" s="577">
        <f t="shared" si="1129"/>
        <v>521.10510858864859</v>
      </c>
      <c r="AD454" s="577">
        <f t="shared" si="1129"/>
        <v>529.62711490368838</v>
      </c>
      <c r="AE454" s="577">
        <f t="shared" si="1129"/>
        <v>538.14914929411157</v>
      </c>
      <c r="AF454" s="577">
        <f t="shared" si="1129"/>
        <v>546.67661261534693</v>
      </c>
      <c r="AG454" s="577">
        <f t="shared" si="1129"/>
        <v>555.20744338997144</v>
      </c>
      <c r="AH454" s="752">
        <f t="shared" si="1129"/>
        <v>563.73963490160838</v>
      </c>
      <c r="AI454" s="18"/>
      <c r="AJ454" s="18"/>
      <c r="AK454" s="18"/>
      <c r="AL454" s="18"/>
      <c r="AM454" s="18"/>
      <c r="AN454" s="18"/>
    </row>
    <row r="455" spans="2:41" ht="21.95" customHeight="1" x14ac:dyDescent="0.2">
      <c r="B455" s="232"/>
      <c r="C455" s="715"/>
      <c r="D455" s="715"/>
      <c r="E455" s="116"/>
      <c r="F455" s="116"/>
      <c r="G455" s="116"/>
      <c r="H455" s="124" t="s">
        <v>19</v>
      </c>
      <c r="I455" s="577">
        <f t="shared" ref="I455:AH455" si="1130">I366*$K$21</f>
        <v>1200.0664451433643</v>
      </c>
      <c r="J455" s="577">
        <f t="shared" si="1130"/>
        <v>1234.0965576033061</v>
      </c>
      <c r="K455" s="577">
        <f t="shared" si="1130"/>
        <v>1272.873061728734</v>
      </c>
      <c r="L455" s="577">
        <f t="shared" si="1130"/>
        <v>1322.4204632749102</v>
      </c>
      <c r="M455" s="577">
        <f t="shared" si="1130"/>
        <v>1371.9841778267705</v>
      </c>
      <c r="N455" s="577">
        <f t="shared" si="1130"/>
        <v>1421.5403258099159</v>
      </c>
      <c r="O455" s="577">
        <f t="shared" si="1130"/>
        <v>1471.0890699316137</v>
      </c>
      <c r="P455" s="577">
        <f t="shared" si="1130"/>
        <v>1520.6486271898575</v>
      </c>
      <c r="Q455" s="577">
        <f t="shared" si="1130"/>
        <v>1576.6642431921132</v>
      </c>
      <c r="R455" s="577">
        <f t="shared" si="1130"/>
        <v>1632.6797963309241</v>
      </c>
      <c r="S455" s="577">
        <f t="shared" si="1130"/>
        <v>1688.6919991435259</v>
      </c>
      <c r="T455" s="577">
        <f t="shared" si="1130"/>
        <v>1744.7157934729094</v>
      </c>
      <c r="U455" s="577">
        <f t="shared" si="1130"/>
        <v>1800.754405419493</v>
      </c>
      <c r="V455" s="577">
        <f t="shared" si="1130"/>
        <v>1846.0116308395809</v>
      </c>
      <c r="W455" s="577">
        <f t="shared" si="1130"/>
        <v>1880.0589621549786</v>
      </c>
      <c r="X455" s="577">
        <f t="shared" si="1130"/>
        <v>1914.1097585067155</v>
      </c>
      <c r="Y455" s="577">
        <f t="shared" si="1130"/>
        <v>1948.1646268258619</v>
      </c>
      <c r="Z455" s="577">
        <f t="shared" si="1130"/>
        <v>1982.2142566164821</v>
      </c>
      <c r="AA455" s="577">
        <f t="shared" si="1130"/>
        <v>2016.2794707107475</v>
      </c>
      <c r="AB455" s="577">
        <f t="shared" si="1130"/>
        <v>2050.341169440429</v>
      </c>
      <c r="AC455" s="577">
        <f t="shared" si="1130"/>
        <v>2084.4204343545944</v>
      </c>
      <c r="AD455" s="577">
        <f t="shared" si="1130"/>
        <v>2118.5084596147535</v>
      </c>
      <c r="AE455" s="577">
        <f t="shared" si="1130"/>
        <v>2152.5965971764463</v>
      </c>
      <c r="AF455" s="577">
        <f t="shared" si="1130"/>
        <v>2186.7064504613877</v>
      </c>
      <c r="AG455" s="577">
        <f t="shared" si="1130"/>
        <v>2220.8297735598858</v>
      </c>
      <c r="AH455" s="752">
        <f t="shared" si="1130"/>
        <v>2254.9585396064335</v>
      </c>
      <c r="AI455" s="18"/>
      <c r="AJ455" s="18"/>
      <c r="AK455" s="18"/>
      <c r="AL455" s="18"/>
      <c r="AM455" s="18"/>
      <c r="AN455" s="18"/>
    </row>
    <row r="456" spans="2:41" ht="21.95" customHeight="1" thickBot="1" x14ac:dyDescent="0.25">
      <c r="B456" s="487"/>
      <c r="C456" s="764"/>
      <c r="D456" s="764"/>
      <c r="E456" s="278"/>
      <c r="F456" s="278"/>
      <c r="G456" s="278"/>
      <c r="H456" s="765" t="s">
        <v>25</v>
      </c>
      <c r="I456" s="735">
        <f t="shared" ref="I456:AH456" si="1131">SUM(I454:I455)</f>
        <v>1500.0830564292053</v>
      </c>
      <c r="J456" s="735">
        <f t="shared" si="1131"/>
        <v>1542.6206970041326</v>
      </c>
      <c r="K456" s="735">
        <f t="shared" si="1131"/>
        <v>1591.0913271609174</v>
      </c>
      <c r="L456" s="735">
        <f t="shared" si="1131"/>
        <v>1653.0255790936376</v>
      </c>
      <c r="M456" s="735">
        <f t="shared" si="1131"/>
        <v>1714.9802222834633</v>
      </c>
      <c r="N456" s="735">
        <f t="shared" si="1131"/>
        <v>1776.9254072623949</v>
      </c>
      <c r="O456" s="735">
        <f t="shared" si="1131"/>
        <v>1838.861337414517</v>
      </c>
      <c r="P456" s="735">
        <f t="shared" si="1131"/>
        <v>1900.8107839873219</v>
      </c>
      <c r="Q456" s="735">
        <f t="shared" si="1131"/>
        <v>1970.8303039901416</v>
      </c>
      <c r="R456" s="735">
        <f t="shared" si="1131"/>
        <v>2040.849745413655</v>
      </c>
      <c r="S456" s="735">
        <f t="shared" si="1131"/>
        <v>2110.8649989294072</v>
      </c>
      <c r="T456" s="735">
        <f t="shared" si="1131"/>
        <v>2180.8947418411367</v>
      </c>
      <c r="U456" s="735">
        <f t="shared" si="1131"/>
        <v>2250.943006774366</v>
      </c>
      <c r="V456" s="735">
        <f t="shared" si="1131"/>
        <v>2307.5145385494761</v>
      </c>
      <c r="W456" s="735">
        <f t="shared" si="1131"/>
        <v>2350.0737026937231</v>
      </c>
      <c r="X456" s="735">
        <f t="shared" si="1131"/>
        <v>2392.6371981333941</v>
      </c>
      <c r="Y456" s="735">
        <f t="shared" si="1131"/>
        <v>2435.2057835323276</v>
      </c>
      <c r="Z456" s="735">
        <f t="shared" si="1131"/>
        <v>2477.7678207706026</v>
      </c>
      <c r="AA456" s="735">
        <f t="shared" si="1131"/>
        <v>2520.3493383884343</v>
      </c>
      <c r="AB456" s="735">
        <f t="shared" si="1131"/>
        <v>2562.9264618005363</v>
      </c>
      <c r="AC456" s="735">
        <f t="shared" si="1131"/>
        <v>2605.5255429432427</v>
      </c>
      <c r="AD456" s="735">
        <f t="shared" si="1131"/>
        <v>2648.1355745184419</v>
      </c>
      <c r="AE456" s="735">
        <f t="shared" si="1131"/>
        <v>2690.7457464705576</v>
      </c>
      <c r="AF456" s="735">
        <f t="shared" si="1131"/>
        <v>2733.3830630767347</v>
      </c>
      <c r="AG456" s="735">
        <f t="shared" si="1131"/>
        <v>2776.0372169498573</v>
      </c>
      <c r="AH456" s="766">
        <f t="shared" si="1131"/>
        <v>2818.698174508042</v>
      </c>
      <c r="AI456" s="18"/>
      <c r="AJ456" s="18"/>
      <c r="AK456" s="18"/>
      <c r="AL456" s="18"/>
      <c r="AM456" s="18"/>
      <c r="AN456" s="18"/>
    </row>
    <row r="457" spans="2:41" ht="21.95" customHeight="1" thickBot="1" x14ac:dyDescent="0.25">
      <c r="B457" s="487"/>
      <c r="C457" s="764"/>
      <c r="D457" s="764"/>
      <c r="E457" s="278"/>
      <c r="F457" s="278"/>
      <c r="G457" s="278"/>
      <c r="H457" s="767" t="s">
        <v>514</v>
      </c>
      <c r="I457" s="767">
        <f t="shared" ref="I457:AH457" si="1132">SUM(I372,I375,I378,I381,I384,I387,I390,I393,I396,I399,I402,I405,I408,I411,I414,I417,I420,I423,I426,I429,I432,I438,I441,I444,I447,I450,I453,I456)</f>
        <v>1759474.6299385913</v>
      </c>
      <c r="J457" s="767">
        <f t="shared" si="1132"/>
        <v>1816626.5734800636</v>
      </c>
      <c r="K457" s="767">
        <f t="shared" si="1132"/>
        <v>1921725.0399396238</v>
      </c>
      <c r="L457" s="767">
        <f t="shared" si="1132"/>
        <v>2088797.3582001184</v>
      </c>
      <c r="M457" s="767">
        <f t="shared" si="1132"/>
        <v>2256813.6881491863</v>
      </c>
      <c r="N457" s="767">
        <f t="shared" si="1132"/>
        <v>2426179.2039511767</v>
      </c>
      <c r="O457" s="767">
        <f t="shared" si="1132"/>
        <v>2597689.8234046875</v>
      </c>
      <c r="P457" s="767">
        <f t="shared" si="1132"/>
        <v>2774114.5460306434</v>
      </c>
      <c r="Q457" s="767">
        <f t="shared" si="1132"/>
        <v>2945725.2596237506</v>
      </c>
      <c r="R457" s="767">
        <f t="shared" si="1132"/>
        <v>3130024.726591161</v>
      </c>
      <c r="S457" s="767">
        <f t="shared" si="1132"/>
        <v>3345486.2627483639</v>
      </c>
      <c r="T457" s="767">
        <f t="shared" si="1132"/>
        <v>3612324.3116676086</v>
      </c>
      <c r="U457" s="767">
        <f t="shared" si="1132"/>
        <v>3950322.8828693135</v>
      </c>
      <c r="V457" s="767">
        <f t="shared" si="1132"/>
        <v>4138221.8316389043</v>
      </c>
      <c r="W457" s="767">
        <f t="shared" si="1132"/>
        <v>4246727.7299044142</v>
      </c>
      <c r="X457" s="767">
        <f t="shared" si="1132"/>
        <v>4347528.2138538267</v>
      </c>
      <c r="Y457" s="767">
        <f t="shared" si="1132"/>
        <v>4425341.141742276</v>
      </c>
      <c r="Z457" s="767">
        <f t="shared" si="1132"/>
        <v>4504716.1133580878</v>
      </c>
      <c r="AA457" s="767">
        <f t="shared" si="1132"/>
        <v>4585757.6262542196</v>
      </c>
      <c r="AB457" s="767">
        <f t="shared" si="1132"/>
        <v>4668841.2442056546</v>
      </c>
      <c r="AC457" s="767">
        <f t="shared" si="1132"/>
        <v>4754131.6585817011</v>
      </c>
      <c r="AD457" s="767">
        <f t="shared" si="1132"/>
        <v>4842014.1360075679</v>
      </c>
      <c r="AE457" s="767">
        <f t="shared" si="1132"/>
        <v>4932917.4321177509</v>
      </c>
      <c r="AF457" s="767">
        <f t="shared" si="1132"/>
        <v>5027126.4170881659</v>
      </c>
      <c r="AG457" s="767">
        <f t="shared" si="1132"/>
        <v>5125165.1549672624</v>
      </c>
      <c r="AH457" s="768">
        <f t="shared" si="1132"/>
        <v>5227618.3165993895</v>
      </c>
      <c r="AI457" s="18"/>
      <c r="AJ457" s="18"/>
      <c r="AK457" s="18"/>
      <c r="AL457" s="18"/>
      <c r="AM457" s="18"/>
      <c r="AN457" s="18"/>
    </row>
    <row r="458" spans="2:41" ht="21.95" customHeight="1" x14ac:dyDescent="0.2">
      <c r="B458" s="9"/>
      <c r="C458" s="715"/>
      <c r="D458" s="715"/>
      <c r="E458" s="116"/>
      <c r="F458" s="116"/>
      <c r="G458" s="116"/>
      <c r="H458" s="769"/>
      <c r="I458" s="769"/>
      <c r="J458" s="769"/>
      <c r="K458" s="769"/>
      <c r="L458" s="769"/>
      <c r="M458" s="769"/>
      <c r="N458" s="769"/>
      <c r="O458" s="769"/>
      <c r="P458" s="769"/>
      <c r="Q458" s="769"/>
      <c r="R458" s="769"/>
      <c r="S458" s="769"/>
      <c r="T458" s="769"/>
      <c r="U458" s="769"/>
      <c r="V458" s="769"/>
      <c r="W458" s="769"/>
      <c r="X458" s="769"/>
      <c r="Y458" s="769"/>
      <c r="Z458" s="769"/>
      <c r="AA458" s="769"/>
      <c r="AB458" s="769"/>
      <c r="AC458" s="769"/>
      <c r="AD458" s="769"/>
      <c r="AE458" s="769"/>
      <c r="AF458" s="769"/>
      <c r="AG458" s="769"/>
      <c r="AH458" s="769"/>
      <c r="AI458" s="18"/>
      <c r="AJ458" s="18"/>
      <c r="AK458" s="18"/>
      <c r="AL458" s="18"/>
      <c r="AM458" s="18"/>
      <c r="AN458" s="18"/>
    </row>
    <row r="459" spans="2:41" ht="21.95" customHeight="1" thickBot="1" x14ac:dyDescent="0.25">
      <c r="B459" s="9"/>
      <c r="C459" s="715"/>
      <c r="D459" s="715"/>
      <c r="E459" s="116"/>
      <c r="F459" s="116"/>
      <c r="G459" s="116"/>
      <c r="H459" s="769"/>
      <c r="I459" s="769"/>
      <c r="J459" s="769"/>
      <c r="K459" s="769"/>
      <c r="L459" s="769"/>
      <c r="M459" s="769"/>
      <c r="N459" s="769"/>
      <c r="O459" s="769"/>
      <c r="P459" s="769"/>
      <c r="Q459" s="769"/>
      <c r="R459" s="769"/>
      <c r="S459" s="769"/>
      <c r="T459" s="769"/>
      <c r="U459" s="769"/>
      <c r="V459" s="769"/>
      <c r="W459" s="769"/>
      <c r="X459" s="769"/>
      <c r="Y459" s="769"/>
      <c r="Z459" s="769"/>
      <c r="AA459" s="769"/>
      <c r="AB459" s="769"/>
      <c r="AC459" s="769"/>
      <c r="AD459" s="769"/>
      <c r="AE459" s="769"/>
      <c r="AF459" s="769"/>
      <c r="AG459" s="769"/>
      <c r="AH459" s="769"/>
      <c r="AI459" s="18"/>
      <c r="AJ459" s="18"/>
      <c r="AK459" s="18"/>
      <c r="AL459" s="18"/>
      <c r="AM459" s="18"/>
      <c r="AN459" s="18"/>
    </row>
    <row r="460" spans="2:41" s="7" customFormat="1" ht="21.95" customHeight="1" thickBot="1" x14ac:dyDescent="0.25">
      <c r="B460" s="234"/>
      <c r="C460" s="485" t="s">
        <v>2</v>
      </c>
      <c r="D460" s="485"/>
      <c r="E460" s="485" t="s">
        <v>328</v>
      </c>
      <c r="F460" s="1338" t="s">
        <v>18</v>
      </c>
      <c r="G460" s="1338"/>
      <c r="H460" s="485" t="s">
        <v>24</v>
      </c>
      <c r="I460" s="763">
        <v>2023</v>
      </c>
      <c r="J460" s="763">
        <v>2024</v>
      </c>
      <c r="K460" s="763">
        <v>2025</v>
      </c>
      <c r="L460" s="763">
        <v>2026</v>
      </c>
      <c r="M460" s="763">
        <v>2027</v>
      </c>
      <c r="N460" s="763">
        <v>2028</v>
      </c>
      <c r="O460" s="763">
        <v>2029</v>
      </c>
      <c r="P460" s="763">
        <v>2030</v>
      </c>
      <c r="Q460" s="763">
        <v>2031</v>
      </c>
      <c r="R460" s="763">
        <v>2032</v>
      </c>
      <c r="S460" s="763">
        <v>2033</v>
      </c>
      <c r="T460" s="763">
        <v>2034</v>
      </c>
      <c r="U460" s="763">
        <v>2035</v>
      </c>
      <c r="V460" s="763">
        <v>2036</v>
      </c>
      <c r="W460" s="763">
        <v>2037</v>
      </c>
      <c r="X460" s="763">
        <v>2038</v>
      </c>
      <c r="Y460" s="763">
        <v>2039</v>
      </c>
      <c r="Z460" s="763">
        <v>2040</v>
      </c>
      <c r="AA460" s="763">
        <v>2041</v>
      </c>
      <c r="AB460" s="763">
        <v>2042</v>
      </c>
      <c r="AC460" s="763">
        <v>2043</v>
      </c>
      <c r="AD460" s="763">
        <v>2044</v>
      </c>
      <c r="AE460" s="763">
        <v>2045</v>
      </c>
      <c r="AF460" s="763">
        <v>2046</v>
      </c>
      <c r="AG460" s="763">
        <v>2047</v>
      </c>
      <c r="AH460" s="762">
        <v>2048</v>
      </c>
      <c r="AI460" s="484"/>
      <c r="AJ460" s="484"/>
      <c r="AK460" s="484"/>
      <c r="AL460" s="484"/>
      <c r="AM460" s="484"/>
      <c r="AN460" s="484"/>
      <c r="AO460" s="484"/>
    </row>
    <row r="461" spans="2:41" ht="21.95" customHeight="1" x14ac:dyDescent="0.2">
      <c r="B461" s="199" t="s">
        <v>213</v>
      </c>
      <c r="C461" s="116" t="s">
        <v>130</v>
      </c>
      <c r="D461" s="240" t="s">
        <v>23</v>
      </c>
      <c r="E461" s="1339" t="s">
        <v>331</v>
      </c>
      <c r="F461" s="116" t="s">
        <v>332</v>
      </c>
      <c r="G461" s="116" t="s">
        <v>282</v>
      </c>
      <c r="H461" s="116" t="s">
        <v>20</v>
      </c>
      <c r="I461" s="577">
        <f t="shared" ref="I461:AH461" si="1133">I370*$D$11</f>
        <v>2839.7034752162758</v>
      </c>
      <c r="J461" s="577">
        <f t="shared" si="1133"/>
        <v>2968.833342052636</v>
      </c>
      <c r="K461" s="577">
        <f t="shared" si="1133"/>
        <v>3150.7686661133293</v>
      </c>
      <c r="L461" s="577">
        <f t="shared" si="1133"/>
        <v>3418.3997915320092</v>
      </c>
      <c r="M461" s="577">
        <f t="shared" si="1133"/>
        <v>3686.1581842869969</v>
      </c>
      <c r="N461" s="577">
        <f t="shared" si="1133"/>
        <v>3953.9747185570686</v>
      </c>
      <c r="O461" s="577">
        <f t="shared" si="1133"/>
        <v>4221.8023589608683</v>
      </c>
      <c r="P461" s="577">
        <f t="shared" si="1133"/>
        <v>4490.0210524056411</v>
      </c>
      <c r="Q461" s="577">
        <f t="shared" si="1133"/>
        <v>4755.3994730540635</v>
      </c>
      <c r="R461" s="577">
        <f t="shared" si="1133"/>
        <v>5021.3850580921871</v>
      </c>
      <c r="S461" s="577">
        <f t="shared" si="1133"/>
        <v>5288.217004989101</v>
      </c>
      <c r="T461" s="577">
        <f t="shared" si="1133"/>
        <v>5556.4755597440217</v>
      </c>
      <c r="U461" s="577">
        <f t="shared" si="1133"/>
        <v>5827.1464933995849</v>
      </c>
      <c r="V461" s="577">
        <f t="shared" si="1133"/>
        <v>6011.7639965267981</v>
      </c>
      <c r="W461" s="577">
        <f t="shared" si="1133"/>
        <v>6146.2620294136414</v>
      </c>
      <c r="X461" s="577">
        <f t="shared" si="1133"/>
        <v>6282.0212968713513</v>
      </c>
      <c r="Y461" s="577">
        <f t="shared" si="1133"/>
        <v>6419.3023690735254</v>
      </c>
      <c r="Z461" s="577">
        <f t="shared" si="1133"/>
        <v>6558.4607448453226</v>
      </c>
      <c r="AA461" s="577">
        <f t="shared" si="1133"/>
        <v>6699.7622691808983</v>
      </c>
      <c r="AB461" s="577">
        <f t="shared" si="1133"/>
        <v>6843.7278349002245</v>
      </c>
      <c r="AC461" s="577">
        <f t="shared" si="1133"/>
        <v>6990.7534289797177</v>
      </c>
      <c r="AD461" s="577">
        <f t="shared" si="1133"/>
        <v>7141.4643437971181</v>
      </c>
      <c r="AE461" s="577">
        <f t="shared" si="1133"/>
        <v>7296.5840951259834</v>
      </c>
      <c r="AF461" s="577">
        <f t="shared" si="1133"/>
        <v>7456.7817382616922</v>
      </c>
      <c r="AG461" s="577">
        <f t="shared" si="1133"/>
        <v>7623.0055767363974</v>
      </c>
      <c r="AH461" s="752">
        <f t="shared" si="1133"/>
        <v>7796.3487471025346</v>
      </c>
      <c r="AI461" s="18"/>
      <c r="AJ461" s="18"/>
      <c r="AK461" s="18"/>
      <c r="AL461" s="18"/>
      <c r="AM461" s="18"/>
      <c r="AN461" s="18"/>
    </row>
    <row r="462" spans="2:41" ht="21.95" customHeight="1" x14ac:dyDescent="0.2">
      <c r="B462" s="486" t="s">
        <v>158</v>
      </c>
      <c r="C462" s="715"/>
      <c r="D462" s="240"/>
      <c r="E462" s="1339"/>
      <c r="F462" s="116"/>
      <c r="G462" s="116"/>
      <c r="H462" s="124" t="s">
        <v>19</v>
      </c>
      <c r="I462" s="577">
        <f t="shared" ref="I462:AH462" si="1134">I371*$D$12</f>
        <v>6028.7662239213269</v>
      </c>
      <c r="J462" s="577">
        <f t="shared" si="1134"/>
        <v>6302.9123756152858</v>
      </c>
      <c r="K462" s="577">
        <f t="shared" si="1134"/>
        <v>6689.1659215253048</v>
      </c>
      <c r="L462" s="577">
        <f t="shared" si="1134"/>
        <v>7257.3539395616972</v>
      </c>
      <c r="M462" s="577">
        <f t="shared" si="1134"/>
        <v>7825.8121495477899</v>
      </c>
      <c r="N462" s="577">
        <f t="shared" si="1134"/>
        <v>8394.3937955212677</v>
      </c>
      <c r="O462" s="577">
        <f t="shared" si="1134"/>
        <v>8962.999020112893</v>
      </c>
      <c r="P462" s="577">
        <f t="shared" si="1134"/>
        <v>9532.4344607414259</v>
      </c>
      <c r="Q462" s="577">
        <f t="shared" si="1134"/>
        <v>10095.839926462084</v>
      </c>
      <c r="R462" s="577">
        <f t="shared" si="1134"/>
        <v>10660.534418377534</v>
      </c>
      <c r="S462" s="577">
        <f t="shared" si="1134"/>
        <v>11227.02575909499</v>
      </c>
      <c r="T462" s="577">
        <f t="shared" si="1134"/>
        <v>11796.545826348223</v>
      </c>
      <c r="U462" s="577">
        <f t="shared" si="1134"/>
        <v>12371.187438355135</v>
      </c>
      <c r="V462" s="577">
        <f t="shared" si="1134"/>
        <v>12763.135321967617</v>
      </c>
      <c r="W462" s="577">
        <f t="shared" si="1134"/>
        <v>13048.678233376811</v>
      </c>
      <c r="X462" s="577">
        <f t="shared" si="1134"/>
        <v>13336.898779422032</v>
      </c>
      <c r="Y462" s="577">
        <f t="shared" si="1134"/>
        <v>13628.350157532253</v>
      </c>
      <c r="Z462" s="577">
        <f t="shared" si="1134"/>
        <v>13923.787101195841</v>
      </c>
      <c r="AA462" s="577">
        <f t="shared" si="1134"/>
        <v>14223.774006426513</v>
      </c>
      <c r="AB462" s="577">
        <f t="shared" si="1134"/>
        <v>14529.416742575326</v>
      </c>
      <c r="AC462" s="577">
        <f t="shared" si="1134"/>
        <v>14841.556000555745</v>
      </c>
      <c r="AD462" s="577">
        <f t="shared" si="1134"/>
        <v>15161.519292764708</v>
      </c>
      <c r="AE462" s="577">
        <f t="shared" si="1134"/>
        <v>15490.842662488481</v>
      </c>
      <c r="AF462" s="577">
        <f t="shared" si="1134"/>
        <v>15830.946531965488</v>
      </c>
      <c r="AG462" s="577">
        <f t="shared" si="1134"/>
        <v>16183.844174889466</v>
      </c>
      <c r="AH462" s="752">
        <f t="shared" si="1134"/>
        <v>16551.856349319482</v>
      </c>
      <c r="AI462" s="18"/>
      <c r="AJ462" s="18"/>
      <c r="AK462" s="18"/>
      <c r="AL462" s="18"/>
      <c r="AM462" s="18"/>
      <c r="AN462" s="18"/>
    </row>
    <row r="463" spans="2:41" ht="21.95" customHeight="1" x14ac:dyDescent="0.2">
      <c r="B463" s="199"/>
      <c r="C463" s="116"/>
      <c r="D463" s="240"/>
      <c r="E463" s="1339"/>
      <c r="F463" s="116"/>
      <c r="G463" s="116"/>
      <c r="H463" s="720" t="s">
        <v>25</v>
      </c>
      <c r="I463" s="577">
        <f t="shared" ref="I463" si="1135">SUM(I461:I462)</f>
        <v>8868.4696991376022</v>
      </c>
      <c r="J463" s="577">
        <f t="shared" ref="J463:AH463" si="1136">SUM(J461:J462)</f>
        <v>9271.7457176679218</v>
      </c>
      <c r="K463" s="577">
        <f t="shared" si="1136"/>
        <v>9839.9345876386342</v>
      </c>
      <c r="L463" s="577">
        <f t="shared" si="1136"/>
        <v>10675.753731093706</v>
      </c>
      <c r="M463" s="577">
        <f t="shared" si="1136"/>
        <v>11511.970333834786</v>
      </c>
      <c r="N463" s="577">
        <f t="shared" si="1136"/>
        <v>12348.368514078336</v>
      </c>
      <c r="O463" s="577">
        <f t="shared" si="1136"/>
        <v>13184.80137907376</v>
      </c>
      <c r="P463" s="577">
        <f t="shared" si="1136"/>
        <v>14022.455513147066</v>
      </c>
      <c r="Q463" s="577">
        <f t="shared" si="1136"/>
        <v>14851.239399516147</v>
      </c>
      <c r="R463" s="577">
        <f t="shared" si="1136"/>
        <v>15681.91947646972</v>
      </c>
      <c r="S463" s="577">
        <f t="shared" si="1136"/>
        <v>16515.242764084091</v>
      </c>
      <c r="T463" s="577">
        <f t="shared" si="1136"/>
        <v>17353.021386092245</v>
      </c>
      <c r="U463" s="577">
        <f t="shared" si="1136"/>
        <v>18198.333931754722</v>
      </c>
      <c r="V463" s="577">
        <f t="shared" si="1136"/>
        <v>18774.899318494416</v>
      </c>
      <c r="W463" s="577">
        <f t="shared" si="1136"/>
        <v>19194.940262790453</v>
      </c>
      <c r="X463" s="577">
        <f t="shared" si="1136"/>
        <v>19618.920076293383</v>
      </c>
      <c r="Y463" s="577">
        <f t="shared" si="1136"/>
        <v>20047.65252660578</v>
      </c>
      <c r="Z463" s="577">
        <f t="shared" si="1136"/>
        <v>20482.247846041166</v>
      </c>
      <c r="AA463" s="577">
        <f t="shared" si="1136"/>
        <v>20923.53627560741</v>
      </c>
      <c r="AB463" s="577">
        <f t="shared" si="1136"/>
        <v>21373.144577475548</v>
      </c>
      <c r="AC463" s="577">
        <f t="shared" si="1136"/>
        <v>21832.309429535464</v>
      </c>
      <c r="AD463" s="577">
        <f t="shared" si="1136"/>
        <v>22302.983636561825</v>
      </c>
      <c r="AE463" s="577">
        <f t="shared" si="1136"/>
        <v>22787.426757614463</v>
      </c>
      <c r="AF463" s="577">
        <f t="shared" si="1136"/>
        <v>23287.72827022718</v>
      </c>
      <c r="AG463" s="577">
        <f t="shared" si="1136"/>
        <v>23806.849751625865</v>
      </c>
      <c r="AH463" s="752">
        <f t="shared" si="1136"/>
        <v>24348.205096422018</v>
      </c>
      <c r="AI463" s="18"/>
      <c r="AJ463" s="18"/>
      <c r="AK463" s="18"/>
      <c r="AL463" s="18"/>
      <c r="AM463" s="18"/>
      <c r="AN463" s="18"/>
    </row>
    <row r="464" spans="2:41" ht="21.95" customHeight="1" x14ac:dyDescent="0.2">
      <c r="B464" s="197"/>
      <c r="C464" s="715"/>
      <c r="D464" s="715"/>
      <c r="E464" s="1339"/>
      <c r="F464" s="116" t="s">
        <v>282</v>
      </c>
      <c r="G464" s="116" t="s">
        <v>280</v>
      </c>
      <c r="H464" s="116" t="s">
        <v>20</v>
      </c>
      <c r="I464" s="577">
        <f t="shared" ref="I464:AH464" si="1137">I373*$D$11</f>
        <v>91311.52253867338</v>
      </c>
      <c r="J464" s="577">
        <f t="shared" si="1137"/>
        <v>96131.441104935249</v>
      </c>
      <c r="K464" s="577">
        <f t="shared" si="1137"/>
        <v>103366.76271725613</v>
      </c>
      <c r="L464" s="577">
        <f t="shared" si="1137"/>
        <v>115320.74695708769</v>
      </c>
      <c r="M464" s="577">
        <f t="shared" si="1137"/>
        <v>127280.67466658521</v>
      </c>
      <c r="N464" s="577">
        <f t="shared" si="1137"/>
        <v>139241.20518894235</v>
      </c>
      <c r="O464" s="577">
        <f t="shared" si="1137"/>
        <v>151199.84428818477</v>
      </c>
      <c r="P464" s="577">
        <f t="shared" si="1137"/>
        <v>163175.24833349735</v>
      </c>
      <c r="Q464" s="577">
        <f t="shared" si="1137"/>
        <v>175268.85149160255</v>
      </c>
      <c r="R464" s="577">
        <f t="shared" si="1137"/>
        <v>187389.14023242891</v>
      </c>
      <c r="S464" s="577">
        <f t="shared" si="1137"/>
        <v>199546.39721426327</v>
      </c>
      <c r="T464" s="577">
        <f t="shared" si="1137"/>
        <v>211775.4391607221</v>
      </c>
      <c r="U464" s="577">
        <f t="shared" si="1137"/>
        <v>224137.17592909027</v>
      </c>
      <c r="V464" s="577">
        <f t="shared" si="1137"/>
        <v>231745.81213648838</v>
      </c>
      <c r="W464" s="577">
        <f t="shared" si="1137"/>
        <v>236788.87048701913</v>
      </c>
      <c r="X464" s="577">
        <f t="shared" si="1137"/>
        <v>241882.55052898737</v>
      </c>
      <c r="Y464" s="577">
        <f t="shared" si="1137"/>
        <v>247036.96416431118</v>
      </c>
      <c r="Z464" s="577">
        <f t="shared" si="1137"/>
        <v>252266.93596541754</v>
      </c>
      <c r="AA464" s="577">
        <f t="shared" si="1137"/>
        <v>257580.4909983415</v>
      </c>
      <c r="AB464" s="577">
        <f t="shared" si="1137"/>
        <v>262999.81439182477</v>
      </c>
      <c r="AC464" s="577">
        <f t="shared" si="1137"/>
        <v>268537.6785192056</v>
      </c>
      <c r="AD464" s="577">
        <f t="shared" si="1137"/>
        <v>274218.95144821005</v>
      </c>
      <c r="AE464" s="577">
        <f t="shared" si="1137"/>
        <v>280072.2546423676</v>
      </c>
      <c r="AF464" s="577">
        <f t="shared" si="1137"/>
        <v>286120.2086149563</v>
      </c>
      <c r="AG464" s="577">
        <f t="shared" si="1137"/>
        <v>292399.62454634061</v>
      </c>
      <c r="AH464" s="752">
        <f t="shared" si="1137"/>
        <v>298952.81230898295</v>
      </c>
      <c r="AI464" s="18"/>
      <c r="AJ464" s="18"/>
      <c r="AK464" s="18"/>
      <c r="AL464" s="18"/>
      <c r="AM464" s="18"/>
      <c r="AN464" s="18"/>
    </row>
    <row r="465" spans="2:40" ht="21.95" customHeight="1" x14ac:dyDescent="0.2">
      <c r="B465" s="486"/>
      <c r="C465" s="715"/>
      <c r="D465" s="715"/>
      <c r="E465" s="1339"/>
      <c r="F465" s="116"/>
      <c r="G465" s="116"/>
      <c r="H465" s="124" t="s">
        <v>19</v>
      </c>
      <c r="I465" s="577">
        <f t="shared" ref="I465:AH465" si="1138">I374*$D$12</f>
        <v>193856.79798629624</v>
      </c>
      <c r="J465" s="577">
        <f t="shared" si="1138"/>
        <v>204089.61366861596</v>
      </c>
      <c r="K465" s="577">
        <f t="shared" si="1138"/>
        <v>219450.39444599833</v>
      </c>
      <c r="L465" s="577">
        <f t="shared" si="1138"/>
        <v>244829.02184683835</v>
      </c>
      <c r="M465" s="577">
        <f t="shared" si="1138"/>
        <v>270220.2673923148</v>
      </c>
      <c r="N465" s="577">
        <f t="shared" si="1138"/>
        <v>295612.79272557166</v>
      </c>
      <c r="O465" s="577">
        <f t="shared" si="1138"/>
        <v>321001.30251710437</v>
      </c>
      <c r="P465" s="577">
        <f t="shared" si="1138"/>
        <v>346425.40473633079</v>
      </c>
      <c r="Q465" s="577">
        <f t="shared" si="1138"/>
        <v>372100.44682485028</v>
      </c>
      <c r="R465" s="577">
        <f t="shared" si="1138"/>
        <v>397832.14311729604</v>
      </c>
      <c r="S465" s="577">
        <f t="shared" si="1138"/>
        <v>423642.32397148979</v>
      </c>
      <c r="T465" s="577">
        <f t="shared" si="1138"/>
        <v>449604.90622036817</v>
      </c>
      <c r="U465" s="577">
        <f t="shared" si="1138"/>
        <v>475849.20311565173</v>
      </c>
      <c r="V465" s="577">
        <f t="shared" si="1138"/>
        <v>492002.54073614854</v>
      </c>
      <c r="W465" s="577">
        <f t="shared" si="1138"/>
        <v>502709.08813248487</v>
      </c>
      <c r="X465" s="577">
        <f t="shared" si="1138"/>
        <v>513523.10673002223</v>
      </c>
      <c r="Y465" s="577">
        <f t="shared" si="1138"/>
        <v>524466.06436625682</v>
      </c>
      <c r="Z465" s="577">
        <f t="shared" si="1138"/>
        <v>535569.43400388048</v>
      </c>
      <c r="AA465" s="577">
        <f t="shared" si="1138"/>
        <v>546850.25307214574</v>
      </c>
      <c r="AB465" s="577">
        <f t="shared" si="1138"/>
        <v>558355.62119113596</v>
      </c>
      <c r="AC465" s="577">
        <f t="shared" si="1138"/>
        <v>570112.65445013717</v>
      </c>
      <c r="AD465" s="577">
        <f t="shared" si="1138"/>
        <v>582174.14842026087</v>
      </c>
      <c r="AE465" s="577">
        <f t="shared" si="1138"/>
        <v>594600.86723202711</v>
      </c>
      <c r="AF465" s="577">
        <f t="shared" si="1138"/>
        <v>607440.83483850269</v>
      </c>
      <c r="AG465" s="577">
        <f t="shared" si="1138"/>
        <v>620772.20235750056</v>
      </c>
      <c r="AH465" s="752">
        <f t="shared" si="1138"/>
        <v>634684.79477682838</v>
      </c>
      <c r="AI465" s="18"/>
      <c r="AJ465" s="18"/>
      <c r="AK465" s="18"/>
      <c r="AL465" s="18"/>
      <c r="AM465" s="18"/>
      <c r="AN465" s="18"/>
    </row>
    <row r="466" spans="2:40" ht="21.95" customHeight="1" x14ac:dyDescent="0.2">
      <c r="B466" s="486"/>
      <c r="C466" s="715"/>
      <c r="D466" s="715"/>
      <c r="E466" s="1339"/>
      <c r="F466" s="116"/>
      <c r="G466" s="116"/>
      <c r="H466" s="720" t="s">
        <v>25</v>
      </c>
      <c r="I466" s="577">
        <f t="shared" ref="I466:AH466" si="1139">SUM(I464:I465)</f>
        <v>285168.3205249696</v>
      </c>
      <c r="J466" s="577">
        <f t="shared" si="1139"/>
        <v>300221.05477355118</v>
      </c>
      <c r="K466" s="577">
        <f t="shared" si="1139"/>
        <v>322817.15716325445</v>
      </c>
      <c r="L466" s="577">
        <f t="shared" si="1139"/>
        <v>360149.76880392607</v>
      </c>
      <c r="M466" s="577">
        <f t="shared" si="1139"/>
        <v>397500.94205890002</v>
      </c>
      <c r="N466" s="577">
        <f t="shared" si="1139"/>
        <v>434853.99791451404</v>
      </c>
      <c r="O466" s="577">
        <f t="shared" si="1139"/>
        <v>472201.14680528914</v>
      </c>
      <c r="P466" s="577">
        <f t="shared" si="1139"/>
        <v>509600.65306982817</v>
      </c>
      <c r="Q466" s="577">
        <f t="shared" si="1139"/>
        <v>547369.29831645289</v>
      </c>
      <c r="R466" s="577">
        <f t="shared" si="1139"/>
        <v>585221.28334972495</v>
      </c>
      <c r="S466" s="577">
        <f t="shared" si="1139"/>
        <v>623188.72118575312</v>
      </c>
      <c r="T466" s="577">
        <f t="shared" si="1139"/>
        <v>661380.3453810903</v>
      </c>
      <c r="U466" s="577">
        <f t="shared" si="1139"/>
        <v>699986.37904474197</v>
      </c>
      <c r="V466" s="577">
        <f t="shared" si="1139"/>
        <v>723748.35287263687</v>
      </c>
      <c r="W466" s="577">
        <f t="shared" si="1139"/>
        <v>739497.958619504</v>
      </c>
      <c r="X466" s="577">
        <f t="shared" si="1139"/>
        <v>755405.65725900955</v>
      </c>
      <c r="Y466" s="577">
        <f t="shared" si="1139"/>
        <v>771503.028530568</v>
      </c>
      <c r="Z466" s="577">
        <f t="shared" si="1139"/>
        <v>787836.36996929802</v>
      </c>
      <c r="AA466" s="577">
        <f t="shared" si="1139"/>
        <v>804430.74407048721</v>
      </c>
      <c r="AB466" s="577">
        <f t="shared" si="1139"/>
        <v>821355.43558296072</v>
      </c>
      <c r="AC466" s="577">
        <f t="shared" si="1139"/>
        <v>838650.33296934282</v>
      </c>
      <c r="AD466" s="577">
        <f t="shared" si="1139"/>
        <v>856393.09986847092</v>
      </c>
      <c r="AE466" s="577">
        <f t="shared" si="1139"/>
        <v>874673.12187439471</v>
      </c>
      <c r="AF466" s="577">
        <f t="shared" si="1139"/>
        <v>893561.04345345893</v>
      </c>
      <c r="AG466" s="577">
        <f t="shared" si="1139"/>
        <v>913171.82690384123</v>
      </c>
      <c r="AH466" s="752">
        <f t="shared" si="1139"/>
        <v>933637.60708581132</v>
      </c>
      <c r="AI466" s="18"/>
      <c r="AJ466" s="18"/>
      <c r="AK466" s="18"/>
      <c r="AL466" s="18"/>
      <c r="AM466" s="18"/>
      <c r="AN466" s="18"/>
    </row>
    <row r="467" spans="2:40" ht="21.95" customHeight="1" x14ac:dyDescent="0.2">
      <c r="B467" s="486"/>
      <c r="C467" s="715"/>
      <c r="D467" s="715"/>
      <c r="E467" s="1339"/>
      <c r="F467" s="116" t="s">
        <v>280</v>
      </c>
      <c r="G467" s="116" t="s">
        <v>333</v>
      </c>
      <c r="H467" s="116" t="s">
        <v>20</v>
      </c>
      <c r="I467" s="577">
        <f t="shared" ref="I467:AH467" si="1140">I376*$D$11</f>
        <v>2129.7737071876254</v>
      </c>
      <c r="J467" s="577">
        <f t="shared" si="1140"/>
        <v>2218.709630098399</v>
      </c>
      <c r="K467" s="577">
        <f t="shared" si="1140"/>
        <v>2328.7836791877257</v>
      </c>
      <c r="L467" s="577">
        <f t="shared" si="1140"/>
        <v>2476.9810204789037</v>
      </c>
      <c r="M467" s="577">
        <f t="shared" si="1140"/>
        <v>2625.2320995043146</v>
      </c>
      <c r="N467" s="577">
        <f t="shared" si="1140"/>
        <v>2773.4662604444911</v>
      </c>
      <c r="O467" s="577">
        <f t="shared" si="1140"/>
        <v>2921.6662824069867</v>
      </c>
      <c r="P467" s="577">
        <f t="shared" si="1140"/>
        <v>3069.9749632358817</v>
      </c>
      <c r="Q467" s="577">
        <f t="shared" si="1140"/>
        <v>3213.6721740955413</v>
      </c>
      <c r="R467" s="577">
        <f t="shared" si="1140"/>
        <v>3357.4274162837241</v>
      </c>
      <c r="S467" s="577">
        <f t="shared" si="1140"/>
        <v>3501.1364914673341</v>
      </c>
      <c r="T467" s="577">
        <f t="shared" si="1140"/>
        <v>3644.8558830678517</v>
      </c>
      <c r="U467" s="577">
        <f t="shared" si="1140"/>
        <v>3788.6966087476926</v>
      </c>
      <c r="V467" s="577">
        <f t="shared" si="1140"/>
        <v>3894.2554624809945</v>
      </c>
      <c r="W467" s="577">
        <f t="shared" si="1140"/>
        <v>3983.2413434086866</v>
      </c>
      <c r="X467" s="577">
        <f t="shared" si="1140"/>
        <v>4072.2397511727409</v>
      </c>
      <c r="Y467" s="577">
        <f t="shared" si="1140"/>
        <v>4161.2534382482063</v>
      </c>
      <c r="Z467" s="577">
        <f t="shared" si="1140"/>
        <v>4250.3212209788535</v>
      </c>
      <c r="AA467" s="577">
        <f t="shared" si="1140"/>
        <v>4339.3759194522972</v>
      </c>
      <c r="AB467" s="577">
        <f t="shared" si="1140"/>
        <v>4428.4932214512928</v>
      </c>
      <c r="AC467" s="577">
        <f t="shared" si="1140"/>
        <v>4517.6074348730945</v>
      </c>
      <c r="AD467" s="577">
        <f t="shared" si="1140"/>
        <v>4606.7604669727498</v>
      </c>
      <c r="AE467" s="577">
        <f t="shared" si="1140"/>
        <v>4695.9953720549947</v>
      </c>
      <c r="AF467" s="577">
        <f t="shared" si="1140"/>
        <v>4785.2496355217045</v>
      </c>
      <c r="AG467" s="577">
        <f t="shared" si="1140"/>
        <v>4874.5689549650233</v>
      </c>
      <c r="AH467" s="752">
        <f t="shared" si="1140"/>
        <v>4964.0007530211078</v>
      </c>
      <c r="AI467" s="18"/>
      <c r="AJ467" s="18"/>
      <c r="AK467" s="18"/>
      <c r="AL467" s="18"/>
      <c r="AM467" s="18"/>
      <c r="AN467" s="18"/>
    </row>
    <row r="468" spans="2:40" ht="21.95" customHeight="1" x14ac:dyDescent="0.2">
      <c r="B468" s="486"/>
      <c r="C468" s="715"/>
      <c r="D468" s="715"/>
      <c r="E468" s="1339"/>
      <c r="F468" s="116"/>
      <c r="G468" s="116"/>
      <c r="H468" s="124" t="s">
        <v>19</v>
      </c>
      <c r="I468" s="577">
        <f t="shared" ref="I468:AH468" si="1141">I377*$D$12</f>
        <v>4521.5663897832019</v>
      </c>
      <c r="J468" s="577">
        <f t="shared" si="1141"/>
        <v>4710.3797263928991</v>
      </c>
      <c r="K468" s="577">
        <f t="shared" si="1141"/>
        <v>4944.0698687164577</v>
      </c>
      <c r="L468" s="577">
        <f t="shared" si="1141"/>
        <v>5258.6967772823755</v>
      </c>
      <c r="M468" s="577">
        <f t="shared" si="1141"/>
        <v>5573.4377724914693</v>
      </c>
      <c r="N468" s="577">
        <f t="shared" si="1141"/>
        <v>5888.1428501543369</v>
      </c>
      <c r="O468" s="577">
        <f t="shared" si="1141"/>
        <v>6202.7754498569675</v>
      </c>
      <c r="P468" s="577">
        <f t="shared" si="1141"/>
        <v>6517.6387352313222</v>
      </c>
      <c r="Q468" s="577">
        <f t="shared" si="1141"/>
        <v>6822.7117468549886</v>
      </c>
      <c r="R468" s="577">
        <f t="shared" si="1141"/>
        <v>7127.9079605370307</v>
      </c>
      <c r="S468" s="577">
        <f t="shared" si="1141"/>
        <v>7433.0061604369102</v>
      </c>
      <c r="T468" s="577">
        <f t="shared" si="1141"/>
        <v>7738.1262623650637</v>
      </c>
      <c r="U468" s="577">
        <f t="shared" si="1141"/>
        <v>8043.5039597800769</v>
      </c>
      <c r="V468" s="577">
        <f t="shared" si="1141"/>
        <v>8267.6082219248128</v>
      </c>
      <c r="W468" s="577">
        <f t="shared" si="1141"/>
        <v>8456.5276207370043</v>
      </c>
      <c r="X468" s="577">
        <f t="shared" si="1141"/>
        <v>8645.4736143569353</v>
      </c>
      <c r="Y468" s="577">
        <f t="shared" si="1141"/>
        <v>8834.4520463625522</v>
      </c>
      <c r="Z468" s="577">
        <f t="shared" si="1141"/>
        <v>9023.5453248870599</v>
      </c>
      <c r="AA468" s="577">
        <f t="shared" si="1141"/>
        <v>9212.6108251845162</v>
      </c>
      <c r="AB468" s="577">
        <f t="shared" si="1141"/>
        <v>9401.809234436605</v>
      </c>
      <c r="AC468" s="577">
        <f t="shared" si="1141"/>
        <v>9591.0010865569257</v>
      </c>
      <c r="AD468" s="577">
        <f t="shared" si="1141"/>
        <v>9780.2753517657729</v>
      </c>
      <c r="AE468" s="577">
        <f t="shared" si="1141"/>
        <v>9969.7234355005348</v>
      </c>
      <c r="AF468" s="577">
        <f t="shared" si="1141"/>
        <v>10159.212617601877</v>
      </c>
      <c r="AG468" s="577">
        <f t="shared" si="1141"/>
        <v>10348.839915276862</v>
      </c>
      <c r="AH468" s="752">
        <f t="shared" si="1141"/>
        <v>10538.706008046991</v>
      </c>
      <c r="AI468" s="18"/>
      <c r="AJ468" s="18"/>
      <c r="AK468" s="18"/>
      <c r="AL468" s="18"/>
      <c r="AM468" s="18"/>
      <c r="AN468" s="18"/>
    </row>
    <row r="469" spans="2:40" ht="21.95" customHeight="1" x14ac:dyDescent="0.2">
      <c r="B469" s="232"/>
      <c r="C469" s="715"/>
      <c r="D469" s="715"/>
      <c r="E469" s="1339"/>
      <c r="F469" s="116"/>
      <c r="G469" s="116"/>
      <c r="H469" s="721" t="s">
        <v>25</v>
      </c>
      <c r="I469" s="577">
        <f t="shared" ref="I469:AH469" si="1142">SUM(I467:I468)</f>
        <v>6651.3400969708273</v>
      </c>
      <c r="J469" s="577">
        <f t="shared" si="1142"/>
        <v>6929.0893564912985</v>
      </c>
      <c r="K469" s="577">
        <f t="shared" si="1142"/>
        <v>7272.8535479041839</v>
      </c>
      <c r="L469" s="577">
        <f t="shared" si="1142"/>
        <v>7735.6777977612792</v>
      </c>
      <c r="M469" s="577">
        <f t="shared" si="1142"/>
        <v>8198.669871995784</v>
      </c>
      <c r="N469" s="577">
        <f t="shared" si="1142"/>
        <v>8661.6091105988271</v>
      </c>
      <c r="O469" s="577">
        <f t="shared" si="1142"/>
        <v>9124.4417322639547</v>
      </c>
      <c r="P469" s="577">
        <f t="shared" si="1142"/>
        <v>9587.6136984672048</v>
      </c>
      <c r="Q469" s="577">
        <f t="shared" si="1142"/>
        <v>10036.38392095053</v>
      </c>
      <c r="R469" s="577">
        <f t="shared" si="1142"/>
        <v>10485.335376820754</v>
      </c>
      <c r="S469" s="577">
        <f t="shared" si="1142"/>
        <v>10934.142651904243</v>
      </c>
      <c r="T469" s="577">
        <f t="shared" si="1142"/>
        <v>11382.982145432916</v>
      </c>
      <c r="U469" s="577">
        <f t="shared" si="1142"/>
        <v>11832.200568527769</v>
      </c>
      <c r="V469" s="577">
        <f t="shared" si="1142"/>
        <v>12161.863684405807</v>
      </c>
      <c r="W469" s="577">
        <f t="shared" si="1142"/>
        <v>12439.768964145691</v>
      </c>
      <c r="X469" s="577">
        <f t="shared" si="1142"/>
        <v>12717.713365529677</v>
      </c>
      <c r="Y469" s="577">
        <f t="shared" si="1142"/>
        <v>12995.705484610759</v>
      </c>
      <c r="Z469" s="577">
        <f t="shared" si="1142"/>
        <v>13273.866545865912</v>
      </c>
      <c r="AA469" s="577">
        <f t="shared" si="1142"/>
        <v>13551.986744636813</v>
      </c>
      <c r="AB469" s="577">
        <f t="shared" si="1142"/>
        <v>13830.302455887897</v>
      </c>
      <c r="AC469" s="577">
        <f t="shared" si="1142"/>
        <v>14108.60852143002</v>
      </c>
      <c r="AD469" s="577">
        <f t="shared" si="1142"/>
        <v>14387.035818738523</v>
      </c>
      <c r="AE469" s="577">
        <f t="shared" si="1142"/>
        <v>14665.71880755553</v>
      </c>
      <c r="AF469" s="577">
        <f t="shared" si="1142"/>
        <v>14944.462253123582</v>
      </c>
      <c r="AG469" s="577">
        <f t="shared" si="1142"/>
        <v>15223.408870241885</v>
      </c>
      <c r="AH469" s="752">
        <f t="shared" si="1142"/>
        <v>15502.706761068099</v>
      </c>
      <c r="AI469" s="18"/>
      <c r="AJ469" s="18"/>
      <c r="AK469" s="18"/>
      <c r="AL469" s="18"/>
      <c r="AM469" s="18"/>
      <c r="AN469" s="18"/>
    </row>
    <row r="470" spans="2:40" ht="21.95" customHeight="1" x14ac:dyDescent="0.2">
      <c r="B470" s="232"/>
      <c r="C470" s="715"/>
      <c r="D470" s="715"/>
      <c r="E470" s="1340" t="s">
        <v>280</v>
      </c>
      <c r="F470" s="220" t="s">
        <v>281</v>
      </c>
      <c r="G470" s="220" t="s">
        <v>335</v>
      </c>
      <c r="H470" s="116" t="s">
        <v>20</v>
      </c>
      <c r="I470" s="577">
        <f t="shared" ref="I470:AH470" si="1143">I379*$D$11</f>
        <v>21965.001739212668</v>
      </c>
      <c r="J470" s="577">
        <f t="shared" si="1143"/>
        <v>24186.871490289515</v>
      </c>
      <c r="K470" s="577">
        <f t="shared" si="1143"/>
        <v>29154.366460217629</v>
      </c>
      <c r="L470" s="577">
        <f t="shared" si="1143"/>
        <v>39131.968545554875</v>
      </c>
      <c r="M470" s="577">
        <f t="shared" si="1143"/>
        <v>49115.721313529888</v>
      </c>
      <c r="N470" s="577">
        <f t="shared" si="1143"/>
        <v>59098.379128008492</v>
      </c>
      <c r="O470" s="577">
        <f t="shared" si="1143"/>
        <v>69076.001237153687</v>
      </c>
      <c r="P470" s="577">
        <f t="shared" si="1143"/>
        <v>79065.987323697816</v>
      </c>
      <c r="Q470" s="577">
        <f t="shared" si="1143"/>
        <v>88868.811227153652</v>
      </c>
      <c r="R470" s="577">
        <f t="shared" si="1143"/>
        <v>98677.140153419197</v>
      </c>
      <c r="S470" s="577">
        <f t="shared" si="1143"/>
        <v>108481.94999382074</v>
      </c>
      <c r="T470" s="577">
        <f t="shared" si="1143"/>
        <v>118290.06480416507</v>
      </c>
      <c r="U470" s="577">
        <f t="shared" si="1143"/>
        <v>128117.64817290785</v>
      </c>
      <c r="V470" s="577">
        <f t="shared" si="1143"/>
        <v>132914.77919746251</v>
      </c>
      <c r="W470" s="577">
        <f t="shared" si="1143"/>
        <v>135143.18612327971</v>
      </c>
      <c r="X470" s="577">
        <f t="shared" si="1143"/>
        <v>137372.76126578799</v>
      </c>
      <c r="Y470" s="577">
        <f t="shared" si="1143"/>
        <v>139603.6893718295</v>
      </c>
      <c r="Z470" s="577">
        <f t="shared" si="1143"/>
        <v>141839.60278866289</v>
      </c>
      <c r="AA470" s="577">
        <f t="shared" si="1143"/>
        <v>144073.8988579479</v>
      </c>
      <c r="AB470" s="577">
        <f t="shared" si="1143"/>
        <v>146313.69635428549</v>
      </c>
      <c r="AC470" s="577">
        <f t="shared" si="1143"/>
        <v>148552.44829507201</v>
      </c>
      <c r="AD470" s="577">
        <f t="shared" si="1143"/>
        <v>150793.92562525143</v>
      </c>
      <c r="AE470" s="577">
        <f t="shared" si="1143"/>
        <v>153041.96013143178</v>
      </c>
      <c r="AF470" s="577">
        <f t="shared" si="1143"/>
        <v>155290.11219545564</v>
      </c>
      <c r="AG470" s="577">
        <f t="shared" si="1143"/>
        <v>157542.31143507682</v>
      </c>
      <c r="AH470" s="752">
        <f t="shared" si="1143"/>
        <v>159802.57230220712</v>
      </c>
      <c r="AI470" s="18"/>
      <c r="AJ470" s="18"/>
      <c r="AK470" s="18"/>
      <c r="AL470" s="18"/>
      <c r="AM470" s="18"/>
      <c r="AN470" s="18"/>
    </row>
    <row r="471" spans="2:40" ht="21.95" customHeight="1" x14ac:dyDescent="0.2">
      <c r="B471" s="232"/>
      <c r="C471" s="715"/>
      <c r="D471" s="715"/>
      <c r="E471" s="1340"/>
      <c r="F471" s="116"/>
      <c r="G471" s="116"/>
      <c r="H471" s="124" t="s">
        <v>19</v>
      </c>
      <c r="I471" s="577">
        <f t="shared" ref="I471:AH471" si="1144">I380*$D$12</f>
        <v>52610.782608892623</v>
      </c>
      <c r="J471" s="577">
        <f t="shared" si="1144"/>
        <v>57932.626324046745</v>
      </c>
      <c r="K471" s="577">
        <f t="shared" si="1144"/>
        <v>69830.817868784739</v>
      </c>
      <c r="L471" s="577">
        <f t="shared" si="1144"/>
        <v>93729.265977376956</v>
      </c>
      <c r="M471" s="577">
        <f t="shared" si="1144"/>
        <v>117642.44625995183</v>
      </c>
      <c r="N471" s="577">
        <f t="shared" si="1144"/>
        <v>141553.00389942154</v>
      </c>
      <c r="O471" s="577">
        <f t="shared" si="1144"/>
        <v>165451.49996923038</v>
      </c>
      <c r="P471" s="577">
        <f t="shared" si="1144"/>
        <v>189379.61035616245</v>
      </c>
      <c r="Q471" s="577">
        <f t="shared" si="1144"/>
        <v>212859.4280889908</v>
      </c>
      <c r="R471" s="577">
        <f t="shared" si="1144"/>
        <v>236352.43150519568</v>
      </c>
      <c r="S471" s="577">
        <f t="shared" si="1144"/>
        <v>259837.00597322336</v>
      </c>
      <c r="T471" s="577">
        <f t="shared" si="1144"/>
        <v>283329.49653692235</v>
      </c>
      <c r="U471" s="577">
        <f t="shared" si="1144"/>
        <v>306868.6183782224</v>
      </c>
      <c r="V471" s="577">
        <f t="shared" si="1144"/>
        <v>318358.75256877247</v>
      </c>
      <c r="W471" s="577">
        <f t="shared" si="1144"/>
        <v>323696.25418749632</v>
      </c>
      <c r="X471" s="577">
        <f t="shared" si="1144"/>
        <v>329036.55393003114</v>
      </c>
      <c r="Y471" s="577">
        <f t="shared" si="1144"/>
        <v>334380.09430378326</v>
      </c>
      <c r="Z471" s="577">
        <f t="shared" si="1144"/>
        <v>339735.57554170751</v>
      </c>
      <c r="AA471" s="577">
        <f t="shared" si="1144"/>
        <v>345087.18289328844</v>
      </c>
      <c r="AB471" s="577">
        <f t="shared" si="1144"/>
        <v>350451.96731565392</v>
      </c>
      <c r="AC471" s="577">
        <f t="shared" si="1144"/>
        <v>355814.24741334614</v>
      </c>
      <c r="AD471" s="577">
        <f t="shared" si="1144"/>
        <v>361183.0553898238</v>
      </c>
      <c r="AE471" s="577">
        <f t="shared" si="1144"/>
        <v>366567.5691770821</v>
      </c>
      <c r="AF471" s="577">
        <f t="shared" si="1144"/>
        <v>371952.36454001354</v>
      </c>
      <c r="AG471" s="577">
        <f t="shared" si="1144"/>
        <v>377346.85373671097</v>
      </c>
      <c r="AH471" s="752">
        <f t="shared" si="1144"/>
        <v>382760.65222085541</v>
      </c>
      <c r="AI471" s="18"/>
      <c r="AJ471" s="18"/>
      <c r="AK471" s="18"/>
      <c r="AL471" s="18"/>
      <c r="AM471" s="18"/>
      <c r="AN471" s="18"/>
    </row>
    <row r="472" spans="2:40" ht="21.95" customHeight="1" x14ac:dyDescent="0.2">
      <c r="B472" s="232"/>
      <c r="C472" s="715"/>
      <c r="D472" s="715"/>
      <c r="E472" s="1340"/>
      <c r="F472" s="116"/>
      <c r="G472" s="116"/>
      <c r="H472" s="720" t="s">
        <v>25</v>
      </c>
      <c r="I472" s="577">
        <f t="shared" ref="I472:AH472" si="1145">SUM(I470:I471)</f>
        <v>74575.784348105284</v>
      </c>
      <c r="J472" s="577">
        <f t="shared" si="1145"/>
        <v>82119.497814336268</v>
      </c>
      <c r="K472" s="577">
        <f t="shared" si="1145"/>
        <v>98985.184329002368</v>
      </c>
      <c r="L472" s="577">
        <f t="shared" si="1145"/>
        <v>132861.23452293183</v>
      </c>
      <c r="M472" s="577">
        <f t="shared" si="1145"/>
        <v>166758.16757348171</v>
      </c>
      <c r="N472" s="577">
        <f t="shared" si="1145"/>
        <v>200651.38302743004</v>
      </c>
      <c r="O472" s="577">
        <f t="shared" si="1145"/>
        <v>234527.50120638407</v>
      </c>
      <c r="P472" s="577">
        <f t="shared" si="1145"/>
        <v>268445.59767986025</v>
      </c>
      <c r="Q472" s="577">
        <f t="shared" si="1145"/>
        <v>301728.23931614443</v>
      </c>
      <c r="R472" s="577">
        <f t="shared" si="1145"/>
        <v>335029.57165861491</v>
      </c>
      <c r="S472" s="577">
        <f t="shared" si="1145"/>
        <v>368318.95596704411</v>
      </c>
      <c r="T472" s="577">
        <f t="shared" si="1145"/>
        <v>401619.56134108745</v>
      </c>
      <c r="U472" s="577">
        <f t="shared" si="1145"/>
        <v>434986.26655113022</v>
      </c>
      <c r="V472" s="577">
        <f t="shared" si="1145"/>
        <v>451273.53176623501</v>
      </c>
      <c r="W472" s="577">
        <f t="shared" si="1145"/>
        <v>458839.440310776</v>
      </c>
      <c r="X472" s="577">
        <f t="shared" si="1145"/>
        <v>466409.31519581913</v>
      </c>
      <c r="Y472" s="577">
        <f t="shared" si="1145"/>
        <v>473983.78367561277</v>
      </c>
      <c r="Z472" s="577">
        <f t="shared" si="1145"/>
        <v>481575.1783303704</v>
      </c>
      <c r="AA472" s="577">
        <f t="shared" si="1145"/>
        <v>489161.08175123634</v>
      </c>
      <c r="AB472" s="577">
        <f t="shared" si="1145"/>
        <v>496765.66366993939</v>
      </c>
      <c r="AC472" s="577">
        <f t="shared" si="1145"/>
        <v>504366.69570841815</v>
      </c>
      <c r="AD472" s="577">
        <f t="shared" si="1145"/>
        <v>511976.98101507523</v>
      </c>
      <c r="AE472" s="577">
        <f t="shared" si="1145"/>
        <v>519609.52930851385</v>
      </c>
      <c r="AF472" s="577">
        <f t="shared" si="1145"/>
        <v>527242.47673546919</v>
      </c>
      <c r="AG472" s="577">
        <f t="shared" si="1145"/>
        <v>534889.16517178784</v>
      </c>
      <c r="AH472" s="752">
        <f t="shared" si="1145"/>
        <v>542563.22452306258</v>
      </c>
      <c r="AI472" s="18"/>
      <c r="AJ472" s="18"/>
      <c r="AK472" s="18"/>
      <c r="AL472" s="18"/>
      <c r="AM472" s="18"/>
      <c r="AN472" s="18"/>
    </row>
    <row r="473" spans="2:40" ht="21.95" customHeight="1" x14ac:dyDescent="0.2">
      <c r="B473" s="232"/>
      <c r="C473" s="715"/>
      <c r="D473" s="715"/>
      <c r="E473" s="1340"/>
      <c r="F473" s="116" t="s">
        <v>335</v>
      </c>
      <c r="G473" s="116" t="s">
        <v>323</v>
      </c>
      <c r="H473" s="116" t="s">
        <v>20</v>
      </c>
      <c r="I473" s="577">
        <f t="shared" ref="I473:AH473" si="1146">I382*$D$11</f>
        <v>2955.3956340115947</v>
      </c>
      <c r="J473" s="577">
        <f t="shared" si="1146"/>
        <v>3263.8436037958463</v>
      </c>
      <c r="K473" s="577">
        <f t="shared" si="1146"/>
        <v>3689.6563942356879</v>
      </c>
      <c r="L473" s="577">
        <f t="shared" si="1146"/>
        <v>4471.7461182047</v>
      </c>
      <c r="M473" s="577">
        <f t="shared" si="1146"/>
        <v>5254.7039837050161</v>
      </c>
      <c r="N473" s="577">
        <f t="shared" si="1146"/>
        <v>6040.4431077128465</v>
      </c>
      <c r="O473" s="577">
        <f t="shared" si="1146"/>
        <v>6834.7131054555994</v>
      </c>
      <c r="P473" s="577">
        <f t="shared" si="1146"/>
        <v>7655.848767266818</v>
      </c>
      <c r="Q473" s="577">
        <f t="shared" si="1146"/>
        <v>8977.9831109575553</v>
      </c>
      <c r="R473" s="577">
        <f t="shared" si="1146"/>
        <v>10808.632743311951</v>
      </c>
      <c r="S473" s="577">
        <f t="shared" si="1146"/>
        <v>14121.158657430437</v>
      </c>
      <c r="T473" s="577">
        <f t="shared" si="1146"/>
        <v>21302.265785114654</v>
      </c>
      <c r="U473" s="577">
        <f t="shared" si="1146"/>
        <v>30366.910776116983</v>
      </c>
      <c r="V473" s="577">
        <f t="shared" si="1146"/>
        <v>32131.321220134079</v>
      </c>
      <c r="W473" s="577">
        <f t="shared" si="1146"/>
        <v>32839.699210271676</v>
      </c>
      <c r="X473" s="577">
        <f t="shared" si="1146"/>
        <v>33547.955096888996</v>
      </c>
      <c r="Y473" s="577">
        <f t="shared" si="1146"/>
        <v>34256.256692703413</v>
      </c>
      <c r="Z473" s="577">
        <f t="shared" si="1146"/>
        <v>34965.122496825978</v>
      </c>
      <c r="AA473" s="577">
        <f t="shared" si="1146"/>
        <v>35673.546489299297</v>
      </c>
      <c r="AB473" s="577">
        <f t="shared" si="1146"/>
        <v>36382.559382945175</v>
      </c>
      <c r="AC473" s="577">
        <f t="shared" si="1146"/>
        <v>37091.159887706832</v>
      </c>
      <c r="AD473" s="577">
        <f t="shared" si="1146"/>
        <v>37799.874716675549</v>
      </c>
      <c r="AE473" s="577">
        <f t="shared" si="1146"/>
        <v>38509.234737170431</v>
      </c>
      <c r="AF473" s="577">
        <f t="shared" si="1146"/>
        <v>39218.248099494958</v>
      </c>
      <c r="AG473" s="577">
        <f t="shared" si="1146"/>
        <v>39927.451758320436</v>
      </c>
      <c r="AH473" s="752">
        <f t="shared" si="1146"/>
        <v>40637.389140516825</v>
      </c>
      <c r="AI473" s="18"/>
      <c r="AJ473" s="18"/>
      <c r="AK473" s="18"/>
      <c r="AL473" s="18"/>
      <c r="AM473" s="18"/>
      <c r="AN473" s="18"/>
    </row>
    <row r="474" spans="2:40" ht="21.95" customHeight="1" x14ac:dyDescent="0.2">
      <c r="B474" s="232"/>
      <c r="C474" s="715"/>
      <c r="D474" s="715"/>
      <c r="E474" s="1340"/>
      <c r="F474" s="116"/>
      <c r="G474" s="116"/>
      <c r="H474" s="124" t="s">
        <v>19</v>
      </c>
      <c r="I474" s="577">
        <f t="shared" ref="I474:AH474" si="1147">I383*$D$12</f>
        <v>7078.7919377523231</v>
      </c>
      <c r="J474" s="577">
        <f t="shared" si="1147"/>
        <v>7817.5894701696925</v>
      </c>
      <c r="K474" s="577">
        <f t="shared" si="1147"/>
        <v>8837.500345474702</v>
      </c>
      <c r="L474" s="577">
        <f t="shared" si="1147"/>
        <v>10710.76914540048</v>
      </c>
      <c r="M474" s="577">
        <f t="shared" si="1147"/>
        <v>12586.11732623956</v>
      </c>
      <c r="N474" s="577">
        <f t="shared" si="1147"/>
        <v>14468.127204102628</v>
      </c>
      <c r="O474" s="577">
        <f t="shared" si="1147"/>
        <v>16370.570312468502</v>
      </c>
      <c r="P474" s="577">
        <f t="shared" si="1147"/>
        <v>18337.36231680675</v>
      </c>
      <c r="Q474" s="577">
        <f t="shared" si="1147"/>
        <v>21504.151163970193</v>
      </c>
      <c r="R474" s="577">
        <f t="shared" si="1147"/>
        <v>25888.940702543598</v>
      </c>
      <c r="S474" s="577">
        <f t="shared" si="1147"/>
        <v>33823.134508815419</v>
      </c>
      <c r="T474" s="577">
        <f t="shared" si="1147"/>
        <v>51023.391102071029</v>
      </c>
      <c r="U474" s="577">
        <f t="shared" si="1147"/>
        <v>72735.115631417924</v>
      </c>
      <c r="V474" s="577">
        <f t="shared" si="1147"/>
        <v>76961.24843145888</v>
      </c>
      <c r="W474" s="577">
        <f t="shared" si="1147"/>
        <v>78657.962180291448</v>
      </c>
      <c r="X474" s="577">
        <f t="shared" si="1147"/>
        <v>80354.383465602383</v>
      </c>
      <c r="Y474" s="577">
        <f t="shared" si="1147"/>
        <v>82050.914234020151</v>
      </c>
      <c r="Z474" s="577">
        <f t="shared" si="1147"/>
        <v>83748.796399583181</v>
      </c>
      <c r="AA474" s="577">
        <f t="shared" si="1147"/>
        <v>85445.620333651008</v>
      </c>
      <c r="AB474" s="577">
        <f t="shared" si="1147"/>
        <v>87143.85480944952</v>
      </c>
      <c r="AC474" s="577">
        <f t="shared" si="1147"/>
        <v>88841.101527441511</v>
      </c>
      <c r="AD474" s="577">
        <f t="shared" si="1147"/>
        <v>90538.622075869585</v>
      </c>
      <c r="AE474" s="577">
        <f t="shared" si="1147"/>
        <v>92237.6879932226</v>
      </c>
      <c r="AF474" s="577">
        <f t="shared" si="1147"/>
        <v>93935.923591604689</v>
      </c>
      <c r="AG474" s="577">
        <f t="shared" si="1147"/>
        <v>95634.614989989073</v>
      </c>
      <c r="AH474" s="752">
        <f t="shared" si="1147"/>
        <v>97335.063809621148</v>
      </c>
      <c r="AI474" s="18"/>
      <c r="AJ474" s="18"/>
      <c r="AK474" s="18"/>
      <c r="AL474" s="18"/>
      <c r="AM474" s="18"/>
      <c r="AN474" s="18"/>
    </row>
    <row r="475" spans="2:40" ht="21.95" customHeight="1" x14ac:dyDescent="0.2">
      <c r="B475" s="232"/>
      <c r="C475" s="715"/>
      <c r="D475" s="715"/>
      <c r="E475" s="1340"/>
      <c r="F475" s="116"/>
      <c r="G475" s="116"/>
      <c r="H475" s="720" t="s">
        <v>25</v>
      </c>
      <c r="I475" s="577">
        <f t="shared" ref="I475:AH475" si="1148">SUM(I473:I474)</f>
        <v>10034.187571763918</v>
      </c>
      <c r="J475" s="577">
        <f t="shared" si="1148"/>
        <v>11081.433073965538</v>
      </c>
      <c r="K475" s="577">
        <f t="shared" si="1148"/>
        <v>12527.15673971039</v>
      </c>
      <c r="L475" s="577">
        <f t="shared" si="1148"/>
        <v>15182.515263605179</v>
      </c>
      <c r="M475" s="577">
        <f t="shared" si="1148"/>
        <v>17840.821309944578</v>
      </c>
      <c r="N475" s="577">
        <f t="shared" si="1148"/>
        <v>20508.570311815474</v>
      </c>
      <c r="O475" s="577">
        <f t="shared" si="1148"/>
        <v>23205.283417924104</v>
      </c>
      <c r="P475" s="577">
        <f t="shared" si="1148"/>
        <v>25993.21108407357</v>
      </c>
      <c r="Q475" s="577">
        <f t="shared" si="1148"/>
        <v>30482.134274927746</v>
      </c>
      <c r="R475" s="577">
        <f t="shared" si="1148"/>
        <v>36697.573445855553</v>
      </c>
      <c r="S475" s="577">
        <f t="shared" si="1148"/>
        <v>47944.293166245858</v>
      </c>
      <c r="T475" s="577">
        <f t="shared" si="1148"/>
        <v>72325.656887185687</v>
      </c>
      <c r="U475" s="577">
        <f t="shared" si="1148"/>
        <v>103102.02640753491</v>
      </c>
      <c r="V475" s="577">
        <f t="shared" si="1148"/>
        <v>109092.56965159296</v>
      </c>
      <c r="W475" s="577">
        <f t="shared" si="1148"/>
        <v>111497.66139056312</v>
      </c>
      <c r="X475" s="577">
        <f t="shared" si="1148"/>
        <v>113902.33856249138</v>
      </c>
      <c r="Y475" s="577">
        <f t="shared" si="1148"/>
        <v>116307.17092672357</v>
      </c>
      <c r="Z475" s="577">
        <f t="shared" si="1148"/>
        <v>118713.91889640916</v>
      </c>
      <c r="AA475" s="577">
        <f t="shared" si="1148"/>
        <v>121119.1668229503</v>
      </c>
      <c r="AB475" s="577">
        <f t="shared" si="1148"/>
        <v>123526.4141923947</v>
      </c>
      <c r="AC475" s="577">
        <f t="shared" si="1148"/>
        <v>125932.26141514834</v>
      </c>
      <c r="AD475" s="577">
        <f t="shared" si="1148"/>
        <v>128338.49679254513</v>
      </c>
      <c r="AE475" s="577">
        <f t="shared" si="1148"/>
        <v>130746.92273039304</v>
      </c>
      <c r="AF475" s="577">
        <f t="shared" si="1148"/>
        <v>133154.17169109965</v>
      </c>
      <c r="AG475" s="577">
        <f t="shared" si="1148"/>
        <v>135562.0667483095</v>
      </c>
      <c r="AH475" s="752">
        <f t="shared" si="1148"/>
        <v>137972.45295013796</v>
      </c>
      <c r="AI475" s="18"/>
      <c r="AJ475" s="18"/>
      <c r="AK475" s="18"/>
      <c r="AL475" s="18"/>
      <c r="AM475" s="18"/>
      <c r="AN475" s="18"/>
    </row>
    <row r="476" spans="2:40" ht="21.95" customHeight="1" x14ac:dyDescent="0.2">
      <c r="B476" s="232"/>
      <c r="C476" s="715"/>
      <c r="D476" s="715"/>
      <c r="E476" s="1340"/>
      <c r="F476" s="116" t="s">
        <v>323</v>
      </c>
      <c r="G476" s="116" t="s">
        <v>338</v>
      </c>
      <c r="H476" s="116" t="s">
        <v>20</v>
      </c>
      <c r="I476" s="577">
        <f t="shared" ref="I476:AH476" si="1149">I385*$D$11</f>
        <v>41936.86127123647</v>
      </c>
      <c r="J476" s="577">
        <f t="shared" si="1149"/>
        <v>43185.813214468035</v>
      </c>
      <c r="K476" s="577">
        <f t="shared" si="1149"/>
        <v>45011.080571799641</v>
      </c>
      <c r="L476" s="577">
        <f t="shared" si="1149"/>
        <v>47701.79750762914</v>
      </c>
      <c r="M476" s="577">
        <f t="shared" si="1149"/>
        <v>50622.39128962301</v>
      </c>
      <c r="N476" s="577">
        <f t="shared" si="1149"/>
        <v>53896.674423475037</v>
      </c>
      <c r="O476" s="577">
        <f t="shared" si="1149"/>
        <v>57706.301373050017</v>
      </c>
      <c r="P476" s="577">
        <f t="shared" si="1149"/>
        <v>62318.451765775404</v>
      </c>
      <c r="Q476" s="577">
        <f t="shared" si="1149"/>
        <v>68163.53761182414</v>
      </c>
      <c r="R476" s="577">
        <f t="shared" si="1149"/>
        <v>75737.758823967772</v>
      </c>
      <c r="S476" s="577">
        <f t="shared" si="1149"/>
        <v>85771.003233376381</v>
      </c>
      <c r="T476" s="577">
        <f t="shared" si="1149"/>
        <v>99268.352094976566</v>
      </c>
      <c r="U476" s="577">
        <f t="shared" si="1149"/>
        <v>117594.45081546636</v>
      </c>
      <c r="V476" s="577">
        <f t="shared" si="1149"/>
        <v>134614.30369497353</v>
      </c>
      <c r="W476" s="577">
        <f t="shared" si="1149"/>
        <v>148796.31130160246</v>
      </c>
      <c r="X476" s="577">
        <f t="shared" si="1149"/>
        <v>159495.33374459678</v>
      </c>
      <c r="Y476" s="577">
        <f t="shared" si="1149"/>
        <v>162081.02077995209</v>
      </c>
      <c r="Z476" s="577">
        <f t="shared" si="1149"/>
        <v>164667.98022732895</v>
      </c>
      <c r="AA476" s="577">
        <f t="shared" si="1149"/>
        <v>167253.75660490524</v>
      </c>
      <c r="AB476" s="577">
        <f t="shared" si="1149"/>
        <v>169840.81900877302</v>
      </c>
      <c r="AC476" s="577">
        <f t="shared" si="1149"/>
        <v>172426.71398322462</v>
      </c>
      <c r="AD476" s="577">
        <f t="shared" si="1149"/>
        <v>175012.68155245401</v>
      </c>
      <c r="AE476" s="577">
        <f t="shared" si="1149"/>
        <v>177599.963523324</v>
      </c>
      <c r="AF476" s="577">
        <f t="shared" si="1149"/>
        <v>180186.11005384268</v>
      </c>
      <c r="AG476" s="577">
        <f t="shared" si="1149"/>
        <v>182772.36501194531</v>
      </c>
      <c r="AH476" s="752">
        <f t="shared" si="1149"/>
        <v>185359.97481642067</v>
      </c>
      <c r="AI476" s="18"/>
      <c r="AJ476" s="18"/>
      <c r="AK476" s="18"/>
      <c r="AL476" s="18"/>
      <c r="AM476" s="18"/>
      <c r="AN476" s="18"/>
    </row>
    <row r="477" spans="2:40" ht="21.95" customHeight="1" x14ac:dyDescent="0.2">
      <c r="B477" s="232"/>
      <c r="C477" s="715"/>
      <c r="D477" s="715"/>
      <c r="E477" s="1340"/>
      <c r="F477" s="116"/>
      <c r="G477" s="116"/>
      <c r="H477" s="116" t="s">
        <v>19</v>
      </c>
      <c r="I477" s="577">
        <f t="shared" ref="I477:AH477" si="1150">I386*$D$12</f>
        <v>100447.57190715322</v>
      </c>
      <c r="J477" s="577">
        <f t="shared" si="1150"/>
        <v>103439.07356758812</v>
      </c>
      <c r="K477" s="577">
        <f t="shared" si="1150"/>
        <v>107810.97142946022</v>
      </c>
      <c r="L477" s="577">
        <f t="shared" si="1150"/>
        <v>114255.80241348298</v>
      </c>
      <c r="M477" s="577">
        <f t="shared" si="1150"/>
        <v>121251.23662185152</v>
      </c>
      <c r="N477" s="577">
        <f t="shared" si="1150"/>
        <v>129093.83095443124</v>
      </c>
      <c r="O477" s="577">
        <f t="shared" si="1150"/>
        <v>138218.68592347309</v>
      </c>
      <c r="P477" s="577">
        <f t="shared" si="1150"/>
        <v>149265.75273239618</v>
      </c>
      <c r="Q477" s="577">
        <f t="shared" si="1150"/>
        <v>163265.95835167461</v>
      </c>
      <c r="R477" s="577">
        <f t="shared" si="1150"/>
        <v>181407.80556638987</v>
      </c>
      <c r="S477" s="577">
        <f t="shared" si="1150"/>
        <v>205439.52870269792</v>
      </c>
      <c r="T477" s="577">
        <f t="shared" si="1150"/>
        <v>237768.50801191991</v>
      </c>
      <c r="U477" s="577">
        <f t="shared" si="1150"/>
        <v>281663.35524662602</v>
      </c>
      <c r="V477" s="577">
        <f t="shared" si="1150"/>
        <v>322429.46992808033</v>
      </c>
      <c r="W477" s="577">
        <f t="shared" si="1150"/>
        <v>356398.35042299994</v>
      </c>
      <c r="X477" s="577">
        <f t="shared" si="1150"/>
        <v>382024.75148406415</v>
      </c>
      <c r="Y477" s="577">
        <f t="shared" si="1150"/>
        <v>388218.01384419663</v>
      </c>
      <c r="Z477" s="577">
        <f t="shared" si="1150"/>
        <v>394414.32389779389</v>
      </c>
      <c r="AA477" s="577">
        <f t="shared" si="1150"/>
        <v>400607.80025127006</v>
      </c>
      <c r="AB477" s="577">
        <f t="shared" si="1150"/>
        <v>406804.35690724081</v>
      </c>
      <c r="AC477" s="577">
        <f t="shared" si="1150"/>
        <v>412998.11732508894</v>
      </c>
      <c r="AD477" s="577">
        <f t="shared" si="1150"/>
        <v>419192.05162264436</v>
      </c>
      <c r="AE477" s="577">
        <f t="shared" si="1150"/>
        <v>425389.13418760244</v>
      </c>
      <c r="AF477" s="577">
        <f t="shared" si="1150"/>
        <v>431583.49713495257</v>
      </c>
      <c r="AG477" s="577">
        <f t="shared" si="1150"/>
        <v>437778.11978909059</v>
      </c>
      <c r="AH477" s="752">
        <f t="shared" si="1150"/>
        <v>443975.98758424114</v>
      </c>
      <c r="AI477" s="18"/>
      <c r="AJ477" s="18"/>
      <c r="AK477" s="18"/>
      <c r="AL477" s="18"/>
      <c r="AM477" s="18"/>
      <c r="AN477" s="18"/>
    </row>
    <row r="478" spans="2:40" ht="21.95" customHeight="1" x14ac:dyDescent="0.2">
      <c r="B478" s="232"/>
      <c r="C478" s="715"/>
      <c r="D478" s="715"/>
      <c r="E478" s="1333"/>
      <c r="F478" s="254"/>
      <c r="G478" s="254"/>
      <c r="H478" s="721" t="s">
        <v>25</v>
      </c>
      <c r="I478" s="587">
        <f t="shared" ref="I478:AH478" si="1151">SUM(I476:I477)</f>
        <v>142384.43317838968</v>
      </c>
      <c r="J478" s="587">
        <f t="shared" si="1151"/>
        <v>146624.88678205616</v>
      </c>
      <c r="K478" s="587">
        <f t="shared" si="1151"/>
        <v>152822.05200125987</v>
      </c>
      <c r="L478" s="587">
        <f t="shared" si="1151"/>
        <v>161957.59992111212</v>
      </c>
      <c r="M478" s="587">
        <f t="shared" si="1151"/>
        <v>171873.62791147453</v>
      </c>
      <c r="N478" s="587">
        <f t="shared" si="1151"/>
        <v>182990.50537790626</v>
      </c>
      <c r="O478" s="587">
        <f t="shared" si="1151"/>
        <v>195924.98729652312</v>
      </c>
      <c r="P478" s="587">
        <f t="shared" si="1151"/>
        <v>211584.20449817157</v>
      </c>
      <c r="Q478" s="587">
        <f t="shared" si="1151"/>
        <v>231429.49596349875</v>
      </c>
      <c r="R478" s="587">
        <f t="shared" si="1151"/>
        <v>257145.56439035764</v>
      </c>
      <c r="S478" s="587">
        <f t="shared" si="1151"/>
        <v>291210.53193607432</v>
      </c>
      <c r="T478" s="587">
        <f t="shared" si="1151"/>
        <v>337036.86010689649</v>
      </c>
      <c r="U478" s="587">
        <f t="shared" si="1151"/>
        <v>399257.80606209236</v>
      </c>
      <c r="V478" s="587">
        <f t="shared" si="1151"/>
        <v>457043.77362305386</v>
      </c>
      <c r="W478" s="587">
        <f t="shared" si="1151"/>
        <v>505194.6617246024</v>
      </c>
      <c r="X478" s="587">
        <f t="shared" si="1151"/>
        <v>541520.08522866096</v>
      </c>
      <c r="Y478" s="587">
        <f t="shared" si="1151"/>
        <v>550299.03462414874</v>
      </c>
      <c r="Z478" s="587">
        <f t="shared" si="1151"/>
        <v>559082.30412512284</v>
      </c>
      <c r="AA478" s="587">
        <f t="shared" si="1151"/>
        <v>567861.5568561753</v>
      </c>
      <c r="AB478" s="587">
        <f t="shared" si="1151"/>
        <v>576645.17591601377</v>
      </c>
      <c r="AC478" s="587">
        <f t="shared" si="1151"/>
        <v>585424.83130831353</v>
      </c>
      <c r="AD478" s="587">
        <f t="shared" si="1151"/>
        <v>594204.73317509843</v>
      </c>
      <c r="AE478" s="587">
        <f t="shared" si="1151"/>
        <v>602989.09771092643</v>
      </c>
      <c r="AF478" s="587">
        <f t="shared" si="1151"/>
        <v>611769.60718879523</v>
      </c>
      <c r="AG478" s="587">
        <f t="shared" si="1151"/>
        <v>620550.48480103584</v>
      </c>
      <c r="AH478" s="754">
        <f t="shared" si="1151"/>
        <v>629335.96240066178</v>
      </c>
      <c r="AI478" s="18"/>
      <c r="AJ478" s="18"/>
      <c r="AK478" s="18"/>
      <c r="AL478" s="18"/>
      <c r="AM478" s="18"/>
      <c r="AN478" s="18"/>
    </row>
    <row r="479" spans="2:40" ht="21.95" customHeight="1" x14ac:dyDescent="0.2">
      <c r="B479" s="232"/>
      <c r="C479" s="715"/>
      <c r="D479" s="715"/>
      <c r="E479" s="116" t="s">
        <v>339</v>
      </c>
      <c r="F479" s="116" t="s">
        <v>335</v>
      </c>
      <c r="G479" s="116" t="s">
        <v>323</v>
      </c>
      <c r="H479" s="116" t="s">
        <v>20</v>
      </c>
      <c r="I479" s="577">
        <f t="shared" ref="I479:AH479" si="1152">I388*$D$11</f>
        <v>132.6335648148148</v>
      </c>
      <c r="J479" s="577">
        <f t="shared" si="1152"/>
        <v>1005.2297877314815</v>
      </c>
      <c r="K479" s="577">
        <f t="shared" si="1152"/>
        <v>5823.8071976335805</v>
      </c>
      <c r="L479" s="577">
        <f t="shared" si="1152"/>
        <v>13413.63205106456</v>
      </c>
      <c r="M479" s="577">
        <f t="shared" si="1152"/>
        <v>21008.470326277071</v>
      </c>
      <c r="N479" s="577">
        <f t="shared" si="1152"/>
        <v>28610.439553792497</v>
      </c>
      <c r="O479" s="577">
        <f t="shared" si="1152"/>
        <v>36289.115117928079</v>
      </c>
      <c r="P479" s="577">
        <f t="shared" si="1152"/>
        <v>44574.845556844753</v>
      </c>
      <c r="Q479" s="577">
        <f t="shared" si="1152"/>
        <v>50234.782580462153</v>
      </c>
      <c r="R479" s="577">
        <f t="shared" si="1152"/>
        <v>57874.142368389046</v>
      </c>
      <c r="S479" s="577">
        <f t="shared" si="1152"/>
        <v>69734.868323113871</v>
      </c>
      <c r="T479" s="577">
        <f t="shared" si="1152"/>
        <v>90090.494511671102</v>
      </c>
      <c r="U479" s="577">
        <f t="shared" si="1152"/>
        <v>126833.16653229565</v>
      </c>
      <c r="V479" s="577">
        <f t="shared" si="1152"/>
        <v>139197.91090186755</v>
      </c>
      <c r="W479" s="577">
        <f t="shared" si="1152"/>
        <v>141020.98775735425</v>
      </c>
      <c r="X479" s="577">
        <f t="shared" si="1152"/>
        <v>142843.99271995822</v>
      </c>
      <c r="Y479" s="577">
        <f t="shared" si="1152"/>
        <v>144667.02336225993</v>
      </c>
      <c r="Z479" s="577">
        <f t="shared" si="1152"/>
        <v>146497.28663888198</v>
      </c>
      <c r="AA479" s="577">
        <f t="shared" si="1152"/>
        <v>148320.37946142518</v>
      </c>
      <c r="AB479" s="577">
        <f t="shared" si="1152"/>
        <v>150150.71136457263</v>
      </c>
      <c r="AC479" s="577">
        <f t="shared" si="1152"/>
        <v>151973.88119765528</v>
      </c>
      <c r="AD479" s="577">
        <f t="shared" si="1152"/>
        <v>153797.09497324054</v>
      </c>
      <c r="AE479" s="577">
        <f t="shared" si="1152"/>
        <v>155627.56293394859</v>
      </c>
      <c r="AF479" s="577">
        <f t="shared" si="1152"/>
        <v>157450.88492363686</v>
      </c>
      <c r="AG479" s="577">
        <f t="shared" si="1152"/>
        <v>159274.26747994547</v>
      </c>
      <c r="AH479" s="752">
        <f t="shared" si="1152"/>
        <v>161104.9231334051</v>
      </c>
      <c r="AI479" s="18"/>
      <c r="AJ479" s="18"/>
      <c r="AK479" s="18"/>
      <c r="AL479" s="18"/>
      <c r="AM479" s="18"/>
      <c r="AN479" s="18"/>
    </row>
    <row r="480" spans="2:40" ht="21.95" customHeight="1" x14ac:dyDescent="0.2">
      <c r="B480" s="232"/>
      <c r="C480" s="715"/>
      <c r="D480" s="715"/>
      <c r="E480" s="116"/>
      <c r="F480" s="116"/>
      <c r="G480" s="116"/>
      <c r="H480" s="124" t="s">
        <v>19</v>
      </c>
      <c r="I480" s="577">
        <f t="shared" ref="I480:AH480" si="1153">I389*$D$12</f>
        <v>317.68518518518516</v>
      </c>
      <c r="J480" s="577">
        <f t="shared" si="1153"/>
        <v>2407.7360185185184</v>
      </c>
      <c r="K480" s="577">
        <f t="shared" si="1153"/>
        <v>13949.238796727139</v>
      </c>
      <c r="L480" s="577">
        <f t="shared" si="1153"/>
        <v>32128.460002549844</v>
      </c>
      <c r="M480" s="577">
        <f t="shared" si="1153"/>
        <v>50319.68940425646</v>
      </c>
      <c r="N480" s="577">
        <f t="shared" si="1153"/>
        <v>68527.998931239519</v>
      </c>
      <c r="O480" s="577">
        <f t="shared" si="1153"/>
        <v>86920.03621060618</v>
      </c>
      <c r="P480" s="577">
        <f t="shared" si="1153"/>
        <v>106766.09714214313</v>
      </c>
      <c r="Q480" s="577">
        <f t="shared" si="1153"/>
        <v>120322.83252805307</v>
      </c>
      <c r="R480" s="577">
        <f t="shared" si="1153"/>
        <v>138620.70028356658</v>
      </c>
      <c r="S480" s="577">
        <f t="shared" si="1153"/>
        <v>167029.62472602125</v>
      </c>
      <c r="T480" s="577">
        <f t="shared" si="1153"/>
        <v>215785.61559681702</v>
      </c>
      <c r="U480" s="577">
        <f t="shared" si="1153"/>
        <v>303792.01564621716</v>
      </c>
      <c r="V480" s="577">
        <f t="shared" si="1153"/>
        <v>333408.16982483247</v>
      </c>
      <c r="W480" s="577">
        <f t="shared" si="1153"/>
        <v>337774.82097569882</v>
      </c>
      <c r="X480" s="577">
        <f t="shared" si="1153"/>
        <v>342141.29992804368</v>
      </c>
      <c r="Y480" s="577">
        <f t="shared" si="1153"/>
        <v>346507.84038864658</v>
      </c>
      <c r="Z480" s="577">
        <f t="shared" si="1153"/>
        <v>350891.70452426822</v>
      </c>
      <c r="AA480" s="577">
        <f t="shared" si="1153"/>
        <v>355258.39391958131</v>
      </c>
      <c r="AB480" s="577">
        <f t="shared" si="1153"/>
        <v>359642.42243011412</v>
      </c>
      <c r="AC480" s="577">
        <f t="shared" si="1153"/>
        <v>364009.2962818091</v>
      </c>
      <c r="AD480" s="577">
        <f t="shared" si="1153"/>
        <v>368376.27538500732</v>
      </c>
      <c r="AE480" s="577">
        <f t="shared" si="1153"/>
        <v>372760.62978191284</v>
      </c>
      <c r="AF480" s="577">
        <f t="shared" si="1153"/>
        <v>377127.86808056734</v>
      </c>
      <c r="AG480" s="577">
        <f t="shared" si="1153"/>
        <v>381495.25144897122</v>
      </c>
      <c r="AH480" s="752">
        <f t="shared" si="1153"/>
        <v>385880.05540935352</v>
      </c>
      <c r="AI480" s="18"/>
      <c r="AJ480" s="18"/>
      <c r="AK480" s="18"/>
      <c r="AL480" s="18"/>
      <c r="AM480" s="18"/>
      <c r="AN480" s="18"/>
    </row>
    <row r="481" spans="2:40" ht="21.95" customHeight="1" x14ac:dyDescent="0.2">
      <c r="B481" s="232"/>
      <c r="C481" s="715"/>
      <c r="D481" s="715"/>
      <c r="E481" s="116"/>
      <c r="F481" s="116"/>
      <c r="G481" s="116"/>
      <c r="H481" s="721" t="s">
        <v>25</v>
      </c>
      <c r="I481" s="577">
        <f t="shared" ref="I481:AH481" si="1154">SUM(I479:I480)</f>
        <v>450.31874999999997</v>
      </c>
      <c r="J481" s="577">
        <f t="shared" si="1154"/>
        <v>3412.9658062499998</v>
      </c>
      <c r="K481" s="577">
        <f t="shared" si="1154"/>
        <v>19773.04599436072</v>
      </c>
      <c r="L481" s="577">
        <f t="shared" si="1154"/>
        <v>45542.092053614404</v>
      </c>
      <c r="M481" s="577">
        <f t="shared" si="1154"/>
        <v>71328.159730533531</v>
      </c>
      <c r="N481" s="577">
        <f t="shared" si="1154"/>
        <v>97138.43848503202</v>
      </c>
      <c r="O481" s="577">
        <f t="shared" si="1154"/>
        <v>123209.15132853427</v>
      </c>
      <c r="P481" s="577">
        <f t="shared" si="1154"/>
        <v>151340.9426989879</v>
      </c>
      <c r="Q481" s="577">
        <f t="shared" si="1154"/>
        <v>170557.61510851522</v>
      </c>
      <c r="R481" s="577">
        <f t="shared" si="1154"/>
        <v>196494.84265195561</v>
      </c>
      <c r="S481" s="577">
        <f t="shared" si="1154"/>
        <v>236764.49304913514</v>
      </c>
      <c r="T481" s="577">
        <f t="shared" si="1154"/>
        <v>305876.11010848812</v>
      </c>
      <c r="U481" s="577">
        <f t="shared" si="1154"/>
        <v>430625.1821785128</v>
      </c>
      <c r="V481" s="577">
        <f t="shared" si="1154"/>
        <v>472606.08072670002</v>
      </c>
      <c r="W481" s="577">
        <f t="shared" si="1154"/>
        <v>478795.80873305304</v>
      </c>
      <c r="X481" s="577">
        <f t="shared" si="1154"/>
        <v>484985.29264800192</v>
      </c>
      <c r="Y481" s="577">
        <f t="shared" si="1154"/>
        <v>491174.86375090654</v>
      </c>
      <c r="Z481" s="577">
        <f t="shared" si="1154"/>
        <v>497388.99116315017</v>
      </c>
      <c r="AA481" s="577">
        <f t="shared" si="1154"/>
        <v>503578.7733810065</v>
      </c>
      <c r="AB481" s="577">
        <f t="shared" si="1154"/>
        <v>509793.13379468676</v>
      </c>
      <c r="AC481" s="577">
        <f t="shared" si="1154"/>
        <v>515983.17747946439</v>
      </c>
      <c r="AD481" s="577">
        <f t="shared" si="1154"/>
        <v>522173.37035824789</v>
      </c>
      <c r="AE481" s="577">
        <f t="shared" si="1154"/>
        <v>528388.19271586137</v>
      </c>
      <c r="AF481" s="577">
        <f t="shared" si="1154"/>
        <v>534578.75300420425</v>
      </c>
      <c r="AG481" s="577">
        <f t="shared" si="1154"/>
        <v>540769.51892891666</v>
      </c>
      <c r="AH481" s="752">
        <f t="shared" si="1154"/>
        <v>546984.97854275862</v>
      </c>
      <c r="AI481" s="18"/>
      <c r="AJ481" s="18"/>
      <c r="AK481" s="18"/>
      <c r="AL481" s="18"/>
      <c r="AM481" s="18"/>
      <c r="AN481" s="18"/>
    </row>
    <row r="482" spans="2:40" ht="21.95" customHeight="1" x14ac:dyDescent="0.2">
      <c r="B482" s="232"/>
      <c r="C482" s="715"/>
      <c r="D482" s="715"/>
      <c r="E482" s="1340" t="s">
        <v>323</v>
      </c>
      <c r="F482" s="220" t="s">
        <v>282</v>
      </c>
      <c r="G482" s="220" t="s">
        <v>339</v>
      </c>
      <c r="H482" s="116" t="s">
        <v>20</v>
      </c>
      <c r="I482" s="577">
        <f t="shared" ref="I482:AH482" si="1155">I391*$D$11</f>
        <v>400.43430656934305</v>
      </c>
      <c r="J482" s="577">
        <f t="shared" si="1155"/>
        <v>889.96524635036485</v>
      </c>
      <c r="K482" s="577">
        <f t="shared" si="1155"/>
        <v>3761.479658759124</v>
      </c>
      <c r="L482" s="577">
        <f t="shared" si="1155"/>
        <v>8455.5708175186264</v>
      </c>
      <c r="M482" s="577">
        <f t="shared" si="1155"/>
        <v>13152.264799318662</v>
      </c>
      <c r="N482" s="577">
        <f t="shared" si="1155"/>
        <v>17849.158999572515</v>
      </c>
      <c r="O482" s="577">
        <f t="shared" si="1155"/>
        <v>22543.250175160163</v>
      </c>
      <c r="P482" s="577">
        <f t="shared" si="1155"/>
        <v>27242.747325139575</v>
      </c>
      <c r="Q482" s="577">
        <f t="shared" si="1155"/>
        <v>30866.6782312426</v>
      </c>
      <c r="R482" s="577">
        <f t="shared" si="1155"/>
        <v>34491.210739396767</v>
      </c>
      <c r="S482" s="577">
        <f t="shared" si="1155"/>
        <v>38115.14513640276</v>
      </c>
      <c r="T482" s="577">
        <f t="shared" si="1155"/>
        <v>41739.085704492187</v>
      </c>
      <c r="U482" s="577">
        <f t="shared" si="1155"/>
        <v>45367.845384213208</v>
      </c>
      <c r="V482" s="577">
        <f t="shared" si="1155"/>
        <v>47166.417402916049</v>
      </c>
      <c r="W482" s="577">
        <f t="shared" si="1155"/>
        <v>47655.955716176475</v>
      </c>
      <c r="X482" s="577">
        <f t="shared" si="1155"/>
        <v>48145.49482683633</v>
      </c>
      <c r="Y482" s="577">
        <f t="shared" si="1155"/>
        <v>48635.034811933328</v>
      </c>
      <c r="Z482" s="577">
        <f t="shared" si="1155"/>
        <v>49125.977304979213</v>
      </c>
      <c r="AA482" s="577">
        <f t="shared" si="1155"/>
        <v>49615.51929909733</v>
      </c>
      <c r="AB482" s="577">
        <f t="shared" si="1155"/>
        <v>50106.463996181803</v>
      </c>
      <c r="AC482" s="577">
        <f t="shared" si="1155"/>
        <v>50596.008392362579</v>
      </c>
      <c r="AD482" s="577">
        <f t="shared" si="1155"/>
        <v>51085.554155467544</v>
      </c>
      <c r="AE482" s="577">
        <f t="shared" si="1155"/>
        <v>51576.502978266682</v>
      </c>
      <c r="AF482" s="577">
        <f t="shared" si="1155"/>
        <v>52066.051861104606</v>
      </c>
      <c r="AG482" s="577">
        <f t="shared" si="1155"/>
        <v>52555.602512719088</v>
      </c>
      <c r="AH482" s="752">
        <f t="shared" si="1155"/>
        <v>53046.556673454463</v>
      </c>
      <c r="AI482" s="18"/>
      <c r="AJ482" s="18"/>
      <c r="AK482" s="18"/>
      <c r="AL482" s="18"/>
      <c r="AM482" s="18"/>
      <c r="AN482" s="18"/>
    </row>
    <row r="483" spans="2:40" ht="21.95" customHeight="1" x14ac:dyDescent="0.2">
      <c r="B483" s="232"/>
      <c r="C483" s="715"/>
      <c r="D483" s="715"/>
      <c r="E483" s="1340"/>
      <c r="F483" s="116"/>
      <c r="G483" s="116"/>
      <c r="H483" s="124" t="s">
        <v>19</v>
      </c>
      <c r="I483" s="577">
        <f t="shared" ref="I483:AH483" si="1156">I392*$D$12</f>
        <v>959.12408759124082</v>
      </c>
      <c r="J483" s="577">
        <f t="shared" si="1156"/>
        <v>2131.6532846715327</v>
      </c>
      <c r="K483" s="577">
        <f t="shared" si="1156"/>
        <v>9009.5321167883212</v>
      </c>
      <c r="L483" s="577">
        <f t="shared" si="1156"/>
        <v>20252.864233577548</v>
      </c>
      <c r="M483" s="577">
        <f t="shared" si="1156"/>
        <v>31502.430657050689</v>
      </c>
      <c r="N483" s="577">
        <f t="shared" si="1156"/>
        <v>42752.476645682669</v>
      </c>
      <c r="O483" s="577">
        <f t="shared" si="1156"/>
        <v>53995.808802778833</v>
      </c>
      <c r="P483" s="577">
        <f t="shared" si="1156"/>
        <v>65252.089401531921</v>
      </c>
      <c r="Q483" s="577">
        <f t="shared" si="1156"/>
        <v>73932.16342812599</v>
      </c>
      <c r="R483" s="577">
        <f t="shared" si="1156"/>
        <v>82613.678417716816</v>
      </c>
      <c r="S483" s="577">
        <f t="shared" si="1156"/>
        <v>91293.760805755112</v>
      </c>
      <c r="T483" s="577">
        <f t="shared" si="1156"/>
        <v>99973.857974831582</v>
      </c>
      <c r="U483" s="577">
        <f t="shared" si="1156"/>
        <v>108665.49792625918</v>
      </c>
      <c r="V483" s="577">
        <f t="shared" si="1156"/>
        <v>112973.45485728396</v>
      </c>
      <c r="W483" s="577">
        <f t="shared" si="1156"/>
        <v>114146.00171539276</v>
      </c>
      <c r="X483" s="577">
        <f t="shared" si="1156"/>
        <v>115318.55048344031</v>
      </c>
      <c r="Y483" s="577">
        <f t="shared" si="1156"/>
        <v>116491.10134594809</v>
      </c>
      <c r="Z483" s="577">
        <f t="shared" si="1156"/>
        <v>117667.01150893225</v>
      </c>
      <c r="AA483" s="577">
        <f t="shared" si="1156"/>
        <v>118839.56718346666</v>
      </c>
      <c r="AB483" s="577">
        <f t="shared" si="1156"/>
        <v>120015.48262558517</v>
      </c>
      <c r="AC483" s="577">
        <f t="shared" si="1156"/>
        <v>121188.04405356306</v>
      </c>
      <c r="AD483" s="577">
        <f t="shared" si="1156"/>
        <v>122360.60875561088</v>
      </c>
      <c r="AE483" s="577">
        <f t="shared" si="1156"/>
        <v>123536.53407968068</v>
      </c>
      <c r="AF483" s="577">
        <f t="shared" si="1156"/>
        <v>124709.10625414277</v>
      </c>
      <c r="AG483" s="577">
        <f t="shared" si="1156"/>
        <v>125881.68266519543</v>
      </c>
      <c r="AH483" s="752">
        <f t="shared" si="1156"/>
        <v>127057.62077474123</v>
      </c>
      <c r="AI483" s="18"/>
      <c r="AJ483" s="18"/>
      <c r="AK483" s="18"/>
      <c r="AL483" s="18"/>
      <c r="AM483" s="18"/>
      <c r="AN483" s="18"/>
    </row>
    <row r="484" spans="2:40" ht="21.95" customHeight="1" x14ac:dyDescent="0.2">
      <c r="B484" s="232"/>
      <c r="C484" s="715"/>
      <c r="D484" s="715"/>
      <c r="E484" s="1340"/>
      <c r="F484" s="116"/>
      <c r="G484" s="116"/>
      <c r="H484" s="720" t="s">
        <v>25</v>
      </c>
      <c r="I484" s="577">
        <f t="shared" ref="I484:AH484" si="1157">SUM(I482:I483)</f>
        <v>1359.5583941605839</v>
      </c>
      <c r="J484" s="577">
        <f t="shared" si="1157"/>
        <v>3021.6185310218975</v>
      </c>
      <c r="K484" s="577">
        <f t="shared" si="1157"/>
        <v>12771.011775547446</v>
      </c>
      <c r="L484" s="577">
        <f t="shared" si="1157"/>
        <v>28708.435051096174</v>
      </c>
      <c r="M484" s="577">
        <f t="shared" si="1157"/>
        <v>44654.695456369351</v>
      </c>
      <c r="N484" s="577">
        <f t="shared" si="1157"/>
        <v>60601.635645255184</v>
      </c>
      <c r="O484" s="577">
        <f t="shared" si="1157"/>
        <v>76539.058977938999</v>
      </c>
      <c r="P484" s="577">
        <f t="shared" si="1157"/>
        <v>92494.836726671492</v>
      </c>
      <c r="Q484" s="577">
        <f t="shared" si="1157"/>
        <v>104798.8416593686</v>
      </c>
      <c r="R484" s="577">
        <f t="shared" si="1157"/>
        <v>117104.88915711359</v>
      </c>
      <c r="S484" s="577">
        <f t="shared" si="1157"/>
        <v>129408.90594215787</v>
      </c>
      <c r="T484" s="577">
        <f t="shared" si="1157"/>
        <v>141712.94367932377</v>
      </c>
      <c r="U484" s="577">
        <f t="shared" si="1157"/>
        <v>154033.34331047238</v>
      </c>
      <c r="V484" s="577">
        <f t="shared" si="1157"/>
        <v>160139.87226020001</v>
      </c>
      <c r="W484" s="577">
        <f t="shared" si="1157"/>
        <v>161801.95743156923</v>
      </c>
      <c r="X484" s="577">
        <f t="shared" si="1157"/>
        <v>163464.04531027665</v>
      </c>
      <c r="Y484" s="577">
        <f t="shared" si="1157"/>
        <v>165126.13615788141</v>
      </c>
      <c r="Z484" s="577">
        <f t="shared" si="1157"/>
        <v>166792.98881391145</v>
      </c>
      <c r="AA484" s="577">
        <f t="shared" si="1157"/>
        <v>168455.08648256399</v>
      </c>
      <c r="AB484" s="577">
        <f t="shared" si="1157"/>
        <v>170121.94662176695</v>
      </c>
      <c r="AC484" s="577">
        <f t="shared" si="1157"/>
        <v>171784.05244592566</v>
      </c>
      <c r="AD484" s="577">
        <f t="shared" si="1157"/>
        <v>173446.16291107843</v>
      </c>
      <c r="AE484" s="577">
        <f t="shared" si="1157"/>
        <v>175113.03705794737</v>
      </c>
      <c r="AF484" s="577">
        <f t="shared" si="1157"/>
        <v>176775.15811524738</v>
      </c>
      <c r="AG484" s="577">
        <f t="shared" si="1157"/>
        <v>178437.28517791451</v>
      </c>
      <c r="AH484" s="752">
        <f t="shared" si="1157"/>
        <v>180104.1774481957</v>
      </c>
      <c r="AI484" s="18"/>
      <c r="AJ484" s="18"/>
      <c r="AK484" s="18"/>
      <c r="AL484" s="18"/>
      <c r="AM484" s="18"/>
      <c r="AN484" s="18"/>
    </row>
    <row r="485" spans="2:40" ht="21.95" customHeight="1" x14ac:dyDescent="0.2">
      <c r="B485" s="232"/>
      <c r="C485" s="715"/>
      <c r="D485" s="715"/>
      <c r="E485" s="1340"/>
      <c r="F485" s="116" t="s">
        <v>339</v>
      </c>
      <c r="G485" s="116" t="s">
        <v>288</v>
      </c>
      <c r="H485" s="116" t="s">
        <v>20</v>
      </c>
      <c r="I485" s="577">
        <f t="shared" ref="I485:AH485" si="1158">I394*$D$11</f>
        <v>0</v>
      </c>
      <c r="J485" s="577">
        <f t="shared" si="1158"/>
        <v>272.41397566909984</v>
      </c>
      <c r="K485" s="577">
        <f t="shared" si="1158"/>
        <v>780.15874403892951</v>
      </c>
      <c r="L485" s="577">
        <f t="shared" si="1158"/>
        <v>1753.7480214112704</v>
      </c>
      <c r="M485" s="577">
        <f t="shared" si="1158"/>
        <v>2727.8771435623889</v>
      </c>
      <c r="N485" s="577">
        <f t="shared" si="1158"/>
        <v>3702.0477925039286</v>
      </c>
      <c r="O485" s="577">
        <f t="shared" si="1158"/>
        <v>4675.6370733665526</v>
      </c>
      <c r="P485" s="577">
        <f t="shared" si="1158"/>
        <v>5650.3475933622831</v>
      </c>
      <c r="Q485" s="577">
        <f t="shared" si="1158"/>
        <v>6401.9777072206871</v>
      </c>
      <c r="R485" s="577">
        <f t="shared" si="1158"/>
        <v>7153.7325978008093</v>
      </c>
      <c r="S485" s="577">
        <f t="shared" si="1158"/>
        <v>7905.3634356983493</v>
      </c>
      <c r="T485" s="577">
        <f t="shared" si="1158"/>
        <v>8656.9955535243062</v>
      </c>
      <c r="U485" s="577">
        <f t="shared" si="1158"/>
        <v>9409.6271907997761</v>
      </c>
      <c r="V485" s="577">
        <f t="shared" si="1158"/>
        <v>9782.6643502344396</v>
      </c>
      <c r="W485" s="577">
        <f t="shared" si="1158"/>
        <v>9884.1982226143809</v>
      </c>
      <c r="X485" s="577">
        <f t="shared" si="1158"/>
        <v>9985.7322603808661</v>
      </c>
      <c r="Y485" s="577">
        <f t="shared" si="1158"/>
        <v>10087.266479512098</v>
      </c>
      <c r="Z485" s="577">
        <f t="shared" si="1158"/>
        <v>10189.091589180875</v>
      </c>
      <c r="AA485" s="577">
        <f t="shared" si="1158"/>
        <v>10290.626224997963</v>
      </c>
      <c r="AB485" s="577">
        <f t="shared" si="1158"/>
        <v>10392.451791800671</v>
      </c>
      <c r="AC485" s="577">
        <f t="shared" si="1158"/>
        <v>10493.98692582335</v>
      </c>
      <c r="AD485" s="577">
        <f t="shared" si="1158"/>
        <v>10595.52234335623</v>
      </c>
      <c r="AE485" s="577">
        <f t="shared" si="1158"/>
        <v>10697.348765862722</v>
      </c>
      <c r="AF485" s="577">
        <f t="shared" si="1158"/>
        <v>10798.884830451325</v>
      </c>
      <c r="AG485" s="577">
        <f t="shared" si="1158"/>
        <v>10900.421261897292</v>
      </c>
      <c r="AH485" s="752">
        <f t="shared" si="1158"/>
        <v>11002.248791531296</v>
      </c>
      <c r="AI485" s="18"/>
      <c r="AJ485" s="18"/>
      <c r="AK485" s="18"/>
      <c r="AL485" s="18"/>
      <c r="AM485" s="18"/>
      <c r="AN485" s="18"/>
    </row>
    <row r="486" spans="2:40" ht="21.95" customHeight="1" x14ac:dyDescent="0.2">
      <c r="B486" s="232"/>
      <c r="C486" s="715"/>
      <c r="D486" s="715"/>
      <c r="E486" s="1340"/>
      <c r="F486" s="116"/>
      <c r="G486" s="116"/>
      <c r="H486" s="124" t="s">
        <v>19</v>
      </c>
      <c r="I486" s="577">
        <f t="shared" ref="I486:AH486" si="1159">I395*$D$12</f>
        <v>0</v>
      </c>
      <c r="J486" s="577">
        <f t="shared" si="1159"/>
        <v>652.48856447688581</v>
      </c>
      <c r="K486" s="577">
        <f t="shared" si="1159"/>
        <v>1868.6436982968371</v>
      </c>
      <c r="L486" s="577">
        <f t="shared" si="1159"/>
        <v>4200.5940632605279</v>
      </c>
      <c r="M486" s="577">
        <f t="shared" si="1159"/>
        <v>6533.8374696105129</v>
      </c>
      <c r="N486" s="577">
        <f t="shared" si="1159"/>
        <v>8867.1803413267753</v>
      </c>
      <c r="O486" s="577">
        <f t="shared" si="1159"/>
        <v>11199.130714650426</v>
      </c>
      <c r="P486" s="577">
        <f t="shared" si="1159"/>
        <v>13533.766690688104</v>
      </c>
      <c r="Q486" s="577">
        <f t="shared" si="1159"/>
        <v>15334.078340648353</v>
      </c>
      <c r="R486" s="577">
        <f t="shared" si="1159"/>
        <v>17134.688857007928</v>
      </c>
      <c r="S486" s="577">
        <f t="shared" si="1159"/>
        <v>18935.002241193652</v>
      </c>
      <c r="T486" s="577">
        <f t="shared" si="1159"/>
        <v>20735.318691076183</v>
      </c>
      <c r="U486" s="577">
        <f t="shared" si="1159"/>
        <v>22538.029199520424</v>
      </c>
      <c r="V486" s="577">
        <f t="shared" si="1159"/>
        <v>23431.531377807041</v>
      </c>
      <c r="W486" s="577">
        <f t="shared" si="1159"/>
        <v>23674.726281711093</v>
      </c>
      <c r="X486" s="577">
        <f t="shared" si="1159"/>
        <v>23917.921581750579</v>
      </c>
      <c r="Y486" s="577">
        <f t="shared" si="1159"/>
        <v>24161.117316196644</v>
      </c>
      <c r="Z486" s="577">
        <f t="shared" si="1159"/>
        <v>24405.00979444521</v>
      </c>
      <c r="AA486" s="577">
        <f t="shared" si="1159"/>
        <v>24648.206526941231</v>
      </c>
      <c r="AB486" s="577">
        <f t="shared" si="1159"/>
        <v>24892.10010012137</v>
      </c>
      <c r="AC486" s="577">
        <f t="shared" si="1159"/>
        <v>25135.298025924192</v>
      </c>
      <c r="AD486" s="577">
        <f t="shared" si="1159"/>
        <v>25378.496630793365</v>
      </c>
      <c r="AE486" s="577">
        <f t="shared" si="1159"/>
        <v>25622.392253563405</v>
      </c>
      <c r="AF486" s="577">
        <f t="shared" si="1159"/>
        <v>25865.592408266646</v>
      </c>
      <c r="AG486" s="577">
        <f t="shared" si="1159"/>
        <v>26108.793441670161</v>
      </c>
      <c r="AH486" s="752">
        <f t="shared" si="1159"/>
        <v>26352.691716242625</v>
      </c>
      <c r="AI486" s="18"/>
      <c r="AJ486" s="18"/>
      <c r="AK486" s="18"/>
      <c r="AL486" s="18"/>
      <c r="AM486" s="18"/>
      <c r="AN486" s="18"/>
    </row>
    <row r="487" spans="2:40" ht="21.95" customHeight="1" x14ac:dyDescent="0.2">
      <c r="B487" s="232"/>
      <c r="C487" s="715"/>
      <c r="D487" s="715"/>
      <c r="E487" s="1340"/>
      <c r="F487" s="116"/>
      <c r="G487" s="116"/>
      <c r="H487" s="720" t="s">
        <v>25</v>
      </c>
      <c r="I487" s="577">
        <f t="shared" ref="I487:AH487" si="1160">SUM(I485:I486)</f>
        <v>0</v>
      </c>
      <c r="J487" s="577">
        <f t="shared" si="1160"/>
        <v>924.90254014598565</v>
      </c>
      <c r="K487" s="577">
        <f t="shared" si="1160"/>
        <v>2648.8024423357665</v>
      </c>
      <c r="L487" s="577">
        <f t="shared" si="1160"/>
        <v>5954.3420846717981</v>
      </c>
      <c r="M487" s="577">
        <f t="shared" si="1160"/>
        <v>9261.7146131729023</v>
      </c>
      <c r="N487" s="577">
        <f t="shared" si="1160"/>
        <v>12569.228133830704</v>
      </c>
      <c r="O487" s="577">
        <f t="shared" si="1160"/>
        <v>15874.767788016979</v>
      </c>
      <c r="P487" s="577">
        <f t="shared" si="1160"/>
        <v>19184.114284050389</v>
      </c>
      <c r="Q487" s="577">
        <f t="shared" si="1160"/>
        <v>21736.056047869039</v>
      </c>
      <c r="R487" s="577">
        <f t="shared" si="1160"/>
        <v>24288.421454808737</v>
      </c>
      <c r="S487" s="577">
        <f t="shared" si="1160"/>
        <v>26840.365676892001</v>
      </c>
      <c r="T487" s="577">
        <f t="shared" si="1160"/>
        <v>29392.314244600489</v>
      </c>
      <c r="U487" s="577">
        <f t="shared" si="1160"/>
        <v>31947.6563903202</v>
      </c>
      <c r="V487" s="577">
        <f t="shared" si="1160"/>
        <v>33214.195728041479</v>
      </c>
      <c r="W487" s="577">
        <f t="shared" si="1160"/>
        <v>33558.924504325478</v>
      </c>
      <c r="X487" s="577">
        <f t="shared" si="1160"/>
        <v>33903.653842131447</v>
      </c>
      <c r="Y487" s="577">
        <f t="shared" si="1160"/>
        <v>34248.383795708738</v>
      </c>
      <c r="Z487" s="577">
        <f t="shared" si="1160"/>
        <v>34594.101383626083</v>
      </c>
      <c r="AA487" s="577">
        <f t="shared" si="1160"/>
        <v>34938.83275193919</v>
      </c>
      <c r="AB487" s="577">
        <f t="shared" si="1160"/>
        <v>35284.551891922041</v>
      </c>
      <c r="AC487" s="577">
        <f t="shared" si="1160"/>
        <v>35629.284951747541</v>
      </c>
      <c r="AD487" s="577">
        <f t="shared" si="1160"/>
        <v>35974.018974149592</v>
      </c>
      <c r="AE487" s="577">
        <f t="shared" si="1160"/>
        <v>36319.741019426125</v>
      </c>
      <c r="AF487" s="577">
        <f t="shared" si="1160"/>
        <v>36664.477238717969</v>
      </c>
      <c r="AG487" s="577">
        <f t="shared" si="1160"/>
        <v>37009.214703567457</v>
      </c>
      <c r="AH487" s="752">
        <f t="shared" si="1160"/>
        <v>37354.940507773921</v>
      </c>
      <c r="AI487" s="18"/>
      <c r="AJ487" s="18"/>
      <c r="AK487" s="18"/>
      <c r="AL487" s="18"/>
      <c r="AM487" s="18"/>
      <c r="AN487" s="18"/>
    </row>
    <row r="488" spans="2:40" ht="21.95" customHeight="1" x14ac:dyDescent="0.2">
      <c r="B488" s="232"/>
      <c r="C488" s="715"/>
      <c r="D488" s="715"/>
      <c r="E488" s="1340"/>
      <c r="F488" s="116" t="s">
        <v>288</v>
      </c>
      <c r="G488" s="116" t="s">
        <v>340</v>
      </c>
      <c r="H488" s="116" t="s">
        <v>20</v>
      </c>
      <c r="I488" s="577">
        <f t="shared" ref="I488:AH488" si="1161">I397*$D$11</f>
        <v>0</v>
      </c>
      <c r="J488" s="577">
        <f t="shared" si="1161"/>
        <v>710.22215085158155</v>
      </c>
      <c r="K488" s="577">
        <f t="shared" si="1161"/>
        <v>2033.9852969586373</v>
      </c>
      <c r="L488" s="577">
        <f t="shared" si="1161"/>
        <v>4572.2716272508114</v>
      </c>
      <c r="M488" s="577">
        <f t="shared" si="1161"/>
        <v>7111.9654100019416</v>
      </c>
      <c r="N488" s="577">
        <f t="shared" si="1161"/>
        <v>9651.7674590280967</v>
      </c>
      <c r="O488" s="577">
        <f t="shared" si="1161"/>
        <v>12190.05379841994</v>
      </c>
      <c r="P488" s="577">
        <f t="shared" si="1161"/>
        <v>14731.26336840881</v>
      </c>
      <c r="Q488" s="577">
        <f t="shared" si="1161"/>
        <v>16690.870450968221</v>
      </c>
      <c r="R488" s="577">
        <f t="shared" si="1161"/>
        <v>18650.802844266396</v>
      </c>
      <c r="S488" s="577">
        <f t="shared" si="1161"/>
        <v>20610.411814499264</v>
      </c>
      <c r="T488" s="577">
        <f t="shared" si="1161"/>
        <v>22570.024121688359</v>
      </c>
      <c r="U488" s="577">
        <f t="shared" si="1161"/>
        <v>24532.242318870842</v>
      </c>
      <c r="V488" s="577">
        <f t="shared" si="1161"/>
        <v>25504.803484539785</v>
      </c>
      <c r="W488" s="577">
        <f t="shared" si="1161"/>
        <v>25769.516794673204</v>
      </c>
      <c r="X488" s="577">
        <f t="shared" si="1161"/>
        <v>26034.230535992978</v>
      </c>
      <c r="Y488" s="577">
        <f t="shared" si="1161"/>
        <v>26298.944750156537</v>
      </c>
      <c r="Z488" s="577">
        <f t="shared" si="1161"/>
        <v>26564.417357507278</v>
      </c>
      <c r="AA488" s="577">
        <f t="shared" si="1161"/>
        <v>26829.132658030405</v>
      </c>
      <c r="AB488" s="577">
        <f t="shared" si="1161"/>
        <v>27094.606457194601</v>
      </c>
      <c r="AC488" s="577">
        <f t="shared" si="1161"/>
        <v>27359.323056610876</v>
      </c>
      <c r="AD488" s="577">
        <f t="shared" si="1161"/>
        <v>27624.040395178738</v>
      </c>
      <c r="AE488" s="577">
        <f t="shared" si="1161"/>
        <v>27889.516425284946</v>
      </c>
      <c r="AF488" s="577">
        <f t="shared" si="1161"/>
        <v>28154.23545081952</v>
      </c>
      <c r="AG488" s="577">
        <f t="shared" si="1161"/>
        <v>28418.955432803657</v>
      </c>
      <c r="AH488" s="752">
        <f t="shared" si="1161"/>
        <v>28684.434349349445</v>
      </c>
      <c r="AI488" s="18"/>
      <c r="AJ488" s="18"/>
      <c r="AK488" s="18"/>
      <c r="AL488" s="18"/>
      <c r="AM488" s="18"/>
      <c r="AN488" s="18"/>
    </row>
    <row r="489" spans="2:40" ht="21.95" customHeight="1" x14ac:dyDescent="0.2">
      <c r="B489" s="232"/>
      <c r="C489" s="715"/>
      <c r="D489" s="715"/>
      <c r="E489" s="1340"/>
      <c r="F489" s="116"/>
      <c r="G489" s="116"/>
      <c r="H489" s="124" t="s">
        <v>19</v>
      </c>
      <c r="I489" s="577">
        <f t="shared" ref="I489:AH489" si="1162">I398*$D$12</f>
        <v>0</v>
      </c>
      <c r="J489" s="577">
        <f t="shared" si="1162"/>
        <v>1701.130900243309</v>
      </c>
      <c r="K489" s="577">
        <f t="shared" si="1162"/>
        <v>4871.8210705596102</v>
      </c>
      <c r="L489" s="577">
        <f t="shared" si="1162"/>
        <v>10951.548807786376</v>
      </c>
      <c r="M489" s="577">
        <f t="shared" si="1162"/>
        <v>17034.647688627407</v>
      </c>
      <c r="N489" s="577">
        <f t="shared" si="1162"/>
        <v>23118.00588988766</v>
      </c>
      <c r="O489" s="577">
        <f t="shared" si="1162"/>
        <v>29197.733648910038</v>
      </c>
      <c r="P489" s="577">
        <f t="shared" si="1162"/>
        <v>35284.463157865415</v>
      </c>
      <c r="Q489" s="577">
        <f t="shared" si="1162"/>
        <v>39978.132816690348</v>
      </c>
      <c r="R489" s="577">
        <f t="shared" si="1162"/>
        <v>44672.58166291353</v>
      </c>
      <c r="S489" s="577">
        <f t="shared" si="1162"/>
        <v>49366.255843112012</v>
      </c>
      <c r="T489" s="577">
        <f t="shared" si="1162"/>
        <v>54059.938016020023</v>
      </c>
      <c r="U489" s="577">
        <f t="shared" si="1162"/>
        <v>58759.861841606806</v>
      </c>
      <c r="V489" s="577">
        <f t="shared" si="1162"/>
        <v>61089.349663568348</v>
      </c>
      <c r="W489" s="577">
        <f t="shared" si="1162"/>
        <v>61723.393520175341</v>
      </c>
      <c r="X489" s="577">
        <f t="shared" si="1162"/>
        <v>62357.43840956402</v>
      </c>
      <c r="Y489" s="577">
        <f t="shared" si="1162"/>
        <v>62991.484431512668</v>
      </c>
      <c r="Z489" s="577">
        <f t="shared" si="1162"/>
        <v>63627.346964089294</v>
      </c>
      <c r="AA489" s="577">
        <f t="shared" si="1162"/>
        <v>64261.395588096784</v>
      </c>
      <c r="AB489" s="577">
        <f t="shared" si="1162"/>
        <v>64897.260975316414</v>
      </c>
      <c r="AC489" s="577">
        <f t="shared" si="1162"/>
        <v>65531.312710445214</v>
      </c>
      <c r="AD489" s="577">
        <f t="shared" si="1162"/>
        <v>66165.366215996983</v>
      </c>
      <c r="AE489" s="577">
        <f t="shared" si="1162"/>
        <v>66801.23694679029</v>
      </c>
      <c r="AF489" s="577">
        <f t="shared" si="1162"/>
        <v>67435.294492980887</v>
      </c>
      <c r="AG489" s="577">
        <f t="shared" si="1162"/>
        <v>68069.354330068643</v>
      </c>
      <c r="AH489" s="752">
        <f t="shared" si="1162"/>
        <v>68705.231974489696</v>
      </c>
      <c r="AI489" s="18"/>
      <c r="AJ489" s="18"/>
      <c r="AK489" s="18"/>
      <c r="AL489" s="18"/>
      <c r="AM489" s="18"/>
      <c r="AN489" s="18"/>
    </row>
    <row r="490" spans="2:40" ht="21.95" customHeight="1" x14ac:dyDescent="0.2">
      <c r="B490" s="232"/>
      <c r="C490" s="715"/>
      <c r="D490" s="715"/>
      <c r="E490" s="1340"/>
      <c r="F490" s="116"/>
      <c r="G490" s="116"/>
      <c r="H490" s="720" t="s">
        <v>25</v>
      </c>
      <c r="I490" s="577">
        <f t="shared" ref="I490:AH490" si="1163">SUM(I488:I489)</f>
        <v>0</v>
      </c>
      <c r="J490" s="577">
        <f t="shared" si="1163"/>
        <v>2411.3530510948904</v>
      </c>
      <c r="K490" s="577">
        <f t="shared" si="1163"/>
        <v>6905.8063675182475</v>
      </c>
      <c r="L490" s="577">
        <f t="shared" si="1163"/>
        <v>15523.820435037187</v>
      </c>
      <c r="M490" s="577">
        <f t="shared" si="1163"/>
        <v>24146.61309862935</v>
      </c>
      <c r="N490" s="577">
        <f t="shared" si="1163"/>
        <v>32769.773348915754</v>
      </c>
      <c r="O490" s="577">
        <f t="shared" si="1163"/>
        <v>41387.787447329974</v>
      </c>
      <c r="P490" s="577">
        <f t="shared" si="1163"/>
        <v>50015.726526274229</v>
      </c>
      <c r="Q490" s="577">
        <f t="shared" si="1163"/>
        <v>56669.003267658569</v>
      </c>
      <c r="R490" s="577">
        <f t="shared" si="1163"/>
        <v>63323.38450717993</v>
      </c>
      <c r="S490" s="577">
        <f t="shared" si="1163"/>
        <v>69976.66765761128</v>
      </c>
      <c r="T490" s="577">
        <f t="shared" si="1163"/>
        <v>76629.962137708382</v>
      </c>
      <c r="U490" s="577">
        <f t="shared" si="1163"/>
        <v>83292.10416047764</v>
      </c>
      <c r="V490" s="577">
        <f t="shared" si="1163"/>
        <v>86594.153148108133</v>
      </c>
      <c r="W490" s="577">
        <f t="shared" si="1163"/>
        <v>87492.910314848545</v>
      </c>
      <c r="X490" s="577">
        <f t="shared" si="1163"/>
        <v>88391.668945557001</v>
      </c>
      <c r="Y490" s="577">
        <f t="shared" si="1163"/>
        <v>89290.429181669198</v>
      </c>
      <c r="Z490" s="577">
        <f t="shared" si="1163"/>
        <v>90191.764321596565</v>
      </c>
      <c r="AA490" s="577">
        <f t="shared" si="1163"/>
        <v>91090.528246127185</v>
      </c>
      <c r="AB490" s="577">
        <f t="shared" si="1163"/>
        <v>91991.867432511019</v>
      </c>
      <c r="AC490" s="577">
        <f t="shared" si="1163"/>
        <v>92890.635767056083</v>
      </c>
      <c r="AD490" s="577">
        <f t="shared" si="1163"/>
        <v>93789.406611175713</v>
      </c>
      <c r="AE490" s="577">
        <f t="shared" si="1163"/>
        <v>94690.75337207524</v>
      </c>
      <c r="AF490" s="577">
        <f t="shared" si="1163"/>
        <v>95589.529943800415</v>
      </c>
      <c r="AG490" s="577">
        <f t="shared" si="1163"/>
        <v>96488.309762872304</v>
      </c>
      <c r="AH490" s="752">
        <f t="shared" si="1163"/>
        <v>97389.666323839134</v>
      </c>
      <c r="AI490" s="18"/>
      <c r="AJ490" s="18"/>
      <c r="AK490" s="18"/>
      <c r="AL490" s="18"/>
      <c r="AM490" s="18"/>
      <c r="AN490" s="18"/>
    </row>
    <row r="491" spans="2:40" ht="21.95" customHeight="1" x14ac:dyDescent="0.2">
      <c r="B491" s="232"/>
      <c r="C491" s="715"/>
      <c r="D491" s="715"/>
      <c r="E491" s="1340"/>
      <c r="F491" s="116" t="s">
        <v>340</v>
      </c>
      <c r="G491" s="116" t="s">
        <v>280</v>
      </c>
      <c r="H491" s="116" t="s">
        <v>20</v>
      </c>
      <c r="I491" s="577">
        <f t="shared" ref="I491:AH491" si="1164">I400*$D$11</f>
        <v>934.34671532846721</v>
      </c>
      <c r="J491" s="577">
        <f t="shared" si="1164"/>
        <v>1392.8306485401458</v>
      </c>
      <c r="K491" s="577">
        <f t="shared" si="1164"/>
        <v>1961.0068861313866</v>
      </c>
      <c r="L491" s="577">
        <f t="shared" si="1164"/>
        <v>3397.3469467153286</v>
      </c>
      <c r="M491" s="577">
        <f t="shared" si="1164"/>
        <v>4833.8427317518335</v>
      </c>
      <c r="N491" s="577">
        <f t="shared" si="1164"/>
        <v>6271.0548492702465</v>
      </c>
      <c r="O491" s="577">
        <f t="shared" si="1164"/>
        <v>7707.3949098556923</v>
      </c>
      <c r="P491" s="577">
        <f t="shared" si="1164"/>
        <v>9143.2677970912828</v>
      </c>
      <c r="Q491" s="577">
        <f t="shared" si="1164"/>
        <v>12798.151843874848</v>
      </c>
      <c r="R491" s="577">
        <f t="shared" si="1164"/>
        <v>16451.603231852147</v>
      </c>
      <c r="S491" s="577">
        <f t="shared" si="1164"/>
        <v>20104.774366051759</v>
      </c>
      <c r="T491" s="577">
        <f t="shared" si="1164"/>
        <v>23759.658749585618</v>
      </c>
      <c r="U491" s="577">
        <f t="shared" si="1164"/>
        <v>27414.077156445896</v>
      </c>
      <c r="V491" s="577">
        <f t="shared" si="1164"/>
        <v>30199.710983976867</v>
      </c>
      <c r="W491" s="577">
        <f t="shared" si="1164"/>
        <v>30658.195928602996</v>
      </c>
      <c r="X491" s="577">
        <f t="shared" si="1164"/>
        <v>31116.681036305115</v>
      </c>
      <c r="Y491" s="577">
        <f t="shared" si="1164"/>
        <v>31575.166330430875</v>
      </c>
      <c r="Z491" s="577">
        <f t="shared" si="1164"/>
        <v>32032.250311965923</v>
      </c>
      <c r="AA491" s="577">
        <f t="shared" si="1164"/>
        <v>32490.736060044419</v>
      </c>
      <c r="AB491" s="577">
        <f t="shared" si="1164"/>
        <v>32947.820556217244</v>
      </c>
      <c r="AC491" s="577">
        <f t="shared" si="1164"/>
        <v>33406.306890257816</v>
      </c>
      <c r="AD491" s="577">
        <f t="shared" si="1164"/>
        <v>33864.79357743443</v>
      </c>
      <c r="AE491" s="577">
        <f t="shared" si="1164"/>
        <v>34321.879133456612</v>
      </c>
      <c r="AF491" s="577">
        <f t="shared" si="1164"/>
        <v>34780.366668954033</v>
      </c>
      <c r="AG491" s="577">
        <f t="shared" si="1164"/>
        <v>35238.854711972817</v>
      </c>
      <c r="AH491" s="752">
        <f t="shared" si="1164"/>
        <v>35695.941790663601</v>
      </c>
      <c r="AI491" s="18"/>
      <c r="AJ491" s="18"/>
      <c r="AK491" s="18"/>
      <c r="AL491" s="18"/>
      <c r="AM491" s="18"/>
      <c r="AN491" s="18"/>
    </row>
    <row r="492" spans="2:40" ht="21.95" customHeight="1" x14ac:dyDescent="0.2">
      <c r="B492" s="232"/>
      <c r="C492" s="715"/>
      <c r="D492" s="715"/>
      <c r="E492" s="1340"/>
      <c r="F492" s="116"/>
      <c r="G492" s="116"/>
      <c r="H492" s="116" t="s">
        <v>19</v>
      </c>
      <c r="I492" s="577">
        <f t="shared" ref="I492:AH492" si="1165">I401*$D$12</f>
        <v>2237.9562043795622</v>
      </c>
      <c r="J492" s="577">
        <f t="shared" si="1165"/>
        <v>3336.121313868613</v>
      </c>
      <c r="K492" s="577">
        <f t="shared" si="1165"/>
        <v>4697.0224817518247</v>
      </c>
      <c r="L492" s="577">
        <f t="shared" si="1165"/>
        <v>8137.3579562043806</v>
      </c>
      <c r="M492" s="577">
        <f t="shared" si="1165"/>
        <v>11578.066423357686</v>
      </c>
      <c r="N492" s="577">
        <f t="shared" si="1165"/>
        <v>15020.490656934722</v>
      </c>
      <c r="O492" s="577">
        <f t="shared" si="1165"/>
        <v>18460.826131390881</v>
      </c>
      <c r="P492" s="577">
        <f t="shared" si="1165"/>
        <v>21900.042627763552</v>
      </c>
      <c r="Q492" s="577">
        <f t="shared" si="1165"/>
        <v>30654.255913472691</v>
      </c>
      <c r="R492" s="577">
        <f t="shared" si="1165"/>
        <v>39405.037681082991</v>
      </c>
      <c r="S492" s="577">
        <f t="shared" si="1165"/>
        <v>48155.148182159908</v>
      </c>
      <c r="T492" s="577">
        <f t="shared" si="1165"/>
        <v>56909.362274456573</v>
      </c>
      <c r="U492" s="577">
        <f t="shared" si="1165"/>
        <v>65662.460254960228</v>
      </c>
      <c r="V492" s="577">
        <f t="shared" si="1165"/>
        <v>72334.637087369745</v>
      </c>
      <c r="W492" s="577">
        <f t="shared" si="1165"/>
        <v>73432.804619408373</v>
      </c>
      <c r="X492" s="577">
        <f t="shared" si="1165"/>
        <v>74530.972542048185</v>
      </c>
      <c r="Y492" s="577">
        <f t="shared" si="1165"/>
        <v>75629.140911211682</v>
      </c>
      <c r="Z492" s="577">
        <f t="shared" si="1165"/>
        <v>76723.952843032152</v>
      </c>
      <c r="AA492" s="577">
        <f t="shared" si="1165"/>
        <v>77822.122299507595</v>
      </c>
      <c r="AB492" s="577">
        <f t="shared" si="1165"/>
        <v>78916.935463993403</v>
      </c>
      <c r="AC492" s="577">
        <f t="shared" si="1165"/>
        <v>80015.106323970816</v>
      </c>
      <c r="AD492" s="577">
        <f t="shared" si="1165"/>
        <v>81113.278029783076</v>
      </c>
      <c r="AE492" s="577">
        <f t="shared" si="1165"/>
        <v>82208.09373283021</v>
      </c>
      <c r="AF492" s="577">
        <f t="shared" si="1165"/>
        <v>83306.267470548584</v>
      </c>
      <c r="AG492" s="577">
        <f t="shared" si="1165"/>
        <v>84404.442423886998</v>
      </c>
      <c r="AH492" s="752">
        <f t="shared" si="1165"/>
        <v>85499.261774044557</v>
      </c>
      <c r="AI492" s="18"/>
      <c r="AJ492" s="18"/>
      <c r="AK492" s="18"/>
      <c r="AL492" s="18"/>
      <c r="AM492" s="18"/>
      <c r="AN492" s="18"/>
    </row>
    <row r="493" spans="2:40" ht="21.95" customHeight="1" x14ac:dyDescent="0.2">
      <c r="B493" s="232"/>
      <c r="C493" s="715"/>
      <c r="D493" s="715"/>
      <c r="E493" s="1340"/>
      <c r="F493" s="254"/>
      <c r="G493" s="254"/>
      <c r="H493" s="721" t="s">
        <v>25</v>
      </c>
      <c r="I493" s="587">
        <f t="shared" ref="I493:AH493" si="1166">SUM(I491:I492)</f>
        <v>3172.3029197080295</v>
      </c>
      <c r="J493" s="587">
        <f t="shared" si="1166"/>
        <v>4728.9519624087588</v>
      </c>
      <c r="K493" s="587">
        <f t="shared" si="1166"/>
        <v>6658.0293678832113</v>
      </c>
      <c r="L493" s="587">
        <f t="shared" si="1166"/>
        <v>11534.70490291971</v>
      </c>
      <c r="M493" s="587">
        <f t="shared" si="1166"/>
        <v>16411.909155109519</v>
      </c>
      <c r="N493" s="587">
        <f t="shared" si="1166"/>
        <v>21291.54550620497</v>
      </c>
      <c r="O493" s="587">
        <f t="shared" si="1166"/>
        <v>26168.221041246572</v>
      </c>
      <c r="P493" s="587">
        <f t="shared" si="1166"/>
        <v>31043.310424854833</v>
      </c>
      <c r="Q493" s="587">
        <f t="shared" si="1166"/>
        <v>43452.407757347537</v>
      </c>
      <c r="R493" s="587">
        <f t="shared" si="1166"/>
        <v>55856.640912935138</v>
      </c>
      <c r="S493" s="587">
        <f t="shared" si="1166"/>
        <v>68259.922548211674</v>
      </c>
      <c r="T493" s="587">
        <f t="shared" si="1166"/>
        <v>80669.021024042187</v>
      </c>
      <c r="U493" s="587">
        <f t="shared" si="1166"/>
        <v>93076.537411406127</v>
      </c>
      <c r="V493" s="587">
        <f t="shared" si="1166"/>
        <v>102534.34807134661</v>
      </c>
      <c r="W493" s="587">
        <f t="shared" si="1166"/>
        <v>104091.00054801136</v>
      </c>
      <c r="X493" s="587">
        <f t="shared" si="1166"/>
        <v>105647.6535783533</v>
      </c>
      <c r="Y493" s="587">
        <f t="shared" si="1166"/>
        <v>107204.30724164256</v>
      </c>
      <c r="Z493" s="587">
        <f t="shared" si="1166"/>
        <v>108756.20315499807</v>
      </c>
      <c r="AA493" s="587">
        <f t="shared" si="1166"/>
        <v>110312.85835955202</v>
      </c>
      <c r="AB493" s="587">
        <f t="shared" si="1166"/>
        <v>111864.75602021065</v>
      </c>
      <c r="AC493" s="587">
        <f t="shared" si="1166"/>
        <v>113421.41321422864</v>
      </c>
      <c r="AD493" s="587">
        <f t="shared" si="1166"/>
        <v>114978.07160721751</v>
      </c>
      <c r="AE493" s="587">
        <f t="shared" si="1166"/>
        <v>116529.97286628681</v>
      </c>
      <c r="AF493" s="587">
        <f t="shared" si="1166"/>
        <v>118086.63413950262</v>
      </c>
      <c r="AG493" s="587">
        <f t="shared" si="1166"/>
        <v>119643.29713585982</v>
      </c>
      <c r="AH493" s="754">
        <f t="shared" si="1166"/>
        <v>121195.20356470815</v>
      </c>
      <c r="AI493" s="18"/>
      <c r="AJ493" s="18"/>
      <c r="AK493" s="18"/>
      <c r="AL493" s="18"/>
      <c r="AM493" s="18"/>
      <c r="AN493" s="18"/>
    </row>
    <row r="494" spans="2:40" ht="21.95" customHeight="1" x14ac:dyDescent="0.2">
      <c r="B494" s="232"/>
      <c r="C494" s="715"/>
      <c r="D494" s="715"/>
      <c r="E494" s="1340" t="s">
        <v>334</v>
      </c>
      <c r="F494" s="116" t="s">
        <v>336</v>
      </c>
      <c r="G494" s="116" t="s">
        <v>337</v>
      </c>
      <c r="H494" s="116" t="s">
        <v>20</v>
      </c>
      <c r="I494" s="577">
        <f t="shared" ref="I494:AH494" si="1167">I403*$D$11</f>
        <v>23471.986288130043</v>
      </c>
      <c r="J494" s="577">
        <f t="shared" si="1167"/>
        <v>24122.199019264641</v>
      </c>
      <c r="K494" s="577">
        <f t="shared" si="1167"/>
        <v>25171.572001644836</v>
      </c>
      <c r="L494" s="577">
        <f t="shared" si="1167"/>
        <v>26670.816044874198</v>
      </c>
      <c r="M494" s="577">
        <f t="shared" si="1167"/>
        <v>28170.904001160037</v>
      </c>
      <c r="N494" s="577">
        <f t="shared" si="1167"/>
        <v>29671.19093320769</v>
      </c>
      <c r="O494" s="577">
        <f t="shared" si="1167"/>
        <v>31171.340818560257</v>
      </c>
      <c r="P494" s="577">
        <f t="shared" si="1167"/>
        <v>32673.534174949542</v>
      </c>
      <c r="Q494" s="577">
        <f t="shared" si="1167"/>
        <v>34011.520677095345</v>
      </c>
      <c r="R494" s="577">
        <f t="shared" si="1167"/>
        <v>35351.138944479928</v>
      </c>
      <c r="S494" s="577">
        <f t="shared" si="1167"/>
        <v>36692.04925337524</v>
      </c>
      <c r="T494" s="577">
        <f t="shared" si="1167"/>
        <v>38035.348776929372</v>
      </c>
      <c r="U494" s="577">
        <f t="shared" si="1167"/>
        <v>39383.297429389939</v>
      </c>
      <c r="V494" s="577">
        <f t="shared" si="1167"/>
        <v>40278.120297097033</v>
      </c>
      <c r="W494" s="577">
        <f t="shared" si="1167"/>
        <v>40936.967853521826</v>
      </c>
      <c r="X494" s="577">
        <f t="shared" si="1167"/>
        <v>41597.310764396687</v>
      </c>
      <c r="Y494" s="577">
        <f t="shared" si="1167"/>
        <v>42259.377146091334</v>
      </c>
      <c r="Z494" s="577">
        <f t="shared" si="1167"/>
        <v>42923.854284478475</v>
      </c>
      <c r="AA494" s="577">
        <f t="shared" si="1167"/>
        <v>43590.178580843472</v>
      </c>
      <c r="AB494" s="577">
        <f t="shared" si="1167"/>
        <v>44259.539774748133</v>
      </c>
      <c r="AC494" s="577">
        <f t="shared" si="1167"/>
        <v>44931.447719255259</v>
      </c>
      <c r="AD494" s="577">
        <f t="shared" si="1167"/>
        <v>45606.751432204241</v>
      </c>
      <c r="AE494" s="577">
        <f t="shared" si="1167"/>
        <v>46286.360307843825</v>
      </c>
      <c r="AF494" s="577">
        <f t="shared" si="1167"/>
        <v>46969.926189852362</v>
      </c>
      <c r="AG494" s="577">
        <f t="shared" si="1167"/>
        <v>47658.475836797777</v>
      </c>
      <c r="AH494" s="752">
        <f t="shared" si="1167"/>
        <v>48353.118424195789</v>
      </c>
      <c r="AI494" s="18"/>
      <c r="AJ494" s="18"/>
      <c r="AK494" s="18"/>
      <c r="AL494" s="18"/>
      <c r="AM494" s="18"/>
      <c r="AN494" s="18"/>
    </row>
    <row r="495" spans="2:40" ht="21.95" customHeight="1" x14ac:dyDescent="0.2">
      <c r="B495" s="232"/>
      <c r="C495" s="715"/>
      <c r="D495" s="715"/>
      <c r="E495" s="1340"/>
      <c r="F495" s="116"/>
      <c r="G495" s="116"/>
      <c r="H495" s="124" t="s">
        <v>19</v>
      </c>
      <c r="I495" s="577">
        <f t="shared" ref="I495:AH495" si="1168">I404*$D$12</f>
        <v>36141.638424836681</v>
      </c>
      <c r="J495" s="577">
        <f t="shared" si="1168"/>
        <v>37142.821415463091</v>
      </c>
      <c r="K495" s="577">
        <f t="shared" si="1168"/>
        <v>38758.622414850899</v>
      </c>
      <c r="L495" s="577">
        <f t="shared" si="1168"/>
        <v>41067.124791080882</v>
      </c>
      <c r="M495" s="577">
        <f t="shared" si="1168"/>
        <v>43376.926605721179</v>
      </c>
      <c r="N495" s="577">
        <f t="shared" si="1168"/>
        <v>45687.034798780012</v>
      </c>
      <c r="O495" s="577">
        <f t="shared" si="1168"/>
        <v>47996.931970409292</v>
      </c>
      <c r="P495" s="577">
        <f t="shared" si="1168"/>
        <v>50309.975632941976</v>
      </c>
      <c r="Q495" s="577">
        <f t="shared" si="1168"/>
        <v>52370.177261566823</v>
      </c>
      <c r="R495" s="577">
        <f t="shared" si="1168"/>
        <v>54432.891445734698</v>
      </c>
      <c r="S495" s="577">
        <f t="shared" si="1168"/>
        <v>56497.59508646316</v>
      </c>
      <c r="T495" s="577">
        <f t="shared" si="1168"/>
        <v>58565.977586375411</v>
      </c>
      <c r="U495" s="577">
        <f t="shared" si="1168"/>
        <v>60641.518710780052</v>
      </c>
      <c r="V495" s="577">
        <f t="shared" si="1168"/>
        <v>62019.346907420579</v>
      </c>
      <c r="W495" s="577">
        <f t="shared" si="1168"/>
        <v>63033.82560850239</v>
      </c>
      <c r="X495" s="577">
        <f t="shared" si="1168"/>
        <v>64050.606822852031</v>
      </c>
      <c r="Y495" s="577">
        <f t="shared" si="1168"/>
        <v>65070.041798943028</v>
      </c>
      <c r="Z495" s="577">
        <f t="shared" si="1168"/>
        <v>66093.188804158475</v>
      </c>
      <c r="AA495" s="577">
        <f t="shared" si="1168"/>
        <v>67119.180021829117</v>
      </c>
      <c r="AB495" s="577">
        <f t="shared" si="1168"/>
        <v>68149.847386267444</v>
      </c>
      <c r="AC495" s="577">
        <f t="shared" si="1168"/>
        <v>69184.436180204852</v>
      </c>
      <c r="AD495" s="577">
        <f t="shared" si="1168"/>
        <v>70224.253702281974</v>
      </c>
      <c r="AE495" s="577">
        <f t="shared" si="1168"/>
        <v>71270.700217381411</v>
      </c>
      <c r="AF495" s="577">
        <f t="shared" si="1168"/>
        <v>72323.239642202083</v>
      </c>
      <c r="AG495" s="577">
        <f t="shared" si="1168"/>
        <v>73383.452956574838</v>
      </c>
      <c r="AH495" s="752">
        <f t="shared" si="1168"/>
        <v>74453.048044099589</v>
      </c>
      <c r="AI495" s="18"/>
      <c r="AJ495" s="18"/>
      <c r="AK495" s="18"/>
      <c r="AL495" s="18"/>
      <c r="AM495" s="18"/>
      <c r="AN495" s="18"/>
    </row>
    <row r="496" spans="2:40" ht="21.95" customHeight="1" x14ac:dyDescent="0.2">
      <c r="B496" s="232"/>
      <c r="C496" s="715"/>
      <c r="D496" s="715"/>
      <c r="E496" s="1340"/>
      <c r="F496" s="116"/>
      <c r="G496" s="116"/>
      <c r="H496" s="721" t="s">
        <v>25</v>
      </c>
      <c r="I496" s="577">
        <f t="shared" ref="I496:AH496" si="1169">SUM(I494:I495)</f>
        <v>59613.624712966724</v>
      </c>
      <c r="J496" s="577">
        <f t="shared" si="1169"/>
        <v>61265.020434727732</v>
      </c>
      <c r="K496" s="577">
        <f t="shared" si="1169"/>
        <v>63930.194416495739</v>
      </c>
      <c r="L496" s="577">
        <f t="shared" si="1169"/>
        <v>67737.940835955087</v>
      </c>
      <c r="M496" s="577">
        <f t="shared" si="1169"/>
        <v>71547.830606881209</v>
      </c>
      <c r="N496" s="577">
        <f t="shared" si="1169"/>
        <v>75358.22573198771</v>
      </c>
      <c r="O496" s="577">
        <f t="shared" si="1169"/>
        <v>79168.272788969552</v>
      </c>
      <c r="P496" s="577">
        <f t="shared" si="1169"/>
        <v>82983.509807891518</v>
      </c>
      <c r="Q496" s="577">
        <f t="shared" si="1169"/>
        <v>86381.697938662168</v>
      </c>
      <c r="R496" s="577">
        <f t="shared" si="1169"/>
        <v>89784.030390214626</v>
      </c>
      <c r="S496" s="577">
        <f t="shared" si="1169"/>
        <v>93189.6443398384</v>
      </c>
      <c r="T496" s="577">
        <f t="shared" si="1169"/>
        <v>96601.326363304775</v>
      </c>
      <c r="U496" s="577">
        <f t="shared" si="1169"/>
        <v>100024.81614016999</v>
      </c>
      <c r="V496" s="577">
        <f t="shared" si="1169"/>
        <v>102297.46720451761</v>
      </c>
      <c r="W496" s="577">
        <f t="shared" si="1169"/>
        <v>103970.79346202422</v>
      </c>
      <c r="X496" s="577">
        <f t="shared" si="1169"/>
        <v>105647.91758724872</v>
      </c>
      <c r="Y496" s="577">
        <f t="shared" si="1169"/>
        <v>107329.41894503435</v>
      </c>
      <c r="Z496" s="577">
        <f t="shared" si="1169"/>
        <v>109017.04308863694</v>
      </c>
      <c r="AA496" s="577">
        <f t="shared" si="1169"/>
        <v>110709.35860267258</v>
      </c>
      <c r="AB496" s="577">
        <f t="shared" si="1169"/>
        <v>112409.38716101558</v>
      </c>
      <c r="AC496" s="577">
        <f t="shared" si="1169"/>
        <v>114115.88389946011</v>
      </c>
      <c r="AD496" s="577">
        <f t="shared" si="1169"/>
        <v>115831.00513448621</v>
      </c>
      <c r="AE496" s="577">
        <f t="shared" si="1169"/>
        <v>117557.06052522524</v>
      </c>
      <c r="AF496" s="577">
        <f t="shared" si="1169"/>
        <v>119293.16583205445</v>
      </c>
      <c r="AG496" s="577">
        <f t="shared" si="1169"/>
        <v>121041.92879337262</v>
      </c>
      <c r="AH496" s="752">
        <f t="shared" si="1169"/>
        <v>122806.16646829539</v>
      </c>
      <c r="AI496" s="18"/>
      <c r="AJ496" s="18"/>
      <c r="AK496" s="18"/>
      <c r="AL496" s="18"/>
      <c r="AM496" s="18"/>
      <c r="AN496" s="18"/>
    </row>
    <row r="497" spans="2:40" ht="21.95" customHeight="1" x14ac:dyDescent="0.2">
      <c r="B497" s="232"/>
      <c r="C497" s="715"/>
      <c r="D497" s="715"/>
      <c r="E497" s="1340"/>
      <c r="F497" s="116" t="s">
        <v>337</v>
      </c>
      <c r="G497" s="116" t="s">
        <v>386</v>
      </c>
      <c r="H497" s="116" t="s">
        <v>20</v>
      </c>
      <c r="I497" s="577">
        <f t="shared" ref="I497:AH497" si="1170">I406*$D$11</f>
        <v>38794.093372605843</v>
      </c>
      <c r="J497" s="577">
        <f t="shared" si="1170"/>
        <v>38871.773522890544</v>
      </c>
      <c r="K497" s="577">
        <f t="shared" si="1170"/>
        <v>38949.455711979892</v>
      </c>
      <c r="L497" s="577">
        <f t="shared" si="1170"/>
        <v>39027.139975404541</v>
      </c>
      <c r="M497" s="577">
        <f t="shared" si="1170"/>
        <v>39104.826350651267</v>
      </c>
      <c r="N497" s="577">
        <f t="shared" si="1170"/>
        <v>39182.514875807843</v>
      </c>
      <c r="O497" s="577">
        <f t="shared" si="1170"/>
        <v>39260.205589571422</v>
      </c>
      <c r="P497" s="577">
        <f t="shared" si="1170"/>
        <v>39337.898531257051</v>
      </c>
      <c r="Q497" s="577">
        <f t="shared" si="1170"/>
        <v>39415.593740806304</v>
      </c>
      <c r="R497" s="577">
        <f t="shared" si="1170"/>
        <v>39415.593742404555</v>
      </c>
      <c r="S497" s="577">
        <f t="shared" si="1170"/>
        <v>40347.934243607953</v>
      </c>
      <c r="T497" s="577">
        <f t="shared" si="1170"/>
        <v>41376.852364353697</v>
      </c>
      <c r="U497" s="577">
        <f t="shared" si="1170"/>
        <v>42407.034939798395</v>
      </c>
      <c r="V497" s="577">
        <f t="shared" si="1170"/>
        <v>43238.076375107827</v>
      </c>
      <c r="W497" s="577">
        <f t="shared" si="1170"/>
        <v>43920.84112484139</v>
      </c>
      <c r="X497" s="577">
        <f t="shared" si="1170"/>
        <v>44604.07510642631</v>
      </c>
      <c r="Y497" s="577">
        <f t="shared" si="1170"/>
        <v>45287.847912332465</v>
      </c>
      <c r="Z497" s="577">
        <f t="shared" si="1170"/>
        <v>45972.39795117129</v>
      </c>
      <c r="AA497" s="577">
        <f t="shared" si="1170"/>
        <v>46657.494453042491</v>
      </c>
      <c r="AB497" s="577">
        <f t="shared" si="1170"/>
        <v>47343.557021306558</v>
      </c>
      <c r="AC497" s="577">
        <f t="shared" si="1170"/>
        <v>48030.377670541253</v>
      </c>
      <c r="AD497" s="577">
        <f t="shared" si="1170"/>
        <v>48718.242169421515</v>
      </c>
      <c r="AE497" s="577">
        <f t="shared" si="1170"/>
        <v>49407.452364971745</v>
      </c>
      <c r="AF497" s="577">
        <f t="shared" si="1170"/>
        <v>50097.844229456678</v>
      </c>
      <c r="AG497" s="577">
        <f t="shared" si="1170"/>
        <v>50789.754333746409</v>
      </c>
      <c r="AH497" s="752">
        <f t="shared" si="1170"/>
        <v>51483.540878483931</v>
      </c>
      <c r="AI497" s="18"/>
      <c r="AJ497" s="18"/>
      <c r="AK497" s="18"/>
      <c r="AL497" s="18"/>
      <c r="AM497" s="18"/>
      <c r="AN497" s="18"/>
    </row>
    <row r="498" spans="2:40" ht="21.95" customHeight="1" x14ac:dyDescent="0.2">
      <c r="B498" s="232"/>
      <c r="C498" s="715"/>
      <c r="D498" s="715"/>
      <c r="E498" s="1340"/>
      <c r="F498" s="116"/>
      <c r="G498" s="116"/>
      <c r="H498" s="124" t="s">
        <v>19</v>
      </c>
      <c r="I498" s="577">
        <f t="shared" ref="I498:AH498" si="1171">I407*$D$12</f>
        <v>59734.275509572719</v>
      </c>
      <c r="J498" s="577">
        <f t="shared" si="1171"/>
        <v>59853.885663988862</v>
      </c>
      <c r="K498" s="577">
        <f t="shared" si="1171"/>
        <v>59973.49895771069</v>
      </c>
      <c r="L498" s="577">
        <f t="shared" si="1171"/>
        <v>60093.115445447533</v>
      </c>
      <c r="M498" s="577">
        <f t="shared" si="1171"/>
        <v>60212.735184920675</v>
      </c>
      <c r="N498" s="577">
        <f t="shared" si="1171"/>
        <v>60332.358234776824</v>
      </c>
      <c r="O498" s="577">
        <f t="shared" si="1171"/>
        <v>60451.984654600987</v>
      </c>
      <c r="P498" s="577">
        <f t="shared" si="1171"/>
        <v>60571.614504929588</v>
      </c>
      <c r="Q498" s="577">
        <f t="shared" si="1171"/>
        <v>60691.247847263767</v>
      </c>
      <c r="R498" s="577">
        <f t="shared" si="1171"/>
        <v>60691.247849724721</v>
      </c>
      <c r="S498" s="577">
        <f t="shared" si="1171"/>
        <v>62126.844857565695</v>
      </c>
      <c r="T498" s="577">
        <f t="shared" si="1171"/>
        <v>63711.149919449665</v>
      </c>
      <c r="U498" s="577">
        <f t="shared" si="1171"/>
        <v>65297.401960339696</v>
      </c>
      <c r="V498" s="577">
        <f t="shared" si="1171"/>
        <v>66577.02093686405</v>
      </c>
      <c r="W498" s="577">
        <f t="shared" si="1171"/>
        <v>67628.326796162961</v>
      </c>
      <c r="X498" s="577">
        <f t="shared" si="1171"/>
        <v>68680.355168149996</v>
      </c>
      <c r="Y498" s="577">
        <f t="shared" si="1171"/>
        <v>69733.213209750582</v>
      </c>
      <c r="Z498" s="577">
        <f t="shared" si="1171"/>
        <v>70787.268017201292</v>
      </c>
      <c r="AA498" s="577">
        <f t="shared" si="1171"/>
        <v>71842.164256181757</v>
      </c>
      <c r="AB498" s="577">
        <f t="shared" si="1171"/>
        <v>72898.548022542163</v>
      </c>
      <c r="AC498" s="577">
        <f t="shared" si="1171"/>
        <v>73956.099064990805</v>
      </c>
      <c r="AD498" s="577">
        <f t="shared" si="1171"/>
        <v>75015.257403728596</v>
      </c>
      <c r="AE498" s="577">
        <f t="shared" si="1171"/>
        <v>76076.4878160386</v>
      </c>
      <c r="AF498" s="577">
        <f t="shared" si="1171"/>
        <v>77139.537735690348</v>
      </c>
      <c r="AG498" s="577">
        <f t="shared" si="1171"/>
        <v>78204.925406966227</v>
      </c>
      <c r="AH498" s="752">
        <f t="shared" si="1171"/>
        <v>79273.202379188253</v>
      </c>
      <c r="AI498" s="18"/>
      <c r="AJ498" s="18"/>
      <c r="AK498" s="18"/>
      <c r="AL498" s="18"/>
      <c r="AM498" s="18"/>
      <c r="AN498" s="18"/>
    </row>
    <row r="499" spans="2:40" ht="21.95" customHeight="1" x14ac:dyDescent="0.2">
      <c r="B499" s="232"/>
      <c r="C499" s="715"/>
      <c r="D499" s="715"/>
      <c r="E499" s="1340"/>
      <c r="F499" s="116"/>
      <c r="G499" s="116"/>
      <c r="H499" s="721" t="s">
        <v>25</v>
      </c>
      <c r="I499" s="577">
        <f t="shared" ref="I499:AH499" si="1172">SUM(I497:I498)</f>
        <v>98528.368882178562</v>
      </c>
      <c r="J499" s="577">
        <f t="shared" si="1172"/>
        <v>98725.659186879406</v>
      </c>
      <c r="K499" s="577">
        <f t="shared" si="1172"/>
        <v>98922.954669690575</v>
      </c>
      <c r="L499" s="577">
        <f t="shared" si="1172"/>
        <v>99120.255420852074</v>
      </c>
      <c r="M499" s="577">
        <f t="shared" si="1172"/>
        <v>99317.561535571935</v>
      </c>
      <c r="N499" s="577">
        <f t="shared" si="1172"/>
        <v>99514.873110584667</v>
      </c>
      <c r="O499" s="577">
        <f t="shared" si="1172"/>
        <v>99712.190244172409</v>
      </c>
      <c r="P499" s="577">
        <f t="shared" si="1172"/>
        <v>99909.513036186632</v>
      </c>
      <c r="Q499" s="577">
        <f t="shared" si="1172"/>
        <v>100106.84158807006</v>
      </c>
      <c r="R499" s="577">
        <f t="shared" si="1172"/>
        <v>100106.84159212928</v>
      </c>
      <c r="S499" s="577">
        <f t="shared" si="1172"/>
        <v>102474.77910117366</v>
      </c>
      <c r="T499" s="577">
        <f t="shared" si="1172"/>
        <v>105088.00228380336</v>
      </c>
      <c r="U499" s="577">
        <f t="shared" si="1172"/>
        <v>107704.4369001381</v>
      </c>
      <c r="V499" s="577">
        <f t="shared" si="1172"/>
        <v>109815.09731197188</v>
      </c>
      <c r="W499" s="577">
        <f t="shared" si="1172"/>
        <v>111549.16792100435</v>
      </c>
      <c r="X499" s="577">
        <f t="shared" si="1172"/>
        <v>113284.4302745763</v>
      </c>
      <c r="Y499" s="577">
        <f t="shared" si="1172"/>
        <v>115021.06112208305</v>
      </c>
      <c r="Z499" s="577">
        <f t="shared" si="1172"/>
        <v>116759.66596837257</v>
      </c>
      <c r="AA499" s="577">
        <f t="shared" si="1172"/>
        <v>118499.65870922426</v>
      </c>
      <c r="AB499" s="577">
        <f t="shared" si="1172"/>
        <v>120242.10504384871</v>
      </c>
      <c r="AC499" s="577">
        <f t="shared" si="1172"/>
        <v>121986.47673553205</v>
      </c>
      <c r="AD499" s="577">
        <f t="shared" si="1172"/>
        <v>123733.49957315011</v>
      </c>
      <c r="AE499" s="577">
        <f t="shared" si="1172"/>
        <v>125483.94018101034</v>
      </c>
      <c r="AF499" s="577">
        <f t="shared" si="1172"/>
        <v>127237.38196514703</v>
      </c>
      <c r="AG499" s="577">
        <f t="shared" si="1172"/>
        <v>128994.67974071263</v>
      </c>
      <c r="AH499" s="752">
        <f t="shared" si="1172"/>
        <v>130756.74325767218</v>
      </c>
      <c r="AI499" s="18"/>
      <c r="AJ499" s="18"/>
      <c r="AK499" s="18"/>
      <c r="AL499" s="18"/>
      <c r="AM499" s="18"/>
      <c r="AN499" s="18"/>
    </row>
    <row r="500" spans="2:40" ht="21.95" customHeight="1" x14ac:dyDescent="0.2">
      <c r="B500" s="232"/>
      <c r="C500" s="715"/>
      <c r="D500" s="715"/>
      <c r="E500" s="1340"/>
      <c r="F500" s="116" t="s">
        <v>342</v>
      </c>
      <c r="G500" s="116" t="s">
        <v>341</v>
      </c>
      <c r="H500" s="116" t="s">
        <v>20</v>
      </c>
      <c r="I500" s="577">
        <f t="shared" ref="I500:AH500" si="1173">I409*$D$11</f>
        <v>56246.915463148202</v>
      </c>
      <c r="J500" s="577">
        <f t="shared" si="1173"/>
        <v>56359.631972739822</v>
      </c>
      <c r="K500" s="577">
        <f t="shared" si="1173"/>
        <v>56472.353419052022</v>
      </c>
      <c r="L500" s="577">
        <f t="shared" si="1173"/>
        <v>56585.07988811798</v>
      </c>
      <c r="M500" s="577">
        <f t="shared" si="1173"/>
        <v>56697.811470707464</v>
      </c>
      <c r="N500" s="577">
        <f t="shared" si="1173"/>
        <v>56810.548259045441</v>
      </c>
      <c r="O500" s="577">
        <f t="shared" si="1173"/>
        <v>56923.290346832393</v>
      </c>
      <c r="P500" s="577">
        <f t="shared" si="1173"/>
        <v>57036.037829265013</v>
      </c>
      <c r="Q500" s="577">
        <f t="shared" si="1173"/>
        <v>57148.790803056989</v>
      </c>
      <c r="R500" s="577">
        <f t="shared" si="1173"/>
        <v>57148.790806926976</v>
      </c>
      <c r="S500" s="577">
        <f t="shared" si="1173"/>
        <v>58502.010058865213</v>
      </c>
      <c r="T500" s="577">
        <f t="shared" si="1173"/>
        <v>59995.870343662478</v>
      </c>
      <c r="U500" s="577">
        <f t="shared" si="1173"/>
        <v>61492.175635643107</v>
      </c>
      <c r="V500" s="577">
        <f t="shared" si="1173"/>
        <v>62699.779847398764</v>
      </c>
      <c r="W500" s="577">
        <f t="shared" si="1173"/>
        <v>63692.353527001855</v>
      </c>
      <c r="X500" s="577">
        <f t="shared" si="1173"/>
        <v>64686.06339517454</v>
      </c>
      <c r="Y500" s="577">
        <f t="shared" si="1173"/>
        <v>65681.077961723931</v>
      </c>
      <c r="Z500" s="577">
        <f t="shared" si="1173"/>
        <v>66677.820324968125</v>
      </c>
      <c r="AA500" s="577">
        <f t="shared" si="1173"/>
        <v>67676.040062310378</v>
      </c>
      <c r="AB500" s="577">
        <f t="shared" si="1173"/>
        <v>68676.444833890913</v>
      </c>
      <c r="AC500" s="577">
        <f t="shared" si="1173"/>
        <v>69678.839386989959</v>
      </c>
      <c r="AD500" s="577">
        <f t="shared" si="1173"/>
        <v>70683.761496630977</v>
      </c>
      <c r="AE500" s="577">
        <f t="shared" si="1173"/>
        <v>71691.787869629625</v>
      </c>
      <c r="AF500" s="577">
        <f t="shared" si="1173"/>
        <v>72702.829691525505</v>
      </c>
      <c r="AG500" s="577">
        <f t="shared" si="1173"/>
        <v>73717.547748755838</v>
      </c>
      <c r="AH500" s="752">
        <f t="shared" si="1173"/>
        <v>74736.655201655274</v>
      </c>
      <c r="AI500" s="18"/>
      <c r="AJ500" s="18"/>
      <c r="AK500" s="18"/>
      <c r="AL500" s="18"/>
      <c r="AM500" s="18"/>
      <c r="AN500" s="18"/>
    </row>
    <row r="501" spans="2:40" ht="21.95" customHeight="1" x14ac:dyDescent="0.2">
      <c r="B501" s="232"/>
      <c r="C501" s="715"/>
      <c r="D501" s="715"/>
      <c r="E501" s="1340"/>
      <c r="F501" s="116"/>
      <c r="G501" s="116"/>
      <c r="H501" s="124" t="s">
        <v>19</v>
      </c>
      <c r="I501" s="577">
        <f t="shared" ref="I501:AH501" si="1174">I410*$D$12</f>
        <v>86607.739806387297</v>
      </c>
      <c r="J501" s="577">
        <f t="shared" si="1174"/>
        <v>86781.298161618193</v>
      </c>
      <c r="K501" s="577">
        <f t="shared" si="1174"/>
        <v>86954.8641183008</v>
      </c>
      <c r="L501" s="577">
        <f t="shared" si="1174"/>
        <v>87128.437808907052</v>
      </c>
      <c r="M501" s="577">
        <f t="shared" si="1174"/>
        <v>87302.01937320226</v>
      </c>
      <c r="N501" s="577">
        <f t="shared" si="1174"/>
        <v>87475.608953192277</v>
      </c>
      <c r="O501" s="577">
        <f t="shared" si="1174"/>
        <v>87649.206693155094</v>
      </c>
      <c r="P501" s="577">
        <f t="shared" si="1174"/>
        <v>87822.812739672387</v>
      </c>
      <c r="Q501" s="577">
        <f t="shared" si="1174"/>
        <v>87996.427241661746</v>
      </c>
      <c r="R501" s="577">
        <f t="shared" si="1174"/>
        <v>87996.427247620653</v>
      </c>
      <c r="S501" s="577">
        <f t="shared" si="1174"/>
        <v>90080.083922974649</v>
      </c>
      <c r="T501" s="577">
        <f t="shared" si="1174"/>
        <v>92380.296508633401</v>
      </c>
      <c r="U501" s="577">
        <f t="shared" si="1174"/>
        <v>94684.273861554815</v>
      </c>
      <c r="V501" s="577">
        <f t="shared" si="1174"/>
        <v>96543.71576160629</v>
      </c>
      <c r="W501" s="577">
        <f t="shared" si="1174"/>
        <v>98072.058467581985</v>
      </c>
      <c r="X501" s="577">
        <f t="shared" si="1174"/>
        <v>99602.150651252494</v>
      </c>
      <c r="Y501" s="577">
        <f t="shared" si="1174"/>
        <v>101134.25178024215</v>
      </c>
      <c r="Z501" s="577">
        <f t="shared" si="1174"/>
        <v>102669.01333185853</v>
      </c>
      <c r="AA501" s="577">
        <f t="shared" si="1174"/>
        <v>104206.04971099972</v>
      </c>
      <c r="AB501" s="577">
        <f t="shared" si="1174"/>
        <v>105746.45055688934</v>
      </c>
      <c r="AC501" s="577">
        <f t="shared" si="1174"/>
        <v>107289.91522376554</v>
      </c>
      <c r="AD501" s="577">
        <f t="shared" si="1174"/>
        <v>108837.27176555667</v>
      </c>
      <c r="AE501" s="577">
        <f t="shared" si="1174"/>
        <v>110389.40818249213</v>
      </c>
      <c r="AF501" s="577">
        <f t="shared" si="1174"/>
        <v>111946.18772005636</v>
      </c>
      <c r="AG501" s="577">
        <f t="shared" si="1174"/>
        <v>113508.62784239562</v>
      </c>
      <c r="AH501" s="752">
        <f t="shared" si="1174"/>
        <v>115077.82665780964</v>
      </c>
      <c r="AI501" s="18"/>
      <c r="AJ501" s="18"/>
      <c r="AK501" s="18"/>
      <c r="AL501" s="18"/>
      <c r="AM501" s="18"/>
      <c r="AN501" s="18"/>
    </row>
    <row r="502" spans="2:40" ht="21.95" customHeight="1" x14ac:dyDescent="0.2">
      <c r="B502" s="232"/>
      <c r="C502" s="715"/>
      <c r="D502" s="715"/>
      <c r="E502" s="1340"/>
      <c r="F502" s="116"/>
      <c r="G502" s="116"/>
      <c r="H502" s="721" t="s">
        <v>25</v>
      </c>
      <c r="I502" s="577">
        <f t="shared" ref="I502:AH502" si="1175">SUM(I500:I501)</f>
        <v>142854.65526953549</v>
      </c>
      <c r="J502" s="577">
        <f t="shared" si="1175"/>
        <v>143140.930134358</v>
      </c>
      <c r="K502" s="577">
        <f t="shared" si="1175"/>
        <v>143427.21753735282</v>
      </c>
      <c r="L502" s="577">
        <f t="shared" si="1175"/>
        <v>143713.51769702503</v>
      </c>
      <c r="M502" s="577">
        <f t="shared" si="1175"/>
        <v>143999.83084390973</v>
      </c>
      <c r="N502" s="577">
        <f t="shared" si="1175"/>
        <v>144286.15721223771</v>
      </c>
      <c r="O502" s="577">
        <f t="shared" si="1175"/>
        <v>144572.49703998747</v>
      </c>
      <c r="P502" s="577">
        <f t="shared" si="1175"/>
        <v>144858.8505689374</v>
      </c>
      <c r="Q502" s="577">
        <f t="shared" si="1175"/>
        <v>145145.21804471873</v>
      </c>
      <c r="R502" s="577">
        <f t="shared" si="1175"/>
        <v>145145.21805454761</v>
      </c>
      <c r="S502" s="577">
        <f t="shared" si="1175"/>
        <v>148582.09398183986</v>
      </c>
      <c r="T502" s="577">
        <f t="shared" si="1175"/>
        <v>152376.16685229586</v>
      </c>
      <c r="U502" s="577">
        <f t="shared" si="1175"/>
        <v>156176.44949719793</v>
      </c>
      <c r="V502" s="577">
        <f t="shared" si="1175"/>
        <v>159243.49560900504</v>
      </c>
      <c r="W502" s="577">
        <f t="shared" si="1175"/>
        <v>161764.41199458385</v>
      </c>
      <c r="X502" s="577">
        <f t="shared" si="1175"/>
        <v>164288.21404642705</v>
      </c>
      <c r="Y502" s="577">
        <f t="shared" si="1175"/>
        <v>166815.3297419661</v>
      </c>
      <c r="Z502" s="577">
        <f t="shared" si="1175"/>
        <v>169346.83365682664</v>
      </c>
      <c r="AA502" s="577">
        <f t="shared" si="1175"/>
        <v>171882.08977331012</v>
      </c>
      <c r="AB502" s="577">
        <f t="shared" si="1175"/>
        <v>174422.89539078024</v>
      </c>
      <c r="AC502" s="577">
        <f t="shared" si="1175"/>
        <v>176968.75461075548</v>
      </c>
      <c r="AD502" s="577">
        <f t="shared" si="1175"/>
        <v>179521.03326218764</v>
      </c>
      <c r="AE502" s="577">
        <f t="shared" si="1175"/>
        <v>182081.19605212176</v>
      </c>
      <c r="AF502" s="577">
        <f t="shared" si="1175"/>
        <v>184649.01741158188</v>
      </c>
      <c r="AG502" s="577">
        <f t="shared" si="1175"/>
        <v>187226.17559115146</v>
      </c>
      <c r="AH502" s="752">
        <f t="shared" si="1175"/>
        <v>189814.4818594649</v>
      </c>
      <c r="AI502" s="18"/>
      <c r="AJ502" s="18"/>
      <c r="AK502" s="18"/>
      <c r="AL502" s="18"/>
      <c r="AM502" s="18"/>
      <c r="AN502" s="18"/>
    </row>
    <row r="503" spans="2:40" ht="21.95" customHeight="1" x14ac:dyDescent="0.2">
      <c r="B503" s="232"/>
      <c r="C503" s="715"/>
      <c r="D503" s="715"/>
      <c r="E503" s="1340"/>
      <c r="F503" s="116" t="s">
        <v>341</v>
      </c>
      <c r="G503" s="116" t="s">
        <v>344</v>
      </c>
      <c r="H503" s="116" t="s">
        <v>20</v>
      </c>
      <c r="I503" s="577">
        <f t="shared" ref="I503:AH503" si="1176">I412*$D$11</f>
        <v>58148.218433797614</v>
      </c>
      <c r="J503" s="577">
        <f t="shared" si="1176"/>
        <v>58265.737391415874</v>
      </c>
      <c r="K503" s="577">
        <f t="shared" si="1176"/>
        <v>58383.283451959884</v>
      </c>
      <c r="L503" s="577">
        <f t="shared" si="1176"/>
        <v>58500.857087757679</v>
      </c>
      <c r="M503" s="577">
        <f t="shared" si="1176"/>
        <v>58618.458797141349</v>
      </c>
      <c r="N503" s="577">
        <f t="shared" si="1176"/>
        <v>58736.089086431952</v>
      </c>
      <c r="O503" s="577">
        <f t="shared" si="1176"/>
        <v>58853.748470051556</v>
      </c>
      <c r="P503" s="577">
        <f t="shared" si="1176"/>
        <v>58971.437470636236</v>
      </c>
      <c r="Q503" s="577">
        <f t="shared" si="1176"/>
        <v>59089.156619150803</v>
      </c>
      <c r="R503" s="577">
        <f t="shared" si="1176"/>
        <v>59089.156640397268</v>
      </c>
      <c r="S503" s="577">
        <f t="shared" si="1176"/>
        <v>59371.519707819221</v>
      </c>
      <c r="T503" s="577">
        <f t="shared" si="1176"/>
        <v>60371.496336841257</v>
      </c>
      <c r="U503" s="577">
        <f t="shared" si="1176"/>
        <v>61348.555644806373</v>
      </c>
      <c r="V503" s="577">
        <f t="shared" si="1176"/>
        <v>62010.467543794737</v>
      </c>
      <c r="W503" s="577">
        <f t="shared" si="1176"/>
        <v>62437.081669424755</v>
      </c>
      <c r="X503" s="577">
        <f t="shared" si="1176"/>
        <v>63426.15056972122</v>
      </c>
      <c r="Y503" s="577">
        <f t="shared" si="1176"/>
        <v>64419.186320934103</v>
      </c>
      <c r="Z503" s="577">
        <f t="shared" si="1176"/>
        <v>65417.000877088445</v>
      </c>
      <c r="AA503" s="577">
        <f t="shared" si="1176"/>
        <v>66419.781356206498</v>
      </c>
      <c r="AB503" s="577">
        <f t="shared" si="1176"/>
        <v>67428.730786294749</v>
      </c>
      <c r="AC503" s="577">
        <f t="shared" si="1176"/>
        <v>68444.204019163866</v>
      </c>
      <c r="AD503" s="577">
        <f t="shared" si="1176"/>
        <v>69467.361819364523</v>
      </c>
      <c r="AE503" s="577">
        <f t="shared" si="1176"/>
        <v>70499.483316347338</v>
      </c>
      <c r="AF503" s="577">
        <f t="shared" si="1176"/>
        <v>71541.246967728905</v>
      </c>
      <c r="AG503" s="577">
        <f t="shared" si="1176"/>
        <v>72594.187531470045</v>
      </c>
      <c r="AH503" s="752">
        <f t="shared" si="1176"/>
        <v>73659.998998662602</v>
      </c>
      <c r="AI503" s="18"/>
      <c r="AJ503" s="18"/>
      <c r="AK503" s="18"/>
      <c r="AL503" s="18"/>
      <c r="AM503" s="18"/>
      <c r="AN503" s="18"/>
    </row>
    <row r="504" spans="2:40" ht="21.95" customHeight="1" x14ac:dyDescent="0.2">
      <c r="B504" s="232"/>
      <c r="C504" s="715"/>
      <c r="D504" s="715"/>
      <c r="E504" s="1340"/>
      <c r="F504" s="116"/>
      <c r="G504" s="116"/>
      <c r="H504" s="124" t="s">
        <v>19</v>
      </c>
      <c r="I504" s="577">
        <f t="shared" ref="I504:AH504" si="1177">I413*$D$12</f>
        <v>89535.323507986061</v>
      </c>
      <c r="J504" s="577">
        <f t="shared" si="1177"/>
        <v>89716.276565054373</v>
      </c>
      <c r="K504" s="577">
        <f t="shared" si="1177"/>
        <v>89897.271354600322</v>
      </c>
      <c r="L504" s="577">
        <f t="shared" si="1177"/>
        <v>90078.308603904035</v>
      </c>
      <c r="M504" s="577">
        <f t="shared" si="1177"/>
        <v>90259.38908028607</v>
      </c>
      <c r="N504" s="577">
        <f t="shared" si="1177"/>
        <v>90440.513563368266</v>
      </c>
      <c r="O504" s="577">
        <f t="shared" si="1177"/>
        <v>90621.682845246178</v>
      </c>
      <c r="P504" s="577">
        <f t="shared" si="1177"/>
        <v>90802.897730663157</v>
      </c>
      <c r="Q504" s="577">
        <f t="shared" si="1177"/>
        <v>90984.159037186851</v>
      </c>
      <c r="R504" s="577">
        <f t="shared" si="1177"/>
        <v>90984.159069901696</v>
      </c>
      <c r="S504" s="577">
        <f t="shared" si="1177"/>
        <v>91418.935392707092</v>
      </c>
      <c r="T504" s="577">
        <f t="shared" si="1177"/>
        <v>92958.676994280802</v>
      </c>
      <c r="U504" s="577">
        <f t="shared" si="1177"/>
        <v>94463.131018521352</v>
      </c>
      <c r="V504" s="577">
        <f t="shared" si="1177"/>
        <v>95482.328125603526</v>
      </c>
      <c r="W504" s="577">
        <f t="shared" si="1177"/>
        <v>96139.218994837094</v>
      </c>
      <c r="X504" s="577">
        <f t="shared" si="1177"/>
        <v>97662.165120186648</v>
      </c>
      <c r="Y504" s="577">
        <f t="shared" si="1177"/>
        <v>99191.219313670968</v>
      </c>
      <c r="Z504" s="577">
        <f t="shared" si="1177"/>
        <v>100727.63180390006</v>
      </c>
      <c r="AA504" s="577">
        <f t="shared" si="1177"/>
        <v>102271.69071101084</v>
      </c>
      <c r="AB504" s="577">
        <f t="shared" si="1177"/>
        <v>103825.24843056504</v>
      </c>
      <c r="AC504" s="577">
        <f t="shared" si="1177"/>
        <v>105388.85135542767</v>
      </c>
      <c r="AD504" s="577">
        <f t="shared" si="1177"/>
        <v>106964.28680483843</v>
      </c>
      <c r="AE504" s="577">
        <f t="shared" si="1177"/>
        <v>108553.52435365715</v>
      </c>
      <c r="AF504" s="577">
        <f t="shared" si="1177"/>
        <v>110157.60867571601</v>
      </c>
      <c r="AG504" s="577">
        <f t="shared" si="1177"/>
        <v>111778.90295692564</v>
      </c>
      <c r="AH504" s="752">
        <f t="shared" si="1177"/>
        <v>113420.01556680296</v>
      </c>
      <c r="AI504" s="18"/>
      <c r="AJ504" s="18"/>
      <c r="AK504" s="18"/>
      <c r="AL504" s="18"/>
      <c r="AM504" s="18"/>
      <c r="AN504" s="18"/>
    </row>
    <row r="505" spans="2:40" ht="21.95" customHeight="1" x14ac:dyDescent="0.2">
      <c r="B505" s="232"/>
      <c r="C505" s="715"/>
      <c r="D505" s="715"/>
      <c r="E505" s="1340"/>
      <c r="F505" s="116"/>
      <c r="G505" s="116"/>
      <c r="H505" s="721" t="s">
        <v>25</v>
      </c>
      <c r="I505" s="577">
        <f t="shared" ref="I505:AH505" si="1178">SUM(I503:I504)</f>
        <v>147683.54194178368</v>
      </c>
      <c r="J505" s="577">
        <f t="shared" si="1178"/>
        <v>147982.01395647024</v>
      </c>
      <c r="K505" s="577">
        <f t="shared" si="1178"/>
        <v>148280.55480656022</v>
      </c>
      <c r="L505" s="577">
        <f t="shared" si="1178"/>
        <v>148579.16569166171</v>
      </c>
      <c r="M505" s="577">
        <f t="shared" si="1178"/>
        <v>148877.84787742741</v>
      </c>
      <c r="N505" s="577">
        <f t="shared" si="1178"/>
        <v>149176.60264980022</v>
      </c>
      <c r="O505" s="577">
        <f t="shared" si="1178"/>
        <v>149475.43131529773</v>
      </c>
      <c r="P505" s="577">
        <f t="shared" si="1178"/>
        <v>149774.3352012994</v>
      </c>
      <c r="Q505" s="577">
        <f t="shared" si="1178"/>
        <v>150073.31565633765</v>
      </c>
      <c r="R505" s="577">
        <f t="shared" si="1178"/>
        <v>150073.31571029895</v>
      </c>
      <c r="S505" s="577">
        <f t="shared" si="1178"/>
        <v>150790.45510052631</v>
      </c>
      <c r="T505" s="577">
        <f t="shared" si="1178"/>
        <v>153330.17333112206</v>
      </c>
      <c r="U505" s="577">
        <f t="shared" si="1178"/>
        <v>155811.68666332774</v>
      </c>
      <c r="V505" s="577">
        <f t="shared" si="1178"/>
        <v>157492.79566939827</v>
      </c>
      <c r="W505" s="577">
        <f t="shared" si="1178"/>
        <v>158576.30066426186</v>
      </c>
      <c r="X505" s="577">
        <f t="shared" si="1178"/>
        <v>161088.31568990787</v>
      </c>
      <c r="Y505" s="577">
        <f t="shared" si="1178"/>
        <v>163610.40563460506</v>
      </c>
      <c r="Z505" s="577">
        <f t="shared" si="1178"/>
        <v>166144.63268098852</v>
      </c>
      <c r="AA505" s="577">
        <f t="shared" si="1178"/>
        <v>168691.47206721734</v>
      </c>
      <c r="AB505" s="577">
        <f t="shared" si="1178"/>
        <v>171253.97921685979</v>
      </c>
      <c r="AC505" s="577">
        <f t="shared" si="1178"/>
        <v>173833.05537459155</v>
      </c>
      <c r="AD505" s="577">
        <f t="shared" si="1178"/>
        <v>176431.64862420294</v>
      </c>
      <c r="AE505" s="577">
        <f t="shared" si="1178"/>
        <v>179053.0076700045</v>
      </c>
      <c r="AF505" s="577">
        <f t="shared" si="1178"/>
        <v>181698.85564344493</v>
      </c>
      <c r="AG505" s="577">
        <f t="shared" si="1178"/>
        <v>184373.09048839568</v>
      </c>
      <c r="AH505" s="752">
        <f t="shared" si="1178"/>
        <v>187080.01456546556</v>
      </c>
      <c r="AI505" s="18"/>
      <c r="AJ505" s="18"/>
      <c r="AK505" s="18"/>
      <c r="AL505" s="18"/>
      <c r="AM505" s="18"/>
      <c r="AN505" s="18"/>
    </row>
    <row r="506" spans="2:40" ht="21.95" customHeight="1" x14ac:dyDescent="0.2">
      <c r="B506" s="232"/>
      <c r="C506" s="715"/>
      <c r="D506" s="715"/>
      <c r="E506" s="1340"/>
      <c r="F506" s="116" t="s">
        <v>344</v>
      </c>
      <c r="G506" s="116" t="s">
        <v>345</v>
      </c>
      <c r="H506" s="116" t="s">
        <v>20</v>
      </c>
      <c r="I506" s="577">
        <f t="shared" ref="I506:AH506" si="1179">I415*$D$11</f>
        <v>19607.869550950632</v>
      </c>
      <c r="J506" s="577">
        <f t="shared" si="1179"/>
        <v>19647.236917896884</v>
      </c>
      <c r="K506" s="577">
        <f t="shared" si="1179"/>
        <v>19686.607646387889</v>
      </c>
      <c r="L506" s="577">
        <f t="shared" si="1179"/>
        <v>19725.981795005941</v>
      </c>
      <c r="M506" s="577">
        <f t="shared" si="1179"/>
        <v>19765.359425558596</v>
      </c>
      <c r="N506" s="577">
        <f t="shared" si="1179"/>
        <v>19804.740600844278</v>
      </c>
      <c r="O506" s="577">
        <f t="shared" si="1179"/>
        <v>19844.125384666164</v>
      </c>
      <c r="P506" s="577">
        <f t="shared" si="1179"/>
        <v>19883.513841846212</v>
      </c>
      <c r="Q506" s="577">
        <f t="shared" si="1179"/>
        <v>19922.906038239365</v>
      </c>
      <c r="R506" s="577">
        <f t="shared" si="1179"/>
        <v>19922.906040874543</v>
      </c>
      <c r="S506" s="577">
        <f t="shared" si="1179"/>
        <v>20017.366274445743</v>
      </c>
      <c r="T506" s="577">
        <f t="shared" si="1179"/>
        <v>20351.570909190701</v>
      </c>
      <c r="U506" s="577">
        <f t="shared" si="1179"/>
        <v>20677.576427451291</v>
      </c>
      <c r="V506" s="577">
        <f t="shared" si="1179"/>
        <v>20898.087964563168</v>
      </c>
      <c r="W506" s="577">
        <f t="shared" si="1179"/>
        <v>21040.051180945782</v>
      </c>
      <c r="X506" s="577">
        <f t="shared" si="1179"/>
        <v>21368.651131155075</v>
      </c>
      <c r="Y506" s="577">
        <f t="shared" si="1179"/>
        <v>21697.743085326667</v>
      </c>
      <c r="Z506" s="577">
        <f t="shared" si="1179"/>
        <v>22027.475806798331</v>
      </c>
      <c r="AA506" s="577">
        <f t="shared" si="1179"/>
        <v>22357.776388377886</v>
      </c>
      <c r="AB506" s="577">
        <f t="shared" si="1179"/>
        <v>22688.890155472549</v>
      </c>
      <c r="AC506" s="577">
        <f t="shared" si="1179"/>
        <v>23020.765004719236</v>
      </c>
      <c r="AD506" s="577">
        <f t="shared" si="1179"/>
        <v>23353.592962024515</v>
      </c>
      <c r="AE506" s="577">
        <f t="shared" si="1179"/>
        <v>23687.580733957533</v>
      </c>
      <c r="AF506" s="577">
        <f t="shared" si="1179"/>
        <v>24022.71635361158</v>
      </c>
      <c r="AG506" s="577">
        <f t="shared" si="1179"/>
        <v>24359.238232866275</v>
      </c>
      <c r="AH506" s="752">
        <f t="shared" si="1179"/>
        <v>24697.404533103545</v>
      </c>
      <c r="AI506" s="18"/>
      <c r="AJ506" s="18"/>
      <c r="AK506" s="18"/>
      <c r="AL506" s="18"/>
      <c r="AM506" s="18"/>
      <c r="AN506" s="18"/>
    </row>
    <row r="507" spans="2:40" ht="21.95" customHeight="1" x14ac:dyDescent="0.2">
      <c r="B507" s="232"/>
      <c r="C507" s="715"/>
      <c r="D507" s="715"/>
      <c r="E507" s="1340"/>
      <c r="F507" s="116"/>
      <c r="G507" s="116"/>
      <c r="H507" s="124" t="s">
        <v>19</v>
      </c>
      <c r="I507" s="577">
        <f t="shared" ref="I507:AH507" si="1180">I416*$D$12</f>
        <v>30191.758076741775</v>
      </c>
      <c r="J507" s="577">
        <f t="shared" si="1180"/>
        <v>30252.37506605166</v>
      </c>
      <c r="K507" s="577">
        <f t="shared" si="1180"/>
        <v>30312.997231392812</v>
      </c>
      <c r="L507" s="577">
        <f t="shared" si="1180"/>
        <v>30373.624662968941</v>
      </c>
      <c r="M507" s="577">
        <f t="shared" si="1180"/>
        <v>30434.25745594993</v>
      </c>
      <c r="N507" s="577">
        <f t="shared" si="1180"/>
        <v>30494.895707031392</v>
      </c>
      <c r="O507" s="577">
        <f t="shared" si="1180"/>
        <v>30555.539514456024</v>
      </c>
      <c r="P507" s="577">
        <f t="shared" si="1180"/>
        <v>30616.188978035229</v>
      </c>
      <c r="Q507" s="577">
        <f t="shared" si="1180"/>
        <v>30676.844199170966</v>
      </c>
      <c r="R507" s="577">
        <f t="shared" si="1180"/>
        <v>30676.844203228549</v>
      </c>
      <c r="S507" s="577">
        <f t="shared" si="1180"/>
        <v>30822.291953808672</v>
      </c>
      <c r="T507" s="577">
        <f t="shared" si="1180"/>
        <v>31336.892760088333</v>
      </c>
      <c r="U507" s="577">
        <f t="shared" si="1180"/>
        <v>31838.868750566566</v>
      </c>
      <c r="V507" s="577">
        <f t="shared" si="1180"/>
        <v>32178.407473236697</v>
      </c>
      <c r="W507" s="577">
        <f t="shared" si="1180"/>
        <v>32396.999252097867</v>
      </c>
      <c r="X507" s="577">
        <f t="shared" si="1180"/>
        <v>32902.970090743482</v>
      </c>
      <c r="Y507" s="577">
        <f t="shared" si="1180"/>
        <v>33409.698506063301</v>
      </c>
      <c r="Z507" s="577">
        <f t="shared" si="1180"/>
        <v>33917.413560510686</v>
      </c>
      <c r="AA507" s="577">
        <f t="shared" si="1180"/>
        <v>34426.002993225142</v>
      </c>
      <c r="AB507" s="577">
        <f t="shared" si="1180"/>
        <v>34935.844550770387</v>
      </c>
      <c r="AC507" s="577">
        <f t="shared" si="1180"/>
        <v>35446.858005555703</v>
      </c>
      <c r="AD507" s="577">
        <f t="shared" si="1180"/>
        <v>35959.339034768287</v>
      </c>
      <c r="AE507" s="577">
        <f t="shared" si="1180"/>
        <v>36473.605920550515</v>
      </c>
      <c r="AF507" s="577">
        <f t="shared" si="1180"/>
        <v>36989.640236527659</v>
      </c>
      <c r="AG507" s="577">
        <f t="shared" si="1180"/>
        <v>37507.809083968597</v>
      </c>
      <c r="AH507" s="752">
        <f t="shared" si="1180"/>
        <v>38028.509973983208</v>
      </c>
      <c r="AI507" s="18"/>
      <c r="AJ507" s="18"/>
      <c r="AK507" s="18"/>
      <c r="AL507" s="18"/>
      <c r="AM507" s="18"/>
      <c r="AN507" s="18"/>
    </row>
    <row r="508" spans="2:40" ht="21.95" customHeight="1" x14ac:dyDescent="0.2">
      <c r="B508" s="232"/>
      <c r="C508" s="715"/>
      <c r="D508" s="715"/>
      <c r="E508" s="1340"/>
      <c r="F508" s="116"/>
      <c r="G508" s="116"/>
      <c r="H508" s="721" t="s">
        <v>25</v>
      </c>
      <c r="I508" s="577">
        <f t="shared" ref="I508:AH508" si="1181">SUM(I506:I507)</f>
        <v>49799.627627692404</v>
      </c>
      <c r="J508" s="577">
        <f t="shared" si="1181"/>
        <v>49899.611983948547</v>
      </c>
      <c r="K508" s="577">
        <f t="shared" si="1181"/>
        <v>49999.604877780701</v>
      </c>
      <c r="L508" s="577">
        <f t="shared" si="1181"/>
        <v>50099.606457974878</v>
      </c>
      <c r="M508" s="577">
        <f t="shared" si="1181"/>
        <v>50199.616881508526</v>
      </c>
      <c r="N508" s="577">
        <f t="shared" si="1181"/>
        <v>50299.636307875669</v>
      </c>
      <c r="O508" s="577">
        <f t="shared" si="1181"/>
        <v>50399.664899122188</v>
      </c>
      <c r="P508" s="577">
        <f t="shared" si="1181"/>
        <v>50499.702819881437</v>
      </c>
      <c r="Q508" s="577">
        <f t="shared" si="1181"/>
        <v>50599.750237410335</v>
      </c>
      <c r="R508" s="577">
        <f t="shared" si="1181"/>
        <v>50599.750244103096</v>
      </c>
      <c r="S508" s="577">
        <f t="shared" si="1181"/>
        <v>50839.658228254411</v>
      </c>
      <c r="T508" s="577">
        <f t="shared" si="1181"/>
        <v>51688.463669279037</v>
      </c>
      <c r="U508" s="577">
        <f t="shared" si="1181"/>
        <v>52516.445178017857</v>
      </c>
      <c r="V508" s="577">
        <f t="shared" si="1181"/>
        <v>53076.495437799866</v>
      </c>
      <c r="W508" s="577">
        <f t="shared" si="1181"/>
        <v>53437.050433043652</v>
      </c>
      <c r="X508" s="577">
        <f t="shared" si="1181"/>
        <v>54271.62122189856</v>
      </c>
      <c r="Y508" s="577">
        <f t="shared" si="1181"/>
        <v>55107.441591389972</v>
      </c>
      <c r="Z508" s="577">
        <f t="shared" si="1181"/>
        <v>55944.889367309021</v>
      </c>
      <c r="AA508" s="577">
        <f t="shared" si="1181"/>
        <v>56783.779381603032</v>
      </c>
      <c r="AB508" s="577">
        <f t="shared" si="1181"/>
        <v>57624.734706242933</v>
      </c>
      <c r="AC508" s="577">
        <f t="shared" si="1181"/>
        <v>58467.62301027494</v>
      </c>
      <c r="AD508" s="577">
        <f t="shared" si="1181"/>
        <v>59312.931996792802</v>
      </c>
      <c r="AE508" s="577">
        <f t="shared" si="1181"/>
        <v>60161.186654508048</v>
      </c>
      <c r="AF508" s="577">
        <f t="shared" si="1181"/>
        <v>61012.356590139243</v>
      </c>
      <c r="AG508" s="577">
        <f t="shared" si="1181"/>
        <v>61867.047316834869</v>
      </c>
      <c r="AH508" s="752">
        <f t="shared" si="1181"/>
        <v>62725.914507086753</v>
      </c>
      <c r="AI508" s="18"/>
      <c r="AJ508" s="18"/>
      <c r="AK508" s="18"/>
      <c r="AL508" s="18"/>
      <c r="AM508" s="18"/>
      <c r="AN508" s="18"/>
    </row>
    <row r="509" spans="2:40" ht="21.95" customHeight="1" x14ac:dyDescent="0.2">
      <c r="B509" s="232"/>
      <c r="C509" s="715"/>
      <c r="D509" s="715"/>
      <c r="E509" s="1340"/>
      <c r="F509" s="116" t="s">
        <v>345</v>
      </c>
      <c r="G509" s="116" t="s">
        <v>323</v>
      </c>
      <c r="H509" s="116" t="s">
        <v>20</v>
      </c>
      <c r="I509" s="577">
        <f t="shared" ref="I509:AH509" si="1182">I418*$D$11</f>
        <v>193707.18241446215</v>
      </c>
      <c r="J509" s="577">
        <f t="shared" si="1182"/>
        <v>198170.1113230068</v>
      </c>
      <c r="K509" s="577">
        <f t="shared" si="1182"/>
        <v>204706.3407034007</v>
      </c>
      <c r="L509" s="577">
        <f t="shared" si="1182"/>
        <v>212562.32629607001</v>
      </c>
      <c r="M509" s="577">
        <f t="shared" si="1182"/>
        <v>220446.26205258138</v>
      </c>
      <c r="N509" s="577">
        <f t="shared" si="1182"/>
        <v>228366.66176939197</v>
      </c>
      <c r="O509" s="577">
        <f t="shared" si="1182"/>
        <v>236333.1265011963</v>
      </c>
      <c r="P509" s="577">
        <f t="shared" si="1182"/>
        <v>244369.9967534598</v>
      </c>
      <c r="Q509" s="577">
        <f t="shared" si="1182"/>
        <v>251354.03733602061</v>
      </c>
      <c r="R509" s="577">
        <f t="shared" si="1182"/>
        <v>258421.37299938817</v>
      </c>
      <c r="S509" s="577">
        <f t="shared" si="1182"/>
        <v>265595.20526288985</v>
      </c>
      <c r="T509" s="577">
        <f t="shared" si="1182"/>
        <v>272902.86115095968</v>
      </c>
      <c r="U509" s="577">
        <f t="shared" si="1182"/>
        <v>280382.95605440321</v>
      </c>
      <c r="V509" s="577">
        <f t="shared" si="1182"/>
        <v>286563.25144918286</v>
      </c>
      <c r="W509" s="577">
        <f t="shared" si="1182"/>
        <v>291757.16534019331</v>
      </c>
      <c r="X509" s="577">
        <f t="shared" si="1182"/>
        <v>297076.48013534956</v>
      </c>
      <c r="Y509" s="577">
        <f t="shared" si="1182"/>
        <v>302539.79422820837</v>
      </c>
      <c r="Z509" s="577">
        <f t="shared" si="1182"/>
        <v>308169.45104596234</v>
      </c>
      <c r="AA509" s="577">
        <f t="shared" si="1182"/>
        <v>313986.51919526386</v>
      </c>
      <c r="AB509" s="577">
        <f t="shared" si="1182"/>
        <v>320020.39528526505</v>
      </c>
      <c r="AC509" s="577">
        <f t="shared" si="1182"/>
        <v>326298.23701085721</v>
      </c>
      <c r="AD509" s="577">
        <f t="shared" si="1182"/>
        <v>332855.04464416835</v>
      </c>
      <c r="AE509" s="577">
        <f t="shared" si="1182"/>
        <v>339730.11535138957</v>
      </c>
      <c r="AF509" s="577">
        <f t="shared" si="1182"/>
        <v>346962.35439672624</v>
      </c>
      <c r="AG509" s="577">
        <f t="shared" si="1182"/>
        <v>354600.33879731136</v>
      </c>
      <c r="AH509" s="752">
        <f t="shared" si="1182"/>
        <v>362698.42606682959</v>
      </c>
      <c r="AI509" s="18"/>
      <c r="AJ509" s="18"/>
      <c r="AK509" s="18"/>
      <c r="AL509" s="18"/>
      <c r="AM509" s="18"/>
      <c r="AN509" s="18"/>
    </row>
    <row r="510" spans="2:40" ht="21.95" customHeight="1" x14ac:dyDescent="0.2">
      <c r="B510" s="232"/>
      <c r="C510" s="715"/>
      <c r="D510" s="715"/>
      <c r="E510" s="1340"/>
      <c r="F510" s="116"/>
      <c r="G510" s="116"/>
      <c r="H510" s="124" t="s">
        <v>19</v>
      </c>
      <c r="I510" s="577">
        <f t="shared" ref="I510:AH510" si="1183">I419*$D$12</f>
        <v>298265.97805477487</v>
      </c>
      <c r="J510" s="577">
        <f t="shared" si="1183"/>
        <v>305137.89596356906</v>
      </c>
      <c r="K510" s="577">
        <f t="shared" si="1183"/>
        <v>315202.23547144671</v>
      </c>
      <c r="L510" s="577">
        <f t="shared" si="1183"/>
        <v>327298.70601618988</v>
      </c>
      <c r="M510" s="577">
        <f t="shared" si="1183"/>
        <v>339438.21359678911</v>
      </c>
      <c r="N510" s="577">
        <f t="shared" si="1183"/>
        <v>351633.86756621517</v>
      </c>
      <c r="O510" s="577">
        <f t="shared" si="1183"/>
        <v>363900.45141330478</v>
      </c>
      <c r="P510" s="577">
        <f t="shared" si="1183"/>
        <v>376275.44410284649</v>
      </c>
      <c r="Q510" s="577">
        <f t="shared" si="1183"/>
        <v>387029.31326333369</v>
      </c>
      <c r="R510" s="577">
        <f t="shared" si="1183"/>
        <v>397911.43832241115</v>
      </c>
      <c r="S510" s="577">
        <f t="shared" si="1183"/>
        <v>408957.54445953952</v>
      </c>
      <c r="T510" s="577">
        <f t="shared" si="1183"/>
        <v>420209.70921448024</v>
      </c>
      <c r="U510" s="577">
        <f t="shared" si="1183"/>
        <v>431727.39170053526</v>
      </c>
      <c r="V510" s="577">
        <f t="shared" si="1183"/>
        <v>441243.6720346699</v>
      </c>
      <c r="W510" s="577">
        <f t="shared" si="1183"/>
        <v>449241.14423639682</v>
      </c>
      <c r="X510" s="577">
        <f t="shared" si="1183"/>
        <v>457431.70593980252</v>
      </c>
      <c r="Y510" s="577">
        <f t="shared" si="1183"/>
        <v>465843.99453445256</v>
      </c>
      <c r="Z510" s="577">
        <f t="shared" si="1183"/>
        <v>474512.41392877005</v>
      </c>
      <c r="AA510" s="577">
        <f t="shared" si="1183"/>
        <v>483469.40509108204</v>
      </c>
      <c r="AB510" s="577">
        <f t="shared" si="1183"/>
        <v>492760.23226131487</v>
      </c>
      <c r="AC510" s="577">
        <f t="shared" si="1183"/>
        <v>502426.7122493952</v>
      </c>
      <c r="AD510" s="577">
        <f t="shared" si="1183"/>
        <v>512522.73768990842</v>
      </c>
      <c r="AE510" s="577">
        <f t="shared" si="1183"/>
        <v>523108.81747861521</v>
      </c>
      <c r="AF510" s="577">
        <f t="shared" si="1183"/>
        <v>534244.85706938163</v>
      </c>
      <c r="AG510" s="577">
        <f t="shared" si="1183"/>
        <v>546005.65426446567</v>
      </c>
      <c r="AH510" s="752">
        <f t="shared" si="1183"/>
        <v>558474.90754516097</v>
      </c>
      <c r="AI510" s="18"/>
      <c r="AJ510" s="18"/>
      <c r="AK510" s="18"/>
      <c r="AL510" s="18"/>
      <c r="AM510" s="18"/>
      <c r="AN510" s="18"/>
    </row>
    <row r="511" spans="2:40" ht="21.95" customHeight="1" x14ac:dyDescent="0.2">
      <c r="B511" s="232"/>
      <c r="C511" s="715"/>
      <c r="D511" s="715"/>
      <c r="E511" s="1340"/>
      <c r="F511" s="116"/>
      <c r="G511" s="116"/>
      <c r="H511" s="721" t="s">
        <v>25</v>
      </c>
      <c r="I511" s="577">
        <f t="shared" ref="I511:AH511" si="1184">SUM(I509:I510)</f>
        <v>491973.16046923702</v>
      </c>
      <c r="J511" s="577">
        <f t="shared" si="1184"/>
        <v>503308.00728657586</v>
      </c>
      <c r="K511" s="577">
        <f t="shared" si="1184"/>
        <v>519908.57617484743</v>
      </c>
      <c r="L511" s="577">
        <f t="shared" si="1184"/>
        <v>539861.03231225989</v>
      </c>
      <c r="M511" s="577">
        <f t="shared" si="1184"/>
        <v>559884.47564937046</v>
      </c>
      <c r="N511" s="577">
        <f t="shared" si="1184"/>
        <v>580000.52933560708</v>
      </c>
      <c r="O511" s="577">
        <f t="shared" si="1184"/>
        <v>600233.57791450107</v>
      </c>
      <c r="P511" s="577">
        <f t="shared" si="1184"/>
        <v>620645.44085630635</v>
      </c>
      <c r="Q511" s="577">
        <f t="shared" si="1184"/>
        <v>638383.35059935437</v>
      </c>
      <c r="R511" s="577">
        <f t="shared" si="1184"/>
        <v>656332.81132179929</v>
      </c>
      <c r="S511" s="577">
        <f t="shared" si="1184"/>
        <v>674552.74972242932</v>
      </c>
      <c r="T511" s="577">
        <f t="shared" si="1184"/>
        <v>693112.57036543987</v>
      </c>
      <c r="U511" s="577">
        <f t="shared" si="1184"/>
        <v>712110.34775493853</v>
      </c>
      <c r="V511" s="577">
        <f t="shared" si="1184"/>
        <v>727806.92348385276</v>
      </c>
      <c r="W511" s="577">
        <f t="shared" si="1184"/>
        <v>740998.30957659008</v>
      </c>
      <c r="X511" s="577">
        <f t="shared" si="1184"/>
        <v>754508.18607515213</v>
      </c>
      <c r="Y511" s="577">
        <f t="shared" si="1184"/>
        <v>768383.78876266093</v>
      </c>
      <c r="Z511" s="577">
        <f t="shared" si="1184"/>
        <v>782681.86497473239</v>
      </c>
      <c r="AA511" s="577">
        <f t="shared" si="1184"/>
        <v>797455.92428634595</v>
      </c>
      <c r="AB511" s="577">
        <f t="shared" si="1184"/>
        <v>812780.62754657993</v>
      </c>
      <c r="AC511" s="577">
        <f t="shared" si="1184"/>
        <v>828724.94926025241</v>
      </c>
      <c r="AD511" s="577">
        <f t="shared" si="1184"/>
        <v>845377.78233407671</v>
      </c>
      <c r="AE511" s="577">
        <f t="shared" si="1184"/>
        <v>862838.93283000472</v>
      </c>
      <c r="AF511" s="577">
        <f t="shared" si="1184"/>
        <v>881207.21146610787</v>
      </c>
      <c r="AG511" s="577">
        <f t="shared" si="1184"/>
        <v>900605.99306177697</v>
      </c>
      <c r="AH511" s="752">
        <f t="shared" si="1184"/>
        <v>921173.33361199056</v>
      </c>
      <c r="AI511" s="18"/>
      <c r="AJ511" s="18"/>
      <c r="AK511" s="18"/>
      <c r="AL511" s="18"/>
      <c r="AM511" s="18"/>
      <c r="AN511" s="18"/>
    </row>
    <row r="512" spans="2:40" ht="21.95" customHeight="1" x14ac:dyDescent="0.2">
      <c r="B512" s="232"/>
      <c r="C512" s="715"/>
      <c r="D512" s="715"/>
      <c r="E512" s="1340"/>
      <c r="F512" s="116" t="s">
        <v>323</v>
      </c>
      <c r="G512" s="116" t="s">
        <v>347</v>
      </c>
      <c r="H512" s="116" t="s">
        <v>20</v>
      </c>
      <c r="I512" s="577">
        <f t="shared" ref="I512:AH512" si="1185">I421*$D$11</f>
        <v>34590.568288296825</v>
      </c>
      <c r="J512" s="577">
        <f t="shared" si="1185"/>
        <v>35357.686710614893</v>
      </c>
      <c r="K512" s="577">
        <f t="shared" si="1185"/>
        <v>36494.876068667043</v>
      </c>
      <c r="L512" s="577">
        <f t="shared" si="1185"/>
        <v>37941.235456245384</v>
      </c>
      <c r="M512" s="577">
        <f t="shared" si="1185"/>
        <v>39392.923683473113</v>
      </c>
      <c r="N512" s="577">
        <f t="shared" si="1185"/>
        <v>40851.358702881145</v>
      </c>
      <c r="O512" s="577">
        <f t="shared" si="1185"/>
        <v>42318.869764210722</v>
      </c>
      <c r="P512" s="577">
        <f t="shared" si="1185"/>
        <v>43800.050857906113</v>
      </c>
      <c r="Q512" s="577">
        <f t="shared" si="1185"/>
        <v>45130.65262574557</v>
      </c>
      <c r="R512" s="577">
        <f t="shared" si="1185"/>
        <v>46479.159039492777</v>
      </c>
      <c r="S512" s="577">
        <f t="shared" si="1185"/>
        <v>47850.400181278063</v>
      </c>
      <c r="T512" s="577">
        <f t="shared" si="1185"/>
        <v>49250.853357957916</v>
      </c>
      <c r="U512" s="577">
        <f t="shared" si="1185"/>
        <v>50689.064971266802</v>
      </c>
      <c r="V512" s="577">
        <f t="shared" si="1185"/>
        <v>51814.160579261348</v>
      </c>
      <c r="W512" s="577">
        <f t="shared" si="1185"/>
        <v>52721.173397853025</v>
      </c>
      <c r="X512" s="577">
        <f t="shared" si="1185"/>
        <v>53650.912141612855</v>
      </c>
      <c r="Y512" s="577">
        <f t="shared" si="1185"/>
        <v>54606.57929588858</v>
      </c>
      <c r="Z512" s="577">
        <f t="shared" si="1185"/>
        <v>55591.9336970648</v>
      </c>
      <c r="AA512" s="577">
        <f t="shared" si="1185"/>
        <v>56610.691386464896</v>
      </c>
      <c r="AB512" s="577">
        <f t="shared" si="1185"/>
        <v>57667.699963694999</v>
      </c>
      <c r="AC512" s="577">
        <f t="shared" si="1185"/>
        <v>58767.667715908639</v>
      </c>
      <c r="AD512" s="577">
        <f t="shared" si="1185"/>
        <v>59916.398179729687</v>
      </c>
      <c r="AE512" s="577">
        <f t="shared" si="1185"/>
        <v>61120.372109351767</v>
      </c>
      <c r="AF512" s="577">
        <f t="shared" si="1185"/>
        <v>62386.191975982765</v>
      </c>
      <c r="AG512" s="577">
        <f t="shared" si="1185"/>
        <v>63721.816775287065</v>
      </c>
      <c r="AH512" s="752">
        <f t="shared" si="1185"/>
        <v>65136.1041016214</v>
      </c>
      <c r="AI512" s="18"/>
      <c r="AJ512" s="18"/>
      <c r="AK512" s="18"/>
      <c r="AL512" s="18"/>
      <c r="AM512" s="18"/>
      <c r="AN512" s="18"/>
    </row>
    <row r="513" spans="2:40" ht="21.95" customHeight="1" x14ac:dyDescent="0.2">
      <c r="B513" s="232"/>
      <c r="C513" s="715"/>
      <c r="D513" s="715"/>
      <c r="E513" s="1340"/>
      <c r="F513" s="116"/>
      <c r="G513" s="116"/>
      <c r="H513" s="124" t="s">
        <v>19</v>
      </c>
      <c r="I513" s="577">
        <f t="shared" ref="I513:AH513" si="1186">I422*$D$12</f>
        <v>53261.781795495532</v>
      </c>
      <c r="J513" s="577">
        <f t="shared" si="1186"/>
        <v>54442.973549278708</v>
      </c>
      <c r="K513" s="577">
        <f t="shared" si="1186"/>
        <v>56193.992235757636</v>
      </c>
      <c r="L513" s="577">
        <f t="shared" si="1186"/>
        <v>58421.064004483909</v>
      </c>
      <c r="M513" s="577">
        <f t="shared" si="1186"/>
        <v>60656.341001070658</v>
      </c>
      <c r="N513" s="577">
        <f t="shared" si="1186"/>
        <v>62902.006557045388</v>
      </c>
      <c r="O513" s="577">
        <f t="shared" si="1186"/>
        <v>65161.647198955769</v>
      </c>
      <c r="P513" s="577">
        <f t="shared" si="1186"/>
        <v>67442.336650325917</v>
      </c>
      <c r="Q513" s="577">
        <f t="shared" si="1186"/>
        <v>69491.16743057486</v>
      </c>
      <c r="R513" s="577">
        <f t="shared" si="1186"/>
        <v>71567.567383307949</v>
      </c>
      <c r="S513" s="577">
        <f t="shared" si="1186"/>
        <v>73678.973760736102</v>
      </c>
      <c r="T513" s="577">
        <f t="shared" si="1186"/>
        <v>75835.360174785485</v>
      </c>
      <c r="U513" s="577">
        <f t="shared" si="1186"/>
        <v>78049.886183302166</v>
      </c>
      <c r="V513" s="577">
        <f t="shared" si="1186"/>
        <v>79782.283184491374</v>
      </c>
      <c r="W513" s="577">
        <f t="shared" si="1186"/>
        <v>81178.881194298927</v>
      </c>
      <c r="X513" s="577">
        <f t="shared" si="1186"/>
        <v>82610.472074339719</v>
      </c>
      <c r="Y513" s="577">
        <f t="shared" si="1186"/>
        <v>84081.986939777111</v>
      </c>
      <c r="Z513" s="577">
        <f t="shared" si="1186"/>
        <v>85599.213562631849</v>
      </c>
      <c r="AA513" s="577">
        <f t="shared" si="1186"/>
        <v>87167.873820048582</v>
      </c>
      <c r="AB513" s="577">
        <f t="shared" si="1186"/>
        <v>88795.431937254907</v>
      </c>
      <c r="AC513" s="577">
        <f t="shared" si="1186"/>
        <v>90489.137629286182</v>
      </c>
      <c r="AD513" s="577">
        <f t="shared" si="1186"/>
        <v>92257.927051765117</v>
      </c>
      <c r="AE513" s="577">
        <f t="shared" si="1186"/>
        <v>94111.779124750363</v>
      </c>
      <c r="AF513" s="577">
        <f t="shared" si="1186"/>
        <v>96060.860185431113</v>
      </c>
      <c r="AG513" s="577">
        <f t="shared" si="1186"/>
        <v>98117.425316951849</v>
      </c>
      <c r="AH513" s="752">
        <f t="shared" si="1186"/>
        <v>100295.11324458383</v>
      </c>
      <c r="AI513" s="18"/>
      <c r="AJ513" s="18"/>
      <c r="AK513" s="18"/>
      <c r="AL513" s="18"/>
      <c r="AM513" s="18"/>
      <c r="AN513" s="18"/>
    </row>
    <row r="514" spans="2:40" ht="21.95" customHeight="1" x14ac:dyDescent="0.2">
      <c r="B514" s="232"/>
      <c r="C514" s="715"/>
      <c r="D514" s="715"/>
      <c r="E514" s="1340"/>
      <c r="F514" s="116"/>
      <c r="G514" s="116"/>
      <c r="H514" s="721" t="s">
        <v>25</v>
      </c>
      <c r="I514" s="577">
        <f t="shared" ref="I514:AH514" si="1187">SUM(I512:I513)</f>
        <v>87852.350083792349</v>
      </c>
      <c r="J514" s="577">
        <f t="shared" si="1187"/>
        <v>89800.660259893601</v>
      </c>
      <c r="K514" s="577">
        <f t="shared" si="1187"/>
        <v>92688.868304424686</v>
      </c>
      <c r="L514" s="577">
        <f t="shared" si="1187"/>
        <v>96362.299460729293</v>
      </c>
      <c r="M514" s="577">
        <f t="shared" si="1187"/>
        <v>100049.26468454377</v>
      </c>
      <c r="N514" s="577">
        <f t="shared" si="1187"/>
        <v>103753.36525992653</v>
      </c>
      <c r="O514" s="577">
        <f t="shared" si="1187"/>
        <v>107480.51696316649</v>
      </c>
      <c r="P514" s="577">
        <f t="shared" si="1187"/>
        <v>111242.38750823203</v>
      </c>
      <c r="Q514" s="577">
        <f t="shared" si="1187"/>
        <v>114621.82005632043</v>
      </c>
      <c r="R514" s="577">
        <f t="shared" si="1187"/>
        <v>118046.72642280073</v>
      </c>
      <c r="S514" s="577">
        <f t="shared" si="1187"/>
        <v>121529.37394201416</v>
      </c>
      <c r="T514" s="577">
        <f t="shared" si="1187"/>
        <v>125086.21353274339</v>
      </c>
      <c r="U514" s="577">
        <f t="shared" si="1187"/>
        <v>128738.95115456896</v>
      </c>
      <c r="V514" s="577">
        <f t="shared" si="1187"/>
        <v>131596.44376375273</v>
      </c>
      <c r="W514" s="577">
        <f t="shared" si="1187"/>
        <v>133900.05459215195</v>
      </c>
      <c r="X514" s="577">
        <f t="shared" si="1187"/>
        <v>136261.38421595257</v>
      </c>
      <c r="Y514" s="577">
        <f t="shared" si="1187"/>
        <v>138688.5662356657</v>
      </c>
      <c r="Z514" s="577">
        <f t="shared" si="1187"/>
        <v>141191.14725969665</v>
      </c>
      <c r="AA514" s="577">
        <f t="shared" si="1187"/>
        <v>143778.56520651348</v>
      </c>
      <c r="AB514" s="577">
        <f t="shared" si="1187"/>
        <v>146463.1319009499</v>
      </c>
      <c r="AC514" s="577">
        <f t="shared" si="1187"/>
        <v>149256.80534519482</v>
      </c>
      <c r="AD514" s="577">
        <f t="shared" si="1187"/>
        <v>152174.32523149479</v>
      </c>
      <c r="AE514" s="577">
        <f t="shared" si="1187"/>
        <v>155232.15123410214</v>
      </c>
      <c r="AF514" s="577">
        <f t="shared" si="1187"/>
        <v>158447.05216141389</v>
      </c>
      <c r="AG514" s="577">
        <f t="shared" si="1187"/>
        <v>161839.24209223891</v>
      </c>
      <c r="AH514" s="752">
        <f t="shared" si="1187"/>
        <v>165431.21734620523</v>
      </c>
      <c r="AI514" s="18"/>
      <c r="AJ514" s="18"/>
      <c r="AK514" s="18"/>
      <c r="AL514" s="18"/>
      <c r="AM514" s="18"/>
      <c r="AN514" s="18"/>
    </row>
    <row r="515" spans="2:40" ht="21.95" customHeight="1" x14ac:dyDescent="0.2">
      <c r="B515" s="232"/>
      <c r="C515" s="715"/>
      <c r="D515" s="715"/>
      <c r="E515" s="1340"/>
      <c r="F515" s="116" t="s">
        <v>347</v>
      </c>
      <c r="G515" s="116" t="s">
        <v>348</v>
      </c>
      <c r="H515" s="116" t="s">
        <v>20</v>
      </c>
      <c r="I515" s="577">
        <f t="shared" ref="I515:AH515" si="1188">I424*$D$11</f>
        <v>28315.539350479768</v>
      </c>
      <c r="J515" s="577">
        <f t="shared" si="1188"/>
        <v>28944.773748554529</v>
      </c>
      <c r="K515" s="577">
        <f t="shared" si="1188"/>
        <v>29878.195918503581</v>
      </c>
      <c r="L515" s="577">
        <f t="shared" si="1188"/>
        <v>31066.831301024456</v>
      </c>
      <c r="M515" s="577">
        <f t="shared" si="1188"/>
        <v>32262.07123418041</v>
      </c>
      <c r="N515" s="577">
        <f t="shared" si="1188"/>
        <v>33465.963434289995</v>
      </c>
      <c r="O515" s="577">
        <f t="shared" si="1188"/>
        <v>34681.600130707709</v>
      </c>
      <c r="P515" s="577">
        <f t="shared" si="1188"/>
        <v>35914.330971539326</v>
      </c>
      <c r="Q515" s="577">
        <f t="shared" si="1188"/>
        <v>37028.149958137081</v>
      </c>
      <c r="R515" s="577">
        <f t="shared" si="1188"/>
        <v>38164.76866698802</v>
      </c>
      <c r="S515" s="577">
        <f t="shared" si="1188"/>
        <v>39330.466124546911</v>
      </c>
      <c r="T515" s="577">
        <f t="shared" si="1188"/>
        <v>40533.454405188204</v>
      </c>
      <c r="U515" s="577">
        <f t="shared" si="1188"/>
        <v>41784.371911614719</v>
      </c>
      <c r="V515" s="577">
        <f t="shared" si="1188"/>
        <v>42775.468920868785</v>
      </c>
      <c r="W515" s="577">
        <f t="shared" si="1188"/>
        <v>43583.286467994483</v>
      </c>
      <c r="X515" s="577">
        <f t="shared" si="1188"/>
        <v>44420.114950438052</v>
      </c>
      <c r="Y515" s="577">
        <f t="shared" si="1188"/>
        <v>45290.042522789066</v>
      </c>
      <c r="Z515" s="577">
        <f t="shared" si="1188"/>
        <v>46197.810977334957</v>
      </c>
      <c r="AA515" s="577">
        <f t="shared" si="1188"/>
        <v>47148.277204113452</v>
      </c>
      <c r="AB515" s="577">
        <f t="shared" si="1188"/>
        <v>48147.516287528015</v>
      </c>
      <c r="AC515" s="577">
        <f t="shared" si="1188"/>
        <v>49201.651775822203</v>
      </c>
      <c r="AD515" s="577">
        <f t="shared" si="1188"/>
        <v>50318.035637368492</v>
      </c>
      <c r="AE515" s="577">
        <f t="shared" si="1188"/>
        <v>51504.884347263069</v>
      </c>
      <c r="AF515" s="577">
        <f t="shared" si="1188"/>
        <v>52770.739487368606</v>
      </c>
      <c r="AG515" s="577">
        <f t="shared" si="1188"/>
        <v>54125.704592048482</v>
      </c>
      <c r="AH515" s="752">
        <f t="shared" si="1188"/>
        <v>55581.03030797706</v>
      </c>
      <c r="AI515" s="18"/>
      <c r="AJ515" s="18"/>
      <c r="AK515" s="18"/>
      <c r="AL515" s="18"/>
      <c r="AM515" s="18"/>
      <c r="AN515" s="18"/>
    </row>
    <row r="516" spans="2:40" ht="21.95" customHeight="1" x14ac:dyDescent="0.2">
      <c r="B516" s="232"/>
      <c r="C516" s="715"/>
      <c r="D516" s="715"/>
      <c r="E516" s="1340"/>
      <c r="F516" s="116"/>
      <c r="G516" s="116"/>
      <c r="H516" s="124" t="s">
        <v>19</v>
      </c>
      <c r="I516" s="577">
        <f t="shared" ref="I516:AH516" si="1189">I425*$D$12</f>
        <v>43599.632874990231</v>
      </c>
      <c r="J516" s="577">
        <f t="shared" si="1189"/>
        <v>44568.513898544181</v>
      </c>
      <c r="K516" s="577">
        <f t="shared" si="1189"/>
        <v>46005.776435677028</v>
      </c>
      <c r="L516" s="577">
        <f t="shared" si="1189"/>
        <v>47836.010557608228</v>
      </c>
      <c r="M516" s="577">
        <f t="shared" si="1189"/>
        <v>49676.414218584039</v>
      </c>
      <c r="N516" s="577">
        <f t="shared" si="1189"/>
        <v>51530.140446297679</v>
      </c>
      <c r="O516" s="577">
        <f t="shared" si="1189"/>
        <v>53401.950586205188</v>
      </c>
      <c r="P516" s="577">
        <f t="shared" si="1189"/>
        <v>55300.081906561834</v>
      </c>
      <c r="Q516" s="577">
        <f t="shared" si="1189"/>
        <v>57015.115418859488</v>
      </c>
      <c r="R516" s="577">
        <f t="shared" si="1189"/>
        <v>58765.25543248796</v>
      </c>
      <c r="S516" s="577">
        <f t="shared" si="1189"/>
        <v>60560.170251654781</v>
      </c>
      <c r="T516" s="577">
        <f t="shared" si="1189"/>
        <v>62412.504644430075</v>
      </c>
      <c r="U516" s="577">
        <f t="shared" si="1189"/>
        <v>64338.6393848644</v>
      </c>
      <c r="V516" s="577">
        <f t="shared" si="1189"/>
        <v>65864.708346932253</v>
      </c>
      <c r="W516" s="577">
        <f t="shared" si="1189"/>
        <v>67108.567700932472</v>
      </c>
      <c r="X516" s="577">
        <f t="shared" si="1189"/>
        <v>68397.097442932834</v>
      </c>
      <c r="Y516" s="577">
        <f t="shared" si="1189"/>
        <v>69736.592421745358</v>
      </c>
      <c r="Z516" s="577">
        <f t="shared" si="1189"/>
        <v>71134.353942859641</v>
      </c>
      <c r="AA516" s="577">
        <f t="shared" si="1189"/>
        <v>72597.860536701628</v>
      </c>
      <c r="AB516" s="577">
        <f t="shared" si="1189"/>
        <v>74136.466482079064</v>
      </c>
      <c r="AC516" s="577">
        <f t="shared" si="1189"/>
        <v>75759.600681334443</v>
      </c>
      <c r="AD516" s="577">
        <f t="shared" si="1189"/>
        <v>77478.583530593052</v>
      </c>
      <c r="AE516" s="577">
        <f t="shared" si="1189"/>
        <v>79306.066574057768</v>
      </c>
      <c r="AF516" s="577">
        <f t="shared" si="1189"/>
        <v>81255.201948044036</v>
      </c>
      <c r="AG516" s="577">
        <f t="shared" si="1189"/>
        <v>83341.546848321013</v>
      </c>
      <c r="AH516" s="752">
        <f t="shared" si="1189"/>
        <v>85582.42476848478</v>
      </c>
      <c r="AI516" s="18"/>
      <c r="AJ516" s="18"/>
      <c r="AK516" s="18"/>
      <c r="AL516" s="18"/>
      <c r="AM516" s="18"/>
      <c r="AN516" s="18"/>
    </row>
    <row r="517" spans="2:40" ht="21.95" customHeight="1" x14ac:dyDescent="0.2">
      <c r="B517" s="232"/>
      <c r="C517" s="715"/>
      <c r="D517" s="715"/>
      <c r="E517" s="1340"/>
      <c r="F517" s="116"/>
      <c r="G517" s="116"/>
      <c r="H517" s="721" t="s">
        <v>25</v>
      </c>
      <c r="I517" s="577">
        <f t="shared" ref="I517:AH517" si="1190">SUM(I515:I516)</f>
        <v>71915.17222547</v>
      </c>
      <c r="J517" s="577">
        <f t="shared" si="1190"/>
        <v>73513.28764709871</v>
      </c>
      <c r="K517" s="577">
        <f t="shared" si="1190"/>
        <v>75883.972354180616</v>
      </c>
      <c r="L517" s="577">
        <f t="shared" si="1190"/>
        <v>78902.841858632688</v>
      </c>
      <c r="M517" s="577">
        <f t="shared" si="1190"/>
        <v>81938.485452764449</v>
      </c>
      <c r="N517" s="577">
        <f t="shared" si="1190"/>
        <v>84996.103880587674</v>
      </c>
      <c r="O517" s="577">
        <f t="shared" si="1190"/>
        <v>88083.550716912898</v>
      </c>
      <c r="P517" s="577">
        <f t="shared" si="1190"/>
        <v>91214.412878101168</v>
      </c>
      <c r="Q517" s="577">
        <f t="shared" si="1190"/>
        <v>94043.265376996569</v>
      </c>
      <c r="R517" s="577">
        <f t="shared" si="1190"/>
        <v>96930.024099475981</v>
      </c>
      <c r="S517" s="577">
        <f t="shared" si="1190"/>
        <v>99890.636376201699</v>
      </c>
      <c r="T517" s="577">
        <f t="shared" si="1190"/>
        <v>102945.95904961828</v>
      </c>
      <c r="U517" s="577">
        <f t="shared" si="1190"/>
        <v>106123.01129647912</v>
      </c>
      <c r="V517" s="577">
        <f t="shared" si="1190"/>
        <v>108640.17726780105</v>
      </c>
      <c r="W517" s="577">
        <f t="shared" si="1190"/>
        <v>110691.85416892695</v>
      </c>
      <c r="X517" s="577">
        <f t="shared" si="1190"/>
        <v>112817.21239337089</v>
      </c>
      <c r="Y517" s="577">
        <f t="shared" si="1190"/>
        <v>115026.63494453442</v>
      </c>
      <c r="Z517" s="577">
        <f t="shared" si="1190"/>
        <v>117332.1649201946</v>
      </c>
      <c r="AA517" s="577">
        <f t="shared" si="1190"/>
        <v>119746.13774081509</v>
      </c>
      <c r="AB517" s="577">
        <f t="shared" si="1190"/>
        <v>122283.98276960707</v>
      </c>
      <c r="AC517" s="577">
        <f t="shared" si="1190"/>
        <v>124961.25245715665</v>
      </c>
      <c r="AD517" s="577">
        <f t="shared" si="1190"/>
        <v>127796.61916796154</v>
      </c>
      <c r="AE517" s="577">
        <f t="shared" si="1190"/>
        <v>130810.95092132084</v>
      </c>
      <c r="AF517" s="577">
        <f t="shared" si="1190"/>
        <v>134025.94143541265</v>
      </c>
      <c r="AG517" s="577">
        <f t="shared" si="1190"/>
        <v>137467.25144036949</v>
      </c>
      <c r="AH517" s="752">
        <f t="shared" si="1190"/>
        <v>141163.45507646183</v>
      </c>
      <c r="AI517" s="18"/>
      <c r="AJ517" s="18"/>
      <c r="AK517" s="18"/>
      <c r="AL517" s="18"/>
      <c r="AM517" s="18"/>
      <c r="AN517" s="18"/>
    </row>
    <row r="518" spans="2:40" ht="21.95" customHeight="1" x14ac:dyDescent="0.2">
      <c r="B518" s="232"/>
      <c r="C518" s="715"/>
      <c r="D518" s="715"/>
      <c r="E518" s="1340"/>
      <c r="F518" s="116" t="s">
        <v>348</v>
      </c>
      <c r="G518" s="116" t="s">
        <v>349</v>
      </c>
      <c r="H518" s="116" t="s">
        <v>20</v>
      </c>
      <c r="I518" s="577">
        <f t="shared" ref="I518:AH518" si="1191">I427*$D$11</f>
        <v>46294.69995263694</v>
      </c>
      <c r="J518" s="577">
        <f t="shared" si="1191"/>
        <v>47424.628027721366</v>
      </c>
      <c r="K518" s="577">
        <f t="shared" si="1191"/>
        <v>49005.970919382256</v>
      </c>
      <c r="L518" s="577">
        <f t="shared" si="1191"/>
        <v>51134.534376639727</v>
      </c>
      <c r="M518" s="577">
        <f t="shared" si="1191"/>
        <v>53309.163929614508</v>
      </c>
      <c r="N518" s="577">
        <f t="shared" si="1191"/>
        <v>55548.639006045109</v>
      </c>
      <c r="O518" s="577">
        <f t="shared" si="1191"/>
        <v>57878.093419938297</v>
      </c>
      <c r="P518" s="577">
        <f t="shared" si="1191"/>
        <v>60334.834133488126</v>
      </c>
      <c r="Q518" s="577">
        <f t="shared" si="1191"/>
        <v>62839.920307559856</v>
      </c>
      <c r="R518" s="577">
        <f t="shared" si="1191"/>
        <v>65555.550718809245</v>
      </c>
      <c r="S518" s="577">
        <f t="shared" si="1191"/>
        <v>68550.129924604393</v>
      </c>
      <c r="T518" s="577">
        <f t="shared" si="1191"/>
        <v>71911.567071369587</v>
      </c>
      <c r="U518" s="577">
        <f t="shared" si="1191"/>
        <v>75753.884799983425</v>
      </c>
      <c r="V518" s="577">
        <f t="shared" si="1191"/>
        <v>78989.883426798595</v>
      </c>
      <c r="W518" s="577">
        <f t="shared" si="1191"/>
        <v>81741.128228064539</v>
      </c>
      <c r="X518" s="577">
        <f t="shared" si="1191"/>
        <v>84768.175930527796</v>
      </c>
      <c r="Y518" s="577">
        <f t="shared" si="1191"/>
        <v>88111.913088607238</v>
      </c>
      <c r="Z518" s="577">
        <f t="shared" si="1191"/>
        <v>91819.287509771602</v>
      </c>
      <c r="AA518" s="577">
        <f t="shared" si="1191"/>
        <v>95940.927250164154</v>
      </c>
      <c r="AB518" s="577">
        <f t="shared" si="1191"/>
        <v>100537.08987441508</v>
      </c>
      <c r="AC518" s="577">
        <f t="shared" si="1191"/>
        <v>105671.84604065426</v>
      </c>
      <c r="AD518" s="577">
        <f t="shared" si="1191"/>
        <v>111419.93350778807</v>
      </c>
      <c r="AE518" s="577">
        <f t="shared" si="1191"/>
        <v>117865.43783265943</v>
      </c>
      <c r="AF518" s="577">
        <f t="shared" si="1191"/>
        <v>125098.37146315303</v>
      </c>
      <c r="AG518" s="577">
        <f t="shared" si="1191"/>
        <v>133223.23111513237</v>
      </c>
      <c r="AH518" s="752">
        <f t="shared" si="1191"/>
        <v>142357.07738685404</v>
      </c>
      <c r="AI518" s="18"/>
      <c r="AJ518" s="18"/>
      <c r="AK518" s="18"/>
      <c r="AL518" s="18"/>
      <c r="AM518" s="18"/>
      <c r="AN518" s="18"/>
    </row>
    <row r="519" spans="2:40" ht="21.95" customHeight="1" x14ac:dyDescent="0.2">
      <c r="B519" s="232"/>
      <c r="C519" s="715"/>
      <c r="D519" s="715"/>
      <c r="E519" s="1340"/>
      <c r="F519" s="116"/>
      <c r="G519" s="116"/>
      <c r="H519" s="124" t="s">
        <v>19</v>
      </c>
      <c r="I519" s="577">
        <f t="shared" ref="I519:AH519" si="1192">I428*$D$12</f>
        <v>71283.541415523083</v>
      </c>
      <c r="J519" s="577">
        <f t="shared" si="1192"/>
        <v>73023.379341230495</v>
      </c>
      <c r="K519" s="577">
        <f t="shared" si="1192"/>
        <v>75458.295684249824</v>
      </c>
      <c r="L519" s="577">
        <f t="shared" si="1192"/>
        <v>78735.809989693327</v>
      </c>
      <c r="M519" s="577">
        <f t="shared" si="1192"/>
        <v>82084.255836874334</v>
      </c>
      <c r="N519" s="577">
        <f t="shared" si="1192"/>
        <v>85532.549367734115</v>
      </c>
      <c r="O519" s="577">
        <f t="shared" si="1192"/>
        <v>89119.391065773263</v>
      </c>
      <c r="P519" s="577">
        <f t="shared" si="1192"/>
        <v>92902.225355242612</v>
      </c>
      <c r="Q519" s="577">
        <f t="shared" si="1192"/>
        <v>96759.500901289764</v>
      </c>
      <c r="R519" s="577">
        <f t="shared" si="1192"/>
        <v>100940.96774495862</v>
      </c>
      <c r="S519" s="577">
        <f t="shared" si="1192"/>
        <v>105551.9536905799</v>
      </c>
      <c r="T519" s="577">
        <f t="shared" si="1192"/>
        <v>110727.81927156994</v>
      </c>
      <c r="U519" s="577">
        <f t="shared" si="1192"/>
        <v>116644.13399484188</v>
      </c>
      <c r="V519" s="577">
        <f t="shared" si="1192"/>
        <v>121626.85215418089</v>
      </c>
      <c r="W519" s="577">
        <f t="shared" si="1192"/>
        <v>125863.1572373962</v>
      </c>
      <c r="X519" s="577">
        <f t="shared" si="1192"/>
        <v>130524.13744649274</v>
      </c>
      <c r="Y519" s="577">
        <f t="shared" si="1192"/>
        <v>135672.74898160223</v>
      </c>
      <c r="Z519" s="577">
        <f t="shared" si="1192"/>
        <v>141381.28102445585</v>
      </c>
      <c r="AA519" s="577">
        <f t="shared" si="1192"/>
        <v>147727.68952121082</v>
      </c>
      <c r="AB519" s="577">
        <f t="shared" si="1192"/>
        <v>154804.75771937307</v>
      </c>
      <c r="AC519" s="577">
        <f t="shared" si="1192"/>
        <v>162711.14018235897</v>
      </c>
      <c r="AD519" s="577">
        <f t="shared" si="1192"/>
        <v>171561.91643628612</v>
      </c>
      <c r="AE519" s="577">
        <f t="shared" si="1192"/>
        <v>181486.55953702907</v>
      </c>
      <c r="AF519" s="577">
        <f t="shared" si="1192"/>
        <v>192623.66863445289</v>
      </c>
      <c r="AG519" s="577">
        <f t="shared" si="1192"/>
        <v>205134.14542963065</v>
      </c>
      <c r="AH519" s="752">
        <f t="shared" si="1192"/>
        <v>219198.23720815845</v>
      </c>
      <c r="AI519" s="18"/>
      <c r="AJ519" s="18"/>
      <c r="AK519" s="18"/>
      <c r="AL519" s="18"/>
      <c r="AM519" s="18"/>
      <c r="AN519" s="18"/>
    </row>
    <row r="520" spans="2:40" ht="21.95" customHeight="1" x14ac:dyDescent="0.2">
      <c r="B520" s="232"/>
      <c r="C520" s="715"/>
      <c r="D520" s="715"/>
      <c r="E520" s="1333"/>
      <c r="F520" s="254"/>
      <c r="G520" s="254"/>
      <c r="H520" s="721" t="s">
        <v>25</v>
      </c>
      <c r="I520" s="577">
        <f t="shared" ref="I520:AH520" si="1193">SUM(I518:I519)</f>
        <v>117578.24136816003</v>
      </c>
      <c r="J520" s="577">
        <f t="shared" si="1193"/>
        <v>120448.00736895186</v>
      </c>
      <c r="K520" s="577">
        <f t="shared" si="1193"/>
        <v>124464.26660363207</v>
      </c>
      <c r="L520" s="577">
        <f t="shared" si="1193"/>
        <v>129870.34436633305</v>
      </c>
      <c r="M520" s="577">
        <f t="shared" si="1193"/>
        <v>135393.41976648883</v>
      </c>
      <c r="N520" s="577">
        <f t="shared" si="1193"/>
        <v>141081.18837377924</v>
      </c>
      <c r="O520" s="577">
        <f t="shared" si="1193"/>
        <v>146997.48448571155</v>
      </c>
      <c r="P520" s="577">
        <f t="shared" si="1193"/>
        <v>153237.05948873074</v>
      </c>
      <c r="Q520" s="577">
        <f t="shared" si="1193"/>
        <v>159599.42120884961</v>
      </c>
      <c r="R520" s="577">
        <f t="shared" si="1193"/>
        <v>166496.51846376786</v>
      </c>
      <c r="S520" s="577">
        <f t="shared" si="1193"/>
        <v>174102.0836151843</v>
      </c>
      <c r="T520" s="577">
        <f t="shared" si="1193"/>
        <v>182639.38634293951</v>
      </c>
      <c r="U520" s="577">
        <f t="shared" si="1193"/>
        <v>192398.0187948253</v>
      </c>
      <c r="V520" s="577">
        <f t="shared" si="1193"/>
        <v>200616.7355809795</v>
      </c>
      <c r="W520" s="577">
        <f t="shared" si="1193"/>
        <v>207604.28546546074</v>
      </c>
      <c r="X520" s="577">
        <f t="shared" si="1193"/>
        <v>215292.31337702053</v>
      </c>
      <c r="Y520" s="577">
        <f t="shared" si="1193"/>
        <v>223784.66207020945</v>
      </c>
      <c r="Z520" s="577">
        <f t="shared" si="1193"/>
        <v>233200.56853422744</v>
      </c>
      <c r="AA520" s="577">
        <f t="shared" si="1193"/>
        <v>243668.61677137497</v>
      </c>
      <c r="AB520" s="577">
        <f t="shared" si="1193"/>
        <v>255341.84759378814</v>
      </c>
      <c r="AC520" s="577">
        <f t="shared" si="1193"/>
        <v>268382.98622301326</v>
      </c>
      <c r="AD520" s="577">
        <f t="shared" si="1193"/>
        <v>282981.84994407417</v>
      </c>
      <c r="AE520" s="577">
        <f t="shared" si="1193"/>
        <v>299351.99736968847</v>
      </c>
      <c r="AF520" s="577">
        <f t="shared" si="1193"/>
        <v>317722.0400976059</v>
      </c>
      <c r="AG520" s="577">
        <f t="shared" si="1193"/>
        <v>338357.37654476298</v>
      </c>
      <c r="AH520" s="752">
        <f t="shared" si="1193"/>
        <v>361555.31459501246</v>
      </c>
      <c r="AI520" s="18"/>
      <c r="AJ520" s="18"/>
      <c r="AK520" s="18"/>
      <c r="AL520" s="18"/>
      <c r="AM520" s="18"/>
      <c r="AN520" s="18"/>
    </row>
    <row r="521" spans="2:40" ht="21.95" customHeight="1" x14ac:dyDescent="0.2">
      <c r="B521" s="232"/>
      <c r="C521" s="715"/>
      <c r="D521" s="715"/>
      <c r="E521" s="116" t="s">
        <v>288</v>
      </c>
      <c r="F521" s="116" t="s">
        <v>323</v>
      </c>
      <c r="G521" s="116" t="s">
        <v>348</v>
      </c>
      <c r="H521" s="116" t="s">
        <v>20</v>
      </c>
      <c r="I521" s="577">
        <f t="shared" ref="I521:AH521" si="1194">I430*$D$11</f>
        <v>7893.4535565156511</v>
      </c>
      <c r="J521" s="577">
        <f t="shared" si="1194"/>
        <v>8378.8135216537084</v>
      </c>
      <c r="K521" s="577">
        <f t="shared" si="1194"/>
        <v>9021.1221237156478</v>
      </c>
      <c r="L521" s="577">
        <f t="shared" si="1194"/>
        <v>9874.7137476661246</v>
      </c>
      <c r="M521" s="577">
        <f t="shared" si="1194"/>
        <v>10728.571709168287</v>
      </c>
      <c r="N521" s="577">
        <f t="shared" si="1194"/>
        <v>11584.278265325627</v>
      </c>
      <c r="O521" s="577">
        <f t="shared" si="1194"/>
        <v>12437.893268742926</v>
      </c>
      <c r="P521" s="577">
        <f t="shared" si="1194"/>
        <v>13292.45452984531</v>
      </c>
      <c r="Q521" s="577">
        <f t="shared" si="1194"/>
        <v>14071.711923203178</v>
      </c>
      <c r="R521" s="577">
        <f t="shared" si="1194"/>
        <v>14850.37470582579</v>
      </c>
      <c r="S521" s="577">
        <f t="shared" si="1194"/>
        <v>15629.841888241006</v>
      </c>
      <c r="T521" s="577">
        <f t="shared" si="1194"/>
        <v>16409.427593521137</v>
      </c>
      <c r="U521" s="577">
        <f t="shared" si="1194"/>
        <v>17192.03020632148</v>
      </c>
      <c r="V521" s="577">
        <f t="shared" si="1194"/>
        <v>17760.022228184458</v>
      </c>
      <c r="W521" s="577">
        <f t="shared" si="1194"/>
        <v>18246.204968645714</v>
      </c>
      <c r="X521" s="577">
        <f t="shared" si="1194"/>
        <v>18732.638448084541</v>
      </c>
      <c r="Y521" s="577">
        <f t="shared" si="1194"/>
        <v>19219.389440354582</v>
      </c>
      <c r="Z521" s="577">
        <f t="shared" si="1194"/>
        <v>19707.068505747953</v>
      </c>
      <c r="AA521" s="577">
        <f t="shared" si="1194"/>
        <v>20194.71991231529</v>
      </c>
      <c r="AB521" s="577">
        <f t="shared" si="1194"/>
        <v>20684.186014209794</v>
      </c>
      <c r="AC521" s="577">
        <f t="shared" si="1194"/>
        <v>21173.233237813005</v>
      </c>
      <c r="AD521" s="577">
        <f t="shared" si="1194"/>
        <v>21663.230952810951</v>
      </c>
      <c r="AE521" s="577">
        <f t="shared" si="1194"/>
        <v>22154.927493711351</v>
      </c>
      <c r="AF521" s="577">
        <f t="shared" si="1194"/>
        <v>22647.515392189649</v>
      </c>
      <c r="AG521" s="577">
        <f t="shared" si="1194"/>
        <v>23141.833189230416</v>
      </c>
      <c r="AH521" s="752">
        <f t="shared" si="1194"/>
        <v>23639.458857696904</v>
      </c>
      <c r="AI521" s="18"/>
      <c r="AJ521" s="18"/>
      <c r="AK521" s="18"/>
      <c r="AL521" s="18"/>
      <c r="AM521" s="18"/>
      <c r="AN521" s="18"/>
    </row>
    <row r="522" spans="2:40" ht="21.95" customHeight="1" x14ac:dyDescent="0.2">
      <c r="B522" s="232"/>
      <c r="C522" s="715"/>
      <c r="D522" s="715"/>
      <c r="E522" s="116"/>
      <c r="F522" s="116"/>
      <c r="G522" s="116"/>
      <c r="H522" s="124" t="s">
        <v>19</v>
      </c>
      <c r="I522" s="577">
        <f t="shared" ref="I522:AH522" si="1195">I431*$D$12</f>
        <v>18906.475584468626</v>
      </c>
      <c r="J522" s="577">
        <f t="shared" si="1195"/>
        <v>20069.014423122655</v>
      </c>
      <c r="K522" s="577">
        <f t="shared" si="1195"/>
        <v>21607.478140636282</v>
      </c>
      <c r="L522" s="577">
        <f t="shared" si="1195"/>
        <v>23652.00897644581</v>
      </c>
      <c r="M522" s="577">
        <f t="shared" si="1195"/>
        <v>25697.177746510868</v>
      </c>
      <c r="N522" s="577">
        <f t="shared" si="1195"/>
        <v>27746.774288205095</v>
      </c>
      <c r="O522" s="577">
        <f t="shared" si="1195"/>
        <v>29791.361122737548</v>
      </c>
      <c r="P522" s="577">
        <f t="shared" si="1195"/>
        <v>31838.214442743258</v>
      </c>
      <c r="Q522" s="577">
        <f t="shared" si="1195"/>
        <v>33704.699217253125</v>
      </c>
      <c r="R522" s="577">
        <f t="shared" si="1195"/>
        <v>35569.759774433034</v>
      </c>
      <c r="S522" s="577">
        <f t="shared" si="1195"/>
        <v>37436.747037703011</v>
      </c>
      <c r="T522" s="577">
        <f t="shared" si="1195"/>
        <v>39304.01818807458</v>
      </c>
      <c r="U522" s="577">
        <f t="shared" si="1195"/>
        <v>41178.515464243072</v>
      </c>
      <c r="V522" s="577">
        <f t="shared" si="1195"/>
        <v>42538.975396849004</v>
      </c>
      <c r="W522" s="577">
        <f t="shared" si="1195"/>
        <v>43703.484954840038</v>
      </c>
      <c r="X522" s="577">
        <f t="shared" si="1195"/>
        <v>44868.595085232431</v>
      </c>
      <c r="Y522" s="577">
        <f t="shared" si="1195"/>
        <v>46034.465725400194</v>
      </c>
      <c r="Z522" s="577">
        <f t="shared" si="1195"/>
        <v>47202.559295204679</v>
      </c>
      <c r="AA522" s="577">
        <f t="shared" si="1195"/>
        <v>48370.58661632405</v>
      </c>
      <c r="AB522" s="577">
        <f t="shared" si="1195"/>
        <v>49542.960513077356</v>
      </c>
      <c r="AC522" s="577">
        <f t="shared" si="1195"/>
        <v>50714.331108534148</v>
      </c>
      <c r="AD522" s="577">
        <f t="shared" si="1195"/>
        <v>51887.978330086116</v>
      </c>
      <c r="AE522" s="577">
        <f t="shared" si="1195"/>
        <v>53065.694595715817</v>
      </c>
      <c r="AF522" s="577">
        <f t="shared" si="1195"/>
        <v>54245.545849556045</v>
      </c>
      <c r="AG522" s="577">
        <f t="shared" si="1195"/>
        <v>55429.540573006991</v>
      </c>
      <c r="AH522" s="752">
        <f t="shared" si="1195"/>
        <v>56621.458341788995</v>
      </c>
      <c r="AI522" s="18"/>
      <c r="AJ522" s="18"/>
      <c r="AK522" s="18"/>
      <c r="AL522" s="18"/>
      <c r="AM522" s="18"/>
      <c r="AN522" s="18"/>
    </row>
    <row r="523" spans="2:40" ht="21.95" customHeight="1" x14ac:dyDescent="0.2">
      <c r="B523" s="232"/>
      <c r="C523" s="715"/>
      <c r="D523" s="715"/>
      <c r="E523" s="116"/>
      <c r="F523" s="116"/>
      <c r="G523" s="116"/>
      <c r="H523" s="721" t="s">
        <v>25</v>
      </c>
      <c r="I523" s="577">
        <f t="shared" ref="I523:AH523" si="1196">SUM(I521:I522)</f>
        <v>26799.929140984277</v>
      </c>
      <c r="J523" s="577">
        <f t="shared" si="1196"/>
        <v>28447.827944776363</v>
      </c>
      <c r="K523" s="577">
        <f t="shared" si="1196"/>
        <v>30628.600264351931</v>
      </c>
      <c r="L523" s="577">
        <f t="shared" si="1196"/>
        <v>33526.722724111933</v>
      </c>
      <c r="M523" s="577">
        <f t="shared" si="1196"/>
        <v>36425.749455679157</v>
      </c>
      <c r="N523" s="577">
        <f t="shared" si="1196"/>
        <v>39331.052553530724</v>
      </c>
      <c r="O523" s="577">
        <f t="shared" si="1196"/>
        <v>42229.25439148047</v>
      </c>
      <c r="P523" s="577">
        <f t="shared" si="1196"/>
        <v>45130.668972588566</v>
      </c>
      <c r="Q523" s="577">
        <f t="shared" si="1196"/>
        <v>47776.411140456301</v>
      </c>
      <c r="R523" s="577">
        <f t="shared" si="1196"/>
        <v>50420.134480258828</v>
      </c>
      <c r="S523" s="577">
        <f t="shared" si="1196"/>
        <v>53066.588925944016</v>
      </c>
      <c r="T523" s="577">
        <f t="shared" si="1196"/>
        <v>55713.445781595714</v>
      </c>
      <c r="U523" s="577">
        <f t="shared" si="1196"/>
        <v>58370.545670564548</v>
      </c>
      <c r="V523" s="577">
        <f t="shared" si="1196"/>
        <v>60298.997625033458</v>
      </c>
      <c r="W523" s="577">
        <f t="shared" si="1196"/>
        <v>61949.689923485756</v>
      </c>
      <c r="X523" s="577">
        <f t="shared" si="1196"/>
        <v>63601.233533316976</v>
      </c>
      <c r="Y523" s="577">
        <f t="shared" si="1196"/>
        <v>65253.85516575478</v>
      </c>
      <c r="Z523" s="577">
        <f t="shared" si="1196"/>
        <v>66909.627800952629</v>
      </c>
      <c r="AA523" s="577">
        <f t="shared" si="1196"/>
        <v>68565.306528639339</v>
      </c>
      <c r="AB523" s="577">
        <f t="shared" si="1196"/>
        <v>70227.146527287143</v>
      </c>
      <c r="AC523" s="577">
        <f t="shared" si="1196"/>
        <v>71887.56434634715</v>
      </c>
      <c r="AD523" s="577">
        <f t="shared" si="1196"/>
        <v>73551.209282897064</v>
      </c>
      <c r="AE523" s="577">
        <f t="shared" si="1196"/>
        <v>75220.622089427168</v>
      </c>
      <c r="AF523" s="577">
        <f t="shared" si="1196"/>
        <v>76893.061241745687</v>
      </c>
      <c r="AG523" s="577">
        <f t="shared" si="1196"/>
        <v>78571.373762237403</v>
      </c>
      <c r="AH523" s="752">
        <f t="shared" si="1196"/>
        <v>80260.917199485906</v>
      </c>
      <c r="AI523" s="18"/>
      <c r="AJ523" s="18"/>
      <c r="AK523" s="18"/>
      <c r="AL523" s="18"/>
      <c r="AM523" s="18"/>
      <c r="AN523" s="18"/>
    </row>
    <row r="524" spans="2:40" ht="21.95" customHeight="1" x14ac:dyDescent="0.2">
      <c r="B524" s="232"/>
      <c r="C524" s="715"/>
      <c r="D524" s="715"/>
      <c r="E524" s="220" t="s">
        <v>340</v>
      </c>
      <c r="F524" s="220" t="s">
        <v>335</v>
      </c>
      <c r="G524" s="220" t="s">
        <v>323</v>
      </c>
      <c r="H524" s="116" t="s">
        <v>20</v>
      </c>
      <c r="I524" s="577" t="e">
        <f t="shared" ref="I524:AH524" si="1197">I433*$D$11</f>
        <v>#DIV/0!</v>
      </c>
      <c r="J524" s="577" t="e">
        <f t="shared" si="1197"/>
        <v>#DIV/0!</v>
      </c>
      <c r="K524" s="577" t="e">
        <f t="shared" si="1197"/>
        <v>#DIV/0!</v>
      </c>
      <c r="L524" s="577" t="e">
        <f t="shared" si="1197"/>
        <v>#DIV/0!</v>
      </c>
      <c r="M524" s="577" t="e">
        <f t="shared" si="1197"/>
        <v>#DIV/0!</v>
      </c>
      <c r="N524" s="577" t="e">
        <f t="shared" si="1197"/>
        <v>#DIV/0!</v>
      </c>
      <c r="O524" s="577" t="e">
        <f t="shared" si="1197"/>
        <v>#DIV/0!</v>
      </c>
      <c r="P524" s="577" t="e">
        <f t="shared" si="1197"/>
        <v>#DIV/0!</v>
      </c>
      <c r="Q524" s="577" t="e">
        <f t="shared" si="1197"/>
        <v>#DIV/0!</v>
      </c>
      <c r="R524" s="577" t="e">
        <f t="shared" si="1197"/>
        <v>#DIV/0!</v>
      </c>
      <c r="S524" s="577" t="e">
        <f t="shared" si="1197"/>
        <v>#DIV/0!</v>
      </c>
      <c r="T524" s="577" t="e">
        <f t="shared" si="1197"/>
        <v>#DIV/0!</v>
      </c>
      <c r="U524" s="577" t="e">
        <f t="shared" si="1197"/>
        <v>#DIV/0!</v>
      </c>
      <c r="V524" s="577" t="e">
        <f t="shared" si="1197"/>
        <v>#DIV/0!</v>
      </c>
      <c r="W524" s="577" t="e">
        <f t="shared" si="1197"/>
        <v>#DIV/0!</v>
      </c>
      <c r="X524" s="577" t="e">
        <f t="shared" si="1197"/>
        <v>#DIV/0!</v>
      </c>
      <c r="Y524" s="577" t="e">
        <f t="shared" si="1197"/>
        <v>#DIV/0!</v>
      </c>
      <c r="Z524" s="577" t="e">
        <f t="shared" si="1197"/>
        <v>#DIV/0!</v>
      </c>
      <c r="AA524" s="577" t="e">
        <f t="shared" si="1197"/>
        <v>#DIV/0!</v>
      </c>
      <c r="AB524" s="577" t="e">
        <f t="shared" si="1197"/>
        <v>#DIV/0!</v>
      </c>
      <c r="AC524" s="577" t="e">
        <f t="shared" si="1197"/>
        <v>#DIV/0!</v>
      </c>
      <c r="AD524" s="577" t="e">
        <f t="shared" si="1197"/>
        <v>#DIV/0!</v>
      </c>
      <c r="AE524" s="577" t="e">
        <f t="shared" si="1197"/>
        <v>#DIV/0!</v>
      </c>
      <c r="AF524" s="577" t="e">
        <f t="shared" si="1197"/>
        <v>#DIV/0!</v>
      </c>
      <c r="AG524" s="577" t="e">
        <f t="shared" si="1197"/>
        <v>#DIV/0!</v>
      </c>
      <c r="AH524" s="752" t="e">
        <f t="shared" si="1197"/>
        <v>#DIV/0!</v>
      </c>
      <c r="AI524" s="18"/>
      <c r="AJ524" s="18"/>
      <c r="AK524" s="18"/>
      <c r="AL524" s="18"/>
      <c r="AM524" s="18"/>
      <c r="AN524" s="18"/>
    </row>
    <row r="525" spans="2:40" ht="21.95" customHeight="1" x14ac:dyDescent="0.2">
      <c r="B525" s="232"/>
      <c r="C525" s="715"/>
      <c r="D525" s="715"/>
      <c r="E525" s="116"/>
      <c r="F525" s="116"/>
      <c r="G525" s="116"/>
      <c r="H525" s="124" t="s">
        <v>19</v>
      </c>
      <c r="I525" s="577" t="e">
        <f t="shared" ref="I525:AH525" si="1198">I434*$D$12</f>
        <v>#DIV/0!</v>
      </c>
      <c r="J525" s="577" t="e">
        <f t="shared" si="1198"/>
        <v>#DIV/0!</v>
      </c>
      <c r="K525" s="577" t="e">
        <f t="shared" si="1198"/>
        <v>#DIV/0!</v>
      </c>
      <c r="L525" s="577" t="e">
        <f t="shared" si="1198"/>
        <v>#DIV/0!</v>
      </c>
      <c r="M525" s="577" t="e">
        <f t="shared" si="1198"/>
        <v>#DIV/0!</v>
      </c>
      <c r="N525" s="577" t="e">
        <f t="shared" si="1198"/>
        <v>#DIV/0!</v>
      </c>
      <c r="O525" s="577" t="e">
        <f t="shared" si="1198"/>
        <v>#DIV/0!</v>
      </c>
      <c r="P525" s="577" t="e">
        <f t="shared" si="1198"/>
        <v>#DIV/0!</v>
      </c>
      <c r="Q525" s="577" t="e">
        <f t="shared" si="1198"/>
        <v>#DIV/0!</v>
      </c>
      <c r="R525" s="577" t="e">
        <f t="shared" si="1198"/>
        <v>#DIV/0!</v>
      </c>
      <c r="S525" s="577" t="e">
        <f t="shared" si="1198"/>
        <v>#DIV/0!</v>
      </c>
      <c r="T525" s="577" t="e">
        <f t="shared" si="1198"/>
        <v>#DIV/0!</v>
      </c>
      <c r="U525" s="577" t="e">
        <f t="shared" si="1198"/>
        <v>#DIV/0!</v>
      </c>
      <c r="V525" s="577" t="e">
        <f t="shared" si="1198"/>
        <v>#DIV/0!</v>
      </c>
      <c r="W525" s="577" t="e">
        <f t="shared" si="1198"/>
        <v>#DIV/0!</v>
      </c>
      <c r="X525" s="577" t="e">
        <f t="shared" si="1198"/>
        <v>#DIV/0!</v>
      </c>
      <c r="Y525" s="577" t="e">
        <f t="shared" si="1198"/>
        <v>#DIV/0!</v>
      </c>
      <c r="Z525" s="577" t="e">
        <f t="shared" si="1198"/>
        <v>#DIV/0!</v>
      </c>
      <c r="AA525" s="577" t="e">
        <f t="shared" si="1198"/>
        <v>#DIV/0!</v>
      </c>
      <c r="AB525" s="577" t="e">
        <f t="shared" si="1198"/>
        <v>#DIV/0!</v>
      </c>
      <c r="AC525" s="577" t="e">
        <f t="shared" si="1198"/>
        <v>#DIV/0!</v>
      </c>
      <c r="AD525" s="577" t="e">
        <f t="shared" si="1198"/>
        <v>#DIV/0!</v>
      </c>
      <c r="AE525" s="577" t="e">
        <f t="shared" si="1198"/>
        <v>#DIV/0!</v>
      </c>
      <c r="AF525" s="577" t="e">
        <f t="shared" si="1198"/>
        <v>#DIV/0!</v>
      </c>
      <c r="AG525" s="577" t="e">
        <f t="shared" si="1198"/>
        <v>#DIV/0!</v>
      </c>
      <c r="AH525" s="752" t="e">
        <f t="shared" si="1198"/>
        <v>#DIV/0!</v>
      </c>
      <c r="AI525" s="18"/>
      <c r="AJ525" s="18"/>
      <c r="AK525" s="18"/>
      <c r="AL525" s="18"/>
      <c r="AM525" s="18"/>
      <c r="AN525" s="18"/>
    </row>
    <row r="526" spans="2:40" ht="21.95" customHeight="1" x14ac:dyDescent="0.2">
      <c r="B526" s="232"/>
      <c r="C526" s="715"/>
      <c r="D526" s="715"/>
      <c r="E526" s="254"/>
      <c r="F526" s="254"/>
      <c r="G526" s="254"/>
      <c r="H526" s="721" t="s">
        <v>25</v>
      </c>
      <c r="I526" s="577" t="e">
        <f t="shared" ref="I526:AH526" si="1199">SUM(I524:I525)</f>
        <v>#DIV/0!</v>
      </c>
      <c r="J526" s="577" t="e">
        <f t="shared" si="1199"/>
        <v>#DIV/0!</v>
      </c>
      <c r="K526" s="577" t="e">
        <f t="shared" si="1199"/>
        <v>#DIV/0!</v>
      </c>
      <c r="L526" s="577" t="e">
        <f t="shared" si="1199"/>
        <v>#DIV/0!</v>
      </c>
      <c r="M526" s="577" t="e">
        <f t="shared" si="1199"/>
        <v>#DIV/0!</v>
      </c>
      <c r="N526" s="577" t="e">
        <f t="shared" si="1199"/>
        <v>#DIV/0!</v>
      </c>
      <c r="O526" s="577" t="e">
        <f t="shared" si="1199"/>
        <v>#DIV/0!</v>
      </c>
      <c r="P526" s="577" t="e">
        <f t="shared" si="1199"/>
        <v>#DIV/0!</v>
      </c>
      <c r="Q526" s="577" t="e">
        <f t="shared" si="1199"/>
        <v>#DIV/0!</v>
      </c>
      <c r="R526" s="577" t="e">
        <f t="shared" si="1199"/>
        <v>#DIV/0!</v>
      </c>
      <c r="S526" s="577" t="e">
        <f t="shared" si="1199"/>
        <v>#DIV/0!</v>
      </c>
      <c r="T526" s="577" t="e">
        <f t="shared" si="1199"/>
        <v>#DIV/0!</v>
      </c>
      <c r="U526" s="577" t="e">
        <f t="shared" si="1199"/>
        <v>#DIV/0!</v>
      </c>
      <c r="V526" s="577" t="e">
        <f t="shared" si="1199"/>
        <v>#DIV/0!</v>
      </c>
      <c r="W526" s="577" t="e">
        <f t="shared" si="1199"/>
        <v>#DIV/0!</v>
      </c>
      <c r="X526" s="577" t="e">
        <f t="shared" si="1199"/>
        <v>#DIV/0!</v>
      </c>
      <c r="Y526" s="577" t="e">
        <f t="shared" si="1199"/>
        <v>#DIV/0!</v>
      </c>
      <c r="Z526" s="577" t="e">
        <f t="shared" si="1199"/>
        <v>#DIV/0!</v>
      </c>
      <c r="AA526" s="577" t="e">
        <f t="shared" si="1199"/>
        <v>#DIV/0!</v>
      </c>
      <c r="AB526" s="577" t="e">
        <f t="shared" si="1199"/>
        <v>#DIV/0!</v>
      </c>
      <c r="AC526" s="577" t="e">
        <f t="shared" si="1199"/>
        <v>#DIV/0!</v>
      </c>
      <c r="AD526" s="577" t="e">
        <f t="shared" si="1199"/>
        <v>#DIV/0!</v>
      </c>
      <c r="AE526" s="577" t="e">
        <f t="shared" si="1199"/>
        <v>#DIV/0!</v>
      </c>
      <c r="AF526" s="577" t="e">
        <f t="shared" si="1199"/>
        <v>#DIV/0!</v>
      </c>
      <c r="AG526" s="577" t="e">
        <f t="shared" si="1199"/>
        <v>#DIV/0!</v>
      </c>
      <c r="AH526" s="752" t="e">
        <f t="shared" si="1199"/>
        <v>#DIV/0!</v>
      </c>
      <c r="AI526" s="18"/>
      <c r="AJ526" s="18"/>
      <c r="AK526" s="18"/>
      <c r="AL526" s="18"/>
      <c r="AM526" s="18"/>
      <c r="AN526" s="18"/>
    </row>
    <row r="527" spans="2:40" ht="21.95" customHeight="1" x14ac:dyDescent="0.2">
      <c r="B527" s="232"/>
      <c r="C527" s="715"/>
      <c r="D527" s="715"/>
      <c r="E527" s="220" t="s">
        <v>357</v>
      </c>
      <c r="F527" s="220" t="s">
        <v>338</v>
      </c>
      <c r="G527" s="220" t="s">
        <v>323</v>
      </c>
      <c r="H527" s="116" t="s">
        <v>20</v>
      </c>
      <c r="I527" s="577">
        <f t="shared" ref="I527:AH527" si="1200">I436*$D$11</f>
        <v>12757.824207646447</v>
      </c>
      <c r="J527" s="577">
        <f t="shared" si="1200"/>
        <v>12933.074441110428</v>
      </c>
      <c r="K527" s="577">
        <f t="shared" si="1200"/>
        <v>13236.025476474169</v>
      </c>
      <c r="L527" s="577">
        <f t="shared" si="1200"/>
        <v>13652.021382959087</v>
      </c>
      <c r="M527" s="577">
        <f t="shared" si="1200"/>
        <v>14068.308752895213</v>
      </c>
      <c r="N527" s="577">
        <f t="shared" si="1200"/>
        <v>14485.349036816229</v>
      </c>
      <c r="O527" s="577">
        <f t="shared" si="1200"/>
        <v>14901.802946953612</v>
      </c>
      <c r="P527" s="577">
        <f t="shared" si="1200"/>
        <v>15319.964318609869</v>
      </c>
      <c r="Q527" s="577">
        <f t="shared" si="1200"/>
        <v>15610.137432316791</v>
      </c>
      <c r="R527" s="577">
        <f t="shared" si="1200"/>
        <v>15900.529662557989</v>
      </c>
      <c r="S527" s="577">
        <f t="shared" si="1200"/>
        <v>16191.17407475105</v>
      </c>
      <c r="T527" s="577">
        <f t="shared" si="1200"/>
        <v>16482.001990716435</v>
      </c>
      <c r="U527" s="577">
        <f t="shared" si="1200"/>
        <v>16775.198284351973</v>
      </c>
      <c r="V527" s="577">
        <f t="shared" si="1200"/>
        <v>16951.654103119574</v>
      </c>
      <c r="W527" s="577">
        <f t="shared" si="1200"/>
        <v>17128.250548425422</v>
      </c>
      <c r="X527" s="577">
        <f t="shared" si="1200"/>
        <v>17305.001270962308</v>
      </c>
      <c r="Y527" s="577">
        <f t="shared" si="1200"/>
        <v>17481.921075234717</v>
      </c>
      <c r="Z527" s="577">
        <f t="shared" si="1200"/>
        <v>17660.244896861383</v>
      </c>
      <c r="AA527" s="577">
        <f t="shared" si="1200"/>
        <v>17837.553824688068</v>
      </c>
      <c r="AB527" s="577">
        <f t="shared" si="1200"/>
        <v>18015.767098934582</v>
      </c>
      <c r="AC527" s="577">
        <f t="shared" si="1200"/>
        <v>18193.540380193364</v>
      </c>
      <c r="AD527" s="577">
        <f t="shared" si="1200"/>
        <v>18371.577668775204</v>
      </c>
      <c r="AE527" s="577">
        <f t="shared" si="1200"/>
        <v>18551.130423020619</v>
      </c>
      <c r="AF527" s="577">
        <f t="shared" si="1200"/>
        <v>18729.771295440332</v>
      </c>
      <c r="AG527" s="577">
        <f t="shared" si="1200"/>
        <v>18908.7536014129</v>
      </c>
      <c r="AH527" s="752">
        <f t="shared" si="1200"/>
        <v>19088.7973933582</v>
      </c>
      <c r="AI527" s="18"/>
      <c r="AJ527" s="18"/>
      <c r="AK527" s="18"/>
      <c r="AL527" s="18"/>
      <c r="AM527" s="18"/>
      <c r="AN527" s="18"/>
    </row>
    <row r="528" spans="2:40" ht="21.95" customHeight="1" x14ac:dyDescent="0.2">
      <c r="B528" s="232"/>
      <c r="C528" s="715"/>
      <c r="D528" s="715"/>
      <c r="E528" s="116"/>
      <c r="F528" s="116"/>
      <c r="G528" s="116"/>
      <c r="H528" s="124" t="s">
        <v>19</v>
      </c>
      <c r="I528" s="577">
        <f t="shared" ref="I528:AH528" si="1201">I437*$D$12</f>
        <v>30557.662772805863</v>
      </c>
      <c r="J528" s="577">
        <f t="shared" si="1201"/>
        <v>30977.423811042943</v>
      </c>
      <c r="K528" s="577">
        <f t="shared" si="1201"/>
        <v>31703.055033471064</v>
      </c>
      <c r="L528" s="577">
        <f t="shared" si="1201"/>
        <v>32699.452414273263</v>
      </c>
      <c r="M528" s="577">
        <f t="shared" si="1201"/>
        <v>33696.547911126261</v>
      </c>
      <c r="N528" s="577">
        <f t="shared" si="1201"/>
        <v>34695.446794769414</v>
      </c>
      <c r="O528" s="577">
        <f t="shared" si="1201"/>
        <v>35692.941190308055</v>
      </c>
      <c r="P528" s="577">
        <f t="shared" si="1201"/>
        <v>36694.525314035614</v>
      </c>
      <c r="Q528" s="577">
        <f t="shared" si="1201"/>
        <v>37389.550736088124</v>
      </c>
      <c r="R528" s="577">
        <f t="shared" si="1201"/>
        <v>38085.100988162849</v>
      </c>
      <c r="S528" s="577">
        <f t="shared" si="1201"/>
        <v>38781.255268864792</v>
      </c>
      <c r="T528" s="577">
        <f t="shared" si="1201"/>
        <v>39477.849079560321</v>
      </c>
      <c r="U528" s="577">
        <f t="shared" si="1201"/>
        <v>40180.115651142449</v>
      </c>
      <c r="V528" s="577">
        <f t="shared" si="1201"/>
        <v>40602.76431884928</v>
      </c>
      <c r="W528" s="577">
        <f t="shared" si="1201"/>
        <v>41025.749816587835</v>
      </c>
      <c r="X528" s="577">
        <f t="shared" si="1201"/>
        <v>41449.104840628286</v>
      </c>
      <c r="Y528" s="577">
        <f t="shared" si="1201"/>
        <v>41872.864850861602</v>
      </c>
      <c r="Z528" s="577">
        <f t="shared" si="1201"/>
        <v>42299.987776913491</v>
      </c>
      <c r="AA528" s="577">
        <f t="shared" si="1201"/>
        <v>42724.679819612138</v>
      </c>
      <c r="AB528" s="577">
        <f t="shared" si="1201"/>
        <v>43151.537961519956</v>
      </c>
      <c r="AC528" s="577">
        <f t="shared" si="1201"/>
        <v>43577.342228008063</v>
      </c>
      <c r="AD528" s="577">
        <f t="shared" si="1201"/>
        <v>44003.778847365764</v>
      </c>
      <c r="AE528" s="577">
        <f t="shared" si="1201"/>
        <v>44433.84532460029</v>
      </c>
      <c r="AF528" s="577">
        <f t="shared" si="1201"/>
        <v>44861.727653749302</v>
      </c>
      <c r="AG528" s="577">
        <f t="shared" si="1201"/>
        <v>45290.42778781533</v>
      </c>
      <c r="AH528" s="752">
        <f t="shared" si="1201"/>
        <v>45721.670403253178</v>
      </c>
      <c r="AI528" s="18"/>
      <c r="AJ528" s="18"/>
      <c r="AK528" s="18"/>
      <c r="AL528" s="18"/>
      <c r="AM528" s="18"/>
      <c r="AN528" s="18"/>
    </row>
    <row r="529" spans="2:40" ht="21.95" customHeight="1" x14ac:dyDescent="0.2">
      <c r="B529" s="232"/>
      <c r="C529" s="715"/>
      <c r="D529" s="715"/>
      <c r="E529" s="254"/>
      <c r="F529" s="254"/>
      <c r="G529" s="254"/>
      <c r="H529" s="721" t="s">
        <v>25</v>
      </c>
      <c r="I529" s="577">
        <f t="shared" ref="I529:AH529" si="1202">SUM(I527:I528)</f>
        <v>43315.486980452311</v>
      </c>
      <c r="J529" s="577">
        <f t="shared" si="1202"/>
        <v>43910.498252153368</v>
      </c>
      <c r="K529" s="577">
        <f t="shared" si="1202"/>
        <v>44939.080509945234</v>
      </c>
      <c r="L529" s="577">
        <f t="shared" si="1202"/>
        <v>46351.473797232349</v>
      </c>
      <c r="M529" s="577">
        <f t="shared" si="1202"/>
        <v>47764.85666402147</v>
      </c>
      <c r="N529" s="577">
        <f t="shared" si="1202"/>
        <v>49180.795831585645</v>
      </c>
      <c r="O529" s="577">
        <f t="shared" si="1202"/>
        <v>50594.744137261667</v>
      </c>
      <c r="P529" s="577">
        <f t="shared" si="1202"/>
        <v>52014.489632645484</v>
      </c>
      <c r="Q529" s="577">
        <f t="shared" si="1202"/>
        <v>52999.688168404915</v>
      </c>
      <c r="R529" s="577">
        <f t="shared" si="1202"/>
        <v>53985.630650720836</v>
      </c>
      <c r="S529" s="577">
        <f t="shared" si="1202"/>
        <v>54972.42934361584</v>
      </c>
      <c r="T529" s="577">
        <f t="shared" si="1202"/>
        <v>55959.851070276753</v>
      </c>
      <c r="U529" s="577">
        <f t="shared" si="1202"/>
        <v>56955.313935494421</v>
      </c>
      <c r="V529" s="577">
        <f t="shared" si="1202"/>
        <v>57554.418421968854</v>
      </c>
      <c r="W529" s="577">
        <f t="shared" si="1202"/>
        <v>58154.000365013257</v>
      </c>
      <c r="X529" s="577">
        <f t="shared" si="1202"/>
        <v>58754.10611159059</v>
      </c>
      <c r="Y529" s="577">
        <f t="shared" si="1202"/>
        <v>59354.785926096316</v>
      </c>
      <c r="Z529" s="577">
        <f t="shared" si="1202"/>
        <v>59960.232673774874</v>
      </c>
      <c r="AA529" s="577">
        <f t="shared" si="1202"/>
        <v>60562.233644300206</v>
      </c>
      <c r="AB529" s="577">
        <f t="shared" si="1202"/>
        <v>61167.305060454542</v>
      </c>
      <c r="AC529" s="577">
        <f t="shared" si="1202"/>
        <v>61770.882608201428</v>
      </c>
      <c r="AD529" s="577">
        <f t="shared" si="1202"/>
        <v>62375.356516140964</v>
      </c>
      <c r="AE529" s="577">
        <f t="shared" si="1202"/>
        <v>62984.975747620905</v>
      </c>
      <c r="AF529" s="577">
        <f t="shared" si="1202"/>
        <v>63591.498949189634</v>
      </c>
      <c r="AG529" s="577">
        <f t="shared" si="1202"/>
        <v>64199.18138922823</v>
      </c>
      <c r="AH529" s="752">
        <f t="shared" si="1202"/>
        <v>64810.467796611381</v>
      </c>
      <c r="AI529" s="18"/>
      <c r="AJ529" s="18"/>
      <c r="AK529" s="18"/>
      <c r="AL529" s="18"/>
      <c r="AM529" s="18"/>
      <c r="AN529" s="18"/>
    </row>
    <row r="530" spans="2:40" ht="21.95" customHeight="1" x14ac:dyDescent="0.2">
      <c r="B530" s="232"/>
      <c r="C530" s="715"/>
      <c r="D530" s="715"/>
      <c r="E530" s="116" t="s">
        <v>338</v>
      </c>
      <c r="F530" s="116" t="s">
        <v>282</v>
      </c>
      <c r="G530" s="116" t="s">
        <v>357</v>
      </c>
      <c r="H530" s="116" t="s">
        <v>20</v>
      </c>
      <c r="I530" s="577">
        <f t="shared" ref="I530:AH530" si="1203">I439*$D$11</f>
        <v>26145.523115976084</v>
      </c>
      <c r="J530" s="577">
        <f t="shared" si="1203"/>
        <v>26899.22061349525</v>
      </c>
      <c r="K530" s="577">
        <f t="shared" si="1203"/>
        <v>27715.013969983043</v>
      </c>
      <c r="L530" s="577">
        <f t="shared" si="1203"/>
        <v>28797.309317045369</v>
      </c>
      <c r="M530" s="577">
        <f t="shared" si="1203"/>
        <v>29879.788357256264</v>
      </c>
      <c r="N530" s="577">
        <f t="shared" si="1203"/>
        <v>30962.712812167189</v>
      </c>
      <c r="O530" s="577">
        <f t="shared" si="1203"/>
        <v>32045.011066032326</v>
      </c>
      <c r="P530" s="577">
        <f t="shared" si="1203"/>
        <v>33127.598683184391</v>
      </c>
      <c r="Q530" s="577">
        <f t="shared" si="1203"/>
        <v>34318.850478284599</v>
      </c>
      <c r="R530" s="577">
        <f t="shared" si="1203"/>
        <v>35509.714039849845</v>
      </c>
      <c r="S530" s="577">
        <f t="shared" si="1203"/>
        <v>36700.975160954433</v>
      </c>
      <c r="T530" s="577">
        <f t="shared" si="1203"/>
        <v>37892.2435097833</v>
      </c>
      <c r="U530" s="577">
        <f t="shared" si="1203"/>
        <v>39084.201297145693</v>
      </c>
      <c r="V530" s="577">
        <f t="shared" si="1203"/>
        <v>40008.87398575656</v>
      </c>
      <c r="W530" s="577">
        <f t="shared" si="1203"/>
        <v>40762.607429593787</v>
      </c>
      <c r="X530" s="577">
        <f t="shared" si="1203"/>
        <v>41516.348282901585</v>
      </c>
      <c r="Y530" s="577">
        <f t="shared" si="1203"/>
        <v>42270.097873385828</v>
      </c>
      <c r="Z530" s="577">
        <f t="shared" si="1203"/>
        <v>43023.779292360588</v>
      </c>
      <c r="AA530" s="577">
        <f t="shared" si="1203"/>
        <v>43777.551196118089</v>
      </c>
      <c r="AB530" s="577">
        <f t="shared" si="1203"/>
        <v>44531.258731846865</v>
      </c>
      <c r="AC530" s="577">
        <f t="shared" si="1203"/>
        <v>45285.061127917419</v>
      </c>
      <c r="AD530" s="577">
        <f t="shared" si="1203"/>
        <v>46038.882614839153</v>
      </c>
      <c r="AE530" s="577">
        <f t="shared" si="1203"/>
        <v>46792.64779594935</v>
      </c>
      <c r="AF530" s="577">
        <f t="shared" si="1203"/>
        <v>47546.517058508674</v>
      </c>
      <c r="AG530" s="577">
        <f t="shared" si="1203"/>
        <v>48300.415914697449</v>
      </c>
      <c r="AH530" s="752">
        <f t="shared" si="1203"/>
        <v>49054.270399815658</v>
      </c>
      <c r="AI530" s="18"/>
      <c r="AJ530" s="18"/>
      <c r="AK530" s="18"/>
      <c r="AL530" s="18"/>
      <c r="AM530" s="18"/>
      <c r="AN530" s="18"/>
    </row>
    <row r="531" spans="2:40" ht="21.95" customHeight="1" x14ac:dyDescent="0.2">
      <c r="B531" s="232"/>
      <c r="C531" s="715"/>
      <c r="D531" s="715"/>
      <c r="E531" s="116"/>
      <c r="F531" s="116"/>
      <c r="G531" s="116"/>
      <c r="H531" s="124" t="s">
        <v>19</v>
      </c>
      <c r="I531" s="577">
        <f t="shared" ref="I531:AH531" si="1204">I440*$D$12</f>
        <v>62624.007463415772</v>
      </c>
      <c r="J531" s="577">
        <f t="shared" si="1204"/>
        <v>64429.270930527549</v>
      </c>
      <c r="K531" s="577">
        <f t="shared" si="1204"/>
        <v>66383.266993971367</v>
      </c>
      <c r="L531" s="577">
        <f t="shared" si="1204"/>
        <v>68975.591178551782</v>
      </c>
      <c r="M531" s="577">
        <f t="shared" si="1204"/>
        <v>71568.355346721597</v>
      </c>
      <c r="N531" s="577">
        <f t="shared" si="1204"/>
        <v>74162.186376448357</v>
      </c>
      <c r="O531" s="577">
        <f t="shared" si="1204"/>
        <v>76754.517523430724</v>
      </c>
      <c r="P531" s="577">
        <f t="shared" si="1204"/>
        <v>79347.541756130289</v>
      </c>
      <c r="Q531" s="577">
        <f t="shared" si="1204"/>
        <v>82200.839468945152</v>
      </c>
      <c r="R531" s="577">
        <f t="shared" si="1204"/>
        <v>85053.207281077484</v>
      </c>
      <c r="S531" s="577">
        <f t="shared" si="1204"/>
        <v>87906.527331627396</v>
      </c>
      <c r="T531" s="577">
        <f t="shared" si="1204"/>
        <v>90759.864694091739</v>
      </c>
      <c r="U531" s="577">
        <f t="shared" si="1204"/>
        <v>93614.853406336988</v>
      </c>
      <c r="V531" s="577">
        <f t="shared" si="1204"/>
        <v>95829.638289237279</v>
      </c>
      <c r="W531" s="577">
        <f t="shared" si="1204"/>
        <v>97634.987855314466</v>
      </c>
      <c r="X531" s="577">
        <f t="shared" si="1204"/>
        <v>99440.355168626556</v>
      </c>
      <c r="Y531" s="577">
        <f t="shared" si="1204"/>
        <v>101245.74340930738</v>
      </c>
      <c r="Z531" s="577">
        <f t="shared" si="1204"/>
        <v>103050.96836493554</v>
      </c>
      <c r="AA531" s="577">
        <f t="shared" si="1204"/>
        <v>104856.41005058226</v>
      </c>
      <c r="AB531" s="577">
        <f t="shared" si="1204"/>
        <v>106661.69756130986</v>
      </c>
      <c r="AC531" s="577">
        <f t="shared" si="1204"/>
        <v>108467.21228243693</v>
      </c>
      <c r="AD531" s="577">
        <f t="shared" si="1204"/>
        <v>110272.77273015367</v>
      </c>
      <c r="AE531" s="577">
        <f t="shared" si="1204"/>
        <v>112078.19831365114</v>
      </c>
      <c r="AF531" s="577">
        <f t="shared" si="1204"/>
        <v>113883.87319403276</v>
      </c>
      <c r="AG531" s="577">
        <f t="shared" si="1204"/>
        <v>115689.61895735917</v>
      </c>
      <c r="AH531" s="752">
        <f t="shared" si="1204"/>
        <v>117495.25844267223</v>
      </c>
      <c r="AI531" s="18"/>
      <c r="AJ531" s="18"/>
      <c r="AK531" s="18"/>
      <c r="AL531" s="18"/>
      <c r="AM531" s="18"/>
      <c r="AN531" s="18"/>
    </row>
    <row r="532" spans="2:40" ht="21.95" customHeight="1" x14ac:dyDescent="0.2">
      <c r="B532" s="232"/>
      <c r="C532" s="715"/>
      <c r="D532" s="715"/>
      <c r="E532" s="116"/>
      <c r="F532" s="116"/>
      <c r="G532" s="116"/>
      <c r="H532" s="721" t="s">
        <v>25</v>
      </c>
      <c r="I532" s="577">
        <f t="shared" ref="I532:AH532" si="1205">SUM(I530:I531)</f>
        <v>88769.530579391852</v>
      </c>
      <c r="J532" s="577">
        <f t="shared" si="1205"/>
        <v>91328.491544022807</v>
      </c>
      <c r="K532" s="577">
        <f t="shared" si="1205"/>
        <v>94098.280963954414</v>
      </c>
      <c r="L532" s="577">
        <f t="shared" si="1205"/>
        <v>97772.900495597147</v>
      </c>
      <c r="M532" s="577">
        <f t="shared" si="1205"/>
        <v>101448.14370397787</v>
      </c>
      <c r="N532" s="577">
        <f t="shared" si="1205"/>
        <v>105124.89918861554</v>
      </c>
      <c r="O532" s="577">
        <f t="shared" si="1205"/>
        <v>108799.52858946305</v>
      </c>
      <c r="P532" s="577">
        <f t="shared" si="1205"/>
        <v>112475.14043931468</v>
      </c>
      <c r="Q532" s="577">
        <f t="shared" si="1205"/>
        <v>116519.68994722975</v>
      </c>
      <c r="R532" s="577">
        <f t="shared" si="1205"/>
        <v>120562.92132092733</v>
      </c>
      <c r="S532" s="577">
        <f t="shared" si="1205"/>
        <v>124607.50249258183</v>
      </c>
      <c r="T532" s="577">
        <f t="shared" si="1205"/>
        <v>128652.10820387505</v>
      </c>
      <c r="U532" s="577">
        <f t="shared" si="1205"/>
        <v>132699.05470348269</v>
      </c>
      <c r="V532" s="577">
        <f t="shared" si="1205"/>
        <v>135838.51227499385</v>
      </c>
      <c r="W532" s="577">
        <f t="shared" si="1205"/>
        <v>138397.59528490825</v>
      </c>
      <c r="X532" s="577">
        <f t="shared" si="1205"/>
        <v>140956.70345152816</v>
      </c>
      <c r="Y532" s="577">
        <f t="shared" si="1205"/>
        <v>143515.8412826932</v>
      </c>
      <c r="Z532" s="577">
        <f t="shared" si="1205"/>
        <v>146074.74765729613</v>
      </c>
      <c r="AA532" s="577">
        <f t="shared" si="1205"/>
        <v>148633.96124670035</v>
      </c>
      <c r="AB532" s="577">
        <f t="shared" si="1205"/>
        <v>151192.95629315672</v>
      </c>
      <c r="AC532" s="577">
        <f t="shared" si="1205"/>
        <v>153752.27341035433</v>
      </c>
      <c r="AD532" s="577">
        <f t="shared" si="1205"/>
        <v>156311.65534499282</v>
      </c>
      <c r="AE532" s="577">
        <f t="shared" si="1205"/>
        <v>158870.8461096005</v>
      </c>
      <c r="AF532" s="577">
        <f t="shared" si="1205"/>
        <v>161430.39025254143</v>
      </c>
      <c r="AG532" s="577">
        <f t="shared" si="1205"/>
        <v>163990.03487205663</v>
      </c>
      <c r="AH532" s="752">
        <f t="shared" si="1205"/>
        <v>166549.5288424879</v>
      </c>
      <c r="AI532" s="18"/>
      <c r="AJ532" s="18"/>
      <c r="AK532" s="18"/>
      <c r="AL532" s="18"/>
      <c r="AM532" s="18"/>
      <c r="AN532" s="18"/>
    </row>
    <row r="533" spans="2:40" ht="21.95" customHeight="1" x14ac:dyDescent="0.2">
      <c r="B533" s="232"/>
      <c r="C533" s="715"/>
      <c r="D533" s="715"/>
      <c r="E533" s="116"/>
      <c r="F533" s="116" t="s">
        <v>357</v>
      </c>
      <c r="G533" s="116" t="s">
        <v>346</v>
      </c>
      <c r="H533" s="116" t="s">
        <v>20</v>
      </c>
      <c r="I533" s="577">
        <f t="shared" ref="I533:AH533" si="1206">I442*$D$11</f>
        <v>3807.746219262337</v>
      </c>
      <c r="J533" s="577">
        <f t="shared" si="1206"/>
        <v>3915.816073817934</v>
      </c>
      <c r="K533" s="577">
        <f t="shared" si="1206"/>
        <v>4035.7450561603737</v>
      </c>
      <c r="L533" s="577">
        <f t="shared" si="1206"/>
        <v>4204.077514565518</v>
      </c>
      <c r="M533" s="577">
        <f t="shared" si="1206"/>
        <v>4372.4400414941565</v>
      </c>
      <c r="N533" s="577">
        <f t="shared" si="1206"/>
        <v>4540.8376502599467</v>
      </c>
      <c r="O533" s="577">
        <f t="shared" si="1206"/>
        <v>4709.1701412284037</v>
      </c>
      <c r="P533" s="577">
        <f t="shared" si="1206"/>
        <v>4877.5126729922922</v>
      </c>
      <c r="Q533" s="577">
        <f t="shared" si="1206"/>
        <v>5066.7226982837219</v>
      </c>
      <c r="R533" s="577">
        <f t="shared" si="1206"/>
        <v>5255.8676408574956</v>
      </c>
      <c r="S533" s="577">
        <f t="shared" si="1206"/>
        <v>5445.0777852652509</v>
      </c>
      <c r="T533" s="577">
        <f t="shared" si="1206"/>
        <v>5634.2880248785732</v>
      </c>
      <c r="U533" s="577">
        <f t="shared" si="1206"/>
        <v>5823.5284551413415</v>
      </c>
      <c r="V533" s="577">
        <f t="shared" si="1206"/>
        <v>5964.3553904227656</v>
      </c>
      <c r="W533" s="577">
        <f t="shared" si="1206"/>
        <v>6072.4256632449751</v>
      </c>
      <c r="X533" s="577">
        <f t="shared" si="1206"/>
        <v>6180.4960184969359</v>
      </c>
      <c r="Y533" s="577">
        <f t="shared" si="1206"/>
        <v>6288.5664703567099</v>
      </c>
      <c r="Z533" s="577">
        <f t="shared" si="1206"/>
        <v>6396.5819226156736</v>
      </c>
      <c r="AA533" s="577">
        <f t="shared" si="1206"/>
        <v>6504.6526189326414</v>
      </c>
      <c r="AB533" s="577">
        <f t="shared" si="1206"/>
        <v>6612.6683555979853</v>
      </c>
      <c r="AC533" s="577">
        <f t="shared" si="1206"/>
        <v>6720.7393823042985</v>
      </c>
      <c r="AD533" s="577">
        <f t="shared" si="1206"/>
        <v>6828.8106143303276</v>
      </c>
      <c r="AE533" s="577">
        <f t="shared" si="1206"/>
        <v>6936.8269703548822</v>
      </c>
      <c r="AF533" s="577">
        <f t="shared" si="1206"/>
        <v>7044.8987122074623</v>
      </c>
      <c r="AG533" s="577">
        <f t="shared" si="1206"/>
        <v>7152.9707677401084</v>
      </c>
      <c r="AH533" s="752">
        <f t="shared" si="1206"/>
        <v>7260.9880694747008</v>
      </c>
      <c r="AI533" s="18"/>
      <c r="AJ533" s="18"/>
      <c r="AK533" s="18"/>
      <c r="AL533" s="18"/>
      <c r="AM533" s="18"/>
      <c r="AN533" s="18"/>
    </row>
    <row r="534" spans="2:40" ht="21.95" customHeight="1" x14ac:dyDescent="0.2">
      <c r="B534" s="232"/>
      <c r="C534" s="715"/>
      <c r="D534" s="715"/>
      <c r="E534" s="116"/>
      <c r="F534" s="116"/>
      <c r="G534" s="116"/>
      <c r="H534" s="124" t="s">
        <v>19</v>
      </c>
      <c r="I534" s="577">
        <f t="shared" ref="I534:AH534" si="1207">I443*$D$12</f>
        <v>9120.3502257780528</v>
      </c>
      <c r="J534" s="577">
        <f t="shared" si="1207"/>
        <v>9379.2001768094233</v>
      </c>
      <c r="K534" s="577">
        <f t="shared" si="1207"/>
        <v>9666.455224336225</v>
      </c>
      <c r="L534" s="577">
        <f t="shared" si="1207"/>
        <v>10069.646741474295</v>
      </c>
      <c r="M534" s="577">
        <f t="shared" si="1207"/>
        <v>10472.910279027919</v>
      </c>
      <c r="N534" s="577">
        <f t="shared" si="1207"/>
        <v>10876.257844934004</v>
      </c>
      <c r="O534" s="577">
        <f t="shared" si="1207"/>
        <v>11279.449440068034</v>
      </c>
      <c r="P534" s="577">
        <f t="shared" si="1207"/>
        <v>11682.665085011478</v>
      </c>
      <c r="Q534" s="577">
        <f t="shared" si="1207"/>
        <v>12135.862750380173</v>
      </c>
      <c r="R534" s="577">
        <f t="shared" si="1207"/>
        <v>12588.90452899999</v>
      </c>
      <c r="S534" s="577">
        <f t="shared" si="1207"/>
        <v>13042.102479677249</v>
      </c>
      <c r="T534" s="577">
        <f t="shared" si="1207"/>
        <v>13495.300658391792</v>
      </c>
      <c r="U534" s="577">
        <f t="shared" si="1207"/>
        <v>13948.571150039143</v>
      </c>
      <c r="V534" s="577">
        <f t="shared" si="1207"/>
        <v>14285.881174665308</v>
      </c>
      <c r="W534" s="577">
        <f t="shared" si="1207"/>
        <v>14544.732127532876</v>
      </c>
      <c r="X534" s="577">
        <f t="shared" si="1207"/>
        <v>14803.583277836973</v>
      </c>
      <c r="Y534" s="577">
        <f t="shared" si="1207"/>
        <v>15062.43465953703</v>
      </c>
      <c r="Z534" s="577">
        <f t="shared" si="1207"/>
        <v>15321.154305666285</v>
      </c>
      <c r="AA534" s="577">
        <f t="shared" si="1207"/>
        <v>15580.006272892555</v>
      </c>
      <c r="AB534" s="577">
        <f t="shared" si="1207"/>
        <v>15838.726600234695</v>
      </c>
      <c r="AC534" s="577">
        <f t="shared" si="1207"/>
        <v>16097.579358812691</v>
      </c>
      <c r="AD534" s="577">
        <f t="shared" si="1207"/>
        <v>16356.432609174437</v>
      </c>
      <c r="AE534" s="577">
        <f t="shared" si="1207"/>
        <v>16615.154420011695</v>
      </c>
      <c r="AF534" s="577">
        <f t="shared" si="1207"/>
        <v>16874.008891514881</v>
      </c>
      <c r="AG534" s="577">
        <f t="shared" si="1207"/>
        <v>17132.864114347565</v>
      </c>
      <c r="AH534" s="752">
        <f t="shared" si="1207"/>
        <v>17391.588190358565</v>
      </c>
      <c r="AI534" s="18"/>
      <c r="AJ534" s="18"/>
      <c r="AK534" s="18"/>
      <c r="AL534" s="18"/>
      <c r="AM534" s="18"/>
      <c r="AN534" s="18"/>
    </row>
    <row r="535" spans="2:40" ht="21.95" customHeight="1" x14ac:dyDescent="0.2">
      <c r="B535" s="232"/>
      <c r="C535" s="715"/>
      <c r="D535" s="715"/>
      <c r="E535" s="116"/>
      <c r="F535" s="116"/>
      <c r="G535" s="116"/>
      <c r="H535" s="721" t="s">
        <v>25</v>
      </c>
      <c r="I535" s="577">
        <f t="shared" ref="I535:AH535" si="1208">SUM(I533:I534)</f>
        <v>12928.09644504039</v>
      </c>
      <c r="J535" s="577">
        <f t="shared" si="1208"/>
        <v>13295.016250627357</v>
      </c>
      <c r="K535" s="577">
        <f t="shared" si="1208"/>
        <v>13702.2002804966</v>
      </c>
      <c r="L535" s="577">
        <f t="shared" si="1208"/>
        <v>14273.724256039812</v>
      </c>
      <c r="M535" s="577">
        <f t="shared" si="1208"/>
        <v>14845.350320522077</v>
      </c>
      <c r="N535" s="577">
        <f t="shared" si="1208"/>
        <v>15417.095495193949</v>
      </c>
      <c r="O535" s="577">
        <f t="shared" si="1208"/>
        <v>15988.619581296438</v>
      </c>
      <c r="P535" s="577">
        <f t="shared" si="1208"/>
        <v>16560.177758003771</v>
      </c>
      <c r="Q535" s="577">
        <f t="shared" si="1208"/>
        <v>17202.585448663893</v>
      </c>
      <c r="R535" s="577">
        <f t="shared" si="1208"/>
        <v>17844.772169857486</v>
      </c>
      <c r="S535" s="577">
        <f t="shared" si="1208"/>
        <v>18487.180264942501</v>
      </c>
      <c r="T535" s="577">
        <f t="shared" si="1208"/>
        <v>19129.588683270365</v>
      </c>
      <c r="U535" s="577">
        <f t="shared" si="1208"/>
        <v>19772.099605180483</v>
      </c>
      <c r="V535" s="577">
        <f t="shared" si="1208"/>
        <v>20250.236565088075</v>
      </c>
      <c r="W535" s="577">
        <f t="shared" si="1208"/>
        <v>20617.157790777852</v>
      </c>
      <c r="X535" s="577">
        <f t="shared" si="1208"/>
        <v>20984.079296333908</v>
      </c>
      <c r="Y535" s="577">
        <f t="shared" si="1208"/>
        <v>21351.001129893739</v>
      </c>
      <c r="Z535" s="577">
        <f t="shared" si="1208"/>
        <v>21717.736228281959</v>
      </c>
      <c r="AA535" s="577">
        <f t="shared" si="1208"/>
        <v>22084.658891825195</v>
      </c>
      <c r="AB535" s="577">
        <f t="shared" si="1208"/>
        <v>22451.394955832679</v>
      </c>
      <c r="AC535" s="577">
        <f t="shared" si="1208"/>
        <v>22818.318741116989</v>
      </c>
      <c r="AD535" s="577">
        <f t="shared" si="1208"/>
        <v>23185.243223504764</v>
      </c>
      <c r="AE535" s="577">
        <f t="shared" si="1208"/>
        <v>23551.981390366578</v>
      </c>
      <c r="AF535" s="577">
        <f t="shared" si="1208"/>
        <v>23918.907603722342</v>
      </c>
      <c r="AG535" s="577">
        <f t="shared" si="1208"/>
        <v>24285.834882087674</v>
      </c>
      <c r="AH535" s="752">
        <f t="shared" si="1208"/>
        <v>24652.576259833266</v>
      </c>
      <c r="AI535" s="18"/>
      <c r="AJ535" s="18"/>
      <c r="AK535" s="18"/>
      <c r="AL535" s="18"/>
      <c r="AM535" s="18"/>
      <c r="AN535" s="18"/>
    </row>
    <row r="536" spans="2:40" ht="21.95" customHeight="1" x14ac:dyDescent="0.2">
      <c r="B536" s="232"/>
      <c r="C536" s="715"/>
      <c r="D536" s="715"/>
      <c r="E536" s="116"/>
      <c r="F536" s="116" t="s">
        <v>346</v>
      </c>
      <c r="G536" s="116" t="s">
        <v>343</v>
      </c>
      <c r="H536" s="116" t="s">
        <v>20</v>
      </c>
      <c r="I536" s="577">
        <f t="shared" ref="I536:AH536" si="1209">I445*$D$11</f>
        <v>1146.9053391920515</v>
      </c>
      <c r="J536" s="577">
        <f t="shared" si="1209"/>
        <v>1179.4563274089844</v>
      </c>
      <c r="K536" s="577">
        <f t="shared" si="1209"/>
        <v>1215.5793240822234</v>
      </c>
      <c r="L536" s="577">
        <f t="shared" si="1209"/>
        <v>1266.2816063569853</v>
      </c>
      <c r="M536" s="577">
        <f t="shared" si="1209"/>
        <v>1316.9929491861353</v>
      </c>
      <c r="N536" s="577">
        <f t="shared" si="1209"/>
        <v>1367.7148642133316</v>
      </c>
      <c r="O536" s="577">
        <f t="shared" si="1209"/>
        <v>1418.4171731717345</v>
      </c>
      <c r="P536" s="577">
        <f t="shared" si="1209"/>
        <v>1469.1225170273574</v>
      </c>
      <c r="Q536" s="577">
        <f t="shared" si="1209"/>
        <v>1526.1132385454123</v>
      </c>
      <c r="R536" s="577">
        <f t="shared" si="1209"/>
        <v>1583.0843827403251</v>
      </c>
      <c r="S536" s="577">
        <f t="shared" si="1209"/>
        <v>1640.0752018669184</v>
      </c>
      <c r="T536" s="577">
        <f t="shared" si="1209"/>
        <v>1697.0660990086437</v>
      </c>
      <c r="U536" s="577">
        <f t="shared" si="1209"/>
        <v>1754.066156779498</v>
      </c>
      <c r="V536" s="577">
        <f t="shared" si="1209"/>
        <v>1796.4839119783039</v>
      </c>
      <c r="W536" s="577">
        <f t="shared" si="1209"/>
        <v>1829.0352429391196</v>
      </c>
      <c r="X536" s="577">
        <f t="shared" si="1209"/>
        <v>1861.5866414460693</v>
      </c>
      <c r="Y536" s="577">
        <f t="shared" si="1209"/>
        <v>1894.1381191172095</v>
      </c>
      <c r="Z536" s="577">
        <f t="shared" si="1209"/>
        <v>1926.6730890422314</v>
      </c>
      <c r="AA536" s="577">
        <f t="shared" si="1209"/>
        <v>1959.2247670310765</v>
      </c>
      <c r="AB536" s="577">
        <f t="shared" si="1209"/>
        <v>1991.7599700097142</v>
      </c>
      <c r="AC536" s="577">
        <f t="shared" si="1209"/>
        <v>2024.311918732403</v>
      </c>
      <c r="AD536" s="577">
        <f t="shared" si="1209"/>
        <v>2056.8640357020267</v>
      </c>
      <c r="AE536" s="577">
        <f t="shared" si="1209"/>
        <v>2089.3997462076259</v>
      </c>
      <c r="AF536" s="577">
        <f t="shared" si="1209"/>
        <v>2121.9522809488972</v>
      </c>
      <c r="AG536" s="577">
        <f t="shared" si="1209"/>
        <v>2154.5050727317816</v>
      </c>
      <c r="AH536" s="752">
        <f t="shared" si="1209"/>
        <v>2187.0415581888601</v>
      </c>
      <c r="AI536" s="18"/>
      <c r="AJ536" s="18"/>
      <c r="AK536" s="18"/>
      <c r="AL536" s="18"/>
      <c r="AM536" s="18"/>
      <c r="AN536" s="18"/>
    </row>
    <row r="537" spans="2:40" ht="21.95" customHeight="1" x14ac:dyDescent="0.2">
      <c r="B537" s="232"/>
      <c r="C537" s="715"/>
      <c r="D537" s="715"/>
      <c r="E537" s="116"/>
      <c r="F537" s="116"/>
      <c r="G537" s="116"/>
      <c r="H537" s="124" t="s">
        <v>19</v>
      </c>
      <c r="I537" s="577">
        <f t="shared" ref="I537:AH537" si="1210">I446*$D$12</f>
        <v>2747.0786567474288</v>
      </c>
      <c r="J537" s="577">
        <f t="shared" si="1210"/>
        <v>2825.0450955903821</v>
      </c>
      <c r="K537" s="577">
        <f t="shared" si="1210"/>
        <v>2911.5672433107147</v>
      </c>
      <c r="L537" s="577">
        <f t="shared" si="1210"/>
        <v>3033.0098355855939</v>
      </c>
      <c r="M537" s="577">
        <f t="shared" si="1210"/>
        <v>3154.4741297871506</v>
      </c>
      <c r="N537" s="577">
        <f t="shared" si="1210"/>
        <v>3275.9637466187583</v>
      </c>
      <c r="O537" s="577">
        <f t="shared" si="1210"/>
        <v>3397.4064028065495</v>
      </c>
      <c r="P537" s="577">
        <f t="shared" si="1210"/>
        <v>3518.8563282092396</v>
      </c>
      <c r="Q537" s="577">
        <f t="shared" si="1210"/>
        <v>3655.3610504081735</v>
      </c>
      <c r="R537" s="577">
        <f t="shared" si="1210"/>
        <v>3791.8188808151499</v>
      </c>
      <c r="S537" s="577">
        <f t="shared" si="1210"/>
        <v>3928.3238368069901</v>
      </c>
      <c r="T537" s="577">
        <f t="shared" si="1210"/>
        <v>4064.8289796614222</v>
      </c>
      <c r="U537" s="577">
        <f t="shared" si="1210"/>
        <v>4201.3560641425101</v>
      </c>
      <c r="V537" s="577">
        <f t="shared" si="1210"/>
        <v>4302.9554777923449</v>
      </c>
      <c r="W537" s="577">
        <f t="shared" si="1210"/>
        <v>4380.9227375787295</v>
      </c>
      <c r="X537" s="577">
        <f t="shared" si="1210"/>
        <v>4458.8901591522617</v>
      </c>
      <c r="Y537" s="577">
        <f t="shared" si="1210"/>
        <v>4536.8577703406218</v>
      </c>
      <c r="Z537" s="577">
        <f t="shared" si="1210"/>
        <v>4614.7858420173206</v>
      </c>
      <c r="AA537" s="577">
        <f t="shared" si="1210"/>
        <v>4692.7539330085665</v>
      </c>
      <c r="AB537" s="577">
        <f t="shared" si="1210"/>
        <v>4770.6825628975193</v>
      </c>
      <c r="AC537" s="577">
        <f t="shared" si="1210"/>
        <v>4848.6513023530615</v>
      </c>
      <c r="AD537" s="577">
        <f t="shared" si="1210"/>
        <v>4926.6204447952741</v>
      </c>
      <c r="AE537" s="577">
        <f t="shared" si="1210"/>
        <v>5004.5502903176666</v>
      </c>
      <c r="AF537" s="577">
        <f t="shared" si="1210"/>
        <v>5082.5204334105329</v>
      </c>
      <c r="AG537" s="577">
        <f t="shared" si="1210"/>
        <v>5160.4911921719322</v>
      </c>
      <c r="AH537" s="752">
        <f t="shared" si="1210"/>
        <v>5238.4228938655333</v>
      </c>
      <c r="AI537" s="18"/>
      <c r="AJ537" s="18"/>
      <c r="AK537" s="18"/>
      <c r="AL537" s="18"/>
      <c r="AM537" s="18"/>
      <c r="AN537" s="18"/>
    </row>
    <row r="538" spans="2:40" ht="21.95" customHeight="1" x14ac:dyDescent="0.2">
      <c r="B538" s="232"/>
      <c r="C538" s="715"/>
      <c r="D538" s="715"/>
      <c r="E538" s="116"/>
      <c r="F538" s="116"/>
      <c r="G538" s="116"/>
      <c r="H538" s="721" t="s">
        <v>25</v>
      </c>
      <c r="I538" s="577">
        <f t="shared" ref="I538:AH538" si="1211">SUM(I536:I537)</f>
        <v>3893.9839959394803</v>
      </c>
      <c r="J538" s="577">
        <f t="shared" si="1211"/>
        <v>4004.5014229993667</v>
      </c>
      <c r="K538" s="577">
        <f t="shared" si="1211"/>
        <v>4127.1465673929379</v>
      </c>
      <c r="L538" s="577">
        <f t="shared" si="1211"/>
        <v>4299.2914419425797</v>
      </c>
      <c r="M538" s="577">
        <f t="shared" si="1211"/>
        <v>4471.4670789732863</v>
      </c>
      <c r="N538" s="577">
        <f t="shared" si="1211"/>
        <v>4643.6786108320903</v>
      </c>
      <c r="O538" s="577">
        <f t="shared" si="1211"/>
        <v>4815.8235759782838</v>
      </c>
      <c r="P538" s="577">
        <f t="shared" si="1211"/>
        <v>4987.9788452365974</v>
      </c>
      <c r="Q538" s="577">
        <f t="shared" si="1211"/>
        <v>5181.4742889535855</v>
      </c>
      <c r="R538" s="577">
        <f t="shared" si="1211"/>
        <v>5374.903263555475</v>
      </c>
      <c r="S538" s="577">
        <f t="shared" si="1211"/>
        <v>5568.3990386739088</v>
      </c>
      <c r="T538" s="577">
        <f t="shared" si="1211"/>
        <v>5761.8950786700661</v>
      </c>
      <c r="U538" s="577">
        <f t="shared" si="1211"/>
        <v>5955.4222209220079</v>
      </c>
      <c r="V538" s="577">
        <f t="shared" si="1211"/>
        <v>6099.4393897706486</v>
      </c>
      <c r="W538" s="577">
        <f t="shared" si="1211"/>
        <v>6209.9579805178491</v>
      </c>
      <c r="X538" s="577">
        <f t="shared" si="1211"/>
        <v>6320.4768005983315</v>
      </c>
      <c r="Y538" s="577">
        <f t="shared" si="1211"/>
        <v>6430.9958894578313</v>
      </c>
      <c r="Z538" s="577">
        <f t="shared" si="1211"/>
        <v>6541.458931059552</v>
      </c>
      <c r="AA538" s="577">
        <f t="shared" si="1211"/>
        <v>6651.9787000396427</v>
      </c>
      <c r="AB538" s="577">
        <f t="shared" si="1211"/>
        <v>6762.4425329072337</v>
      </c>
      <c r="AC538" s="577">
        <f t="shared" si="1211"/>
        <v>6872.9632210854643</v>
      </c>
      <c r="AD538" s="577">
        <f t="shared" si="1211"/>
        <v>6983.4844804973009</v>
      </c>
      <c r="AE538" s="577">
        <f t="shared" si="1211"/>
        <v>7093.9500365252925</v>
      </c>
      <c r="AF538" s="577">
        <f t="shared" si="1211"/>
        <v>7204.47271435943</v>
      </c>
      <c r="AG538" s="577">
        <f t="shared" si="1211"/>
        <v>7314.9962649037134</v>
      </c>
      <c r="AH538" s="752">
        <f t="shared" si="1211"/>
        <v>7425.4644520543934</v>
      </c>
      <c r="AI538" s="18"/>
      <c r="AJ538" s="18"/>
      <c r="AK538" s="18"/>
      <c r="AL538" s="18"/>
      <c r="AM538" s="18"/>
      <c r="AN538" s="18"/>
    </row>
    <row r="539" spans="2:40" ht="21.95" customHeight="1" x14ac:dyDescent="0.2">
      <c r="B539" s="232"/>
      <c r="C539" s="715"/>
      <c r="D539" s="715"/>
      <c r="E539" s="116"/>
      <c r="F539" s="116" t="s">
        <v>343</v>
      </c>
      <c r="G539" s="116" t="s">
        <v>350</v>
      </c>
      <c r="H539" s="116" t="s">
        <v>20</v>
      </c>
      <c r="I539" s="577">
        <f t="shared" ref="I539:AH539" si="1212">I448*$D$11</f>
        <v>2942.7176201021002</v>
      </c>
      <c r="J539" s="577">
        <f t="shared" si="1212"/>
        <v>3026.1632836625404</v>
      </c>
      <c r="K539" s="577">
        <f t="shared" si="1212"/>
        <v>3121.2473959259214</v>
      </c>
      <c r="L539" s="577">
        <f t="shared" si="1212"/>
        <v>3242.7424000338774</v>
      </c>
      <c r="M539" s="577">
        <f t="shared" si="1212"/>
        <v>3364.2766416250943</v>
      </c>
      <c r="N539" s="577">
        <f t="shared" si="1212"/>
        <v>3485.7912668341337</v>
      </c>
      <c r="O539" s="577">
        <f t="shared" si="1212"/>
        <v>3607.2862763117419</v>
      </c>
      <c r="P539" s="577">
        <f t="shared" si="1212"/>
        <v>3728.8058116861221</v>
      </c>
      <c r="Q539" s="577">
        <f t="shared" si="1212"/>
        <v>3866.1522701319832</v>
      </c>
      <c r="R539" s="577">
        <f t="shared" si="1212"/>
        <v>4003.4938317965311</v>
      </c>
      <c r="S539" s="577">
        <f t="shared" si="1212"/>
        <v>4140.8206904717226</v>
      </c>
      <c r="T539" s="577">
        <f t="shared" si="1212"/>
        <v>4278.1671816269418</v>
      </c>
      <c r="U539" s="577">
        <f t="shared" si="1212"/>
        <v>4415.5382146949196</v>
      </c>
      <c r="V539" s="577">
        <f t="shared" si="1212"/>
        <v>4526.468934787631</v>
      </c>
      <c r="W539" s="577">
        <f t="shared" si="1212"/>
        <v>4609.9146672151765</v>
      </c>
      <c r="X539" s="577">
        <f t="shared" si="1212"/>
        <v>4693.360413501191</v>
      </c>
      <c r="Y539" s="577">
        <f t="shared" si="1212"/>
        <v>4776.806176073108</v>
      </c>
      <c r="Z539" s="577">
        <f t="shared" si="1212"/>
        <v>4860.227435043992</v>
      </c>
      <c r="AA539" s="577">
        <f t="shared" si="1212"/>
        <v>4943.6732389940098</v>
      </c>
      <c r="AB539" s="577">
        <f t="shared" si="1212"/>
        <v>5027.0945462348182</v>
      </c>
      <c r="AC539" s="577">
        <f t="shared" si="1212"/>
        <v>5110.5404063813294</v>
      </c>
      <c r="AD539" s="577">
        <f t="shared" si="1212"/>
        <v>5193.9863015649944</v>
      </c>
      <c r="AE539" s="577">
        <f t="shared" si="1212"/>
        <v>5277.407714548357</v>
      </c>
      <c r="AF539" s="577">
        <f t="shared" si="1212"/>
        <v>5360.8536970335754</v>
      </c>
      <c r="AG539" s="577">
        <f t="shared" si="1212"/>
        <v>5444.2997333915391</v>
      </c>
      <c r="AH539" s="752">
        <f t="shared" si="1212"/>
        <v>5527.721308869217</v>
      </c>
      <c r="AI539" s="18"/>
      <c r="AJ539" s="18"/>
      <c r="AK539" s="18"/>
      <c r="AL539" s="18"/>
      <c r="AM539" s="18"/>
      <c r="AN539" s="18"/>
    </row>
    <row r="540" spans="2:40" ht="21.95" customHeight="1" x14ac:dyDescent="0.2">
      <c r="B540" s="232"/>
      <c r="C540" s="715"/>
      <c r="D540" s="715"/>
      <c r="E540" s="116"/>
      <c r="F540" s="116"/>
      <c r="G540" s="116"/>
      <c r="H540" s="124" t="s">
        <v>19</v>
      </c>
      <c r="I540" s="577">
        <f t="shared" ref="I540:AH540" si="1213">I449*$D$12</f>
        <v>7048.4254373702997</v>
      </c>
      <c r="J540" s="577">
        <f t="shared" si="1213"/>
        <v>7248.2952902096777</v>
      </c>
      <c r="K540" s="577">
        <f t="shared" si="1213"/>
        <v>7476.0416668884345</v>
      </c>
      <c r="L540" s="577">
        <f t="shared" si="1213"/>
        <v>7767.0476647518026</v>
      </c>
      <c r="M540" s="577">
        <f t="shared" si="1213"/>
        <v>8058.1476446110046</v>
      </c>
      <c r="N540" s="577">
        <f t="shared" si="1213"/>
        <v>8349.2006391236737</v>
      </c>
      <c r="O540" s="577">
        <f t="shared" si="1213"/>
        <v>8640.2066498484837</v>
      </c>
      <c r="P540" s="577">
        <f t="shared" si="1213"/>
        <v>8931.2714052362207</v>
      </c>
      <c r="Q540" s="577">
        <f t="shared" si="1213"/>
        <v>9260.2449583999605</v>
      </c>
      <c r="R540" s="577">
        <f t="shared" si="1213"/>
        <v>9589.2067827461833</v>
      </c>
      <c r="S540" s="577">
        <f t="shared" si="1213"/>
        <v>9918.1333903514314</v>
      </c>
      <c r="T540" s="577">
        <f t="shared" si="1213"/>
        <v>10247.107021860938</v>
      </c>
      <c r="U540" s="577">
        <f t="shared" si="1213"/>
        <v>10576.139436395018</v>
      </c>
      <c r="V540" s="577">
        <f t="shared" si="1213"/>
        <v>10841.841759970375</v>
      </c>
      <c r="W540" s="577">
        <f t="shared" si="1213"/>
        <v>11041.711777760902</v>
      </c>
      <c r="X540" s="577">
        <f t="shared" si="1213"/>
        <v>11241.581828745368</v>
      </c>
      <c r="Y540" s="577">
        <f t="shared" si="1213"/>
        <v>11441.451918737985</v>
      </c>
      <c r="Z540" s="577">
        <f t="shared" si="1213"/>
        <v>11641.263317470641</v>
      </c>
      <c r="AA540" s="577">
        <f t="shared" si="1213"/>
        <v>11841.13350657248</v>
      </c>
      <c r="AB540" s="577">
        <f t="shared" si="1213"/>
        <v>12040.945020921721</v>
      </c>
      <c r="AC540" s="577">
        <f t="shared" si="1213"/>
        <v>12240.815344625938</v>
      </c>
      <c r="AD540" s="577">
        <f t="shared" si="1213"/>
        <v>12440.685752251484</v>
      </c>
      <c r="AE540" s="577">
        <f t="shared" si="1213"/>
        <v>12640.497519876306</v>
      </c>
      <c r="AF540" s="577">
        <f t="shared" si="1213"/>
        <v>12840.368136607367</v>
      </c>
      <c r="AG540" s="577">
        <f t="shared" si="1213"/>
        <v>13040.238882374944</v>
      </c>
      <c r="AH540" s="752">
        <f t="shared" si="1213"/>
        <v>13240.051039207705</v>
      </c>
      <c r="AI540" s="18"/>
      <c r="AJ540" s="18"/>
      <c r="AK540" s="18"/>
      <c r="AL540" s="18"/>
      <c r="AM540" s="18"/>
      <c r="AN540" s="18"/>
    </row>
    <row r="541" spans="2:40" ht="21.95" customHeight="1" x14ac:dyDescent="0.2">
      <c r="B541" s="232"/>
      <c r="C541" s="715"/>
      <c r="D541" s="715"/>
      <c r="E541" s="116"/>
      <c r="F541" s="116"/>
      <c r="G541" s="116"/>
      <c r="H541" s="721" t="s">
        <v>25</v>
      </c>
      <c r="I541" s="577">
        <f t="shared" ref="I541:AH541" si="1214">SUM(I539:I540)</f>
        <v>9991.1430574724</v>
      </c>
      <c r="J541" s="577">
        <f t="shared" si="1214"/>
        <v>10274.458573872218</v>
      </c>
      <c r="K541" s="577">
        <f t="shared" si="1214"/>
        <v>10597.289062814356</v>
      </c>
      <c r="L541" s="577">
        <f t="shared" si="1214"/>
        <v>11009.79006478568</v>
      </c>
      <c r="M541" s="577">
        <f t="shared" si="1214"/>
        <v>11422.424286236099</v>
      </c>
      <c r="N541" s="577">
        <f t="shared" si="1214"/>
        <v>11834.991905957808</v>
      </c>
      <c r="O541" s="577">
        <f t="shared" si="1214"/>
        <v>12247.492926160226</v>
      </c>
      <c r="P541" s="577">
        <f t="shared" si="1214"/>
        <v>12660.077216922342</v>
      </c>
      <c r="Q541" s="577">
        <f t="shared" si="1214"/>
        <v>13126.397228531943</v>
      </c>
      <c r="R541" s="577">
        <f t="shared" si="1214"/>
        <v>13592.700614542715</v>
      </c>
      <c r="S541" s="577">
        <f t="shared" si="1214"/>
        <v>14058.954080823154</v>
      </c>
      <c r="T541" s="577">
        <f t="shared" si="1214"/>
        <v>14525.274203487879</v>
      </c>
      <c r="U541" s="577">
        <f t="shared" si="1214"/>
        <v>14991.677651089938</v>
      </c>
      <c r="V541" s="577">
        <f t="shared" si="1214"/>
        <v>15368.310694758005</v>
      </c>
      <c r="W541" s="577">
        <f t="shared" si="1214"/>
        <v>15651.626444976078</v>
      </c>
      <c r="X541" s="577">
        <f t="shared" si="1214"/>
        <v>15934.942242246558</v>
      </c>
      <c r="Y541" s="577">
        <f t="shared" si="1214"/>
        <v>16218.258094811092</v>
      </c>
      <c r="Z541" s="577">
        <f t="shared" si="1214"/>
        <v>16501.490752514634</v>
      </c>
      <c r="AA541" s="577">
        <f t="shared" si="1214"/>
        <v>16784.80674556649</v>
      </c>
      <c r="AB541" s="577">
        <f t="shared" si="1214"/>
        <v>17068.039567156538</v>
      </c>
      <c r="AC541" s="577">
        <f t="shared" si="1214"/>
        <v>17351.355751007268</v>
      </c>
      <c r="AD541" s="577">
        <f t="shared" si="1214"/>
        <v>17634.672053816477</v>
      </c>
      <c r="AE541" s="577">
        <f t="shared" si="1214"/>
        <v>17917.905234424663</v>
      </c>
      <c r="AF541" s="577">
        <f t="shared" si="1214"/>
        <v>18201.221833640942</v>
      </c>
      <c r="AG541" s="577">
        <f t="shared" si="1214"/>
        <v>18484.538615766483</v>
      </c>
      <c r="AH541" s="752">
        <f t="shared" si="1214"/>
        <v>18767.77234807692</v>
      </c>
      <c r="AI541" s="18"/>
      <c r="AJ541" s="18"/>
      <c r="AK541" s="18"/>
      <c r="AL541" s="18"/>
      <c r="AM541" s="18"/>
      <c r="AN541" s="18"/>
    </row>
    <row r="542" spans="2:40" ht="21.95" customHeight="1" x14ac:dyDescent="0.2">
      <c r="B542" s="232"/>
      <c r="C542" s="715"/>
      <c r="D542" s="715"/>
      <c r="E542" s="116"/>
      <c r="F542" s="116" t="s">
        <v>350</v>
      </c>
      <c r="G542" s="116" t="s">
        <v>280</v>
      </c>
      <c r="H542" s="116" t="s">
        <v>20</v>
      </c>
      <c r="I542" s="577">
        <f t="shared" ref="I542:AH542" si="1215">I451*$D$11</f>
        <v>20061.421579509875</v>
      </c>
      <c r="J542" s="577">
        <f t="shared" si="1215"/>
        <v>20630.296626387557</v>
      </c>
      <c r="K542" s="577">
        <f t="shared" si="1215"/>
        <v>21278.514596903802</v>
      </c>
      <c r="L542" s="577">
        <f t="shared" si="1215"/>
        <v>22106.783829113603</v>
      </c>
      <c r="M542" s="577">
        <f t="shared" si="1215"/>
        <v>22935.320550072589</v>
      </c>
      <c r="N542" s="577">
        <f t="shared" si="1215"/>
        <v>23763.723532569442</v>
      </c>
      <c r="O542" s="577">
        <f t="shared" si="1215"/>
        <v>24591.992778234817</v>
      </c>
      <c r="P542" s="577">
        <f t="shared" si="1215"/>
        <v>25420.429210557235</v>
      </c>
      <c r="Q542" s="577">
        <f t="shared" si="1215"/>
        <v>26356.762672326375</v>
      </c>
      <c r="R542" s="577">
        <f t="shared" si="1215"/>
        <v>27293.062717808403</v>
      </c>
      <c r="S542" s="577">
        <f t="shared" si="1215"/>
        <v>28229.262482741455</v>
      </c>
      <c r="T542" s="577">
        <f t="shared" si="1215"/>
        <v>29165.596026475563</v>
      </c>
      <c r="U542" s="577">
        <f t="shared" si="1215"/>
        <v>30102.096797000453</v>
      </c>
      <c r="V542" s="577">
        <f t="shared" si="1215"/>
        <v>30858.345706765194</v>
      </c>
      <c r="W542" s="577">
        <f t="shared" si="1215"/>
        <v>31427.220926213948</v>
      </c>
      <c r="X542" s="577">
        <f t="shared" si="1215"/>
        <v>31996.096180390039</v>
      </c>
      <c r="Y542" s="577">
        <f t="shared" si="1215"/>
        <v>32564.971475376249</v>
      </c>
      <c r="Z542" s="577">
        <f t="shared" si="1215"/>
        <v>33133.679639575355</v>
      </c>
      <c r="AA542" s="577">
        <f t="shared" si="1215"/>
        <v>33702.555038249135</v>
      </c>
      <c r="AB542" s="577">
        <f t="shared" si="1215"/>
        <v>34271.263323405743</v>
      </c>
      <c r="AC542" s="577">
        <f t="shared" si="1215"/>
        <v>34840.138862899883</v>
      </c>
      <c r="AD542" s="577">
        <f t="shared" si="1215"/>
        <v>35409.014490192101</v>
      </c>
      <c r="AE542" s="577">
        <f t="shared" si="1215"/>
        <v>35977.723040324352</v>
      </c>
      <c r="AF542" s="577">
        <f t="shared" si="1215"/>
        <v>36546.598886381726</v>
      </c>
      <c r="AG542" s="577">
        <f t="shared" si="1215"/>
        <v>37115.47486743646</v>
      </c>
      <c r="AH542" s="752">
        <f t="shared" si="1215"/>
        <v>37684.183824756125</v>
      </c>
      <c r="AI542" s="18"/>
      <c r="AJ542" s="18"/>
      <c r="AK542" s="18"/>
      <c r="AL542" s="18"/>
      <c r="AM542" s="18"/>
      <c r="AN542" s="18"/>
    </row>
    <row r="543" spans="2:40" ht="21.95" customHeight="1" x14ac:dyDescent="0.2">
      <c r="B543" s="232"/>
      <c r="C543" s="715"/>
      <c r="D543" s="715"/>
      <c r="E543" s="116"/>
      <c r="F543" s="116"/>
      <c r="G543" s="116"/>
      <c r="H543" s="124" t="s">
        <v>19</v>
      </c>
      <c r="I543" s="577">
        <f t="shared" ref="I543:AH543" si="1216">I452*$D$12</f>
        <v>48051.309172478745</v>
      </c>
      <c r="J543" s="577">
        <f t="shared" si="1216"/>
        <v>49413.88413506002</v>
      </c>
      <c r="K543" s="577">
        <f t="shared" si="1216"/>
        <v>50966.502028512106</v>
      </c>
      <c r="L543" s="577">
        <f t="shared" si="1216"/>
        <v>52950.380429014622</v>
      </c>
      <c r="M543" s="577">
        <f t="shared" si="1216"/>
        <v>54934.899521131956</v>
      </c>
      <c r="N543" s="577">
        <f t="shared" si="1216"/>
        <v>56919.098281603452</v>
      </c>
      <c r="O543" s="577">
        <f t="shared" si="1216"/>
        <v>58902.976714334894</v>
      </c>
      <c r="P543" s="577">
        <f t="shared" si="1216"/>
        <v>60887.255594149072</v>
      </c>
      <c r="Q543" s="577">
        <f t="shared" si="1216"/>
        <v>63129.970472638022</v>
      </c>
      <c r="R543" s="577">
        <f t="shared" si="1216"/>
        <v>65372.605312115935</v>
      </c>
      <c r="S543" s="577">
        <f t="shared" si="1216"/>
        <v>67614.999958662171</v>
      </c>
      <c r="T543" s="577">
        <f t="shared" si="1216"/>
        <v>69857.715033474407</v>
      </c>
      <c r="U543" s="577">
        <f t="shared" si="1216"/>
        <v>72100.830651498094</v>
      </c>
      <c r="V543" s="577">
        <f t="shared" si="1216"/>
        <v>73912.205285665143</v>
      </c>
      <c r="W543" s="577">
        <f t="shared" si="1216"/>
        <v>75274.780661590295</v>
      </c>
      <c r="X543" s="577">
        <f t="shared" si="1216"/>
        <v>76637.356120694705</v>
      </c>
      <c r="Y543" s="577">
        <f t="shared" si="1216"/>
        <v>77999.931677547909</v>
      </c>
      <c r="Z543" s="577">
        <f t="shared" si="1216"/>
        <v>79362.106921138577</v>
      </c>
      <c r="AA543" s="577">
        <f t="shared" si="1216"/>
        <v>80724.682726345243</v>
      </c>
      <c r="AB543" s="577">
        <f t="shared" si="1216"/>
        <v>82086.858259654473</v>
      </c>
      <c r="AC543" s="577">
        <f t="shared" si="1216"/>
        <v>83449.434402155413</v>
      </c>
      <c r="AD543" s="577">
        <f t="shared" si="1216"/>
        <v>84812.010754951145</v>
      </c>
      <c r="AE543" s="577">
        <f t="shared" si="1216"/>
        <v>86174.186922932582</v>
      </c>
      <c r="AF543" s="577">
        <f t="shared" si="1216"/>
        <v>87536.763799716704</v>
      </c>
      <c r="AG543" s="577">
        <f t="shared" si="1216"/>
        <v>88899.340999847816</v>
      </c>
      <c r="AH543" s="752">
        <f t="shared" si="1216"/>
        <v>90261.518143128444</v>
      </c>
      <c r="AI543" s="18"/>
      <c r="AJ543" s="18"/>
      <c r="AK543" s="18"/>
      <c r="AL543" s="18"/>
      <c r="AM543" s="18"/>
      <c r="AN543" s="18"/>
    </row>
    <row r="544" spans="2:40" ht="21.95" customHeight="1" x14ac:dyDescent="0.2">
      <c r="B544" s="232"/>
      <c r="C544" s="715"/>
      <c r="D544" s="715"/>
      <c r="E544" s="116"/>
      <c r="F544" s="116"/>
      <c r="G544" s="116"/>
      <c r="H544" s="721" t="s">
        <v>25</v>
      </c>
      <c r="I544" s="577">
        <f t="shared" ref="I544:AH544" si="1217">SUM(I542:I543)</f>
        <v>68112.730751988624</v>
      </c>
      <c r="J544" s="577">
        <f t="shared" si="1217"/>
        <v>70044.180761447584</v>
      </c>
      <c r="K544" s="577">
        <f t="shared" si="1217"/>
        <v>72245.016625415912</v>
      </c>
      <c r="L544" s="577">
        <f t="shared" si="1217"/>
        <v>75057.164258128221</v>
      </c>
      <c r="M544" s="577">
        <f t="shared" si="1217"/>
        <v>77870.220071204545</v>
      </c>
      <c r="N544" s="577">
        <f t="shared" si="1217"/>
        <v>80682.821814172901</v>
      </c>
      <c r="O544" s="577">
        <f t="shared" si="1217"/>
        <v>83494.969492569711</v>
      </c>
      <c r="P544" s="577">
        <f t="shared" si="1217"/>
        <v>86307.68480470631</v>
      </c>
      <c r="Q544" s="577">
        <f t="shared" si="1217"/>
        <v>89486.733144964397</v>
      </c>
      <c r="R544" s="577">
        <f t="shared" si="1217"/>
        <v>92665.668029924331</v>
      </c>
      <c r="S544" s="577">
        <f t="shared" si="1217"/>
        <v>95844.262441403625</v>
      </c>
      <c r="T544" s="577">
        <f t="shared" si="1217"/>
        <v>99023.311059949978</v>
      </c>
      <c r="U544" s="577">
        <f t="shared" si="1217"/>
        <v>102202.92744849855</v>
      </c>
      <c r="V544" s="577">
        <f t="shared" si="1217"/>
        <v>104770.55099243033</v>
      </c>
      <c r="W544" s="577">
        <f t="shared" si="1217"/>
        <v>106702.00158780425</v>
      </c>
      <c r="X544" s="577">
        <f t="shared" si="1217"/>
        <v>108633.45230108475</v>
      </c>
      <c r="Y544" s="577">
        <f t="shared" si="1217"/>
        <v>110564.90315292416</v>
      </c>
      <c r="Z544" s="577">
        <f t="shared" si="1217"/>
        <v>112495.78656071392</v>
      </c>
      <c r="AA544" s="577">
        <f t="shared" si="1217"/>
        <v>114427.23776459438</v>
      </c>
      <c r="AB544" s="577">
        <f t="shared" si="1217"/>
        <v>116358.12158306022</v>
      </c>
      <c r="AC544" s="577">
        <f t="shared" si="1217"/>
        <v>118289.5732650553</v>
      </c>
      <c r="AD544" s="577">
        <f t="shared" si="1217"/>
        <v>120221.02524514325</v>
      </c>
      <c r="AE544" s="577">
        <f t="shared" si="1217"/>
        <v>122151.90996325694</v>
      </c>
      <c r="AF544" s="577">
        <f t="shared" si="1217"/>
        <v>124083.36268609844</v>
      </c>
      <c r="AG544" s="577">
        <f t="shared" si="1217"/>
        <v>126014.81586728428</v>
      </c>
      <c r="AH544" s="752">
        <f t="shared" si="1217"/>
        <v>127945.70196788457</v>
      </c>
      <c r="AI544" s="18"/>
      <c r="AJ544" s="18"/>
      <c r="AK544" s="18"/>
      <c r="AL544" s="18"/>
      <c r="AM544" s="18"/>
      <c r="AN544" s="18"/>
    </row>
    <row r="545" spans="2:41" ht="21.95" customHeight="1" x14ac:dyDescent="0.2">
      <c r="B545" s="232"/>
      <c r="C545" s="715"/>
      <c r="D545" s="715"/>
      <c r="E545" s="116"/>
      <c r="F545" s="116" t="s">
        <v>280</v>
      </c>
      <c r="G545" s="116" t="s">
        <v>333</v>
      </c>
      <c r="H545" s="116" t="s">
        <v>20</v>
      </c>
      <c r="I545" s="577">
        <f t="shared" ref="I545:AH545" si="1218">I454*$D$11</f>
        <v>501.02774084735455</v>
      </c>
      <c r="J545" s="577">
        <f t="shared" si="1218"/>
        <v>515.23531279938027</v>
      </c>
      <c r="K545" s="577">
        <f t="shared" si="1218"/>
        <v>531.4245032717464</v>
      </c>
      <c r="L545" s="577">
        <f t="shared" si="1218"/>
        <v>552.11054341727493</v>
      </c>
      <c r="M545" s="577">
        <f t="shared" si="1218"/>
        <v>572.80339424267663</v>
      </c>
      <c r="N545" s="577">
        <f t="shared" si="1218"/>
        <v>593.49308602563985</v>
      </c>
      <c r="O545" s="577">
        <f t="shared" si="1218"/>
        <v>614.1796866964487</v>
      </c>
      <c r="P545" s="577">
        <f t="shared" si="1218"/>
        <v>634.87080185176546</v>
      </c>
      <c r="Q545" s="577">
        <f t="shared" si="1218"/>
        <v>658.25732153270724</v>
      </c>
      <c r="R545" s="577">
        <f t="shared" si="1218"/>
        <v>681.64381496816077</v>
      </c>
      <c r="S545" s="577">
        <f t="shared" si="1218"/>
        <v>705.02890964242204</v>
      </c>
      <c r="T545" s="577">
        <f t="shared" si="1218"/>
        <v>728.41884377493966</v>
      </c>
      <c r="U545" s="577">
        <f t="shared" si="1218"/>
        <v>751.81496426263823</v>
      </c>
      <c r="V545" s="577">
        <f t="shared" si="1218"/>
        <v>770.70985587552502</v>
      </c>
      <c r="W545" s="577">
        <f t="shared" si="1218"/>
        <v>784.92461669970351</v>
      </c>
      <c r="X545" s="577">
        <f t="shared" si="1218"/>
        <v>799.14082417655368</v>
      </c>
      <c r="Y545" s="577">
        <f t="shared" si="1218"/>
        <v>813.35873169979732</v>
      </c>
      <c r="Z545" s="577">
        <f t="shared" si="1218"/>
        <v>827.57445213738129</v>
      </c>
      <c r="AA545" s="577">
        <f t="shared" si="1218"/>
        <v>841.79667902173708</v>
      </c>
      <c r="AB545" s="577">
        <f t="shared" si="1218"/>
        <v>856.01743824137907</v>
      </c>
      <c r="AC545" s="577">
        <f t="shared" si="1218"/>
        <v>870.24553134304313</v>
      </c>
      <c r="AD545" s="577">
        <f t="shared" si="1218"/>
        <v>884.4772818891596</v>
      </c>
      <c r="AE545" s="577">
        <f t="shared" si="1218"/>
        <v>898.70907932116631</v>
      </c>
      <c r="AF545" s="577">
        <f t="shared" si="1218"/>
        <v>912.94994306762931</v>
      </c>
      <c r="AG545" s="577">
        <f t="shared" si="1218"/>
        <v>927.19643046125225</v>
      </c>
      <c r="AH545" s="752">
        <f t="shared" si="1218"/>
        <v>941.44519028568595</v>
      </c>
      <c r="AI545" s="18"/>
      <c r="AJ545" s="18"/>
      <c r="AK545" s="18"/>
      <c r="AL545" s="18"/>
      <c r="AM545" s="18"/>
      <c r="AN545" s="18"/>
    </row>
    <row r="546" spans="2:41" ht="21.95" customHeight="1" x14ac:dyDescent="0.2">
      <c r="B546" s="232"/>
      <c r="C546" s="715"/>
      <c r="D546" s="715"/>
      <c r="E546" s="116"/>
      <c r="F546" s="116"/>
      <c r="G546" s="116"/>
      <c r="H546" s="124" t="s">
        <v>19</v>
      </c>
      <c r="I546" s="577">
        <f t="shared" ref="I546:AH546" si="1219">I455*$D$12</f>
        <v>1200.0664451433643</v>
      </c>
      <c r="J546" s="577">
        <f t="shared" si="1219"/>
        <v>1234.0965576033061</v>
      </c>
      <c r="K546" s="577">
        <f t="shared" si="1219"/>
        <v>1272.873061728734</v>
      </c>
      <c r="L546" s="577">
        <f t="shared" si="1219"/>
        <v>1322.4204632749102</v>
      </c>
      <c r="M546" s="577">
        <f t="shared" si="1219"/>
        <v>1371.9841778267705</v>
      </c>
      <c r="N546" s="577">
        <f t="shared" si="1219"/>
        <v>1421.5403258099159</v>
      </c>
      <c r="O546" s="577">
        <f t="shared" si="1219"/>
        <v>1471.0890699316137</v>
      </c>
      <c r="P546" s="577">
        <f t="shared" si="1219"/>
        <v>1520.6486271898575</v>
      </c>
      <c r="Q546" s="577">
        <f t="shared" si="1219"/>
        <v>1576.6642431921132</v>
      </c>
      <c r="R546" s="577">
        <f t="shared" si="1219"/>
        <v>1632.6797963309241</v>
      </c>
      <c r="S546" s="577">
        <f t="shared" si="1219"/>
        <v>1688.6919991435259</v>
      </c>
      <c r="T546" s="577">
        <f t="shared" si="1219"/>
        <v>1744.7157934729094</v>
      </c>
      <c r="U546" s="577">
        <f t="shared" si="1219"/>
        <v>1800.754405419493</v>
      </c>
      <c r="V546" s="577">
        <f t="shared" si="1219"/>
        <v>1846.0116308395809</v>
      </c>
      <c r="W546" s="577">
        <f t="shared" si="1219"/>
        <v>1880.0589621549786</v>
      </c>
      <c r="X546" s="577">
        <f t="shared" si="1219"/>
        <v>1914.1097585067155</v>
      </c>
      <c r="Y546" s="577">
        <f t="shared" si="1219"/>
        <v>1948.1646268258619</v>
      </c>
      <c r="Z546" s="577">
        <f t="shared" si="1219"/>
        <v>1982.2142566164821</v>
      </c>
      <c r="AA546" s="577">
        <f t="shared" si="1219"/>
        <v>2016.2794707107475</v>
      </c>
      <c r="AB546" s="577">
        <f t="shared" si="1219"/>
        <v>2050.341169440429</v>
      </c>
      <c r="AC546" s="577">
        <f t="shared" si="1219"/>
        <v>2084.4204343545944</v>
      </c>
      <c r="AD546" s="577">
        <f t="shared" si="1219"/>
        <v>2118.5084596147535</v>
      </c>
      <c r="AE546" s="577">
        <f t="shared" si="1219"/>
        <v>2152.5965971764463</v>
      </c>
      <c r="AF546" s="577">
        <f t="shared" si="1219"/>
        <v>2186.7064504613877</v>
      </c>
      <c r="AG546" s="577">
        <f t="shared" si="1219"/>
        <v>2220.8297735598858</v>
      </c>
      <c r="AH546" s="752">
        <f t="shared" si="1219"/>
        <v>2254.9585396064335</v>
      </c>
      <c r="AI546" s="18"/>
      <c r="AJ546" s="18"/>
      <c r="AK546" s="18"/>
      <c r="AL546" s="18"/>
      <c r="AM546" s="18"/>
      <c r="AN546" s="18"/>
    </row>
    <row r="547" spans="2:41" ht="21.95" customHeight="1" thickBot="1" x14ac:dyDescent="0.25">
      <c r="B547" s="487"/>
      <c r="C547" s="764"/>
      <c r="D547" s="764"/>
      <c r="E547" s="278"/>
      <c r="F547" s="278"/>
      <c r="G547" s="278"/>
      <c r="H547" s="765" t="s">
        <v>25</v>
      </c>
      <c r="I547" s="735">
        <f t="shared" ref="I547:AH547" si="1220">SUM(I545:I546)</f>
        <v>1701.0941859907189</v>
      </c>
      <c r="J547" s="735">
        <f t="shared" si="1220"/>
        <v>1749.3318704026865</v>
      </c>
      <c r="K547" s="735">
        <f t="shared" si="1220"/>
        <v>1804.2975650004805</v>
      </c>
      <c r="L547" s="735">
        <f t="shared" si="1220"/>
        <v>1874.5310066921852</v>
      </c>
      <c r="M547" s="735">
        <f t="shared" si="1220"/>
        <v>1944.7875720694472</v>
      </c>
      <c r="N547" s="735">
        <f t="shared" si="1220"/>
        <v>2015.0334118355559</v>
      </c>
      <c r="O547" s="735">
        <f t="shared" si="1220"/>
        <v>2085.2687566280624</v>
      </c>
      <c r="P547" s="735">
        <f t="shared" si="1220"/>
        <v>2155.519429041623</v>
      </c>
      <c r="Q547" s="735">
        <f t="shared" si="1220"/>
        <v>2234.9215647248202</v>
      </c>
      <c r="R547" s="735">
        <f t="shared" si="1220"/>
        <v>2314.3236112990849</v>
      </c>
      <c r="S547" s="735">
        <f t="shared" si="1220"/>
        <v>2393.7209087859478</v>
      </c>
      <c r="T547" s="735">
        <f t="shared" si="1220"/>
        <v>2473.1346372478492</v>
      </c>
      <c r="U547" s="735">
        <f t="shared" si="1220"/>
        <v>2552.5693696821313</v>
      </c>
      <c r="V547" s="735">
        <f t="shared" si="1220"/>
        <v>2616.721486715106</v>
      </c>
      <c r="W547" s="735">
        <f t="shared" si="1220"/>
        <v>2664.983578854682</v>
      </c>
      <c r="X547" s="735">
        <f t="shared" si="1220"/>
        <v>2713.2505826832694</v>
      </c>
      <c r="Y547" s="735">
        <f t="shared" si="1220"/>
        <v>2761.5233585256592</v>
      </c>
      <c r="Z547" s="735">
        <f t="shared" si="1220"/>
        <v>2809.7887087538634</v>
      </c>
      <c r="AA547" s="735">
        <f t="shared" si="1220"/>
        <v>2858.0761497324847</v>
      </c>
      <c r="AB547" s="735">
        <f t="shared" si="1220"/>
        <v>2906.3586076818083</v>
      </c>
      <c r="AC547" s="735">
        <f t="shared" si="1220"/>
        <v>2954.6659656976376</v>
      </c>
      <c r="AD547" s="735">
        <f t="shared" si="1220"/>
        <v>3002.9857415039132</v>
      </c>
      <c r="AE547" s="735">
        <f t="shared" si="1220"/>
        <v>3051.3056764976127</v>
      </c>
      <c r="AF547" s="735">
        <f t="shared" si="1220"/>
        <v>3099.6563935290169</v>
      </c>
      <c r="AG547" s="735">
        <f t="shared" si="1220"/>
        <v>3148.0262040211383</v>
      </c>
      <c r="AH547" s="766">
        <f t="shared" si="1220"/>
        <v>3196.4037298921194</v>
      </c>
      <c r="AI547" s="18"/>
      <c r="AJ547" s="18"/>
      <c r="AK547" s="18"/>
      <c r="AL547" s="18"/>
      <c r="AM547" s="18"/>
      <c r="AN547" s="18"/>
    </row>
    <row r="548" spans="2:41" ht="21.95" customHeight="1" thickBot="1" x14ac:dyDescent="0.25">
      <c r="B548" s="487"/>
      <c r="C548" s="764"/>
      <c r="D548" s="764"/>
      <c r="E548" s="278"/>
      <c r="F548" s="278"/>
      <c r="G548" s="278"/>
      <c r="H548" s="767" t="s">
        <v>514</v>
      </c>
      <c r="I548" s="767">
        <f t="shared" ref="I548:AH548" si="1221">SUM(I463,I466,I469,I472,I475,I478,I481,I484,I487,I490,I493,I496,I499,I502,I505,I508,I511,I514,I517,I520,I523,I529,I532,I535,I538,I541,I544,I547)</f>
        <v>2055975.4532012818</v>
      </c>
      <c r="J548" s="767">
        <f t="shared" si="1221"/>
        <v>2121885.0042881956</v>
      </c>
      <c r="K548" s="767">
        <f t="shared" si="1221"/>
        <v>2242669.1559007522</v>
      </c>
      <c r="L548" s="767">
        <f t="shared" si="1221"/>
        <v>2434238.5467137224</v>
      </c>
      <c r="M548" s="767">
        <f t="shared" si="1221"/>
        <v>2626888.6235645972</v>
      </c>
      <c r="N548" s="767">
        <f t="shared" si="1221"/>
        <v>2821082.1060496927</v>
      </c>
      <c r="O548" s="767">
        <f t="shared" si="1221"/>
        <v>3017726.0362392045</v>
      </c>
      <c r="P548" s="767">
        <f t="shared" si="1221"/>
        <v>3219969.6154684131</v>
      </c>
      <c r="Q548" s="767">
        <f t="shared" si="1221"/>
        <v>3416593.2966708997</v>
      </c>
      <c r="R548" s="767">
        <f t="shared" si="1221"/>
        <v>3627605.7168220598</v>
      </c>
      <c r="S548" s="767">
        <f t="shared" si="1221"/>
        <v>3874312.754449347</v>
      </c>
      <c r="T548" s="767">
        <f t="shared" si="1221"/>
        <v>4179485.6489508683</v>
      </c>
      <c r="U548" s="767">
        <f t="shared" si="1221"/>
        <v>4565441.6100015482</v>
      </c>
      <c r="V548" s="767">
        <f t="shared" si="1221"/>
        <v>4780566.4596306514</v>
      </c>
      <c r="W548" s="767">
        <f t="shared" si="1221"/>
        <v>4905244.2740385756</v>
      </c>
      <c r="X548" s="767">
        <f t="shared" si="1221"/>
        <v>5021324.1832130617</v>
      </c>
      <c r="Y548" s="767">
        <f t="shared" si="1221"/>
        <v>5111398.9689443838</v>
      </c>
      <c r="Z548" s="767">
        <f t="shared" si="1221"/>
        <v>5203317.61431472</v>
      </c>
      <c r="AA548" s="767">
        <f t="shared" si="1221"/>
        <v>5297208.0139527563</v>
      </c>
      <c r="AB548" s="767">
        <f t="shared" si="1221"/>
        <v>5393508.8486129781</v>
      </c>
      <c r="AC548" s="767">
        <f t="shared" si="1221"/>
        <v>5492418.9874357069</v>
      </c>
      <c r="AD548" s="767">
        <f t="shared" si="1221"/>
        <v>5594390.6879252819</v>
      </c>
      <c r="AE548" s="767">
        <f t="shared" si="1221"/>
        <v>5699927.4339066995</v>
      </c>
      <c r="AF548" s="767">
        <f t="shared" si="1221"/>
        <v>5809369.6363113821</v>
      </c>
      <c r="AG548" s="767">
        <f t="shared" si="1221"/>
        <v>5923333.0148831746</v>
      </c>
      <c r="AH548" s="768">
        <f t="shared" si="1221"/>
        <v>6042504.5990884202</v>
      </c>
      <c r="AI548" s="18"/>
      <c r="AJ548" s="18"/>
      <c r="AK548" s="18"/>
      <c r="AL548" s="18"/>
      <c r="AM548" s="18"/>
      <c r="AN548" s="18"/>
    </row>
    <row r="549" spans="2:41" ht="21.95" customHeight="1" x14ac:dyDescent="0.2">
      <c r="B549" s="9"/>
      <c r="C549" s="715"/>
      <c r="D549" s="715"/>
      <c r="E549" s="116"/>
      <c r="F549" s="116"/>
      <c r="G549" s="116"/>
      <c r="H549" s="769"/>
      <c r="I549" s="769"/>
      <c r="J549" s="769"/>
      <c r="K549" s="769"/>
      <c r="L549" s="769"/>
      <c r="M549" s="769"/>
      <c r="N549" s="769"/>
      <c r="O549" s="769"/>
      <c r="P549" s="769"/>
      <c r="Q549" s="769"/>
      <c r="R549" s="769"/>
      <c r="S549" s="769"/>
      <c r="T549" s="769"/>
      <c r="U549" s="769"/>
      <c r="V549" s="769"/>
      <c r="W549" s="769"/>
      <c r="X549" s="769"/>
      <c r="Y549" s="769"/>
      <c r="Z549" s="769"/>
      <c r="AA549" s="769"/>
      <c r="AB549" s="769"/>
      <c r="AC549" s="769"/>
      <c r="AD549" s="769"/>
      <c r="AE549" s="769"/>
      <c r="AF549" s="769"/>
      <c r="AG549" s="769"/>
      <c r="AH549" s="769"/>
      <c r="AI549" s="18"/>
      <c r="AJ549" s="18"/>
      <c r="AK549" s="18"/>
      <c r="AL549" s="18"/>
      <c r="AM549" s="18"/>
      <c r="AN549" s="18"/>
    </row>
    <row r="550" spans="2:41" ht="21.95" customHeight="1" thickBot="1" x14ac:dyDescent="0.25">
      <c r="B550" s="9"/>
      <c r="C550" s="715"/>
      <c r="D550" s="715"/>
      <c r="E550" s="116"/>
      <c r="F550" s="116"/>
      <c r="G550" s="116"/>
      <c r="H550" s="769"/>
      <c r="I550" s="769"/>
      <c r="J550" s="769"/>
      <c r="K550" s="769"/>
      <c r="L550" s="769"/>
      <c r="M550" s="769"/>
      <c r="N550" s="769"/>
      <c r="O550" s="769"/>
      <c r="P550" s="769"/>
      <c r="Q550" s="769"/>
      <c r="R550" s="769"/>
      <c r="S550" s="769"/>
      <c r="T550" s="769"/>
      <c r="U550" s="769"/>
      <c r="V550" s="769"/>
      <c r="W550" s="769"/>
      <c r="X550" s="769"/>
      <c r="Y550" s="769"/>
      <c r="Z550" s="769"/>
      <c r="AA550" s="769"/>
      <c r="AB550" s="769"/>
      <c r="AC550" s="769"/>
      <c r="AD550" s="769"/>
      <c r="AE550" s="769"/>
      <c r="AF550" s="769"/>
      <c r="AG550" s="769"/>
      <c r="AH550" s="769"/>
      <c r="AI550" s="18"/>
      <c r="AJ550" s="18"/>
      <c r="AK550" s="18"/>
      <c r="AL550" s="18"/>
      <c r="AM550" s="18"/>
      <c r="AN550" s="18"/>
    </row>
    <row r="551" spans="2:41" s="7" customFormat="1" ht="21.95" customHeight="1" thickBot="1" x14ac:dyDescent="0.25">
      <c r="B551" s="234"/>
      <c r="C551" s="485" t="s">
        <v>2</v>
      </c>
      <c r="D551" s="485"/>
      <c r="E551" s="485" t="s">
        <v>328</v>
      </c>
      <c r="F551" s="1338" t="s">
        <v>18</v>
      </c>
      <c r="G551" s="1338"/>
      <c r="H551" s="485" t="s">
        <v>24</v>
      </c>
      <c r="I551" s="763">
        <v>2023</v>
      </c>
      <c r="J551" s="763">
        <v>2024</v>
      </c>
      <c r="K551" s="763">
        <v>2025</v>
      </c>
      <c r="L551" s="763">
        <v>2026</v>
      </c>
      <c r="M551" s="763">
        <v>2027</v>
      </c>
      <c r="N551" s="763">
        <v>2028</v>
      </c>
      <c r="O551" s="763">
        <v>2029</v>
      </c>
      <c r="P551" s="763">
        <v>2030</v>
      </c>
      <c r="Q551" s="763">
        <v>2031</v>
      </c>
      <c r="R551" s="763">
        <v>2032</v>
      </c>
      <c r="S551" s="763">
        <v>2033</v>
      </c>
      <c r="T551" s="763">
        <v>2034</v>
      </c>
      <c r="U551" s="763">
        <v>2035</v>
      </c>
      <c r="V551" s="763">
        <v>2036</v>
      </c>
      <c r="W551" s="763">
        <v>2037</v>
      </c>
      <c r="X551" s="763">
        <v>2038</v>
      </c>
      <c r="Y551" s="763">
        <v>2039</v>
      </c>
      <c r="Z551" s="763">
        <v>2040</v>
      </c>
      <c r="AA551" s="763">
        <v>2041</v>
      </c>
      <c r="AB551" s="763">
        <v>2042</v>
      </c>
      <c r="AC551" s="763">
        <v>2043</v>
      </c>
      <c r="AD551" s="763">
        <v>2044</v>
      </c>
      <c r="AE551" s="763">
        <v>2045</v>
      </c>
      <c r="AF551" s="763">
        <v>2046</v>
      </c>
      <c r="AG551" s="763">
        <v>2047</v>
      </c>
      <c r="AH551" s="762">
        <v>2048</v>
      </c>
      <c r="AI551" s="484"/>
      <c r="AJ551" s="484"/>
      <c r="AK551" s="484"/>
      <c r="AL551" s="484"/>
      <c r="AM551" s="484"/>
      <c r="AN551" s="484"/>
      <c r="AO551" s="484"/>
    </row>
    <row r="552" spans="2:41" ht="21.95" customHeight="1" x14ac:dyDescent="0.2">
      <c r="B552" s="199" t="s">
        <v>131</v>
      </c>
      <c r="C552" s="116" t="str">
        <f>baseYear &amp; "$"</f>
        <v>2021$</v>
      </c>
      <c r="D552" s="240" t="s">
        <v>23</v>
      </c>
      <c r="E552" s="1339" t="s">
        <v>331</v>
      </c>
      <c r="F552" s="116" t="s">
        <v>332</v>
      </c>
      <c r="G552" s="116" t="s">
        <v>282</v>
      </c>
      <c r="H552" s="116" t="s">
        <v>20</v>
      </c>
      <c r="I552" s="577">
        <f t="shared" ref="I552:AH552" si="1222">I461*$D$13</f>
        <v>53386.425334065985</v>
      </c>
      <c r="J552" s="577">
        <f t="shared" si="1222"/>
        <v>55814.06683058956</v>
      </c>
      <c r="K552" s="577">
        <f t="shared" si="1222"/>
        <v>59234.450922930591</v>
      </c>
      <c r="L552" s="577">
        <f t="shared" si="1222"/>
        <v>64265.916080801777</v>
      </c>
      <c r="M552" s="577">
        <f t="shared" si="1222"/>
        <v>69299.77386459554</v>
      </c>
      <c r="N552" s="577">
        <f t="shared" si="1222"/>
        <v>74334.724708872891</v>
      </c>
      <c r="O552" s="577">
        <f t="shared" si="1222"/>
        <v>79369.884348464329</v>
      </c>
      <c r="P552" s="577">
        <f t="shared" si="1222"/>
        <v>84412.39578522605</v>
      </c>
      <c r="Q552" s="577">
        <f t="shared" si="1222"/>
        <v>89401.510093416393</v>
      </c>
      <c r="R552" s="577">
        <f t="shared" si="1222"/>
        <v>94402.039092133127</v>
      </c>
      <c r="S552" s="577">
        <f t="shared" si="1222"/>
        <v>99418.479693795103</v>
      </c>
      <c r="T552" s="577">
        <f t="shared" si="1222"/>
        <v>104461.74052318762</v>
      </c>
      <c r="U552" s="577">
        <f t="shared" si="1222"/>
        <v>109550.3540759122</v>
      </c>
      <c r="V552" s="577">
        <f t="shared" si="1222"/>
        <v>113021.16313470381</v>
      </c>
      <c r="W552" s="577">
        <f t="shared" si="1222"/>
        <v>115549.72615297647</v>
      </c>
      <c r="X552" s="577">
        <f t="shared" si="1222"/>
        <v>118102.00038118141</v>
      </c>
      <c r="Y552" s="577">
        <f t="shared" si="1222"/>
        <v>120682.88453858228</v>
      </c>
      <c r="Z552" s="577">
        <f t="shared" si="1222"/>
        <v>123299.06200309207</v>
      </c>
      <c r="AA552" s="577">
        <f t="shared" si="1222"/>
        <v>125955.5306606009</v>
      </c>
      <c r="AB552" s="577">
        <f t="shared" si="1222"/>
        <v>128662.08329612423</v>
      </c>
      <c r="AC552" s="577">
        <f t="shared" si="1222"/>
        <v>131426.16446481869</v>
      </c>
      <c r="AD552" s="577">
        <f t="shared" si="1222"/>
        <v>134259.52966338582</v>
      </c>
      <c r="AE552" s="577">
        <f t="shared" si="1222"/>
        <v>137175.7809883685</v>
      </c>
      <c r="AF552" s="577">
        <f t="shared" si="1222"/>
        <v>140187.49667931983</v>
      </c>
      <c r="AG552" s="577">
        <f t="shared" si="1222"/>
        <v>143312.50484264427</v>
      </c>
      <c r="AH552" s="752">
        <f t="shared" si="1222"/>
        <v>146571.35644552766</v>
      </c>
      <c r="AI552" s="18"/>
      <c r="AJ552" s="18"/>
      <c r="AK552" s="18"/>
      <c r="AL552" s="18"/>
      <c r="AM552" s="18"/>
      <c r="AN552" s="18"/>
    </row>
    <row r="553" spans="2:41" ht="21.95" customHeight="1" x14ac:dyDescent="0.2">
      <c r="B553" s="486" t="s">
        <v>134</v>
      </c>
      <c r="C553" s="715"/>
      <c r="D553" s="240"/>
      <c r="E553" s="1339"/>
      <c r="F553" s="116"/>
      <c r="G553" s="116"/>
      <c r="H553" s="124" t="s">
        <v>19</v>
      </c>
      <c r="I553" s="577">
        <f t="shared" ref="I553:AH553" si="1223">I462*$D$14</f>
        <v>195332.02565505099</v>
      </c>
      <c r="J553" s="577">
        <f t="shared" si="1223"/>
        <v>204214.36096993525</v>
      </c>
      <c r="K553" s="577">
        <f t="shared" si="1223"/>
        <v>216728.97585741986</v>
      </c>
      <c r="L553" s="577">
        <f t="shared" si="1223"/>
        <v>235138.26764179897</v>
      </c>
      <c r="M553" s="577">
        <f t="shared" si="1223"/>
        <v>253556.31364534839</v>
      </c>
      <c r="N553" s="577">
        <f t="shared" si="1223"/>
        <v>271978.35897488904</v>
      </c>
      <c r="O553" s="577">
        <f t="shared" si="1223"/>
        <v>290401.16825165774</v>
      </c>
      <c r="P553" s="577">
        <f t="shared" si="1223"/>
        <v>308850.87652802217</v>
      </c>
      <c r="Q553" s="577">
        <f t="shared" si="1223"/>
        <v>327105.21361737151</v>
      </c>
      <c r="R553" s="577">
        <f t="shared" si="1223"/>
        <v>345401.31515543209</v>
      </c>
      <c r="S553" s="577">
        <f t="shared" si="1223"/>
        <v>363755.63459467766</v>
      </c>
      <c r="T553" s="577">
        <f t="shared" si="1223"/>
        <v>382208.08477368241</v>
      </c>
      <c r="U553" s="577">
        <f t="shared" si="1223"/>
        <v>400826.47300270636</v>
      </c>
      <c r="V553" s="577">
        <f t="shared" si="1223"/>
        <v>413525.58443175076</v>
      </c>
      <c r="W553" s="577">
        <f t="shared" si="1223"/>
        <v>422777.17476140865</v>
      </c>
      <c r="X553" s="577">
        <f t="shared" si="1223"/>
        <v>432115.52045327384</v>
      </c>
      <c r="Y553" s="577">
        <f t="shared" si="1223"/>
        <v>441558.54510404501</v>
      </c>
      <c r="Z553" s="577">
        <f t="shared" si="1223"/>
        <v>451130.70207874523</v>
      </c>
      <c r="AA553" s="577">
        <f t="shared" si="1223"/>
        <v>460850.27780821896</v>
      </c>
      <c r="AB553" s="577">
        <f t="shared" si="1223"/>
        <v>470753.10245944053</v>
      </c>
      <c r="AC553" s="577">
        <f t="shared" si="1223"/>
        <v>480866.41441800614</v>
      </c>
      <c r="AD553" s="577">
        <f t="shared" si="1223"/>
        <v>491233.22508557653</v>
      </c>
      <c r="AE553" s="577">
        <f t="shared" si="1223"/>
        <v>501903.30226462678</v>
      </c>
      <c r="AF553" s="577">
        <f t="shared" si="1223"/>
        <v>512922.66763568181</v>
      </c>
      <c r="AG553" s="577">
        <f t="shared" si="1223"/>
        <v>524356.55126641865</v>
      </c>
      <c r="AH553" s="752">
        <f t="shared" si="1223"/>
        <v>536280.14571795112</v>
      </c>
      <c r="AI553" s="18"/>
      <c r="AJ553" s="18"/>
      <c r="AK553" s="18"/>
      <c r="AL553" s="18"/>
      <c r="AM553" s="18"/>
      <c r="AN553" s="18"/>
    </row>
    <row r="554" spans="2:41" ht="21.95" customHeight="1" x14ac:dyDescent="0.2">
      <c r="B554" s="199"/>
      <c r="C554" s="116"/>
      <c r="D554" s="240"/>
      <c r="E554" s="1339"/>
      <c r="F554" s="116"/>
      <c r="G554" s="116"/>
      <c r="H554" s="720" t="s">
        <v>25</v>
      </c>
      <c r="I554" s="577">
        <f t="shared" ref="I554:AH554" si="1224">SUM(I552:I553)</f>
        <v>248718.45098911697</v>
      </c>
      <c r="J554" s="577">
        <f t="shared" si="1224"/>
        <v>260028.42780052481</v>
      </c>
      <c r="K554" s="577">
        <f t="shared" si="1224"/>
        <v>275963.42678035045</v>
      </c>
      <c r="L554" s="577">
        <f t="shared" si="1224"/>
        <v>299404.18372260075</v>
      </c>
      <c r="M554" s="577">
        <f t="shared" si="1224"/>
        <v>322856.08750994393</v>
      </c>
      <c r="N554" s="577">
        <f t="shared" si="1224"/>
        <v>346313.08368376194</v>
      </c>
      <c r="O554" s="577">
        <f t="shared" si="1224"/>
        <v>369771.05260012206</v>
      </c>
      <c r="P554" s="577">
        <f t="shared" si="1224"/>
        <v>393263.27231324825</v>
      </c>
      <c r="Q554" s="577">
        <f t="shared" si="1224"/>
        <v>416506.72371078789</v>
      </c>
      <c r="R554" s="577">
        <f t="shared" si="1224"/>
        <v>439803.35424756521</v>
      </c>
      <c r="S554" s="577">
        <f t="shared" si="1224"/>
        <v>463174.11428847275</v>
      </c>
      <c r="T554" s="577">
        <f t="shared" si="1224"/>
        <v>486669.82529687003</v>
      </c>
      <c r="U554" s="577">
        <f t="shared" si="1224"/>
        <v>510376.82707861857</v>
      </c>
      <c r="V554" s="577">
        <f t="shared" si="1224"/>
        <v>526546.74756645458</v>
      </c>
      <c r="W554" s="577">
        <f t="shared" si="1224"/>
        <v>538326.9009143851</v>
      </c>
      <c r="X554" s="577">
        <f t="shared" si="1224"/>
        <v>550217.52083445527</v>
      </c>
      <c r="Y554" s="577">
        <f t="shared" si="1224"/>
        <v>562241.42964262725</v>
      </c>
      <c r="Z554" s="577">
        <f t="shared" si="1224"/>
        <v>574429.76408183726</v>
      </c>
      <c r="AA554" s="577">
        <f t="shared" si="1224"/>
        <v>586805.80846881983</v>
      </c>
      <c r="AB554" s="577">
        <f t="shared" si="1224"/>
        <v>599415.18575556471</v>
      </c>
      <c r="AC554" s="577">
        <f t="shared" si="1224"/>
        <v>612292.57888282486</v>
      </c>
      <c r="AD554" s="577">
        <f t="shared" si="1224"/>
        <v>625492.75474896235</v>
      </c>
      <c r="AE554" s="577">
        <f t="shared" si="1224"/>
        <v>639079.08325299527</v>
      </c>
      <c r="AF554" s="577">
        <f t="shared" si="1224"/>
        <v>653110.16431500157</v>
      </c>
      <c r="AG554" s="577">
        <f t="shared" si="1224"/>
        <v>667669.05610906286</v>
      </c>
      <c r="AH554" s="752">
        <f t="shared" si="1224"/>
        <v>682851.50216347876</v>
      </c>
      <c r="AI554" s="18"/>
      <c r="AJ554" s="18"/>
      <c r="AK554" s="18"/>
      <c r="AL554" s="18"/>
      <c r="AM554" s="18"/>
      <c r="AN554" s="18"/>
    </row>
    <row r="555" spans="2:41" ht="21.95" customHeight="1" x14ac:dyDescent="0.2">
      <c r="B555" s="197"/>
      <c r="C555" s="715"/>
      <c r="D555" s="715"/>
      <c r="E555" s="1339"/>
      <c r="F555" s="116" t="s">
        <v>282</v>
      </c>
      <c r="G555" s="116" t="s">
        <v>280</v>
      </c>
      <c r="H555" s="116" t="s">
        <v>20</v>
      </c>
      <c r="I555" s="577">
        <f t="shared" ref="I555:AH555" si="1225">I464*$D$13</f>
        <v>1716656.6237270597</v>
      </c>
      <c r="J555" s="577">
        <f t="shared" si="1225"/>
        <v>1807271.0927727828</v>
      </c>
      <c r="K555" s="577">
        <f t="shared" si="1225"/>
        <v>1943295.1390844153</v>
      </c>
      <c r="L555" s="577">
        <f t="shared" si="1225"/>
        <v>2168030.0427932488</v>
      </c>
      <c r="M555" s="577">
        <f t="shared" si="1225"/>
        <v>2392876.6837318023</v>
      </c>
      <c r="N555" s="577">
        <f t="shared" si="1225"/>
        <v>2617734.6575521161</v>
      </c>
      <c r="O555" s="577">
        <f t="shared" si="1225"/>
        <v>2842557.072617874</v>
      </c>
      <c r="P555" s="577">
        <f t="shared" si="1225"/>
        <v>3067694.6686697504</v>
      </c>
      <c r="Q555" s="577">
        <f t="shared" si="1225"/>
        <v>3295054.4080421282</v>
      </c>
      <c r="R555" s="577">
        <f t="shared" si="1225"/>
        <v>3522915.8363696635</v>
      </c>
      <c r="S555" s="577">
        <f t="shared" si="1225"/>
        <v>3751472.2676281496</v>
      </c>
      <c r="T555" s="577">
        <f t="shared" si="1225"/>
        <v>3981378.2562215757</v>
      </c>
      <c r="U555" s="577">
        <f t="shared" si="1225"/>
        <v>4213778.9074668968</v>
      </c>
      <c r="V555" s="577">
        <f t="shared" si="1225"/>
        <v>4356821.2681659814</v>
      </c>
      <c r="W555" s="577">
        <f t="shared" si="1225"/>
        <v>4451630.7651559599</v>
      </c>
      <c r="X555" s="577">
        <f t="shared" si="1225"/>
        <v>4547391.9499449627</v>
      </c>
      <c r="Y555" s="577">
        <f t="shared" si="1225"/>
        <v>4644294.9262890508</v>
      </c>
      <c r="Z555" s="577">
        <f t="shared" si="1225"/>
        <v>4742618.3961498495</v>
      </c>
      <c r="AA555" s="577">
        <f t="shared" si="1225"/>
        <v>4842513.2307688203</v>
      </c>
      <c r="AB555" s="577">
        <f t="shared" si="1225"/>
        <v>4944396.5105663054</v>
      </c>
      <c r="AC555" s="577">
        <f t="shared" si="1225"/>
        <v>5048508.3561610654</v>
      </c>
      <c r="AD555" s="577">
        <f t="shared" si="1225"/>
        <v>5155316.2872263491</v>
      </c>
      <c r="AE555" s="577">
        <f t="shared" si="1225"/>
        <v>5265358.3872765107</v>
      </c>
      <c r="AF555" s="577">
        <f t="shared" si="1225"/>
        <v>5379059.921961179</v>
      </c>
      <c r="AG555" s="577">
        <f t="shared" si="1225"/>
        <v>5497112.9414712032</v>
      </c>
      <c r="AH555" s="752">
        <f t="shared" si="1225"/>
        <v>5620312.8714088798</v>
      </c>
      <c r="AI555" s="18"/>
      <c r="AJ555" s="18"/>
      <c r="AK555" s="18"/>
      <c r="AL555" s="18"/>
      <c r="AM555" s="18"/>
      <c r="AN555" s="18"/>
    </row>
    <row r="556" spans="2:41" ht="21.95" customHeight="1" x14ac:dyDescent="0.2">
      <c r="B556" s="486"/>
      <c r="C556" s="715"/>
      <c r="D556" s="715"/>
      <c r="E556" s="1339"/>
      <c r="F556" s="116"/>
      <c r="G556" s="116"/>
      <c r="H556" s="124" t="s">
        <v>19</v>
      </c>
      <c r="I556" s="577">
        <f t="shared" ref="I556:AH556" si="1226">I465*$D$14</f>
        <v>6280960.254755998</v>
      </c>
      <c r="J556" s="577">
        <f t="shared" si="1226"/>
        <v>6612503.4828631571</v>
      </c>
      <c r="K556" s="577">
        <f t="shared" si="1226"/>
        <v>7110192.7800503457</v>
      </c>
      <c r="L556" s="577">
        <f t="shared" si="1226"/>
        <v>7932460.3078375626</v>
      </c>
      <c r="M556" s="577">
        <f t="shared" si="1226"/>
        <v>8755136.6635109987</v>
      </c>
      <c r="N556" s="577">
        <f t="shared" si="1226"/>
        <v>9577854.4843085222</v>
      </c>
      <c r="O556" s="577">
        <f t="shared" si="1226"/>
        <v>10400442.201554181</v>
      </c>
      <c r="P556" s="577">
        <f t="shared" si="1226"/>
        <v>11224183.113457117</v>
      </c>
      <c r="Q556" s="577">
        <f t="shared" si="1226"/>
        <v>12056054.477125149</v>
      </c>
      <c r="R556" s="577">
        <f t="shared" si="1226"/>
        <v>12889761.437000392</v>
      </c>
      <c r="S556" s="577">
        <f t="shared" si="1226"/>
        <v>13726011.296676269</v>
      </c>
      <c r="T556" s="577">
        <f t="shared" si="1226"/>
        <v>14567198.961539928</v>
      </c>
      <c r="U556" s="577">
        <f t="shared" si="1226"/>
        <v>15417514.180947116</v>
      </c>
      <c r="V556" s="577">
        <f t="shared" si="1226"/>
        <v>15940882.319851212</v>
      </c>
      <c r="W556" s="577">
        <f t="shared" si="1226"/>
        <v>16287774.45549251</v>
      </c>
      <c r="X556" s="577">
        <f t="shared" si="1226"/>
        <v>16638148.65805272</v>
      </c>
      <c r="Y556" s="577">
        <f t="shared" si="1226"/>
        <v>16992700.485466719</v>
      </c>
      <c r="Z556" s="577">
        <f t="shared" si="1226"/>
        <v>17352449.661725726</v>
      </c>
      <c r="AA556" s="577">
        <f t="shared" si="1226"/>
        <v>17717948.199537523</v>
      </c>
      <c r="AB556" s="577">
        <f t="shared" si="1226"/>
        <v>18090722.126592804</v>
      </c>
      <c r="AC556" s="577">
        <f t="shared" si="1226"/>
        <v>18471650.004184444</v>
      </c>
      <c r="AD556" s="577">
        <f t="shared" si="1226"/>
        <v>18862442.408816453</v>
      </c>
      <c r="AE556" s="577">
        <f t="shared" si="1226"/>
        <v>19265068.098317679</v>
      </c>
      <c r="AF556" s="577">
        <f t="shared" si="1226"/>
        <v>19681083.048767485</v>
      </c>
      <c r="AG556" s="577">
        <f t="shared" si="1226"/>
        <v>20113019.356383018</v>
      </c>
      <c r="AH556" s="752">
        <f t="shared" si="1226"/>
        <v>20563787.350769237</v>
      </c>
      <c r="AI556" s="18"/>
      <c r="AJ556" s="18"/>
      <c r="AK556" s="18"/>
      <c r="AL556" s="18"/>
      <c r="AM556" s="18"/>
      <c r="AN556" s="18"/>
    </row>
    <row r="557" spans="2:41" ht="21.95" customHeight="1" x14ac:dyDescent="0.2">
      <c r="B557" s="486"/>
      <c r="C557" s="715"/>
      <c r="D557" s="715"/>
      <c r="E557" s="1339"/>
      <c r="F557" s="116"/>
      <c r="G557" s="116"/>
      <c r="H557" s="720" t="s">
        <v>25</v>
      </c>
      <c r="I557" s="577">
        <f t="shared" ref="I557:AH557" si="1227">SUM(I555:I556)</f>
        <v>7997616.878483058</v>
      </c>
      <c r="J557" s="577">
        <f t="shared" si="1227"/>
        <v>8419774.5756359398</v>
      </c>
      <c r="K557" s="577">
        <f t="shared" si="1227"/>
        <v>9053487.9191347603</v>
      </c>
      <c r="L557" s="577">
        <f t="shared" si="1227"/>
        <v>10100490.350630812</v>
      </c>
      <c r="M557" s="577">
        <f t="shared" si="1227"/>
        <v>11148013.347242801</v>
      </c>
      <c r="N557" s="577">
        <f t="shared" si="1227"/>
        <v>12195589.141860638</v>
      </c>
      <c r="O557" s="577">
        <f t="shared" si="1227"/>
        <v>13242999.274172055</v>
      </c>
      <c r="P557" s="577">
        <f t="shared" si="1227"/>
        <v>14291877.782126868</v>
      </c>
      <c r="Q557" s="577">
        <f t="shared" si="1227"/>
        <v>15351108.885167278</v>
      </c>
      <c r="R557" s="577">
        <f t="shared" si="1227"/>
        <v>16412677.273370055</v>
      </c>
      <c r="S557" s="577">
        <f t="shared" si="1227"/>
        <v>17477483.564304419</v>
      </c>
      <c r="T557" s="577">
        <f t="shared" si="1227"/>
        <v>18548577.217761502</v>
      </c>
      <c r="U557" s="577">
        <f t="shared" si="1227"/>
        <v>19631293.088414013</v>
      </c>
      <c r="V557" s="577">
        <f t="shared" si="1227"/>
        <v>20297703.588017195</v>
      </c>
      <c r="W557" s="577">
        <f t="shared" si="1227"/>
        <v>20739405.220648468</v>
      </c>
      <c r="X557" s="577">
        <f t="shared" si="1227"/>
        <v>21185540.607997682</v>
      </c>
      <c r="Y557" s="577">
        <f t="shared" si="1227"/>
        <v>21636995.41175577</v>
      </c>
      <c r="Z557" s="577">
        <f t="shared" si="1227"/>
        <v>22095068.057875574</v>
      </c>
      <c r="AA557" s="577">
        <f t="shared" si="1227"/>
        <v>22560461.430306345</v>
      </c>
      <c r="AB557" s="577">
        <f t="shared" si="1227"/>
        <v>23035118.637159109</v>
      </c>
      <c r="AC557" s="577">
        <f t="shared" si="1227"/>
        <v>23520158.360345509</v>
      </c>
      <c r="AD557" s="577">
        <f t="shared" si="1227"/>
        <v>24017758.696042802</v>
      </c>
      <c r="AE557" s="577">
        <f t="shared" si="1227"/>
        <v>24530426.485594191</v>
      </c>
      <c r="AF557" s="577">
        <f t="shared" si="1227"/>
        <v>25060142.970728666</v>
      </c>
      <c r="AG557" s="577">
        <f t="shared" si="1227"/>
        <v>25610132.297854222</v>
      </c>
      <c r="AH557" s="752">
        <f t="shared" si="1227"/>
        <v>26184100.222178116</v>
      </c>
      <c r="AI557" s="18"/>
      <c r="AJ557" s="18"/>
      <c r="AK557" s="18"/>
      <c r="AL557" s="18"/>
      <c r="AM557" s="18"/>
      <c r="AN557" s="18"/>
    </row>
    <row r="558" spans="2:41" ht="21.95" customHeight="1" x14ac:dyDescent="0.2">
      <c r="B558" s="486"/>
      <c r="C558" s="715"/>
      <c r="D558" s="715"/>
      <c r="E558" s="1339"/>
      <c r="F558" s="116" t="s">
        <v>280</v>
      </c>
      <c r="G558" s="116" t="s">
        <v>333</v>
      </c>
      <c r="H558" s="116" t="s">
        <v>20</v>
      </c>
      <c r="I558" s="577">
        <f t="shared" ref="I558:AH558" si="1228">I467*$D$13</f>
        <v>40039.745695127356</v>
      </c>
      <c r="J558" s="577">
        <f t="shared" si="1228"/>
        <v>41711.7410458499</v>
      </c>
      <c r="K558" s="577">
        <f t="shared" si="1228"/>
        <v>43781.133168729248</v>
      </c>
      <c r="L558" s="577">
        <f t="shared" si="1228"/>
        <v>46567.24318500339</v>
      </c>
      <c r="M558" s="577">
        <f t="shared" si="1228"/>
        <v>49354.363470681121</v>
      </c>
      <c r="N558" s="577">
        <f t="shared" si="1228"/>
        <v>52141.165696356438</v>
      </c>
      <c r="O558" s="577">
        <f t="shared" si="1228"/>
        <v>54927.326109251349</v>
      </c>
      <c r="P558" s="577">
        <f t="shared" si="1228"/>
        <v>57715.529308834579</v>
      </c>
      <c r="Q558" s="577">
        <f t="shared" si="1228"/>
        <v>60417.036872996177</v>
      </c>
      <c r="R558" s="577">
        <f t="shared" si="1228"/>
        <v>63119.635426134017</v>
      </c>
      <c r="S558" s="577">
        <f t="shared" si="1228"/>
        <v>65821.36603958589</v>
      </c>
      <c r="T558" s="577">
        <f t="shared" si="1228"/>
        <v>68523.290601675617</v>
      </c>
      <c r="U558" s="577">
        <f t="shared" si="1228"/>
        <v>71227.496244456619</v>
      </c>
      <c r="V558" s="577">
        <f t="shared" si="1228"/>
        <v>73212.002694642695</v>
      </c>
      <c r="W558" s="577">
        <f t="shared" si="1228"/>
        <v>74884.937256083314</v>
      </c>
      <c r="X558" s="577">
        <f t="shared" si="1228"/>
        <v>76558.107322047537</v>
      </c>
      <c r="Y558" s="577">
        <f t="shared" si="1228"/>
        <v>78231.564639066288</v>
      </c>
      <c r="Z558" s="577">
        <f t="shared" si="1228"/>
        <v>79906.038954402451</v>
      </c>
      <c r="AA558" s="577">
        <f t="shared" si="1228"/>
        <v>81580.267285703187</v>
      </c>
      <c r="AB558" s="577">
        <f t="shared" si="1228"/>
        <v>83255.672563284301</v>
      </c>
      <c r="AC558" s="577">
        <f t="shared" si="1228"/>
        <v>84931.019775614186</v>
      </c>
      <c r="AD558" s="577">
        <f t="shared" si="1228"/>
        <v>86607.096779087704</v>
      </c>
      <c r="AE558" s="577">
        <f t="shared" si="1228"/>
        <v>88284.712994633897</v>
      </c>
      <c r="AF558" s="577">
        <f t="shared" si="1228"/>
        <v>89962.693147808051</v>
      </c>
      <c r="AG558" s="577">
        <f t="shared" si="1228"/>
        <v>91641.896353342439</v>
      </c>
      <c r="AH558" s="752">
        <f t="shared" si="1228"/>
        <v>93323.214156796836</v>
      </c>
      <c r="AI558" s="18"/>
      <c r="AJ558" s="18"/>
      <c r="AK558" s="18"/>
      <c r="AL558" s="18"/>
      <c r="AM558" s="18"/>
      <c r="AN558" s="18"/>
    </row>
    <row r="559" spans="2:41" ht="21.95" customHeight="1" x14ac:dyDescent="0.2">
      <c r="B559" s="486"/>
      <c r="C559" s="715"/>
      <c r="D559" s="715"/>
      <c r="E559" s="1339"/>
      <c r="F559" s="116"/>
      <c r="G559" s="116"/>
      <c r="H559" s="124" t="s">
        <v>19</v>
      </c>
      <c r="I559" s="577">
        <f t="shared" ref="I559:AH559" si="1229">I468*$D$14</f>
        <v>146498.75102897573</v>
      </c>
      <c r="J559" s="577">
        <f t="shared" si="1229"/>
        <v>152616.30313512991</v>
      </c>
      <c r="K559" s="577">
        <f t="shared" si="1229"/>
        <v>160187.86374641323</v>
      </c>
      <c r="L559" s="577">
        <f t="shared" si="1229"/>
        <v>170381.77558394897</v>
      </c>
      <c r="M559" s="577">
        <f t="shared" si="1229"/>
        <v>180579.3838287236</v>
      </c>
      <c r="N559" s="577">
        <f t="shared" si="1229"/>
        <v>190775.82834500051</v>
      </c>
      <c r="O559" s="577">
        <f t="shared" si="1229"/>
        <v>200969.92457536573</v>
      </c>
      <c r="P559" s="577">
        <f t="shared" si="1229"/>
        <v>211171.49502149483</v>
      </c>
      <c r="Q559" s="577">
        <f t="shared" si="1229"/>
        <v>221055.86059810163</v>
      </c>
      <c r="R559" s="577">
        <f t="shared" si="1229"/>
        <v>230944.21792139977</v>
      </c>
      <c r="S559" s="577">
        <f t="shared" si="1229"/>
        <v>240829.39959815587</v>
      </c>
      <c r="T559" s="577">
        <f t="shared" si="1229"/>
        <v>250715.29090062805</v>
      </c>
      <c r="U559" s="577">
        <f t="shared" si="1229"/>
        <v>260609.52829687449</v>
      </c>
      <c r="V559" s="577">
        <f t="shared" si="1229"/>
        <v>267870.50639036391</v>
      </c>
      <c r="W559" s="577">
        <f t="shared" si="1229"/>
        <v>273991.49491187895</v>
      </c>
      <c r="X559" s="577">
        <f t="shared" si="1229"/>
        <v>280113.34510516468</v>
      </c>
      <c r="Y559" s="577">
        <f t="shared" si="1229"/>
        <v>286236.2463021467</v>
      </c>
      <c r="Z559" s="577">
        <f t="shared" si="1229"/>
        <v>292362.86852634075</v>
      </c>
      <c r="AA559" s="577">
        <f t="shared" si="1229"/>
        <v>298488.59073597833</v>
      </c>
      <c r="AB559" s="577">
        <f t="shared" si="1229"/>
        <v>304618.61919574597</v>
      </c>
      <c r="AC559" s="577">
        <f t="shared" si="1229"/>
        <v>310748.43520444439</v>
      </c>
      <c r="AD559" s="577">
        <f t="shared" si="1229"/>
        <v>316880.92139721103</v>
      </c>
      <c r="AE559" s="577">
        <f t="shared" si="1229"/>
        <v>323019.03931021731</v>
      </c>
      <c r="AF559" s="577">
        <f t="shared" si="1229"/>
        <v>329158.48881030083</v>
      </c>
      <c r="AG559" s="577">
        <f t="shared" si="1229"/>
        <v>335302.41325497028</v>
      </c>
      <c r="AH559" s="752">
        <f t="shared" si="1229"/>
        <v>341454.07466072252</v>
      </c>
      <c r="AI559" s="18"/>
      <c r="AJ559" s="18"/>
      <c r="AK559" s="18"/>
      <c r="AL559" s="18"/>
      <c r="AM559" s="18"/>
      <c r="AN559" s="18"/>
    </row>
    <row r="560" spans="2:41" ht="21.95" customHeight="1" x14ac:dyDescent="0.2">
      <c r="B560" s="232"/>
      <c r="C560" s="715"/>
      <c r="D560" s="715"/>
      <c r="E560" s="1339"/>
      <c r="F560" s="116"/>
      <c r="G560" s="116"/>
      <c r="H560" s="721" t="s">
        <v>25</v>
      </c>
      <c r="I560" s="577">
        <f t="shared" ref="I560:AH560" si="1230">SUM(I558:I559)</f>
        <v>186538.49672410308</v>
      </c>
      <c r="J560" s="577">
        <f t="shared" si="1230"/>
        <v>194328.04418097981</v>
      </c>
      <c r="K560" s="577">
        <f t="shared" si="1230"/>
        <v>203968.99691514249</v>
      </c>
      <c r="L560" s="577">
        <f t="shared" si="1230"/>
        <v>216949.01876895234</v>
      </c>
      <c r="M560" s="577">
        <f t="shared" si="1230"/>
        <v>229933.74729940473</v>
      </c>
      <c r="N560" s="577">
        <f t="shared" si="1230"/>
        <v>242916.99404135696</v>
      </c>
      <c r="O560" s="577">
        <f t="shared" si="1230"/>
        <v>255897.25068461709</v>
      </c>
      <c r="P560" s="577">
        <f t="shared" si="1230"/>
        <v>268887.02433032938</v>
      </c>
      <c r="Q560" s="577">
        <f t="shared" si="1230"/>
        <v>281472.89747109782</v>
      </c>
      <c r="R560" s="577">
        <f t="shared" si="1230"/>
        <v>294063.85334753379</v>
      </c>
      <c r="S560" s="577">
        <f t="shared" si="1230"/>
        <v>306650.76563774177</v>
      </c>
      <c r="T560" s="577">
        <f t="shared" si="1230"/>
        <v>319238.58150230366</v>
      </c>
      <c r="U560" s="577">
        <f t="shared" si="1230"/>
        <v>331837.02454133111</v>
      </c>
      <c r="V560" s="577">
        <f t="shared" si="1230"/>
        <v>341082.5090850066</v>
      </c>
      <c r="W560" s="577">
        <f t="shared" si="1230"/>
        <v>348876.43216796225</v>
      </c>
      <c r="X560" s="577">
        <f t="shared" si="1230"/>
        <v>356671.45242721221</v>
      </c>
      <c r="Y560" s="577">
        <f t="shared" si="1230"/>
        <v>364467.81094121299</v>
      </c>
      <c r="Z560" s="577">
        <f t="shared" si="1230"/>
        <v>372268.90748074319</v>
      </c>
      <c r="AA560" s="577">
        <f t="shared" si="1230"/>
        <v>380068.85802168155</v>
      </c>
      <c r="AB560" s="577">
        <f t="shared" si="1230"/>
        <v>387874.29175903025</v>
      </c>
      <c r="AC560" s="577">
        <f t="shared" si="1230"/>
        <v>395679.4549800586</v>
      </c>
      <c r="AD560" s="577">
        <f t="shared" si="1230"/>
        <v>403488.0181762987</v>
      </c>
      <c r="AE560" s="577">
        <f t="shared" si="1230"/>
        <v>411303.75230485119</v>
      </c>
      <c r="AF560" s="577">
        <f t="shared" si="1230"/>
        <v>419121.18195810891</v>
      </c>
      <c r="AG560" s="577">
        <f t="shared" si="1230"/>
        <v>426944.30960831273</v>
      </c>
      <c r="AH560" s="752">
        <f t="shared" si="1230"/>
        <v>434777.28881751932</v>
      </c>
      <c r="AI560" s="18"/>
      <c r="AJ560" s="18"/>
      <c r="AK560" s="18"/>
      <c r="AL560" s="18"/>
      <c r="AM560" s="18"/>
      <c r="AN560" s="18"/>
    </row>
    <row r="561" spans="2:40" ht="21.95" customHeight="1" x14ac:dyDescent="0.2">
      <c r="B561" s="232"/>
      <c r="C561" s="715"/>
      <c r="D561" s="715"/>
      <c r="E561" s="1340" t="s">
        <v>280</v>
      </c>
      <c r="F561" s="220" t="s">
        <v>281</v>
      </c>
      <c r="G561" s="220" t="s">
        <v>335</v>
      </c>
      <c r="H561" s="116" t="s">
        <v>20</v>
      </c>
      <c r="I561" s="577">
        <f t="shared" ref="I561:AH561" si="1231">I470*$D$13</f>
        <v>412942.03269719816</v>
      </c>
      <c r="J561" s="577">
        <f t="shared" si="1231"/>
        <v>454713.18401744292</v>
      </c>
      <c r="K561" s="577">
        <f t="shared" si="1231"/>
        <v>548102.08945209149</v>
      </c>
      <c r="L561" s="577">
        <f t="shared" si="1231"/>
        <v>735681.00865643169</v>
      </c>
      <c r="M561" s="577">
        <f t="shared" si="1231"/>
        <v>923375.56069436192</v>
      </c>
      <c r="N561" s="577">
        <f t="shared" si="1231"/>
        <v>1111049.5276065597</v>
      </c>
      <c r="O561" s="577">
        <f t="shared" si="1231"/>
        <v>1298628.8232584894</v>
      </c>
      <c r="P561" s="577">
        <f t="shared" si="1231"/>
        <v>1486440.5616855191</v>
      </c>
      <c r="Q561" s="577">
        <f t="shared" si="1231"/>
        <v>1670733.6510704886</v>
      </c>
      <c r="R561" s="577">
        <f t="shared" si="1231"/>
        <v>1855130.2348842809</v>
      </c>
      <c r="S561" s="577">
        <f t="shared" si="1231"/>
        <v>2039460.65988383</v>
      </c>
      <c r="T561" s="577">
        <f t="shared" si="1231"/>
        <v>2223853.2183183036</v>
      </c>
      <c r="U561" s="577">
        <f t="shared" si="1231"/>
        <v>2408611.7856506677</v>
      </c>
      <c r="V561" s="577">
        <f t="shared" si="1231"/>
        <v>2498797.8489122954</v>
      </c>
      <c r="W561" s="577">
        <f t="shared" si="1231"/>
        <v>2540691.8991176588</v>
      </c>
      <c r="X561" s="577">
        <f t="shared" si="1231"/>
        <v>2582607.9117968143</v>
      </c>
      <c r="Y561" s="577">
        <f t="shared" si="1231"/>
        <v>2624549.3601903948</v>
      </c>
      <c r="Z561" s="577">
        <f t="shared" si="1231"/>
        <v>2666584.5324268625</v>
      </c>
      <c r="AA561" s="577">
        <f t="shared" si="1231"/>
        <v>2708589.2985294205</v>
      </c>
      <c r="AB561" s="577">
        <f t="shared" si="1231"/>
        <v>2750697.4914605673</v>
      </c>
      <c r="AC561" s="577">
        <f t="shared" si="1231"/>
        <v>2792786.0279473541</v>
      </c>
      <c r="AD561" s="577">
        <f t="shared" si="1231"/>
        <v>2834925.801754727</v>
      </c>
      <c r="AE561" s="577">
        <f t="shared" si="1231"/>
        <v>2877188.8504709178</v>
      </c>
      <c r="AF561" s="577">
        <f t="shared" si="1231"/>
        <v>2919454.1092745662</v>
      </c>
      <c r="AG561" s="577">
        <f t="shared" si="1231"/>
        <v>2961795.4549794444</v>
      </c>
      <c r="AH561" s="752">
        <f t="shared" si="1231"/>
        <v>3004288.3592814938</v>
      </c>
      <c r="AI561" s="18"/>
      <c r="AJ561" s="18"/>
      <c r="AK561" s="18"/>
      <c r="AL561" s="18"/>
      <c r="AM561" s="18"/>
      <c r="AN561" s="18"/>
    </row>
    <row r="562" spans="2:40" ht="21.95" customHeight="1" x14ac:dyDescent="0.2">
      <c r="B562" s="232"/>
      <c r="C562" s="715"/>
      <c r="D562" s="715"/>
      <c r="E562" s="1340"/>
      <c r="F562" s="116"/>
      <c r="G562" s="116"/>
      <c r="H562" s="124" t="s">
        <v>19</v>
      </c>
      <c r="I562" s="577">
        <f t="shared" ref="I562:AH562" si="1232">I471*$D$14</f>
        <v>1704589.3565281208</v>
      </c>
      <c r="J562" s="577">
        <f t="shared" si="1232"/>
        <v>1877017.0928991144</v>
      </c>
      <c r="K562" s="577">
        <f t="shared" si="1232"/>
        <v>2262518.4989486253</v>
      </c>
      <c r="L562" s="577">
        <f t="shared" si="1232"/>
        <v>3036828.2176670134</v>
      </c>
      <c r="M562" s="577">
        <f t="shared" si="1232"/>
        <v>3811615.2588224392</v>
      </c>
      <c r="N562" s="577">
        <f t="shared" si="1232"/>
        <v>4586317.3263412574</v>
      </c>
      <c r="O562" s="577">
        <f t="shared" si="1232"/>
        <v>5360628.5990030644</v>
      </c>
      <c r="P562" s="577">
        <f t="shared" si="1232"/>
        <v>6135899.3755396632</v>
      </c>
      <c r="Q562" s="577">
        <f t="shared" si="1232"/>
        <v>6896645.4700833019</v>
      </c>
      <c r="R562" s="577">
        <f t="shared" si="1232"/>
        <v>7657818.7807683395</v>
      </c>
      <c r="S562" s="577">
        <f t="shared" si="1232"/>
        <v>8418718.993532436</v>
      </c>
      <c r="T562" s="577">
        <f t="shared" si="1232"/>
        <v>9179875.6877962835</v>
      </c>
      <c r="U562" s="577">
        <f t="shared" si="1232"/>
        <v>9942543.2354544047</v>
      </c>
      <c r="V562" s="577">
        <f t="shared" si="1232"/>
        <v>10314823.583228227</v>
      </c>
      <c r="W562" s="577">
        <f t="shared" si="1232"/>
        <v>10487758.635674881</v>
      </c>
      <c r="X562" s="577">
        <f t="shared" si="1232"/>
        <v>10660784.347333008</v>
      </c>
      <c r="Y562" s="577">
        <f t="shared" si="1232"/>
        <v>10833915.055442577</v>
      </c>
      <c r="Z562" s="577">
        <f t="shared" si="1232"/>
        <v>11007432.647551322</v>
      </c>
      <c r="AA562" s="577">
        <f t="shared" si="1232"/>
        <v>11180824.725742545</v>
      </c>
      <c r="AB562" s="577">
        <f t="shared" si="1232"/>
        <v>11354643.741027186</v>
      </c>
      <c r="AC562" s="577">
        <f t="shared" si="1232"/>
        <v>11528381.616192413</v>
      </c>
      <c r="AD562" s="577">
        <f t="shared" si="1232"/>
        <v>11702330.99463029</v>
      </c>
      <c r="AE562" s="577">
        <f t="shared" si="1232"/>
        <v>11876789.24133746</v>
      </c>
      <c r="AF562" s="577">
        <f t="shared" si="1232"/>
        <v>12051256.611096438</v>
      </c>
      <c r="AG562" s="577">
        <f t="shared" si="1232"/>
        <v>12226038.061069435</v>
      </c>
      <c r="AH562" s="752">
        <f t="shared" si="1232"/>
        <v>12401445.131955715</v>
      </c>
      <c r="AI562" s="18"/>
      <c r="AJ562" s="18"/>
      <c r="AK562" s="18"/>
      <c r="AL562" s="18"/>
      <c r="AM562" s="18"/>
      <c r="AN562" s="18"/>
    </row>
    <row r="563" spans="2:40" ht="21.95" customHeight="1" x14ac:dyDescent="0.2">
      <c r="B563" s="232"/>
      <c r="C563" s="715"/>
      <c r="D563" s="715"/>
      <c r="E563" s="1340"/>
      <c r="F563" s="116"/>
      <c r="G563" s="116"/>
      <c r="H563" s="720" t="s">
        <v>25</v>
      </c>
      <c r="I563" s="577">
        <f t="shared" ref="I563:AH563" si="1233">SUM(I561:I562)</f>
        <v>2117531.389225319</v>
      </c>
      <c r="J563" s="577">
        <f t="shared" si="1233"/>
        <v>2331730.2769165575</v>
      </c>
      <c r="K563" s="577">
        <f t="shared" si="1233"/>
        <v>2810620.5884007169</v>
      </c>
      <c r="L563" s="577">
        <f t="shared" si="1233"/>
        <v>3772509.2263234453</v>
      </c>
      <c r="M563" s="577">
        <f t="shared" si="1233"/>
        <v>4734990.8195168013</v>
      </c>
      <c r="N563" s="577">
        <f t="shared" si="1233"/>
        <v>5697366.8539478173</v>
      </c>
      <c r="O563" s="577">
        <f t="shared" si="1233"/>
        <v>6659257.4222615538</v>
      </c>
      <c r="P563" s="577">
        <f t="shared" si="1233"/>
        <v>7622339.9372251825</v>
      </c>
      <c r="Q563" s="577">
        <f t="shared" si="1233"/>
        <v>8567379.1211537905</v>
      </c>
      <c r="R563" s="577">
        <f t="shared" si="1233"/>
        <v>9512949.0156526212</v>
      </c>
      <c r="S563" s="577">
        <f t="shared" si="1233"/>
        <v>10458179.653416267</v>
      </c>
      <c r="T563" s="577">
        <f t="shared" si="1233"/>
        <v>11403728.906114588</v>
      </c>
      <c r="U563" s="577">
        <f t="shared" si="1233"/>
        <v>12351155.021105073</v>
      </c>
      <c r="V563" s="577">
        <f t="shared" si="1233"/>
        <v>12813621.432140522</v>
      </c>
      <c r="W563" s="577">
        <f t="shared" si="1233"/>
        <v>13028450.534792539</v>
      </c>
      <c r="X563" s="577">
        <f t="shared" si="1233"/>
        <v>13243392.259129822</v>
      </c>
      <c r="Y563" s="577">
        <f t="shared" si="1233"/>
        <v>13458464.415632972</v>
      </c>
      <c r="Z563" s="577">
        <f t="shared" si="1233"/>
        <v>13674017.179978184</v>
      </c>
      <c r="AA563" s="577">
        <f t="shared" si="1233"/>
        <v>13889414.024271965</v>
      </c>
      <c r="AB563" s="577">
        <f t="shared" si="1233"/>
        <v>14105341.232487753</v>
      </c>
      <c r="AC563" s="577">
        <f t="shared" si="1233"/>
        <v>14321167.644139767</v>
      </c>
      <c r="AD563" s="577">
        <f t="shared" si="1233"/>
        <v>14537256.796385016</v>
      </c>
      <c r="AE563" s="577">
        <f t="shared" si="1233"/>
        <v>14753978.091808377</v>
      </c>
      <c r="AF563" s="577">
        <f t="shared" si="1233"/>
        <v>14970710.720371004</v>
      </c>
      <c r="AG563" s="577">
        <f t="shared" si="1233"/>
        <v>15187833.516048878</v>
      </c>
      <c r="AH563" s="752">
        <f t="shared" si="1233"/>
        <v>15405733.491237208</v>
      </c>
      <c r="AI563" s="18"/>
      <c r="AJ563" s="18"/>
      <c r="AK563" s="18"/>
      <c r="AL563" s="18"/>
      <c r="AM563" s="18"/>
      <c r="AN563" s="18"/>
    </row>
    <row r="564" spans="2:40" ht="21.95" customHeight="1" x14ac:dyDescent="0.2">
      <c r="B564" s="232"/>
      <c r="C564" s="715"/>
      <c r="D564" s="715"/>
      <c r="E564" s="1340"/>
      <c r="F564" s="116" t="s">
        <v>335</v>
      </c>
      <c r="G564" s="116" t="s">
        <v>323</v>
      </c>
      <c r="H564" s="116" t="s">
        <v>20</v>
      </c>
      <c r="I564" s="577">
        <f t="shared" ref="I564:AH564" si="1234">I473*$D$13</f>
        <v>55561.437919417978</v>
      </c>
      <c r="J564" s="577">
        <f t="shared" si="1234"/>
        <v>61360.259751361911</v>
      </c>
      <c r="K564" s="577">
        <f t="shared" si="1234"/>
        <v>69365.540211630941</v>
      </c>
      <c r="L564" s="577">
        <f t="shared" si="1234"/>
        <v>84068.82702224837</v>
      </c>
      <c r="M564" s="577">
        <f t="shared" si="1234"/>
        <v>98788.43489365431</v>
      </c>
      <c r="N564" s="577">
        <f t="shared" si="1234"/>
        <v>113560.33042500152</v>
      </c>
      <c r="O564" s="577">
        <f t="shared" si="1234"/>
        <v>128492.60638256527</v>
      </c>
      <c r="P564" s="577">
        <f t="shared" si="1234"/>
        <v>143929.95682461618</v>
      </c>
      <c r="Q564" s="577">
        <f t="shared" si="1234"/>
        <v>168786.08248600204</v>
      </c>
      <c r="R564" s="577">
        <f t="shared" si="1234"/>
        <v>203202.29557426469</v>
      </c>
      <c r="S564" s="577">
        <f t="shared" si="1234"/>
        <v>265477.78275969223</v>
      </c>
      <c r="T564" s="577">
        <f t="shared" si="1234"/>
        <v>400482.59676015552</v>
      </c>
      <c r="U564" s="577">
        <f t="shared" si="1234"/>
        <v>570897.92259099928</v>
      </c>
      <c r="V564" s="577">
        <f t="shared" si="1234"/>
        <v>604068.83893852076</v>
      </c>
      <c r="W564" s="577">
        <f t="shared" si="1234"/>
        <v>617386.34515310754</v>
      </c>
      <c r="X564" s="577">
        <f t="shared" si="1234"/>
        <v>630701.55582151318</v>
      </c>
      <c r="Y564" s="577">
        <f t="shared" si="1234"/>
        <v>644017.62582282419</v>
      </c>
      <c r="Z564" s="577">
        <f t="shared" si="1234"/>
        <v>657344.30294032837</v>
      </c>
      <c r="AA564" s="577">
        <f t="shared" si="1234"/>
        <v>670662.67399882677</v>
      </c>
      <c r="AB564" s="577">
        <f t="shared" si="1234"/>
        <v>683992.11639936932</v>
      </c>
      <c r="AC564" s="577">
        <f t="shared" si="1234"/>
        <v>697313.80588888843</v>
      </c>
      <c r="AD564" s="577">
        <f t="shared" si="1234"/>
        <v>710637.64467350033</v>
      </c>
      <c r="AE564" s="577">
        <f t="shared" si="1234"/>
        <v>723973.61305880419</v>
      </c>
      <c r="AF564" s="577">
        <f t="shared" si="1234"/>
        <v>737303.06427050522</v>
      </c>
      <c r="AG564" s="577">
        <f t="shared" si="1234"/>
        <v>750636.09305642417</v>
      </c>
      <c r="AH564" s="752">
        <f t="shared" si="1234"/>
        <v>763982.91584171634</v>
      </c>
      <c r="AI564" s="18"/>
      <c r="AJ564" s="18"/>
      <c r="AK564" s="18"/>
      <c r="AL564" s="18"/>
      <c r="AM564" s="18"/>
      <c r="AN564" s="18"/>
    </row>
    <row r="565" spans="2:40" ht="21.95" customHeight="1" x14ac:dyDescent="0.2">
      <c r="B565" s="232"/>
      <c r="C565" s="715"/>
      <c r="D565" s="715"/>
      <c r="E565" s="1340"/>
      <c r="F565" s="116"/>
      <c r="G565" s="116"/>
      <c r="H565" s="124" t="s">
        <v>19</v>
      </c>
      <c r="I565" s="577">
        <f t="shared" ref="I565:AH565" si="1235">I474*$D$14</f>
        <v>229352.85878317527</v>
      </c>
      <c r="J565" s="577">
        <f t="shared" si="1235"/>
        <v>253289.89883349804</v>
      </c>
      <c r="K565" s="577">
        <f t="shared" si="1235"/>
        <v>286335.01119338034</v>
      </c>
      <c r="L565" s="577">
        <f t="shared" si="1235"/>
        <v>347028.92031097552</v>
      </c>
      <c r="M565" s="577">
        <f t="shared" si="1235"/>
        <v>407790.20137016173</v>
      </c>
      <c r="N565" s="577">
        <f t="shared" si="1235"/>
        <v>468767.32141292514</v>
      </c>
      <c r="O565" s="577">
        <f t="shared" si="1235"/>
        <v>530406.47812397941</v>
      </c>
      <c r="P565" s="577">
        <f t="shared" si="1235"/>
        <v>594130.53906453867</v>
      </c>
      <c r="Q565" s="577">
        <f t="shared" si="1235"/>
        <v>696734.49771263427</v>
      </c>
      <c r="R565" s="577">
        <f t="shared" si="1235"/>
        <v>838801.67876241251</v>
      </c>
      <c r="S565" s="577">
        <f t="shared" si="1235"/>
        <v>1095869.5580856195</v>
      </c>
      <c r="T565" s="577">
        <f t="shared" si="1235"/>
        <v>1653157.8717071014</v>
      </c>
      <c r="U565" s="577">
        <f t="shared" si="1235"/>
        <v>2356617.7464579404</v>
      </c>
      <c r="V565" s="577">
        <f t="shared" si="1235"/>
        <v>2493544.4491792675</v>
      </c>
      <c r="W565" s="577">
        <f t="shared" si="1235"/>
        <v>2548517.9746414428</v>
      </c>
      <c r="X565" s="577">
        <f t="shared" si="1235"/>
        <v>2603482.0242855172</v>
      </c>
      <c r="Y565" s="577">
        <f t="shared" si="1235"/>
        <v>2658449.6211822527</v>
      </c>
      <c r="Z565" s="577">
        <f t="shared" si="1235"/>
        <v>2713461.0033464949</v>
      </c>
      <c r="AA565" s="577">
        <f t="shared" si="1235"/>
        <v>2768438.0988102923</v>
      </c>
      <c r="AB565" s="577">
        <f t="shared" si="1235"/>
        <v>2823460.8958261642</v>
      </c>
      <c r="AC565" s="577">
        <f t="shared" si="1235"/>
        <v>2878451.6894891048</v>
      </c>
      <c r="AD565" s="577">
        <f t="shared" si="1235"/>
        <v>2933451.3552581742</v>
      </c>
      <c r="AE565" s="577">
        <f t="shared" si="1235"/>
        <v>2988501.090980412</v>
      </c>
      <c r="AF565" s="577">
        <f t="shared" si="1235"/>
        <v>3043523.9243679917</v>
      </c>
      <c r="AG565" s="577">
        <f t="shared" si="1235"/>
        <v>3098561.525675646</v>
      </c>
      <c r="AH565" s="752">
        <f t="shared" si="1235"/>
        <v>3153656.0674317251</v>
      </c>
      <c r="AI565" s="18"/>
      <c r="AJ565" s="18"/>
      <c r="AK565" s="18"/>
      <c r="AL565" s="18"/>
      <c r="AM565" s="18"/>
      <c r="AN565" s="18"/>
    </row>
    <row r="566" spans="2:40" ht="21.95" customHeight="1" x14ac:dyDescent="0.2">
      <c r="B566" s="232"/>
      <c r="C566" s="715"/>
      <c r="D566" s="715"/>
      <c r="E566" s="1340"/>
      <c r="F566" s="116"/>
      <c r="G566" s="116"/>
      <c r="H566" s="720" t="s">
        <v>25</v>
      </c>
      <c r="I566" s="577">
        <f t="shared" ref="I566:AH566" si="1236">SUM(I564:I565)</f>
        <v>284914.29670259322</v>
      </c>
      <c r="J566" s="577">
        <f t="shared" si="1236"/>
        <v>314650.15858485992</v>
      </c>
      <c r="K566" s="577">
        <f t="shared" si="1236"/>
        <v>355700.55140501127</v>
      </c>
      <c r="L566" s="577">
        <f t="shared" si="1236"/>
        <v>431097.74733322387</v>
      </c>
      <c r="M566" s="577">
        <f t="shared" si="1236"/>
        <v>506578.63626381604</v>
      </c>
      <c r="N566" s="577">
        <f t="shared" si="1236"/>
        <v>582327.65183792671</v>
      </c>
      <c r="O566" s="577">
        <f t="shared" si="1236"/>
        <v>658899.08450654463</v>
      </c>
      <c r="P566" s="577">
        <f t="shared" si="1236"/>
        <v>738060.49588915484</v>
      </c>
      <c r="Q566" s="577">
        <f t="shared" si="1236"/>
        <v>865520.58019863628</v>
      </c>
      <c r="R566" s="577">
        <f t="shared" si="1236"/>
        <v>1042003.9743366772</v>
      </c>
      <c r="S566" s="577">
        <f t="shared" si="1236"/>
        <v>1361347.3408453118</v>
      </c>
      <c r="T566" s="577">
        <f t="shared" si="1236"/>
        <v>2053640.468467257</v>
      </c>
      <c r="U566" s="577">
        <f t="shared" si="1236"/>
        <v>2927515.6690489398</v>
      </c>
      <c r="V566" s="577">
        <f t="shared" si="1236"/>
        <v>3097613.2881177883</v>
      </c>
      <c r="W566" s="577">
        <f t="shared" si="1236"/>
        <v>3165904.3197945505</v>
      </c>
      <c r="X566" s="577">
        <f t="shared" si="1236"/>
        <v>3234183.5801070305</v>
      </c>
      <c r="Y566" s="577">
        <f t="shared" si="1236"/>
        <v>3302467.2470050771</v>
      </c>
      <c r="Z566" s="577">
        <f t="shared" si="1236"/>
        <v>3370805.306286823</v>
      </c>
      <c r="AA566" s="577">
        <f t="shared" si="1236"/>
        <v>3439100.772809119</v>
      </c>
      <c r="AB566" s="577">
        <f t="shared" si="1236"/>
        <v>3507453.0122255334</v>
      </c>
      <c r="AC566" s="577">
        <f t="shared" si="1236"/>
        <v>3575765.4953779932</v>
      </c>
      <c r="AD566" s="577">
        <f t="shared" si="1236"/>
        <v>3644088.9999316745</v>
      </c>
      <c r="AE566" s="577">
        <f t="shared" si="1236"/>
        <v>3712474.704039216</v>
      </c>
      <c r="AF566" s="577">
        <f t="shared" si="1236"/>
        <v>3780826.988638497</v>
      </c>
      <c r="AG566" s="577">
        <f t="shared" si="1236"/>
        <v>3849197.6187320701</v>
      </c>
      <c r="AH566" s="752">
        <f t="shared" si="1236"/>
        <v>3917638.9832734414</v>
      </c>
      <c r="AI566" s="18"/>
      <c r="AJ566" s="18"/>
      <c r="AK566" s="18"/>
      <c r="AL566" s="18"/>
      <c r="AM566" s="18"/>
      <c r="AN566" s="18"/>
    </row>
    <row r="567" spans="2:40" ht="21.95" customHeight="1" x14ac:dyDescent="0.2">
      <c r="B567" s="232"/>
      <c r="C567" s="715"/>
      <c r="D567" s="715"/>
      <c r="E567" s="1340"/>
      <c r="F567" s="116" t="s">
        <v>323</v>
      </c>
      <c r="G567" s="116" t="s">
        <v>338</v>
      </c>
      <c r="H567" s="116" t="s">
        <v>20</v>
      </c>
      <c r="I567" s="577">
        <f t="shared" ref="I567:AH567" si="1237">I476*$D$13</f>
        <v>788412.99189924565</v>
      </c>
      <c r="J567" s="577">
        <f t="shared" si="1237"/>
        <v>811893.28843199904</v>
      </c>
      <c r="K567" s="577">
        <f t="shared" si="1237"/>
        <v>846208.31474983331</v>
      </c>
      <c r="L567" s="577">
        <f t="shared" si="1237"/>
        <v>896793.79314342793</v>
      </c>
      <c r="M567" s="577">
        <f t="shared" si="1237"/>
        <v>951700.95624491258</v>
      </c>
      <c r="N567" s="577">
        <f t="shared" si="1237"/>
        <v>1013257.4791613307</v>
      </c>
      <c r="O567" s="577">
        <f t="shared" si="1237"/>
        <v>1084878.4658133404</v>
      </c>
      <c r="P567" s="577">
        <f t="shared" si="1237"/>
        <v>1171586.8931965777</v>
      </c>
      <c r="Q567" s="577">
        <f t="shared" si="1237"/>
        <v>1281474.5071022939</v>
      </c>
      <c r="R567" s="577">
        <f t="shared" si="1237"/>
        <v>1423869.8658905942</v>
      </c>
      <c r="S567" s="577">
        <f t="shared" si="1237"/>
        <v>1612494.8607874759</v>
      </c>
      <c r="T567" s="577">
        <f t="shared" si="1237"/>
        <v>1866245.0193855595</v>
      </c>
      <c r="U567" s="577">
        <f t="shared" si="1237"/>
        <v>2210775.6753307679</v>
      </c>
      <c r="V567" s="577">
        <f t="shared" si="1237"/>
        <v>2530748.9094655025</v>
      </c>
      <c r="W567" s="577">
        <f t="shared" si="1237"/>
        <v>2797370.6524701263</v>
      </c>
      <c r="X567" s="577">
        <f t="shared" si="1237"/>
        <v>2998512.2743984195</v>
      </c>
      <c r="Y567" s="577">
        <f t="shared" si="1237"/>
        <v>3047123.1906630993</v>
      </c>
      <c r="Z567" s="577">
        <f t="shared" si="1237"/>
        <v>3095758.0282737846</v>
      </c>
      <c r="AA567" s="577">
        <f t="shared" si="1237"/>
        <v>3144370.6241722186</v>
      </c>
      <c r="AB567" s="577">
        <f t="shared" si="1237"/>
        <v>3193007.397364933</v>
      </c>
      <c r="AC567" s="577">
        <f t="shared" si="1237"/>
        <v>3241622.2228846229</v>
      </c>
      <c r="AD567" s="577">
        <f t="shared" si="1237"/>
        <v>3290238.4131861357</v>
      </c>
      <c r="AE567" s="577">
        <f t="shared" si="1237"/>
        <v>3338879.3142384915</v>
      </c>
      <c r="AF567" s="577">
        <f t="shared" si="1237"/>
        <v>3387498.8690122426</v>
      </c>
      <c r="AG567" s="577">
        <f t="shared" si="1237"/>
        <v>3436120.462224572</v>
      </c>
      <c r="AH567" s="752">
        <f t="shared" si="1237"/>
        <v>3484767.5265487088</v>
      </c>
      <c r="AI567" s="18"/>
      <c r="AJ567" s="18"/>
      <c r="AK567" s="18"/>
      <c r="AL567" s="18"/>
      <c r="AM567" s="18"/>
      <c r="AN567" s="18"/>
    </row>
    <row r="568" spans="2:40" ht="21.95" customHeight="1" x14ac:dyDescent="0.2">
      <c r="B568" s="232"/>
      <c r="C568" s="715"/>
      <c r="D568" s="715"/>
      <c r="E568" s="1340"/>
      <c r="F568" s="116"/>
      <c r="G568" s="116"/>
      <c r="H568" s="116" t="s">
        <v>19</v>
      </c>
      <c r="I568" s="577">
        <f t="shared" ref="I568:AH568" si="1238">I477*$D$14</f>
        <v>3254501.3297917643</v>
      </c>
      <c r="J568" s="577">
        <f t="shared" si="1238"/>
        <v>3351425.9835898546</v>
      </c>
      <c r="K568" s="577">
        <f t="shared" si="1238"/>
        <v>3493075.4743145108</v>
      </c>
      <c r="L568" s="577">
        <f t="shared" si="1238"/>
        <v>3701887.9981968482</v>
      </c>
      <c r="M568" s="577">
        <f t="shared" si="1238"/>
        <v>3928540.0665479894</v>
      </c>
      <c r="N568" s="577">
        <f t="shared" si="1238"/>
        <v>4182640.1229235721</v>
      </c>
      <c r="O568" s="577">
        <f t="shared" si="1238"/>
        <v>4478285.423920528</v>
      </c>
      <c r="P568" s="577">
        <f t="shared" si="1238"/>
        <v>4836210.388529636</v>
      </c>
      <c r="Q568" s="577">
        <f t="shared" si="1238"/>
        <v>5289817.0505942572</v>
      </c>
      <c r="R568" s="577">
        <f t="shared" si="1238"/>
        <v>5877612.9003510317</v>
      </c>
      <c r="S568" s="577">
        <f t="shared" si="1238"/>
        <v>6656240.7299674125</v>
      </c>
      <c r="T568" s="577">
        <f t="shared" si="1238"/>
        <v>7703699.6595862051</v>
      </c>
      <c r="U568" s="577">
        <f t="shared" si="1238"/>
        <v>9125892.7099906821</v>
      </c>
      <c r="V568" s="577">
        <f t="shared" si="1238"/>
        <v>10446714.825669803</v>
      </c>
      <c r="W568" s="577">
        <f t="shared" si="1238"/>
        <v>11547306.553705197</v>
      </c>
      <c r="X568" s="577">
        <f t="shared" si="1238"/>
        <v>12377601.948083678</v>
      </c>
      <c r="Y568" s="577">
        <f t="shared" si="1238"/>
        <v>12578263.648551971</v>
      </c>
      <c r="Z568" s="577">
        <f t="shared" si="1238"/>
        <v>12779024.094288521</v>
      </c>
      <c r="AA568" s="577">
        <f t="shared" si="1238"/>
        <v>12979692.72814115</v>
      </c>
      <c r="AB568" s="577">
        <f t="shared" si="1238"/>
        <v>13180461.163794601</v>
      </c>
      <c r="AC568" s="577">
        <f t="shared" si="1238"/>
        <v>13381139.001332881</v>
      </c>
      <c r="AD568" s="577">
        <f t="shared" si="1238"/>
        <v>13581822.472573677</v>
      </c>
      <c r="AE568" s="577">
        <f t="shared" si="1238"/>
        <v>13782607.947678318</v>
      </c>
      <c r="AF568" s="577">
        <f t="shared" si="1238"/>
        <v>13983305.307172462</v>
      </c>
      <c r="AG568" s="577">
        <f t="shared" si="1238"/>
        <v>14184011.081166534</v>
      </c>
      <c r="AH568" s="752">
        <f t="shared" si="1238"/>
        <v>14384821.997729413</v>
      </c>
      <c r="AI568" s="18"/>
      <c r="AJ568" s="18"/>
      <c r="AK568" s="18"/>
      <c r="AL568" s="18"/>
      <c r="AM568" s="18"/>
      <c r="AN568" s="18"/>
    </row>
    <row r="569" spans="2:40" ht="21.95" customHeight="1" x14ac:dyDescent="0.2">
      <c r="B569" s="232"/>
      <c r="C569" s="715"/>
      <c r="D569" s="715"/>
      <c r="E569" s="1333"/>
      <c r="F569" s="254"/>
      <c r="G569" s="254"/>
      <c r="H569" s="721" t="s">
        <v>25</v>
      </c>
      <c r="I569" s="587">
        <f t="shared" ref="I569:AH569" si="1239">SUM(I567:I568)</f>
        <v>4042914.3216910101</v>
      </c>
      <c r="J569" s="587">
        <f t="shared" si="1239"/>
        <v>4163319.2720218534</v>
      </c>
      <c r="K569" s="587">
        <f t="shared" si="1239"/>
        <v>4339283.789064344</v>
      </c>
      <c r="L569" s="587">
        <f t="shared" si="1239"/>
        <v>4598681.7913402766</v>
      </c>
      <c r="M569" s="587">
        <f t="shared" si="1239"/>
        <v>4880241.0227929018</v>
      </c>
      <c r="N569" s="587">
        <f t="shared" si="1239"/>
        <v>5195897.602084903</v>
      </c>
      <c r="O569" s="587">
        <f t="shared" si="1239"/>
        <v>5563163.8897338687</v>
      </c>
      <c r="P569" s="587">
        <f t="shared" si="1239"/>
        <v>6007797.2817262132</v>
      </c>
      <c r="Q569" s="587">
        <f t="shared" si="1239"/>
        <v>6571291.5576965511</v>
      </c>
      <c r="R569" s="587">
        <f t="shared" si="1239"/>
        <v>7301482.7662416259</v>
      </c>
      <c r="S569" s="587">
        <f t="shared" si="1239"/>
        <v>8268735.590754889</v>
      </c>
      <c r="T569" s="587">
        <f t="shared" si="1239"/>
        <v>9569944.6789717637</v>
      </c>
      <c r="U569" s="587">
        <f t="shared" si="1239"/>
        <v>11336668.385321449</v>
      </c>
      <c r="V569" s="587">
        <f t="shared" si="1239"/>
        <v>12977463.735135306</v>
      </c>
      <c r="W569" s="587">
        <f t="shared" si="1239"/>
        <v>14344677.206175324</v>
      </c>
      <c r="X569" s="587">
        <f t="shared" si="1239"/>
        <v>15376114.222482098</v>
      </c>
      <c r="Y569" s="587">
        <f t="shared" si="1239"/>
        <v>15625386.83921507</v>
      </c>
      <c r="Z569" s="587">
        <f t="shared" si="1239"/>
        <v>15874782.122562304</v>
      </c>
      <c r="AA569" s="587">
        <f t="shared" si="1239"/>
        <v>16124063.352313368</v>
      </c>
      <c r="AB569" s="587">
        <f t="shared" si="1239"/>
        <v>16373468.561159534</v>
      </c>
      <c r="AC569" s="587">
        <f t="shared" si="1239"/>
        <v>16622761.224217504</v>
      </c>
      <c r="AD569" s="587">
        <f t="shared" si="1239"/>
        <v>16872060.885759812</v>
      </c>
      <c r="AE569" s="587">
        <f t="shared" si="1239"/>
        <v>17121487.261916809</v>
      </c>
      <c r="AF569" s="587">
        <f t="shared" si="1239"/>
        <v>17370804.176184706</v>
      </c>
      <c r="AG569" s="587">
        <f t="shared" si="1239"/>
        <v>17620131.543391105</v>
      </c>
      <c r="AH569" s="754">
        <f t="shared" si="1239"/>
        <v>17869589.524278123</v>
      </c>
      <c r="AI569" s="18"/>
      <c r="AJ569" s="18"/>
      <c r="AK569" s="18"/>
      <c r="AL569" s="18"/>
      <c r="AM569" s="18"/>
      <c r="AN569" s="18"/>
    </row>
    <row r="570" spans="2:40" ht="21.95" customHeight="1" x14ac:dyDescent="0.2">
      <c r="B570" s="232"/>
      <c r="C570" s="715"/>
      <c r="D570" s="715"/>
      <c r="E570" s="116" t="s">
        <v>339</v>
      </c>
      <c r="F570" s="116" t="s">
        <v>335</v>
      </c>
      <c r="G570" s="116" t="s">
        <v>323</v>
      </c>
      <c r="H570" s="116" t="s">
        <v>20</v>
      </c>
      <c r="I570" s="577">
        <f t="shared" ref="I570:AH570" si="1240">I479*$D$13</f>
        <v>2493.5110185185185</v>
      </c>
      <c r="J570" s="577">
        <f t="shared" si="1240"/>
        <v>18898.320009351854</v>
      </c>
      <c r="K570" s="577">
        <f t="shared" si="1240"/>
        <v>109487.57531551132</v>
      </c>
      <c r="L570" s="577">
        <f t="shared" si="1240"/>
        <v>252176.28256001373</v>
      </c>
      <c r="M570" s="577">
        <f t="shared" si="1240"/>
        <v>394959.24213400896</v>
      </c>
      <c r="N570" s="577">
        <f t="shared" si="1240"/>
        <v>537876.26361129899</v>
      </c>
      <c r="O570" s="577">
        <f t="shared" si="1240"/>
        <v>682235.36421704793</v>
      </c>
      <c r="P570" s="577">
        <f t="shared" si="1240"/>
        <v>838007.09646868135</v>
      </c>
      <c r="Q570" s="577">
        <f t="shared" si="1240"/>
        <v>944413.91251268855</v>
      </c>
      <c r="R570" s="577">
        <f t="shared" si="1240"/>
        <v>1088033.8765257141</v>
      </c>
      <c r="S570" s="577">
        <f t="shared" si="1240"/>
        <v>1311015.5244745407</v>
      </c>
      <c r="T570" s="577">
        <f t="shared" si="1240"/>
        <v>1693701.2968194168</v>
      </c>
      <c r="U570" s="577">
        <f t="shared" si="1240"/>
        <v>2384463.5308071584</v>
      </c>
      <c r="V570" s="577">
        <f t="shared" si="1240"/>
        <v>2616920.7249551099</v>
      </c>
      <c r="W570" s="577">
        <f t="shared" si="1240"/>
        <v>2651194.5698382598</v>
      </c>
      <c r="X570" s="577">
        <f t="shared" si="1240"/>
        <v>2685467.0631352146</v>
      </c>
      <c r="Y570" s="577">
        <f t="shared" si="1240"/>
        <v>2719740.0392104867</v>
      </c>
      <c r="Z570" s="577">
        <f t="shared" si="1240"/>
        <v>2754148.9888109812</v>
      </c>
      <c r="AA570" s="577">
        <f t="shared" si="1240"/>
        <v>2788423.1338747935</v>
      </c>
      <c r="AB570" s="577">
        <f t="shared" si="1240"/>
        <v>2822833.3736539655</v>
      </c>
      <c r="AC570" s="577">
        <f t="shared" si="1240"/>
        <v>2857108.9665159192</v>
      </c>
      <c r="AD570" s="577">
        <f t="shared" si="1240"/>
        <v>2891385.3854969223</v>
      </c>
      <c r="AE570" s="577">
        <f t="shared" si="1240"/>
        <v>2925798.1831582338</v>
      </c>
      <c r="AF570" s="577">
        <f t="shared" si="1240"/>
        <v>2960076.636564373</v>
      </c>
      <c r="AG570" s="577">
        <f t="shared" si="1240"/>
        <v>2994356.2286229748</v>
      </c>
      <c r="AH570" s="752">
        <f t="shared" si="1240"/>
        <v>3028772.5549080158</v>
      </c>
      <c r="AI570" s="18"/>
      <c r="AJ570" s="18"/>
      <c r="AK570" s="18"/>
      <c r="AL570" s="18"/>
      <c r="AM570" s="18"/>
      <c r="AN570" s="18"/>
    </row>
    <row r="571" spans="2:40" ht="21.95" customHeight="1" x14ac:dyDescent="0.2">
      <c r="B571" s="232"/>
      <c r="C571" s="715"/>
      <c r="D571" s="715"/>
      <c r="E571" s="116"/>
      <c r="F571" s="116"/>
      <c r="G571" s="116"/>
      <c r="H571" s="124" t="s">
        <v>19</v>
      </c>
      <c r="I571" s="577">
        <f t="shared" ref="I571:AH571" si="1241">I480*$D$14</f>
        <v>10292.999999999998</v>
      </c>
      <c r="J571" s="577">
        <f t="shared" si="1241"/>
        <v>78010.646999999997</v>
      </c>
      <c r="K571" s="577">
        <f t="shared" si="1241"/>
        <v>451955.3370139593</v>
      </c>
      <c r="L571" s="577">
        <f t="shared" si="1241"/>
        <v>1040962.1040826149</v>
      </c>
      <c r="M571" s="577">
        <f t="shared" si="1241"/>
        <v>1630357.9366979091</v>
      </c>
      <c r="N571" s="577">
        <f t="shared" si="1241"/>
        <v>2220307.1653721603</v>
      </c>
      <c r="O571" s="577">
        <f t="shared" si="1241"/>
        <v>2816209.1732236403</v>
      </c>
      <c r="P571" s="577">
        <f t="shared" si="1241"/>
        <v>3459221.5474054371</v>
      </c>
      <c r="Q571" s="577">
        <f t="shared" si="1241"/>
        <v>3898459.7739089192</v>
      </c>
      <c r="R571" s="577">
        <f t="shared" si="1241"/>
        <v>4491310.6891875565</v>
      </c>
      <c r="S571" s="577">
        <f t="shared" si="1241"/>
        <v>5411759.8411230883</v>
      </c>
      <c r="T571" s="577">
        <f t="shared" si="1241"/>
        <v>6991453.9453368708</v>
      </c>
      <c r="U571" s="577">
        <f t="shared" si="1241"/>
        <v>9842861.3069374356</v>
      </c>
      <c r="V571" s="577">
        <f t="shared" si="1241"/>
        <v>10802424.702324571</v>
      </c>
      <c r="W571" s="577">
        <f t="shared" si="1241"/>
        <v>10943904.199612642</v>
      </c>
      <c r="X571" s="577">
        <f t="shared" si="1241"/>
        <v>11085378.117668614</v>
      </c>
      <c r="Y571" s="577">
        <f t="shared" si="1241"/>
        <v>11226854.028592149</v>
      </c>
      <c r="Z571" s="577">
        <f t="shared" si="1241"/>
        <v>11368891.22658629</v>
      </c>
      <c r="AA571" s="577">
        <f t="shared" si="1241"/>
        <v>11510371.962994434</v>
      </c>
      <c r="AB571" s="577">
        <f t="shared" si="1241"/>
        <v>11652414.486735698</v>
      </c>
      <c r="AC571" s="577">
        <f t="shared" si="1241"/>
        <v>11793901.199530615</v>
      </c>
      <c r="AD571" s="577">
        <f t="shared" si="1241"/>
        <v>11935391.322474238</v>
      </c>
      <c r="AE571" s="577">
        <f t="shared" si="1241"/>
        <v>12077444.404933976</v>
      </c>
      <c r="AF571" s="577">
        <f t="shared" si="1241"/>
        <v>12218942.925810382</v>
      </c>
      <c r="AG571" s="577">
        <f t="shared" si="1241"/>
        <v>12360446.146946667</v>
      </c>
      <c r="AH571" s="752">
        <f t="shared" si="1241"/>
        <v>12502513.795263054</v>
      </c>
      <c r="AI571" s="18"/>
      <c r="AJ571" s="18"/>
      <c r="AK571" s="18"/>
      <c r="AL571" s="18"/>
      <c r="AM571" s="18"/>
      <c r="AN571" s="18"/>
    </row>
    <row r="572" spans="2:40" ht="21.95" customHeight="1" x14ac:dyDescent="0.2">
      <c r="B572" s="232"/>
      <c r="C572" s="715"/>
      <c r="D572" s="715"/>
      <c r="E572" s="116"/>
      <c r="F572" s="116"/>
      <c r="G572" s="116"/>
      <c r="H572" s="721" t="s">
        <v>25</v>
      </c>
      <c r="I572" s="577">
        <f t="shared" ref="I572:AH572" si="1242">SUM(I570:I571)</f>
        <v>12786.511018518517</v>
      </c>
      <c r="J572" s="577">
        <f t="shared" si="1242"/>
        <v>96908.967009351851</v>
      </c>
      <c r="K572" s="577">
        <f t="shared" si="1242"/>
        <v>561442.91232947062</v>
      </c>
      <c r="L572" s="577">
        <f t="shared" si="1242"/>
        <v>1293138.3866426286</v>
      </c>
      <c r="M572" s="577">
        <f t="shared" si="1242"/>
        <v>2025317.1788319182</v>
      </c>
      <c r="N572" s="577">
        <f t="shared" si="1242"/>
        <v>2758183.4289834592</v>
      </c>
      <c r="O572" s="577">
        <f t="shared" si="1242"/>
        <v>3498444.5374406883</v>
      </c>
      <c r="P572" s="577">
        <f t="shared" si="1242"/>
        <v>4297228.6438741181</v>
      </c>
      <c r="Q572" s="577">
        <f t="shared" si="1242"/>
        <v>4842873.6864216076</v>
      </c>
      <c r="R572" s="577">
        <f t="shared" si="1242"/>
        <v>5579344.5657132706</v>
      </c>
      <c r="S572" s="577">
        <f t="shared" si="1242"/>
        <v>6722775.365597629</v>
      </c>
      <c r="T572" s="577">
        <f t="shared" si="1242"/>
        <v>8685155.2421562877</v>
      </c>
      <c r="U572" s="577">
        <f t="shared" si="1242"/>
        <v>12227324.837744594</v>
      </c>
      <c r="V572" s="577">
        <f t="shared" si="1242"/>
        <v>13419345.427279681</v>
      </c>
      <c r="W572" s="577">
        <f t="shared" si="1242"/>
        <v>13595098.769450901</v>
      </c>
      <c r="X572" s="577">
        <f t="shared" si="1242"/>
        <v>13770845.180803828</v>
      </c>
      <c r="Y572" s="577">
        <f t="shared" si="1242"/>
        <v>13946594.067802636</v>
      </c>
      <c r="Z572" s="577">
        <f t="shared" si="1242"/>
        <v>14123040.21539727</v>
      </c>
      <c r="AA572" s="577">
        <f t="shared" si="1242"/>
        <v>14298795.096869227</v>
      </c>
      <c r="AB572" s="577">
        <f t="shared" si="1242"/>
        <v>14475247.860389663</v>
      </c>
      <c r="AC572" s="577">
        <f t="shared" si="1242"/>
        <v>14651010.166046534</v>
      </c>
      <c r="AD572" s="577">
        <f t="shared" si="1242"/>
        <v>14826776.707971159</v>
      </c>
      <c r="AE572" s="577">
        <f t="shared" si="1242"/>
        <v>15003242.58809221</v>
      </c>
      <c r="AF572" s="577">
        <f t="shared" si="1242"/>
        <v>15179019.562374756</v>
      </c>
      <c r="AG572" s="577">
        <f t="shared" si="1242"/>
        <v>15354802.375569642</v>
      </c>
      <c r="AH572" s="752">
        <f t="shared" si="1242"/>
        <v>15531286.350171071</v>
      </c>
      <c r="AI572" s="18"/>
      <c r="AJ572" s="18"/>
      <c r="AK572" s="18"/>
      <c r="AL572" s="18"/>
      <c r="AM572" s="18"/>
      <c r="AN572" s="18"/>
    </row>
    <row r="573" spans="2:40" ht="21.95" customHeight="1" x14ac:dyDescent="0.2">
      <c r="B573" s="232"/>
      <c r="C573" s="715"/>
      <c r="D573" s="715"/>
      <c r="E573" s="1340" t="s">
        <v>323</v>
      </c>
      <c r="F573" s="220" t="s">
        <v>282</v>
      </c>
      <c r="G573" s="220" t="s">
        <v>339</v>
      </c>
      <c r="H573" s="116" t="s">
        <v>20</v>
      </c>
      <c r="I573" s="577">
        <f t="shared" ref="I573:AH573" si="1243">I482*$D$13</f>
        <v>7528.1649635036492</v>
      </c>
      <c r="J573" s="577">
        <f t="shared" si="1243"/>
        <v>16731.346631386859</v>
      </c>
      <c r="K573" s="577">
        <f t="shared" si="1243"/>
        <v>70715.817584671531</v>
      </c>
      <c r="L573" s="577">
        <f t="shared" si="1243"/>
        <v>158964.73136935019</v>
      </c>
      <c r="M573" s="577">
        <f t="shared" si="1243"/>
        <v>247262.57822719085</v>
      </c>
      <c r="N573" s="577">
        <f t="shared" si="1243"/>
        <v>335564.18919196329</v>
      </c>
      <c r="O573" s="577">
        <f t="shared" si="1243"/>
        <v>423813.10329301108</v>
      </c>
      <c r="P573" s="577">
        <f t="shared" si="1243"/>
        <v>512163.64971262403</v>
      </c>
      <c r="Q573" s="577">
        <f t="shared" si="1243"/>
        <v>580293.55074736092</v>
      </c>
      <c r="R573" s="577">
        <f t="shared" si="1243"/>
        <v>648434.7619006593</v>
      </c>
      <c r="S573" s="577">
        <f t="shared" si="1243"/>
        <v>716564.72856437194</v>
      </c>
      <c r="T573" s="577">
        <f t="shared" si="1243"/>
        <v>784694.81124445319</v>
      </c>
      <c r="U573" s="577">
        <f t="shared" si="1243"/>
        <v>852915.49322320835</v>
      </c>
      <c r="V573" s="577">
        <f t="shared" si="1243"/>
        <v>886728.64717482182</v>
      </c>
      <c r="W573" s="577">
        <f t="shared" si="1243"/>
        <v>895931.9674641178</v>
      </c>
      <c r="X573" s="577">
        <f t="shared" si="1243"/>
        <v>905135.30274452304</v>
      </c>
      <c r="Y573" s="577">
        <f t="shared" si="1243"/>
        <v>914338.65446434659</v>
      </c>
      <c r="Z573" s="577">
        <f t="shared" si="1243"/>
        <v>923568.3733336092</v>
      </c>
      <c r="AA573" s="577">
        <f t="shared" si="1243"/>
        <v>932771.76282302989</v>
      </c>
      <c r="AB573" s="577">
        <f t="shared" si="1243"/>
        <v>942001.5231282179</v>
      </c>
      <c r="AC573" s="577">
        <f t="shared" si="1243"/>
        <v>951204.95777641656</v>
      </c>
      <c r="AD573" s="577">
        <f t="shared" si="1243"/>
        <v>960408.41812278982</v>
      </c>
      <c r="AE573" s="577">
        <f t="shared" si="1243"/>
        <v>969638.25599141372</v>
      </c>
      <c r="AF573" s="577">
        <f t="shared" si="1243"/>
        <v>978841.77498876664</v>
      </c>
      <c r="AG573" s="577">
        <f t="shared" si="1243"/>
        <v>988045.32723911887</v>
      </c>
      <c r="AH573" s="752">
        <f t="shared" si="1243"/>
        <v>997275.26546094392</v>
      </c>
      <c r="AI573" s="18"/>
      <c r="AJ573" s="18"/>
      <c r="AK573" s="18"/>
      <c r="AL573" s="18"/>
      <c r="AM573" s="18"/>
      <c r="AN573" s="18"/>
    </row>
    <row r="574" spans="2:40" ht="21.95" customHeight="1" x14ac:dyDescent="0.2">
      <c r="B574" s="232"/>
      <c r="C574" s="715"/>
      <c r="D574" s="715"/>
      <c r="E574" s="1340"/>
      <c r="F574" s="116"/>
      <c r="G574" s="116"/>
      <c r="H574" s="124" t="s">
        <v>19</v>
      </c>
      <c r="I574" s="577">
        <f t="shared" ref="I574:AH574" si="1244">I483*$D$14</f>
        <v>31075.6204379562</v>
      </c>
      <c r="J574" s="577">
        <f t="shared" si="1244"/>
        <v>69065.566423357654</v>
      </c>
      <c r="K574" s="577">
        <f t="shared" si="1244"/>
        <v>291908.84058394161</v>
      </c>
      <c r="L574" s="577">
        <f t="shared" si="1244"/>
        <v>656192.80116791255</v>
      </c>
      <c r="M574" s="577">
        <f t="shared" si="1244"/>
        <v>1020678.7532884423</v>
      </c>
      <c r="N574" s="577">
        <f t="shared" si="1244"/>
        <v>1385180.2433201184</v>
      </c>
      <c r="O574" s="577">
        <f t="shared" si="1244"/>
        <v>1749464.205210034</v>
      </c>
      <c r="P574" s="577">
        <f t="shared" si="1244"/>
        <v>2114167.696609634</v>
      </c>
      <c r="Q574" s="577">
        <f t="shared" si="1244"/>
        <v>2395402.0950712818</v>
      </c>
      <c r="R574" s="577">
        <f t="shared" si="1244"/>
        <v>2676683.1807340248</v>
      </c>
      <c r="S574" s="577">
        <f t="shared" si="1244"/>
        <v>2957917.8501064656</v>
      </c>
      <c r="T574" s="577">
        <f t="shared" si="1244"/>
        <v>3239152.9983845432</v>
      </c>
      <c r="U574" s="577">
        <f t="shared" si="1244"/>
        <v>3520762.1328107971</v>
      </c>
      <c r="V574" s="577">
        <f t="shared" si="1244"/>
        <v>3660339.937376</v>
      </c>
      <c r="W574" s="577">
        <f t="shared" si="1244"/>
        <v>3698330.4555787253</v>
      </c>
      <c r="X574" s="577">
        <f t="shared" si="1244"/>
        <v>3736321.035663466</v>
      </c>
      <c r="Y574" s="577">
        <f t="shared" si="1244"/>
        <v>3774311.6836087178</v>
      </c>
      <c r="Z574" s="577">
        <f t="shared" si="1244"/>
        <v>3812411.1728894049</v>
      </c>
      <c r="AA574" s="577">
        <f t="shared" si="1244"/>
        <v>3850401.9767443193</v>
      </c>
      <c r="AB574" s="577">
        <f t="shared" si="1244"/>
        <v>3888501.6370689594</v>
      </c>
      <c r="AC574" s="577">
        <f t="shared" si="1244"/>
        <v>3926492.6273354432</v>
      </c>
      <c r="AD574" s="577">
        <f t="shared" si="1244"/>
        <v>3964483.7236817926</v>
      </c>
      <c r="AE574" s="577">
        <f t="shared" si="1244"/>
        <v>4002583.7041816539</v>
      </c>
      <c r="AF574" s="577">
        <f t="shared" si="1244"/>
        <v>4040575.0426342255</v>
      </c>
      <c r="AG574" s="577">
        <f t="shared" si="1244"/>
        <v>4078566.5183523321</v>
      </c>
      <c r="AH574" s="752">
        <f t="shared" si="1244"/>
        <v>4116666.9131016154</v>
      </c>
      <c r="AI574" s="18"/>
      <c r="AJ574" s="18"/>
      <c r="AK574" s="18"/>
      <c r="AL574" s="18"/>
      <c r="AM574" s="18"/>
      <c r="AN574" s="18"/>
    </row>
    <row r="575" spans="2:40" ht="21.95" customHeight="1" x14ac:dyDescent="0.2">
      <c r="B575" s="232"/>
      <c r="C575" s="715"/>
      <c r="D575" s="715"/>
      <c r="E575" s="1340"/>
      <c r="F575" s="116"/>
      <c r="G575" s="116"/>
      <c r="H575" s="720" t="s">
        <v>25</v>
      </c>
      <c r="I575" s="577">
        <f t="shared" ref="I575:AH575" si="1245">SUM(I573:I574)</f>
        <v>38603.785401459849</v>
      </c>
      <c r="J575" s="577">
        <f t="shared" si="1245"/>
        <v>85796.913054744509</v>
      </c>
      <c r="K575" s="577">
        <f t="shared" si="1245"/>
        <v>362624.65816861315</v>
      </c>
      <c r="L575" s="577">
        <f t="shared" si="1245"/>
        <v>815157.53253726277</v>
      </c>
      <c r="M575" s="577">
        <f t="shared" si="1245"/>
        <v>1267941.331515633</v>
      </c>
      <c r="N575" s="577">
        <f t="shared" si="1245"/>
        <v>1720744.4325120817</v>
      </c>
      <c r="O575" s="577">
        <f t="shared" si="1245"/>
        <v>2173277.3085030452</v>
      </c>
      <c r="P575" s="577">
        <f t="shared" si="1245"/>
        <v>2626331.346322258</v>
      </c>
      <c r="Q575" s="577">
        <f t="shared" si="1245"/>
        <v>2975695.6458186428</v>
      </c>
      <c r="R575" s="577">
        <f t="shared" si="1245"/>
        <v>3325117.942634684</v>
      </c>
      <c r="S575" s="577">
        <f t="shared" si="1245"/>
        <v>3674482.5786708375</v>
      </c>
      <c r="T575" s="577">
        <f t="shared" si="1245"/>
        <v>4023847.8096289965</v>
      </c>
      <c r="U575" s="577">
        <f t="shared" si="1245"/>
        <v>4373677.6260340055</v>
      </c>
      <c r="V575" s="577">
        <f t="shared" si="1245"/>
        <v>4547068.5845508222</v>
      </c>
      <c r="W575" s="577">
        <f t="shared" si="1245"/>
        <v>4594262.4230428431</v>
      </c>
      <c r="X575" s="577">
        <f t="shared" si="1245"/>
        <v>4641456.3384079887</v>
      </c>
      <c r="Y575" s="577">
        <f t="shared" si="1245"/>
        <v>4688650.3380730646</v>
      </c>
      <c r="Z575" s="577">
        <f t="shared" si="1245"/>
        <v>4735979.5462230146</v>
      </c>
      <c r="AA575" s="577">
        <f t="shared" si="1245"/>
        <v>4783173.7395673487</v>
      </c>
      <c r="AB575" s="577">
        <f t="shared" si="1245"/>
        <v>4830503.160197177</v>
      </c>
      <c r="AC575" s="577">
        <f t="shared" si="1245"/>
        <v>4877697.5851118602</v>
      </c>
      <c r="AD575" s="577">
        <f t="shared" si="1245"/>
        <v>4924892.1418045824</v>
      </c>
      <c r="AE575" s="577">
        <f t="shared" si="1245"/>
        <v>4972221.9601730676</v>
      </c>
      <c r="AF575" s="577">
        <f t="shared" si="1245"/>
        <v>5019416.8176229922</v>
      </c>
      <c r="AG575" s="577">
        <f t="shared" si="1245"/>
        <v>5066611.845591451</v>
      </c>
      <c r="AH575" s="752">
        <f t="shared" si="1245"/>
        <v>5113942.1785625592</v>
      </c>
      <c r="AI575" s="18"/>
      <c r="AJ575" s="18"/>
      <c r="AK575" s="18"/>
      <c r="AL575" s="18"/>
      <c r="AM575" s="18"/>
      <c r="AN575" s="18"/>
    </row>
    <row r="576" spans="2:40" ht="21.95" customHeight="1" x14ac:dyDescent="0.2">
      <c r="B576" s="232"/>
      <c r="C576" s="715"/>
      <c r="D576" s="715"/>
      <c r="E576" s="1340"/>
      <c r="F576" s="116" t="s">
        <v>339</v>
      </c>
      <c r="G576" s="116" t="s">
        <v>288</v>
      </c>
      <c r="H576" s="116" t="s">
        <v>20</v>
      </c>
      <c r="I576" s="577">
        <f t="shared" ref="I576:AH576" si="1246">I485*$D$13</f>
        <v>0</v>
      </c>
      <c r="J576" s="577">
        <f t="shared" si="1246"/>
        <v>5121.3827425790769</v>
      </c>
      <c r="K576" s="577">
        <f t="shared" si="1246"/>
        <v>14666.984387931876</v>
      </c>
      <c r="L576" s="577">
        <f t="shared" si="1246"/>
        <v>32970.462802531889</v>
      </c>
      <c r="M576" s="577">
        <f t="shared" si="1246"/>
        <v>51284.090298972915</v>
      </c>
      <c r="N576" s="577">
        <f t="shared" si="1246"/>
        <v>69598.498499073859</v>
      </c>
      <c r="O576" s="577">
        <f t="shared" si="1246"/>
        <v>87901.976979291197</v>
      </c>
      <c r="P576" s="577">
        <f t="shared" si="1246"/>
        <v>106226.53475521093</v>
      </c>
      <c r="Q576" s="577">
        <f t="shared" si="1246"/>
        <v>120357.18089574893</v>
      </c>
      <c r="R576" s="577">
        <f t="shared" si="1246"/>
        <v>134490.17283865521</v>
      </c>
      <c r="S576" s="577">
        <f t="shared" si="1246"/>
        <v>148620.83259112897</v>
      </c>
      <c r="T576" s="577">
        <f t="shared" si="1246"/>
        <v>162751.51640625697</v>
      </c>
      <c r="U576" s="577">
        <f t="shared" si="1246"/>
        <v>176900.9911870358</v>
      </c>
      <c r="V576" s="577">
        <f t="shared" si="1246"/>
        <v>183914.08978440746</v>
      </c>
      <c r="W576" s="577">
        <f t="shared" si="1246"/>
        <v>185822.92658515036</v>
      </c>
      <c r="X576" s="577">
        <f t="shared" si="1246"/>
        <v>187731.76649516029</v>
      </c>
      <c r="Y576" s="577">
        <f t="shared" si="1246"/>
        <v>189640.60981482745</v>
      </c>
      <c r="Z576" s="577">
        <f t="shared" si="1246"/>
        <v>191554.92187660045</v>
      </c>
      <c r="AA576" s="577">
        <f t="shared" si="1246"/>
        <v>193463.77302996171</v>
      </c>
      <c r="AB576" s="577">
        <f t="shared" si="1246"/>
        <v>195378.09368585263</v>
      </c>
      <c r="AC576" s="577">
        <f t="shared" si="1246"/>
        <v>197286.95420547898</v>
      </c>
      <c r="AD576" s="577">
        <f t="shared" si="1246"/>
        <v>199195.82005509714</v>
      </c>
      <c r="AE576" s="577">
        <f t="shared" si="1246"/>
        <v>201110.15679821919</v>
      </c>
      <c r="AF576" s="577">
        <f t="shared" si="1246"/>
        <v>203019.03481248493</v>
      </c>
      <c r="AG576" s="577">
        <f t="shared" si="1246"/>
        <v>204927.9197236691</v>
      </c>
      <c r="AH576" s="752">
        <f t="shared" si="1246"/>
        <v>206842.27728078837</v>
      </c>
      <c r="AI576" s="18"/>
      <c r="AJ576" s="18"/>
      <c r="AK576" s="18"/>
      <c r="AL576" s="18"/>
      <c r="AM576" s="18"/>
      <c r="AN576" s="18"/>
    </row>
    <row r="577" spans="2:40" ht="21.95" customHeight="1" x14ac:dyDescent="0.2">
      <c r="B577" s="232"/>
      <c r="C577" s="715"/>
      <c r="D577" s="715"/>
      <c r="E577" s="1340"/>
      <c r="F577" s="116"/>
      <c r="G577" s="116"/>
      <c r="H577" s="124" t="s">
        <v>19</v>
      </c>
      <c r="I577" s="577">
        <f t="shared" ref="I577:AH577" si="1247">I486*$D$14</f>
        <v>0</v>
      </c>
      <c r="J577" s="577">
        <f t="shared" si="1247"/>
        <v>21140.629489051098</v>
      </c>
      <c r="K577" s="577">
        <f t="shared" si="1247"/>
        <v>60544.055824817522</v>
      </c>
      <c r="L577" s="577">
        <f t="shared" si="1247"/>
        <v>136099.2476496411</v>
      </c>
      <c r="M577" s="577">
        <f t="shared" si="1247"/>
        <v>211696.33401538062</v>
      </c>
      <c r="N577" s="577">
        <f t="shared" si="1247"/>
        <v>287296.64305898751</v>
      </c>
      <c r="O577" s="577">
        <f t="shared" si="1247"/>
        <v>362851.83515467378</v>
      </c>
      <c r="P577" s="577">
        <f t="shared" si="1247"/>
        <v>438494.04077829455</v>
      </c>
      <c r="Q577" s="577">
        <f t="shared" si="1247"/>
        <v>496824.13823700661</v>
      </c>
      <c r="R577" s="577">
        <f t="shared" si="1247"/>
        <v>555163.9189670569</v>
      </c>
      <c r="S577" s="577">
        <f t="shared" si="1247"/>
        <v>613494.07261467434</v>
      </c>
      <c r="T577" s="577">
        <f t="shared" si="1247"/>
        <v>671824.32559086836</v>
      </c>
      <c r="U577" s="577">
        <f t="shared" si="1247"/>
        <v>730232.14606446167</v>
      </c>
      <c r="V577" s="577">
        <f t="shared" si="1247"/>
        <v>759181.61664094811</v>
      </c>
      <c r="W577" s="577">
        <f t="shared" si="1247"/>
        <v>767061.13152743934</v>
      </c>
      <c r="X577" s="577">
        <f t="shared" si="1247"/>
        <v>774940.65924871876</v>
      </c>
      <c r="Y577" s="577">
        <f t="shared" si="1247"/>
        <v>782820.20104477124</v>
      </c>
      <c r="Z577" s="577">
        <f t="shared" si="1247"/>
        <v>790722.31734002475</v>
      </c>
      <c r="AA577" s="577">
        <f t="shared" si="1247"/>
        <v>798601.89147289586</v>
      </c>
      <c r="AB577" s="577">
        <f t="shared" si="1247"/>
        <v>806504.0432439323</v>
      </c>
      <c r="AC577" s="577">
        <f t="shared" si="1247"/>
        <v>814383.6560399438</v>
      </c>
      <c r="AD577" s="577">
        <f t="shared" si="1247"/>
        <v>822263.29083770502</v>
      </c>
      <c r="AE577" s="577">
        <f t="shared" si="1247"/>
        <v>830165.50901545433</v>
      </c>
      <c r="AF577" s="577">
        <f t="shared" si="1247"/>
        <v>838045.19402783934</v>
      </c>
      <c r="AG577" s="577">
        <f t="shared" si="1247"/>
        <v>845924.9075101132</v>
      </c>
      <c r="AH577" s="752">
        <f t="shared" si="1247"/>
        <v>853827.21160626097</v>
      </c>
      <c r="AI577" s="18"/>
      <c r="AJ577" s="18"/>
      <c r="AK577" s="18"/>
      <c r="AL577" s="18"/>
      <c r="AM577" s="18"/>
      <c r="AN577" s="18"/>
    </row>
    <row r="578" spans="2:40" ht="21.95" customHeight="1" x14ac:dyDescent="0.2">
      <c r="B578" s="232"/>
      <c r="C578" s="715"/>
      <c r="D578" s="715"/>
      <c r="E578" s="1340"/>
      <c r="F578" s="116"/>
      <c r="G578" s="116"/>
      <c r="H578" s="720" t="s">
        <v>25</v>
      </c>
      <c r="I578" s="577">
        <f t="shared" ref="I578:AH578" si="1248">SUM(I576:I577)</f>
        <v>0</v>
      </c>
      <c r="J578" s="577">
        <f t="shared" si="1248"/>
        <v>26262.012231630175</v>
      </c>
      <c r="K578" s="577">
        <f t="shared" si="1248"/>
        <v>75211.040212749402</v>
      </c>
      <c r="L578" s="577">
        <f t="shared" si="1248"/>
        <v>169069.71045217299</v>
      </c>
      <c r="M578" s="577">
        <f t="shared" si="1248"/>
        <v>262980.42431435356</v>
      </c>
      <c r="N578" s="577">
        <f t="shared" si="1248"/>
        <v>356895.14155806135</v>
      </c>
      <c r="O578" s="577">
        <f t="shared" si="1248"/>
        <v>450753.81213396497</v>
      </c>
      <c r="P578" s="577">
        <f t="shared" si="1248"/>
        <v>544720.57553350553</v>
      </c>
      <c r="Q578" s="577">
        <f t="shared" si="1248"/>
        <v>617181.31913275551</v>
      </c>
      <c r="R578" s="577">
        <f t="shared" si="1248"/>
        <v>689654.09180571209</v>
      </c>
      <c r="S578" s="577">
        <f t="shared" si="1248"/>
        <v>762114.90520580334</v>
      </c>
      <c r="T578" s="577">
        <f t="shared" si="1248"/>
        <v>834575.8419971253</v>
      </c>
      <c r="U578" s="577">
        <f t="shared" si="1248"/>
        <v>907133.13725149748</v>
      </c>
      <c r="V578" s="577">
        <f t="shared" si="1248"/>
        <v>943095.70642535551</v>
      </c>
      <c r="W578" s="577">
        <f t="shared" si="1248"/>
        <v>952884.05811258964</v>
      </c>
      <c r="X578" s="577">
        <f t="shared" si="1248"/>
        <v>962672.42574387905</v>
      </c>
      <c r="Y578" s="577">
        <f t="shared" si="1248"/>
        <v>972460.81085959869</v>
      </c>
      <c r="Z578" s="577">
        <f t="shared" si="1248"/>
        <v>982277.23921662522</v>
      </c>
      <c r="AA578" s="577">
        <f t="shared" si="1248"/>
        <v>992065.6645028576</v>
      </c>
      <c r="AB578" s="577">
        <f t="shared" si="1248"/>
        <v>1001882.1369297849</v>
      </c>
      <c r="AC578" s="577">
        <f t="shared" si="1248"/>
        <v>1011670.6102454228</v>
      </c>
      <c r="AD578" s="577">
        <f t="shared" si="1248"/>
        <v>1021459.1108928021</v>
      </c>
      <c r="AE578" s="577">
        <f t="shared" si="1248"/>
        <v>1031275.6658136735</v>
      </c>
      <c r="AF578" s="577">
        <f t="shared" si="1248"/>
        <v>1041064.2288403243</v>
      </c>
      <c r="AG578" s="577">
        <f t="shared" si="1248"/>
        <v>1050852.8272337823</v>
      </c>
      <c r="AH578" s="752">
        <f t="shared" si="1248"/>
        <v>1060669.4888870493</v>
      </c>
      <c r="AI578" s="18"/>
      <c r="AJ578" s="18"/>
      <c r="AK578" s="18"/>
      <c r="AL578" s="18"/>
      <c r="AM578" s="18"/>
      <c r="AN578" s="18"/>
    </row>
    <row r="579" spans="2:40" ht="21.95" customHeight="1" x14ac:dyDescent="0.2">
      <c r="B579" s="232"/>
      <c r="C579" s="715"/>
      <c r="D579" s="715"/>
      <c r="E579" s="1340"/>
      <c r="F579" s="116" t="s">
        <v>288</v>
      </c>
      <c r="G579" s="116" t="s">
        <v>340</v>
      </c>
      <c r="H579" s="116" t="s">
        <v>20</v>
      </c>
      <c r="I579" s="577">
        <f t="shared" ref="I579:AH579" si="1249">I488*$D$13</f>
        <v>0</v>
      </c>
      <c r="J579" s="577">
        <f t="shared" si="1249"/>
        <v>13352.176436009733</v>
      </c>
      <c r="K579" s="577">
        <f t="shared" si="1249"/>
        <v>38238.923582822383</v>
      </c>
      <c r="L579" s="577">
        <f t="shared" si="1249"/>
        <v>85958.706592315255</v>
      </c>
      <c r="M579" s="577">
        <f t="shared" si="1249"/>
        <v>133704.9497080365</v>
      </c>
      <c r="N579" s="577">
        <f t="shared" si="1249"/>
        <v>181453.22822972824</v>
      </c>
      <c r="O579" s="577">
        <f t="shared" si="1249"/>
        <v>229173.01141029489</v>
      </c>
      <c r="P579" s="577">
        <f t="shared" si="1249"/>
        <v>276947.75132608565</v>
      </c>
      <c r="Q579" s="577">
        <f t="shared" si="1249"/>
        <v>313788.36447820259</v>
      </c>
      <c r="R579" s="577">
        <f t="shared" si="1249"/>
        <v>350635.09347220825</v>
      </c>
      <c r="S579" s="577">
        <f t="shared" si="1249"/>
        <v>387475.74211258616</v>
      </c>
      <c r="T579" s="577">
        <f t="shared" si="1249"/>
        <v>424316.45348774118</v>
      </c>
      <c r="U579" s="577">
        <f t="shared" si="1249"/>
        <v>461206.15559477184</v>
      </c>
      <c r="V579" s="577">
        <f t="shared" si="1249"/>
        <v>479490.30550934799</v>
      </c>
      <c r="W579" s="577">
        <f t="shared" si="1249"/>
        <v>484466.91573985625</v>
      </c>
      <c r="X579" s="577">
        <f t="shared" si="1249"/>
        <v>489443.53407666797</v>
      </c>
      <c r="Y579" s="577">
        <f t="shared" si="1249"/>
        <v>494420.1613029429</v>
      </c>
      <c r="Z579" s="577">
        <f t="shared" si="1249"/>
        <v>499411.04632113688</v>
      </c>
      <c r="AA579" s="577">
        <f t="shared" si="1249"/>
        <v>504387.69397097162</v>
      </c>
      <c r="AB579" s="577">
        <f t="shared" si="1249"/>
        <v>509378.60139525851</v>
      </c>
      <c r="AC579" s="577">
        <f t="shared" si="1249"/>
        <v>514355.27346428449</v>
      </c>
      <c r="AD579" s="577">
        <f t="shared" si="1249"/>
        <v>519331.95942936029</v>
      </c>
      <c r="AE579" s="577">
        <f t="shared" si="1249"/>
        <v>524322.90879535698</v>
      </c>
      <c r="AF579" s="577">
        <f t="shared" si="1249"/>
        <v>529299.62647540704</v>
      </c>
      <c r="AG579" s="577">
        <f t="shared" si="1249"/>
        <v>534276.36213670881</v>
      </c>
      <c r="AH579" s="752">
        <f t="shared" si="1249"/>
        <v>539267.36576776963</v>
      </c>
      <c r="AI579" s="18"/>
      <c r="AJ579" s="18"/>
      <c r="AK579" s="18"/>
      <c r="AL579" s="18"/>
      <c r="AM579" s="18"/>
      <c r="AN579" s="18"/>
    </row>
    <row r="580" spans="2:40" ht="21.95" customHeight="1" x14ac:dyDescent="0.2">
      <c r="B580" s="232"/>
      <c r="C580" s="715"/>
      <c r="D580" s="715"/>
      <c r="E580" s="1340"/>
      <c r="F580" s="116"/>
      <c r="G580" s="116"/>
      <c r="H580" s="124" t="s">
        <v>19</v>
      </c>
      <c r="I580" s="577">
        <f t="shared" ref="I580:AH580" si="1250">I489*$D$14</f>
        <v>0</v>
      </c>
      <c r="J580" s="577">
        <f t="shared" si="1250"/>
        <v>55116.641167883208</v>
      </c>
      <c r="K580" s="577">
        <f t="shared" si="1250"/>
        <v>157847.00268613137</v>
      </c>
      <c r="L580" s="577">
        <f t="shared" si="1250"/>
        <v>354830.18137227854</v>
      </c>
      <c r="M580" s="577">
        <f t="shared" si="1250"/>
        <v>551922.58511152794</v>
      </c>
      <c r="N580" s="577">
        <f t="shared" si="1250"/>
        <v>749023.39083236014</v>
      </c>
      <c r="O580" s="577">
        <f t="shared" si="1250"/>
        <v>946006.57022468525</v>
      </c>
      <c r="P580" s="577">
        <f t="shared" si="1250"/>
        <v>1143216.6063148393</v>
      </c>
      <c r="Q580" s="577">
        <f t="shared" si="1250"/>
        <v>1295291.5032607673</v>
      </c>
      <c r="R580" s="577">
        <f t="shared" si="1250"/>
        <v>1447391.6458783983</v>
      </c>
      <c r="S580" s="577">
        <f t="shared" si="1250"/>
        <v>1599466.6893168292</v>
      </c>
      <c r="T580" s="577">
        <f t="shared" si="1250"/>
        <v>1751541.9917190487</v>
      </c>
      <c r="U580" s="577">
        <f t="shared" si="1250"/>
        <v>1903819.5236680603</v>
      </c>
      <c r="V580" s="577">
        <f t="shared" si="1250"/>
        <v>1979294.9290996143</v>
      </c>
      <c r="W580" s="577">
        <f t="shared" si="1250"/>
        <v>1999837.9500536809</v>
      </c>
      <c r="X580" s="577">
        <f t="shared" si="1250"/>
        <v>2020381.0044698741</v>
      </c>
      <c r="Y580" s="577">
        <f t="shared" si="1250"/>
        <v>2040924.0955810104</v>
      </c>
      <c r="Z580" s="577">
        <f t="shared" si="1250"/>
        <v>2061526.0416364931</v>
      </c>
      <c r="AA580" s="577">
        <f t="shared" si="1250"/>
        <v>2082069.2170543356</v>
      </c>
      <c r="AB580" s="577">
        <f t="shared" si="1250"/>
        <v>2102671.2556002517</v>
      </c>
      <c r="AC580" s="577">
        <f t="shared" si="1250"/>
        <v>2123214.5318184248</v>
      </c>
      <c r="AD580" s="577">
        <f t="shared" si="1250"/>
        <v>2143757.8653983022</v>
      </c>
      <c r="AE580" s="577">
        <f t="shared" si="1250"/>
        <v>2164360.0770760053</v>
      </c>
      <c r="AF580" s="577">
        <f t="shared" si="1250"/>
        <v>2184903.5415725806</v>
      </c>
      <c r="AG580" s="577">
        <f t="shared" si="1250"/>
        <v>2205447.080294224</v>
      </c>
      <c r="AH580" s="752">
        <f t="shared" si="1250"/>
        <v>2226049.515973466</v>
      </c>
      <c r="AI580" s="18"/>
      <c r="AJ580" s="18"/>
      <c r="AK580" s="18"/>
      <c r="AL580" s="18"/>
      <c r="AM580" s="18"/>
      <c r="AN580" s="18"/>
    </row>
    <row r="581" spans="2:40" ht="21.95" customHeight="1" x14ac:dyDescent="0.2">
      <c r="B581" s="232"/>
      <c r="C581" s="715"/>
      <c r="D581" s="715"/>
      <c r="E581" s="1340"/>
      <c r="F581" s="116"/>
      <c r="G581" s="116"/>
      <c r="H581" s="720" t="s">
        <v>25</v>
      </c>
      <c r="I581" s="577">
        <f t="shared" ref="I581:AH581" si="1251">SUM(I579:I580)</f>
        <v>0</v>
      </c>
      <c r="J581" s="577">
        <f t="shared" si="1251"/>
        <v>68468.817603892938</v>
      </c>
      <c r="K581" s="577">
        <f t="shared" si="1251"/>
        <v>196085.92626895374</v>
      </c>
      <c r="L581" s="577">
        <f t="shared" si="1251"/>
        <v>440788.88796459383</v>
      </c>
      <c r="M581" s="577">
        <f t="shared" si="1251"/>
        <v>685627.53481956443</v>
      </c>
      <c r="N581" s="577">
        <f t="shared" si="1251"/>
        <v>930476.61906208843</v>
      </c>
      <c r="O581" s="577">
        <f t="shared" si="1251"/>
        <v>1175179.5816349802</v>
      </c>
      <c r="P581" s="577">
        <f t="shared" si="1251"/>
        <v>1420164.3576409249</v>
      </c>
      <c r="Q581" s="577">
        <f t="shared" si="1251"/>
        <v>1609079.8677389699</v>
      </c>
      <c r="R581" s="577">
        <f t="shared" si="1251"/>
        <v>1798026.7393506067</v>
      </c>
      <c r="S581" s="577">
        <f t="shared" si="1251"/>
        <v>1986942.4314294155</v>
      </c>
      <c r="T581" s="577">
        <f t="shared" si="1251"/>
        <v>2175858.4452067898</v>
      </c>
      <c r="U581" s="577">
        <f t="shared" si="1251"/>
        <v>2365025.6792628323</v>
      </c>
      <c r="V581" s="577">
        <f t="shared" si="1251"/>
        <v>2458785.2346089622</v>
      </c>
      <c r="W581" s="577">
        <f t="shared" si="1251"/>
        <v>2484304.8657935373</v>
      </c>
      <c r="X581" s="577">
        <f t="shared" si="1251"/>
        <v>2509824.5385465422</v>
      </c>
      <c r="Y581" s="577">
        <f t="shared" si="1251"/>
        <v>2535344.2568839532</v>
      </c>
      <c r="Z581" s="577">
        <f t="shared" si="1251"/>
        <v>2560937.0879576299</v>
      </c>
      <c r="AA581" s="577">
        <f t="shared" si="1251"/>
        <v>2586456.9110253071</v>
      </c>
      <c r="AB581" s="577">
        <f t="shared" si="1251"/>
        <v>2612049.8569955104</v>
      </c>
      <c r="AC581" s="577">
        <f t="shared" si="1251"/>
        <v>2637569.8052827092</v>
      </c>
      <c r="AD581" s="577">
        <f t="shared" si="1251"/>
        <v>2663089.8248276627</v>
      </c>
      <c r="AE581" s="577">
        <f t="shared" si="1251"/>
        <v>2688682.9858713625</v>
      </c>
      <c r="AF581" s="577">
        <f t="shared" si="1251"/>
        <v>2714203.1680479879</v>
      </c>
      <c r="AG581" s="577">
        <f t="shared" si="1251"/>
        <v>2739723.442430933</v>
      </c>
      <c r="AH581" s="752">
        <f t="shared" si="1251"/>
        <v>2765316.8817412355</v>
      </c>
      <c r="AI581" s="18"/>
      <c r="AJ581" s="18"/>
      <c r="AK581" s="18"/>
      <c r="AL581" s="18"/>
      <c r="AM581" s="18"/>
      <c r="AN581" s="18"/>
    </row>
    <row r="582" spans="2:40" ht="21.95" customHeight="1" x14ac:dyDescent="0.2">
      <c r="B582" s="232"/>
      <c r="C582" s="715"/>
      <c r="D582" s="715"/>
      <c r="E582" s="1340"/>
      <c r="F582" s="116" t="s">
        <v>340</v>
      </c>
      <c r="G582" s="116" t="s">
        <v>280</v>
      </c>
      <c r="H582" s="116" t="s">
        <v>20</v>
      </c>
      <c r="I582" s="577">
        <f t="shared" ref="I582:AH582" si="1252">I491*$D$13</f>
        <v>17565.718248175184</v>
      </c>
      <c r="J582" s="577">
        <f t="shared" si="1252"/>
        <v>26185.216192554744</v>
      </c>
      <c r="K582" s="577">
        <f t="shared" si="1252"/>
        <v>36866.929459270068</v>
      </c>
      <c r="L582" s="577">
        <f t="shared" si="1252"/>
        <v>63870.122598248177</v>
      </c>
      <c r="M582" s="577">
        <f t="shared" si="1252"/>
        <v>90876.243356934472</v>
      </c>
      <c r="N582" s="577">
        <f t="shared" si="1252"/>
        <v>117895.83116628064</v>
      </c>
      <c r="O582" s="577">
        <f t="shared" si="1252"/>
        <v>144899.02430528702</v>
      </c>
      <c r="P582" s="577">
        <f t="shared" si="1252"/>
        <v>171893.43458531614</v>
      </c>
      <c r="Q582" s="577">
        <f t="shared" si="1252"/>
        <v>240605.25466484716</v>
      </c>
      <c r="R582" s="577">
        <f t="shared" si="1252"/>
        <v>309290.14075882034</v>
      </c>
      <c r="S582" s="577">
        <f t="shared" si="1252"/>
        <v>377969.75808177306</v>
      </c>
      <c r="T582" s="577">
        <f t="shared" si="1252"/>
        <v>446681.58449220966</v>
      </c>
      <c r="U582" s="577">
        <f t="shared" si="1252"/>
        <v>515384.65054118284</v>
      </c>
      <c r="V582" s="577">
        <f t="shared" si="1252"/>
        <v>567754.56649876514</v>
      </c>
      <c r="W582" s="577">
        <f t="shared" si="1252"/>
        <v>576374.0834577363</v>
      </c>
      <c r="X582" s="577">
        <f t="shared" si="1252"/>
        <v>584993.60348253616</v>
      </c>
      <c r="Y582" s="577">
        <f t="shared" si="1252"/>
        <v>593613.12701210042</v>
      </c>
      <c r="Z582" s="577">
        <f t="shared" si="1252"/>
        <v>602206.30586495937</v>
      </c>
      <c r="AA582" s="577">
        <f t="shared" si="1252"/>
        <v>610825.83792883507</v>
      </c>
      <c r="AB582" s="577">
        <f t="shared" si="1252"/>
        <v>619419.02645688422</v>
      </c>
      <c r="AC582" s="577">
        <f t="shared" si="1252"/>
        <v>628038.56953684695</v>
      </c>
      <c r="AD582" s="577">
        <f t="shared" si="1252"/>
        <v>636658.11925576732</v>
      </c>
      <c r="AE582" s="577">
        <f t="shared" si="1252"/>
        <v>645251.32770898438</v>
      </c>
      <c r="AF582" s="577">
        <f t="shared" si="1252"/>
        <v>653870.89337633585</v>
      </c>
      <c r="AG582" s="577">
        <f t="shared" si="1252"/>
        <v>662490.46858508897</v>
      </c>
      <c r="AH582" s="752">
        <f t="shared" si="1252"/>
        <v>671083.70566447568</v>
      </c>
      <c r="AI582" s="18"/>
      <c r="AJ582" s="18"/>
      <c r="AK582" s="18"/>
      <c r="AL582" s="18"/>
      <c r="AM582" s="18"/>
      <c r="AN582" s="18"/>
    </row>
    <row r="583" spans="2:40" ht="21.95" customHeight="1" x14ac:dyDescent="0.2">
      <c r="B583" s="232"/>
      <c r="C583" s="715"/>
      <c r="D583" s="715"/>
      <c r="E583" s="1340"/>
      <c r="F583" s="116"/>
      <c r="G583" s="116"/>
      <c r="H583" s="116" t="s">
        <v>19</v>
      </c>
      <c r="I583" s="577">
        <f t="shared" ref="I583:AH583" si="1253">I492*$D$14</f>
        <v>72509.781021897812</v>
      </c>
      <c r="J583" s="577">
        <f t="shared" si="1253"/>
        <v>108090.33056934306</v>
      </c>
      <c r="K583" s="577">
        <f t="shared" si="1253"/>
        <v>152183.5284087591</v>
      </c>
      <c r="L583" s="577">
        <f t="shared" si="1253"/>
        <v>263650.39778102189</v>
      </c>
      <c r="M583" s="577">
        <f t="shared" si="1253"/>
        <v>375129.35211678903</v>
      </c>
      <c r="N583" s="577">
        <f t="shared" si="1253"/>
        <v>486663.89728468499</v>
      </c>
      <c r="O583" s="577">
        <f t="shared" si="1253"/>
        <v>598130.76665706455</v>
      </c>
      <c r="P583" s="577">
        <f t="shared" si="1253"/>
        <v>709561.38113953907</v>
      </c>
      <c r="Q583" s="577">
        <f t="shared" si="1253"/>
        <v>993197.89159651508</v>
      </c>
      <c r="R583" s="577">
        <f t="shared" si="1253"/>
        <v>1276723.2208670888</v>
      </c>
      <c r="S583" s="577">
        <f t="shared" si="1253"/>
        <v>1560226.801101981</v>
      </c>
      <c r="T583" s="577">
        <f t="shared" si="1253"/>
        <v>1843863.337692393</v>
      </c>
      <c r="U583" s="577">
        <f t="shared" si="1253"/>
        <v>2127463.7122607115</v>
      </c>
      <c r="V583" s="577">
        <f t="shared" si="1253"/>
        <v>2343642.2416307796</v>
      </c>
      <c r="W583" s="577">
        <f t="shared" si="1253"/>
        <v>2379222.8696688311</v>
      </c>
      <c r="X583" s="577">
        <f t="shared" si="1253"/>
        <v>2414803.5103623611</v>
      </c>
      <c r="Y583" s="577">
        <f t="shared" si="1253"/>
        <v>2450384.1655232585</v>
      </c>
      <c r="Z583" s="577">
        <f t="shared" si="1253"/>
        <v>2485856.0721142418</v>
      </c>
      <c r="AA583" s="577">
        <f t="shared" si="1253"/>
        <v>2521436.7625040459</v>
      </c>
      <c r="AB583" s="577">
        <f t="shared" si="1253"/>
        <v>2556908.7090333863</v>
      </c>
      <c r="AC583" s="577">
        <f t="shared" si="1253"/>
        <v>2592489.4448966542</v>
      </c>
      <c r="AD583" s="577">
        <f t="shared" si="1253"/>
        <v>2628070.2081649713</v>
      </c>
      <c r="AE583" s="577">
        <f t="shared" si="1253"/>
        <v>2663542.2369436985</v>
      </c>
      <c r="AF583" s="577">
        <f t="shared" si="1253"/>
        <v>2699123.0660457741</v>
      </c>
      <c r="AG583" s="577">
        <f t="shared" si="1253"/>
        <v>2734703.9345339388</v>
      </c>
      <c r="AH583" s="752">
        <f t="shared" si="1253"/>
        <v>2770176.0814790437</v>
      </c>
      <c r="AI583" s="18"/>
      <c r="AJ583" s="18"/>
      <c r="AK583" s="18"/>
      <c r="AL583" s="18"/>
      <c r="AM583" s="18"/>
      <c r="AN583" s="18"/>
    </row>
    <row r="584" spans="2:40" ht="21.95" customHeight="1" x14ac:dyDescent="0.2">
      <c r="B584" s="232"/>
      <c r="C584" s="715"/>
      <c r="D584" s="715"/>
      <c r="E584" s="1340"/>
      <c r="F584" s="254"/>
      <c r="G584" s="254"/>
      <c r="H584" s="721" t="s">
        <v>25</v>
      </c>
      <c r="I584" s="587">
        <f t="shared" ref="I584:AH584" si="1254">SUM(I582:I583)</f>
        <v>90075.499270072993</v>
      </c>
      <c r="J584" s="587">
        <f t="shared" si="1254"/>
        <v>134275.5467618978</v>
      </c>
      <c r="K584" s="587">
        <f t="shared" si="1254"/>
        <v>189050.45786802916</v>
      </c>
      <c r="L584" s="587">
        <f t="shared" si="1254"/>
        <v>327520.52037927008</v>
      </c>
      <c r="M584" s="587">
        <f t="shared" si="1254"/>
        <v>466005.59547372349</v>
      </c>
      <c r="N584" s="587">
        <f t="shared" si="1254"/>
        <v>604559.7284509656</v>
      </c>
      <c r="O584" s="587">
        <f t="shared" si="1254"/>
        <v>743029.7909623516</v>
      </c>
      <c r="P584" s="587">
        <f t="shared" si="1254"/>
        <v>881454.81572485517</v>
      </c>
      <c r="Q584" s="587">
        <f t="shared" si="1254"/>
        <v>1233803.1462613624</v>
      </c>
      <c r="R584" s="587">
        <f t="shared" si="1254"/>
        <v>1586013.3616259091</v>
      </c>
      <c r="S584" s="587">
        <f t="shared" si="1254"/>
        <v>1938196.559183754</v>
      </c>
      <c r="T584" s="587">
        <f t="shared" si="1254"/>
        <v>2290544.9221846028</v>
      </c>
      <c r="U584" s="587">
        <f t="shared" si="1254"/>
        <v>2642848.3628018945</v>
      </c>
      <c r="V584" s="587">
        <f t="shared" si="1254"/>
        <v>2911396.8081295448</v>
      </c>
      <c r="W584" s="587">
        <f t="shared" si="1254"/>
        <v>2955596.9531265674</v>
      </c>
      <c r="X584" s="587">
        <f t="shared" si="1254"/>
        <v>2999797.1138448971</v>
      </c>
      <c r="Y584" s="587">
        <f t="shared" si="1254"/>
        <v>3043997.292535359</v>
      </c>
      <c r="Z584" s="587">
        <f t="shared" si="1254"/>
        <v>3088062.3779792013</v>
      </c>
      <c r="AA584" s="587">
        <f t="shared" si="1254"/>
        <v>3132262.6004328812</v>
      </c>
      <c r="AB584" s="587">
        <f t="shared" si="1254"/>
        <v>3176327.7354902704</v>
      </c>
      <c r="AC584" s="587">
        <f t="shared" si="1254"/>
        <v>3220528.0144335013</v>
      </c>
      <c r="AD584" s="587">
        <f t="shared" si="1254"/>
        <v>3264728.3274207385</v>
      </c>
      <c r="AE584" s="587">
        <f t="shared" si="1254"/>
        <v>3308793.5646526827</v>
      </c>
      <c r="AF584" s="587">
        <f t="shared" si="1254"/>
        <v>3352993.9594221101</v>
      </c>
      <c r="AG584" s="587">
        <f t="shared" si="1254"/>
        <v>3397194.4031190276</v>
      </c>
      <c r="AH584" s="754">
        <f t="shared" si="1254"/>
        <v>3441259.7871435191</v>
      </c>
      <c r="AI584" s="18"/>
      <c r="AJ584" s="18"/>
      <c r="AK584" s="18"/>
      <c r="AL584" s="18"/>
      <c r="AM584" s="18"/>
      <c r="AN584" s="18"/>
    </row>
    <row r="585" spans="2:40" ht="21.95" customHeight="1" x14ac:dyDescent="0.2">
      <c r="B585" s="232"/>
      <c r="C585" s="715"/>
      <c r="D585" s="715"/>
      <c r="E585" s="1340" t="s">
        <v>334</v>
      </c>
      <c r="F585" s="116" t="s">
        <v>336</v>
      </c>
      <c r="G585" s="116" t="s">
        <v>337</v>
      </c>
      <c r="H585" s="116" t="s">
        <v>20</v>
      </c>
      <c r="I585" s="577">
        <f t="shared" ref="I585:AH585" si="1255">I494*$D$13</f>
        <v>441273.34221684485</v>
      </c>
      <c r="J585" s="577">
        <f t="shared" si="1255"/>
        <v>453497.34156217525</v>
      </c>
      <c r="K585" s="577">
        <f t="shared" si="1255"/>
        <v>473225.55363092292</v>
      </c>
      <c r="L585" s="577">
        <f t="shared" si="1255"/>
        <v>501411.34164363495</v>
      </c>
      <c r="M585" s="577">
        <f t="shared" si="1255"/>
        <v>529612.99522180867</v>
      </c>
      <c r="N585" s="577">
        <f t="shared" si="1255"/>
        <v>557818.38954430458</v>
      </c>
      <c r="O585" s="577">
        <f t="shared" si="1255"/>
        <v>586021.20738893282</v>
      </c>
      <c r="P585" s="577">
        <f t="shared" si="1255"/>
        <v>614262.44248905138</v>
      </c>
      <c r="Q585" s="577">
        <f t="shared" si="1255"/>
        <v>639416.5887293925</v>
      </c>
      <c r="R585" s="577">
        <f t="shared" si="1255"/>
        <v>664601.41215622262</v>
      </c>
      <c r="S585" s="577">
        <f t="shared" si="1255"/>
        <v>689810.52596345451</v>
      </c>
      <c r="T585" s="577">
        <f t="shared" si="1255"/>
        <v>715064.55700627225</v>
      </c>
      <c r="U585" s="577">
        <f t="shared" si="1255"/>
        <v>740405.99167253089</v>
      </c>
      <c r="V585" s="577">
        <f t="shared" si="1255"/>
        <v>757228.66158542421</v>
      </c>
      <c r="W585" s="577">
        <f t="shared" si="1255"/>
        <v>769614.99564621039</v>
      </c>
      <c r="X585" s="577">
        <f t="shared" si="1255"/>
        <v>782029.44237065769</v>
      </c>
      <c r="Y585" s="577">
        <f t="shared" si="1255"/>
        <v>794476.29034651711</v>
      </c>
      <c r="Z585" s="577">
        <f t="shared" si="1255"/>
        <v>806968.46054819541</v>
      </c>
      <c r="AA585" s="577">
        <f t="shared" si="1255"/>
        <v>819495.35731985734</v>
      </c>
      <c r="AB585" s="577">
        <f t="shared" si="1255"/>
        <v>832079.34776526492</v>
      </c>
      <c r="AC585" s="577">
        <f t="shared" si="1255"/>
        <v>844711.2171219989</v>
      </c>
      <c r="AD585" s="577">
        <f t="shared" si="1255"/>
        <v>857406.92692543974</v>
      </c>
      <c r="AE585" s="577">
        <f t="shared" si="1255"/>
        <v>870183.57378746395</v>
      </c>
      <c r="AF585" s="577">
        <f t="shared" si="1255"/>
        <v>883034.61236922443</v>
      </c>
      <c r="AG585" s="577">
        <f t="shared" si="1255"/>
        <v>895979.34573179821</v>
      </c>
      <c r="AH585" s="752">
        <f t="shared" si="1255"/>
        <v>909038.6263748809</v>
      </c>
      <c r="AI585" s="18"/>
      <c r="AJ585" s="18"/>
      <c r="AK585" s="18"/>
      <c r="AL585" s="18"/>
      <c r="AM585" s="18"/>
      <c r="AN585" s="18"/>
    </row>
    <row r="586" spans="2:40" ht="21.95" customHeight="1" x14ac:dyDescent="0.2">
      <c r="B586" s="232"/>
      <c r="C586" s="715"/>
      <c r="D586" s="715"/>
      <c r="E586" s="1340"/>
      <c r="F586" s="116"/>
      <c r="G586" s="116"/>
      <c r="H586" s="116" t="s">
        <v>19</v>
      </c>
      <c r="I586" s="577">
        <f t="shared" ref="I586:AH586" si="1256">I495*$D$14</f>
        <v>1170989.0849647084</v>
      </c>
      <c r="J586" s="577">
        <f t="shared" si="1256"/>
        <v>1203427.4138610042</v>
      </c>
      <c r="K586" s="577">
        <f t="shared" si="1256"/>
        <v>1255779.3662411692</v>
      </c>
      <c r="L586" s="577">
        <f t="shared" si="1256"/>
        <v>1330574.8432310205</v>
      </c>
      <c r="M586" s="577">
        <f t="shared" si="1256"/>
        <v>1405412.4220253662</v>
      </c>
      <c r="N586" s="577">
        <f t="shared" si="1256"/>
        <v>1480259.9274804723</v>
      </c>
      <c r="O586" s="577">
        <f t="shared" si="1256"/>
        <v>1555100.5958412611</v>
      </c>
      <c r="P586" s="577">
        <f t="shared" si="1256"/>
        <v>1630043.21050732</v>
      </c>
      <c r="Q586" s="577">
        <f t="shared" si="1256"/>
        <v>1696793.7432747651</v>
      </c>
      <c r="R586" s="577">
        <f t="shared" si="1256"/>
        <v>1763625.6828418041</v>
      </c>
      <c r="S586" s="577">
        <f t="shared" si="1256"/>
        <v>1830522.0808014062</v>
      </c>
      <c r="T586" s="577">
        <f t="shared" si="1256"/>
        <v>1897537.6737985632</v>
      </c>
      <c r="U586" s="577">
        <f t="shared" si="1256"/>
        <v>1964785.2062292737</v>
      </c>
      <c r="V586" s="577">
        <f t="shared" si="1256"/>
        <v>2009426.8398004267</v>
      </c>
      <c r="W586" s="577">
        <f t="shared" si="1256"/>
        <v>2042295.9497154774</v>
      </c>
      <c r="X586" s="577">
        <f t="shared" si="1256"/>
        <v>2075239.6610604057</v>
      </c>
      <c r="Y586" s="577">
        <f t="shared" si="1256"/>
        <v>2108269.3542857538</v>
      </c>
      <c r="Z586" s="577">
        <f t="shared" si="1256"/>
        <v>2141419.3172547347</v>
      </c>
      <c r="AA586" s="577">
        <f t="shared" si="1256"/>
        <v>2174661.4327072632</v>
      </c>
      <c r="AB586" s="577">
        <f t="shared" si="1256"/>
        <v>2208055.0553150652</v>
      </c>
      <c r="AC586" s="577">
        <f t="shared" si="1256"/>
        <v>2241575.7322386373</v>
      </c>
      <c r="AD586" s="577">
        <f t="shared" si="1256"/>
        <v>2275265.8199539357</v>
      </c>
      <c r="AE586" s="577">
        <f t="shared" si="1256"/>
        <v>2309170.6870431574</v>
      </c>
      <c r="AF586" s="577">
        <f t="shared" si="1256"/>
        <v>2343272.9644073476</v>
      </c>
      <c r="AG586" s="577">
        <f t="shared" si="1256"/>
        <v>2377623.8757930244</v>
      </c>
      <c r="AH586" s="752">
        <f t="shared" si="1256"/>
        <v>2412278.7566288267</v>
      </c>
      <c r="AI586" s="18"/>
      <c r="AJ586" s="18"/>
      <c r="AK586" s="18"/>
      <c r="AL586" s="18"/>
      <c r="AM586" s="18"/>
      <c r="AN586" s="18"/>
    </row>
    <row r="587" spans="2:40" ht="21.95" customHeight="1" x14ac:dyDescent="0.2">
      <c r="B587" s="232"/>
      <c r="C587" s="715"/>
      <c r="D587" s="715"/>
      <c r="E587" s="1340"/>
      <c r="F587" s="116"/>
      <c r="G587" s="116"/>
      <c r="H587" s="772" t="s">
        <v>25</v>
      </c>
      <c r="I587" s="577">
        <f t="shared" ref="I587:AH587" si="1257">SUM(I585:I586)</f>
        <v>1612262.4271815533</v>
      </c>
      <c r="J587" s="577">
        <f t="shared" si="1257"/>
        <v>1656924.7554231794</v>
      </c>
      <c r="K587" s="577">
        <f t="shared" si="1257"/>
        <v>1729004.9198720921</v>
      </c>
      <c r="L587" s="577">
        <f t="shared" si="1257"/>
        <v>1831986.1848746554</v>
      </c>
      <c r="M587" s="577">
        <f t="shared" si="1257"/>
        <v>1935025.4172471748</v>
      </c>
      <c r="N587" s="577">
        <f t="shared" si="1257"/>
        <v>2038078.3170247767</v>
      </c>
      <c r="O587" s="577">
        <f t="shared" si="1257"/>
        <v>2141121.8032301939</v>
      </c>
      <c r="P587" s="577">
        <f t="shared" si="1257"/>
        <v>2244305.6529963715</v>
      </c>
      <c r="Q587" s="577">
        <f t="shared" si="1257"/>
        <v>2336210.3320041578</v>
      </c>
      <c r="R587" s="577">
        <f t="shared" si="1257"/>
        <v>2428227.0949980267</v>
      </c>
      <c r="S587" s="577">
        <f t="shared" si="1257"/>
        <v>2520332.6067648605</v>
      </c>
      <c r="T587" s="577">
        <f t="shared" si="1257"/>
        <v>2612602.2308048354</v>
      </c>
      <c r="U587" s="577">
        <f t="shared" si="1257"/>
        <v>2705191.1979018045</v>
      </c>
      <c r="V587" s="577">
        <f t="shared" si="1257"/>
        <v>2766655.5013858508</v>
      </c>
      <c r="W587" s="577">
        <f t="shared" si="1257"/>
        <v>2811910.9453616878</v>
      </c>
      <c r="X587" s="577">
        <f t="shared" si="1257"/>
        <v>2857269.1034310632</v>
      </c>
      <c r="Y587" s="577">
        <f t="shared" si="1257"/>
        <v>2902745.644632271</v>
      </c>
      <c r="Z587" s="577">
        <f t="shared" si="1257"/>
        <v>2948387.7778029302</v>
      </c>
      <c r="AA587" s="577">
        <f t="shared" si="1257"/>
        <v>2994156.7900271206</v>
      </c>
      <c r="AB587" s="577">
        <f t="shared" si="1257"/>
        <v>3040134.4030803302</v>
      </c>
      <c r="AC587" s="577">
        <f t="shared" si="1257"/>
        <v>3086286.9493606361</v>
      </c>
      <c r="AD587" s="577">
        <f t="shared" si="1257"/>
        <v>3132672.7468793755</v>
      </c>
      <c r="AE587" s="577">
        <f t="shared" si="1257"/>
        <v>3179354.2608306212</v>
      </c>
      <c r="AF587" s="577">
        <f t="shared" si="1257"/>
        <v>3226307.576776572</v>
      </c>
      <c r="AG587" s="577">
        <f t="shared" si="1257"/>
        <v>3273603.2215248225</v>
      </c>
      <c r="AH587" s="752">
        <f t="shared" si="1257"/>
        <v>3321317.3830037075</v>
      </c>
      <c r="AI587" s="18"/>
      <c r="AJ587" s="18"/>
      <c r="AK587" s="18"/>
      <c r="AL587" s="18"/>
      <c r="AM587" s="18"/>
      <c r="AN587" s="18"/>
    </row>
    <row r="588" spans="2:40" ht="21.95" customHeight="1" x14ac:dyDescent="0.2">
      <c r="B588" s="232"/>
      <c r="C588" s="715"/>
      <c r="D588" s="715"/>
      <c r="E588" s="1340"/>
      <c r="F588" s="116" t="s">
        <v>337</v>
      </c>
      <c r="G588" s="116" t="s">
        <v>386</v>
      </c>
      <c r="H588" s="116" t="s">
        <v>20</v>
      </c>
      <c r="I588" s="577">
        <f t="shared" ref="I588:AH588" si="1258">I497*$D$13</f>
        <v>729328.95540498989</v>
      </c>
      <c r="J588" s="577">
        <f t="shared" si="1258"/>
        <v>730789.34223034221</v>
      </c>
      <c r="K588" s="577">
        <f t="shared" si="1258"/>
        <v>732249.76738522202</v>
      </c>
      <c r="L588" s="577">
        <f t="shared" si="1258"/>
        <v>733710.2315376054</v>
      </c>
      <c r="M588" s="577">
        <f t="shared" si="1258"/>
        <v>735170.73539224383</v>
      </c>
      <c r="N588" s="577">
        <f t="shared" si="1258"/>
        <v>736631.27966518747</v>
      </c>
      <c r="O588" s="577">
        <f t="shared" si="1258"/>
        <v>738091.86508394277</v>
      </c>
      <c r="P588" s="577">
        <f t="shared" si="1258"/>
        <v>739552.49238763261</v>
      </c>
      <c r="Q588" s="577">
        <f t="shared" si="1258"/>
        <v>741013.1623271585</v>
      </c>
      <c r="R588" s="577">
        <f t="shared" si="1258"/>
        <v>741013.16235720564</v>
      </c>
      <c r="S588" s="577">
        <f t="shared" si="1258"/>
        <v>758541.16377982951</v>
      </c>
      <c r="T588" s="577">
        <f t="shared" si="1258"/>
        <v>777884.82444984955</v>
      </c>
      <c r="U588" s="577">
        <f t="shared" si="1258"/>
        <v>797252.25686820992</v>
      </c>
      <c r="V588" s="577">
        <f t="shared" si="1258"/>
        <v>812875.83585202717</v>
      </c>
      <c r="W588" s="577">
        <f t="shared" si="1258"/>
        <v>825711.8131470182</v>
      </c>
      <c r="X588" s="577">
        <f t="shared" si="1258"/>
        <v>838556.61200081464</v>
      </c>
      <c r="Y588" s="577">
        <f t="shared" si="1258"/>
        <v>851411.54075185035</v>
      </c>
      <c r="Z588" s="577">
        <f t="shared" si="1258"/>
        <v>864281.08148202032</v>
      </c>
      <c r="AA588" s="577">
        <f t="shared" si="1258"/>
        <v>877160.89571719884</v>
      </c>
      <c r="AB588" s="577">
        <f t="shared" si="1258"/>
        <v>890058.87200056331</v>
      </c>
      <c r="AC588" s="577">
        <f t="shared" si="1258"/>
        <v>902971.10020617559</v>
      </c>
      <c r="AD588" s="577">
        <f t="shared" si="1258"/>
        <v>915902.95278512454</v>
      </c>
      <c r="AE588" s="577">
        <f t="shared" si="1258"/>
        <v>928860.10446146887</v>
      </c>
      <c r="AF588" s="577">
        <f t="shared" si="1258"/>
        <v>941839.47151378554</v>
      </c>
      <c r="AG588" s="577">
        <f t="shared" si="1258"/>
        <v>954847.38147443254</v>
      </c>
      <c r="AH588" s="752">
        <f t="shared" si="1258"/>
        <v>967890.56851549796</v>
      </c>
      <c r="AI588" s="18"/>
      <c r="AJ588" s="18"/>
      <c r="AK588" s="18"/>
      <c r="AL588" s="18"/>
      <c r="AM588" s="18"/>
      <c r="AN588" s="18"/>
    </row>
    <row r="589" spans="2:40" ht="21.95" customHeight="1" x14ac:dyDescent="0.2">
      <c r="B589" s="232"/>
      <c r="C589" s="715"/>
      <c r="D589" s="715"/>
      <c r="E589" s="1340"/>
      <c r="F589" s="116"/>
      <c r="G589" s="116"/>
      <c r="H589" s="124" t="s">
        <v>19</v>
      </c>
      <c r="I589" s="577">
        <f t="shared" ref="I589:AH589" si="1259">I498*$D$14</f>
        <v>1935390.526510156</v>
      </c>
      <c r="J589" s="577">
        <f t="shared" si="1259"/>
        <v>1939265.8955132391</v>
      </c>
      <c r="K589" s="577">
        <f t="shared" si="1259"/>
        <v>1943141.3662298264</v>
      </c>
      <c r="L589" s="577">
        <f t="shared" si="1259"/>
        <v>1947016.9404324999</v>
      </c>
      <c r="M589" s="577">
        <f t="shared" si="1259"/>
        <v>1950892.6199914298</v>
      </c>
      <c r="N589" s="577">
        <f t="shared" si="1259"/>
        <v>1954768.4068067691</v>
      </c>
      <c r="O589" s="577">
        <f t="shared" si="1259"/>
        <v>1958644.302809072</v>
      </c>
      <c r="P589" s="577">
        <f t="shared" si="1259"/>
        <v>1962520.3099597185</v>
      </c>
      <c r="Q589" s="577">
        <f t="shared" si="1259"/>
        <v>1966396.430251346</v>
      </c>
      <c r="R589" s="577">
        <f t="shared" si="1259"/>
        <v>1966396.4303310809</v>
      </c>
      <c r="S589" s="577">
        <f t="shared" si="1259"/>
        <v>2012909.7733851285</v>
      </c>
      <c r="T589" s="577">
        <f t="shared" si="1259"/>
        <v>2064241.257390169</v>
      </c>
      <c r="U589" s="577">
        <f t="shared" si="1259"/>
        <v>2115635.8235150059</v>
      </c>
      <c r="V589" s="577">
        <f t="shared" si="1259"/>
        <v>2157095.4783543949</v>
      </c>
      <c r="W589" s="577">
        <f t="shared" si="1259"/>
        <v>2191157.7881956799</v>
      </c>
      <c r="X589" s="577">
        <f t="shared" si="1259"/>
        <v>2225243.50744806</v>
      </c>
      <c r="Y589" s="577">
        <f t="shared" si="1259"/>
        <v>2259356.107995919</v>
      </c>
      <c r="Z589" s="577">
        <f t="shared" si="1259"/>
        <v>2293507.4837573217</v>
      </c>
      <c r="AA589" s="577">
        <f t="shared" si="1259"/>
        <v>2327686.1219002889</v>
      </c>
      <c r="AB589" s="577">
        <f t="shared" si="1259"/>
        <v>2361912.9559303662</v>
      </c>
      <c r="AC589" s="577">
        <f t="shared" si="1259"/>
        <v>2396177.6097057019</v>
      </c>
      <c r="AD589" s="577">
        <f t="shared" si="1259"/>
        <v>2430494.3398808064</v>
      </c>
      <c r="AE589" s="577">
        <f t="shared" si="1259"/>
        <v>2464878.2052396503</v>
      </c>
      <c r="AF589" s="577">
        <f t="shared" si="1259"/>
        <v>2499321.022636367</v>
      </c>
      <c r="AG589" s="577">
        <f t="shared" si="1259"/>
        <v>2533839.5831857058</v>
      </c>
      <c r="AH589" s="752">
        <f t="shared" si="1259"/>
        <v>2568451.7570856991</v>
      </c>
      <c r="AI589" s="18"/>
      <c r="AJ589" s="18"/>
      <c r="AK589" s="18"/>
      <c r="AL589" s="18"/>
      <c r="AM589" s="18"/>
      <c r="AN589" s="18"/>
    </row>
    <row r="590" spans="2:40" ht="21.95" customHeight="1" x14ac:dyDescent="0.2">
      <c r="B590" s="232"/>
      <c r="C590" s="715"/>
      <c r="D590" s="715"/>
      <c r="E590" s="1340"/>
      <c r="F590" s="116"/>
      <c r="G590" s="116"/>
      <c r="H590" s="721" t="s">
        <v>25</v>
      </c>
      <c r="I590" s="577">
        <f t="shared" ref="I590:AH590" si="1260">SUM(I588:I589)</f>
        <v>2664719.4819151461</v>
      </c>
      <c r="J590" s="577">
        <f t="shared" si="1260"/>
        <v>2670055.2377435812</v>
      </c>
      <c r="K590" s="577">
        <f t="shared" si="1260"/>
        <v>2675391.1336150486</v>
      </c>
      <c r="L590" s="577">
        <f t="shared" si="1260"/>
        <v>2680727.1719701053</v>
      </c>
      <c r="M590" s="577">
        <f t="shared" si="1260"/>
        <v>2686063.3553836737</v>
      </c>
      <c r="N590" s="577">
        <f t="shared" si="1260"/>
        <v>2691399.6864719568</v>
      </c>
      <c r="O590" s="577">
        <f t="shared" si="1260"/>
        <v>2696736.1678930148</v>
      </c>
      <c r="P590" s="577">
        <f t="shared" si="1260"/>
        <v>2702072.8023473509</v>
      </c>
      <c r="Q590" s="577">
        <f t="shared" si="1260"/>
        <v>2707409.5925785042</v>
      </c>
      <c r="R590" s="577">
        <f t="shared" si="1260"/>
        <v>2707409.5926882867</v>
      </c>
      <c r="S590" s="577">
        <f t="shared" si="1260"/>
        <v>2771450.9371649581</v>
      </c>
      <c r="T590" s="577">
        <f t="shared" si="1260"/>
        <v>2842126.0818400187</v>
      </c>
      <c r="U590" s="577">
        <f t="shared" si="1260"/>
        <v>2912888.080383216</v>
      </c>
      <c r="V590" s="577">
        <f t="shared" si="1260"/>
        <v>2969971.3142064223</v>
      </c>
      <c r="W590" s="577">
        <f t="shared" si="1260"/>
        <v>3016869.6013426981</v>
      </c>
      <c r="X590" s="577">
        <f t="shared" si="1260"/>
        <v>3063800.1194488746</v>
      </c>
      <c r="Y590" s="577">
        <f t="shared" si="1260"/>
        <v>3110767.6487477692</v>
      </c>
      <c r="Z590" s="577">
        <f t="shared" si="1260"/>
        <v>3157788.5652393419</v>
      </c>
      <c r="AA590" s="577">
        <f t="shared" si="1260"/>
        <v>3204847.0176174878</v>
      </c>
      <c r="AB590" s="577">
        <f t="shared" si="1260"/>
        <v>3251971.8279309296</v>
      </c>
      <c r="AC590" s="577">
        <f t="shared" si="1260"/>
        <v>3299148.7099118773</v>
      </c>
      <c r="AD590" s="577">
        <f t="shared" si="1260"/>
        <v>3346397.2926659309</v>
      </c>
      <c r="AE590" s="577">
        <f t="shared" si="1260"/>
        <v>3393738.3097011191</v>
      </c>
      <c r="AF590" s="577">
        <f t="shared" si="1260"/>
        <v>3441160.4941501524</v>
      </c>
      <c r="AG590" s="577">
        <f t="shared" si="1260"/>
        <v>3488686.9646601384</v>
      </c>
      <c r="AH590" s="752">
        <f t="shared" si="1260"/>
        <v>3536342.3256011968</v>
      </c>
      <c r="AI590" s="18"/>
      <c r="AJ590" s="18"/>
      <c r="AK590" s="18"/>
      <c r="AL590" s="18"/>
      <c r="AM590" s="18"/>
      <c r="AN590" s="18"/>
    </row>
    <row r="591" spans="2:40" ht="21.95" customHeight="1" x14ac:dyDescent="0.2">
      <c r="B591" s="232"/>
      <c r="C591" s="715"/>
      <c r="D591" s="715"/>
      <c r="E591" s="1340"/>
      <c r="F591" s="116" t="s">
        <v>342</v>
      </c>
      <c r="G591" s="116" t="s">
        <v>341</v>
      </c>
      <c r="H591" s="116" t="s">
        <v>20</v>
      </c>
      <c r="I591" s="577">
        <f t="shared" ref="I591:AH591" si="1261">I500*$D$13</f>
        <v>1057442.0107071863</v>
      </c>
      <c r="J591" s="577">
        <f t="shared" si="1261"/>
        <v>1059561.0810875087</v>
      </c>
      <c r="K591" s="577">
        <f t="shared" si="1261"/>
        <v>1061680.2442781781</v>
      </c>
      <c r="L591" s="577">
        <f t="shared" si="1261"/>
        <v>1063799.5018966182</v>
      </c>
      <c r="M591" s="577">
        <f t="shared" si="1261"/>
        <v>1065918.8556493004</v>
      </c>
      <c r="N591" s="577">
        <f t="shared" si="1261"/>
        <v>1068038.3072700542</v>
      </c>
      <c r="O591" s="577">
        <f t="shared" si="1261"/>
        <v>1070157.8585204491</v>
      </c>
      <c r="P591" s="577">
        <f t="shared" si="1261"/>
        <v>1072277.5111901823</v>
      </c>
      <c r="Q591" s="577">
        <f t="shared" si="1261"/>
        <v>1074397.2670974715</v>
      </c>
      <c r="R591" s="577">
        <f t="shared" si="1261"/>
        <v>1074397.2671702271</v>
      </c>
      <c r="S591" s="577">
        <f t="shared" si="1261"/>
        <v>1099837.7891066661</v>
      </c>
      <c r="T591" s="577">
        <f t="shared" si="1261"/>
        <v>1127922.3624608547</v>
      </c>
      <c r="U591" s="577">
        <f t="shared" si="1261"/>
        <v>1156052.9019500904</v>
      </c>
      <c r="V591" s="577">
        <f t="shared" si="1261"/>
        <v>1178755.8611310967</v>
      </c>
      <c r="W591" s="577">
        <f t="shared" si="1261"/>
        <v>1197416.246307635</v>
      </c>
      <c r="X591" s="577">
        <f t="shared" si="1261"/>
        <v>1216097.9918292814</v>
      </c>
      <c r="Y591" s="577">
        <f t="shared" si="1261"/>
        <v>1234804.26568041</v>
      </c>
      <c r="Z591" s="577">
        <f t="shared" si="1261"/>
        <v>1253543.0221094007</v>
      </c>
      <c r="AA591" s="577">
        <f t="shared" si="1261"/>
        <v>1272309.5531714351</v>
      </c>
      <c r="AB591" s="577">
        <f t="shared" si="1261"/>
        <v>1291117.1628771492</v>
      </c>
      <c r="AC591" s="577">
        <f t="shared" si="1261"/>
        <v>1309962.1804754112</v>
      </c>
      <c r="AD591" s="577">
        <f t="shared" si="1261"/>
        <v>1328854.7161366625</v>
      </c>
      <c r="AE591" s="577">
        <f t="shared" si="1261"/>
        <v>1347805.6119490371</v>
      </c>
      <c r="AF591" s="577">
        <f t="shared" si="1261"/>
        <v>1366813.1982006796</v>
      </c>
      <c r="AG591" s="577">
        <f t="shared" si="1261"/>
        <v>1385889.8976766099</v>
      </c>
      <c r="AH591" s="752">
        <f t="shared" si="1261"/>
        <v>1405049.1177911193</v>
      </c>
      <c r="AI591" s="18"/>
      <c r="AJ591" s="18"/>
      <c r="AK591" s="18"/>
      <c r="AL591" s="18"/>
      <c r="AM591" s="18"/>
      <c r="AN591" s="18"/>
    </row>
    <row r="592" spans="2:40" ht="21.95" customHeight="1" x14ac:dyDescent="0.2">
      <c r="B592" s="232"/>
      <c r="C592" s="715"/>
      <c r="D592" s="715"/>
      <c r="E592" s="1340"/>
      <c r="F592" s="116"/>
      <c r="G592" s="116"/>
      <c r="H592" s="124" t="s">
        <v>19</v>
      </c>
      <c r="I592" s="577">
        <f t="shared" ref="I592:AH592" si="1262">I501*$D$14</f>
        <v>2806090.7697269483</v>
      </c>
      <c r="J592" s="577">
        <f t="shared" si="1262"/>
        <v>2811714.0604364295</v>
      </c>
      <c r="K592" s="577">
        <f t="shared" si="1262"/>
        <v>2817337.5974329459</v>
      </c>
      <c r="L592" s="577">
        <f t="shared" si="1262"/>
        <v>2822961.3850085884</v>
      </c>
      <c r="M592" s="577">
        <f t="shared" si="1262"/>
        <v>2828585.427691753</v>
      </c>
      <c r="N592" s="577">
        <f t="shared" si="1262"/>
        <v>2834209.7300834297</v>
      </c>
      <c r="O592" s="577">
        <f t="shared" si="1262"/>
        <v>2839834.296858225</v>
      </c>
      <c r="P592" s="577">
        <f t="shared" si="1262"/>
        <v>2845459.1327653853</v>
      </c>
      <c r="Q592" s="577">
        <f t="shared" si="1262"/>
        <v>2851084.2426298405</v>
      </c>
      <c r="R592" s="577">
        <f t="shared" si="1262"/>
        <v>2851084.2428229093</v>
      </c>
      <c r="S592" s="577">
        <f t="shared" si="1262"/>
        <v>2918594.7191043785</v>
      </c>
      <c r="T592" s="577">
        <f t="shared" si="1262"/>
        <v>2993121.6068797219</v>
      </c>
      <c r="U592" s="577">
        <f t="shared" si="1262"/>
        <v>3067770.473114376</v>
      </c>
      <c r="V592" s="577">
        <f t="shared" si="1262"/>
        <v>3128016.3906760435</v>
      </c>
      <c r="W592" s="577">
        <f t="shared" si="1262"/>
        <v>3177534.6943496563</v>
      </c>
      <c r="X592" s="577">
        <f t="shared" si="1262"/>
        <v>3227109.6811005808</v>
      </c>
      <c r="Y592" s="577">
        <f t="shared" si="1262"/>
        <v>3276749.7576798457</v>
      </c>
      <c r="Z592" s="577">
        <f t="shared" si="1262"/>
        <v>3326476.0319522163</v>
      </c>
      <c r="AA592" s="577">
        <f t="shared" si="1262"/>
        <v>3376276.0106363907</v>
      </c>
      <c r="AB592" s="577">
        <f t="shared" si="1262"/>
        <v>3426184.9980432144</v>
      </c>
      <c r="AC592" s="577">
        <f t="shared" si="1262"/>
        <v>3476193.2532500033</v>
      </c>
      <c r="AD592" s="577">
        <f t="shared" si="1262"/>
        <v>3526327.605204036</v>
      </c>
      <c r="AE592" s="577">
        <f t="shared" si="1262"/>
        <v>3576616.8251127447</v>
      </c>
      <c r="AF592" s="577">
        <f t="shared" si="1262"/>
        <v>3627056.4821298257</v>
      </c>
      <c r="AG592" s="577">
        <f t="shared" si="1262"/>
        <v>3677679.5420936183</v>
      </c>
      <c r="AH592" s="752">
        <f t="shared" si="1262"/>
        <v>3728521.5837130323</v>
      </c>
      <c r="AI592" s="18"/>
      <c r="AJ592" s="18"/>
      <c r="AK592" s="18"/>
      <c r="AL592" s="18"/>
      <c r="AM592" s="18"/>
      <c r="AN592" s="18"/>
    </row>
    <row r="593" spans="2:40" ht="21.95" customHeight="1" x14ac:dyDescent="0.2">
      <c r="B593" s="232"/>
      <c r="C593" s="715"/>
      <c r="D593" s="715"/>
      <c r="E593" s="1340"/>
      <c r="F593" s="116"/>
      <c r="G593" s="116"/>
      <c r="H593" s="721" t="s">
        <v>25</v>
      </c>
      <c r="I593" s="577">
        <f t="shared" ref="I593:AH593" si="1263">SUM(I591:I592)</f>
        <v>3863532.7804341344</v>
      </c>
      <c r="J593" s="577">
        <f t="shared" si="1263"/>
        <v>3871275.1415239382</v>
      </c>
      <c r="K593" s="577">
        <f t="shared" si="1263"/>
        <v>3879017.8417111239</v>
      </c>
      <c r="L593" s="577">
        <f t="shared" si="1263"/>
        <v>3886760.8869052064</v>
      </c>
      <c r="M593" s="577">
        <f t="shared" si="1263"/>
        <v>3894504.2833410534</v>
      </c>
      <c r="N593" s="577">
        <f t="shared" si="1263"/>
        <v>3902248.037353484</v>
      </c>
      <c r="O593" s="577">
        <f t="shared" si="1263"/>
        <v>3909992.1553786742</v>
      </c>
      <c r="P593" s="577">
        <f t="shared" si="1263"/>
        <v>3917736.6439555679</v>
      </c>
      <c r="Q593" s="577">
        <f t="shared" si="1263"/>
        <v>3925481.5097273123</v>
      </c>
      <c r="R593" s="577">
        <f t="shared" si="1263"/>
        <v>3925481.5099931364</v>
      </c>
      <c r="S593" s="577">
        <f t="shared" si="1263"/>
        <v>4018432.5082110446</v>
      </c>
      <c r="T593" s="577">
        <f t="shared" si="1263"/>
        <v>4121043.9693405768</v>
      </c>
      <c r="U593" s="577">
        <f t="shared" si="1263"/>
        <v>4223823.3750644661</v>
      </c>
      <c r="V593" s="577">
        <f t="shared" si="1263"/>
        <v>4306772.2518071402</v>
      </c>
      <c r="W593" s="577">
        <f t="shared" si="1263"/>
        <v>4374950.9406572916</v>
      </c>
      <c r="X593" s="577">
        <f t="shared" si="1263"/>
        <v>4443207.6729298625</v>
      </c>
      <c r="Y593" s="577">
        <f t="shared" si="1263"/>
        <v>4511554.0233602561</v>
      </c>
      <c r="Z593" s="577">
        <f t="shared" si="1263"/>
        <v>4580019.0540616168</v>
      </c>
      <c r="AA593" s="577">
        <f t="shared" si="1263"/>
        <v>4648585.5638078256</v>
      </c>
      <c r="AB593" s="577">
        <f t="shared" si="1263"/>
        <v>4717302.1609203639</v>
      </c>
      <c r="AC593" s="577">
        <f t="shared" si="1263"/>
        <v>4786155.4337254148</v>
      </c>
      <c r="AD593" s="577">
        <f t="shared" si="1263"/>
        <v>4855182.3213406987</v>
      </c>
      <c r="AE593" s="577">
        <f t="shared" si="1263"/>
        <v>4924422.437061782</v>
      </c>
      <c r="AF593" s="577">
        <f t="shared" si="1263"/>
        <v>4993869.6803305056</v>
      </c>
      <c r="AG593" s="577">
        <f t="shared" si="1263"/>
        <v>5063569.4397702282</v>
      </c>
      <c r="AH593" s="752">
        <f t="shared" si="1263"/>
        <v>5133570.7015041513</v>
      </c>
      <c r="AI593" s="18"/>
      <c r="AJ593" s="18"/>
      <c r="AK593" s="18"/>
      <c r="AL593" s="18"/>
      <c r="AM593" s="18"/>
      <c r="AN593" s="18"/>
    </row>
    <row r="594" spans="2:40" ht="21.95" customHeight="1" x14ac:dyDescent="0.2">
      <c r="B594" s="232"/>
      <c r="C594" s="715"/>
      <c r="D594" s="715"/>
      <c r="E594" s="1340"/>
      <c r="F594" s="116" t="s">
        <v>341</v>
      </c>
      <c r="G594" s="116" t="s">
        <v>344</v>
      </c>
      <c r="H594" s="116" t="s">
        <v>20</v>
      </c>
      <c r="I594" s="577">
        <f t="shared" ref="I594:AH594" si="1264">I503*$D$13</f>
        <v>1093186.5065553952</v>
      </c>
      <c r="J594" s="577">
        <f t="shared" si="1264"/>
        <v>1095395.8629586184</v>
      </c>
      <c r="K594" s="577">
        <f t="shared" si="1264"/>
        <v>1097605.7288968458</v>
      </c>
      <c r="L594" s="577">
        <f t="shared" si="1264"/>
        <v>1099816.1132498444</v>
      </c>
      <c r="M594" s="577">
        <f t="shared" si="1264"/>
        <v>1102027.0253862573</v>
      </c>
      <c r="N594" s="577">
        <f t="shared" si="1264"/>
        <v>1104238.4748249208</v>
      </c>
      <c r="O594" s="577">
        <f t="shared" si="1264"/>
        <v>1106450.4712369693</v>
      </c>
      <c r="P594" s="577">
        <f t="shared" si="1264"/>
        <v>1108663.0244479612</v>
      </c>
      <c r="Q594" s="577">
        <f t="shared" si="1264"/>
        <v>1110876.1444400351</v>
      </c>
      <c r="R594" s="577">
        <f t="shared" si="1264"/>
        <v>1110876.1448394686</v>
      </c>
      <c r="S594" s="577">
        <f t="shared" si="1264"/>
        <v>1116184.5705070014</v>
      </c>
      <c r="T594" s="577">
        <f t="shared" si="1264"/>
        <v>1134984.1311326157</v>
      </c>
      <c r="U594" s="577">
        <f t="shared" si="1264"/>
        <v>1153352.8461223599</v>
      </c>
      <c r="V594" s="577">
        <f t="shared" si="1264"/>
        <v>1165796.7898233412</v>
      </c>
      <c r="W594" s="577">
        <f t="shared" si="1264"/>
        <v>1173817.1353851855</v>
      </c>
      <c r="X594" s="577">
        <f t="shared" si="1264"/>
        <v>1192411.630710759</v>
      </c>
      <c r="Y594" s="577">
        <f t="shared" si="1264"/>
        <v>1211080.7028335612</v>
      </c>
      <c r="Z594" s="577">
        <f t="shared" si="1264"/>
        <v>1229839.6164892628</v>
      </c>
      <c r="AA594" s="577">
        <f t="shared" si="1264"/>
        <v>1248691.8894966822</v>
      </c>
      <c r="AB594" s="577">
        <f t="shared" si="1264"/>
        <v>1267660.1387823413</v>
      </c>
      <c r="AC594" s="577">
        <f t="shared" si="1264"/>
        <v>1286751.0355602808</v>
      </c>
      <c r="AD594" s="577">
        <f t="shared" si="1264"/>
        <v>1305986.402204053</v>
      </c>
      <c r="AE594" s="577">
        <f t="shared" si="1264"/>
        <v>1325390.2863473301</v>
      </c>
      <c r="AF594" s="577">
        <f t="shared" si="1264"/>
        <v>1344975.4429933035</v>
      </c>
      <c r="AG594" s="577">
        <f t="shared" si="1264"/>
        <v>1364770.725591637</v>
      </c>
      <c r="AH594" s="752">
        <f t="shared" si="1264"/>
        <v>1384807.9811748569</v>
      </c>
      <c r="AI594" s="18"/>
      <c r="AJ594" s="18"/>
      <c r="AK594" s="18"/>
      <c r="AL594" s="18"/>
      <c r="AM594" s="18"/>
      <c r="AN594" s="18"/>
    </row>
    <row r="595" spans="2:40" ht="21.95" customHeight="1" x14ac:dyDescent="0.2">
      <c r="B595" s="232"/>
      <c r="C595" s="715"/>
      <c r="D595" s="715"/>
      <c r="E595" s="1340"/>
      <c r="F595" s="116"/>
      <c r="G595" s="116"/>
      <c r="H595" s="124" t="s">
        <v>19</v>
      </c>
      <c r="I595" s="577">
        <f t="shared" ref="I595:AH595" si="1265">I504*$D$14</f>
        <v>2900944.4816587484</v>
      </c>
      <c r="J595" s="577">
        <f t="shared" si="1265"/>
        <v>2906807.3607077617</v>
      </c>
      <c r="K595" s="577">
        <f t="shared" si="1265"/>
        <v>2912671.5918890503</v>
      </c>
      <c r="L595" s="577">
        <f t="shared" si="1265"/>
        <v>2918537.1987664904</v>
      </c>
      <c r="M595" s="577">
        <f t="shared" si="1265"/>
        <v>2924404.2062012684</v>
      </c>
      <c r="N595" s="577">
        <f t="shared" si="1265"/>
        <v>2930272.6394531317</v>
      </c>
      <c r="O595" s="577">
        <f t="shared" si="1265"/>
        <v>2936142.524185976</v>
      </c>
      <c r="P595" s="577">
        <f t="shared" si="1265"/>
        <v>2942013.8864734862</v>
      </c>
      <c r="Q595" s="577">
        <f t="shared" si="1265"/>
        <v>2947886.752804854</v>
      </c>
      <c r="R595" s="577">
        <f t="shared" si="1265"/>
        <v>2947886.753864815</v>
      </c>
      <c r="S595" s="577">
        <f t="shared" si="1265"/>
        <v>2961973.5067237094</v>
      </c>
      <c r="T595" s="577">
        <f t="shared" si="1265"/>
        <v>3011861.1346146977</v>
      </c>
      <c r="U595" s="577">
        <f t="shared" si="1265"/>
        <v>3060605.4450000916</v>
      </c>
      <c r="V595" s="577">
        <f t="shared" si="1265"/>
        <v>3093627.431269554</v>
      </c>
      <c r="W595" s="577">
        <f t="shared" si="1265"/>
        <v>3114910.6954327216</v>
      </c>
      <c r="X595" s="577">
        <f t="shared" si="1265"/>
        <v>3164254.1498940471</v>
      </c>
      <c r="Y595" s="577">
        <f t="shared" si="1265"/>
        <v>3213795.5057629393</v>
      </c>
      <c r="Z595" s="577">
        <f t="shared" si="1265"/>
        <v>3263575.270446362</v>
      </c>
      <c r="AA595" s="577">
        <f t="shared" si="1265"/>
        <v>3313602.779036751</v>
      </c>
      <c r="AB595" s="577">
        <f t="shared" si="1265"/>
        <v>3363938.0491503072</v>
      </c>
      <c r="AC595" s="577">
        <f t="shared" si="1265"/>
        <v>3414598.7839158564</v>
      </c>
      <c r="AD595" s="577">
        <f t="shared" si="1265"/>
        <v>3465642.892476765</v>
      </c>
      <c r="AE595" s="577">
        <f t="shared" si="1265"/>
        <v>3517134.1890584915</v>
      </c>
      <c r="AF595" s="577">
        <f t="shared" si="1265"/>
        <v>3569106.5210931986</v>
      </c>
      <c r="AG595" s="577">
        <f t="shared" si="1265"/>
        <v>3621636.4558043904</v>
      </c>
      <c r="AH595" s="752">
        <f t="shared" si="1265"/>
        <v>3674808.504364416</v>
      </c>
      <c r="AI595" s="18"/>
      <c r="AJ595" s="18"/>
      <c r="AK595" s="18"/>
      <c r="AL595" s="18"/>
      <c r="AM595" s="18"/>
      <c r="AN595" s="18"/>
    </row>
    <row r="596" spans="2:40" ht="21.95" customHeight="1" x14ac:dyDescent="0.2">
      <c r="B596" s="232"/>
      <c r="C596" s="715"/>
      <c r="D596" s="715"/>
      <c r="E596" s="1340"/>
      <c r="F596" s="116"/>
      <c r="G596" s="116"/>
      <c r="H596" s="721" t="s">
        <v>25</v>
      </c>
      <c r="I596" s="577">
        <f t="shared" ref="I596:AH596" si="1266">SUM(I594:I595)</f>
        <v>3994130.9882141436</v>
      </c>
      <c r="J596" s="577">
        <f t="shared" si="1266"/>
        <v>4002203.2236663802</v>
      </c>
      <c r="K596" s="577">
        <f t="shared" si="1266"/>
        <v>4010277.3207858959</v>
      </c>
      <c r="L596" s="577">
        <f t="shared" si="1266"/>
        <v>4018353.3120163349</v>
      </c>
      <c r="M596" s="577">
        <f t="shared" si="1266"/>
        <v>4026431.2315875255</v>
      </c>
      <c r="N596" s="577">
        <f t="shared" si="1266"/>
        <v>4034511.1142780525</v>
      </c>
      <c r="O596" s="577">
        <f t="shared" si="1266"/>
        <v>4042592.9954229454</v>
      </c>
      <c r="P596" s="577">
        <f t="shared" si="1266"/>
        <v>4050676.9109214474</v>
      </c>
      <c r="Q596" s="577">
        <f t="shared" si="1266"/>
        <v>4058762.8972448893</v>
      </c>
      <c r="R596" s="577">
        <f t="shared" si="1266"/>
        <v>4058762.8987042839</v>
      </c>
      <c r="S596" s="577">
        <f t="shared" si="1266"/>
        <v>4078158.0772307105</v>
      </c>
      <c r="T596" s="577">
        <f t="shared" si="1266"/>
        <v>4146845.2657473134</v>
      </c>
      <c r="U596" s="577">
        <f t="shared" si="1266"/>
        <v>4213958.2911224514</v>
      </c>
      <c r="V596" s="577">
        <f t="shared" si="1266"/>
        <v>4259424.2210928947</v>
      </c>
      <c r="W596" s="577">
        <f t="shared" si="1266"/>
        <v>4288727.8308179071</v>
      </c>
      <c r="X596" s="577">
        <f t="shared" si="1266"/>
        <v>4356665.7806048058</v>
      </c>
      <c r="Y596" s="577">
        <f t="shared" si="1266"/>
        <v>4424876.2085965006</v>
      </c>
      <c r="Z596" s="577">
        <f t="shared" si="1266"/>
        <v>4493414.8869356252</v>
      </c>
      <c r="AA596" s="577">
        <f t="shared" si="1266"/>
        <v>4562294.6685334332</v>
      </c>
      <c r="AB596" s="577">
        <f t="shared" si="1266"/>
        <v>4631598.1879326487</v>
      </c>
      <c r="AC596" s="577">
        <f t="shared" si="1266"/>
        <v>4701349.8194761369</v>
      </c>
      <c r="AD596" s="577">
        <f t="shared" si="1266"/>
        <v>4771629.294680818</v>
      </c>
      <c r="AE596" s="577">
        <f t="shared" si="1266"/>
        <v>4842524.4754058216</v>
      </c>
      <c r="AF596" s="577">
        <f t="shared" si="1266"/>
        <v>4914081.9640865019</v>
      </c>
      <c r="AG596" s="577">
        <f t="shared" si="1266"/>
        <v>4986407.1813960271</v>
      </c>
      <c r="AH596" s="752">
        <f t="shared" si="1266"/>
        <v>5059616.4855392724</v>
      </c>
      <c r="AI596" s="18"/>
      <c r="AJ596" s="18"/>
      <c r="AK596" s="18"/>
      <c r="AL596" s="18"/>
      <c r="AM596" s="18"/>
      <c r="AN596" s="18"/>
    </row>
    <row r="597" spans="2:40" ht="21.95" customHeight="1" x14ac:dyDescent="0.2">
      <c r="B597" s="232"/>
      <c r="C597" s="715"/>
      <c r="D597" s="715"/>
      <c r="E597" s="1340"/>
      <c r="F597" s="116" t="s">
        <v>344</v>
      </c>
      <c r="G597" s="116" t="s">
        <v>345</v>
      </c>
      <c r="H597" s="116" t="s">
        <v>20</v>
      </c>
      <c r="I597" s="577">
        <f t="shared" ref="I597:AH597" si="1267">I506*$D$13</f>
        <v>368627.94755787193</v>
      </c>
      <c r="J597" s="577">
        <f t="shared" si="1267"/>
        <v>369368.05405646143</v>
      </c>
      <c r="K597" s="577">
        <f t="shared" si="1267"/>
        <v>370108.22375209234</v>
      </c>
      <c r="L597" s="577">
        <f t="shared" si="1267"/>
        <v>370848.45774611167</v>
      </c>
      <c r="M597" s="577">
        <f t="shared" si="1267"/>
        <v>371588.75720050163</v>
      </c>
      <c r="N597" s="577">
        <f t="shared" si="1267"/>
        <v>372329.12329587241</v>
      </c>
      <c r="O597" s="577">
        <f t="shared" si="1267"/>
        <v>373069.55723172391</v>
      </c>
      <c r="P597" s="577">
        <f t="shared" si="1267"/>
        <v>373810.06022670883</v>
      </c>
      <c r="Q597" s="577">
        <f t="shared" si="1267"/>
        <v>374550.63351890008</v>
      </c>
      <c r="R597" s="577">
        <f t="shared" si="1267"/>
        <v>374550.63356844144</v>
      </c>
      <c r="S597" s="577">
        <f t="shared" si="1267"/>
        <v>376326.48595957999</v>
      </c>
      <c r="T597" s="577">
        <f t="shared" si="1267"/>
        <v>382609.53309278522</v>
      </c>
      <c r="U597" s="577">
        <f t="shared" si="1267"/>
        <v>388738.43683608429</v>
      </c>
      <c r="V597" s="577">
        <f t="shared" si="1267"/>
        <v>392884.05373378756</v>
      </c>
      <c r="W597" s="577">
        <f t="shared" si="1267"/>
        <v>395552.9622017807</v>
      </c>
      <c r="X597" s="577">
        <f t="shared" si="1267"/>
        <v>401730.64126571541</v>
      </c>
      <c r="Y597" s="577">
        <f t="shared" si="1267"/>
        <v>407917.57000414137</v>
      </c>
      <c r="Z597" s="577">
        <f t="shared" si="1267"/>
        <v>414116.54516780865</v>
      </c>
      <c r="AA597" s="577">
        <f t="shared" si="1267"/>
        <v>420326.19610150426</v>
      </c>
      <c r="AB597" s="577">
        <f t="shared" si="1267"/>
        <v>426551.13492288394</v>
      </c>
      <c r="AC597" s="577">
        <f t="shared" si="1267"/>
        <v>432790.38208872167</v>
      </c>
      <c r="AD597" s="577">
        <f t="shared" si="1267"/>
        <v>439047.54768606089</v>
      </c>
      <c r="AE597" s="577">
        <f t="shared" si="1267"/>
        <v>445326.51779840165</v>
      </c>
      <c r="AF597" s="577">
        <f t="shared" si="1267"/>
        <v>451627.06744789775</v>
      </c>
      <c r="AG597" s="577">
        <f t="shared" si="1267"/>
        <v>457953.67877788597</v>
      </c>
      <c r="AH597" s="752">
        <f t="shared" si="1267"/>
        <v>464311.20522234665</v>
      </c>
      <c r="AI597" s="18"/>
      <c r="AJ597" s="18"/>
      <c r="AK597" s="18"/>
      <c r="AL597" s="18"/>
      <c r="AM597" s="18"/>
      <c r="AN597" s="18"/>
    </row>
    <row r="598" spans="2:40" ht="21.95" customHeight="1" x14ac:dyDescent="0.2">
      <c r="B598" s="232"/>
      <c r="C598" s="715"/>
      <c r="D598" s="715"/>
      <c r="E598" s="1340"/>
      <c r="F598" s="116"/>
      <c r="G598" s="116"/>
      <c r="H598" s="124" t="s">
        <v>19</v>
      </c>
      <c r="I598" s="577">
        <f t="shared" ref="I598:AH598" si="1268">I507*$D$14</f>
        <v>978212.96168643341</v>
      </c>
      <c r="J598" s="577">
        <f t="shared" si="1268"/>
        <v>980176.95214007376</v>
      </c>
      <c r="K598" s="577">
        <f t="shared" si="1268"/>
        <v>982141.11029712704</v>
      </c>
      <c r="L598" s="577">
        <f t="shared" si="1268"/>
        <v>984105.43908019364</v>
      </c>
      <c r="M598" s="577">
        <f t="shared" si="1268"/>
        <v>986069.94157277769</v>
      </c>
      <c r="N598" s="577">
        <f t="shared" si="1268"/>
        <v>988034.62090781704</v>
      </c>
      <c r="O598" s="577">
        <f t="shared" si="1268"/>
        <v>989999.48026837513</v>
      </c>
      <c r="P598" s="577">
        <f t="shared" si="1268"/>
        <v>991964.52288834134</v>
      </c>
      <c r="Q598" s="577">
        <f t="shared" si="1268"/>
        <v>993929.75205313927</v>
      </c>
      <c r="R598" s="577">
        <f t="shared" si="1268"/>
        <v>993929.75218460499</v>
      </c>
      <c r="S598" s="577">
        <f t="shared" si="1268"/>
        <v>998642.25930340088</v>
      </c>
      <c r="T598" s="577">
        <f t="shared" si="1268"/>
        <v>1015315.3254268619</v>
      </c>
      <c r="U598" s="577">
        <f t="shared" si="1268"/>
        <v>1031579.3475183566</v>
      </c>
      <c r="V598" s="577">
        <f t="shared" si="1268"/>
        <v>1042580.4021328689</v>
      </c>
      <c r="W598" s="577">
        <f t="shared" si="1268"/>
        <v>1049662.7757679708</v>
      </c>
      <c r="X598" s="577">
        <f t="shared" si="1268"/>
        <v>1066056.2309400889</v>
      </c>
      <c r="Y598" s="577">
        <f t="shared" si="1268"/>
        <v>1082474.231596451</v>
      </c>
      <c r="Z598" s="577">
        <f t="shared" si="1268"/>
        <v>1098924.1993605462</v>
      </c>
      <c r="AA598" s="577">
        <f t="shared" si="1268"/>
        <v>1115402.4969804946</v>
      </c>
      <c r="AB598" s="577">
        <f t="shared" si="1268"/>
        <v>1131921.3634449604</v>
      </c>
      <c r="AC598" s="577">
        <f t="shared" si="1268"/>
        <v>1148478.1993800048</v>
      </c>
      <c r="AD598" s="577">
        <f t="shared" si="1268"/>
        <v>1165082.5847264924</v>
      </c>
      <c r="AE598" s="577">
        <f t="shared" si="1268"/>
        <v>1181744.8318258366</v>
      </c>
      <c r="AF598" s="577">
        <f t="shared" si="1268"/>
        <v>1198464.3436634962</v>
      </c>
      <c r="AG598" s="577">
        <f t="shared" si="1268"/>
        <v>1215253.0143205826</v>
      </c>
      <c r="AH598" s="752">
        <f t="shared" si="1268"/>
        <v>1232123.7231570559</v>
      </c>
      <c r="AI598" s="18"/>
      <c r="AJ598" s="18"/>
      <c r="AK598" s="18"/>
      <c r="AL598" s="18"/>
      <c r="AM598" s="18"/>
      <c r="AN598" s="18"/>
    </row>
    <row r="599" spans="2:40" ht="21.95" customHeight="1" x14ac:dyDescent="0.2">
      <c r="B599" s="232"/>
      <c r="C599" s="715"/>
      <c r="D599" s="715"/>
      <c r="E599" s="1340"/>
      <c r="F599" s="116"/>
      <c r="G599" s="116"/>
      <c r="H599" s="721" t="s">
        <v>25</v>
      </c>
      <c r="I599" s="577">
        <f t="shared" ref="I599:AH599" si="1269">SUM(I597:I598)</f>
        <v>1346840.9092443055</v>
      </c>
      <c r="J599" s="577">
        <f t="shared" si="1269"/>
        <v>1349545.0061965352</v>
      </c>
      <c r="K599" s="577">
        <f t="shared" si="1269"/>
        <v>1352249.3340492193</v>
      </c>
      <c r="L599" s="577">
        <f t="shared" si="1269"/>
        <v>1354953.8968263054</v>
      </c>
      <c r="M599" s="577">
        <f t="shared" si="1269"/>
        <v>1357658.6987732793</v>
      </c>
      <c r="N599" s="577">
        <f t="shared" si="1269"/>
        <v>1360363.7442036895</v>
      </c>
      <c r="O599" s="577">
        <f t="shared" si="1269"/>
        <v>1363069.037500099</v>
      </c>
      <c r="P599" s="577">
        <f t="shared" si="1269"/>
        <v>1365774.5831150501</v>
      </c>
      <c r="Q599" s="577">
        <f t="shared" si="1269"/>
        <v>1368480.3855720393</v>
      </c>
      <c r="R599" s="577">
        <f t="shared" si="1269"/>
        <v>1368480.3857530465</v>
      </c>
      <c r="S599" s="577">
        <f t="shared" si="1269"/>
        <v>1374968.7452629809</v>
      </c>
      <c r="T599" s="577">
        <f t="shared" si="1269"/>
        <v>1397924.858519647</v>
      </c>
      <c r="U599" s="577">
        <f t="shared" si="1269"/>
        <v>1420317.7843544409</v>
      </c>
      <c r="V599" s="577">
        <f t="shared" si="1269"/>
        <v>1435464.4558666565</v>
      </c>
      <c r="W599" s="577">
        <f t="shared" si="1269"/>
        <v>1445215.7379697515</v>
      </c>
      <c r="X599" s="577">
        <f t="shared" si="1269"/>
        <v>1467786.8722058043</v>
      </c>
      <c r="Y599" s="577">
        <f t="shared" si="1269"/>
        <v>1490391.8016005924</v>
      </c>
      <c r="Z599" s="577">
        <f t="shared" si="1269"/>
        <v>1513040.7445283548</v>
      </c>
      <c r="AA599" s="577">
        <f t="shared" si="1269"/>
        <v>1535728.6930819987</v>
      </c>
      <c r="AB599" s="577">
        <f t="shared" si="1269"/>
        <v>1558472.4983678444</v>
      </c>
      <c r="AC599" s="577">
        <f t="shared" si="1269"/>
        <v>1581268.5814687265</v>
      </c>
      <c r="AD599" s="577">
        <f t="shared" si="1269"/>
        <v>1604130.1324125533</v>
      </c>
      <c r="AE599" s="577">
        <f t="shared" si="1269"/>
        <v>1627071.3496242382</v>
      </c>
      <c r="AF599" s="577">
        <f t="shared" si="1269"/>
        <v>1650091.4111113939</v>
      </c>
      <c r="AG599" s="577">
        <f t="shared" si="1269"/>
        <v>1673206.6930984687</v>
      </c>
      <c r="AH599" s="752">
        <f t="shared" si="1269"/>
        <v>1696434.9283794025</v>
      </c>
      <c r="AI599" s="18"/>
      <c r="AJ599" s="18"/>
      <c r="AK599" s="18"/>
      <c r="AL599" s="18"/>
      <c r="AM599" s="18"/>
      <c r="AN599" s="18"/>
    </row>
    <row r="600" spans="2:40" ht="21.95" customHeight="1" x14ac:dyDescent="0.2">
      <c r="B600" s="232"/>
      <c r="C600" s="715"/>
      <c r="D600" s="715"/>
      <c r="E600" s="1340"/>
      <c r="F600" s="116" t="s">
        <v>345</v>
      </c>
      <c r="G600" s="116" t="s">
        <v>323</v>
      </c>
      <c r="H600" s="116" t="s">
        <v>20</v>
      </c>
      <c r="I600" s="577">
        <f t="shared" ref="I600:AH600" si="1270">I509*$D$13</f>
        <v>3641695.0293918885</v>
      </c>
      <c r="J600" s="577">
        <f t="shared" si="1270"/>
        <v>3725598.0928725279</v>
      </c>
      <c r="K600" s="577">
        <f t="shared" si="1270"/>
        <v>3848479.2052239333</v>
      </c>
      <c r="L600" s="577">
        <f t="shared" si="1270"/>
        <v>3996171.7343661161</v>
      </c>
      <c r="M600" s="577">
        <f t="shared" si="1270"/>
        <v>4144389.72658853</v>
      </c>
      <c r="N600" s="577">
        <f t="shared" si="1270"/>
        <v>4293293.2412645696</v>
      </c>
      <c r="O600" s="577">
        <f t="shared" si="1270"/>
        <v>4443062.7782224901</v>
      </c>
      <c r="P600" s="577">
        <f t="shared" si="1270"/>
        <v>4594155.938965044</v>
      </c>
      <c r="Q600" s="577">
        <f t="shared" si="1270"/>
        <v>4725455.9019171875</v>
      </c>
      <c r="R600" s="577">
        <f t="shared" si="1270"/>
        <v>4858321.8123884974</v>
      </c>
      <c r="S600" s="577">
        <f t="shared" si="1270"/>
        <v>4993189.8589423299</v>
      </c>
      <c r="T600" s="577">
        <f t="shared" si="1270"/>
        <v>5130573.7896380424</v>
      </c>
      <c r="U600" s="577">
        <f t="shared" si="1270"/>
        <v>5271199.5738227805</v>
      </c>
      <c r="V600" s="577">
        <f t="shared" si="1270"/>
        <v>5387389.1272446383</v>
      </c>
      <c r="W600" s="577">
        <f t="shared" si="1270"/>
        <v>5485034.7083956348</v>
      </c>
      <c r="X600" s="577">
        <f t="shared" si="1270"/>
        <v>5585037.8265445717</v>
      </c>
      <c r="Y600" s="577">
        <f t="shared" si="1270"/>
        <v>5687748.1314903172</v>
      </c>
      <c r="Z600" s="577">
        <f t="shared" si="1270"/>
        <v>5793585.6796640921</v>
      </c>
      <c r="AA600" s="577">
        <f t="shared" si="1270"/>
        <v>5902946.5608709604</v>
      </c>
      <c r="AB600" s="577">
        <f t="shared" si="1270"/>
        <v>6016383.4313629828</v>
      </c>
      <c r="AC600" s="577">
        <f t="shared" si="1270"/>
        <v>6134406.8558041155</v>
      </c>
      <c r="AD600" s="577">
        <f t="shared" si="1270"/>
        <v>6257674.8393103648</v>
      </c>
      <c r="AE600" s="577">
        <f t="shared" si="1270"/>
        <v>6386926.1686061239</v>
      </c>
      <c r="AF600" s="577">
        <f t="shared" si="1270"/>
        <v>6522892.2626584535</v>
      </c>
      <c r="AG600" s="577">
        <f t="shared" si="1270"/>
        <v>6666486.3693894539</v>
      </c>
      <c r="AH600" s="752">
        <f t="shared" si="1270"/>
        <v>6818730.4100563964</v>
      </c>
      <c r="AI600" s="18"/>
      <c r="AJ600" s="18"/>
      <c r="AK600" s="18"/>
      <c r="AL600" s="18"/>
      <c r="AM600" s="18"/>
      <c r="AN600" s="18"/>
    </row>
    <row r="601" spans="2:40" ht="21.95" customHeight="1" x14ac:dyDescent="0.2">
      <c r="B601" s="232"/>
      <c r="C601" s="715"/>
      <c r="D601" s="715"/>
      <c r="E601" s="1340"/>
      <c r="F601" s="116"/>
      <c r="G601" s="116"/>
      <c r="H601" s="124" t="s">
        <v>19</v>
      </c>
      <c r="I601" s="577">
        <f t="shared" ref="I601:AH601" si="1271">I510*$D$14</f>
        <v>9663817.6889747046</v>
      </c>
      <c r="J601" s="577">
        <f t="shared" si="1271"/>
        <v>9886467.8292196374</v>
      </c>
      <c r="K601" s="577">
        <f t="shared" si="1271"/>
        <v>10212552.429274872</v>
      </c>
      <c r="L601" s="577">
        <f t="shared" si="1271"/>
        <v>10604478.074924551</v>
      </c>
      <c r="M601" s="577">
        <f t="shared" si="1271"/>
        <v>10997798.120535966</v>
      </c>
      <c r="N601" s="577">
        <f t="shared" si="1271"/>
        <v>11392937.30914537</v>
      </c>
      <c r="O601" s="577">
        <f t="shared" si="1271"/>
        <v>11790374.625791075</v>
      </c>
      <c r="P601" s="577">
        <f t="shared" si="1271"/>
        <v>12191324.388932226</v>
      </c>
      <c r="Q601" s="577">
        <f t="shared" si="1271"/>
        <v>12539749.749732012</v>
      </c>
      <c r="R601" s="577">
        <f t="shared" si="1271"/>
        <v>12892330.601646122</v>
      </c>
      <c r="S601" s="577">
        <f t="shared" si="1271"/>
        <v>13250224.44048908</v>
      </c>
      <c r="T601" s="577">
        <f t="shared" si="1271"/>
        <v>13614794.57854916</v>
      </c>
      <c r="U601" s="577">
        <f t="shared" si="1271"/>
        <v>13987967.491097342</v>
      </c>
      <c r="V601" s="577">
        <f t="shared" si="1271"/>
        <v>14296294.973923305</v>
      </c>
      <c r="W601" s="577">
        <f t="shared" si="1271"/>
        <v>14555413.073259257</v>
      </c>
      <c r="X601" s="577">
        <f t="shared" si="1271"/>
        <v>14820787.272449601</v>
      </c>
      <c r="Y601" s="577">
        <f t="shared" si="1271"/>
        <v>15093345.422916261</v>
      </c>
      <c r="Z601" s="577">
        <f t="shared" si="1271"/>
        <v>15374202.211292149</v>
      </c>
      <c r="AA601" s="577">
        <f t="shared" si="1271"/>
        <v>15664408.724951057</v>
      </c>
      <c r="AB601" s="577">
        <f t="shared" si="1271"/>
        <v>15965431.525266601</v>
      </c>
      <c r="AC601" s="577">
        <f t="shared" si="1271"/>
        <v>16278625.476880403</v>
      </c>
      <c r="AD601" s="577">
        <f t="shared" si="1271"/>
        <v>16605736.701153032</v>
      </c>
      <c r="AE601" s="577">
        <f t="shared" si="1271"/>
        <v>16948725.686307132</v>
      </c>
      <c r="AF601" s="577">
        <f t="shared" si="1271"/>
        <v>17309533.369047966</v>
      </c>
      <c r="AG601" s="577">
        <f t="shared" si="1271"/>
        <v>17690583.198168688</v>
      </c>
      <c r="AH601" s="752">
        <f t="shared" si="1271"/>
        <v>18094587.004463214</v>
      </c>
      <c r="AI601" s="18"/>
      <c r="AJ601" s="18"/>
      <c r="AK601" s="18"/>
      <c r="AL601" s="18"/>
      <c r="AM601" s="18"/>
      <c r="AN601" s="18"/>
    </row>
    <row r="602" spans="2:40" ht="21.95" customHeight="1" x14ac:dyDescent="0.2">
      <c r="B602" s="232"/>
      <c r="C602" s="715"/>
      <c r="D602" s="715"/>
      <c r="E602" s="1340"/>
      <c r="F602" s="116"/>
      <c r="G602" s="116"/>
      <c r="H602" s="721" t="s">
        <v>25</v>
      </c>
      <c r="I602" s="577">
        <f t="shared" ref="I602:AH602" si="1272">SUM(I600:I601)</f>
        <v>13305512.718366593</v>
      </c>
      <c r="J602" s="577">
        <f t="shared" si="1272"/>
        <v>13612065.922092166</v>
      </c>
      <c r="K602" s="577">
        <f t="shared" si="1272"/>
        <v>14061031.634498805</v>
      </c>
      <c r="L602" s="577">
        <f t="shared" si="1272"/>
        <v>14600649.809290666</v>
      </c>
      <c r="M602" s="577">
        <f t="shared" si="1272"/>
        <v>15142187.847124496</v>
      </c>
      <c r="N602" s="577">
        <f t="shared" si="1272"/>
        <v>15686230.550409939</v>
      </c>
      <c r="O602" s="577">
        <f t="shared" si="1272"/>
        <v>16233437.404013565</v>
      </c>
      <c r="P602" s="577">
        <f t="shared" si="1272"/>
        <v>16785480.327897269</v>
      </c>
      <c r="Q602" s="577">
        <f t="shared" si="1272"/>
        <v>17265205.651649199</v>
      </c>
      <c r="R602" s="577">
        <f t="shared" si="1272"/>
        <v>17750652.41403462</v>
      </c>
      <c r="S602" s="577">
        <f t="shared" si="1272"/>
        <v>18243414.29943141</v>
      </c>
      <c r="T602" s="577">
        <f t="shared" si="1272"/>
        <v>18745368.368187204</v>
      </c>
      <c r="U602" s="577">
        <f t="shared" si="1272"/>
        <v>19259167.064920124</v>
      </c>
      <c r="V602" s="577">
        <f t="shared" si="1272"/>
        <v>19683684.101167943</v>
      </c>
      <c r="W602" s="577">
        <f t="shared" si="1272"/>
        <v>20040447.781654891</v>
      </c>
      <c r="X602" s="577">
        <f t="shared" si="1272"/>
        <v>20405825.098994173</v>
      </c>
      <c r="Y602" s="577">
        <f t="shared" si="1272"/>
        <v>20781093.55440658</v>
      </c>
      <c r="Z602" s="577">
        <f t="shared" si="1272"/>
        <v>21167787.890956242</v>
      </c>
      <c r="AA602" s="577">
        <f t="shared" si="1272"/>
        <v>21567355.285822019</v>
      </c>
      <c r="AB602" s="577">
        <f t="shared" si="1272"/>
        <v>21981814.956629582</v>
      </c>
      <c r="AC602" s="577">
        <f t="shared" si="1272"/>
        <v>22413032.332684517</v>
      </c>
      <c r="AD602" s="577">
        <f t="shared" si="1272"/>
        <v>22863411.540463395</v>
      </c>
      <c r="AE602" s="577">
        <f t="shared" si="1272"/>
        <v>23335651.854913257</v>
      </c>
      <c r="AF602" s="577">
        <f t="shared" si="1272"/>
        <v>23832425.63170642</v>
      </c>
      <c r="AG602" s="577">
        <f t="shared" si="1272"/>
        <v>24357069.56755814</v>
      </c>
      <c r="AH602" s="752">
        <f t="shared" si="1272"/>
        <v>24913317.414519612</v>
      </c>
      <c r="AI602" s="18"/>
      <c r="AJ602" s="18"/>
      <c r="AK602" s="18"/>
      <c r="AL602" s="18"/>
      <c r="AM602" s="18"/>
      <c r="AN602" s="18"/>
    </row>
    <row r="603" spans="2:40" ht="21.95" customHeight="1" x14ac:dyDescent="0.2">
      <c r="B603" s="232"/>
      <c r="C603" s="715"/>
      <c r="D603" s="715"/>
      <c r="E603" s="1340"/>
      <c r="F603" s="116" t="s">
        <v>323</v>
      </c>
      <c r="G603" s="116" t="s">
        <v>347</v>
      </c>
      <c r="H603" s="116" t="s">
        <v>20</v>
      </c>
      <c r="I603" s="577">
        <f t="shared" ref="I603:AH603" si="1273">I512*$D$13</f>
        <v>650302.68381998036</v>
      </c>
      <c r="J603" s="577">
        <f t="shared" si="1273"/>
        <v>664724.51015956001</v>
      </c>
      <c r="K603" s="577">
        <f t="shared" si="1273"/>
        <v>686103.67009094043</v>
      </c>
      <c r="L603" s="577">
        <f t="shared" si="1273"/>
        <v>713295.22657741327</v>
      </c>
      <c r="M603" s="577">
        <f t="shared" si="1273"/>
        <v>740586.96524929453</v>
      </c>
      <c r="N603" s="577">
        <f t="shared" si="1273"/>
        <v>768005.54361416551</v>
      </c>
      <c r="O603" s="577">
        <f t="shared" si="1273"/>
        <v>795594.75156716164</v>
      </c>
      <c r="P603" s="577">
        <f t="shared" si="1273"/>
        <v>823440.95612863498</v>
      </c>
      <c r="Q603" s="577">
        <f t="shared" si="1273"/>
        <v>848456.26936401671</v>
      </c>
      <c r="R603" s="577">
        <f t="shared" si="1273"/>
        <v>873808.18994246423</v>
      </c>
      <c r="S603" s="577">
        <f t="shared" si="1273"/>
        <v>899587.5234080276</v>
      </c>
      <c r="T603" s="577">
        <f t="shared" si="1273"/>
        <v>925916.04312960885</v>
      </c>
      <c r="U603" s="577">
        <f t="shared" si="1273"/>
        <v>952954.42145981593</v>
      </c>
      <c r="V603" s="577">
        <f t="shared" si="1273"/>
        <v>974106.21889011341</v>
      </c>
      <c r="W603" s="577">
        <f t="shared" si="1273"/>
        <v>991158.05987963686</v>
      </c>
      <c r="X603" s="577">
        <f t="shared" si="1273"/>
        <v>1008637.1482623217</v>
      </c>
      <c r="Y603" s="577">
        <f t="shared" si="1273"/>
        <v>1026603.6907627053</v>
      </c>
      <c r="Z603" s="577">
        <f t="shared" si="1273"/>
        <v>1045128.3535048183</v>
      </c>
      <c r="AA603" s="577">
        <f t="shared" si="1273"/>
        <v>1064280.9980655401</v>
      </c>
      <c r="AB603" s="577">
        <f t="shared" si="1273"/>
        <v>1084152.7593174661</v>
      </c>
      <c r="AC603" s="577">
        <f t="shared" si="1273"/>
        <v>1104832.1530590826</v>
      </c>
      <c r="AD603" s="577">
        <f t="shared" si="1273"/>
        <v>1126428.2857789181</v>
      </c>
      <c r="AE603" s="577">
        <f t="shared" si="1273"/>
        <v>1149062.9956558133</v>
      </c>
      <c r="AF603" s="577">
        <f t="shared" si="1273"/>
        <v>1172860.4091484761</v>
      </c>
      <c r="AG603" s="577">
        <f t="shared" si="1273"/>
        <v>1197970.1553753968</v>
      </c>
      <c r="AH603" s="752">
        <f t="shared" si="1273"/>
        <v>1224558.7571104823</v>
      </c>
      <c r="AI603" s="18"/>
      <c r="AJ603" s="18"/>
      <c r="AK603" s="18"/>
      <c r="AL603" s="18"/>
      <c r="AM603" s="18"/>
      <c r="AN603" s="18"/>
    </row>
    <row r="604" spans="2:40" ht="21.95" customHeight="1" x14ac:dyDescent="0.2">
      <c r="B604" s="232"/>
      <c r="C604" s="715"/>
      <c r="D604" s="715"/>
      <c r="E604" s="1340"/>
      <c r="F604" s="116"/>
      <c r="G604" s="116"/>
      <c r="H604" s="124" t="s">
        <v>19</v>
      </c>
      <c r="I604" s="577">
        <f t="shared" ref="I604:AH604" si="1274">I513*$D$14</f>
        <v>1725681.7301740551</v>
      </c>
      <c r="J604" s="577">
        <f t="shared" si="1274"/>
        <v>1763952.3429966301</v>
      </c>
      <c r="K604" s="577">
        <f t="shared" si="1274"/>
        <v>1820685.3484385472</v>
      </c>
      <c r="L604" s="577">
        <f t="shared" si="1274"/>
        <v>1892842.4737452785</v>
      </c>
      <c r="M604" s="577">
        <f t="shared" si="1274"/>
        <v>1965265.4484346893</v>
      </c>
      <c r="N604" s="577">
        <f t="shared" si="1274"/>
        <v>2038025.0124482706</v>
      </c>
      <c r="O604" s="577">
        <f t="shared" si="1274"/>
        <v>2111237.3692461667</v>
      </c>
      <c r="P604" s="577">
        <f t="shared" si="1274"/>
        <v>2185131.7074705595</v>
      </c>
      <c r="Q604" s="577">
        <f t="shared" si="1274"/>
        <v>2251513.8247506255</v>
      </c>
      <c r="R604" s="577">
        <f t="shared" si="1274"/>
        <v>2318789.1832191776</v>
      </c>
      <c r="S604" s="577">
        <f t="shared" si="1274"/>
        <v>2387198.7498478498</v>
      </c>
      <c r="T604" s="577">
        <f t="shared" si="1274"/>
        <v>2457065.6696630497</v>
      </c>
      <c r="U604" s="577">
        <f t="shared" si="1274"/>
        <v>2528816.3123389902</v>
      </c>
      <c r="V604" s="577">
        <f t="shared" si="1274"/>
        <v>2584945.9751775204</v>
      </c>
      <c r="W604" s="577">
        <f t="shared" si="1274"/>
        <v>2630195.7506952849</v>
      </c>
      <c r="X604" s="577">
        <f t="shared" si="1274"/>
        <v>2676579.2952086069</v>
      </c>
      <c r="Y604" s="577">
        <f t="shared" si="1274"/>
        <v>2724256.3768487782</v>
      </c>
      <c r="Z604" s="577">
        <f t="shared" si="1274"/>
        <v>2773414.5194292716</v>
      </c>
      <c r="AA604" s="577">
        <f t="shared" si="1274"/>
        <v>2824239.1117695738</v>
      </c>
      <c r="AB604" s="577">
        <f t="shared" si="1274"/>
        <v>2876971.9947670586</v>
      </c>
      <c r="AC604" s="577">
        <f t="shared" si="1274"/>
        <v>2931848.0591888721</v>
      </c>
      <c r="AD604" s="577">
        <f t="shared" si="1274"/>
        <v>2989156.8364771898</v>
      </c>
      <c r="AE604" s="577">
        <f t="shared" si="1274"/>
        <v>3049221.6436419114</v>
      </c>
      <c r="AF604" s="577">
        <f t="shared" si="1274"/>
        <v>3112371.870007968</v>
      </c>
      <c r="AG604" s="577">
        <f t="shared" si="1274"/>
        <v>3179004.5802692398</v>
      </c>
      <c r="AH604" s="752">
        <f t="shared" si="1274"/>
        <v>3249561.6691245157</v>
      </c>
      <c r="AI604" s="18"/>
      <c r="AJ604" s="18"/>
      <c r="AK604" s="18"/>
      <c r="AL604" s="18"/>
      <c r="AM604" s="18"/>
      <c r="AN604" s="18"/>
    </row>
    <row r="605" spans="2:40" ht="21.95" customHeight="1" x14ac:dyDescent="0.2">
      <c r="B605" s="232"/>
      <c r="C605" s="715"/>
      <c r="D605" s="715"/>
      <c r="E605" s="1340"/>
      <c r="F605" s="116"/>
      <c r="G605" s="116"/>
      <c r="H605" s="721" t="s">
        <v>25</v>
      </c>
      <c r="I605" s="577">
        <f t="shared" ref="I605:AH605" si="1275">SUM(I603:I604)</f>
        <v>2375984.4139940357</v>
      </c>
      <c r="J605" s="577">
        <f t="shared" si="1275"/>
        <v>2428676.8531561904</v>
      </c>
      <c r="K605" s="577">
        <f t="shared" si="1275"/>
        <v>2506789.0185294878</v>
      </c>
      <c r="L605" s="577">
        <f t="shared" si="1275"/>
        <v>2606137.7003226918</v>
      </c>
      <c r="M605" s="577">
        <f t="shared" si="1275"/>
        <v>2705852.413683984</v>
      </c>
      <c r="N605" s="577">
        <f t="shared" si="1275"/>
        <v>2806030.5560624362</v>
      </c>
      <c r="O605" s="577">
        <f t="shared" si="1275"/>
        <v>2906832.1208133283</v>
      </c>
      <c r="P605" s="577">
        <f t="shared" si="1275"/>
        <v>3008572.6635991945</v>
      </c>
      <c r="Q605" s="577">
        <f t="shared" si="1275"/>
        <v>3099970.0941146421</v>
      </c>
      <c r="R605" s="577">
        <f t="shared" si="1275"/>
        <v>3192597.3731616419</v>
      </c>
      <c r="S605" s="577">
        <f t="shared" si="1275"/>
        <v>3286786.2732558772</v>
      </c>
      <c r="T605" s="577">
        <f t="shared" si="1275"/>
        <v>3382981.7127926587</v>
      </c>
      <c r="U605" s="577">
        <f t="shared" si="1275"/>
        <v>3481770.7337988061</v>
      </c>
      <c r="V605" s="577">
        <f t="shared" si="1275"/>
        <v>3559052.1940676337</v>
      </c>
      <c r="W605" s="577">
        <f t="shared" si="1275"/>
        <v>3621353.8105749218</v>
      </c>
      <c r="X605" s="577">
        <f t="shared" si="1275"/>
        <v>3685216.4434709288</v>
      </c>
      <c r="Y605" s="577">
        <f t="shared" si="1275"/>
        <v>3750860.0676114834</v>
      </c>
      <c r="Z605" s="577">
        <f t="shared" si="1275"/>
        <v>3818542.87293409</v>
      </c>
      <c r="AA605" s="577">
        <f t="shared" si="1275"/>
        <v>3888520.1098351139</v>
      </c>
      <c r="AB605" s="577">
        <f t="shared" si="1275"/>
        <v>3961124.7540845247</v>
      </c>
      <c r="AC605" s="577">
        <f t="shared" si="1275"/>
        <v>4036680.2122479547</v>
      </c>
      <c r="AD605" s="577">
        <f t="shared" si="1275"/>
        <v>4115585.1222561076</v>
      </c>
      <c r="AE605" s="577">
        <f t="shared" si="1275"/>
        <v>4198284.6392977247</v>
      </c>
      <c r="AF605" s="577">
        <f t="shared" si="1275"/>
        <v>4285232.2791564446</v>
      </c>
      <c r="AG605" s="577">
        <f t="shared" si="1275"/>
        <v>4376974.7356446367</v>
      </c>
      <c r="AH605" s="752">
        <f t="shared" si="1275"/>
        <v>4474120.4262349978</v>
      </c>
      <c r="AI605" s="18"/>
      <c r="AJ605" s="18"/>
      <c r="AK605" s="18"/>
      <c r="AL605" s="18"/>
      <c r="AM605" s="18"/>
      <c r="AN605" s="18"/>
    </row>
    <row r="606" spans="2:40" ht="21.95" customHeight="1" x14ac:dyDescent="0.2">
      <c r="B606" s="232"/>
      <c r="C606" s="715"/>
      <c r="D606" s="715"/>
      <c r="E606" s="1340"/>
      <c r="F606" s="116" t="s">
        <v>347</v>
      </c>
      <c r="G606" s="116" t="s">
        <v>348</v>
      </c>
      <c r="H606" s="116" t="s">
        <v>20</v>
      </c>
      <c r="I606" s="577">
        <f t="shared" ref="I606:AH606" si="1276">I515*$D$13</f>
        <v>532332.13978901971</v>
      </c>
      <c r="J606" s="577">
        <f t="shared" si="1276"/>
        <v>544161.74647282518</v>
      </c>
      <c r="K606" s="577">
        <f t="shared" si="1276"/>
        <v>561710.08326786733</v>
      </c>
      <c r="L606" s="577">
        <f t="shared" si="1276"/>
        <v>584056.4284592598</v>
      </c>
      <c r="M606" s="577">
        <f t="shared" si="1276"/>
        <v>606526.93920259178</v>
      </c>
      <c r="N606" s="577">
        <f t="shared" si="1276"/>
        <v>629160.11256465199</v>
      </c>
      <c r="O606" s="577">
        <f t="shared" si="1276"/>
        <v>652014.08245730493</v>
      </c>
      <c r="P606" s="577">
        <f t="shared" si="1276"/>
        <v>675189.42226493941</v>
      </c>
      <c r="Q606" s="577">
        <f t="shared" si="1276"/>
        <v>696129.2192129771</v>
      </c>
      <c r="R606" s="577">
        <f t="shared" si="1276"/>
        <v>717497.65093937481</v>
      </c>
      <c r="S606" s="577">
        <f t="shared" si="1276"/>
        <v>739412.7631414819</v>
      </c>
      <c r="T606" s="577">
        <f t="shared" si="1276"/>
        <v>762028.94281753828</v>
      </c>
      <c r="U606" s="577">
        <f t="shared" si="1276"/>
        <v>785546.19193835673</v>
      </c>
      <c r="V606" s="577">
        <f t="shared" si="1276"/>
        <v>804178.81571233319</v>
      </c>
      <c r="W606" s="577">
        <f t="shared" si="1276"/>
        <v>819365.78559829632</v>
      </c>
      <c r="X606" s="577">
        <f t="shared" si="1276"/>
        <v>835098.16106823541</v>
      </c>
      <c r="Y606" s="577">
        <f t="shared" si="1276"/>
        <v>851452.79942843446</v>
      </c>
      <c r="Z606" s="577">
        <f t="shared" si="1276"/>
        <v>868518.84637389728</v>
      </c>
      <c r="AA606" s="577">
        <f t="shared" si="1276"/>
        <v>886387.61143733293</v>
      </c>
      <c r="AB606" s="577">
        <f t="shared" si="1276"/>
        <v>905173.30620552669</v>
      </c>
      <c r="AC606" s="577">
        <f t="shared" si="1276"/>
        <v>924991.05338545749</v>
      </c>
      <c r="AD606" s="577">
        <f t="shared" si="1276"/>
        <v>945979.06998252764</v>
      </c>
      <c r="AE606" s="577">
        <f t="shared" si="1276"/>
        <v>968291.82572854578</v>
      </c>
      <c r="AF606" s="577">
        <f t="shared" si="1276"/>
        <v>992089.90236252989</v>
      </c>
      <c r="AG606" s="577">
        <f t="shared" si="1276"/>
        <v>1017563.2463305115</v>
      </c>
      <c r="AH606" s="752">
        <f t="shared" si="1276"/>
        <v>1044923.3697899688</v>
      </c>
      <c r="AI606" s="18"/>
      <c r="AJ606" s="18"/>
      <c r="AK606" s="18"/>
      <c r="AL606" s="18"/>
      <c r="AM606" s="18"/>
      <c r="AN606" s="18"/>
    </row>
    <row r="607" spans="2:40" ht="21.95" customHeight="1" x14ac:dyDescent="0.2">
      <c r="B607" s="232"/>
      <c r="C607" s="715"/>
      <c r="D607" s="715"/>
      <c r="E607" s="1340"/>
      <c r="F607" s="116"/>
      <c r="G607" s="116"/>
      <c r="H607" s="124" t="s">
        <v>19</v>
      </c>
      <c r="I607" s="577">
        <f t="shared" ref="I607:AH607" si="1277">I516*$D$14</f>
        <v>1412628.1051496835</v>
      </c>
      <c r="J607" s="577">
        <f t="shared" si="1277"/>
        <v>1444019.8503128313</v>
      </c>
      <c r="K607" s="577">
        <f t="shared" si="1277"/>
        <v>1490587.1565159357</v>
      </c>
      <c r="L607" s="577">
        <f t="shared" si="1277"/>
        <v>1549886.7420665065</v>
      </c>
      <c r="M607" s="577">
        <f t="shared" si="1277"/>
        <v>1609515.8206821228</v>
      </c>
      <c r="N607" s="577">
        <f t="shared" si="1277"/>
        <v>1669576.5504600448</v>
      </c>
      <c r="O607" s="577">
        <f t="shared" si="1277"/>
        <v>1730223.1989930479</v>
      </c>
      <c r="P607" s="577">
        <f t="shared" si="1277"/>
        <v>1791722.6537726033</v>
      </c>
      <c r="Q607" s="577">
        <f t="shared" si="1277"/>
        <v>1847289.7395710472</v>
      </c>
      <c r="R607" s="577">
        <f t="shared" si="1277"/>
        <v>1903994.2760126097</v>
      </c>
      <c r="S607" s="577">
        <f t="shared" si="1277"/>
        <v>1962149.5161536147</v>
      </c>
      <c r="T607" s="577">
        <f t="shared" si="1277"/>
        <v>2022165.1504795344</v>
      </c>
      <c r="U607" s="577">
        <f t="shared" si="1277"/>
        <v>2084571.9160696066</v>
      </c>
      <c r="V607" s="577">
        <f t="shared" si="1277"/>
        <v>2134016.5504406048</v>
      </c>
      <c r="W607" s="577">
        <f t="shared" si="1277"/>
        <v>2174317.5935102119</v>
      </c>
      <c r="X607" s="577">
        <f t="shared" si="1277"/>
        <v>2216065.9571510237</v>
      </c>
      <c r="Y607" s="577">
        <f t="shared" si="1277"/>
        <v>2259465.5944645493</v>
      </c>
      <c r="Z607" s="577">
        <f t="shared" si="1277"/>
        <v>2304753.0677486523</v>
      </c>
      <c r="AA607" s="577">
        <f t="shared" si="1277"/>
        <v>2352170.6813891325</v>
      </c>
      <c r="AB607" s="577">
        <f t="shared" si="1277"/>
        <v>2402021.5140193617</v>
      </c>
      <c r="AC607" s="577">
        <f t="shared" si="1277"/>
        <v>2454611.0620752359</v>
      </c>
      <c r="AD607" s="577">
        <f t="shared" si="1277"/>
        <v>2510306.1063912148</v>
      </c>
      <c r="AE607" s="577">
        <f t="shared" si="1277"/>
        <v>2569516.5569994715</v>
      </c>
      <c r="AF607" s="577">
        <f t="shared" si="1277"/>
        <v>2632668.5431166268</v>
      </c>
      <c r="AG607" s="577">
        <f t="shared" si="1277"/>
        <v>2700266.1178856008</v>
      </c>
      <c r="AH607" s="752">
        <f t="shared" si="1277"/>
        <v>2772870.5624989066</v>
      </c>
      <c r="AI607" s="18"/>
      <c r="AJ607" s="18"/>
      <c r="AK607" s="18"/>
      <c r="AL607" s="18"/>
      <c r="AM607" s="18"/>
      <c r="AN607" s="18"/>
    </row>
    <row r="608" spans="2:40" ht="21.95" customHeight="1" x14ac:dyDescent="0.2">
      <c r="B608" s="232"/>
      <c r="C608" s="715"/>
      <c r="D608" s="715"/>
      <c r="E608" s="1340"/>
      <c r="F608" s="116"/>
      <c r="G608" s="116"/>
      <c r="H608" s="721" t="s">
        <v>25</v>
      </c>
      <c r="I608" s="577">
        <f t="shared" ref="I608:AH608" si="1278">SUM(I606:I607)</f>
        <v>1944960.2449387033</v>
      </c>
      <c r="J608" s="577">
        <f t="shared" si="1278"/>
        <v>1988181.5967856566</v>
      </c>
      <c r="K608" s="577">
        <f t="shared" si="1278"/>
        <v>2052297.239783803</v>
      </c>
      <c r="L608" s="577">
        <f t="shared" si="1278"/>
        <v>2133943.1705257664</v>
      </c>
      <c r="M608" s="577">
        <f t="shared" si="1278"/>
        <v>2216042.7598847146</v>
      </c>
      <c r="N608" s="577">
        <f t="shared" si="1278"/>
        <v>2298736.6630246965</v>
      </c>
      <c r="O608" s="577">
        <f t="shared" si="1278"/>
        <v>2382237.2814503526</v>
      </c>
      <c r="P608" s="577">
        <f t="shared" si="1278"/>
        <v>2466912.0760375429</v>
      </c>
      <c r="Q608" s="577">
        <f t="shared" si="1278"/>
        <v>2543418.9587840242</v>
      </c>
      <c r="R608" s="577">
        <f t="shared" si="1278"/>
        <v>2621491.9269519844</v>
      </c>
      <c r="S608" s="577">
        <f t="shared" si="1278"/>
        <v>2701562.2792950966</v>
      </c>
      <c r="T608" s="577">
        <f t="shared" si="1278"/>
        <v>2784194.0932970727</v>
      </c>
      <c r="U608" s="577">
        <f t="shared" si="1278"/>
        <v>2870118.1080079633</v>
      </c>
      <c r="V608" s="577">
        <f t="shared" si="1278"/>
        <v>2938195.366152938</v>
      </c>
      <c r="W608" s="577">
        <f t="shared" si="1278"/>
        <v>2993683.3791085081</v>
      </c>
      <c r="X608" s="577">
        <f t="shared" si="1278"/>
        <v>3051164.1182192592</v>
      </c>
      <c r="Y608" s="577">
        <f t="shared" si="1278"/>
        <v>3110918.3938929839</v>
      </c>
      <c r="Z608" s="577">
        <f t="shared" si="1278"/>
        <v>3173271.9141225498</v>
      </c>
      <c r="AA608" s="577">
        <f t="shared" si="1278"/>
        <v>3238558.2928264653</v>
      </c>
      <c r="AB608" s="577">
        <f t="shared" si="1278"/>
        <v>3307194.8202248886</v>
      </c>
      <c r="AC608" s="577">
        <f t="shared" si="1278"/>
        <v>3379602.1154606934</v>
      </c>
      <c r="AD608" s="577">
        <f t="shared" si="1278"/>
        <v>3456285.1763737425</v>
      </c>
      <c r="AE608" s="577">
        <f t="shared" si="1278"/>
        <v>3537808.3827280174</v>
      </c>
      <c r="AF608" s="577">
        <f t="shared" si="1278"/>
        <v>3624758.4454791564</v>
      </c>
      <c r="AG608" s="577">
        <f t="shared" si="1278"/>
        <v>3717829.3642161125</v>
      </c>
      <c r="AH608" s="752">
        <f t="shared" si="1278"/>
        <v>3817793.9322888753</v>
      </c>
      <c r="AI608" s="18"/>
      <c r="AJ608" s="18"/>
      <c r="AK608" s="18"/>
      <c r="AL608" s="18"/>
      <c r="AM608" s="18"/>
      <c r="AN608" s="18"/>
    </row>
    <row r="609" spans="2:40" ht="21.95" customHeight="1" x14ac:dyDescent="0.2">
      <c r="B609" s="232"/>
      <c r="C609" s="715"/>
      <c r="D609" s="715"/>
      <c r="E609" s="1340"/>
      <c r="F609" s="116" t="s">
        <v>348</v>
      </c>
      <c r="G609" s="116" t="s">
        <v>349</v>
      </c>
      <c r="H609" s="116" t="s">
        <v>20</v>
      </c>
      <c r="I609" s="577">
        <f t="shared" ref="I609:AH609" si="1279">I518*$D$13</f>
        <v>870340.35910957446</v>
      </c>
      <c r="J609" s="577">
        <f t="shared" si="1279"/>
        <v>891583.00692116166</v>
      </c>
      <c r="K609" s="577">
        <f t="shared" si="1279"/>
        <v>921312.25328438648</v>
      </c>
      <c r="L609" s="577">
        <f t="shared" si="1279"/>
        <v>961329.24628082686</v>
      </c>
      <c r="M609" s="577">
        <f t="shared" si="1279"/>
        <v>1002212.2818767527</v>
      </c>
      <c r="N609" s="577">
        <f t="shared" si="1279"/>
        <v>1044314.4133136481</v>
      </c>
      <c r="O609" s="577">
        <f t="shared" si="1279"/>
        <v>1088108.1562948399</v>
      </c>
      <c r="P609" s="577">
        <f t="shared" si="1279"/>
        <v>1134294.8817095768</v>
      </c>
      <c r="Q609" s="577">
        <f t="shared" si="1279"/>
        <v>1181390.5017821253</v>
      </c>
      <c r="R609" s="577">
        <f t="shared" si="1279"/>
        <v>1232444.3535136138</v>
      </c>
      <c r="S609" s="577">
        <f t="shared" si="1279"/>
        <v>1288742.4425825626</v>
      </c>
      <c r="T609" s="577">
        <f t="shared" si="1279"/>
        <v>1351937.4609417482</v>
      </c>
      <c r="U609" s="577">
        <f t="shared" si="1279"/>
        <v>1424173.0342396884</v>
      </c>
      <c r="V609" s="577">
        <f t="shared" si="1279"/>
        <v>1485009.8084238137</v>
      </c>
      <c r="W609" s="577">
        <f t="shared" si="1279"/>
        <v>1536733.2106876133</v>
      </c>
      <c r="X609" s="577">
        <f t="shared" si="1279"/>
        <v>1593641.7074939227</v>
      </c>
      <c r="Y609" s="577">
        <f t="shared" si="1279"/>
        <v>1656503.9660658161</v>
      </c>
      <c r="Z609" s="577">
        <f t="shared" si="1279"/>
        <v>1726202.6051837062</v>
      </c>
      <c r="AA609" s="577">
        <f t="shared" si="1279"/>
        <v>1803689.4323030862</v>
      </c>
      <c r="AB609" s="577">
        <f t="shared" si="1279"/>
        <v>1890097.2896390036</v>
      </c>
      <c r="AC609" s="577">
        <f t="shared" si="1279"/>
        <v>1986630.7055643001</v>
      </c>
      <c r="AD609" s="577">
        <f t="shared" si="1279"/>
        <v>2094694.7499464157</v>
      </c>
      <c r="AE609" s="577">
        <f t="shared" si="1279"/>
        <v>2215870.2312539974</v>
      </c>
      <c r="AF609" s="577">
        <f t="shared" si="1279"/>
        <v>2351849.3835072769</v>
      </c>
      <c r="AG609" s="577">
        <f t="shared" si="1279"/>
        <v>2504596.7449644888</v>
      </c>
      <c r="AH609" s="752">
        <f t="shared" si="1279"/>
        <v>2676313.054872856</v>
      </c>
      <c r="AI609" s="18"/>
      <c r="AJ609" s="18"/>
      <c r="AK609" s="18"/>
      <c r="AL609" s="18"/>
      <c r="AM609" s="18"/>
      <c r="AN609" s="18"/>
    </row>
    <row r="610" spans="2:40" ht="21.95" customHeight="1" x14ac:dyDescent="0.2">
      <c r="B610" s="232"/>
      <c r="C610" s="715"/>
      <c r="D610" s="715"/>
      <c r="E610" s="1340"/>
      <c r="F610" s="116"/>
      <c r="G610" s="116"/>
      <c r="H610" s="124" t="s">
        <v>19</v>
      </c>
      <c r="I610" s="577">
        <f t="shared" ref="I610:AH610" si="1280">I519*$D$14</f>
        <v>2309586.7418629476</v>
      </c>
      <c r="J610" s="577">
        <f t="shared" si="1280"/>
        <v>2365957.4906558678</v>
      </c>
      <c r="K610" s="577">
        <f t="shared" si="1280"/>
        <v>2444848.7801696942</v>
      </c>
      <c r="L610" s="577">
        <f t="shared" si="1280"/>
        <v>2551040.2436660635</v>
      </c>
      <c r="M610" s="577">
        <f t="shared" si="1280"/>
        <v>2659529.8891147282</v>
      </c>
      <c r="N610" s="577">
        <f t="shared" si="1280"/>
        <v>2771254.599514585</v>
      </c>
      <c r="O610" s="577">
        <f t="shared" si="1280"/>
        <v>2887468.2705310537</v>
      </c>
      <c r="P610" s="577">
        <f t="shared" si="1280"/>
        <v>3010032.1015098607</v>
      </c>
      <c r="Q610" s="577">
        <f t="shared" si="1280"/>
        <v>3135007.8292017882</v>
      </c>
      <c r="R610" s="577">
        <f t="shared" si="1280"/>
        <v>3270487.3549366589</v>
      </c>
      <c r="S610" s="577">
        <f t="shared" si="1280"/>
        <v>3419883.2995747887</v>
      </c>
      <c r="T610" s="577">
        <f t="shared" si="1280"/>
        <v>3587581.3443988659</v>
      </c>
      <c r="U610" s="577">
        <f t="shared" si="1280"/>
        <v>3779269.9414328765</v>
      </c>
      <c r="V610" s="577">
        <f t="shared" si="1280"/>
        <v>3940710.0097954604</v>
      </c>
      <c r="W610" s="577">
        <f t="shared" si="1280"/>
        <v>4077966.2944916366</v>
      </c>
      <c r="X610" s="577">
        <f t="shared" si="1280"/>
        <v>4228982.0532663641</v>
      </c>
      <c r="Y610" s="577">
        <f t="shared" si="1280"/>
        <v>4395797.0670039123</v>
      </c>
      <c r="Z610" s="577">
        <f t="shared" si="1280"/>
        <v>4580753.5051923692</v>
      </c>
      <c r="AA610" s="577">
        <f t="shared" si="1280"/>
        <v>4786377.1404872304</v>
      </c>
      <c r="AB610" s="577">
        <f t="shared" si="1280"/>
        <v>5015674.1501076873</v>
      </c>
      <c r="AC610" s="577">
        <f t="shared" si="1280"/>
        <v>5271840.9419084303</v>
      </c>
      <c r="AD610" s="577">
        <f t="shared" si="1280"/>
        <v>5558606.0925356699</v>
      </c>
      <c r="AE610" s="577">
        <f t="shared" si="1280"/>
        <v>5880164.5289997412</v>
      </c>
      <c r="AF610" s="577">
        <f t="shared" si="1280"/>
        <v>6241006.8637562729</v>
      </c>
      <c r="AG610" s="577">
        <f t="shared" si="1280"/>
        <v>6646346.3119200328</v>
      </c>
      <c r="AH610" s="752">
        <f t="shared" si="1280"/>
        <v>7102022.8855443336</v>
      </c>
      <c r="AI610" s="18"/>
      <c r="AJ610" s="18"/>
      <c r="AK610" s="18"/>
      <c r="AL610" s="18"/>
      <c r="AM610" s="18"/>
      <c r="AN610" s="18"/>
    </row>
    <row r="611" spans="2:40" ht="21.95" customHeight="1" x14ac:dyDescent="0.2">
      <c r="B611" s="232"/>
      <c r="C611" s="715"/>
      <c r="D611" s="715"/>
      <c r="E611" s="1333"/>
      <c r="F611" s="254"/>
      <c r="G611" s="254"/>
      <c r="H611" s="721" t="s">
        <v>25</v>
      </c>
      <c r="I611" s="577">
        <f t="shared" ref="I611:AH611" si="1281">SUM(I609:I610)</f>
        <v>3179927.1009725221</v>
      </c>
      <c r="J611" s="577">
        <f t="shared" si="1281"/>
        <v>3257540.4975770293</v>
      </c>
      <c r="K611" s="577">
        <f t="shared" si="1281"/>
        <v>3366161.0334540806</v>
      </c>
      <c r="L611" s="577">
        <f t="shared" si="1281"/>
        <v>3512369.4899468906</v>
      </c>
      <c r="M611" s="577">
        <f t="shared" si="1281"/>
        <v>3661742.1709914808</v>
      </c>
      <c r="N611" s="577">
        <f t="shared" si="1281"/>
        <v>3815569.0128282332</v>
      </c>
      <c r="O611" s="577">
        <f t="shared" si="1281"/>
        <v>3975576.4268258936</v>
      </c>
      <c r="P611" s="577">
        <f t="shared" si="1281"/>
        <v>4144326.9832194373</v>
      </c>
      <c r="Q611" s="577">
        <f t="shared" si="1281"/>
        <v>4316398.3309839135</v>
      </c>
      <c r="R611" s="577">
        <f t="shared" si="1281"/>
        <v>4502931.7084502727</v>
      </c>
      <c r="S611" s="577">
        <f t="shared" si="1281"/>
        <v>4708625.7421573512</v>
      </c>
      <c r="T611" s="577">
        <f t="shared" si="1281"/>
        <v>4939518.8053406142</v>
      </c>
      <c r="U611" s="577">
        <f t="shared" si="1281"/>
        <v>5203442.9756725654</v>
      </c>
      <c r="V611" s="577">
        <f t="shared" si="1281"/>
        <v>5425719.8182192743</v>
      </c>
      <c r="W611" s="577">
        <f t="shared" si="1281"/>
        <v>5614699.5051792497</v>
      </c>
      <c r="X611" s="577">
        <f t="shared" si="1281"/>
        <v>5822623.7607602868</v>
      </c>
      <c r="Y611" s="577">
        <f t="shared" si="1281"/>
        <v>6052301.0330697279</v>
      </c>
      <c r="Z611" s="577">
        <f t="shared" si="1281"/>
        <v>6306956.1103760749</v>
      </c>
      <c r="AA611" s="577">
        <f t="shared" si="1281"/>
        <v>6590066.5727903163</v>
      </c>
      <c r="AB611" s="577">
        <f t="shared" si="1281"/>
        <v>6905771.4397466909</v>
      </c>
      <c r="AC611" s="577">
        <f t="shared" si="1281"/>
        <v>7258471.6474727299</v>
      </c>
      <c r="AD611" s="577">
        <f t="shared" si="1281"/>
        <v>7653300.8424820853</v>
      </c>
      <c r="AE611" s="577">
        <f t="shared" si="1281"/>
        <v>8096034.7602537386</v>
      </c>
      <c r="AF611" s="577">
        <f t="shared" si="1281"/>
        <v>8592856.2472635508</v>
      </c>
      <c r="AG611" s="577">
        <f t="shared" si="1281"/>
        <v>9150943.0568845216</v>
      </c>
      <c r="AH611" s="752">
        <f t="shared" si="1281"/>
        <v>9778335.9404171892</v>
      </c>
      <c r="AI611" s="18"/>
      <c r="AJ611" s="18"/>
      <c r="AK611" s="18"/>
      <c r="AL611" s="18"/>
      <c r="AM611" s="18"/>
      <c r="AN611" s="18"/>
    </row>
    <row r="612" spans="2:40" ht="21.95" customHeight="1" x14ac:dyDescent="0.2">
      <c r="B612" s="232"/>
      <c r="C612" s="715"/>
      <c r="D612" s="715"/>
      <c r="E612" s="116" t="s">
        <v>288</v>
      </c>
      <c r="F612" s="116" t="s">
        <v>323</v>
      </c>
      <c r="G612" s="116" t="s">
        <v>348</v>
      </c>
      <c r="H612" s="116" t="s">
        <v>20</v>
      </c>
      <c r="I612" s="577">
        <f t="shared" ref="I612:AH612" si="1282">I521*$D$13</f>
        <v>148396.92686249423</v>
      </c>
      <c r="J612" s="577">
        <f t="shared" si="1282"/>
        <v>157521.69420708972</v>
      </c>
      <c r="K612" s="577">
        <f t="shared" si="1282"/>
        <v>169597.0959258542</v>
      </c>
      <c r="L612" s="577">
        <f t="shared" si="1282"/>
        <v>185644.61845612316</v>
      </c>
      <c r="M612" s="577">
        <f t="shared" si="1282"/>
        <v>201697.1481323638</v>
      </c>
      <c r="N612" s="577">
        <f t="shared" si="1282"/>
        <v>217784.4313881218</v>
      </c>
      <c r="O612" s="577">
        <f t="shared" si="1282"/>
        <v>233832.39345236702</v>
      </c>
      <c r="P612" s="577">
        <f t="shared" si="1282"/>
        <v>249898.14516109184</v>
      </c>
      <c r="Q612" s="577">
        <f t="shared" si="1282"/>
        <v>264548.18415621977</v>
      </c>
      <c r="R612" s="577">
        <f t="shared" si="1282"/>
        <v>279187.04446952487</v>
      </c>
      <c r="S612" s="577">
        <f t="shared" si="1282"/>
        <v>293841.02749893093</v>
      </c>
      <c r="T612" s="577">
        <f t="shared" si="1282"/>
        <v>308497.2387581974</v>
      </c>
      <c r="U612" s="577">
        <f t="shared" si="1282"/>
        <v>323210.16787884384</v>
      </c>
      <c r="V612" s="577">
        <f t="shared" si="1282"/>
        <v>333888.41788986785</v>
      </c>
      <c r="W612" s="577">
        <f t="shared" si="1282"/>
        <v>343028.65341053944</v>
      </c>
      <c r="X612" s="577">
        <f t="shared" si="1282"/>
        <v>352173.60282398941</v>
      </c>
      <c r="Y612" s="577">
        <f t="shared" si="1282"/>
        <v>361324.52147866617</v>
      </c>
      <c r="Z612" s="577">
        <f t="shared" si="1282"/>
        <v>370492.88790806156</v>
      </c>
      <c r="AA612" s="577">
        <f t="shared" si="1282"/>
        <v>379660.73435152747</v>
      </c>
      <c r="AB612" s="577">
        <f t="shared" si="1282"/>
        <v>388862.69706714415</v>
      </c>
      <c r="AC612" s="577">
        <f t="shared" si="1282"/>
        <v>398056.7848708845</v>
      </c>
      <c r="AD612" s="577">
        <f t="shared" si="1282"/>
        <v>407268.74191284587</v>
      </c>
      <c r="AE612" s="577">
        <f t="shared" si="1282"/>
        <v>416512.63688177342</v>
      </c>
      <c r="AF612" s="577">
        <f t="shared" si="1282"/>
        <v>425773.2893731654</v>
      </c>
      <c r="AG612" s="577">
        <f t="shared" si="1282"/>
        <v>435066.46395753184</v>
      </c>
      <c r="AH612" s="752">
        <f t="shared" si="1282"/>
        <v>444421.82652470178</v>
      </c>
      <c r="AI612" s="18"/>
      <c r="AJ612" s="18"/>
      <c r="AK612" s="18"/>
      <c r="AL612" s="18"/>
      <c r="AM612" s="18"/>
      <c r="AN612" s="18"/>
    </row>
    <row r="613" spans="2:40" ht="21.95" customHeight="1" x14ac:dyDescent="0.2">
      <c r="B613" s="232"/>
      <c r="C613" s="715"/>
      <c r="D613" s="715"/>
      <c r="E613" s="116"/>
      <c r="F613" s="116"/>
      <c r="G613" s="116"/>
      <c r="H613" s="124" t="s">
        <v>19</v>
      </c>
      <c r="I613" s="577">
        <f t="shared" ref="I613:AH613" si="1283">I522*$D$14</f>
        <v>612569.80893678346</v>
      </c>
      <c r="J613" s="577">
        <f t="shared" si="1283"/>
        <v>650236.06730917399</v>
      </c>
      <c r="K613" s="577">
        <f t="shared" si="1283"/>
        <v>700082.29175661551</v>
      </c>
      <c r="L613" s="577">
        <f t="shared" si="1283"/>
        <v>766325.09083684417</v>
      </c>
      <c r="M613" s="577">
        <f t="shared" si="1283"/>
        <v>832588.55898695206</v>
      </c>
      <c r="N613" s="577">
        <f t="shared" si="1283"/>
        <v>898995.48693784501</v>
      </c>
      <c r="O613" s="577">
        <f t="shared" si="1283"/>
        <v>965240.10037669656</v>
      </c>
      <c r="P613" s="577">
        <f t="shared" si="1283"/>
        <v>1031558.1479448815</v>
      </c>
      <c r="Q613" s="577">
        <f t="shared" si="1283"/>
        <v>1092032.2546390011</v>
      </c>
      <c r="R613" s="577">
        <f t="shared" si="1283"/>
        <v>1152460.2166916302</v>
      </c>
      <c r="S613" s="577">
        <f t="shared" si="1283"/>
        <v>1212950.6040215774</v>
      </c>
      <c r="T613" s="577">
        <f t="shared" si="1283"/>
        <v>1273450.1892936165</v>
      </c>
      <c r="U613" s="577">
        <f t="shared" si="1283"/>
        <v>1334183.9010414754</v>
      </c>
      <c r="V613" s="577">
        <f t="shared" si="1283"/>
        <v>1378262.8028579077</v>
      </c>
      <c r="W613" s="577">
        <f t="shared" si="1283"/>
        <v>1415992.9125368171</v>
      </c>
      <c r="X613" s="577">
        <f t="shared" si="1283"/>
        <v>1453742.4807615308</v>
      </c>
      <c r="Y613" s="577">
        <f t="shared" si="1283"/>
        <v>1491516.6895029661</v>
      </c>
      <c r="Z613" s="577">
        <f t="shared" si="1283"/>
        <v>1529362.9211646316</v>
      </c>
      <c r="AA613" s="577">
        <f t="shared" si="1283"/>
        <v>1567207.0063688993</v>
      </c>
      <c r="AB613" s="577">
        <f t="shared" si="1283"/>
        <v>1605191.9206237062</v>
      </c>
      <c r="AC613" s="577">
        <f t="shared" si="1283"/>
        <v>1643144.3279165064</v>
      </c>
      <c r="AD613" s="577">
        <f t="shared" si="1283"/>
        <v>1681170.49789479</v>
      </c>
      <c r="AE613" s="577">
        <f t="shared" si="1283"/>
        <v>1719328.5049011924</v>
      </c>
      <c r="AF613" s="577">
        <f t="shared" si="1283"/>
        <v>1757555.6855256157</v>
      </c>
      <c r="AG613" s="577">
        <f t="shared" si="1283"/>
        <v>1795917.1145654265</v>
      </c>
      <c r="AH613" s="752">
        <f t="shared" si="1283"/>
        <v>1834535.2502739634</v>
      </c>
      <c r="AI613" s="18"/>
      <c r="AJ613" s="18"/>
      <c r="AK613" s="18"/>
      <c r="AL613" s="18"/>
      <c r="AM613" s="18"/>
      <c r="AN613" s="18"/>
    </row>
    <row r="614" spans="2:40" ht="21.95" customHeight="1" x14ac:dyDescent="0.2">
      <c r="B614" s="232"/>
      <c r="C614" s="715"/>
      <c r="D614" s="715"/>
      <c r="E614" s="116"/>
      <c r="F614" s="116"/>
      <c r="G614" s="116"/>
      <c r="H614" s="721" t="s">
        <v>25</v>
      </c>
      <c r="I614" s="577">
        <f t="shared" ref="I614:AH614" si="1284">SUM(I612:I613)</f>
        <v>760966.73579927767</v>
      </c>
      <c r="J614" s="577">
        <f t="shared" si="1284"/>
        <v>807757.76151626371</v>
      </c>
      <c r="K614" s="577">
        <f t="shared" si="1284"/>
        <v>869679.38768246968</v>
      </c>
      <c r="L614" s="577">
        <f t="shared" si="1284"/>
        <v>951969.70929296734</v>
      </c>
      <c r="M614" s="577">
        <f t="shared" si="1284"/>
        <v>1034285.7071193159</v>
      </c>
      <c r="N614" s="577">
        <f t="shared" si="1284"/>
        <v>1116779.9183259667</v>
      </c>
      <c r="O614" s="577">
        <f t="shared" si="1284"/>
        <v>1199072.4938290636</v>
      </c>
      <c r="P614" s="577">
        <f t="shared" si="1284"/>
        <v>1281456.2931059734</v>
      </c>
      <c r="Q614" s="577">
        <f t="shared" si="1284"/>
        <v>1356580.4387952208</v>
      </c>
      <c r="R614" s="577">
        <f t="shared" si="1284"/>
        <v>1431647.2611611551</v>
      </c>
      <c r="S614" s="577">
        <f t="shared" si="1284"/>
        <v>1506791.6315205083</v>
      </c>
      <c r="T614" s="577">
        <f t="shared" si="1284"/>
        <v>1581947.428051814</v>
      </c>
      <c r="U614" s="577">
        <f t="shared" si="1284"/>
        <v>1657394.0689203192</v>
      </c>
      <c r="V614" s="577">
        <f t="shared" si="1284"/>
        <v>1712151.2207477756</v>
      </c>
      <c r="W614" s="577">
        <f t="shared" si="1284"/>
        <v>1759021.5659473566</v>
      </c>
      <c r="X614" s="577">
        <f t="shared" si="1284"/>
        <v>1805916.0835855203</v>
      </c>
      <c r="Y614" s="577">
        <f t="shared" si="1284"/>
        <v>1852841.2109816324</v>
      </c>
      <c r="Z614" s="577">
        <f t="shared" si="1284"/>
        <v>1899855.8090726931</v>
      </c>
      <c r="AA614" s="577">
        <f t="shared" si="1284"/>
        <v>1946867.7407204267</v>
      </c>
      <c r="AB614" s="577">
        <f t="shared" si="1284"/>
        <v>1994054.6176908503</v>
      </c>
      <c r="AC614" s="577">
        <f t="shared" si="1284"/>
        <v>2041201.1127873911</v>
      </c>
      <c r="AD614" s="577">
        <f t="shared" si="1284"/>
        <v>2088439.239807636</v>
      </c>
      <c r="AE614" s="577">
        <f t="shared" si="1284"/>
        <v>2135841.141782966</v>
      </c>
      <c r="AF614" s="577">
        <f t="shared" si="1284"/>
        <v>2183328.9748987812</v>
      </c>
      <c r="AG614" s="577">
        <f t="shared" si="1284"/>
        <v>2230983.5785229583</v>
      </c>
      <c r="AH614" s="752">
        <f t="shared" si="1284"/>
        <v>2278957.0767986653</v>
      </c>
      <c r="AI614" s="18"/>
      <c r="AJ614" s="18"/>
      <c r="AK614" s="18"/>
      <c r="AL614" s="18"/>
      <c r="AM614" s="18"/>
      <c r="AN614" s="18"/>
    </row>
    <row r="615" spans="2:40" ht="21.95" customHeight="1" x14ac:dyDescent="0.2">
      <c r="B615" s="232"/>
      <c r="C615" s="715"/>
      <c r="D615" s="715"/>
      <c r="E615" s="220" t="s">
        <v>340</v>
      </c>
      <c r="F615" s="220" t="s">
        <v>335</v>
      </c>
      <c r="G615" s="220" t="s">
        <v>323</v>
      </c>
      <c r="H615" s="116" t="s">
        <v>20</v>
      </c>
      <c r="I615" s="577" t="e">
        <f t="shared" ref="I615:AH615" si="1285">I524*$D$13</f>
        <v>#DIV/0!</v>
      </c>
      <c r="J615" s="577" t="e">
        <f t="shared" si="1285"/>
        <v>#DIV/0!</v>
      </c>
      <c r="K615" s="577" t="e">
        <f t="shared" si="1285"/>
        <v>#DIV/0!</v>
      </c>
      <c r="L615" s="577" t="e">
        <f t="shared" si="1285"/>
        <v>#DIV/0!</v>
      </c>
      <c r="M615" s="577" t="e">
        <f t="shared" si="1285"/>
        <v>#DIV/0!</v>
      </c>
      <c r="N615" s="577" t="e">
        <f t="shared" si="1285"/>
        <v>#DIV/0!</v>
      </c>
      <c r="O615" s="577" t="e">
        <f t="shared" si="1285"/>
        <v>#DIV/0!</v>
      </c>
      <c r="P615" s="577" t="e">
        <f t="shared" si="1285"/>
        <v>#DIV/0!</v>
      </c>
      <c r="Q615" s="577" t="e">
        <f t="shared" si="1285"/>
        <v>#DIV/0!</v>
      </c>
      <c r="R615" s="577" t="e">
        <f t="shared" si="1285"/>
        <v>#DIV/0!</v>
      </c>
      <c r="S615" s="577" t="e">
        <f t="shared" si="1285"/>
        <v>#DIV/0!</v>
      </c>
      <c r="T615" s="577" t="e">
        <f t="shared" si="1285"/>
        <v>#DIV/0!</v>
      </c>
      <c r="U615" s="577" t="e">
        <f t="shared" si="1285"/>
        <v>#DIV/0!</v>
      </c>
      <c r="V615" s="577" t="e">
        <f t="shared" si="1285"/>
        <v>#DIV/0!</v>
      </c>
      <c r="W615" s="577" t="e">
        <f t="shared" si="1285"/>
        <v>#DIV/0!</v>
      </c>
      <c r="X615" s="577" t="e">
        <f t="shared" si="1285"/>
        <v>#DIV/0!</v>
      </c>
      <c r="Y615" s="577" t="e">
        <f t="shared" si="1285"/>
        <v>#DIV/0!</v>
      </c>
      <c r="Z615" s="577" t="e">
        <f t="shared" si="1285"/>
        <v>#DIV/0!</v>
      </c>
      <c r="AA615" s="577" t="e">
        <f t="shared" si="1285"/>
        <v>#DIV/0!</v>
      </c>
      <c r="AB615" s="577" t="e">
        <f t="shared" si="1285"/>
        <v>#DIV/0!</v>
      </c>
      <c r="AC615" s="577" t="e">
        <f t="shared" si="1285"/>
        <v>#DIV/0!</v>
      </c>
      <c r="AD615" s="577" t="e">
        <f t="shared" si="1285"/>
        <v>#DIV/0!</v>
      </c>
      <c r="AE615" s="577" t="e">
        <f t="shared" si="1285"/>
        <v>#DIV/0!</v>
      </c>
      <c r="AF615" s="577" t="e">
        <f t="shared" si="1285"/>
        <v>#DIV/0!</v>
      </c>
      <c r="AG615" s="577" t="e">
        <f t="shared" si="1285"/>
        <v>#DIV/0!</v>
      </c>
      <c r="AH615" s="752" t="e">
        <f t="shared" si="1285"/>
        <v>#DIV/0!</v>
      </c>
      <c r="AI615" s="18"/>
      <c r="AJ615" s="18"/>
      <c r="AK615" s="18"/>
      <c r="AL615" s="18"/>
      <c r="AM615" s="18"/>
      <c r="AN615" s="18"/>
    </row>
    <row r="616" spans="2:40" ht="21.95" customHeight="1" x14ac:dyDescent="0.2">
      <c r="B616" s="232"/>
      <c r="C616" s="715"/>
      <c r="D616" s="715"/>
      <c r="E616" s="116"/>
      <c r="F616" s="116"/>
      <c r="G616" s="116"/>
      <c r="H616" s="124" t="s">
        <v>19</v>
      </c>
      <c r="I616" s="577" t="e">
        <f t="shared" ref="I616:AH616" si="1286">I525*$D$14</f>
        <v>#DIV/0!</v>
      </c>
      <c r="J616" s="577" t="e">
        <f t="shared" si="1286"/>
        <v>#DIV/0!</v>
      </c>
      <c r="K616" s="577" t="e">
        <f t="shared" si="1286"/>
        <v>#DIV/0!</v>
      </c>
      <c r="L616" s="577" t="e">
        <f t="shared" si="1286"/>
        <v>#DIV/0!</v>
      </c>
      <c r="M616" s="577" t="e">
        <f t="shared" si="1286"/>
        <v>#DIV/0!</v>
      </c>
      <c r="N616" s="577" t="e">
        <f t="shared" si="1286"/>
        <v>#DIV/0!</v>
      </c>
      <c r="O616" s="577" t="e">
        <f t="shared" si="1286"/>
        <v>#DIV/0!</v>
      </c>
      <c r="P616" s="577" t="e">
        <f t="shared" si="1286"/>
        <v>#DIV/0!</v>
      </c>
      <c r="Q616" s="577" t="e">
        <f t="shared" si="1286"/>
        <v>#DIV/0!</v>
      </c>
      <c r="R616" s="577" t="e">
        <f t="shared" si="1286"/>
        <v>#DIV/0!</v>
      </c>
      <c r="S616" s="577" t="e">
        <f t="shared" si="1286"/>
        <v>#DIV/0!</v>
      </c>
      <c r="T616" s="577" t="e">
        <f t="shared" si="1286"/>
        <v>#DIV/0!</v>
      </c>
      <c r="U616" s="577" t="e">
        <f t="shared" si="1286"/>
        <v>#DIV/0!</v>
      </c>
      <c r="V616" s="577" t="e">
        <f t="shared" si="1286"/>
        <v>#DIV/0!</v>
      </c>
      <c r="W616" s="577" t="e">
        <f t="shared" si="1286"/>
        <v>#DIV/0!</v>
      </c>
      <c r="X616" s="577" t="e">
        <f t="shared" si="1286"/>
        <v>#DIV/0!</v>
      </c>
      <c r="Y616" s="577" t="e">
        <f t="shared" si="1286"/>
        <v>#DIV/0!</v>
      </c>
      <c r="Z616" s="577" t="e">
        <f t="shared" si="1286"/>
        <v>#DIV/0!</v>
      </c>
      <c r="AA616" s="577" t="e">
        <f t="shared" si="1286"/>
        <v>#DIV/0!</v>
      </c>
      <c r="AB616" s="577" t="e">
        <f t="shared" si="1286"/>
        <v>#DIV/0!</v>
      </c>
      <c r="AC616" s="577" t="e">
        <f t="shared" si="1286"/>
        <v>#DIV/0!</v>
      </c>
      <c r="AD616" s="577" t="e">
        <f t="shared" si="1286"/>
        <v>#DIV/0!</v>
      </c>
      <c r="AE616" s="577" t="e">
        <f t="shared" si="1286"/>
        <v>#DIV/0!</v>
      </c>
      <c r="AF616" s="577" t="e">
        <f t="shared" si="1286"/>
        <v>#DIV/0!</v>
      </c>
      <c r="AG616" s="577" t="e">
        <f t="shared" si="1286"/>
        <v>#DIV/0!</v>
      </c>
      <c r="AH616" s="752" t="e">
        <f t="shared" si="1286"/>
        <v>#DIV/0!</v>
      </c>
      <c r="AI616" s="18"/>
      <c r="AJ616" s="18"/>
      <c r="AK616" s="18"/>
      <c r="AL616" s="18"/>
      <c r="AM616" s="18"/>
      <c r="AN616" s="18"/>
    </row>
    <row r="617" spans="2:40" ht="21.95" customHeight="1" x14ac:dyDescent="0.2">
      <c r="B617" s="232"/>
      <c r="C617" s="715"/>
      <c r="D617" s="715"/>
      <c r="E617" s="254"/>
      <c r="F617" s="254"/>
      <c r="G617" s="254"/>
      <c r="H617" s="721" t="s">
        <v>25</v>
      </c>
      <c r="I617" s="577" t="e">
        <f t="shared" ref="I617:AH617" si="1287">SUM(I615:I616)</f>
        <v>#DIV/0!</v>
      </c>
      <c r="J617" s="577" t="e">
        <f t="shared" si="1287"/>
        <v>#DIV/0!</v>
      </c>
      <c r="K617" s="577" t="e">
        <f t="shared" si="1287"/>
        <v>#DIV/0!</v>
      </c>
      <c r="L617" s="577" t="e">
        <f t="shared" si="1287"/>
        <v>#DIV/0!</v>
      </c>
      <c r="M617" s="577" t="e">
        <f t="shared" si="1287"/>
        <v>#DIV/0!</v>
      </c>
      <c r="N617" s="577" t="e">
        <f t="shared" si="1287"/>
        <v>#DIV/0!</v>
      </c>
      <c r="O617" s="577" t="e">
        <f t="shared" si="1287"/>
        <v>#DIV/0!</v>
      </c>
      <c r="P617" s="577" t="e">
        <f t="shared" si="1287"/>
        <v>#DIV/0!</v>
      </c>
      <c r="Q617" s="577" t="e">
        <f t="shared" si="1287"/>
        <v>#DIV/0!</v>
      </c>
      <c r="R617" s="577" t="e">
        <f t="shared" si="1287"/>
        <v>#DIV/0!</v>
      </c>
      <c r="S617" s="577" t="e">
        <f t="shared" si="1287"/>
        <v>#DIV/0!</v>
      </c>
      <c r="T617" s="577" t="e">
        <f t="shared" si="1287"/>
        <v>#DIV/0!</v>
      </c>
      <c r="U617" s="577" t="e">
        <f t="shared" si="1287"/>
        <v>#DIV/0!</v>
      </c>
      <c r="V617" s="577" t="e">
        <f t="shared" si="1287"/>
        <v>#DIV/0!</v>
      </c>
      <c r="W617" s="577" t="e">
        <f t="shared" si="1287"/>
        <v>#DIV/0!</v>
      </c>
      <c r="X617" s="577" t="e">
        <f t="shared" si="1287"/>
        <v>#DIV/0!</v>
      </c>
      <c r="Y617" s="577" t="e">
        <f t="shared" si="1287"/>
        <v>#DIV/0!</v>
      </c>
      <c r="Z617" s="577" t="e">
        <f t="shared" si="1287"/>
        <v>#DIV/0!</v>
      </c>
      <c r="AA617" s="577" t="e">
        <f t="shared" si="1287"/>
        <v>#DIV/0!</v>
      </c>
      <c r="AB617" s="577" t="e">
        <f t="shared" si="1287"/>
        <v>#DIV/0!</v>
      </c>
      <c r="AC617" s="577" t="e">
        <f t="shared" si="1287"/>
        <v>#DIV/0!</v>
      </c>
      <c r="AD617" s="577" t="e">
        <f t="shared" si="1287"/>
        <v>#DIV/0!</v>
      </c>
      <c r="AE617" s="577" t="e">
        <f t="shared" si="1287"/>
        <v>#DIV/0!</v>
      </c>
      <c r="AF617" s="577" t="e">
        <f t="shared" si="1287"/>
        <v>#DIV/0!</v>
      </c>
      <c r="AG617" s="577" t="e">
        <f t="shared" si="1287"/>
        <v>#DIV/0!</v>
      </c>
      <c r="AH617" s="752" t="e">
        <f t="shared" si="1287"/>
        <v>#DIV/0!</v>
      </c>
      <c r="AI617" s="18"/>
      <c r="AJ617" s="18"/>
      <c r="AK617" s="18"/>
      <c r="AL617" s="18"/>
      <c r="AM617" s="18"/>
      <c r="AN617" s="18"/>
    </row>
    <row r="618" spans="2:40" ht="21.95" customHeight="1" x14ac:dyDescent="0.2">
      <c r="B618" s="232"/>
      <c r="C618" s="715"/>
      <c r="D618" s="715"/>
      <c r="E618" s="220" t="s">
        <v>357</v>
      </c>
      <c r="F618" s="220" t="s">
        <v>338</v>
      </c>
      <c r="G618" s="220" t="s">
        <v>323</v>
      </c>
      <c r="H618" s="116" t="s">
        <v>20</v>
      </c>
      <c r="I618" s="577">
        <f t="shared" ref="I618:AH618" si="1288">I527*$D$13</f>
        <v>239847.09510375321</v>
      </c>
      <c r="J618" s="577">
        <f t="shared" si="1288"/>
        <v>243141.79949287605</v>
      </c>
      <c r="K618" s="577">
        <f t="shared" si="1288"/>
        <v>248837.27895771438</v>
      </c>
      <c r="L618" s="577">
        <f t="shared" si="1288"/>
        <v>256658.00199963083</v>
      </c>
      <c r="M618" s="577">
        <f t="shared" si="1288"/>
        <v>264484.20455443003</v>
      </c>
      <c r="N618" s="577">
        <f t="shared" si="1288"/>
        <v>272324.56189214514</v>
      </c>
      <c r="O618" s="577">
        <f t="shared" si="1288"/>
        <v>280153.89540272794</v>
      </c>
      <c r="P618" s="577">
        <f t="shared" si="1288"/>
        <v>288015.32918986556</v>
      </c>
      <c r="Q618" s="577">
        <f t="shared" si="1288"/>
        <v>293470.5837275557</v>
      </c>
      <c r="R618" s="577">
        <f t="shared" si="1288"/>
        <v>298929.95765609021</v>
      </c>
      <c r="S618" s="577">
        <f t="shared" si="1288"/>
        <v>304394.07260531973</v>
      </c>
      <c r="T618" s="577">
        <f t="shared" si="1288"/>
        <v>309861.637425469</v>
      </c>
      <c r="U618" s="577">
        <f t="shared" si="1288"/>
        <v>315373.7277458171</v>
      </c>
      <c r="V618" s="577">
        <f t="shared" si="1288"/>
        <v>318691.09713864798</v>
      </c>
      <c r="W618" s="577">
        <f t="shared" si="1288"/>
        <v>322011.11031039793</v>
      </c>
      <c r="X618" s="577">
        <f t="shared" si="1288"/>
        <v>325334.02389409143</v>
      </c>
      <c r="Y618" s="577">
        <f t="shared" si="1288"/>
        <v>328660.11621441267</v>
      </c>
      <c r="Z618" s="577">
        <f t="shared" si="1288"/>
        <v>332012.604060994</v>
      </c>
      <c r="AA618" s="577">
        <f t="shared" si="1288"/>
        <v>335346.0119041357</v>
      </c>
      <c r="AB618" s="577">
        <f t="shared" si="1288"/>
        <v>338696.42145997018</v>
      </c>
      <c r="AC618" s="577">
        <f t="shared" si="1288"/>
        <v>342038.55914763524</v>
      </c>
      <c r="AD618" s="577">
        <f t="shared" si="1288"/>
        <v>345385.66017297388</v>
      </c>
      <c r="AE618" s="577">
        <f t="shared" si="1288"/>
        <v>348761.25195278763</v>
      </c>
      <c r="AF618" s="577">
        <f t="shared" si="1288"/>
        <v>352119.70035427826</v>
      </c>
      <c r="AG618" s="577">
        <f t="shared" si="1288"/>
        <v>355484.56770656252</v>
      </c>
      <c r="AH618" s="752">
        <f t="shared" si="1288"/>
        <v>358869.39099513419</v>
      </c>
      <c r="AI618" s="18"/>
      <c r="AJ618" s="18"/>
      <c r="AK618" s="18"/>
      <c r="AL618" s="18"/>
      <c r="AM618" s="18"/>
      <c r="AN618" s="18"/>
    </row>
    <row r="619" spans="2:40" ht="21.95" customHeight="1" x14ac:dyDescent="0.2">
      <c r="B619" s="232"/>
      <c r="C619" s="715"/>
      <c r="D619" s="715"/>
      <c r="E619" s="116"/>
      <c r="F619" s="116"/>
      <c r="G619" s="116"/>
      <c r="H619" s="124" t="s">
        <v>19</v>
      </c>
      <c r="I619" s="577">
        <f t="shared" ref="I619:AH619" si="1289">I528*$D$14</f>
        <v>990068.27383890992</v>
      </c>
      <c r="J619" s="577">
        <f t="shared" si="1289"/>
        <v>1003668.5314777914</v>
      </c>
      <c r="K619" s="577">
        <f t="shared" si="1289"/>
        <v>1027178.9830844625</v>
      </c>
      <c r="L619" s="577">
        <f t="shared" si="1289"/>
        <v>1059462.2582224538</v>
      </c>
      <c r="M619" s="577">
        <f t="shared" si="1289"/>
        <v>1091768.1523204909</v>
      </c>
      <c r="N619" s="577">
        <f t="shared" si="1289"/>
        <v>1124132.476150529</v>
      </c>
      <c r="O619" s="577">
        <f t="shared" si="1289"/>
        <v>1156451.294565981</v>
      </c>
      <c r="P619" s="577">
        <f t="shared" si="1289"/>
        <v>1188902.6201747539</v>
      </c>
      <c r="Q619" s="577">
        <f t="shared" si="1289"/>
        <v>1211421.4438492551</v>
      </c>
      <c r="R619" s="577">
        <f t="shared" si="1289"/>
        <v>1233957.2720164761</v>
      </c>
      <c r="S619" s="577">
        <f t="shared" si="1289"/>
        <v>1256512.6707112193</v>
      </c>
      <c r="T619" s="577">
        <f t="shared" si="1289"/>
        <v>1279082.3101777544</v>
      </c>
      <c r="U619" s="577">
        <f t="shared" si="1289"/>
        <v>1301835.7470970154</v>
      </c>
      <c r="V619" s="577">
        <f t="shared" si="1289"/>
        <v>1315529.5639307166</v>
      </c>
      <c r="W619" s="577">
        <f t="shared" si="1289"/>
        <v>1329234.2940574458</v>
      </c>
      <c r="X619" s="577">
        <f t="shared" si="1289"/>
        <v>1342950.9968363564</v>
      </c>
      <c r="Y619" s="577">
        <f t="shared" si="1289"/>
        <v>1356680.8211679158</v>
      </c>
      <c r="Z619" s="577">
        <f t="shared" si="1289"/>
        <v>1370519.603971997</v>
      </c>
      <c r="AA619" s="577">
        <f t="shared" si="1289"/>
        <v>1384279.6261554332</v>
      </c>
      <c r="AB619" s="577">
        <f t="shared" si="1289"/>
        <v>1398109.8299532465</v>
      </c>
      <c r="AC619" s="577">
        <f t="shared" si="1289"/>
        <v>1411905.8881874611</v>
      </c>
      <c r="AD619" s="577">
        <f t="shared" si="1289"/>
        <v>1425722.4346546507</v>
      </c>
      <c r="AE619" s="577">
        <f t="shared" si="1289"/>
        <v>1439656.5885170493</v>
      </c>
      <c r="AF619" s="577">
        <f t="shared" si="1289"/>
        <v>1453519.9759814774</v>
      </c>
      <c r="AG619" s="577">
        <f t="shared" si="1289"/>
        <v>1467409.8603252165</v>
      </c>
      <c r="AH619" s="752">
        <f t="shared" si="1289"/>
        <v>1481382.1210654029</v>
      </c>
      <c r="AI619" s="18"/>
      <c r="AJ619" s="18"/>
      <c r="AK619" s="18"/>
      <c r="AL619" s="18"/>
      <c r="AM619" s="18"/>
      <c r="AN619" s="18"/>
    </row>
    <row r="620" spans="2:40" ht="21.95" customHeight="1" x14ac:dyDescent="0.2">
      <c r="B620" s="232"/>
      <c r="C620" s="715"/>
      <c r="D620" s="715"/>
      <c r="E620" s="254"/>
      <c r="F620" s="254"/>
      <c r="G620" s="254"/>
      <c r="H620" s="721" t="s">
        <v>25</v>
      </c>
      <c r="I620" s="577">
        <f t="shared" ref="I620:AH620" si="1290">SUM(I618:I619)</f>
        <v>1229915.3689426631</v>
      </c>
      <c r="J620" s="577">
        <f t="shared" si="1290"/>
        <v>1246810.3309706673</v>
      </c>
      <c r="K620" s="577">
        <f t="shared" si="1290"/>
        <v>1276016.2620421769</v>
      </c>
      <c r="L620" s="577">
        <f t="shared" si="1290"/>
        <v>1316120.2602220846</v>
      </c>
      <c r="M620" s="577">
        <f t="shared" si="1290"/>
        <v>1356252.3568749209</v>
      </c>
      <c r="N620" s="577">
        <f t="shared" si="1290"/>
        <v>1396457.0380426741</v>
      </c>
      <c r="O620" s="577">
        <f t="shared" si="1290"/>
        <v>1436605.1899687089</v>
      </c>
      <c r="P620" s="577">
        <f t="shared" si="1290"/>
        <v>1476917.9493646196</v>
      </c>
      <c r="Q620" s="577">
        <f t="shared" si="1290"/>
        <v>1504892.0275768107</v>
      </c>
      <c r="R620" s="577">
        <f t="shared" si="1290"/>
        <v>1532887.2296725663</v>
      </c>
      <c r="S620" s="577">
        <f t="shared" si="1290"/>
        <v>1560906.7433165391</v>
      </c>
      <c r="T620" s="577">
        <f t="shared" si="1290"/>
        <v>1588943.9476032234</v>
      </c>
      <c r="U620" s="577">
        <f t="shared" si="1290"/>
        <v>1617209.4748428324</v>
      </c>
      <c r="V620" s="577">
        <f t="shared" si="1290"/>
        <v>1634220.6610693645</v>
      </c>
      <c r="W620" s="577">
        <f t="shared" si="1290"/>
        <v>1651245.4043678436</v>
      </c>
      <c r="X620" s="577">
        <f t="shared" si="1290"/>
        <v>1668285.0207304477</v>
      </c>
      <c r="Y620" s="577">
        <f t="shared" si="1290"/>
        <v>1685340.9373823286</v>
      </c>
      <c r="Z620" s="577">
        <f t="shared" si="1290"/>
        <v>1702532.208032991</v>
      </c>
      <c r="AA620" s="577">
        <f t="shared" si="1290"/>
        <v>1719625.6380595691</v>
      </c>
      <c r="AB620" s="577">
        <f t="shared" si="1290"/>
        <v>1736806.2514132168</v>
      </c>
      <c r="AC620" s="577">
        <f t="shared" si="1290"/>
        <v>1753944.4473350963</v>
      </c>
      <c r="AD620" s="577">
        <f t="shared" si="1290"/>
        <v>1771108.0948276245</v>
      </c>
      <c r="AE620" s="577">
        <f t="shared" si="1290"/>
        <v>1788417.840469837</v>
      </c>
      <c r="AF620" s="577">
        <f t="shared" si="1290"/>
        <v>1805639.6763357557</v>
      </c>
      <c r="AG620" s="577">
        <f t="shared" si="1290"/>
        <v>1822894.4280317791</v>
      </c>
      <c r="AH620" s="752">
        <f t="shared" si="1290"/>
        <v>1840251.512060537</v>
      </c>
      <c r="AI620" s="18"/>
      <c r="AJ620" s="18"/>
      <c r="AK620" s="18"/>
      <c r="AL620" s="18"/>
      <c r="AM620" s="18"/>
      <c r="AN620" s="18"/>
    </row>
    <row r="621" spans="2:40" ht="21.95" customHeight="1" x14ac:dyDescent="0.2">
      <c r="B621" s="232"/>
      <c r="C621" s="715"/>
      <c r="D621" s="715"/>
      <c r="E621" s="116" t="s">
        <v>338</v>
      </c>
      <c r="F621" s="116" t="s">
        <v>282</v>
      </c>
      <c r="G621" s="116" t="s">
        <v>357</v>
      </c>
      <c r="H621" s="116" t="s">
        <v>20</v>
      </c>
      <c r="I621" s="577">
        <f t="shared" ref="I621:AH621" si="1291">I530*$D$13</f>
        <v>491535.83458035038</v>
      </c>
      <c r="J621" s="577">
        <f t="shared" si="1291"/>
        <v>505705.34753371071</v>
      </c>
      <c r="K621" s="577">
        <f t="shared" si="1291"/>
        <v>521042.26263568125</v>
      </c>
      <c r="L621" s="577">
        <f t="shared" si="1291"/>
        <v>541389.41516045295</v>
      </c>
      <c r="M621" s="577">
        <f t="shared" si="1291"/>
        <v>561740.02111641783</v>
      </c>
      <c r="N621" s="577">
        <f t="shared" si="1291"/>
        <v>582099.00086874317</v>
      </c>
      <c r="O621" s="577">
        <f t="shared" si="1291"/>
        <v>602446.20804140775</v>
      </c>
      <c r="P621" s="577">
        <f t="shared" si="1291"/>
        <v>622798.85524386656</v>
      </c>
      <c r="Q621" s="577">
        <f t="shared" si="1291"/>
        <v>645194.38899175054</v>
      </c>
      <c r="R621" s="577">
        <f t="shared" si="1291"/>
        <v>667582.6239491771</v>
      </c>
      <c r="S621" s="577">
        <f t="shared" si="1291"/>
        <v>689978.33302594337</v>
      </c>
      <c r="T621" s="577">
        <f t="shared" si="1291"/>
        <v>712374.17798392603</v>
      </c>
      <c r="U621" s="577">
        <f t="shared" si="1291"/>
        <v>734782.98438633909</v>
      </c>
      <c r="V621" s="577">
        <f t="shared" si="1291"/>
        <v>752166.83093222335</v>
      </c>
      <c r="W621" s="577">
        <f t="shared" si="1291"/>
        <v>766337.01967636321</v>
      </c>
      <c r="X621" s="577">
        <f t="shared" si="1291"/>
        <v>780507.34771854978</v>
      </c>
      <c r="Y621" s="577">
        <f t="shared" si="1291"/>
        <v>794677.84001965355</v>
      </c>
      <c r="Z621" s="577">
        <f t="shared" si="1291"/>
        <v>808847.05069637904</v>
      </c>
      <c r="AA621" s="577">
        <f t="shared" si="1291"/>
        <v>823017.96248702006</v>
      </c>
      <c r="AB621" s="577">
        <f t="shared" si="1291"/>
        <v>837187.66415872111</v>
      </c>
      <c r="AC621" s="577">
        <f t="shared" si="1291"/>
        <v>851359.14920484752</v>
      </c>
      <c r="AD621" s="577">
        <f t="shared" si="1291"/>
        <v>865530.99315897608</v>
      </c>
      <c r="AE621" s="577">
        <f t="shared" si="1291"/>
        <v>879701.77856384777</v>
      </c>
      <c r="AF621" s="577">
        <f t="shared" si="1291"/>
        <v>893874.52069996309</v>
      </c>
      <c r="AG621" s="577">
        <f t="shared" si="1291"/>
        <v>908047.81919631211</v>
      </c>
      <c r="AH621" s="752">
        <f t="shared" si="1291"/>
        <v>922220.28351653437</v>
      </c>
      <c r="AI621" s="18"/>
      <c r="AJ621" s="18"/>
      <c r="AK621" s="18"/>
      <c r="AL621" s="18"/>
      <c r="AM621" s="18"/>
      <c r="AN621" s="18"/>
    </row>
    <row r="622" spans="2:40" ht="21.95" customHeight="1" x14ac:dyDescent="0.2">
      <c r="B622" s="232"/>
      <c r="C622" s="715"/>
      <c r="D622" s="715"/>
      <c r="E622" s="116"/>
      <c r="F622" s="116"/>
      <c r="G622" s="116"/>
      <c r="H622" s="124" t="s">
        <v>19</v>
      </c>
      <c r="I622" s="577">
        <f t="shared" ref="I622:AH622" si="1292">I531*$D$14</f>
        <v>2029017.8418146709</v>
      </c>
      <c r="J622" s="577">
        <f t="shared" si="1292"/>
        <v>2087508.3781490924</v>
      </c>
      <c r="K622" s="577">
        <f t="shared" si="1292"/>
        <v>2150817.850604672</v>
      </c>
      <c r="L622" s="577">
        <f t="shared" si="1292"/>
        <v>2234809.1541850776</v>
      </c>
      <c r="M622" s="577">
        <f t="shared" si="1292"/>
        <v>2318814.7132337797</v>
      </c>
      <c r="N622" s="577">
        <f t="shared" si="1292"/>
        <v>2402854.8385969265</v>
      </c>
      <c r="O622" s="577">
        <f t="shared" si="1292"/>
        <v>2486846.3677591556</v>
      </c>
      <c r="P622" s="577">
        <f t="shared" si="1292"/>
        <v>2570860.3528986215</v>
      </c>
      <c r="Q622" s="577">
        <f t="shared" si="1292"/>
        <v>2663307.1987938229</v>
      </c>
      <c r="R622" s="577">
        <f t="shared" si="1292"/>
        <v>2755723.9159069103</v>
      </c>
      <c r="S622" s="577">
        <f t="shared" si="1292"/>
        <v>2848171.4855447276</v>
      </c>
      <c r="T622" s="577">
        <f t="shared" si="1292"/>
        <v>2940619.6160885724</v>
      </c>
      <c r="U622" s="577">
        <f t="shared" si="1292"/>
        <v>3033121.2503653183</v>
      </c>
      <c r="V622" s="577">
        <f t="shared" si="1292"/>
        <v>3104880.2805712875</v>
      </c>
      <c r="W622" s="577">
        <f t="shared" si="1292"/>
        <v>3163373.6065121884</v>
      </c>
      <c r="X622" s="577">
        <f t="shared" si="1292"/>
        <v>3221867.5074635004</v>
      </c>
      <c r="Y622" s="577">
        <f t="shared" si="1292"/>
        <v>3280362.0864615589</v>
      </c>
      <c r="Z622" s="577">
        <f t="shared" si="1292"/>
        <v>3338851.3750239112</v>
      </c>
      <c r="AA622" s="577">
        <f t="shared" si="1292"/>
        <v>3397347.685638865</v>
      </c>
      <c r="AB622" s="577">
        <f t="shared" si="1292"/>
        <v>3455839.0009864392</v>
      </c>
      <c r="AC622" s="577">
        <f t="shared" si="1292"/>
        <v>3514337.6779509564</v>
      </c>
      <c r="AD622" s="577">
        <f t="shared" si="1292"/>
        <v>3572837.8364569787</v>
      </c>
      <c r="AE622" s="577">
        <f t="shared" si="1292"/>
        <v>3631333.6253622966</v>
      </c>
      <c r="AF622" s="577">
        <f t="shared" si="1292"/>
        <v>3689837.4914866611</v>
      </c>
      <c r="AG622" s="577">
        <f t="shared" si="1292"/>
        <v>3748343.6542184367</v>
      </c>
      <c r="AH622" s="752">
        <f t="shared" si="1292"/>
        <v>3806846.3735425803</v>
      </c>
      <c r="AI622" s="18"/>
      <c r="AJ622" s="18"/>
      <c r="AK622" s="18"/>
      <c r="AL622" s="18"/>
      <c r="AM622" s="18"/>
      <c r="AN622" s="18"/>
    </row>
    <row r="623" spans="2:40" ht="21.95" customHeight="1" x14ac:dyDescent="0.2">
      <c r="B623" s="232"/>
      <c r="C623" s="715"/>
      <c r="D623" s="715"/>
      <c r="E623" s="116"/>
      <c r="F623" s="116"/>
      <c r="G623" s="116"/>
      <c r="H623" s="721" t="s">
        <v>25</v>
      </c>
      <c r="I623" s="577">
        <f t="shared" ref="I623:AH623" si="1293">SUM(I621:I622)</f>
        <v>2520553.6763950214</v>
      </c>
      <c r="J623" s="577">
        <f t="shared" si="1293"/>
        <v>2593213.725682803</v>
      </c>
      <c r="K623" s="577">
        <f t="shared" si="1293"/>
        <v>2671860.1132403533</v>
      </c>
      <c r="L623" s="577">
        <f t="shared" si="1293"/>
        <v>2776198.5693455306</v>
      </c>
      <c r="M623" s="577">
        <f t="shared" si="1293"/>
        <v>2880554.7343501975</v>
      </c>
      <c r="N623" s="577">
        <f t="shared" si="1293"/>
        <v>2984953.8394656698</v>
      </c>
      <c r="O623" s="577">
        <f t="shared" si="1293"/>
        <v>3089292.5758005632</v>
      </c>
      <c r="P623" s="577">
        <f t="shared" si="1293"/>
        <v>3193659.2081424883</v>
      </c>
      <c r="Q623" s="577">
        <f t="shared" si="1293"/>
        <v>3308501.5877855737</v>
      </c>
      <c r="R623" s="577">
        <f t="shared" si="1293"/>
        <v>3423306.5398560874</v>
      </c>
      <c r="S623" s="577">
        <f t="shared" si="1293"/>
        <v>3538149.8185706711</v>
      </c>
      <c r="T623" s="577">
        <f t="shared" si="1293"/>
        <v>3652993.7940724986</v>
      </c>
      <c r="U623" s="577">
        <f t="shared" si="1293"/>
        <v>3767904.2347516576</v>
      </c>
      <c r="V623" s="577">
        <f t="shared" si="1293"/>
        <v>3857047.1115035107</v>
      </c>
      <c r="W623" s="577">
        <f t="shared" si="1293"/>
        <v>3929710.6261885515</v>
      </c>
      <c r="X623" s="577">
        <f t="shared" si="1293"/>
        <v>4002374.8551820503</v>
      </c>
      <c r="Y623" s="577">
        <f t="shared" si="1293"/>
        <v>4075039.9264812125</v>
      </c>
      <c r="Z623" s="577">
        <f t="shared" si="1293"/>
        <v>4147698.4257202903</v>
      </c>
      <c r="AA623" s="577">
        <f t="shared" si="1293"/>
        <v>4220365.6481258851</v>
      </c>
      <c r="AB623" s="577">
        <f t="shared" si="1293"/>
        <v>4293026.6651451606</v>
      </c>
      <c r="AC623" s="577">
        <f t="shared" si="1293"/>
        <v>4365696.8271558043</v>
      </c>
      <c r="AD623" s="577">
        <f t="shared" si="1293"/>
        <v>4438368.8296159543</v>
      </c>
      <c r="AE623" s="577">
        <f t="shared" si="1293"/>
        <v>4511035.4039261444</v>
      </c>
      <c r="AF623" s="577">
        <f t="shared" si="1293"/>
        <v>4583712.0121866241</v>
      </c>
      <c r="AG623" s="577">
        <f t="shared" si="1293"/>
        <v>4656391.4734147489</v>
      </c>
      <c r="AH623" s="752">
        <f t="shared" si="1293"/>
        <v>4729066.6570591144</v>
      </c>
      <c r="AI623" s="18"/>
      <c r="AJ623" s="18"/>
      <c r="AK623" s="18"/>
      <c r="AL623" s="18"/>
      <c r="AM623" s="18"/>
      <c r="AN623" s="18"/>
    </row>
    <row r="624" spans="2:40" ht="21.95" customHeight="1" x14ac:dyDescent="0.2">
      <c r="B624" s="232"/>
      <c r="C624" s="715"/>
      <c r="D624" s="715"/>
      <c r="E624" s="116"/>
      <c r="F624" s="116" t="s">
        <v>357</v>
      </c>
      <c r="G624" s="116" t="s">
        <v>346</v>
      </c>
      <c r="H624" s="116" t="s">
        <v>20</v>
      </c>
      <c r="I624" s="577">
        <f t="shared" ref="I624:AH624" si="1294">I533*$D$13</f>
        <v>71585.628922131946</v>
      </c>
      <c r="J624" s="577">
        <f t="shared" si="1294"/>
        <v>73617.342187777162</v>
      </c>
      <c r="K624" s="577">
        <f t="shared" si="1294"/>
        <v>75872.007055815033</v>
      </c>
      <c r="L624" s="577">
        <f t="shared" si="1294"/>
        <v>79036.657273831734</v>
      </c>
      <c r="M624" s="577">
        <f t="shared" si="1294"/>
        <v>82201.87278009014</v>
      </c>
      <c r="N624" s="577">
        <f t="shared" si="1294"/>
        <v>85367.747824887003</v>
      </c>
      <c r="O624" s="577">
        <f t="shared" si="1294"/>
        <v>88532.398655093988</v>
      </c>
      <c r="P624" s="577">
        <f t="shared" si="1294"/>
        <v>91697.238252255091</v>
      </c>
      <c r="Q624" s="577">
        <f t="shared" si="1294"/>
        <v>95254.386727733974</v>
      </c>
      <c r="R624" s="577">
        <f t="shared" si="1294"/>
        <v>98810.311648120929</v>
      </c>
      <c r="S624" s="577">
        <f t="shared" si="1294"/>
        <v>102367.46236298673</v>
      </c>
      <c r="T624" s="577">
        <f t="shared" si="1294"/>
        <v>105924.61486771717</v>
      </c>
      <c r="U624" s="577">
        <f t="shared" si="1294"/>
        <v>109482.33495665723</v>
      </c>
      <c r="V624" s="577">
        <f t="shared" si="1294"/>
        <v>112129.881339948</v>
      </c>
      <c r="W624" s="577">
        <f t="shared" si="1294"/>
        <v>114161.60246900553</v>
      </c>
      <c r="X624" s="577">
        <f t="shared" si="1294"/>
        <v>116193.32514774241</v>
      </c>
      <c r="Y624" s="577">
        <f t="shared" si="1294"/>
        <v>118225.04964270614</v>
      </c>
      <c r="Z624" s="577">
        <f t="shared" si="1294"/>
        <v>120255.74014517467</v>
      </c>
      <c r="AA624" s="577">
        <f t="shared" si="1294"/>
        <v>122287.46923593366</v>
      </c>
      <c r="AB624" s="577">
        <f t="shared" si="1294"/>
        <v>124318.16508524213</v>
      </c>
      <c r="AC624" s="577">
        <f t="shared" si="1294"/>
        <v>126349.90038732081</v>
      </c>
      <c r="AD624" s="577">
        <f t="shared" si="1294"/>
        <v>128381.63954941016</v>
      </c>
      <c r="AE624" s="577">
        <f t="shared" si="1294"/>
        <v>130412.34704267178</v>
      </c>
      <c r="AF624" s="577">
        <f t="shared" si="1294"/>
        <v>132444.09578950031</v>
      </c>
      <c r="AG624" s="577">
        <f t="shared" si="1294"/>
        <v>134475.85043351405</v>
      </c>
      <c r="AH624" s="752">
        <f t="shared" si="1294"/>
        <v>136506.57570612439</v>
      </c>
      <c r="AI624" s="18"/>
      <c r="AJ624" s="18"/>
      <c r="AK624" s="18"/>
      <c r="AL624" s="18"/>
      <c r="AM624" s="18"/>
      <c r="AN624" s="18"/>
    </row>
    <row r="625" spans="2:41" ht="21.95" customHeight="1" x14ac:dyDescent="0.2">
      <c r="B625" s="232"/>
      <c r="C625" s="715"/>
      <c r="D625" s="715"/>
      <c r="E625" s="116"/>
      <c r="F625" s="116"/>
      <c r="G625" s="116"/>
      <c r="H625" s="124" t="s">
        <v>19</v>
      </c>
      <c r="I625" s="577">
        <f t="shared" ref="I625:AH625" si="1295">I534*$D$14</f>
        <v>295499.34731520893</v>
      </c>
      <c r="J625" s="577">
        <f t="shared" si="1295"/>
        <v>303886.0857286253</v>
      </c>
      <c r="K625" s="577">
        <f t="shared" si="1295"/>
        <v>313193.1492684937</v>
      </c>
      <c r="L625" s="577">
        <f t="shared" si="1295"/>
        <v>326256.55442376714</v>
      </c>
      <c r="M625" s="577">
        <f t="shared" si="1295"/>
        <v>339322.29304050456</v>
      </c>
      <c r="N625" s="577">
        <f t="shared" si="1295"/>
        <v>352390.75417586172</v>
      </c>
      <c r="O625" s="577">
        <f t="shared" si="1295"/>
        <v>365454.16185820429</v>
      </c>
      <c r="P625" s="577">
        <f t="shared" si="1295"/>
        <v>378518.34875437187</v>
      </c>
      <c r="Q625" s="577">
        <f t="shared" si="1295"/>
        <v>393201.9531123176</v>
      </c>
      <c r="R625" s="577">
        <f t="shared" si="1295"/>
        <v>407880.50673959969</v>
      </c>
      <c r="S625" s="577">
        <f t="shared" si="1295"/>
        <v>422564.12034154288</v>
      </c>
      <c r="T625" s="577">
        <f t="shared" si="1295"/>
        <v>437247.74133189407</v>
      </c>
      <c r="U625" s="577">
        <f t="shared" si="1295"/>
        <v>451933.70526126819</v>
      </c>
      <c r="V625" s="577">
        <f t="shared" si="1295"/>
        <v>462862.55005915597</v>
      </c>
      <c r="W625" s="577">
        <f t="shared" si="1295"/>
        <v>471249.32093206514</v>
      </c>
      <c r="X625" s="577">
        <f t="shared" si="1295"/>
        <v>479636.09820191789</v>
      </c>
      <c r="Y625" s="577">
        <f t="shared" si="1295"/>
        <v>488022.88296899974</v>
      </c>
      <c r="Z625" s="577">
        <f t="shared" si="1295"/>
        <v>496405.39950358763</v>
      </c>
      <c r="AA625" s="577">
        <f t="shared" si="1295"/>
        <v>504792.20324171876</v>
      </c>
      <c r="AB625" s="577">
        <f t="shared" si="1295"/>
        <v>513174.74184760411</v>
      </c>
      <c r="AC625" s="577">
        <f t="shared" si="1295"/>
        <v>521561.57122553117</v>
      </c>
      <c r="AD625" s="577">
        <f t="shared" si="1295"/>
        <v>529948.41653725179</v>
      </c>
      <c r="AE625" s="577">
        <f t="shared" si="1295"/>
        <v>538331.00320837891</v>
      </c>
      <c r="AF625" s="577">
        <f t="shared" si="1295"/>
        <v>546717.88808508206</v>
      </c>
      <c r="AG625" s="577">
        <f t="shared" si="1295"/>
        <v>555104.79730486113</v>
      </c>
      <c r="AH625" s="752">
        <f t="shared" si="1295"/>
        <v>563487.45736761752</v>
      </c>
      <c r="AI625" s="18"/>
      <c r="AJ625" s="18"/>
      <c r="AK625" s="18"/>
      <c r="AL625" s="18"/>
      <c r="AM625" s="18"/>
      <c r="AN625" s="18"/>
    </row>
    <row r="626" spans="2:41" ht="21.95" customHeight="1" x14ac:dyDescent="0.2">
      <c r="B626" s="232"/>
      <c r="C626" s="715"/>
      <c r="D626" s="715"/>
      <c r="E626" s="116"/>
      <c r="F626" s="116"/>
      <c r="G626" s="116"/>
      <c r="H626" s="721" t="s">
        <v>25</v>
      </c>
      <c r="I626" s="577">
        <f t="shared" ref="I626:AH626" si="1296">SUM(I624:I625)</f>
        <v>367084.97623734089</v>
      </c>
      <c r="J626" s="577">
        <f t="shared" si="1296"/>
        <v>377503.42791640246</v>
      </c>
      <c r="K626" s="577">
        <f t="shared" si="1296"/>
        <v>389065.15632430871</v>
      </c>
      <c r="L626" s="577">
        <f t="shared" si="1296"/>
        <v>405293.21169759886</v>
      </c>
      <c r="M626" s="577">
        <f t="shared" si="1296"/>
        <v>421524.1658205947</v>
      </c>
      <c r="N626" s="577">
        <f t="shared" si="1296"/>
        <v>437758.5020007487</v>
      </c>
      <c r="O626" s="577">
        <f t="shared" si="1296"/>
        <v>453986.56051329826</v>
      </c>
      <c r="P626" s="577">
        <f t="shared" si="1296"/>
        <v>470215.58700662694</v>
      </c>
      <c r="Q626" s="577">
        <f t="shared" si="1296"/>
        <v>488456.3398400516</v>
      </c>
      <c r="R626" s="577">
        <f t="shared" si="1296"/>
        <v>506690.81838772062</v>
      </c>
      <c r="S626" s="577">
        <f t="shared" si="1296"/>
        <v>524931.58270452963</v>
      </c>
      <c r="T626" s="577">
        <f t="shared" si="1296"/>
        <v>543172.35619961121</v>
      </c>
      <c r="U626" s="577">
        <f t="shared" si="1296"/>
        <v>561416.04021792545</v>
      </c>
      <c r="V626" s="577">
        <f t="shared" si="1296"/>
        <v>574992.43139910395</v>
      </c>
      <c r="W626" s="577">
        <f t="shared" si="1296"/>
        <v>585410.92340107064</v>
      </c>
      <c r="X626" s="577">
        <f t="shared" si="1296"/>
        <v>595829.42334966036</v>
      </c>
      <c r="Y626" s="577">
        <f t="shared" si="1296"/>
        <v>606247.93261170585</v>
      </c>
      <c r="Z626" s="577">
        <f t="shared" si="1296"/>
        <v>616661.1396487623</v>
      </c>
      <c r="AA626" s="577">
        <f t="shared" si="1296"/>
        <v>627079.67247765244</v>
      </c>
      <c r="AB626" s="577">
        <f t="shared" si="1296"/>
        <v>637492.90693284618</v>
      </c>
      <c r="AC626" s="577">
        <f t="shared" si="1296"/>
        <v>647911.47161285195</v>
      </c>
      <c r="AD626" s="577">
        <f t="shared" si="1296"/>
        <v>658330.05608666199</v>
      </c>
      <c r="AE626" s="577">
        <f t="shared" si="1296"/>
        <v>668743.35025105067</v>
      </c>
      <c r="AF626" s="577">
        <f t="shared" si="1296"/>
        <v>679161.98387458234</v>
      </c>
      <c r="AG626" s="577">
        <f t="shared" si="1296"/>
        <v>689580.64773837524</v>
      </c>
      <c r="AH626" s="752">
        <f t="shared" si="1296"/>
        <v>699994.03307374194</v>
      </c>
      <c r="AI626" s="18"/>
      <c r="AJ626" s="18"/>
      <c r="AK626" s="18"/>
      <c r="AL626" s="18"/>
      <c r="AM626" s="18"/>
      <c r="AN626" s="18"/>
    </row>
    <row r="627" spans="2:41" ht="21.95" customHeight="1" x14ac:dyDescent="0.2">
      <c r="B627" s="232"/>
      <c r="C627" s="715"/>
      <c r="D627" s="715"/>
      <c r="E627" s="116"/>
      <c r="F627" s="116" t="s">
        <v>346</v>
      </c>
      <c r="G627" s="116" t="s">
        <v>343</v>
      </c>
      <c r="H627" s="116" t="s">
        <v>20</v>
      </c>
      <c r="I627" s="577">
        <f t="shared" ref="I627:AH627" si="1297">I536*$D$13</f>
        <v>21561.82037681057</v>
      </c>
      <c r="J627" s="577">
        <f t="shared" si="1297"/>
        <v>22173.778955288908</v>
      </c>
      <c r="K627" s="577">
        <f t="shared" si="1297"/>
        <v>22852.8912927458</v>
      </c>
      <c r="L627" s="577">
        <f t="shared" si="1297"/>
        <v>23806.094199511324</v>
      </c>
      <c r="M627" s="577">
        <f t="shared" si="1297"/>
        <v>24759.467444699345</v>
      </c>
      <c r="N627" s="577">
        <f t="shared" si="1297"/>
        <v>25713.039447210635</v>
      </c>
      <c r="O627" s="577">
        <f t="shared" si="1297"/>
        <v>26666.24285562861</v>
      </c>
      <c r="P627" s="577">
        <f t="shared" si="1297"/>
        <v>27619.50332011432</v>
      </c>
      <c r="Q627" s="577">
        <f t="shared" si="1297"/>
        <v>28690.928884653753</v>
      </c>
      <c r="R627" s="577">
        <f t="shared" si="1297"/>
        <v>29761.986395518114</v>
      </c>
      <c r="S627" s="577">
        <f t="shared" si="1297"/>
        <v>30833.413795098066</v>
      </c>
      <c r="T627" s="577">
        <f t="shared" si="1297"/>
        <v>31904.842661362505</v>
      </c>
      <c r="U627" s="577">
        <f t="shared" si="1297"/>
        <v>32976.443747454563</v>
      </c>
      <c r="V627" s="577">
        <f t="shared" si="1297"/>
        <v>33773.897545192114</v>
      </c>
      <c r="W627" s="577">
        <f t="shared" si="1297"/>
        <v>34385.862567255448</v>
      </c>
      <c r="X627" s="577">
        <f t="shared" si="1297"/>
        <v>34997.828859186106</v>
      </c>
      <c r="Y627" s="577">
        <f t="shared" si="1297"/>
        <v>35609.796639403539</v>
      </c>
      <c r="Z627" s="577">
        <f t="shared" si="1297"/>
        <v>36221.454073993948</v>
      </c>
      <c r="AA627" s="577">
        <f t="shared" si="1297"/>
        <v>36833.425620184236</v>
      </c>
      <c r="AB627" s="577">
        <f t="shared" si="1297"/>
        <v>37445.087436182628</v>
      </c>
      <c r="AC627" s="577">
        <f t="shared" si="1297"/>
        <v>38057.064072169174</v>
      </c>
      <c r="AD627" s="577">
        <f t="shared" si="1297"/>
        <v>38669.043871198104</v>
      </c>
      <c r="AE627" s="577">
        <f t="shared" si="1297"/>
        <v>39280.715228703368</v>
      </c>
      <c r="AF627" s="577">
        <f t="shared" si="1297"/>
        <v>39892.702881839272</v>
      </c>
      <c r="AG627" s="577">
        <f t="shared" si="1297"/>
        <v>40504.695367357497</v>
      </c>
      <c r="AH627" s="752">
        <f t="shared" si="1297"/>
        <v>41116.381293950573</v>
      </c>
      <c r="AI627" s="18"/>
      <c r="AJ627" s="18"/>
      <c r="AK627" s="18"/>
      <c r="AL627" s="18"/>
      <c r="AM627" s="18"/>
      <c r="AN627" s="18"/>
    </row>
    <row r="628" spans="2:41" ht="21.95" customHeight="1" x14ac:dyDescent="0.2">
      <c r="B628" s="232"/>
      <c r="C628" s="715"/>
      <c r="D628" s="715"/>
      <c r="E628" s="116"/>
      <c r="F628" s="116"/>
      <c r="G628" s="116"/>
      <c r="H628" s="124" t="s">
        <v>19</v>
      </c>
      <c r="I628" s="577">
        <f t="shared" ref="I628:AH628" si="1298">I537*$D$14</f>
        <v>89005.348478616696</v>
      </c>
      <c r="J628" s="577">
        <f t="shared" si="1298"/>
        <v>91531.461097128369</v>
      </c>
      <c r="K628" s="577">
        <f t="shared" si="1298"/>
        <v>94334.778683267155</v>
      </c>
      <c r="L628" s="577">
        <f t="shared" si="1298"/>
        <v>98269.518672973238</v>
      </c>
      <c r="M628" s="577">
        <f t="shared" si="1298"/>
        <v>102204.96180510367</v>
      </c>
      <c r="N628" s="577">
        <f t="shared" si="1298"/>
        <v>106141.22539044777</v>
      </c>
      <c r="O628" s="577">
        <f t="shared" si="1298"/>
        <v>110075.96745093221</v>
      </c>
      <c r="P628" s="577">
        <f t="shared" si="1298"/>
        <v>114010.94503397935</v>
      </c>
      <c r="Q628" s="577">
        <f t="shared" si="1298"/>
        <v>118433.69803322482</v>
      </c>
      <c r="R628" s="577">
        <f t="shared" si="1298"/>
        <v>122854.93173841086</v>
      </c>
      <c r="S628" s="577">
        <f t="shared" si="1298"/>
        <v>127277.69231254648</v>
      </c>
      <c r="T628" s="577">
        <f t="shared" si="1298"/>
        <v>131700.45894103008</v>
      </c>
      <c r="U628" s="577">
        <f t="shared" si="1298"/>
        <v>136123.93647821734</v>
      </c>
      <c r="V628" s="577">
        <f t="shared" si="1298"/>
        <v>139415.75748047198</v>
      </c>
      <c r="W628" s="577">
        <f t="shared" si="1298"/>
        <v>141941.89669755084</v>
      </c>
      <c r="X628" s="577">
        <f t="shared" si="1298"/>
        <v>144468.04115653326</v>
      </c>
      <c r="Y628" s="577">
        <f t="shared" si="1298"/>
        <v>146994.19175903613</v>
      </c>
      <c r="Z628" s="577">
        <f t="shared" si="1298"/>
        <v>149519.06128136118</v>
      </c>
      <c r="AA628" s="577">
        <f t="shared" si="1298"/>
        <v>152045.22742947756</v>
      </c>
      <c r="AB628" s="577">
        <f t="shared" si="1298"/>
        <v>154570.11503787962</v>
      </c>
      <c r="AC628" s="577">
        <f t="shared" si="1298"/>
        <v>157096.30219623918</v>
      </c>
      <c r="AD628" s="577">
        <f t="shared" si="1298"/>
        <v>159622.50241136688</v>
      </c>
      <c r="AE628" s="577">
        <f t="shared" si="1298"/>
        <v>162147.42940629239</v>
      </c>
      <c r="AF628" s="577">
        <f t="shared" si="1298"/>
        <v>164673.66204250127</v>
      </c>
      <c r="AG628" s="577">
        <f t="shared" si="1298"/>
        <v>167199.91462637059</v>
      </c>
      <c r="AH628" s="752">
        <f t="shared" si="1298"/>
        <v>169724.90176124327</v>
      </c>
      <c r="AI628" s="18"/>
      <c r="AJ628" s="18"/>
      <c r="AK628" s="18"/>
      <c r="AL628" s="18"/>
      <c r="AM628" s="18"/>
      <c r="AN628" s="18"/>
    </row>
    <row r="629" spans="2:41" ht="21.95" customHeight="1" x14ac:dyDescent="0.2">
      <c r="B629" s="232"/>
      <c r="C629" s="715"/>
      <c r="D629" s="715"/>
      <c r="E629" s="116"/>
      <c r="F629" s="116"/>
      <c r="G629" s="116"/>
      <c r="H629" s="721" t="s">
        <v>25</v>
      </c>
      <c r="I629" s="577">
        <f t="shared" ref="I629:AH629" si="1299">SUM(I627:I628)</f>
        <v>110567.16885542727</v>
      </c>
      <c r="J629" s="577">
        <f t="shared" si="1299"/>
        <v>113705.24005241727</v>
      </c>
      <c r="K629" s="577">
        <f t="shared" si="1299"/>
        <v>117187.66997601296</v>
      </c>
      <c r="L629" s="577">
        <f t="shared" si="1299"/>
        <v>122075.61287248456</v>
      </c>
      <c r="M629" s="577">
        <f t="shared" si="1299"/>
        <v>126964.42924980301</v>
      </c>
      <c r="N629" s="577">
        <f t="shared" si="1299"/>
        <v>131854.26483765841</v>
      </c>
      <c r="O629" s="577">
        <f t="shared" si="1299"/>
        <v>136742.21030656082</v>
      </c>
      <c r="P629" s="577">
        <f t="shared" si="1299"/>
        <v>141630.44835409368</v>
      </c>
      <c r="Q629" s="577">
        <f t="shared" si="1299"/>
        <v>147124.62691787857</v>
      </c>
      <c r="R629" s="577">
        <f t="shared" si="1299"/>
        <v>152616.91813392896</v>
      </c>
      <c r="S629" s="577">
        <f t="shared" si="1299"/>
        <v>158111.10610764456</v>
      </c>
      <c r="T629" s="577">
        <f t="shared" si="1299"/>
        <v>163605.30160239257</v>
      </c>
      <c r="U629" s="577">
        <f t="shared" si="1299"/>
        <v>169100.38022567189</v>
      </c>
      <c r="V629" s="577">
        <f t="shared" si="1299"/>
        <v>173189.65502566408</v>
      </c>
      <c r="W629" s="577">
        <f t="shared" si="1299"/>
        <v>176327.75926480629</v>
      </c>
      <c r="X629" s="577">
        <f t="shared" si="1299"/>
        <v>179465.87001571938</v>
      </c>
      <c r="Y629" s="577">
        <f t="shared" si="1299"/>
        <v>182603.98839843966</v>
      </c>
      <c r="Z629" s="577">
        <f t="shared" si="1299"/>
        <v>185740.51535535514</v>
      </c>
      <c r="AA629" s="577">
        <f t="shared" si="1299"/>
        <v>188878.65304966178</v>
      </c>
      <c r="AB629" s="577">
        <f t="shared" si="1299"/>
        <v>192015.20247406224</v>
      </c>
      <c r="AC629" s="577">
        <f t="shared" si="1299"/>
        <v>195153.36626840837</v>
      </c>
      <c r="AD629" s="577">
        <f t="shared" si="1299"/>
        <v>198291.54628256499</v>
      </c>
      <c r="AE629" s="577">
        <f t="shared" si="1299"/>
        <v>201428.14463499576</v>
      </c>
      <c r="AF629" s="577">
        <f t="shared" si="1299"/>
        <v>204566.36492434054</v>
      </c>
      <c r="AG629" s="577">
        <f t="shared" si="1299"/>
        <v>207704.60999372808</v>
      </c>
      <c r="AH629" s="752">
        <f t="shared" si="1299"/>
        <v>210841.28305519384</v>
      </c>
      <c r="AI629" s="18"/>
      <c r="AJ629" s="18"/>
      <c r="AK629" s="18"/>
      <c r="AL629" s="18"/>
      <c r="AM629" s="18"/>
      <c r="AN629" s="18"/>
    </row>
    <row r="630" spans="2:41" ht="21.95" customHeight="1" x14ac:dyDescent="0.2">
      <c r="B630" s="232"/>
      <c r="C630" s="715"/>
      <c r="D630" s="715"/>
      <c r="E630" s="116"/>
      <c r="F630" s="116" t="s">
        <v>343</v>
      </c>
      <c r="G630" s="116" t="s">
        <v>350</v>
      </c>
      <c r="H630" s="116" t="s">
        <v>20</v>
      </c>
      <c r="I630" s="577">
        <f t="shared" ref="I630:AH630" si="1300">I539*$D$13</f>
        <v>55323.091257919485</v>
      </c>
      <c r="J630" s="577">
        <f t="shared" si="1300"/>
        <v>56891.869732855761</v>
      </c>
      <c r="K630" s="577">
        <f t="shared" si="1300"/>
        <v>58679.451043407324</v>
      </c>
      <c r="L630" s="577">
        <f t="shared" si="1300"/>
        <v>60963.557120636899</v>
      </c>
      <c r="M630" s="577">
        <f t="shared" si="1300"/>
        <v>63248.400862551774</v>
      </c>
      <c r="N630" s="577">
        <f t="shared" si="1300"/>
        <v>65532.875816481719</v>
      </c>
      <c r="O630" s="577">
        <f t="shared" si="1300"/>
        <v>67816.981994660746</v>
      </c>
      <c r="P630" s="577">
        <f t="shared" si="1300"/>
        <v>70101.549259699095</v>
      </c>
      <c r="Q630" s="577">
        <f t="shared" si="1300"/>
        <v>72683.662678481283</v>
      </c>
      <c r="R630" s="577">
        <f t="shared" si="1300"/>
        <v>75265.684037774787</v>
      </c>
      <c r="S630" s="577">
        <f t="shared" si="1300"/>
        <v>77847.428980868382</v>
      </c>
      <c r="T630" s="577">
        <f t="shared" si="1300"/>
        <v>80429.54301458651</v>
      </c>
      <c r="U630" s="577">
        <f t="shared" si="1300"/>
        <v>83012.118436264485</v>
      </c>
      <c r="V630" s="577">
        <f t="shared" si="1300"/>
        <v>85097.615974007465</v>
      </c>
      <c r="W630" s="577">
        <f t="shared" si="1300"/>
        <v>86666.39574364532</v>
      </c>
      <c r="X630" s="577">
        <f t="shared" si="1300"/>
        <v>88235.175773822397</v>
      </c>
      <c r="Y630" s="577">
        <f t="shared" si="1300"/>
        <v>89803.956110174433</v>
      </c>
      <c r="Z630" s="577">
        <f t="shared" si="1300"/>
        <v>91372.275778827054</v>
      </c>
      <c r="AA630" s="577">
        <f t="shared" si="1300"/>
        <v>92941.056893087385</v>
      </c>
      <c r="AB630" s="577">
        <f t="shared" si="1300"/>
        <v>94509.377469214582</v>
      </c>
      <c r="AC630" s="577">
        <f t="shared" si="1300"/>
        <v>96078.159639969002</v>
      </c>
      <c r="AD630" s="577">
        <f t="shared" si="1300"/>
        <v>97646.942469421905</v>
      </c>
      <c r="AE630" s="577">
        <f t="shared" si="1300"/>
        <v>99215.265033509117</v>
      </c>
      <c r="AF630" s="577">
        <f t="shared" si="1300"/>
        <v>100784.04950423123</v>
      </c>
      <c r="AG630" s="577">
        <f t="shared" si="1300"/>
        <v>102352.83498776094</v>
      </c>
      <c r="AH630" s="752">
        <f t="shared" si="1300"/>
        <v>103921.16060674128</v>
      </c>
      <c r="AI630" s="18"/>
      <c r="AJ630" s="18"/>
      <c r="AK630" s="18"/>
      <c r="AL630" s="18"/>
      <c r="AM630" s="18"/>
      <c r="AN630" s="18"/>
    </row>
    <row r="631" spans="2:41" ht="21.95" customHeight="1" x14ac:dyDescent="0.2">
      <c r="B631" s="232"/>
      <c r="C631" s="715"/>
      <c r="D631" s="715"/>
      <c r="E631" s="116"/>
      <c r="F631" s="116"/>
      <c r="G631" s="116"/>
      <c r="H631" s="124" t="s">
        <v>19</v>
      </c>
      <c r="I631" s="577">
        <f t="shared" ref="I631:AH631" si="1301">I540*$D$14</f>
        <v>228368.98417079769</v>
      </c>
      <c r="J631" s="577">
        <f t="shared" si="1301"/>
        <v>234844.76740279354</v>
      </c>
      <c r="K631" s="577">
        <f t="shared" si="1301"/>
        <v>242223.75000718527</v>
      </c>
      <c r="L631" s="577">
        <f t="shared" si="1301"/>
        <v>251652.34433795841</v>
      </c>
      <c r="M631" s="577">
        <f t="shared" si="1301"/>
        <v>261083.98368539652</v>
      </c>
      <c r="N631" s="577">
        <f t="shared" si="1301"/>
        <v>270514.10070760699</v>
      </c>
      <c r="O631" s="577">
        <f t="shared" si="1301"/>
        <v>279942.69545509084</v>
      </c>
      <c r="P631" s="577">
        <f t="shared" si="1301"/>
        <v>289373.19352965354</v>
      </c>
      <c r="Q631" s="577">
        <f t="shared" si="1301"/>
        <v>300031.93665215874</v>
      </c>
      <c r="R631" s="577">
        <f t="shared" si="1301"/>
        <v>310690.29976097634</v>
      </c>
      <c r="S631" s="577">
        <f t="shared" si="1301"/>
        <v>321347.52184738638</v>
      </c>
      <c r="T631" s="577">
        <f t="shared" si="1301"/>
        <v>332006.26750829438</v>
      </c>
      <c r="U631" s="577">
        <f t="shared" si="1301"/>
        <v>342666.9177391986</v>
      </c>
      <c r="V631" s="577">
        <f t="shared" si="1301"/>
        <v>351275.67302304012</v>
      </c>
      <c r="W631" s="577">
        <f t="shared" si="1301"/>
        <v>357751.46159945318</v>
      </c>
      <c r="X631" s="577">
        <f t="shared" si="1301"/>
        <v>364227.25125134987</v>
      </c>
      <c r="Y631" s="577">
        <f t="shared" si="1301"/>
        <v>370703.04216711066</v>
      </c>
      <c r="Z631" s="577">
        <f t="shared" si="1301"/>
        <v>377176.93148604874</v>
      </c>
      <c r="AA631" s="577">
        <f t="shared" si="1301"/>
        <v>383652.7256129483</v>
      </c>
      <c r="AB631" s="577">
        <f t="shared" si="1301"/>
        <v>390126.61867786373</v>
      </c>
      <c r="AC631" s="577">
        <f t="shared" si="1301"/>
        <v>396602.41716588038</v>
      </c>
      <c r="AD631" s="577">
        <f t="shared" si="1301"/>
        <v>403078.21837294806</v>
      </c>
      <c r="AE631" s="577">
        <f t="shared" si="1301"/>
        <v>409552.11964399228</v>
      </c>
      <c r="AF631" s="577">
        <f t="shared" si="1301"/>
        <v>416027.92762607866</v>
      </c>
      <c r="AG631" s="577">
        <f t="shared" si="1301"/>
        <v>422503.73978894815</v>
      </c>
      <c r="AH631" s="752">
        <f t="shared" si="1301"/>
        <v>428977.6536703296</v>
      </c>
      <c r="AI631" s="18"/>
      <c r="AJ631" s="18"/>
      <c r="AK631" s="18"/>
      <c r="AL631" s="18"/>
      <c r="AM631" s="18"/>
      <c r="AN631" s="18"/>
    </row>
    <row r="632" spans="2:41" ht="21.95" customHeight="1" x14ac:dyDescent="0.2">
      <c r="B632" s="232"/>
      <c r="C632" s="715"/>
      <c r="D632" s="715"/>
      <c r="E632" s="116"/>
      <c r="F632" s="116"/>
      <c r="G632" s="116"/>
      <c r="H632" s="721" t="s">
        <v>25</v>
      </c>
      <c r="I632" s="577">
        <f t="shared" ref="I632:AH632" si="1302">SUM(I630:I631)</f>
        <v>283692.07542871719</v>
      </c>
      <c r="J632" s="577">
        <f t="shared" si="1302"/>
        <v>291736.63713564933</v>
      </c>
      <c r="K632" s="577">
        <f t="shared" si="1302"/>
        <v>300903.20105059259</v>
      </c>
      <c r="L632" s="577">
        <f t="shared" si="1302"/>
        <v>312615.9014585953</v>
      </c>
      <c r="M632" s="577">
        <f t="shared" si="1302"/>
        <v>324332.38454794831</v>
      </c>
      <c r="N632" s="577">
        <f t="shared" si="1302"/>
        <v>336046.97652408871</v>
      </c>
      <c r="O632" s="577">
        <f t="shared" si="1302"/>
        <v>347759.67744975159</v>
      </c>
      <c r="P632" s="577">
        <f t="shared" si="1302"/>
        <v>359474.74278935266</v>
      </c>
      <c r="Q632" s="577">
        <f t="shared" si="1302"/>
        <v>372715.59933064005</v>
      </c>
      <c r="R632" s="577">
        <f t="shared" si="1302"/>
        <v>385955.98379875114</v>
      </c>
      <c r="S632" s="577">
        <f t="shared" si="1302"/>
        <v>399194.95082825475</v>
      </c>
      <c r="T632" s="577">
        <f t="shared" si="1302"/>
        <v>412435.81052288087</v>
      </c>
      <c r="U632" s="577">
        <f t="shared" si="1302"/>
        <v>425679.03617546312</v>
      </c>
      <c r="V632" s="577">
        <f t="shared" si="1302"/>
        <v>436373.28899704758</v>
      </c>
      <c r="W632" s="577">
        <f t="shared" si="1302"/>
        <v>444417.8573430985</v>
      </c>
      <c r="X632" s="577">
        <f t="shared" si="1302"/>
        <v>452462.42702517228</v>
      </c>
      <c r="Y632" s="577">
        <f t="shared" si="1302"/>
        <v>460506.99827728508</v>
      </c>
      <c r="Z632" s="577">
        <f t="shared" si="1302"/>
        <v>468549.20726487576</v>
      </c>
      <c r="AA632" s="577">
        <f t="shared" si="1302"/>
        <v>476593.7825060357</v>
      </c>
      <c r="AB632" s="577">
        <f t="shared" si="1302"/>
        <v>484635.99614707835</v>
      </c>
      <c r="AC632" s="577">
        <f t="shared" si="1302"/>
        <v>492680.57680584938</v>
      </c>
      <c r="AD632" s="577">
        <f t="shared" si="1302"/>
        <v>500725.16084236995</v>
      </c>
      <c r="AE632" s="577">
        <f t="shared" si="1302"/>
        <v>508767.3846775014</v>
      </c>
      <c r="AF632" s="577">
        <f t="shared" si="1302"/>
        <v>516811.97713030991</v>
      </c>
      <c r="AG632" s="577">
        <f t="shared" si="1302"/>
        <v>524856.57477670908</v>
      </c>
      <c r="AH632" s="752">
        <f t="shared" si="1302"/>
        <v>532898.81427707092</v>
      </c>
      <c r="AI632" s="18"/>
      <c r="AJ632" s="18"/>
      <c r="AK632" s="18"/>
      <c r="AL632" s="18"/>
      <c r="AM632" s="18"/>
      <c r="AN632" s="18"/>
    </row>
    <row r="633" spans="2:41" ht="21.95" customHeight="1" x14ac:dyDescent="0.2">
      <c r="B633" s="232"/>
      <c r="C633" s="715"/>
      <c r="D633" s="715"/>
      <c r="E633" s="116"/>
      <c r="F633" s="116" t="s">
        <v>350</v>
      </c>
      <c r="G633" s="116" t="s">
        <v>280</v>
      </c>
      <c r="H633" s="116" t="s">
        <v>20</v>
      </c>
      <c r="I633" s="577">
        <f t="shared" ref="I633:AH633" si="1303">I542*$D$13</f>
        <v>377154.72569478565</v>
      </c>
      <c r="J633" s="577">
        <f t="shared" si="1303"/>
        <v>387849.57657608611</v>
      </c>
      <c r="K633" s="577">
        <f t="shared" si="1303"/>
        <v>400036.07442179148</v>
      </c>
      <c r="L633" s="577">
        <f t="shared" si="1303"/>
        <v>415607.53598733578</v>
      </c>
      <c r="M633" s="577">
        <f t="shared" si="1303"/>
        <v>431184.02634136466</v>
      </c>
      <c r="N633" s="577">
        <f t="shared" si="1303"/>
        <v>446758.0024123055</v>
      </c>
      <c r="O633" s="577">
        <f t="shared" si="1303"/>
        <v>462329.4642308146</v>
      </c>
      <c r="P633" s="577">
        <f t="shared" si="1303"/>
        <v>477904.06915847602</v>
      </c>
      <c r="Q633" s="577">
        <f t="shared" si="1303"/>
        <v>495507.13823973585</v>
      </c>
      <c r="R633" s="577">
        <f t="shared" si="1303"/>
        <v>513109.57909479801</v>
      </c>
      <c r="S633" s="577">
        <f t="shared" si="1303"/>
        <v>530710.13467553933</v>
      </c>
      <c r="T633" s="577">
        <f t="shared" si="1303"/>
        <v>548313.20529774064</v>
      </c>
      <c r="U633" s="577">
        <f t="shared" si="1303"/>
        <v>565919.41978360852</v>
      </c>
      <c r="V633" s="577">
        <f t="shared" si="1303"/>
        <v>580136.89928718563</v>
      </c>
      <c r="W633" s="577">
        <f t="shared" si="1303"/>
        <v>590831.75341282226</v>
      </c>
      <c r="X633" s="577">
        <f t="shared" si="1303"/>
        <v>601526.60819133278</v>
      </c>
      <c r="Y633" s="577">
        <f t="shared" si="1303"/>
        <v>612221.46373707347</v>
      </c>
      <c r="Z633" s="577">
        <f t="shared" si="1303"/>
        <v>622913.17722401675</v>
      </c>
      <c r="AA633" s="577">
        <f t="shared" si="1303"/>
        <v>633608.03471908381</v>
      </c>
      <c r="AB633" s="577">
        <f t="shared" si="1303"/>
        <v>644299.75048002799</v>
      </c>
      <c r="AC633" s="577">
        <f t="shared" si="1303"/>
        <v>654994.61062251788</v>
      </c>
      <c r="AD633" s="577">
        <f t="shared" si="1303"/>
        <v>665689.4724156115</v>
      </c>
      <c r="AE633" s="577">
        <f t="shared" si="1303"/>
        <v>676381.1931580978</v>
      </c>
      <c r="AF633" s="577">
        <f t="shared" si="1303"/>
        <v>687076.05906397651</v>
      </c>
      <c r="AG633" s="577">
        <f t="shared" si="1303"/>
        <v>697770.92750780552</v>
      </c>
      <c r="AH633" s="752">
        <f t="shared" si="1303"/>
        <v>708462.65590541519</v>
      </c>
      <c r="AI633" s="18"/>
      <c r="AJ633" s="18"/>
      <c r="AK633" s="18"/>
      <c r="AL633" s="18"/>
      <c r="AM633" s="18"/>
      <c r="AN633" s="18"/>
    </row>
    <row r="634" spans="2:41" ht="21.95" customHeight="1" x14ac:dyDescent="0.2">
      <c r="B634" s="232"/>
      <c r="C634" s="715"/>
      <c r="D634" s="715"/>
      <c r="E634" s="116"/>
      <c r="F634" s="116"/>
      <c r="G634" s="116"/>
      <c r="H634" s="124" t="s">
        <v>19</v>
      </c>
      <c r="I634" s="577">
        <f t="shared" ref="I634:AH634" si="1304">I543*$D$14</f>
        <v>1556862.4171883112</v>
      </c>
      <c r="J634" s="577">
        <f t="shared" si="1304"/>
        <v>1601009.8459759445</v>
      </c>
      <c r="K634" s="577">
        <f t="shared" si="1304"/>
        <v>1651314.6657237923</v>
      </c>
      <c r="L634" s="577">
        <f t="shared" si="1304"/>
        <v>1715592.3259000736</v>
      </c>
      <c r="M634" s="577">
        <f t="shared" si="1304"/>
        <v>1779890.7444846753</v>
      </c>
      <c r="N634" s="577">
        <f t="shared" si="1304"/>
        <v>1844178.7843239517</v>
      </c>
      <c r="O634" s="577">
        <f t="shared" si="1304"/>
        <v>1908456.4455444505</v>
      </c>
      <c r="P634" s="577">
        <f t="shared" si="1304"/>
        <v>1972747.0812504299</v>
      </c>
      <c r="Q634" s="577">
        <f t="shared" si="1304"/>
        <v>2045411.0433134718</v>
      </c>
      <c r="R634" s="577">
        <f t="shared" si="1304"/>
        <v>2118072.4121125564</v>
      </c>
      <c r="S634" s="577">
        <f t="shared" si="1304"/>
        <v>2190725.9986606543</v>
      </c>
      <c r="T634" s="577">
        <f t="shared" si="1304"/>
        <v>2263389.9670845708</v>
      </c>
      <c r="U634" s="577">
        <f t="shared" si="1304"/>
        <v>2336066.9131085384</v>
      </c>
      <c r="V634" s="577">
        <f t="shared" si="1304"/>
        <v>2394755.4512555506</v>
      </c>
      <c r="W634" s="577">
        <f t="shared" si="1304"/>
        <v>2438902.8934355252</v>
      </c>
      <c r="X634" s="577">
        <f t="shared" si="1304"/>
        <v>2483050.3383105085</v>
      </c>
      <c r="Y634" s="577">
        <f t="shared" si="1304"/>
        <v>2527197.786352552</v>
      </c>
      <c r="Z634" s="577">
        <f t="shared" si="1304"/>
        <v>2571332.2642448898</v>
      </c>
      <c r="AA634" s="577">
        <f t="shared" si="1304"/>
        <v>2615479.720333586</v>
      </c>
      <c r="AB634" s="577">
        <f t="shared" si="1304"/>
        <v>2659614.2076128046</v>
      </c>
      <c r="AC634" s="577">
        <f t="shared" si="1304"/>
        <v>2703761.6746298354</v>
      </c>
      <c r="AD634" s="577">
        <f t="shared" si="1304"/>
        <v>2747909.1484604171</v>
      </c>
      <c r="AE634" s="577">
        <f t="shared" si="1304"/>
        <v>2792043.6563030155</v>
      </c>
      <c r="AF634" s="577">
        <f t="shared" si="1304"/>
        <v>2836191.1471108212</v>
      </c>
      <c r="AG634" s="577">
        <f t="shared" si="1304"/>
        <v>2880338.6483950689</v>
      </c>
      <c r="AH634" s="752">
        <f t="shared" si="1304"/>
        <v>2924473.1878373614</v>
      </c>
      <c r="AI634" s="18"/>
      <c r="AJ634" s="18"/>
      <c r="AK634" s="18"/>
      <c r="AL634" s="18"/>
      <c r="AM634" s="18"/>
      <c r="AN634" s="18"/>
    </row>
    <row r="635" spans="2:41" ht="21.95" customHeight="1" x14ac:dyDescent="0.2">
      <c r="B635" s="232"/>
      <c r="C635" s="715"/>
      <c r="D635" s="715"/>
      <c r="E635" s="116"/>
      <c r="F635" s="116"/>
      <c r="G635" s="116"/>
      <c r="H635" s="721" t="s">
        <v>25</v>
      </c>
      <c r="I635" s="577">
        <f t="shared" ref="I635:AH635" si="1305">SUM(I633:I634)</f>
        <v>1934017.1428830968</v>
      </c>
      <c r="J635" s="577">
        <f t="shared" si="1305"/>
        <v>1988859.4225520305</v>
      </c>
      <c r="K635" s="577">
        <f t="shared" si="1305"/>
        <v>2051350.7401455836</v>
      </c>
      <c r="L635" s="577">
        <f t="shared" si="1305"/>
        <v>2131199.8618874094</v>
      </c>
      <c r="M635" s="577">
        <f t="shared" si="1305"/>
        <v>2211074.7708260398</v>
      </c>
      <c r="N635" s="577">
        <f t="shared" si="1305"/>
        <v>2290936.7867362574</v>
      </c>
      <c r="O635" s="577">
        <f t="shared" si="1305"/>
        <v>2370785.909775265</v>
      </c>
      <c r="P635" s="577">
        <f t="shared" si="1305"/>
        <v>2450651.1504089059</v>
      </c>
      <c r="Q635" s="577">
        <f t="shared" si="1305"/>
        <v>2540918.1815532078</v>
      </c>
      <c r="R635" s="577">
        <f t="shared" si="1305"/>
        <v>2631181.9912073542</v>
      </c>
      <c r="S635" s="577">
        <f t="shared" si="1305"/>
        <v>2721436.1333361939</v>
      </c>
      <c r="T635" s="577">
        <f t="shared" si="1305"/>
        <v>2811703.1723823114</v>
      </c>
      <c r="U635" s="577">
        <f t="shared" si="1305"/>
        <v>2901986.3328921469</v>
      </c>
      <c r="V635" s="577">
        <f t="shared" si="1305"/>
        <v>2974892.3505427362</v>
      </c>
      <c r="W635" s="577">
        <f t="shared" si="1305"/>
        <v>3029734.6468483475</v>
      </c>
      <c r="X635" s="577">
        <f t="shared" si="1305"/>
        <v>3084576.9465018413</v>
      </c>
      <c r="Y635" s="577">
        <f t="shared" si="1305"/>
        <v>3139419.2500896254</v>
      </c>
      <c r="Z635" s="577">
        <f t="shared" si="1305"/>
        <v>3194245.4414689066</v>
      </c>
      <c r="AA635" s="577">
        <f t="shared" si="1305"/>
        <v>3249087.7550526699</v>
      </c>
      <c r="AB635" s="577">
        <f t="shared" si="1305"/>
        <v>3303913.9580928325</v>
      </c>
      <c r="AC635" s="577">
        <f t="shared" si="1305"/>
        <v>3358756.2852523532</v>
      </c>
      <c r="AD635" s="577">
        <f t="shared" si="1305"/>
        <v>3413598.6208760287</v>
      </c>
      <c r="AE635" s="577">
        <f t="shared" si="1305"/>
        <v>3468424.8494611131</v>
      </c>
      <c r="AF635" s="577">
        <f t="shared" si="1305"/>
        <v>3523267.2061747978</v>
      </c>
      <c r="AG635" s="577">
        <f t="shared" si="1305"/>
        <v>3578109.5759028746</v>
      </c>
      <c r="AH635" s="752">
        <f t="shared" si="1305"/>
        <v>3632935.8437427767</v>
      </c>
      <c r="AI635" s="18"/>
      <c r="AJ635" s="18"/>
      <c r="AK635" s="18"/>
      <c r="AL635" s="18"/>
      <c r="AM635" s="18"/>
      <c r="AN635" s="18"/>
    </row>
    <row r="636" spans="2:41" ht="21.95" customHeight="1" x14ac:dyDescent="0.2">
      <c r="B636" s="232"/>
      <c r="C636" s="715"/>
      <c r="D636" s="715"/>
      <c r="E636" s="116"/>
      <c r="F636" s="116" t="s">
        <v>280</v>
      </c>
      <c r="G636" s="116" t="s">
        <v>333</v>
      </c>
      <c r="H636" s="116" t="s">
        <v>20</v>
      </c>
      <c r="I636" s="577">
        <f t="shared" ref="I636:AH636" si="1306">I545*$D$13</f>
        <v>9419.3215279302658</v>
      </c>
      <c r="J636" s="577">
        <f t="shared" si="1306"/>
        <v>9686.4238806283502</v>
      </c>
      <c r="K636" s="577">
        <f t="shared" si="1306"/>
        <v>9990.7806615088321</v>
      </c>
      <c r="L636" s="577">
        <f t="shared" si="1306"/>
        <v>10379.678216244769</v>
      </c>
      <c r="M636" s="577">
        <f t="shared" si="1306"/>
        <v>10768.703811762321</v>
      </c>
      <c r="N636" s="577">
        <f t="shared" si="1306"/>
        <v>11157.670017282029</v>
      </c>
      <c r="O636" s="577">
        <f t="shared" si="1306"/>
        <v>11546.578109893237</v>
      </c>
      <c r="P636" s="577">
        <f t="shared" si="1306"/>
        <v>11935.571074813191</v>
      </c>
      <c r="Q636" s="577">
        <f t="shared" si="1306"/>
        <v>12375.237644814897</v>
      </c>
      <c r="R636" s="577">
        <f t="shared" si="1306"/>
        <v>12814.903721401422</v>
      </c>
      <c r="S636" s="577">
        <f t="shared" si="1306"/>
        <v>13254.543501277534</v>
      </c>
      <c r="T636" s="577">
        <f t="shared" si="1306"/>
        <v>13694.274262968866</v>
      </c>
      <c r="U636" s="577">
        <f t="shared" si="1306"/>
        <v>14134.121328137599</v>
      </c>
      <c r="V636" s="577">
        <f t="shared" si="1306"/>
        <v>14489.345290459871</v>
      </c>
      <c r="W636" s="577">
        <f t="shared" si="1306"/>
        <v>14756.582793954427</v>
      </c>
      <c r="X636" s="577">
        <f t="shared" si="1306"/>
        <v>15023.84749451921</v>
      </c>
      <c r="Y636" s="577">
        <f t="shared" si="1306"/>
        <v>15291.14415595619</v>
      </c>
      <c r="Z636" s="577">
        <f t="shared" si="1306"/>
        <v>15558.399700182768</v>
      </c>
      <c r="AA636" s="577">
        <f t="shared" si="1306"/>
        <v>15825.777565608658</v>
      </c>
      <c r="AB636" s="577">
        <f t="shared" si="1306"/>
        <v>16093.127838937928</v>
      </c>
      <c r="AC636" s="577">
        <f t="shared" si="1306"/>
        <v>16360.615989249211</v>
      </c>
      <c r="AD636" s="577">
        <f t="shared" si="1306"/>
        <v>16628.172899516201</v>
      </c>
      <c r="AE636" s="577">
        <f t="shared" si="1306"/>
        <v>16895.730691237928</v>
      </c>
      <c r="AF636" s="577">
        <f t="shared" si="1306"/>
        <v>17163.458929671433</v>
      </c>
      <c r="AG636" s="577">
        <f t="shared" si="1306"/>
        <v>17431.292892671543</v>
      </c>
      <c r="AH636" s="752">
        <f t="shared" si="1306"/>
        <v>17699.169577370896</v>
      </c>
      <c r="AI636" s="18"/>
      <c r="AJ636" s="18"/>
      <c r="AK636" s="18"/>
      <c r="AL636" s="18"/>
      <c r="AM636" s="18"/>
      <c r="AN636" s="18"/>
    </row>
    <row r="637" spans="2:41" ht="21.95" customHeight="1" x14ac:dyDescent="0.2">
      <c r="B637" s="232"/>
      <c r="C637" s="715"/>
      <c r="D637" s="715"/>
      <c r="E637" s="116"/>
      <c r="F637" s="116"/>
      <c r="G637" s="116"/>
      <c r="H637" s="124" t="s">
        <v>19</v>
      </c>
      <c r="I637" s="577">
        <f t="shared" ref="I637:AH637" si="1307">I546*$D$14</f>
        <v>38882.152822645003</v>
      </c>
      <c r="J637" s="577">
        <f t="shared" si="1307"/>
        <v>39984.728466347115</v>
      </c>
      <c r="K637" s="577">
        <f t="shared" si="1307"/>
        <v>41241.087200010981</v>
      </c>
      <c r="L637" s="577">
        <f t="shared" si="1307"/>
        <v>42846.423010107086</v>
      </c>
      <c r="M637" s="577">
        <f t="shared" si="1307"/>
        <v>44452.287361587361</v>
      </c>
      <c r="N637" s="577">
        <f t="shared" si="1307"/>
        <v>46057.906556241272</v>
      </c>
      <c r="O637" s="577">
        <f t="shared" si="1307"/>
        <v>47663.285865784281</v>
      </c>
      <c r="P637" s="577">
        <f t="shared" si="1307"/>
        <v>49269.015520951383</v>
      </c>
      <c r="Q637" s="577">
        <f t="shared" si="1307"/>
        <v>51083.921479424462</v>
      </c>
      <c r="R637" s="577">
        <f t="shared" si="1307"/>
        <v>52898.82540112194</v>
      </c>
      <c r="S637" s="577">
        <f t="shared" si="1307"/>
        <v>54713.620772250237</v>
      </c>
      <c r="T637" s="577">
        <f t="shared" si="1307"/>
        <v>56528.791708522258</v>
      </c>
      <c r="U637" s="577">
        <f t="shared" si="1307"/>
        <v>58344.442735591569</v>
      </c>
      <c r="V637" s="577">
        <f t="shared" si="1307"/>
        <v>59810.776839202415</v>
      </c>
      <c r="W637" s="577">
        <f t="shared" si="1307"/>
        <v>60913.910373821309</v>
      </c>
      <c r="X637" s="577">
        <f t="shared" si="1307"/>
        <v>62017.15617561758</v>
      </c>
      <c r="Y637" s="577">
        <f t="shared" si="1307"/>
        <v>63120.533909157923</v>
      </c>
      <c r="Z637" s="577">
        <f t="shared" si="1307"/>
        <v>64223.741914374019</v>
      </c>
      <c r="AA637" s="577">
        <f t="shared" si="1307"/>
        <v>65327.454851028218</v>
      </c>
      <c r="AB637" s="577">
        <f t="shared" si="1307"/>
        <v>66431.053889869901</v>
      </c>
      <c r="AC637" s="577">
        <f t="shared" si="1307"/>
        <v>67535.222073088851</v>
      </c>
      <c r="AD637" s="577">
        <f t="shared" si="1307"/>
        <v>68639.674091518013</v>
      </c>
      <c r="AE637" s="577">
        <f t="shared" si="1307"/>
        <v>69744.129748516862</v>
      </c>
      <c r="AF637" s="577">
        <f t="shared" si="1307"/>
        <v>70849.288994948962</v>
      </c>
      <c r="AG637" s="577">
        <f t="shared" si="1307"/>
        <v>71954.884663340301</v>
      </c>
      <c r="AH637" s="752">
        <f t="shared" si="1307"/>
        <v>73060.656683248439</v>
      </c>
      <c r="AI637" s="18"/>
      <c r="AJ637" s="18"/>
      <c r="AK637" s="18"/>
      <c r="AL637" s="18"/>
      <c r="AM637" s="18"/>
      <c r="AN637" s="18"/>
    </row>
    <row r="638" spans="2:41" ht="21.95" customHeight="1" thickBot="1" x14ac:dyDescent="0.25">
      <c r="B638" s="487"/>
      <c r="C638" s="764"/>
      <c r="D638" s="764"/>
      <c r="E638" s="278"/>
      <c r="F638" s="278"/>
      <c r="G638" s="278"/>
      <c r="H638" s="765" t="s">
        <v>25</v>
      </c>
      <c r="I638" s="735">
        <f t="shared" ref="I638:AH638" si="1308">SUM(I636:I637)</f>
        <v>48301.47435057527</v>
      </c>
      <c r="J638" s="735">
        <f t="shared" si="1308"/>
        <v>49671.152346975461</v>
      </c>
      <c r="K638" s="735">
        <f t="shared" si="1308"/>
        <v>51231.867861519815</v>
      </c>
      <c r="L638" s="735">
        <f t="shared" si="1308"/>
        <v>53226.101226351857</v>
      </c>
      <c r="M638" s="735">
        <f t="shared" si="1308"/>
        <v>55220.991173349685</v>
      </c>
      <c r="N638" s="735">
        <f t="shared" si="1308"/>
        <v>57215.5765735233</v>
      </c>
      <c r="O638" s="735">
        <f t="shared" si="1308"/>
        <v>59209.863975677516</v>
      </c>
      <c r="P638" s="735">
        <f t="shared" si="1308"/>
        <v>61204.586595764573</v>
      </c>
      <c r="Q638" s="735">
        <f t="shared" si="1308"/>
        <v>63459.159124239362</v>
      </c>
      <c r="R638" s="735">
        <f t="shared" si="1308"/>
        <v>65713.729122523364</v>
      </c>
      <c r="S638" s="735">
        <f t="shared" si="1308"/>
        <v>67968.164273527771</v>
      </c>
      <c r="T638" s="735">
        <f t="shared" si="1308"/>
        <v>70223.065971491131</v>
      </c>
      <c r="U638" s="735">
        <f t="shared" si="1308"/>
        <v>72478.564063729165</v>
      </c>
      <c r="V638" s="735">
        <f t="shared" si="1308"/>
        <v>74300.122129662283</v>
      </c>
      <c r="W638" s="735">
        <f t="shared" si="1308"/>
        <v>75670.493167775741</v>
      </c>
      <c r="X638" s="735">
        <f t="shared" si="1308"/>
        <v>77041.003670136794</v>
      </c>
      <c r="Y638" s="735">
        <f t="shared" si="1308"/>
        <v>78411.678065114116</v>
      </c>
      <c r="Z638" s="735">
        <f t="shared" si="1308"/>
        <v>79782.141614556793</v>
      </c>
      <c r="AA638" s="735">
        <f t="shared" si="1308"/>
        <v>81153.232416636878</v>
      </c>
      <c r="AB638" s="735">
        <f t="shared" si="1308"/>
        <v>82524.181728807831</v>
      </c>
      <c r="AC638" s="735">
        <f t="shared" si="1308"/>
        <v>83895.838062338065</v>
      </c>
      <c r="AD638" s="735">
        <f t="shared" si="1308"/>
        <v>85267.84699103421</v>
      </c>
      <c r="AE638" s="735">
        <f t="shared" si="1308"/>
        <v>86639.86043975479</v>
      </c>
      <c r="AF638" s="735">
        <f t="shared" si="1308"/>
        <v>88012.747924620402</v>
      </c>
      <c r="AG638" s="735">
        <f t="shared" si="1308"/>
        <v>89386.17755601184</v>
      </c>
      <c r="AH638" s="766">
        <f t="shared" si="1308"/>
        <v>90759.826260619331</v>
      </c>
      <c r="AI638" s="18"/>
      <c r="AJ638" s="18"/>
      <c r="AK638" s="18"/>
      <c r="AL638" s="18"/>
      <c r="AM638" s="18"/>
      <c r="AN638" s="18"/>
    </row>
    <row r="639" spans="2:41" ht="21.95" customHeight="1" thickBot="1" x14ac:dyDescent="0.25">
      <c r="B639" s="487"/>
      <c r="C639" s="764"/>
      <c r="D639" s="764"/>
      <c r="E639" s="278"/>
      <c r="F639" s="278"/>
      <c r="G639" s="278"/>
      <c r="H639" s="767" t="s">
        <v>514</v>
      </c>
      <c r="I639" s="767">
        <f t="shared" ref="I639:AH639" si="1309">SUM(I554,I557,I560,I563,I566,I569,I572,I575,I578,I581,I584,I587,I590,I593,I596,I599,I602,I605,I608,I611,I614,I620,I623,I626,I629,I632,I635,I638)</f>
        <v>56562669.313658506</v>
      </c>
      <c r="J639" s="767">
        <f t="shared" si="1309"/>
        <v>58401268.944140099</v>
      </c>
      <c r="K639" s="767">
        <f t="shared" si="1309"/>
        <v>61782954.141170718</v>
      </c>
      <c r="L639" s="767">
        <f t="shared" si="1309"/>
        <v>67159388.206776887</v>
      </c>
      <c r="M639" s="767">
        <f t="shared" si="1309"/>
        <v>72566203.443560436</v>
      </c>
      <c r="N639" s="767">
        <f t="shared" si="1309"/>
        <v>78016441.262186885</v>
      </c>
      <c r="O639" s="767">
        <f t="shared" si="1309"/>
        <v>83535722.878780738</v>
      </c>
      <c r="P639" s="767">
        <f t="shared" si="1309"/>
        <v>89213194.142563701</v>
      </c>
      <c r="Q639" s="767">
        <f t="shared" si="1309"/>
        <v>94735899.144353792</v>
      </c>
      <c r="R639" s="767">
        <f t="shared" si="1309"/>
        <v>100667172.31440166</v>
      </c>
      <c r="S639" s="767">
        <f t="shared" si="1309"/>
        <v>107601304.46876672</v>
      </c>
      <c r="T639" s="767">
        <f t="shared" si="1309"/>
        <v>116189412.20156425</v>
      </c>
      <c r="U639" s="767">
        <f t="shared" si="1309"/>
        <v>127068701.40191981</v>
      </c>
      <c r="V639" s="767">
        <f t="shared" si="1309"/>
        <v>133115829.12643826</v>
      </c>
      <c r="W639" s="767">
        <f t="shared" si="1309"/>
        <v>136607186.49321544</v>
      </c>
      <c r="X639" s="767">
        <f t="shared" si="1309"/>
        <v>139850225.84045103</v>
      </c>
      <c r="Y639" s="767">
        <f t="shared" si="1309"/>
        <v>142352990.21855283</v>
      </c>
      <c r="Z639" s="767">
        <f t="shared" si="1309"/>
        <v>144905942.51017445</v>
      </c>
      <c r="AA639" s="767">
        <f t="shared" si="1309"/>
        <v>147512433.37533924</v>
      </c>
      <c r="AB639" s="767">
        <f t="shared" si="1309"/>
        <v>150184536.4990916</v>
      </c>
      <c r="AC639" s="767">
        <f t="shared" si="1309"/>
        <v>152927536.66615248</v>
      </c>
      <c r="AD639" s="767">
        <f t="shared" si="1309"/>
        <v>155753816.12884605</v>
      </c>
      <c r="AE639" s="767">
        <f t="shared" si="1309"/>
        <v>158677154.58897907</v>
      </c>
      <c r="AF639" s="767">
        <f t="shared" si="1309"/>
        <v>161706698.61201468</v>
      </c>
      <c r="AG639" s="767">
        <f t="shared" si="1309"/>
        <v>164859290.52637872</v>
      </c>
      <c r="AH639" s="768">
        <f t="shared" si="1309"/>
        <v>168153720.28226948</v>
      </c>
      <c r="AI639" s="18"/>
      <c r="AJ639" s="18"/>
      <c r="AK639" s="18"/>
      <c r="AL639" s="18"/>
      <c r="AM639" s="18"/>
      <c r="AN639" s="18"/>
    </row>
    <row r="640" spans="2:41" ht="21.95" customHeight="1" x14ac:dyDescent="0.2">
      <c r="C640" s="116"/>
      <c r="D640" s="116"/>
      <c r="E640" s="116"/>
      <c r="F640" s="116"/>
      <c r="G640" s="116"/>
      <c r="H640" s="240"/>
      <c r="I640" s="724"/>
      <c r="J640" s="724"/>
      <c r="K640" s="724"/>
      <c r="L640" s="724"/>
      <c r="M640" s="724"/>
      <c r="N640" s="724"/>
      <c r="O640" s="724"/>
      <c r="P640" s="724"/>
      <c r="Q640" s="724"/>
      <c r="R640" s="724"/>
      <c r="S640" s="724"/>
      <c r="T640" s="724"/>
      <c r="U640" s="724"/>
      <c r="V640" s="724"/>
      <c r="W640" s="724"/>
      <c r="X640" s="724"/>
      <c r="Y640" s="724"/>
      <c r="Z640" s="724"/>
      <c r="AA640" s="724"/>
      <c r="AB640" s="724"/>
      <c r="AC640" s="724"/>
      <c r="AD640" s="724"/>
      <c r="AE640" s="724"/>
      <c r="AF640" s="724"/>
      <c r="AG640" s="724"/>
      <c r="AH640" s="724"/>
      <c r="AI640" s="18"/>
      <c r="AJ640" s="18"/>
      <c r="AK640" s="18"/>
      <c r="AL640" s="18"/>
      <c r="AM640" s="18"/>
      <c r="AN640" s="18"/>
      <c r="AO640" s="18"/>
    </row>
    <row r="641" spans="1:41" ht="21.95" customHeight="1" x14ac:dyDescent="0.2">
      <c r="C641" s="116"/>
      <c r="D641" s="116"/>
      <c r="E641" s="116"/>
      <c r="F641" s="116"/>
      <c r="G641" s="116"/>
      <c r="H641" s="228"/>
      <c r="I641" s="228"/>
      <c r="J641" s="228"/>
      <c r="K641" s="228"/>
      <c r="L641" s="228"/>
      <c r="M641" s="228"/>
      <c r="N641" s="228"/>
      <c r="O641" s="228"/>
      <c r="P641" s="228"/>
      <c r="Q641" s="228"/>
      <c r="R641" s="228"/>
      <c r="S641" s="228"/>
      <c r="T641" s="228"/>
      <c r="U641" s="228"/>
      <c r="V641" s="228"/>
      <c r="W641" s="228"/>
      <c r="X641" s="228"/>
      <c r="Y641" s="228"/>
      <c r="Z641" s="228"/>
      <c r="AA641" s="228"/>
      <c r="AB641" s="228"/>
      <c r="AC641" s="228"/>
      <c r="AD641" s="228"/>
      <c r="AE641" s="116"/>
      <c r="AF641" s="116"/>
      <c r="AG641" s="116"/>
      <c r="AH641" s="116"/>
    </row>
    <row r="642" spans="1:41" ht="21.95" customHeight="1" x14ac:dyDescent="0.2">
      <c r="A642" s="551"/>
      <c r="B642" s="552" t="s">
        <v>293</v>
      </c>
      <c r="C642" s="116"/>
      <c r="D642" s="116"/>
      <c r="E642" s="116"/>
      <c r="F642" s="116"/>
      <c r="G642" s="228"/>
      <c r="H642" s="228"/>
      <c r="I642" s="228"/>
      <c r="J642" s="116"/>
      <c r="K642" s="116"/>
      <c r="L642" s="116"/>
      <c r="M642" s="116"/>
      <c r="N642" s="228"/>
      <c r="O642" s="228"/>
      <c r="P642" s="228"/>
      <c r="Q642" s="228"/>
      <c r="R642" s="228"/>
      <c r="S642" s="228"/>
      <c r="T642" s="228"/>
      <c r="U642" s="228"/>
      <c r="V642" s="228"/>
      <c r="W642" s="228"/>
      <c r="X642" s="228"/>
      <c r="Y642" s="228"/>
      <c r="Z642" s="228"/>
      <c r="AA642" s="228"/>
      <c r="AB642" s="228"/>
      <c r="AC642" s="228"/>
      <c r="AD642" s="116"/>
      <c r="AE642" s="116"/>
      <c r="AF642" s="116"/>
      <c r="AG642" s="116"/>
      <c r="AH642" s="116"/>
    </row>
    <row r="643" spans="1:41" ht="21.95" customHeight="1" x14ac:dyDescent="0.2">
      <c r="B643" s="1"/>
      <c r="C643" s="240"/>
      <c r="D643" s="240"/>
      <c r="E643" s="240"/>
      <c r="F643" s="240"/>
      <c r="G643" s="228"/>
      <c r="H643" s="228"/>
      <c r="I643" s="228"/>
      <c r="J643" s="228"/>
      <c r="K643" s="228"/>
      <c r="L643" s="228"/>
      <c r="M643" s="228"/>
      <c r="N643" s="228"/>
      <c r="O643" s="228"/>
      <c r="P643" s="228"/>
      <c r="Q643" s="228"/>
      <c r="R643" s="228"/>
      <c r="S643" s="228"/>
      <c r="T643" s="228"/>
      <c r="U643" s="228"/>
      <c r="V643" s="228"/>
      <c r="W643" s="228"/>
      <c r="X643" s="228"/>
      <c r="Y643" s="228"/>
      <c r="Z643" s="228"/>
      <c r="AA643" s="228"/>
      <c r="AB643" s="228"/>
      <c r="AC643" s="228"/>
      <c r="AD643" s="116"/>
      <c r="AE643" s="116"/>
      <c r="AF643" s="116"/>
      <c r="AG643" s="116"/>
      <c r="AH643" s="116"/>
    </row>
    <row r="644" spans="1:41" ht="21.95" customHeight="1" x14ac:dyDescent="0.2">
      <c r="B644" s="194" t="s">
        <v>13</v>
      </c>
      <c r="C644" s="240"/>
      <c r="D644" s="240"/>
      <c r="E644" s="240"/>
      <c r="F644" s="240"/>
      <c r="G644" s="228"/>
      <c r="H644" s="228"/>
      <c r="I644" s="228"/>
      <c r="J644" s="228"/>
      <c r="K644" s="228"/>
      <c r="L644" s="228"/>
      <c r="M644" s="228"/>
      <c r="N644" s="228"/>
      <c r="O644" s="228"/>
      <c r="P644" s="228"/>
      <c r="Q644" s="228"/>
      <c r="R644" s="228"/>
      <c r="S644" s="228"/>
      <c r="T644" s="228"/>
      <c r="U644" s="228"/>
      <c r="V644" s="228"/>
      <c r="W644" s="228"/>
      <c r="X644" s="228"/>
      <c r="Y644" s="228"/>
      <c r="Z644" s="228"/>
      <c r="AA644" s="228"/>
      <c r="AB644" s="228"/>
      <c r="AC644" s="228"/>
      <c r="AD644" s="116"/>
      <c r="AE644" s="116"/>
      <c r="AF644" s="116"/>
      <c r="AG644" s="116"/>
      <c r="AH644" s="116"/>
    </row>
    <row r="645" spans="1:41" ht="21.95" customHeight="1" thickBot="1" x14ac:dyDescent="0.25">
      <c r="B645" s="9" t="s">
        <v>248</v>
      </c>
      <c r="C645" s="240"/>
      <c r="D645" s="240"/>
      <c r="E645" s="240"/>
      <c r="F645" s="240"/>
      <c r="G645" s="240"/>
      <c r="H645" s="228"/>
      <c r="I645" s="228"/>
      <c r="J645" s="228"/>
      <c r="K645" s="228"/>
      <c r="L645" s="228"/>
      <c r="M645" s="228"/>
      <c r="N645" s="228"/>
      <c r="O645" s="228"/>
      <c r="P645" s="228"/>
      <c r="Q645" s="228"/>
      <c r="R645" s="228"/>
      <c r="S645" s="228"/>
      <c r="T645" s="228"/>
      <c r="U645" s="228"/>
      <c r="V645" s="228"/>
      <c r="W645" s="228"/>
      <c r="X645" s="228"/>
      <c r="Y645" s="228"/>
      <c r="Z645" s="228"/>
      <c r="AA645" s="228"/>
      <c r="AB645" s="228"/>
      <c r="AC645" s="228"/>
      <c r="AD645" s="228"/>
      <c r="AE645" s="116"/>
      <c r="AF645" s="116"/>
      <c r="AG645" s="116"/>
      <c r="AH645" s="116"/>
    </row>
    <row r="646" spans="1:41" s="7" customFormat="1" ht="21.95" customHeight="1" thickBot="1" x14ac:dyDescent="0.25">
      <c r="B646" s="234"/>
      <c r="C646" s="485" t="s">
        <v>2</v>
      </c>
      <c r="D646" s="485"/>
      <c r="E646" s="485" t="s">
        <v>328</v>
      </c>
      <c r="F646" s="1338" t="s">
        <v>18</v>
      </c>
      <c r="G646" s="1338"/>
      <c r="H646" s="482" t="s">
        <v>24</v>
      </c>
      <c r="I646" s="248">
        <v>2023</v>
      </c>
      <c r="J646" s="248">
        <v>2024</v>
      </c>
      <c r="K646" s="248">
        <v>2025</v>
      </c>
      <c r="L646" s="248">
        <v>2026</v>
      </c>
      <c r="M646" s="248">
        <v>2027</v>
      </c>
      <c r="N646" s="248">
        <v>2028</v>
      </c>
      <c r="O646" s="248">
        <v>2029</v>
      </c>
      <c r="P646" s="248">
        <v>2030</v>
      </c>
      <c r="Q646" s="248">
        <v>2031</v>
      </c>
      <c r="R646" s="248">
        <v>2032</v>
      </c>
      <c r="S646" s="248">
        <v>2033</v>
      </c>
      <c r="T646" s="248">
        <v>2034</v>
      </c>
      <c r="U646" s="248">
        <v>2035</v>
      </c>
      <c r="V646" s="248">
        <v>2036</v>
      </c>
      <c r="W646" s="248">
        <v>2037</v>
      </c>
      <c r="X646" s="248">
        <v>2038</v>
      </c>
      <c r="Y646" s="248">
        <v>2039</v>
      </c>
      <c r="Z646" s="248">
        <v>2040</v>
      </c>
      <c r="AA646" s="248">
        <v>2041</v>
      </c>
      <c r="AB646" s="248">
        <v>2042</v>
      </c>
      <c r="AC646" s="248">
        <v>2043</v>
      </c>
      <c r="AD646" s="248">
        <v>2044</v>
      </c>
      <c r="AE646" s="248">
        <v>2045</v>
      </c>
      <c r="AF646" s="248">
        <v>2046</v>
      </c>
      <c r="AG646" s="248">
        <v>2047</v>
      </c>
      <c r="AH646" s="498">
        <v>2048</v>
      </c>
      <c r="AI646" s="484"/>
      <c r="AJ646" s="484"/>
      <c r="AK646" s="484"/>
      <c r="AL646" s="484"/>
      <c r="AM646" s="484"/>
      <c r="AN646" s="484"/>
      <c r="AO646" s="484"/>
    </row>
    <row r="647" spans="1:41" ht="21.95" customHeight="1" x14ac:dyDescent="0.2">
      <c r="B647" s="199" t="s">
        <v>212</v>
      </c>
      <c r="C647" s="116" t="s">
        <v>156</v>
      </c>
      <c r="D647" s="240" t="s">
        <v>23</v>
      </c>
      <c r="E647" s="1339" t="s">
        <v>331</v>
      </c>
      <c r="F647" s="116" t="s">
        <v>332</v>
      </c>
      <c r="G647" s="116" t="s">
        <v>282</v>
      </c>
      <c r="H647" s="726" t="s">
        <v>23</v>
      </c>
      <c r="I647" s="726">
        <f>'Volume and Speed'!H723</f>
        <v>7729.1874665658033</v>
      </c>
      <c r="J647" s="726">
        <f>'Volume and Speed'!I723</f>
        <v>8080.6568918144685</v>
      </c>
      <c r="K647" s="726">
        <f>'Volume and Speed'!J723</f>
        <v>8575.8537455452624</v>
      </c>
      <c r="L647" s="726">
        <f>'Volume and Speed'!K723</f>
        <v>9304.2999225149961</v>
      </c>
      <c r="M647" s="726">
        <f>'Volume and Speed'!L723</f>
        <v>10033.092499420243</v>
      </c>
      <c r="N647" s="726">
        <f>'Volume and Speed'!M723</f>
        <v>10762.043327591367</v>
      </c>
      <c r="O647" s="726">
        <f>'Volume and Speed'!N723</f>
        <v>11491.02438476012</v>
      </c>
      <c r="P647" s="726">
        <f>'Volume and Speed'!O723</f>
        <v>12221.069821463367</v>
      </c>
      <c r="Q647" s="726">
        <f>'Volume and Speed'!P723</f>
        <v>12943.384521105236</v>
      </c>
      <c r="R647" s="726">
        <f>'Volume and Speed'!Q723</f>
        <v>13667.351818432737</v>
      </c>
      <c r="S647" s="726">
        <f>'Volume and Speed'!R723</f>
        <v>14393.622768070498</v>
      </c>
      <c r="T647" s="726">
        <f>'Volume and Speed'!S723</f>
        <v>15123.776700446439</v>
      </c>
      <c r="U647" s="726">
        <f>'Volume and Speed'!T723</f>
        <v>15860.496715839916</v>
      </c>
      <c r="V647" s="726">
        <f>'Volume and Speed'!U723</f>
        <v>16362.994002522586</v>
      </c>
      <c r="W647" s="726">
        <f>'Volume and Speed'!V723</f>
        <v>16729.074658175399</v>
      </c>
      <c r="X647" s="726">
        <f>'Volume and Speed'!W723</f>
        <v>17098.588178746195</v>
      </c>
      <c r="Y647" s="726">
        <f>'Volume and Speed'!X723</f>
        <v>17472.243791708017</v>
      </c>
      <c r="Z647" s="726">
        <f>'Volume and Speed'!Y723</f>
        <v>17851.009104097233</v>
      </c>
      <c r="AA647" s="726">
        <f>'Volume and Speed'!Z723</f>
        <v>18235.607700546811</v>
      </c>
      <c r="AB647" s="726">
        <f>'Volume and Speed'!AA723</f>
        <v>18627.457362276058</v>
      </c>
      <c r="AC647" s="726">
        <f>'Volume and Speed'!AB723</f>
        <v>19027.63589814839</v>
      </c>
      <c r="AD647" s="726">
        <f>'Volume and Speed'!AC723</f>
        <v>19437.845247134239</v>
      </c>
      <c r="AE647" s="726">
        <f>'Volume and Speed'!AD723</f>
        <v>19860.054695498053</v>
      </c>
      <c r="AF647" s="726">
        <f>'Volume and Speed'!AE723</f>
        <v>20296.085297391652</v>
      </c>
      <c r="AG647" s="726">
        <f>'Volume and Speed'!AF723</f>
        <v>20748.518172935212</v>
      </c>
      <c r="AH647" s="751">
        <f>'Volume and Speed'!AG723</f>
        <v>21220.328652973694</v>
      </c>
      <c r="AI647" s="18"/>
      <c r="AJ647" s="18"/>
      <c r="AK647" s="18"/>
      <c r="AL647" s="18"/>
      <c r="AM647" s="18"/>
      <c r="AN647" s="18"/>
    </row>
    <row r="648" spans="1:41" ht="21.95" customHeight="1" x14ac:dyDescent="0.2">
      <c r="B648" s="232" t="s">
        <v>513</v>
      </c>
      <c r="C648" s="715"/>
      <c r="D648" s="715"/>
      <c r="E648" s="1340"/>
      <c r="F648" s="116" t="s">
        <v>282</v>
      </c>
      <c r="G648" s="116" t="s">
        <v>280</v>
      </c>
      <c r="H648" s="577" t="s">
        <v>23</v>
      </c>
      <c r="I648" s="577">
        <f>'Volume and Speed'!H724</f>
        <v>248534.35639268748</v>
      </c>
      <c r="J648" s="577">
        <f>'Volume and Speed'!I724</f>
        <v>261653.35085719993</v>
      </c>
      <c r="K648" s="577">
        <f>'Volume and Speed'!J724</f>
        <v>281346.6595461517</v>
      </c>
      <c r="L648" s="577">
        <f>'Volume and Speed'!K724</f>
        <v>313883.36134210043</v>
      </c>
      <c r="M648" s="577">
        <f>'Volume and Speed'!L724</f>
        <v>346436.24024655746</v>
      </c>
      <c r="N648" s="577">
        <f>'Volume and Speed'!M724</f>
        <v>378990.75990457903</v>
      </c>
      <c r="O648" s="577">
        <f>'Volume and Speed'!N724</f>
        <v>411540.13143218507</v>
      </c>
      <c r="P648" s="577">
        <f>'Volume and Speed'!O724</f>
        <v>444135.13427734718</v>
      </c>
      <c r="Q648" s="577">
        <f>'Volume and Speed'!P724</f>
        <v>477051.8549036542</v>
      </c>
      <c r="R648" s="577">
        <f>'Volume and Speed'!Q724</f>
        <v>510041.20912473847</v>
      </c>
      <c r="S648" s="577">
        <f>'Volume and Speed'!R724</f>
        <v>543131.18457883305</v>
      </c>
      <c r="T648" s="577">
        <f>'Volume and Speed'!S724</f>
        <v>576416.54643636942</v>
      </c>
      <c r="U648" s="577">
        <f>'Volume and Speed'!T724</f>
        <v>610063.08091750217</v>
      </c>
      <c r="V648" s="577">
        <f>'Volume and Speed'!U724</f>
        <v>630772.48812326731</v>
      </c>
      <c r="W648" s="577">
        <f>'Volume and Speed'!V724</f>
        <v>644498.83093908313</v>
      </c>
      <c r="X648" s="577">
        <f>'Volume and Speed'!W724</f>
        <v>658362.95734618232</v>
      </c>
      <c r="Y648" s="577">
        <f>'Volume and Speed'!X724</f>
        <v>672392.39021314972</v>
      </c>
      <c r="Z648" s="577">
        <f>'Volume and Speed'!Y724</f>
        <v>686627.47949215444</v>
      </c>
      <c r="AA648" s="577">
        <f>'Volume and Speed'!Z724</f>
        <v>701090.06804121251</v>
      </c>
      <c r="AB648" s="577">
        <f>'Volume and Speed'!AA724</f>
        <v>715840.53998863581</v>
      </c>
      <c r="AC648" s="577">
        <f>'Volume and Speed'!AB724</f>
        <v>730913.65955145785</v>
      </c>
      <c r="AD648" s="577">
        <f>'Volume and Speed'!AC724</f>
        <v>746377.1133593088</v>
      </c>
      <c r="AE648" s="577">
        <f>'Volume and Speed'!AD724</f>
        <v>762308.8041436245</v>
      </c>
      <c r="AF648" s="577">
        <f>'Volume and Speed'!AE724</f>
        <v>778770.30107500346</v>
      </c>
      <c r="AG648" s="577">
        <f>'Volume and Speed'!AF724</f>
        <v>795861.79789423151</v>
      </c>
      <c r="AH648" s="752">
        <f>'Volume and Speed'!AG724</f>
        <v>813698.45484208758</v>
      </c>
      <c r="AI648" s="18"/>
      <c r="AJ648" s="18"/>
      <c r="AK648" s="18"/>
      <c r="AL648" s="18"/>
      <c r="AM648" s="18"/>
      <c r="AN648" s="18"/>
    </row>
    <row r="649" spans="1:41" ht="21.95" customHeight="1" x14ac:dyDescent="0.2">
      <c r="B649" s="232"/>
      <c r="C649" s="715"/>
      <c r="D649" s="715"/>
      <c r="E649" s="1340"/>
      <c r="F649" s="116" t="s">
        <v>280</v>
      </c>
      <c r="G649" s="116" t="s">
        <v>333</v>
      </c>
      <c r="H649" s="577" t="s">
        <v>23</v>
      </c>
      <c r="I649" s="587">
        <f>'Volume and Speed'!H725</f>
        <v>5797.5278744446077</v>
      </c>
      <c r="J649" s="587">
        <f>'Volume and Speed'!I725</f>
        <v>6039.9644619952387</v>
      </c>
      <c r="K649" s="587">
        <f>'Volume and Speed'!J725</f>
        <v>6340.2819218374116</v>
      </c>
      <c r="L649" s="587">
        <f>'Volume and Speed'!K725</f>
        <v>6745.3306870503566</v>
      </c>
      <c r="M649" s="587">
        <f>'Volume and Speed'!L725</f>
        <v>7151.8995481951924</v>
      </c>
      <c r="N649" s="587">
        <f>'Volume and Speed'!M725</f>
        <v>7560.7335143730634</v>
      </c>
      <c r="O649" s="587">
        <f>'Volume and Speed'!N725</f>
        <v>7973.2537206034203</v>
      </c>
      <c r="P649" s="587">
        <f>'Volume and Speed'!O725</f>
        <v>8392.1124297514179</v>
      </c>
      <c r="Q649" s="587">
        <f>'Volume and Speed'!P725</f>
        <v>8806.882020079338</v>
      </c>
      <c r="R649" s="587">
        <f>'Volume and Speed'!Q725</f>
        <v>9235.1386103994082</v>
      </c>
      <c r="S649" s="587">
        <f>'Volume and Speed'!R725</f>
        <v>9682.9758864209689</v>
      </c>
      <c r="T649" s="587">
        <f>'Volume and Speed'!S725</f>
        <v>10159.56659443544</v>
      </c>
      <c r="U649" s="587">
        <f>'Volume and Speed'!T725</f>
        <v>10677.823562668429</v>
      </c>
      <c r="V649" s="587">
        <f>'Volume and Speed'!U725</f>
        <v>11094.128788060096</v>
      </c>
      <c r="W649" s="587">
        <f>'Volume and Speed'!V725</f>
        <v>11475.806010678632</v>
      </c>
      <c r="X649" s="587">
        <f>'Volume and Speed'!W725</f>
        <v>11892.397442432946</v>
      </c>
      <c r="Y649" s="587">
        <f>'Volume and Speed'!X725</f>
        <v>12351.57465231662</v>
      </c>
      <c r="Z649" s="587">
        <f>'Volume and Speed'!Y725</f>
        <v>12862.687935047634</v>
      </c>
      <c r="AA649" s="587">
        <f>'Volume and Speed'!Z725</f>
        <v>13436.170184478029</v>
      </c>
      <c r="AB649" s="587">
        <f>'Volume and Speed'!AA725</f>
        <v>14085.301242906455</v>
      </c>
      <c r="AC649" s="587">
        <f>'Volume and Speed'!AB725</f>
        <v>14824.660757215519</v>
      </c>
      <c r="AD649" s="587">
        <f>'Volume and Speed'!AC725</f>
        <v>15672.213864678801</v>
      </c>
      <c r="AE649" s="587">
        <f>'Volume and Speed'!AD725</f>
        <v>16649.122705484915</v>
      </c>
      <c r="AF649" s="587">
        <f>'Volume and Speed'!AE725</f>
        <v>17778.823117965192</v>
      </c>
      <c r="AG649" s="587">
        <f>'Volume and Speed'!AF725</f>
        <v>19089.844488663046</v>
      </c>
      <c r="AH649" s="754">
        <f>'Volume and Speed'!AG725</f>
        <v>20615.524165646661</v>
      </c>
      <c r="AI649" s="18"/>
      <c r="AJ649" s="18"/>
      <c r="AK649" s="18"/>
      <c r="AL649" s="18"/>
      <c r="AM649" s="18"/>
      <c r="AN649" s="18"/>
    </row>
    <row r="650" spans="1:41" ht="21.95" customHeight="1" x14ac:dyDescent="0.2">
      <c r="B650" s="232"/>
      <c r="C650" s="715"/>
      <c r="D650" s="715"/>
      <c r="E650" s="1340" t="s">
        <v>280</v>
      </c>
      <c r="F650" s="220" t="s">
        <v>281</v>
      </c>
      <c r="G650" s="220" t="s">
        <v>335</v>
      </c>
      <c r="H650" s="583" t="s">
        <v>23</v>
      </c>
      <c r="I650" s="577">
        <f>'Volume and Speed'!H726</f>
        <v>65763.478261261611</v>
      </c>
      <c r="J650" s="577">
        <f>'Volume and Speed'!I726</f>
        <v>72415.782905479355</v>
      </c>
      <c r="K650" s="577">
        <f>'Volume and Speed'!J726</f>
        <v>87288.522339266085</v>
      </c>
      <c r="L650" s="577">
        <f>'Volume and Speed'!K726</f>
        <v>117161.58255540981</v>
      </c>
      <c r="M650" s="577">
        <f>'Volume and Speed'!L726</f>
        <v>147053.05884410304</v>
      </c>
      <c r="N650" s="577">
        <f>'Volume and Speed'!M726</f>
        <v>176941.26267525891</v>
      </c>
      <c r="O650" s="577">
        <f>'Volume and Speed'!N726</f>
        <v>206814.41835417983</v>
      </c>
      <c r="P650" s="577">
        <f>'Volume and Speed'!O726</f>
        <v>236724.70467922481</v>
      </c>
      <c r="Q650" s="577">
        <f>'Volume and Speed'!P726</f>
        <v>266074.97860319499</v>
      </c>
      <c r="R650" s="577">
        <f>'Volume and Speed'!Q726</f>
        <v>295442.73290277738</v>
      </c>
      <c r="S650" s="577">
        <f>'Volume and Speed'!R726</f>
        <v>324802.47470902756</v>
      </c>
      <c r="T650" s="577">
        <f>'Volume and Speed'!S726</f>
        <v>354177.97283947672</v>
      </c>
      <c r="U650" s="577">
        <f>'Volume and Speed'!T726</f>
        <v>383624.47244799929</v>
      </c>
      <c r="V650" s="577">
        <f>'Volume and Speed'!U726</f>
        <v>398006.37738548004</v>
      </c>
      <c r="W650" s="577">
        <f>'Volume and Speed'!V726</f>
        <v>404689.8477729091</v>
      </c>
      <c r="X650" s="577">
        <f>'Volume and Speed'!W726</f>
        <v>411378.88759099506</v>
      </c>
      <c r="Y650" s="577">
        <f>'Volume and Speed'!X726</f>
        <v>418074.37761359976</v>
      </c>
      <c r="Z650" s="577">
        <f>'Volume and Speed'!Y726</f>
        <v>424787.59707454138</v>
      </c>
      <c r="AA650" s="577">
        <f>'Volume and Speed'!Z726</f>
        <v>431499.14373961923</v>
      </c>
      <c r="AB650" s="577">
        <f>'Volume and Speed'!AA726</f>
        <v>438230.88040856714</v>
      </c>
      <c r="AC650" s="577">
        <f>'Volume and Speed'!AB726</f>
        <v>444963.67027923669</v>
      </c>
      <c r="AD650" s="577">
        <f>'Volume and Speed'!AC726</f>
        <v>451709.45334487868</v>
      </c>
      <c r="AE650" s="577">
        <f>'Volume and Speed'!AD726</f>
        <v>458480.45965916745</v>
      </c>
      <c r="AF650" s="577">
        <f>'Volume and Speed'!AE726</f>
        <v>465258.06427605473</v>
      </c>
      <c r="AG650" s="577">
        <f>'Volume and Speed'!AF726</f>
        <v>472054.9636556498</v>
      </c>
      <c r="AH650" s="752">
        <f>'Volume and Speed'!AG726</f>
        <v>478884.25870183099</v>
      </c>
      <c r="AI650" s="18"/>
      <c r="AJ650" s="18"/>
      <c r="AK650" s="18"/>
      <c r="AL650" s="18"/>
      <c r="AM650" s="18"/>
      <c r="AN650" s="18"/>
    </row>
    <row r="651" spans="1:41" ht="21.95" customHeight="1" x14ac:dyDescent="0.2">
      <c r="B651" s="232"/>
      <c r="C651" s="715"/>
      <c r="D651" s="715"/>
      <c r="E651" s="1340"/>
      <c r="F651" s="116" t="s">
        <v>335</v>
      </c>
      <c r="G651" s="116" t="s">
        <v>323</v>
      </c>
      <c r="H651" s="577" t="s">
        <v>23</v>
      </c>
      <c r="I651" s="577">
        <f>'Volume and Speed'!H727</f>
        <v>8848.4899221904034</v>
      </c>
      <c r="J651" s="577">
        <f>'Volume and Speed'!I727</f>
        <v>9688.5885075925544</v>
      </c>
      <c r="K651" s="577">
        <f>'Volume and Speed'!J727</f>
        <v>10880.367478794094</v>
      </c>
      <c r="L651" s="577">
        <f>'Volume and Speed'!K727</f>
        <v>12822.418318768614</v>
      </c>
      <c r="M651" s="577">
        <f>'Volume and Speed'!L727</f>
        <v>14765.924432374451</v>
      </c>
      <c r="N651" s="577">
        <f>'Volume and Speed'!M727</f>
        <v>16712.598895484894</v>
      </c>
      <c r="O651" s="577">
        <f>'Volume and Speed'!N727</f>
        <v>18667.372614188738</v>
      </c>
      <c r="P651" s="577">
        <f>'Volume and Speed'!O727</f>
        <v>20647.817545622693</v>
      </c>
      <c r="Q651" s="577">
        <f>'Volume and Speed'!P727</f>
        <v>22973.419692461855</v>
      </c>
      <c r="R651" s="577">
        <f>'Volume and Speed'!Q727</f>
        <v>25485.14475233596</v>
      </c>
      <c r="S651" s="577">
        <f>'Volume and Speed'!R727</f>
        <v>28417.099562131079</v>
      </c>
      <c r="T651" s="577">
        <f>'Volume and Speed'!S727</f>
        <v>32246.205065692226</v>
      </c>
      <c r="U651" s="577">
        <f>'Volume and Speed'!T727</f>
        <v>37883.09792185804</v>
      </c>
      <c r="V651" s="577">
        <f>'Volume and Speed'!U727</f>
        <v>43343.021499089074</v>
      </c>
      <c r="W651" s="577">
        <f>'Volume and Speed'!V727</f>
        <v>47428.951547444565</v>
      </c>
      <c r="X651" s="577">
        <f>'Volume and Speed'!W727</f>
        <v>52425.604715419307</v>
      </c>
      <c r="Y651" s="577">
        <f>'Volume and Speed'!X727</f>
        <v>58556.881843177965</v>
      </c>
      <c r="Z651" s="577">
        <f>'Volume and Speed'!Y727</f>
        <v>66103.837600834668</v>
      </c>
      <c r="AA651" s="577">
        <f>'Volume and Speed'!Z727</f>
        <v>75377.451640749176</v>
      </c>
      <c r="AB651" s="577">
        <f>'Volume and Speed'!AA727</f>
        <v>86794.047192523052</v>
      </c>
      <c r="AC651" s="577">
        <f>'Volume and Speed'!AB727</f>
        <v>89520.500476160436</v>
      </c>
      <c r="AD651" s="577">
        <f>'Volume and Speed'!AC727</f>
        <v>91449.213930593614</v>
      </c>
      <c r="AE651" s="577">
        <f>'Volume and Speed'!AD727</f>
        <v>93380.176641897851</v>
      </c>
      <c r="AF651" s="577">
        <f>'Volume and Speed'!AE727</f>
        <v>95308.998127571176</v>
      </c>
      <c r="AG651" s="577">
        <f>'Volume and Speed'!AF727</f>
        <v>97237.890457528643</v>
      </c>
      <c r="AH651" s="752">
        <f>'Volume and Speed'!AG727</f>
        <v>99169.068835525919</v>
      </c>
      <c r="AI651" s="18"/>
      <c r="AJ651" s="18"/>
      <c r="AK651" s="18"/>
      <c r="AL651" s="18"/>
      <c r="AM651" s="18"/>
      <c r="AN651" s="18"/>
    </row>
    <row r="652" spans="1:41" ht="21.95" customHeight="1" x14ac:dyDescent="0.2">
      <c r="B652" s="232"/>
      <c r="C652" s="715"/>
      <c r="D652" s="715"/>
      <c r="E652" s="1333"/>
      <c r="F652" s="254" t="s">
        <v>323</v>
      </c>
      <c r="G652" s="254" t="s">
        <v>338</v>
      </c>
      <c r="H652" s="587" t="s">
        <v>23</v>
      </c>
      <c r="I652" s="587">
        <f>'Volume and Speed'!H728</f>
        <v>125559.46488394152</v>
      </c>
      <c r="J652" s="587">
        <f>'Volume and Speed'!I728</f>
        <v>129298.84195948513</v>
      </c>
      <c r="K652" s="587">
        <f>'Volume and Speed'!J728</f>
        <v>134763.71428682527</v>
      </c>
      <c r="L652" s="587">
        <f>'Volume and Speed'!K728</f>
        <v>142819.75301685371</v>
      </c>
      <c r="M652" s="587">
        <f>'Volume and Speed'!L728</f>
        <v>151564.0457773144</v>
      </c>
      <c r="N652" s="587">
        <f>'Volume and Speed'!M728</f>
        <v>161367.28869303904</v>
      </c>
      <c r="O652" s="587">
        <f>'Volume and Speed'!N728</f>
        <v>172773.35740434137</v>
      </c>
      <c r="P652" s="587">
        <f>'Volume and Speed'!O728</f>
        <v>186582.19091549522</v>
      </c>
      <c r="Q652" s="587">
        <f>'Volume and Speed'!P728</f>
        <v>204082.44793959323</v>
      </c>
      <c r="R652" s="587">
        <f>'Volume and Speed'!Q728</f>
        <v>226759.75695798732</v>
      </c>
      <c r="S652" s="587">
        <f>'Volume and Speed'!R728</f>
        <v>256799.41087837238</v>
      </c>
      <c r="T652" s="587">
        <f>'Volume and Speed'!S728</f>
        <v>297210.63501489989</v>
      </c>
      <c r="U652" s="587">
        <f>'Volume and Speed'!T728</f>
        <v>352079.19405828248</v>
      </c>
      <c r="V652" s="587">
        <f>'Volume and Speed'!U728</f>
        <v>403036.83741010039</v>
      </c>
      <c r="W652" s="587">
        <f>'Volume and Speed'!V728</f>
        <v>445497.93802874989</v>
      </c>
      <c r="X652" s="587">
        <f>'Volume and Speed'!W728</f>
        <v>477530.93935508019</v>
      </c>
      <c r="Y652" s="587">
        <f>'Volume and Speed'!X728</f>
        <v>485272.51730524574</v>
      </c>
      <c r="Z652" s="587">
        <f>'Volume and Speed'!Y728</f>
        <v>493017.90487224236</v>
      </c>
      <c r="AA652" s="587">
        <f>'Volume and Speed'!Z728</f>
        <v>500759.75031408755</v>
      </c>
      <c r="AB652" s="587">
        <f>'Volume and Speed'!AA728</f>
        <v>508505.44613405102</v>
      </c>
      <c r="AC652" s="587">
        <f>'Volume and Speed'!AB728</f>
        <v>516247.64665636112</v>
      </c>
      <c r="AD652" s="587">
        <f>'Volume and Speed'!AC728</f>
        <v>523990.06452830543</v>
      </c>
      <c r="AE652" s="587">
        <f>'Volume and Speed'!AD728</f>
        <v>531736.41773450305</v>
      </c>
      <c r="AF652" s="587">
        <f>'Volume and Speed'!AE728</f>
        <v>539479.37141869066</v>
      </c>
      <c r="AG652" s="587">
        <f>'Volume and Speed'!AF728</f>
        <v>547222.64973636321</v>
      </c>
      <c r="AH652" s="754">
        <f>'Volume and Speed'!AG728</f>
        <v>554969.98448030138</v>
      </c>
      <c r="AI652" s="18"/>
      <c r="AJ652" s="18"/>
      <c r="AK652" s="18"/>
      <c r="AL652" s="18"/>
      <c r="AM652" s="18"/>
      <c r="AN652" s="18"/>
    </row>
    <row r="653" spans="1:41" ht="21.95" customHeight="1" x14ac:dyDescent="0.2">
      <c r="B653" s="232"/>
      <c r="C653" s="715"/>
      <c r="D653" s="715"/>
      <c r="E653" s="116" t="s">
        <v>339</v>
      </c>
      <c r="F653" s="116" t="s">
        <v>335</v>
      </c>
      <c r="G653" s="116" t="s">
        <v>323</v>
      </c>
      <c r="H653" s="577" t="s">
        <v>23</v>
      </c>
      <c r="I653" s="593">
        <f>'Volume and Speed'!H729</f>
        <v>397.10648148148141</v>
      </c>
      <c r="J653" s="593">
        <f>'Volume and Speed'!I729</f>
        <v>1649.3817708333331</v>
      </c>
      <c r="K653" s="593">
        <f>'Volume and Speed'!J729</f>
        <v>14714.582118138806</v>
      </c>
      <c r="L653" s="593">
        <f>'Volume and Speed'!K729</f>
        <v>34803.604435508329</v>
      </c>
      <c r="M653" s="593">
        <f>'Volume and Speed'!L729</f>
        <v>54907.083007054956</v>
      </c>
      <c r="N653" s="593">
        <f>'Volume and Speed'!M729</f>
        <v>75007.318638135228</v>
      </c>
      <c r="O653" s="593">
        <f>'Volume and Speed'!N729</f>
        <v>95159.663067112328</v>
      </c>
      <c r="P653" s="593">
        <f>'Volume and Speed'!O729</f>
        <v>115772.18898341974</v>
      </c>
      <c r="Q653" s="593">
        <f>'Volume and Speed'!P729</f>
        <v>124704.21763673876</v>
      </c>
      <c r="R653" s="593">
        <f>'Volume and Speed'!Q729</f>
        <v>134259.90252086625</v>
      </c>
      <c r="S653" s="593">
        <f>'Volume and Speed'!R729</f>
        <v>144916.52225817193</v>
      </c>
      <c r="T653" s="593">
        <f>'Volume and Speed'!S729</f>
        <v>157470.82077452834</v>
      </c>
      <c r="U653" s="593">
        <f>'Volume and Speed'!T729</f>
        <v>173252.26914442139</v>
      </c>
      <c r="V653" s="593">
        <f>'Volume and Speed'!U729</f>
        <v>176022.9671175917</v>
      </c>
      <c r="W653" s="593">
        <f>'Volume and Speed'!V729</f>
        <v>178918.88082641189</v>
      </c>
      <c r="X653" s="593">
        <f>'Volume and Speed'!W729</f>
        <v>181949.32729113434</v>
      </c>
      <c r="Y653" s="593">
        <f>'Volume and Speed'!X729</f>
        <v>185124.13712602586</v>
      </c>
      <c r="Z653" s="593">
        <f>'Volume and Speed'!Y729</f>
        <v>188478.11353383906</v>
      </c>
      <c r="AA653" s="593">
        <f>'Volume and Speed'!Z729</f>
        <v>191974.93707875133</v>
      </c>
      <c r="AB653" s="593">
        <f>'Volume and Speed'!AA729</f>
        <v>195661.59550874622</v>
      </c>
      <c r="AC653" s="593">
        <f>'Volume and Speed'!AB729</f>
        <v>199527.40554806791</v>
      </c>
      <c r="AD653" s="593">
        <f>'Volume and Speed'!AC729</f>
        <v>203597.10963019443</v>
      </c>
      <c r="AE653" s="593">
        <f>'Volume and Speed'!AD729</f>
        <v>207916.3261736953</v>
      </c>
      <c r="AF653" s="593">
        <f>'Volume and Speed'!AE729</f>
        <v>212439.03031614795</v>
      </c>
      <c r="AG653" s="593">
        <f>'Volume and Speed'!AF729</f>
        <v>217211.03010496756</v>
      </c>
      <c r="AH653" s="755">
        <f>'Volume and Speed'!AG729</f>
        <v>222265.71920613194</v>
      </c>
      <c r="AI653" s="18"/>
      <c r="AJ653" s="18"/>
      <c r="AK653" s="18"/>
      <c r="AL653" s="18"/>
      <c r="AM653" s="18"/>
      <c r="AN653" s="18"/>
    </row>
    <row r="654" spans="1:41" ht="21.95" customHeight="1" x14ac:dyDescent="0.2">
      <c r="B654" s="232"/>
      <c r="C654" s="715"/>
      <c r="D654" s="715"/>
      <c r="E654" s="1340" t="s">
        <v>323</v>
      </c>
      <c r="F654" s="220" t="s">
        <v>282</v>
      </c>
      <c r="G654" s="220" t="s">
        <v>339</v>
      </c>
      <c r="H654" s="583" t="s">
        <v>23</v>
      </c>
      <c r="I654" s="577">
        <f>'Volume and Speed'!H730</f>
        <v>1198.905109489051</v>
      </c>
      <c r="J654" s="577">
        <f>'Volume and Speed'!I730</f>
        <v>2664.5666058394158</v>
      </c>
      <c r="K654" s="577">
        <f>'Volume and Speed'!J730</f>
        <v>11261.9151459854</v>
      </c>
      <c r="L654" s="577">
        <f>'Volume and Speed'!K730</f>
        <v>25316.080291971932</v>
      </c>
      <c r="M654" s="577">
        <f>'Volume and Speed'!L730</f>
        <v>39378.038321313361</v>
      </c>
      <c r="N654" s="577">
        <f>'Volume and Speed'!M730</f>
        <v>53440.595807103331</v>
      </c>
      <c r="O654" s="577">
        <f>'Volume and Speed'!N730</f>
        <v>67494.761003473541</v>
      </c>
      <c r="P654" s="577">
        <f>'Volume and Speed'!O730</f>
        <v>81565.111751914897</v>
      </c>
      <c r="Q654" s="577">
        <f>'Volume and Speed'!P730</f>
        <v>92415.204285157481</v>
      </c>
      <c r="R654" s="577">
        <f>'Volume and Speed'!Q730</f>
        <v>103267.098022146</v>
      </c>
      <c r="S654" s="577">
        <f>'Volume and Speed'!R730</f>
        <v>114117.20100719389</v>
      </c>
      <c r="T654" s="577">
        <f>'Volume and Speed'!S730</f>
        <v>124967.32246853947</v>
      </c>
      <c r="U654" s="577">
        <f>'Volume and Speed'!T730</f>
        <v>135831.87240782398</v>
      </c>
      <c r="V654" s="577">
        <f>'Volume and Speed'!U730</f>
        <v>141216.81857160493</v>
      </c>
      <c r="W654" s="577">
        <f>'Volume and Speed'!V730</f>
        <v>142682.50214424095</v>
      </c>
      <c r="X654" s="577">
        <f>'Volume and Speed'!W730</f>
        <v>144148.18810430038</v>
      </c>
      <c r="Y654" s="577">
        <f>'Volume and Speed'!X730</f>
        <v>145613.8766824351</v>
      </c>
      <c r="Z654" s="577">
        <f>'Volume and Speed'!Y730</f>
        <v>147083.76438616531</v>
      </c>
      <c r="AA654" s="577">
        <f>'Volume and Speed'!Z730</f>
        <v>148549.45897933331</v>
      </c>
      <c r="AB654" s="577">
        <f>'Volume and Speed'!AA730</f>
        <v>150019.35328198146</v>
      </c>
      <c r="AC654" s="577">
        <f>'Volume and Speed'!AB730</f>
        <v>151485.05506695382</v>
      </c>
      <c r="AD654" s="577">
        <f>'Volume and Speed'!AC730</f>
        <v>152950.7609445136</v>
      </c>
      <c r="AE654" s="577">
        <f>'Volume and Speed'!AD730</f>
        <v>154420.66759960086</v>
      </c>
      <c r="AF654" s="577">
        <f>'Volume and Speed'!AE730</f>
        <v>155886.38281767844</v>
      </c>
      <c r="AG654" s="577">
        <f>'Volume and Speed'!AF730</f>
        <v>157352.10333149429</v>
      </c>
      <c r="AH654" s="752">
        <f>'Volume and Speed'!AG730</f>
        <v>158822.02596842652</v>
      </c>
      <c r="AI654" s="18"/>
      <c r="AJ654" s="18"/>
      <c r="AK654" s="18"/>
      <c r="AL654" s="18"/>
      <c r="AM654" s="18"/>
      <c r="AN654" s="18"/>
    </row>
    <row r="655" spans="1:41" ht="21.95" customHeight="1" x14ac:dyDescent="0.2">
      <c r="B655" s="232"/>
      <c r="C655" s="715"/>
      <c r="D655" s="715"/>
      <c r="E655" s="1340"/>
      <c r="F655" s="116" t="s">
        <v>339</v>
      </c>
      <c r="G655" s="116" t="s">
        <v>288</v>
      </c>
      <c r="H655" s="577" t="s">
        <v>23</v>
      </c>
      <c r="I655" s="577">
        <f>'Volume and Speed'!H731</f>
        <v>0</v>
      </c>
      <c r="J655" s="577">
        <f>'Volume and Speed'!I731</f>
        <v>808.15085158150828</v>
      </c>
      <c r="K655" s="577">
        <f>'Volume and Speed'!J731</f>
        <v>2335.8046228710464</v>
      </c>
      <c r="L655" s="577">
        <f>'Volume and Speed'!K731</f>
        <v>5250.7425790756597</v>
      </c>
      <c r="M655" s="577">
        <f>'Volume and Speed'!L731</f>
        <v>8167.2968370131402</v>
      </c>
      <c r="N655" s="577">
        <f>'Volume and Speed'!M731</f>
        <v>11083.97542665847</v>
      </c>
      <c r="O655" s="577">
        <f>'Volume and Speed'!N731</f>
        <v>13998.913393313032</v>
      </c>
      <c r="P655" s="577">
        <f>'Volume and Speed'!O731</f>
        <v>16917.208363360129</v>
      </c>
      <c r="Q655" s="577">
        <f>'Volume and Speed'!P731</f>
        <v>19167.597925810442</v>
      </c>
      <c r="R655" s="577">
        <f>'Volume and Speed'!Q731</f>
        <v>21418.361071259911</v>
      </c>
      <c r="S655" s="577">
        <f>'Volume and Speed'!R731</f>
        <v>23668.752801492064</v>
      </c>
      <c r="T655" s="577">
        <f>'Volume and Speed'!S731</f>
        <v>25919.148363845226</v>
      </c>
      <c r="U655" s="577">
        <f>'Volume and Speed'!T731</f>
        <v>28172.536499400529</v>
      </c>
      <c r="V655" s="577">
        <f>'Volume and Speed'!U731</f>
        <v>29289.414222258802</v>
      </c>
      <c r="W655" s="577">
        <f>'Volume and Speed'!V731</f>
        <v>29593.407852138866</v>
      </c>
      <c r="X655" s="577">
        <f>'Volume and Speed'!W731</f>
        <v>29897.401977188223</v>
      </c>
      <c r="Y655" s="577">
        <f>'Volume and Speed'!X731</f>
        <v>30201.396645245804</v>
      </c>
      <c r="Z655" s="577">
        <f>'Volume and Speed'!Y731</f>
        <v>30506.26224305651</v>
      </c>
      <c r="AA655" s="577">
        <f>'Volume and Speed'!Z731</f>
        <v>30810.258158676537</v>
      </c>
      <c r="AB655" s="577">
        <f>'Volume and Speed'!AA731</f>
        <v>31115.12512515171</v>
      </c>
      <c r="AC655" s="577">
        <f>'Volume and Speed'!AB731</f>
        <v>31419.122532405239</v>
      </c>
      <c r="AD655" s="577">
        <f>'Volume and Speed'!AC731</f>
        <v>31723.120788491702</v>
      </c>
      <c r="AE655" s="577">
        <f>'Volume and Speed'!AD731</f>
        <v>32027.990316954256</v>
      </c>
      <c r="AF655" s="577">
        <f>'Volume and Speed'!AE731</f>
        <v>32331.990510333308</v>
      </c>
      <c r="AG655" s="577">
        <f>'Volume and Speed'!AF731</f>
        <v>32635.991802087701</v>
      </c>
      <c r="AH655" s="752">
        <f>'Volume and Speed'!AG731</f>
        <v>32940.864645303278</v>
      </c>
      <c r="AI655" s="18"/>
      <c r="AJ655" s="18"/>
      <c r="AK655" s="18"/>
      <c r="AL655" s="18"/>
      <c r="AM655" s="18"/>
      <c r="AN655" s="18"/>
    </row>
    <row r="656" spans="1:41" ht="21.95" customHeight="1" x14ac:dyDescent="0.2">
      <c r="B656" s="232"/>
      <c r="C656" s="715"/>
      <c r="D656" s="715"/>
      <c r="E656" s="1340"/>
      <c r="F656" s="116" t="s">
        <v>288</v>
      </c>
      <c r="G656" s="116" t="s">
        <v>340</v>
      </c>
      <c r="H656" s="577" t="s">
        <v>23</v>
      </c>
      <c r="I656" s="577">
        <f>'Volume and Speed'!H732</f>
        <v>0</v>
      </c>
      <c r="J656" s="577">
        <f>'Volume and Speed'!I732</f>
        <v>2106.9647201946473</v>
      </c>
      <c r="K656" s="577">
        <f>'Volume and Speed'!J732</f>
        <v>6089.7763381995128</v>
      </c>
      <c r="L656" s="577">
        <f>'Volume and Speed'!K732</f>
        <v>13689.436009732968</v>
      </c>
      <c r="M656" s="577">
        <f>'Volume and Speed'!L732</f>
        <v>21293.309610784258</v>
      </c>
      <c r="N656" s="577">
        <f>'Volume and Speed'!M732</f>
        <v>28897.507362359574</v>
      </c>
      <c r="O656" s="577">
        <f>'Volume and Speed'!N732</f>
        <v>36497.167061137545</v>
      </c>
      <c r="P656" s="577">
        <f>'Volume and Speed'!O732</f>
        <v>44105.578947331764</v>
      </c>
      <c r="Q656" s="577">
        <f>'Volume and Speed'!P732</f>
        <v>49972.666020862933</v>
      </c>
      <c r="R656" s="577">
        <f>'Volume and Speed'!Q732</f>
        <v>55840.72707864191</v>
      </c>
      <c r="S656" s="577">
        <f>'Volume and Speed'!R732</f>
        <v>61707.819803890015</v>
      </c>
      <c r="T656" s="577">
        <f>'Volume and Speed'!S732</f>
        <v>67574.922520025022</v>
      </c>
      <c r="U656" s="577">
        <f>'Volume and Speed'!T732</f>
        <v>73449.827302008503</v>
      </c>
      <c r="V656" s="577">
        <f>'Volume and Speed'!U732</f>
        <v>76361.687079460433</v>
      </c>
      <c r="W656" s="577">
        <f>'Volume and Speed'!V732</f>
        <v>77154.241900219175</v>
      </c>
      <c r="X656" s="577">
        <f>'Volume and Speed'!W732</f>
        <v>77946.798011955019</v>
      </c>
      <c r="Y656" s="577">
        <f>'Volume and Speed'!X732</f>
        <v>78739.355539390832</v>
      </c>
      <c r="Z656" s="577">
        <f>'Volume and Speed'!Y732</f>
        <v>79534.183705111616</v>
      </c>
      <c r="AA656" s="577">
        <f>'Volume and Speed'!Z732</f>
        <v>80326.744485120973</v>
      </c>
      <c r="AB656" s="577">
        <f>'Volume and Speed'!AA732</f>
        <v>81121.576219145514</v>
      </c>
      <c r="AC656" s="577">
        <f>'Volume and Speed'!AB732</f>
        <v>81914.140888056514</v>
      </c>
      <c r="AD656" s="577">
        <f>'Volume and Speed'!AC732</f>
        <v>82706.707769996225</v>
      </c>
      <c r="AE656" s="577">
        <f>'Volume and Speed'!AD732</f>
        <v>83501.546183487866</v>
      </c>
      <c r="AF656" s="577">
        <f>'Volume and Speed'!AE732</f>
        <v>84294.118116226105</v>
      </c>
      <c r="AG656" s="577">
        <f>'Volume and Speed'!AF732</f>
        <v>85086.692912585801</v>
      </c>
      <c r="AH656" s="752">
        <f>'Volume and Speed'!AG732</f>
        <v>85881.53996811212</v>
      </c>
      <c r="AI656" s="18"/>
      <c r="AJ656" s="18"/>
      <c r="AK656" s="18"/>
      <c r="AL656" s="18"/>
      <c r="AM656" s="18"/>
      <c r="AN656" s="18"/>
    </row>
    <row r="657" spans="2:40" ht="21.95" customHeight="1" x14ac:dyDescent="0.2">
      <c r="B657" s="232"/>
      <c r="C657" s="715"/>
      <c r="D657" s="715"/>
      <c r="E657" s="1340"/>
      <c r="F657" s="254" t="s">
        <v>340</v>
      </c>
      <c r="G657" s="254" t="s">
        <v>280</v>
      </c>
      <c r="H657" s="587" t="s">
        <v>23</v>
      </c>
      <c r="I657" s="587">
        <f>'Volume and Speed'!H733</f>
        <v>2797.4452554744526</v>
      </c>
      <c r="J657" s="587">
        <f>'Volume and Speed'!I733</f>
        <v>4134.3443430656926</v>
      </c>
      <c r="K657" s="587">
        <f>'Volume and Speed'!J733</f>
        <v>5799.85</v>
      </c>
      <c r="L657" s="587">
        <f>'Volume and Speed'!K733</f>
        <v>9366.0332116788322</v>
      </c>
      <c r="M657" s="587">
        <f>'Volume and Speed'!L733</f>
        <v>12932.682664233587</v>
      </c>
      <c r="N657" s="587">
        <f>'Volume and Speed'!M733</f>
        <v>16500.824087591365</v>
      </c>
      <c r="O657" s="587">
        <f>'Volume and Speed'!N733</f>
        <v>20067.00729927115</v>
      </c>
      <c r="P657" s="587">
        <f>'Volume and Speed'!O733</f>
        <v>23631.325547451786</v>
      </c>
      <c r="Q657" s="587">
        <f>'Volume and Speed'!P733</f>
        <v>30788.309489170948</v>
      </c>
      <c r="R657" s="587">
        <f>'Volume and Speed'!Q733</f>
        <v>37941.190512141889</v>
      </c>
      <c r="S657" s="587">
        <f>'Volume and Speed'!R733</f>
        <v>45095.656759802892</v>
      </c>
      <c r="T657" s="587">
        <f>'Volume and Speed'!S733</f>
        <v>52252.640733758701</v>
      </c>
      <c r="U657" s="587">
        <f>'Volume and Speed'!T733</f>
        <v>59407.759836992336</v>
      </c>
      <c r="V657" s="587">
        <f>'Volume and Speed'!U733</f>
        <v>64663.879982477069</v>
      </c>
      <c r="W657" s="587">
        <f>'Volume and Speed'!V733</f>
        <v>66000.779176209689</v>
      </c>
      <c r="X657" s="587">
        <f>'Volume and Speed'!W733</f>
        <v>67337.678393764189</v>
      </c>
      <c r="Y657" s="587">
        <f>'Volume and Speed'!X733</f>
        <v>68674.577639852505</v>
      </c>
      <c r="Z657" s="587">
        <f>'Volume and Speed'!Y733</f>
        <v>70007.467247826862</v>
      </c>
      <c r="AA657" s="587">
        <f>'Volume and Speed'!Z733</f>
        <v>71344.366568339159</v>
      </c>
      <c r="AB657" s="587">
        <f>'Volume and Speed'!AA733</f>
        <v>72677.256264387222</v>
      </c>
      <c r="AC657" s="587">
        <f>'Volume and Speed'!AB733</f>
        <v>74014.155689420746</v>
      </c>
      <c r="AD657" s="587">
        <f>'Volume and Speed'!AC733</f>
        <v>75351.055181241478</v>
      </c>
      <c r="AE657" s="587">
        <f>'Volume and Speed'!AD733</f>
        <v>76683.945078408971</v>
      </c>
      <c r="AF657" s="587">
        <f>'Volume and Speed'!AE733</f>
        <v>78020.844740296001</v>
      </c>
      <c r="AG657" s="587">
        <f>'Volume and Speed'!AF733</f>
        <v>79357.744509500684</v>
      </c>
      <c r="AH657" s="754">
        <f>'Volume and Speed'!AG733</f>
        <v>80690.634729588026</v>
      </c>
      <c r="AI657" s="18"/>
      <c r="AJ657" s="18"/>
      <c r="AK657" s="18"/>
      <c r="AL657" s="18"/>
      <c r="AM657" s="18"/>
      <c r="AN657" s="18"/>
    </row>
    <row r="658" spans="2:40" ht="21.95" customHeight="1" x14ac:dyDescent="0.2">
      <c r="B658" s="232"/>
      <c r="C658" s="715"/>
      <c r="D658" s="715"/>
      <c r="E658" s="1340" t="s">
        <v>334</v>
      </c>
      <c r="F658" s="116" t="s">
        <v>336</v>
      </c>
      <c r="G658" s="116" t="s">
        <v>337</v>
      </c>
      <c r="H658" s="577" t="s">
        <v>23</v>
      </c>
      <c r="I658" s="577">
        <f>'Volume and Speed'!H734</f>
        <v>50196.720034495389</v>
      </c>
      <c r="J658" s="577">
        <f>'Volume and Speed'!I734</f>
        <v>51587.251965920957</v>
      </c>
      <c r="K658" s="577">
        <f>'Volume and Speed'!J734</f>
        <v>53831.420020626247</v>
      </c>
      <c r="L658" s="577">
        <f>'Volume and Speed'!K734</f>
        <v>57037.673320945672</v>
      </c>
      <c r="M658" s="577">
        <f>'Volume and Speed'!L734</f>
        <v>60245.731396834977</v>
      </c>
      <c r="N658" s="577">
        <f>'Volume and Speed'!M734</f>
        <v>63454.214998305571</v>
      </c>
      <c r="O658" s="577">
        <f>'Volume and Speed'!N734</f>
        <v>66662.40551445735</v>
      </c>
      <c r="P658" s="577">
        <f>'Volume and Speed'!O734</f>
        <v>69874.966156863855</v>
      </c>
      <c r="Q658" s="577">
        <f>'Volume and Speed'!P734</f>
        <v>72736.357307731698</v>
      </c>
      <c r="R658" s="577">
        <f>'Volume and Speed'!Q734</f>
        <v>75601.238119075977</v>
      </c>
      <c r="S658" s="577">
        <f>'Volume and Speed'!R734</f>
        <v>78468.882064532168</v>
      </c>
      <c r="T658" s="577">
        <f>'Volume and Speed'!S734</f>
        <v>81341.635536632515</v>
      </c>
      <c r="U658" s="577">
        <f>'Volume and Speed'!T734</f>
        <v>84224.331542750078</v>
      </c>
      <c r="V658" s="577">
        <f>'Volume and Speed'!U734</f>
        <v>86137.981815861916</v>
      </c>
      <c r="W658" s="577">
        <f>'Volume and Speed'!V734</f>
        <v>87546.980011808875</v>
      </c>
      <c r="X658" s="577">
        <f>'Volume and Speed'!W734</f>
        <v>88959.176142850047</v>
      </c>
      <c r="Y658" s="577">
        <f>'Volume and Speed'!X734</f>
        <v>90375.058054087538</v>
      </c>
      <c r="Z658" s="577">
        <f>'Volume and Speed'!Y734</f>
        <v>91796.095561331211</v>
      </c>
      <c r="AA658" s="577">
        <f>'Volume and Speed'!Z734</f>
        <v>93221.08336365156</v>
      </c>
      <c r="AB658" s="577">
        <f>'Volume and Speed'!AA734</f>
        <v>94652.565814260335</v>
      </c>
      <c r="AC658" s="577">
        <f>'Volume and Speed'!AB734</f>
        <v>96089.494694728957</v>
      </c>
      <c r="AD658" s="577">
        <f>'Volume and Speed'!AC734</f>
        <v>97533.685697613852</v>
      </c>
      <c r="AE658" s="577">
        <f>'Volume and Speed'!AD734</f>
        <v>98987.083635251969</v>
      </c>
      <c r="AF658" s="577">
        <f>'Volume and Speed'!AE734</f>
        <v>100448.94394750291</v>
      </c>
      <c r="AG658" s="577">
        <f>'Volume and Speed'!AF734</f>
        <v>101921.46243968728</v>
      </c>
      <c r="AH658" s="752">
        <f>'Volume and Speed'!AG734</f>
        <v>103407.01117236054</v>
      </c>
      <c r="AI658" s="18"/>
      <c r="AJ658" s="18"/>
      <c r="AK658" s="18"/>
      <c r="AL658" s="18"/>
      <c r="AM658" s="18"/>
      <c r="AN658" s="18"/>
    </row>
    <row r="659" spans="2:40" ht="21.95" customHeight="1" x14ac:dyDescent="0.2">
      <c r="B659" s="232"/>
      <c r="C659" s="715"/>
      <c r="D659" s="715"/>
      <c r="E659" s="1340"/>
      <c r="F659" s="116" t="s">
        <v>337</v>
      </c>
      <c r="G659" s="116" t="s">
        <v>386</v>
      </c>
      <c r="H659" s="577" t="s">
        <v>23</v>
      </c>
      <c r="I659" s="577">
        <f>'Volume and Speed'!H735</f>
        <v>82970.789794739554</v>
      </c>
      <c r="J659" s="577">
        <f>'Volume and Speed'!I735</f>
        <v>83095.491660128828</v>
      </c>
      <c r="K659" s="577">
        <f>'Volume and Speed'!J735</f>
        <v>83220.197604310364</v>
      </c>
      <c r="L659" s="577">
        <f>'Volume and Speed'!K735</f>
        <v>83344.9076788854</v>
      </c>
      <c r="M659" s="577">
        <f>'Volume and Speed'!L735</f>
        <v>83469.621939780962</v>
      </c>
      <c r="N659" s="577">
        <f>'Volume and Speed'!M735</f>
        <v>83594.340443596317</v>
      </c>
      <c r="O659" s="577">
        <f>'Volume and Speed'!N735</f>
        <v>83719.063247609796</v>
      </c>
      <c r="P659" s="577">
        <f>'Volume and Speed'!O735</f>
        <v>83843.790409786176</v>
      </c>
      <c r="Q659" s="577">
        <f>'Volume and Speed'!P735</f>
        <v>83968.521988783556</v>
      </c>
      <c r="R659" s="577">
        <f>'Volume and Speed'!Q735</f>
        <v>83968.521992908456</v>
      </c>
      <c r="S659" s="577">
        <f>'Volume and Speed'!R735</f>
        <v>83968.521992908456</v>
      </c>
      <c r="T659" s="577">
        <f>'Volume and Speed'!S735</f>
        <v>83968.521992908456</v>
      </c>
      <c r="U659" s="577">
        <f>'Volume and Speed'!T735</f>
        <v>83968.521992908456</v>
      </c>
      <c r="V659" s="577">
        <f>'Volume and Speed'!U735</f>
        <v>83968.521992908456</v>
      </c>
      <c r="W659" s="577">
        <f>'Volume and Speed'!V735</f>
        <v>84521.133757670585</v>
      </c>
      <c r="X659" s="577">
        <f>'Volume and Speed'!W735</f>
        <v>85833.539908950988</v>
      </c>
      <c r="Y659" s="577">
        <f>'Volume and Speed'!X735</f>
        <v>87146.550039192254</v>
      </c>
      <c r="Z659" s="577">
        <f>'Volume and Speed'!Y735</f>
        <v>88460.558908242703</v>
      </c>
      <c r="AA659" s="577">
        <f>'Volume and Speed'!Z735</f>
        <v>89775.05273573997</v>
      </c>
      <c r="AB659" s="577">
        <f>'Volume and Speed'!AA735</f>
        <v>91090.756960685583</v>
      </c>
      <c r="AC659" s="577">
        <f>'Volume and Speed'!AB735</f>
        <v>92407.183341261232</v>
      </c>
      <c r="AD659" s="577">
        <f>'Volume and Speed'!AC735</f>
        <v>93724.779746446526</v>
      </c>
      <c r="AE659" s="577">
        <f>'Volume and Speed'!AD735</f>
        <v>95044.012067035394</v>
      </c>
      <c r="AF659" s="577">
        <f>'Volume and Speed'!AE735</f>
        <v>96364.44133226671</v>
      </c>
      <c r="AG659" s="577">
        <f>'Volume and Speed'!AF735</f>
        <v>97686.572354012882</v>
      </c>
      <c r="AH659" s="752">
        <f>'Volume and Speed'!AG735</f>
        <v>99010.934188410713</v>
      </c>
      <c r="AI659" s="18"/>
      <c r="AJ659" s="18"/>
      <c r="AK659" s="18"/>
      <c r="AL659" s="18"/>
      <c r="AM659" s="18"/>
      <c r="AN659" s="18"/>
    </row>
    <row r="660" spans="2:40" ht="21.95" customHeight="1" x14ac:dyDescent="0.2">
      <c r="B660" s="232"/>
      <c r="C660" s="715"/>
      <c r="D660" s="715"/>
      <c r="E660" s="1340"/>
      <c r="F660" s="116" t="s">
        <v>342</v>
      </c>
      <c r="G660" s="116" t="s">
        <v>341</v>
      </c>
      <c r="H660" s="577" t="s">
        <v>23</v>
      </c>
      <c r="I660" s="577">
        <f>'Volume and Speed'!H736</f>
        <v>120295.7251648075</v>
      </c>
      <c r="J660" s="577">
        <f>'Volume and Speed'!I736</f>
        <v>120476.63379087982</v>
      </c>
      <c r="K660" s="577">
        <f>'Volume and Speed'!J736</f>
        <v>120657.55013752094</v>
      </c>
      <c r="L660" s="577">
        <f>'Volume and Speed'!K736</f>
        <v>120838.4743024045</v>
      </c>
      <c r="M660" s="577">
        <f>'Volume and Speed'!L736</f>
        <v>121019.40639139252</v>
      </c>
      <c r="N660" s="577">
        <f>'Volume and Speed'!M736</f>
        <v>121200.34651161914</v>
      </c>
      <c r="O660" s="577">
        <f>'Volume and Speed'!N736</f>
        <v>121381.29477150415</v>
      </c>
      <c r="P660" s="577">
        <f>'Volume and Speed'!O736</f>
        <v>121562.25128076642</v>
      </c>
      <c r="Q660" s="577">
        <f>'Volume and Speed'!P736</f>
        <v>121743.21615043744</v>
      </c>
      <c r="R660" s="577">
        <f>'Volume and Speed'!Q736</f>
        <v>121743.2161582453</v>
      </c>
      <c r="S660" s="577">
        <f>'Volume and Speed'!R736</f>
        <v>121743.2161582453</v>
      </c>
      <c r="T660" s="577">
        <f>'Volume and Speed'!S736</f>
        <v>121743.2161582453</v>
      </c>
      <c r="U660" s="577">
        <f>'Volume and Speed'!T736</f>
        <v>121743.2161582453</v>
      </c>
      <c r="V660" s="577">
        <f>'Volume and Speed'!U736</f>
        <v>121743.2161582453</v>
      </c>
      <c r="W660" s="577">
        <f>'Volume and Speed'!V736</f>
        <v>122544.98849086178</v>
      </c>
      <c r="X660" s="577">
        <f>'Volume and Speed'!W736</f>
        <v>124449.29946849524</v>
      </c>
      <c r="Y660" s="577">
        <f>'Volume and Speed'!X736</f>
        <v>126354.75369168121</v>
      </c>
      <c r="Z660" s="577">
        <f>'Volume and Speed'!Y736</f>
        <v>128261.96305499171</v>
      </c>
      <c r="AA660" s="577">
        <f>'Volume and Speed'!Z736</f>
        <v>130170.22570429662</v>
      </c>
      <c r="AB660" s="577">
        <f>'Volume and Speed'!AA736</f>
        <v>132080.64413317482</v>
      </c>
      <c r="AC660" s="577">
        <f>'Volume and Speed'!AB736</f>
        <v>133992.5648282973</v>
      </c>
      <c r="AD660" s="577">
        <f>'Volume and Speed'!AC736</f>
        <v>135906.70021220506</v>
      </c>
      <c r="AE660" s="577">
        <f>'Volume and Speed'!AD736</f>
        <v>137823.79682014906</v>
      </c>
      <c r="AF660" s="577">
        <f>'Volume and Speed'!AE736</f>
        <v>139743.29440184525</v>
      </c>
      <c r="AG660" s="577">
        <f>'Volume and Speed'!AF736</f>
        <v>141666.01316456433</v>
      </c>
      <c r="AH660" s="752">
        <f>'Volume and Speed'!AG736</f>
        <v>143592.8192064921</v>
      </c>
      <c r="AI660" s="18"/>
      <c r="AJ660" s="18"/>
      <c r="AK660" s="18"/>
      <c r="AL660" s="18"/>
      <c r="AM660" s="18"/>
      <c r="AN660" s="18"/>
    </row>
    <row r="661" spans="2:40" ht="21.95" customHeight="1" x14ac:dyDescent="0.2">
      <c r="B661" s="232"/>
      <c r="C661" s="715"/>
      <c r="D661" s="715"/>
      <c r="E661" s="1340"/>
      <c r="F661" s="116" t="s">
        <v>341</v>
      </c>
      <c r="G661" s="116" t="s">
        <v>344</v>
      </c>
      <c r="H661" s="577" t="s">
        <v>23</v>
      </c>
      <c r="I661" s="577">
        <f>'Volume and Speed'!H737</f>
        <v>124354.61598331397</v>
      </c>
      <c r="J661" s="577">
        <f>'Volume and Speed'!I737</f>
        <v>124543.10336149606</v>
      </c>
      <c r="K661" s="577">
        <f>'Volume and Speed'!J737</f>
        <v>124731.62320413964</v>
      </c>
      <c r="L661" s="577">
        <f>'Volume and Speed'!K737</f>
        <v>124920.17592195568</v>
      </c>
      <c r="M661" s="577">
        <f>'Volume and Speed'!L737</f>
        <v>125108.76196008633</v>
      </c>
      <c r="N661" s="577">
        <f>'Volume and Speed'!M737</f>
        <v>125297.38176902357</v>
      </c>
      <c r="O661" s="577">
        <f>'Volume and Speed'!N737</f>
        <v>125486.03580466514</v>
      </c>
      <c r="P661" s="577">
        <f>'Volume and Speed'!O737</f>
        <v>125674.72452837134</v>
      </c>
      <c r="Q661" s="577">
        <f>'Volume and Speed'!P737</f>
        <v>125863.44840702202</v>
      </c>
      <c r="R661" s="577">
        <f>'Volume and Speed'!Q737</f>
        <v>125863.4484398535</v>
      </c>
      <c r="S661" s="577">
        <f>'Volume and Speed'!R737</f>
        <v>125863.4484398535</v>
      </c>
      <c r="T661" s="577">
        <f>'Volume and Speed'!S737</f>
        <v>125863.4484398535</v>
      </c>
      <c r="U661" s="577">
        <f>'Volume and Speed'!T737</f>
        <v>125863.4484398535</v>
      </c>
      <c r="V661" s="577">
        <f>'Volume and Speed'!U737</f>
        <v>125863.4484398535</v>
      </c>
      <c r="W661" s="577">
        <f>'Volume and Speed'!V737</f>
        <v>125863.4484398535</v>
      </c>
      <c r="X661" s="577">
        <f>'Volume and Speed'!W737</f>
        <v>125863.4484398535</v>
      </c>
      <c r="Y661" s="577">
        <f>'Volume and Speed'!X737</f>
        <v>125863.4484398535</v>
      </c>
      <c r="Z661" s="577">
        <f>'Volume and Speed'!Y737</f>
        <v>125863.4484398535</v>
      </c>
      <c r="AA661" s="577">
        <f>'Volume and Speed'!Z737</f>
        <v>127522.14021538675</v>
      </c>
      <c r="AB661" s="577">
        <f>'Volume and Speed'!AA737</f>
        <v>129409.26106014001</v>
      </c>
      <c r="AC661" s="577">
        <f>'Volume and Speed'!AB737</f>
        <v>131300.47781160695</v>
      </c>
      <c r="AD661" s="577">
        <f>'Volume and Speed'!AC737</f>
        <v>133196.85174582631</v>
      </c>
      <c r="AE661" s="577">
        <f>'Volume and Speed'!AD737</f>
        <v>135099.52361402145</v>
      </c>
      <c r="AF661" s="577">
        <f>'Volume and Speed'!AE737</f>
        <v>137008.38410352275</v>
      </c>
      <c r="AG661" s="577">
        <f>'Volume and Speed'!AF737</f>
        <v>138924.74552016263</v>
      </c>
      <c r="AH661" s="752">
        <f>'Volume and Speed'!AG737</f>
        <v>140850.0270325703</v>
      </c>
      <c r="AI661" s="18"/>
      <c r="AJ661" s="18"/>
      <c r="AK661" s="18"/>
      <c r="AL661" s="18"/>
      <c r="AM661" s="18"/>
      <c r="AN661" s="18"/>
    </row>
    <row r="662" spans="2:40" ht="21.95" customHeight="1" x14ac:dyDescent="0.2">
      <c r="B662" s="232"/>
      <c r="C662" s="715"/>
      <c r="D662" s="715"/>
      <c r="E662" s="1340"/>
      <c r="F662" s="116" t="s">
        <v>344</v>
      </c>
      <c r="G662" s="116" t="s">
        <v>345</v>
      </c>
      <c r="H662" s="577" t="s">
        <v>23</v>
      </c>
      <c r="I662" s="577">
        <f>'Volume and Speed'!H738</f>
        <v>41932.997328808022</v>
      </c>
      <c r="J662" s="577">
        <f>'Volume and Speed'!I738</f>
        <v>41996.139357540247</v>
      </c>
      <c r="K662" s="577">
        <f>'Volume and Speed'!J738</f>
        <v>42059.285412802332</v>
      </c>
      <c r="L662" s="577">
        <f>'Volume and Speed'!K738</f>
        <v>42122.435545534303</v>
      </c>
      <c r="M662" s="577">
        <f>'Volume and Speed'!L738</f>
        <v>42185.589810946614</v>
      </c>
      <c r="N662" s="577">
        <f>'Volume and Speed'!M738</f>
        <v>42248.748264913265</v>
      </c>
      <c r="O662" s="577">
        <f>'Volume and Speed'!N738</f>
        <v>42311.910963978735</v>
      </c>
      <c r="P662" s="577">
        <f>'Volume and Speed'!O738</f>
        <v>42375.077965365024</v>
      </c>
      <c r="Q662" s="577">
        <f>'Volume and Speed'!P738</f>
        <v>42438.249326978679</v>
      </c>
      <c r="R662" s="577">
        <f>'Volume and Speed'!Q738</f>
        <v>42438.249331050742</v>
      </c>
      <c r="S662" s="577">
        <f>'Volume and Speed'!R738</f>
        <v>42438.249331050742</v>
      </c>
      <c r="T662" s="577">
        <f>'Volume and Speed'!S738</f>
        <v>42438.249331050742</v>
      </c>
      <c r="U662" s="577">
        <f>'Volume and Speed'!T738</f>
        <v>42438.249331050742</v>
      </c>
      <c r="V662" s="577">
        <f>'Volume and Speed'!U738</f>
        <v>42438.249331050742</v>
      </c>
      <c r="W662" s="577">
        <f>'Volume and Speed'!V738</f>
        <v>42438.249331050742</v>
      </c>
      <c r="X662" s="577">
        <f>'Volume and Speed'!W738</f>
        <v>42438.249331050742</v>
      </c>
      <c r="Y662" s="577">
        <f>'Volume and Speed'!X738</f>
        <v>42438.249331050742</v>
      </c>
      <c r="Z662" s="577">
        <f>'Volume and Speed'!Y738</f>
        <v>42438.249331050742</v>
      </c>
      <c r="AA662" s="577">
        <f>'Volume and Speed'!Z738</f>
        <v>42993.127908530194</v>
      </c>
      <c r="AB662" s="577">
        <f>'Volume and Speed'!AA738</f>
        <v>43623.62981187203</v>
      </c>
      <c r="AC662" s="577">
        <f>'Volume and Speed'!AB738</f>
        <v>44254.547228274634</v>
      </c>
      <c r="AD662" s="577">
        <f>'Volume and Speed'!AC738</f>
        <v>44886.104284129797</v>
      </c>
      <c r="AE662" s="577">
        <f>'Volume and Speed'!AD738</f>
        <v>45518.534963045116</v>
      </c>
      <c r="AF662" s="577">
        <f>'Volume and Speed'!AE738</f>
        <v>46151.640712008135</v>
      </c>
      <c r="AG662" s="577">
        <f>'Volume and Speed'!AF738</f>
        <v>46785.676792347585</v>
      </c>
      <c r="AH662" s="752">
        <f>'Volume and Speed'!AG738</f>
        <v>47420.911719462085</v>
      </c>
      <c r="AI662" s="18"/>
      <c r="AJ662" s="18"/>
      <c r="AK662" s="18"/>
      <c r="AL662" s="18"/>
      <c r="AM662" s="18"/>
      <c r="AN662" s="18"/>
    </row>
    <row r="663" spans="2:40" ht="21.95" customHeight="1" x14ac:dyDescent="0.2">
      <c r="B663" s="232"/>
      <c r="C663" s="715"/>
      <c r="D663" s="715"/>
      <c r="E663" s="1340"/>
      <c r="F663" s="116" t="s">
        <v>345</v>
      </c>
      <c r="G663" s="116" t="s">
        <v>323</v>
      </c>
      <c r="H663" s="577" t="s">
        <v>23</v>
      </c>
      <c r="I663" s="577">
        <f>'Volume and Speed'!H739</f>
        <v>414258.30285385402</v>
      </c>
      <c r="J663" s="577">
        <f>'Volume and Speed'!I739</f>
        <v>423802.63328273478</v>
      </c>
      <c r="K663" s="577">
        <f>'Volume and Speed'!J739</f>
        <v>437780.88259923155</v>
      </c>
      <c r="L663" s="577">
        <f>'Volume and Speed'!K739</f>
        <v>454581.53613359708</v>
      </c>
      <c r="M663" s="577">
        <f>'Volume and Speed'!L739</f>
        <v>471441.96332887374</v>
      </c>
      <c r="N663" s="577">
        <f>'Volume and Speed'!M739</f>
        <v>488380.3716197433</v>
      </c>
      <c r="O663" s="577">
        <f>'Volume and Speed'!N739</f>
        <v>505417.29362958996</v>
      </c>
      <c r="P663" s="577">
        <f>'Volume and Speed'!O739</f>
        <v>522604.78347617574</v>
      </c>
      <c r="Q663" s="577">
        <f>'Volume and Speed'!P739</f>
        <v>537540.71286574122</v>
      </c>
      <c r="R663" s="577">
        <f>'Volume and Speed'!Q739</f>
        <v>552654.7754477933</v>
      </c>
      <c r="S663" s="577">
        <f>'Volume and Speed'!R739</f>
        <v>567996.58952713828</v>
      </c>
      <c r="T663" s="577">
        <f>'Volume and Speed'!S739</f>
        <v>583624.59613122256</v>
      </c>
      <c r="U663" s="577">
        <f>'Volume and Speed'!T739</f>
        <v>599621.37736185454</v>
      </c>
      <c r="V663" s="577">
        <f>'Volume and Speed'!U739</f>
        <v>612838.43338148599</v>
      </c>
      <c r="W663" s="577">
        <f>'Volume and Speed'!V739</f>
        <v>623946.03366166225</v>
      </c>
      <c r="X663" s="577">
        <f>'Volume and Speed'!W739</f>
        <v>635321.8138052813</v>
      </c>
      <c r="Y663" s="577">
        <f>'Volume and Speed'!X739</f>
        <v>647005.54796451749</v>
      </c>
      <c r="Z663" s="577">
        <f>'Volume and Speed'!Y739</f>
        <v>659045.01934551401</v>
      </c>
      <c r="AA663" s="577">
        <f>'Volume and Speed'!Z739</f>
        <v>671485.28484872507</v>
      </c>
      <c r="AB663" s="577">
        <f>'Volume and Speed'!AA739</f>
        <v>684389.21147404844</v>
      </c>
      <c r="AC663" s="577">
        <f>'Volume and Speed'!AB739</f>
        <v>697814.87812415999</v>
      </c>
      <c r="AD663" s="577">
        <f>'Volume and Speed'!AC739</f>
        <v>711837.13568042836</v>
      </c>
      <c r="AE663" s="577">
        <f>'Volume and Speed'!AD739</f>
        <v>726540.02427585446</v>
      </c>
      <c r="AF663" s="577">
        <f>'Volume and Speed'!AE739</f>
        <v>742006.74592969671</v>
      </c>
      <c r="AG663" s="577">
        <f>'Volume and Speed'!AF739</f>
        <v>758341.18647842458</v>
      </c>
      <c r="AH663" s="752">
        <f>'Volume and Speed'!AG739</f>
        <v>775659.59381272364</v>
      </c>
      <c r="AI663" s="18"/>
      <c r="AJ663" s="18"/>
      <c r="AK663" s="18"/>
      <c r="AL663" s="18"/>
      <c r="AM663" s="18"/>
      <c r="AN663" s="18"/>
    </row>
    <row r="664" spans="2:40" ht="21.95" customHeight="1" x14ac:dyDescent="0.2">
      <c r="B664" s="232"/>
      <c r="C664" s="715"/>
      <c r="D664" s="715"/>
      <c r="E664" s="1340"/>
      <c r="F664" s="116" t="s">
        <v>323</v>
      </c>
      <c r="G664" s="116" t="s">
        <v>347</v>
      </c>
      <c r="H664" s="577" t="s">
        <v>23</v>
      </c>
      <c r="I664" s="577">
        <f>'Volume and Speed'!H740</f>
        <v>73974.696938188237</v>
      </c>
      <c r="J664" s="577">
        <f>'Volume and Speed'!I740</f>
        <v>75615.241040664871</v>
      </c>
      <c r="K664" s="577">
        <f>'Volume and Speed'!J740</f>
        <v>78047.211438552273</v>
      </c>
      <c r="L664" s="577">
        <f>'Volume and Speed'!K740</f>
        <v>81140.366672894321</v>
      </c>
      <c r="M664" s="577">
        <f>'Volume and Speed'!L740</f>
        <v>84244.918057042581</v>
      </c>
      <c r="N664" s="577">
        <f>'Volume and Speed'!M740</f>
        <v>87363.897995896376</v>
      </c>
      <c r="O664" s="577">
        <f>'Volume and Speed'!N740</f>
        <v>90502.287776327459</v>
      </c>
      <c r="P664" s="577">
        <f>'Volume and Speed'!O740</f>
        <v>93669.912014341564</v>
      </c>
      <c r="Q664" s="577">
        <f>'Volume and Speed'!P740</f>
        <v>96515.510320242873</v>
      </c>
      <c r="R664" s="577">
        <f>'Volume and Speed'!Q740</f>
        <v>99399.399143483257</v>
      </c>
      <c r="S664" s="577">
        <f>'Volume and Speed'!R740</f>
        <v>102331.90800102237</v>
      </c>
      <c r="T664" s="577">
        <f>'Volume and Speed'!S740</f>
        <v>105326.88913164652</v>
      </c>
      <c r="U664" s="577">
        <f>'Volume and Speed'!T740</f>
        <v>108402.61969903079</v>
      </c>
      <c r="V664" s="577">
        <f>'Volume and Speed'!U740</f>
        <v>110808.72664512691</v>
      </c>
      <c r="W664" s="577">
        <f>'Volume and Speed'!V740</f>
        <v>112748.44610319295</v>
      </c>
      <c r="X664" s="577">
        <f>'Volume and Speed'!W740</f>
        <v>114736.76676991628</v>
      </c>
      <c r="Y664" s="577">
        <f>'Volume and Speed'!X740</f>
        <v>116780.5374163571</v>
      </c>
      <c r="Z664" s="577">
        <f>'Volume and Speed'!Y740</f>
        <v>118887.79661476646</v>
      </c>
      <c r="AA664" s="577">
        <f>'Volume and Speed'!Z740</f>
        <v>121066.49141673415</v>
      </c>
      <c r="AB664" s="577">
        <f>'Volume and Speed'!AA740</f>
        <v>123326.98880174293</v>
      </c>
      <c r="AC664" s="577">
        <f>'Volume and Speed'!AB740</f>
        <v>125679.35781845303</v>
      </c>
      <c r="AD664" s="577">
        <f>'Volume and Speed'!AC740</f>
        <v>128136.00979411823</v>
      </c>
      <c r="AE664" s="577">
        <f>'Volume and Speed'!AD740</f>
        <v>130710.80433993107</v>
      </c>
      <c r="AF664" s="577">
        <f>'Volume and Speed'!AE740</f>
        <v>133417.86136865432</v>
      </c>
      <c r="AG664" s="577">
        <f>'Volume and Speed'!AF740</f>
        <v>136274.20182909979</v>
      </c>
      <c r="AH664" s="752">
        <f>'Volume and Speed'!AG740</f>
        <v>139298.76839525532</v>
      </c>
      <c r="AI664" s="18"/>
      <c r="AJ664" s="18"/>
      <c r="AK664" s="18"/>
      <c r="AL664" s="18"/>
      <c r="AM664" s="18"/>
      <c r="AN664" s="18"/>
    </row>
    <row r="665" spans="2:40" ht="21.95" customHeight="1" x14ac:dyDescent="0.2">
      <c r="B665" s="232"/>
      <c r="C665" s="715"/>
      <c r="D665" s="715"/>
      <c r="E665" s="1340"/>
      <c r="F665" s="116" t="s">
        <v>347</v>
      </c>
      <c r="G665" s="116" t="s">
        <v>348</v>
      </c>
      <c r="H665" s="577" t="s">
        <v>23</v>
      </c>
      <c r="I665" s="577">
        <f>'Volume and Speed'!H741</f>
        <v>60555.04565970866</v>
      </c>
      <c r="J665" s="577">
        <f>'Volume and Speed'!I741</f>
        <v>61900.713747978029</v>
      </c>
      <c r="K665" s="577">
        <f>'Volume and Speed'!J741</f>
        <v>63896.911716218092</v>
      </c>
      <c r="L665" s="577">
        <f>'Volume and Speed'!K741</f>
        <v>66438.903552233649</v>
      </c>
      <c r="M665" s="577">
        <f>'Volume and Speed'!L741</f>
        <v>68995.019748033388</v>
      </c>
      <c r="N665" s="577">
        <f>'Volume and Speed'!M741</f>
        <v>71569.639508746783</v>
      </c>
      <c r="O665" s="577">
        <f>'Volume and Speed'!N741</f>
        <v>74169.37581417388</v>
      </c>
      <c r="P665" s="577">
        <f>'Volume and Speed'!O741</f>
        <v>76805.669314669212</v>
      </c>
      <c r="Q665" s="577">
        <f>'Volume and Speed'!P741</f>
        <v>79187.660303971512</v>
      </c>
      <c r="R665" s="577">
        <f>'Volume and Speed'!Q741</f>
        <v>81618.410322899945</v>
      </c>
      <c r="S665" s="577">
        <f>'Volume and Speed'!R741</f>
        <v>84111.34757174275</v>
      </c>
      <c r="T665" s="577">
        <f>'Volume and Speed'!S741</f>
        <v>86684.034228375109</v>
      </c>
      <c r="U665" s="577">
        <f>'Volume and Speed'!T741</f>
        <v>89359.221367867227</v>
      </c>
      <c r="V665" s="577">
        <f>'Volume and Speed'!U741</f>
        <v>91478.761592961469</v>
      </c>
      <c r="W665" s="577">
        <f>'Volume and Speed'!V741</f>
        <v>93206.34402907289</v>
      </c>
      <c r="X665" s="577">
        <f>'Volume and Speed'!W741</f>
        <v>94995.968670740054</v>
      </c>
      <c r="Y665" s="577">
        <f>'Volume and Speed'!X741</f>
        <v>96856.378363535216</v>
      </c>
      <c r="Z665" s="577">
        <f>'Volume and Speed'!Y741</f>
        <v>98797.713809527282</v>
      </c>
      <c r="AA665" s="577">
        <f>'Volume and Speed'!Z741</f>
        <v>100830.36185653004</v>
      </c>
      <c r="AB665" s="577">
        <f>'Volume and Speed'!AA741</f>
        <v>102967.31455844315</v>
      </c>
      <c r="AC665" s="577">
        <f>'Volume and Speed'!AB741</f>
        <v>105221.66761296451</v>
      </c>
      <c r="AD665" s="577">
        <f>'Volume and Speed'!AC741</f>
        <v>107609.14379249036</v>
      </c>
      <c r="AE665" s="577">
        <f>'Volume and Speed'!AD741</f>
        <v>110147.31468619134</v>
      </c>
      <c r="AF665" s="577">
        <f>'Volume and Speed'!AE741</f>
        <v>112854.44715006117</v>
      </c>
      <c r="AG665" s="577">
        <f>'Volume and Speed'!AF741</f>
        <v>115752.14840044585</v>
      </c>
      <c r="AH665" s="752">
        <f>'Volume and Speed'!AG741</f>
        <v>118864.47884511776</v>
      </c>
      <c r="AI665" s="18"/>
      <c r="AJ665" s="18"/>
      <c r="AK665" s="18"/>
      <c r="AL665" s="18"/>
      <c r="AM665" s="18"/>
      <c r="AN665" s="18"/>
    </row>
    <row r="666" spans="2:40" ht="21.95" customHeight="1" x14ac:dyDescent="0.2">
      <c r="B666" s="232"/>
      <c r="C666" s="715"/>
      <c r="D666" s="715"/>
      <c r="E666" s="1333"/>
      <c r="F666" s="254" t="s">
        <v>348</v>
      </c>
      <c r="G666" s="254" t="s">
        <v>349</v>
      </c>
      <c r="H666" s="577" t="s">
        <v>23</v>
      </c>
      <c r="I666" s="587">
        <f>'Volume and Speed'!H742</f>
        <v>99004.918632670961</v>
      </c>
      <c r="J666" s="587">
        <f>'Volume and Speed'!I742</f>
        <v>101421.36019615347</v>
      </c>
      <c r="K666" s="587">
        <f>'Volume and Speed'!J742</f>
        <v>104803.18845034699</v>
      </c>
      <c r="L666" s="587">
        <f>'Volume and Speed'!K742</f>
        <v>109355.29165235185</v>
      </c>
      <c r="M666" s="587">
        <f>'Volume and Speed'!L742</f>
        <v>114005.91088454769</v>
      </c>
      <c r="N666" s="587">
        <f>'Volume and Speed'!M742</f>
        <v>118795.20745518628</v>
      </c>
      <c r="O666" s="587">
        <f>'Volume and Speed'!N742</f>
        <v>123776.9320357962</v>
      </c>
      <c r="P666" s="587">
        <f>'Volume and Speed'!O742</f>
        <v>129030.86854894808</v>
      </c>
      <c r="Q666" s="587">
        <f>'Volume and Speed'!P742</f>
        <v>134388.19569623578</v>
      </c>
      <c r="R666" s="587">
        <f>'Volume and Speed'!Q742</f>
        <v>140195.78853466475</v>
      </c>
      <c r="S666" s="587">
        <f>'Volume and Speed'!R742</f>
        <v>146599.93568136098</v>
      </c>
      <c r="T666" s="587">
        <f>'Volume and Speed'!S742</f>
        <v>153788.63787718047</v>
      </c>
      <c r="U666" s="587">
        <f>'Volume and Speed'!T742</f>
        <v>162005.74165950262</v>
      </c>
      <c r="V666" s="587">
        <f>'Volume and Speed'!U742</f>
        <v>168926.18354747345</v>
      </c>
      <c r="W666" s="587">
        <f>'Volume and Speed'!V742</f>
        <v>174809.94060749473</v>
      </c>
      <c r="X666" s="587">
        <f>'Volume and Speed'!W742</f>
        <v>181283.52423123992</v>
      </c>
      <c r="Y666" s="587">
        <f>'Volume and Speed'!X742</f>
        <v>188434.37358555867</v>
      </c>
      <c r="Z666" s="587">
        <f>'Volume and Speed'!Y742</f>
        <v>196362.89031174424</v>
      </c>
      <c r="AA666" s="587">
        <f>'Volume and Speed'!Z742</f>
        <v>205177.34655723727</v>
      </c>
      <c r="AB666" s="587">
        <f>'Volume and Speed'!AA742</f>
        <v>215006.60794357373</v>
      </c>
      <c r="AC666" s="587">
        <f>'Volume and Speed'!AB742</f>
        <v>225987.69469772081</v>
      </c>
      <c r="AD666" s="587">
        <f>'Volume and Speed'!AC742</f>
        <v>238280.43949484185</v>
      </c>
      <c r="AE666" s="587">
        <f>'Volume and Speed'!AD742</f>
        <v>252064.66602365149</v>
      </c>
      <c r="AF666" s="587">
        <f>'Volume and Speed'!AE742</f>
        <v>267532.8731034068</v>
      </c>
      <c r="AG666" s="587">
        <f>'Volume and Speed'!AF742</f>
        <v>284908.53531893145</v>
      </c>
      <c r="AH666" s="754">
        <f>'Volume and Speed'!AG742</f>
        <v>304441.9961224423</v>
      </c>
      <c r="AI666" s="18"/>
      <c r="AJ666" s="18"/>
      <c r="AK666" s="18"/>
      <c r="AL666" s="18"/>
      <c r="AM666" s="18"/>
      <c r="AN666" s="18"/>
    </row>
    <row r="667" spans="2:40" ht="21.95" customHeight="1" x14ac:dyDescent="0.2">
      <c r="B667" s="232"/>
      <c r="C667" s="715"/>
      <c r="D667" s="715"/>
      <c r="E667" s="116" t="s">
        <v>288</v>
      </c>
      <c r="F667" s="116" t="s">
        <v>323</v>
      </c>
      <c r="G667" s="116" t="s">
        <v>348</v>
      </c>
      <c r="H667" s="593" t="s">
        <v>23</v>
      </c>
      <c r="I667" s="593">
        <f>'Volume and Speed'!H743</f>
        <v>24514.925373134458</v>
      </c>
      <c r="J667" s="593">
        <f>'Volume and Speed'!I743</f>
        <v>26022.32089552264</v>
      </c>
      <c r="K667" s="593">
        <f>'Volume and Speed'!J743</f>
        <v>28017.154850746825</v>
      </c>
      <c r="L667" s="593">
        <f>'Volume and Speed'!K743</f>
        <v>30668.171641792556</v>
      </c>
      <c r="M667" s="593">
        <f>'Volume and Speed'!L743</f>
        <v>33320.005597018695</v>
      </c>
      <c r="N667" s="593">
        <f>'Volume and Speed'!M743</f>
        <v>35977.559701501305</v>
      </c>
      <c r="O667" s="593">
        <f>'Volume and Speed'!N743</f>
        <v>38628.576492556465</v>
      </c>
      <c r="P667" s="593">
        <f>'Volume and Speed'!O743</f>
        <v>41282.453358248742</v>
      </c>
      <c r="Q667" s="593">
        <f>'Volume and Speed'!P743</f>
        <v>43702.348880671481</v>
      </c>
      <c r="R667" s="593">
        <f>'Volume and Speed'!Q743</f>
        <v>46120.201492671971</v>
      </c>
      <c r="S667" s="593">
        <f>'Volume and Speed'!R743</f>
        <v>48540.23320919156</v>
      </c>
      <c r="T667" s="593">
        <f>'Volume and Speed'!S743</f>
        <v>50960.128731746881</v>
      </c>
      <c r="U667" s="593">
        <f>'Volume and Speed'!T743</f>
        <v>53388.604478285459</v>
      </c>
      <c r="V667" s="593">
        <f>'Volume and Speed'!U743</f>
        <v>55150.410448723793</v>
      </c>
      <c r="W667" s="593">
        <f>'Volume and Speed'!V743</f>
        <v>56657.80597144425</v>
      </c>
      <c r="X667" s="593">
        <f>'Volume and Speed'!W743</f>
        <v>58165.201494265944</v>
      </c>
      <c r="Y667" s="593">
        <f>'Volume and Speed'!X743</f>
        <v>59672.5970172159</v>
      </c>
      <c r="Z667" s="593">
        <f>'Volume and Speed'!Y743</f>
        <v>61181.626868686326</v>
      </c>
      <c r="AA667" s="593">
        <f>'Volume and Speed'!Z743</f>
        <v>62689.022391999883</v>
      </c>
      <c r="AB667" s="593">
        <f>'Volume and Speed'!AA743</f>
        <v>64200.095154374125</v>
      </c>
      <c r="AC667" s="593">
        <f>'Volume and Speed'!AB743</f>
        <v>65707.490678251372</v>
      </c>
      <c r="AD667" s="593">
        <f>'Volume and Speed'!AC743</f>
        <v>67214.886202512498</v>
      </c>
      <c r="AE667" s="593">
        <f>'Volume and Speed'!AD743</f>
        <v>68723.916055605339</v>
      </c>
      <c r="AF667" s="593">
        <f>'Volume and Speed'!AE743</f>
        <v>70231.311580912501</v>
      </c>
      <c r="AG667" s="593">
        <f>'Volume and Speed'!AF743</f>
        <v>71738.707106918242</v>
      </c>
      <c r="AH667" s="755">
        <f>'Volume and Speed'!AG743</f>
        <v>73249.779872587678</v>
      </c>
      <c r="AI667" s="18"/>
      <c r="AJ667" s="18"/>
      <c r="AK667" s="18"/>
      <c r="AL667" s="18"/>
      <c r="AM667" s="18"/>
      <c r="AN667" s="18"/>
    </row>
    <row r="668" spans="2:40" ht="21.95" customHeight="1" x14ac:dyDescent="0.2">
      <c r="B668" s="232"/>
      <c r="C668" s="715"/>
      <c r="D668" s="715"/>
      <c r="E668" s="277" t="s">
        <v>340</v>
      </c>
      <c r="F668" s="277" t="s">
        <v>335</v>
      </c>
      <c r="G668" s="277" t="s">
        <v>323</v>
      </c>
      <c r="H668" s="577" t="s">
        <v>23</v>
      </c>
      <c r="I668" s="593">
        <f>'Volume and Speed'!H744</f>
        <v>0</v>
      </c>
      <c r="J668" s="593">
        <f>'Volume and Speed'!I744</f>
        <v>25506.695298631377</v>
      </c>
      <c r="K668" s="593">
        <f>'Volume and Speed'!J744</f>
        <v>27462.004335917474</v>
      </c>
      <c r="L668" s="593">
        <f>'Volume and Speed'!K744</f>
        <v>30060.498908605485</v>
      </c>
      <c r="M668" s="593">
        <f>'Volume and Speed'!L744</f>
        <v>32659.804263244878</v>
      </c>
      <c r="N668" s="593">
        <f>'Volume and Speed'!M744</f>
        <v>35264.737090136579</v>
      </c>
      <c r="O668" s="593">
        <f>'Volume and Speed'!N744</f>
        <v>37863.302834349641</v>
      </c>
      <c r="P668" s="593">
        <f>'Volume and Speed'!O744</f>
        <v>40464.749166176349</v>
      </c>
      <c r="Q668" s="593">
        <f>'Volume and Speed'!P744</f>
        <v>42836.956262113017</v>
      </c>
      <c r="R668" s="593">
        <f>'Volume and Speed'!Q744</f>
        <v>45207.353250352906</v>
      </c>
      <c r="S668" s="593">
        <f>'Volume and Speed'!R744</f>
        <v>47580.198983913971</v>
      </c>
      <c r="T668" s="593">
        <f>'Volume and Speed'!S744</f>
        <v>49953.40552352395</v>
      </c>
      <c r="U668" s="593">
        <f>'Volume and Speed'!T744</f>
        <v>52335.79610102468</v>
      </c>
      <c r="V668" s="593">
        <f>'Volume and Speed'!U744</f>
        <v>54064.871392685047</v>
      </c>
      <c r="W668" s="593">
        <f>'Volume and Speed'!V744</f>
        <v>55544.903737164168</v>
      </c>
      <c r="X668" s="593">
        <f>'Volume and Speed'!W744</f>
        <v>57025.699378580684</v>
      </c>
      <c r="Y668" s="593">
        <f>'Volume and Speed'!X744</f>
        <v>58507.461589192069</v>
      </c>
      <c r="Z668" s="593">
        <f>'Volume and Speed'!Y744</f>
        <v>59992.049030166963</v>
      </c>
      <c r="AA668" s="593">
        <f>'Volume and Speed'!Z744</f>
        <v>61476.552272436835</v>
      </c>
      <c r="AB668" s="593">
        <f>'Volume and Speed'!AA744</f>
        <v>62966.579790984062</v>
      </c>
      <c r="AC668" s="593">
        <f>'Volume and Speed'!AB744</f>
        <v>64455.332164677471</v>
      </c>
      <c r="AD668" s="593">
        <f>'Volume and Speed'!AC744</f>
        <v>65946.978014198554</v>
      </c>
      <c r="AE668" s="593">
        <f>'Volume and Speed'!AD744</f>
        <v>67443.795411522588</v>
      </c>
      <c r="AF668" s="593">
        <f>'Volume and Speed'!AE744</f>
        <v>68943.326270135978</v>
      </c>
      <c r="AG668" s="593">
        <f>'Volume and Speed'!AF744</f>
        <v>70448.12326761453</v>
      </c>
      <c r="AH668" s="755">
        <f>'Volume and Speed'!AG744</f>
        <v>71962.99005222047</v>
      </c>
      <c r="AI668" s="18"/>
      <c r="AJ668" s="18"/>
      <c r="AK668" s="18"/>
      <c r="AL668" s="18"/>
      <c r="AM668" s="18"/>
      <c r="AN668" s="18"/>
    </row>
    <row r="669" spans="2:40" ht="21.95" customHeight="1" x14ac:dyDescent="0.2">
      <c r="B669" s="232"/>
      <c r="C669" s="715"/>
      <c r="D669" s="715"/>
      <c r="E669" s="277" t="s">
        <v>357</v>
      </c>
      <c r="F669" s="277" t="s">
        <v>338</v>
      </c>
      <c r="G669" s="277" t="s">
        <v>323</v>
      </c>
      <c r="H669" s="593" t="s">
        <v>23</v>
      </c>
      <c r="I669" s="593">
        <f>'Volume and Speed'!H745</f>
        <v>38197.078466007326</v>
      </c>
      <c r="J669" s="593">
        <f>'Volume and Speed'!I745</f>
        <v>38721.779763803679</v>
      </c>
      <c r="K669" s="593">
        <f>'Volume and Speed'!J745</f>
        <v>39628.818791838828</v>
      </c>
      <c r="L669" s="593">
        <f>'Volume and Speed'!K745</f>
        <v>40874.315517841576</v>
      </c>
      <c r="M669" s="593">
        <f>'Volume and Speed'!L745</f>
        <v>42120.684888907825</v>
      </c>
      <c r="N669" s="593">
        <f>'Volume and Speed'!M745</f>
        <v>43369.308493461765</v>
      </c>
      <c r="O669" s="593">
        <f>'Volume and Speed'!N745</f>
        <v>44616.176487885066</v>
      </c>
      <c r="P669" s="593">
        <f>'Volume and Speed'!O745</f>
        <v>45868.15664254452</v>
      </c>
      <c r="Q669" s="593">
        <f>'Volume and Speed'!P745</f>
        <v>46736.938420110149</v>
      </c>
      <c r="R669" s="593">
        <f>'Volume and Speed'!Q745</f>
        <v>47606.376235203563</v>
      </c>
      <c r="S669" s="593">
        <f>'Volume and Speed'!R745</f>
        <v>48476.569086080985</v>
      </c>
      <c r="T669" s="593">
        <f>'Volume and Speed'!S745</f>
        <v>49347.3113494504</v>
      </c>
      <c r="U669" s="593">
        <f>'Volume and Speed'!T745</f>
        <v>50225.144563928057</v>
      </c>
      <c r="V669" s="593">
        <f>'Volume and Speed'!U745</f>
        <v>50753.455398561593</v>
      </c>
      <c r="W669" s="593">
        <f>'Volume and Speed'!V745</f>
        <v>51282.187270734794</v>
      </c>
      <c r="X669" s="593">
        <f>'Volume and Speed'!W745</f>
        <v>51811.381050785356</v>
      </c>
      <c r="Y669" s="593">
        <f>'Volume and Speed'!X745</f>
        <v>52341.081063577003</v>
      </c>
      <c r="Z669" s="593">
        <f>'Volume and Speed'!Y745</f>
        <v>52874.98472114186</v>
      </c>
      <c r="AA669" s="593">
        <f>'Volume and Speed'!Z745</f>
        <v>53405.849774515169</v>
      </c>
      <c r="AB669" s="593">
        <f>'Volume and Speed'!AA745</f>
        <v>53939.42245189994</v>
      </c>
      <c r="AC669" s="593">
        <f>'Volume and Speed'!AB745</f>
        <v>54471.677785010077</v>
      </c>
      <c r="AD669" s="593">
        <f>'Volume and Speed'!AC745</f>
        <v>55004.723559207203</v>
      </c>
      <c r="AE669" s="593">
        <f>'Volume and Speed'!AD745</f>
        <v>55542.306655750363</v>
      </c>
      <c r="AF669" s="593">
        <f>'Volume and Speed'!AE745</f>
        <v>56077.159567186623</v>
      </c>
      <c r="AG669" s="593">
        <f>'Volume and Speed'!AF745</f>
        <v>56613.034734769157</v>
      </c>
      <c r="AH669" s="755">
        <f>'Volume and Speed'!AG745</f>
        <v>57152.088004066471</v>
      </c>
      <c r="AI669" s="18"/>
      <c r="AJ669" s="18"/>
      <c r="AK669" s="18"/>
      <c r="AL669" s="18"/>
      <c r="AM669" s="18"/>
      <c r="AN669" s="18"/>
    </row>
    <row r="670" spans="2:40" ht="21.95" customHeight="1" x14ac:dyDescent="0.2">
      <c r="B670" s="232"/>
      <c r="C670" s="715"/>
      <c r="D670" s="715"/>
      <c r="E670" s="116" t="s">
        <v>338</v>
      </c>
      <c r="F670" s="116" t="s">
        <v>282</v>
      </c>
      <c r="G670" s="116" t="s">
        <v>357</v>
      </c>
      <c r="H670" s="577" t="s">
        <v>23</v>
      </c>
      <c r="I670" s="577">
        <f>'Volume and Speed'!H746</f>
        <v>78280.009329269713</v>
      </c>
      <c r="J670" s="577">
        <f>'Volume and Speed'!I746</f>
        <v>80536.588663159433</v>
      </c>
      <c r="K670" s="577">
        <f>'Volume and Speed'!J746</f>
        <v>82979.083742464209</v>
      </c>
      <c r="L670" s="577">
        <f>'Volume and Speed'!K746</f>
        <v>86219.488973189727</v>
      </c>
      <c r="M670" s="577">
        <f>'Volume and Speed'!L746</f>
        <v>89460.444183401996</v>
      </c>
      <c r="N670" s="577">
        <f>'Volume and Speed'!M746</f>
        <v>92702.73297056045</v>
      </c>
      <c r="O670" s="577">
        <f>'Volume and Speed'!N746</f>
        <v>95943.146904288398</v>
      </c>
      <c r="P670" s="577">
        <f>'Volume and Speed'!O746</f>
        <v>99184.427195162862</v>
      </c>
      <c r="Q670" s="577">
        <f>'Volume and Speed'!P746</f>
        <v>102751.04933618143</v>
      </c>
      <c r="R670" s="577">
        <f>'Volume and Speed'!Q746</f>
        <v>106316.50910134685</v>
      </c>
      <c r="S670" s="577">
        <f>'Volume and Speed'!R746</f>
        <v>109883.15916453424</v>
      </c>
      <c r="T670" s="577">
        <f>'Volume and Speed'!S746</f>
        <v>113449.83086761467</v>
      </c>
      <c r="U670" s="577">
        <f>'Volume and Speed'!T746</f>
        <v>117018.56675792123</v>
      </c>
      <c r="V670" s="577">
        <f>'Volume and Speed'!U746</f>
        <v>119787.04786154658</v>
      </c>
      <c r="W670" s="577">
        <f>'Volume and Speed'!V746</f>
        <v>122043.73481914308</v>
      </c>
      <c r="X670" s="577">
        <f>'Volume and Speed'!W746</f>
        <v>124300.44396078319</v>
      </c>
      <c r="Y670" s="577">
        <f>'Volume and Speed'!X746</f>
        <v>126557.17926163421</v>
      </c>
      <c r="Z670" s="577">
        <f>'Volume and Speed'!Y746</f>
        <v>128813.71045616941</v>
      </c>
      <c r="AA670" s="577">
        <f>'Volume and Speed'!Z746</f>
        <v>131070.51256322782</v>
      </c>
      <c r="AB670" s="577">
        <f>'Volume and Speed'!AA746</f>
        <v>133327.12195163732</v>
      </c>
      <c r="AC670" s="577">
        <f>'Volume and Speed'!AB746</f>
        <v>135584.01535304615</v>
      </c>
      <c r="AD670" s="577">
        <f>'Volume and Speed'!AC746</f>
        <v>137840.96591269207</v>
      </c>
      <c r="AE670" s="577">
        <f>'Volume and Speed'!AD746</f>
        <v>140097.74789206393</v>
      </c>
      <c r="AF670" s="577">
        <f>'Volume and Speed'!AE746</f>
        <v>142354.84149254093</v>
      </c>
      <c r="AG670" s="577">
        <f>'Volume and Speed'!AF746</f>
        <v>144612.02369669895</v>
      </c>
      <c r="AH670" s="752">
        <f>'Volume and Speed'!AG746</f>
        <v>146869.07305334028</v>
      </c>
      <c r="AI670" s="18"/>
      <c r="AJ670" s="18"/>
      <c r="AK670" s="18"/>
      <c r="AL670" s="18"/>
      <c r="AM670" s="18"/>
      <c r="AN670" s="18"/>
    </row>
    <row r="671" spans="2:40" ht="21.95" customHeight="1" x14ac:dyDescent="0.2">
      <c r="B671" s="232"/>
      <c r="C671" s="715"/>
      <c r="D671" s="715"/>
      <c r="E671" s="116"/>
      <c r="F671" s="116" t="s">
        <v>357</v>
      </c>
      <c r="G671" s="116" t="s">
        <v>346</v>
      </c>
      <c r="H671" s="577" t="s">
        <v>23</v>
      </c>
      <c r="I671" s="577">
        <f>'Volume and Speed'!H747</f>
        <v>11400.437782222565</v>
      </c>
      <c r="J671" s="577">
        <f>'Volume and Speed'!I747</f>
        <v>11724.000221011778</v>
      </c>
      <c r="K671" s="577">
        <f>'Volume and Speed'!J747</f>
        <v>12083.06903042028</v>
      </c>
      <c r="L671" s="577">
        <f>'Volume and Speed'!K747</f>
        <v>12587.058426842868</v>
      </c>
      <c r="M671" s="577">
        <f>'Volume and Speed'!L747</f>
        <v>13091.137848784898</v>
      </c>
      <c r="N671" s="577">
        <f>'Volume and Speed'!M747</f>
        <v>13595.322306167503</v>
      </c>
      <c r="O671" s="577">
        <f>'Volume and Speed'!N747</f>
        <v>14099.311800085041</v>
      </c>
      <c r="P671" s="577">
        <f>'Volume and Speed'!O747</f>
        <v>14603.331356264347</v>
      </c>
      <c r="Q671" s="577">
        <f>'Volume and Speed'!P747</f>
        <v>15169.828437975215</v>
      </c>
      <c r="R671" s="577">
        <f>'Volume and Speed'!Q747</f>
        <v>15736.130661249987</v>
      </c>
      <c r="S671" s="577">
        <f>'Volume and Speed'!R747</f>
        <v>16302.628099596561</v>
      </c>
      <c r="T671" s="577">
        <f>'Volume and Speed'!S747</f>
        <v>16869.125822989739</v>
      </c>
      <c r="U671" s="577">
        <f>'Volume and Speed'!T747</f>
        <v>17435.713937548928</v>
      </c>
      <c r="V671" s="577">
        <f>'Volume and Speed'!U747</f>
        <v>17857.351468331635</v>
      </c>
      <c r="W671" s="577">
        <f>'Volume and Speed'!V747</f>
        <v>18180.915159416094</v>
      </c>
      <c r="X671" s="577">
        <f>'Volume and Speed'!W747</f>
        <v>18504.479097296215</v>
      </c>
      <c r="Y671" s="577">
        <f>'Volume and Speed'!X747</f>
        <v>18828.043324421287</v>
      </c>
      <c r="Z671" s="577">
        <f>'Volume and Speed'!Y747</f>
        <v>19151.442882082854</v>
      </c>
      <c r="AA671" s="577">
        <f>'Volume and Speed'!Z747</f>
        <v>19475.007841115694</v>
      </c>
      <c r="AB671" s="577">
        <f>'Volume and Speed'!AA747</f>
        <v>19798.408250293367</v>
      </c>
      <c r="AC671" s="577">
        <f>'Volume and Speed'!AB747</f>
        <v>20121.974198515862</v>
      </c>
      <c r="AD671" s="577">
        <f>'Volume and Speed'!AC747</f>
        <v>20445.540761468044</v>
      </c>
      <c r="AE671" s="577">
        <f>'Volume and Speed'!AD747</f>
        <v>20768.943025014618</v>
      </c>
      <c r="AF671" s="577">
        <f>'Volume and Speed'!AE747</f>
        <v>21092.511114393601</v>
      </c>
      <c r="AG671" s="577">
        <f>'Volume and Speed'!AF747</f>
        <v>21416.080142934457</v>
      </c>
      <c r="AH671" s="752">
        <f>'Volume and Speed'!AG747</f>
        <v>21739.485237948207</v>
      </c>
      <c r="AI671" s="18"/>
      <c r="AJ671" s="18"/>
      <c r="AK671" s="18"/>
      <c r="AL671" s="18"/>
      <c r="AM671" s="18"/>
      <c r="AN671" s="18"/>
    </row>
    <row r="672" spans="2:40" ht="21.95" customHeight="1" x14ac:dyDescent="0.2">
      <c r="B672" s="232"/>
      <c r="C672" s="715"/>
      <c r="D672" s="715"/>
      <c r="E672" s="116"/>
      <c r="F672" s="116" t="s">
        <v>346</v>
      </c>
      <c r="G672" s="116" t="s">
        <v>343</v>
      </c>
      <c r="H672" s="577" t="s">
        <v>23</v>
      </c>
      <c r="I672" s="577">
        <f>'Volume and Speed'!H748</f>
        <v>3433.8483209342858</v>
      </c>
      <c r="J672" s="577">
        <f>'Volume and Speed'!I748</f>
        <v>3531.3063694879775</v>
      </c>
      <c r="K672" s="577">
        <f>'Volume and Speed'!J748</f>
        <v>3639.4590541383932</v>
      </c>
      <c r="L672" s="577">
        <f>'Volume and Speed'!K748</f>
        <v>3791.2622944819923</v>
      </c>
      <c r="M672" s="577">
        <f>'Volume and Speed'!L748</f>
        <v>3943.092662233938</v>
      </c>
      <c r="N672" s="577">
        <f>'Volume and Speed'!M748</f>
        <v>4094.9546832734477</v>
      </c>
      <c r="O672" s="577">
        <f>'Volume and Speed'!N748</f>
        <v>4246.7580035081864</v>
      </c>
      <c r="P672" s="577">
        <f>'Volume and Speed'!O748</f>
        <v>4398.5704102615491</v>
      </c>
      <c r="Q672" s="577">
        <f>'Volume and Speed'!P748</f>
        <v>4569.2013130102168</v>
      </c>
      <c r="R672" s="577">
        <f>'Volume and Speed'!Q748</f>
        <v>4739.7736010189374</v>
      </c>
      <c r="S672" s="577">
        <f>'Volume and Speed'!R748</f>
        <v>4910.4047960087373</v>
      </c>
      <c r="T672" s="577">
        <f>'Volume and Speed'!S748</f>
        <v>5081.0362245767774</v>
      </c>
      <c r="U672" s="577">
        <f>'Volume and Speed'!T748</f>
        <v>5251.6950801781377</v>
      </c>
      <c r="V672" s="577">
        <f>'Volume and Speed'!U748</f>
        <v>5378.6943472404309</v>
      </c>
      <c r="W672" s="577">
        <f>'Volume and Speed'!V748</f>
        <v>5476.1534219734112</v>
      </c>
      <c r="X672" s="577">
        <f>'Volume and Speed'!W748</f>
        <v>5573.6126989403265</v>
      </c>
      <c r="Y672" s="577">
        <f>'Volume and Speed'!X748</f>
        <v>5671.0722129257765</v>
      </c>
      <c r="Z672" s="577">
        <f>'Volume and Speed'!Y748</f>
        <v>5768.4823025216501</v>
      </c>
      <c r="AA672" s="577">
        <f>'Volume and Speed'!Z748</f>
        <v>5865.9424162607083</v>
      </c>
      <c r="AB672" s="577">
        <f>'Volume and Speed'!AA748</f>
        <v>5963.3532036218994</v>
      </c>
      <c r="AC672" s="577">
        <f>'Volume and Speed'!AB748</f>
        <v>6060.8141279413267</v>
      </c>
      <c r="AD672" s="577">
        <f>'Volume and Speed'!AC748</f>
        <v>6158.2755559940924</v>
      </c>
      <c r="AE672" s="577">
        <f>'Volume and Speed'!AD748</f>
        <v>6255.6878628970826</v>
      </c>
      <c r="AF672" s="577">
        <f>'Volume and Speed'!AE748</f>
        <v>6353.1505417631652</v>
      </c>
      <c r="AG672" s="577">
        <f>'Volume and Speed'!AF748</f>
        <v>6450.6139902149152</v>
      </c>
      <c r="AH672" s="752">
        <f>'Volume and Speed'!AG748</f>
        <v>6548.0286173319164</v>
      </c>
      <c r="AI672" s="18"/>
      <c r="AJ672" s="18"/>
      <c r="AK672" s="18"/>
      <c r="AL672" s="18"/>
      <c r="AM672" s="18"/>
      <c r="AN672" s="18"/>
    </row>
    <row r="673" spans="2:41" ht="21.95" customHeight="1" x14ac:dyDescent="0.2">
      <c r="B673" s="232"/>
      <c r="C673" s="715"/>
      <c r="D673" s="715"/>
      <c r="E673" s="116"/>
      <c r="F673" s="116" t="s">
        <v>343</v>
      </c>
      <c r="G673" s="116" t="s">
        <v>350</v>
      </c>
      <c r="H673" s="577" t="s">
        <v>23</v>
      </c>
      <c r="I673" s="577">
        <f>'Volume and Speed'!H749</f>
        <v>8810.531796712874</v>
      </c>
      <c r="J673" s="577">
        <f>'Volume and Speed'!I749</f>
        <v>9060.3691127620968</v>
      </c>
      <c r="K673" s="577">
        <f>'Volume and Speed'!J749</f>
        <v>9345.0520836105425</v>
      </c>
      <c r="L673" s="577">
        <f>'Volume and Speed'!K749</f>
        <v>9708.8095809397528</v>
      </c>
      <c r="M673" s="577">
        <f>'Volume and Speed'!L749</f>
        <v>10072.684555763755</v>
      </c>
      <c r="N673" s="577">
        <f>'Volume and Speed'!M749</f>
        <v>10436.500798904592</v>
      </c>
      <c r="O673" s="577">
        <f>'Volume and Speed'!N749</f>
        <v>10800.258312310603</v>
      </c>
      <c r="P673" s="577">
        <f>'Volume and Speed'!O749</f>
        <v>11164.089256545276</v>
      </c>
      <c r="Q673" s="577">
        <f>'Volume and Speed'!P749</f>
        <v>11575.306197999951</v>
      </c>
      <c r="R673" s="577">
        <f>'Volume and Speed'!Q749</f>
        <v>11986.508478432728</v>
      </c>
      <c r="S673" s="577">
        <f>'Volume and Speed'!R749</f>
        <v>12397.666737939287</v>
      </c>
      <c r="T673" s="577">
        <f>'Volume and Speed'!S749</f>
        <v>12808.883777326171</v>
      </c>
      <c r="U673" s="577">
        <f>'Volume and Speed'!T749</f>
        <v>13220.174295493773</v>
      </c>
      <c r="V673" s="577">
        <f>'Volume and Speed'!U749</f>
        <v>13552.302199962967</v>
      </c>
      <c r="W673" s="577">
        <f>'Volume and Speed'!V749</f>
        <v>13802.139722201126</v>
      </c>
      <c r="X673" s="577">
        <f>'Volume and Speed'!W749</f>
        <v>14051.977285931709</v>
      </c>
      <c r="Y673" s="577">
        <f>'Volume and Speed'!X749</f>
        <v>14301.814898422479</v>
      </c>
      <c r="Z673" s="577">
        <f>'Volume and Speed'!Y749</f>
        <v>14551.579146838299</v>
      </c>
      <c r="AA673" s="577">
        <f>'Volume and Speed'!Z749</f>
        <v>14801.416883215599</v>
      </c>
      <c r="AB673" s="577">
        <f>'Volume and Speed'!AA749</f>
        <v>15051.181276152151</v>
      </c>
      <c r="AC673" s="577">
        <f>'Volume and Speed'!AB749</f>
        <v>15301.019180782423</v>
      </c>
      <c r="AD673" s="577">
        <f>'Volume and Speed'!AC749</f>
        <v>15550.857190314353</v>
      </c>
      <c r="AE673" s="577">
        <f>'Volume and Speed'!AD749</f>
        <v>15800.621899845381</v>
      </c>
      <c r="AF673" s="577">
        <f>'Volume and Speed'!AE749</f>
        <v>16050.460170759208</v>
      </c>
      <c r="AG673" s="577">
        <f>'Volume and Speed'!AF749</f>
        <v>16300.29860296868</v>
      </c>
      <c r="AH673" s="752">
        <f>'Volume and Speed'!AG749</f>
        <v>16550.063799009629</v>
      </c>
      <c r="AI673" s="18"/>
      <c r="AJ673" s="18"/>
      <c r="AK673" s="18"/>
      <c r="AL673" s="18"/>
      <c r="AM673" s="18"/>
      <c r="AN673" s="18"/>
    </row>
    <row r="674" spans="2:41" ht="21.95" customHeight="1" x14ac:dyDescent="0.2">
      <c r="B674" s="232"/>
      <c r="C674" s="715"/>
      <c r="D674" s="715"/>
      <c r="E674" s="116"/>
      <c r="F674" s="116" t="s">
        <v>350</v>
      </c>
      <c r="G674" s="116" t="s">
        <v>280</v>
      </c>
      <c r="H674" s="577" t="s">
        <v>23</v>
      </c>
      <c r="I674" s="577">
        <f>'Volume and Speed'!H750</f>
        <v>60064.136465598429</v>
      </c>
      <c r="J674" s="577">
        <f>'Volume and Speed'!I750</f>
        <v>61767.355168825023</v>
      </c>
      <c r="K674" s="577">
        <f>'Volume and Speed'!J750</f>
        <v>63708.127535640131</v>
      </c>
      <c r="L674" s="577">
        <f>'Volume and Speed'!K750</f>
        <v>66187.975536268277</v>
      </c>
      <c r="M674" s="577">
        <f>'Volume and Speed'!L750</f>
        <v>68668.624401414942</v>
      </c>
      <c r="N674" s="577">
        <f>'Volume and Speed'!M750</f>
        <v>71148.872852004308</v>
      </c>
      <c r="O674" s="577">
        <f>'Volume and Speed'!N750</f>
        <v>73628.720892918616</v>
      </c>
      <c r="P674" s="577">
        <f>'Volume and Speed'!O750</f>
        <v>76109.069492686336</v>
      </c>
      <c r="Q674" s="577">
        <f>'Volume and Speed'!P750</f>
        <v>78912.463090797522</v>
      </c>
      <c r="R674" s="577">
        <f>'Volume and Speed'!Q750</f>
        <v>81715.756640144915</v>
      </c>
      <c r="S674" s="577">
        <f>'Volume and Speed'!R750</f>
        <v>84518.749948327706</v>
      </c>
      <c r="T674" s="577">
        <f>'Volume and Speed'!S750</f>
        <v>87322.143791843002</v>
      </c>
      <c r="U674" s="577">
        <f>'Volume and Speed'!T750</f>
        <v>90126.038314372621</v>
      </c>
      <c r="V674" s="577">
        <f>'Volume and Speed'!U750</f>
        <v>92390.256607081421</v>
      </c>
      <c r="W674" s="577">
        <f>'Volume and Speed'!V750</f>
        <v>94093.475826987866</v>
      </c>
      <c r="X674" s="577">
        <f>'Volume and Speed'!W750</f>
        <v>95796.695150868371</v>
      </c>
      <c r="Y674" s="577">
        <f>'Volume and Speed'!X750</f>
        <v>97499.91459693489</v>
      </c>
      <c r="Z674" s="577">
        <f>'Volume and Speed'!Y750</f>
        <v>99202.63365142321</v>
      </c>
      <c r="AA674" s="577">
        <f>'Volume and Speed'!Z750</f>
        <v>100905.85340793154</v>
      </c>
      <c r="AB674" s="577">
        <f>'Volume and Speed'!AA750</f>
        <v>102608.57282456808</v>
      </c>
      <c r="AC674" s="577">
        <f>'Volume and Speed'!AB750</f>
        <v>104311.79300269426</v>
      </c>
      <c r="AD674" s="577">
        <f>'Volume and Speed'!AC750</f>
        <v>106015.01344368892</v>
      </c>
      <c r="AE674" s="577">
        <f>'Volume and Speed'!AD750</f>
        <v>107717.73365366572</v>
      </c>
      <c r="AF674" s="577">
        <f>'Volume and Speed'!AE750</f>
        <v>109420.95474964587</v>
      </c>
      <c r="AG674" s="577">
        <f>'Volume and Speed'!AF750</f>
        <v>111124.17624980977</v>
      </c>
      <c r="AH674" s="752">
        <f>'Volume and Speed'!AG750</f>
        <v>112826.89767891055</v>
      </c>
      <c r="AI674" s="18"/>
      <c r="AJ674" s="18"/>
      <c r="AK674" s="18"/>
      <c r="AL674" s="18"/>
      <c r="AM674" s="18"/>
      <c r="AN674" s="18"/>
    </row>
    <row r="675" spans="2:41" ht="21.95" customHeight="1" thickBot="1" x14ac:dyDescent="0.25">
      <c r="B675" s="232"/>
      <c r="C675" s="715"/>
      <c r="D675" s="715"/>
      <c r="E675" s="116"/>
      <c r="F675" s="116" t="s">
        <v>280</v>
      </c>
      <c r="G675" s="116" t="s">
        <v>333</v>
      </c>
      <c r="H675" s="577" t="s">
        <v>23</v>
      </c>
      <c r="I675" s="577">
        <f>'Volume and Speed'!H751</f>
        <v>1500.0830564292053</v>
      </c>
      <c r="J675" s="577">
        <f>'Volume and Speed'!I751</f>
        <v>1542.6206970041326</v>
      </c>
      <c r="K675" s="577">
        <f>'Volume and Speed'!J751</f>
        <v>1591.0913271609174</v>
      </c>
      <c r="L675" s="577">
        <f>'Volume and Speed'!K751</f>
        <v>1653.0255790936376</v>
      </c>
      <c r="M675" s="577">
        <f>'Volume and Speed'!L751</f>
        <v>1714.980222283463</v>
      </c>
      <c r="N675" s="577">
        <f>'Volume and Speed'!M751</f>
        <v>1776.9254072623949</v>
      </c>
      <c r="O675" s="577">
        <f>'Volume and Speed'!N751</f>
        <v>1838.861337414517</v>
      </c>
      <c r="P675" s="577">
        <f>'Volume and Speed'!O751</f>
        <v>1900.8107839873219</v>
      </c>
      <c r="Q675" s="577">
        <f>'Volume and Speed'!P751</f>
        <v>1970.8303039901414</v>
      </c>
      <c r="R675" s="577">
        <f>'Volume and Speed'!Q751</f>
        <v>2040.849745413655</v>
      </c>
      <c r="S675" s="577">
        <f>'Volume and Speed'!R751</f>
        <v>2110.8649989294072</v>
      </c>
      <c r="T675" s="577">
        <f>'Volume and Speed'!S751</f>
        <v>2180.8947418411367</v>
      </c>
      <c r="U675" s="577">
        <f>'Volume and Speed'!T751</f>
        <v>2250.943006774366</v>
      </c>
      <c r="V675" s="577">
        <f>'Volume and Speed'!U751</f>
        <v>2307.5145385494761</v>
      </c>
      <c r="W675" s="577">
        <f>'Volume and Speed'!V751</f>
        <v>2350.0737026937231</v>
      </c>
      <c r="X675" s="577">
        <f>'Volume and Speed'!W751</f>
        <v>2392.6371981333941</v>
      </c>
      <c r="Y675" s="577">
        <f>'Volume and Speed'!X751</f>
        <v>2435.2057835323271</v>
      </c>
      <c r="Z675" s="577">
        <f>'Volume and Speed'!Y751</f>
        <v>2477.7678207706026</v>
      </c>
      <c r="AA675" s="577">
        <f>'Volume and Speed'!Z751</f>
        <v>2520.3493383884343</v>
      </c>
      <c r="AB675" s="577">
        <f>'Volume and Speed'!AA751</f>
        <v>2562.9264618005363</v>
      </c>
      <c r="AC675" s="577">
        <f>'Volume and Speed'!AB751</f>
        <v>2605.5255429432427</v>
      </c>
      <c r="AD675" s="577">
        <f>'Volume and Speed'!AC751</f>
        <v>2648.1355745184419</v>
      </c>
      <c r="AE675" s="577">
        <f>'Volume and Speed'!AD751</f>
        <v>2690.7457464705576</v>
      </c>
      <c r="AF675" s="577">
        <f>'Volume and Speed'!AE751</f>
        <v>2733.3830630767343</v>
      </c>
      <c r="AG675" s="577">
        <f>'Volume and Speed'!AF751</f>
        <v>2776.0372169498569</v>
      </c>
      <c r="AH675" s="752">
        <f>'Volume and Speed'!AG751</f>
        <v>2818.698174508042</v>
      </c>
      <c r="AI675" s="18"/>
      <c r="AJ675" s="18"/>
      <c r="AK675" s="18"/>
      <c r="AL675" s="18"/>
      <c r="AM675" s="18"/>
      <c r="AN675" s="18"/>
    </row>
    <row r="676" spans="2:41" ht="21.95" customHeight="1" thickBot="1" x14ac:dyDescent="0.25">
      <c r="B676" s="488"/>
      <c r="C676" s="756"/>
      <c r="D676" s="756"/>
      <c r="E676" s="731"/>
      <c r="F676" s="731"/>
      <c r="G676" s="731"/>
      <c r="H676" s="757" t="s">
        <v>514</v>
      </c>
      <c r="I676" s="757">
        <f>SUM(I647:I675)</f>
        <v>1760370.8246284313</v>
      </c>
      <c r="J676" s="757">
        <f t="shared" ref="J676:AH676" si="1310">SUM(J647:J675)</f>
        <v>1841392.1984687862</v>
      </c>
      <c r="K676" s="757">
        <f t="shared" si="1310"/>
        <v>1946879.4588793006</v>
      </c>
      <c r="L676" s="757">
        <f t="shared" si="1310"/>
        <v>2112693.0136105241</v>
      </c>
      <c r="M676" s="757">
        <f t="shared" si="1310"/>
        <v>2279451.0539289569</v>
      </c>
      <c r="N676" s="757">
        <f t="shared" si="1310"/>
        <v>2447535.9712024773</v>
      </c>
      <c r="O676" s="757">
        <f t="shared" si="1310"/>
        <v>2617568.7823579847</v>
      </c>
      <c r="P676" s="757">
        <f t="shared" si="1310"/>
        <v>2791112.1446195473</v>
      </c>
      <c r="Q676" s="757">
        <f t="shared" si="1310"/>
        <v>2951587.7576478231</v>
      </c>
      <c r="R676" s="757">
        <f t="shared" si="1310"/>
        <v>3118311.1200675387</v>
      </c>
      <c r="S676" s="757">
        <f t="shared" si="1310"/>
        <v>3294975.2948057833</v>
      </c>
      <c r="T676" s="757">
        <f t="shared" si="1310"/>
        <v>3486271.5471700439</v>
      </c>
      <c r="U676" s="757">
        <f t="shared" si="1310"/>
        <v>3699181.8349033883</v>
      </c>
      <c r="V676" s="757">
        <f t="shared" si="1310"/>
        <v>3845616.0413495628</v>
      </c>
      <c r="W676" s="757">
        <f t="shared" si="1310"/>
        <v>3951727.214920687</v>
      </c>
      <c r="X676" s="757">
        <f t="shared" si="1310"/>
        <v>4051472.6824911614</v>
      </c>
      <c r="Y676" s="757">
        <f t="shared" si="1310"/>
        <v>4129542.5956858373</v>
      </c>
      <c r="Z676" s="757">
        <f t="shared" si="1310"/>
        <v>4210788.3194517409</v>
      </c>
      <c r="AA676" s="757">
        <f t="shared" si="1310"/>
        <v>4297855.5783868367</v>
      </c>
      <c r="AB676" s="757">
        <f t="shared" si="1310"/>
        <v>4389643.2206516452</v>
      </c>
      <c r="AC676" s="757">
        <f t="shared" si="1310"/>
        <v>4475225.1615348123</v>
      </c>
      <c r="AD676" s="757">
        <f t="shared" si="1310"/>
        <v>4562900.8852520315</v>
      </c>
      <c r="AE676" s="757">
        <f t="shared" si="1310"/>
        <v>4653942.7695602905</v>
      </c>
      <c r="AF676" s="757">
        <f t="shared" si="1310"/>
        <v>4748649.7404127372</v>
      </c>
      <c r="AG676" s="757">
        <f t="shared" si="1310"/>
        <v>4847598.8643725617</v>
      </c>
      <c r="AH676" s="758">
        <f t="shared" si="1310"/>
        <v>4951422.0491806865</v>
      </c>
      <c r="AI676" s="18"/>
      <c r="AJ676" s="18"/>
      <c r="AK676" s="18"/>
      <c r="AL676" s="18"/>
      <c r="AM676" s="18"/>
      <c r="AN676" s="18"/>
    </row>
    <row r="677" spans="2:41" ht="21.95" customHeight="1" thickBot="1" x14ac:dyDescent="0.25">
      <c r="B677" s="9"/>
      <c r="C677" s="715"/>
      <c r="D677" s="715"/>
      <c r="E677" s="116"/>
      <c r="F677" s="116"/>
      <c r="G677" s="116"/>
      <c r="H677" s="769"/>
      <c r="I677" s="769"/>
      <c r="J677" s="769"/>
      <c r="K677" s="769"/>
      <c r="L677" s="769"/>
      <c r="M677" s="769"/>
      <c r="N677" s="769"/>
      <c r="O677" s="769"/>
      <c r="P677" s="769"/>
      <c r="Q677" s="769"/>
      <c r="R677" s="769"/>
      <c r="S677" s="769"/>
      <c r="T677" s="769"/>
      <c r="U677" s="769"/>
      <c r="V677" s="769"/>
      <c r="W677" s="769"/>
      <c r="X677" s="769"/>
      <c r="Y677" s="769"/>
      <c r="Z677" s="769"/>
      <c r="AA677" s="769"/>
      <c r="AB677" s="769"/>
      <c r="AC677" s="769"/>
      <c r="AD677" s="769"/>
      <c r="AE677" s="769"/>
      <c r="AF677" s="769"/>
      <c r="AG677" s="769"/>
      <c r="AH677" s="769"/>
      <c r="AI677" s="18"/>
      <c r="AJ677" s="18"/>
      <c r="AK677" s="18"/>
      <c r="AL677" s="18"/>
      <c r="AM677" s="18"/>
      <c r="AN677" s="18"/>
    </row>
    <row r="678" spans="2:41" s="7" customFormat="1" ht="21.95" customHeight="1" thickBot="1" x14ac:dyDescent="0.25">
      <c r="B678" s="234"/>
      <c r="C678" s="485" t="s">
        <v>2</v>
      </c>
      <c r="D678" s="485"/>
      <c r="E678" s="485" t="s">
        <v>328</v>
      </c>
      <c r="F678" s="1338" t="s">
        <v>18</v>
      </c>
      <c r="G678" s="1338"/>
      <c r="H678" s="485" t="s">
        <v>24</v>
      </c>
      <c r="I678" s="763">
        <v>2023</v>
      </c>
      <c r="J678" s="763">
        <v>2024</v>
      </c>
      <c r="K678" s="763">
        <v>2025</v>
      </c>
      <c r="L678" s="763">
        <v>2026</v>
      </c>
      <c r="M678" s="763">
        <v>2027</v>
      </c>
      <c r="N678" s="763">
        <v>2028</v>
      </c>
      <c r="O678" s="763">
        <v>2029</v>
      </c>
      <c r="P678" s="763">
        <v>2030</v>
      </c>
      <c r="Q678" s="763">
        <v>2031</v>
      </c>
      <c r="R678" s="763">
        <v>2032</v>
      </c>
      <c r="S678" s="763">
        <v>2033</v>
      </c>
      <c r="T678" s="763">
        <v>2034</v>
      </c>
      <c r="U678" s="763">
        <v>2035</v>
      </c>
      <c r="V678" s="763">
        <v>2036</v>
      </c>
      <c r="W678" s="763">
        <v>2037</v>
      </c>
      <c r="X678" s="763">
        <v>2038</v>
      </c>
      <c r="Y678" s="763">
        <v>2039</v>
      </c>
      <c r="Z678" s="763">
        <v>2040</v>
      </c>
      <c r="AA678" s="763">
        <v>2041</v>
      </c>
      <c r="AB678" s="763">
        <v>2042</v>
      </c>
      <c r="AC678" s="763">
        <v>2043</v>
      </c>
      <c r="AD678" s="763">
        <v>2044</v>
      </c>
      <c r="AE678" s="763">
        <v>2045</v>
      </c>
      <c r="AF678" s="763">
        <v>2046</v>
      </c>
      <c r="AG678" s="763">
        <v>2047</v>
      </c>
      <c r="AH678" s="762">
        <v>2048</v>
      </c>
      <c r="AI678" s="484"/>
      <c r="AJ678" s="484"/>
      <c r="AK678" s="484"/>
      <c r="AL678" s="484"/>
      <c r="AM678" s="484"/>
      <c r="AN678" s="484"/>
      <c r="AO678" s="484"/>
    </row>
    <row r="679" spans="2:41" ht="21.95" customHeight="1" x14ac:dyDescent="0.2">
      <c r="B679" s="199" t="s">
        <v>212</v>
      </c>
      <c r="C679" s="116" t="s">
        <v>156</v>
      </c>
      <c r="D679" s="240" t="s">
        <v>23</v>
      </c>
      <c r="E679" s="1339" t="s">
        <v>331</v>
      </c>
      <c r="F679" s="116" t="s">
        <v>332</v>
      </c>
      <c r="G679" s="116" t="s">
        <v>282</v>
      </c>
      <c r="H679" s="116" t="s">
        <v>20</v>
      </c>
      <c r="I679" s="577">
        <f t="shared" ref="I679:AH679" si="1311">I647*$C$20</f>
        <v>1700.4212426444767</v>
      </c>
      <c r="J679" s="577">
        <f t="shared" si="1311"/>
        <v>1777.7445161991832</v>
      </c>
      <c r="K679" s="577">
        <f t="shared" si="1311"/>
        <v>1886.6878240199578</v>
      </c>
      <c r="L679" s="577">
        <f t="shared" si="1311"/>
        <v>2046.9459829532991</v>
      </c>
      <c r="M679" s="577">
        <f t="shared" si="1311"/>
        <v>2207.2803498724534</v>
      </c>
      <c r="N679" s="577">
        <f t="shared" si="1311"/>
        <v>2367.649532070101</v>
      </c>
      <c r="O679" s="577">
        <f t="shared" si="1311"/>
        <v>2528.0253646472265</v>
      </c>
      <c r="P679" s="577">
        <f t="shared" si="1311"/>
        <v>2688.6353607219407</v>
      </c>
      <c r="Q679" s="577">
        <f t="shared" si="1311"/>
        <v>2847.5445946431519</v>
      </c>
      <c r="R679" s="577">
        <f t="shared" si="1311"/>
        <v>3006.8174000552021</v>
      </c>
      <c r="S679" s="577">
        <f t="shared" si="1311"/>
        <v>3166.5970089755097</v>
      </c>
      <c r="T679" s="577">
        <f t="shared" si="1311"/>
        <v>3327.2308740982166</v>
      </c>
      <c r="U679" s="577">
        <f t="shared" si="1311"/>
        <v>3489.3092774847814</v>
      </c>
      <c r="V679" s="577">
        <f t="shared" si="1311"/>
        <v>3599.8586805549689</v>
      </c>
      <c r="W679" s="577">
        <f t="shared" si="1311"/>
        <v>3680.3964247985878</v>
      </c>
      <c r="X679" s="577">
        <f t="shared" si="1311"/>
        <v>3761.6893993241629</v>
      </c>
      <c r="Y679" s="577">
        <f t="shared" si="1311"/>
        <v>3843.893634175764</v>
      </c>
      <c r="Z679" s="577">
        <f t="shared" si="1311"/>
        <v>3927.2220029013911</v>
      </c>
      <c r="AA679" s="577">
        <f t="shared" si="1311"/>
        <v>4011.8336941202983</v>
      </c>
      <c r="AB679" s="577">
        <f t="shared" si="1311"/>
        <v>4098.0406197007333</v>
      </c>
      <c r="AC679" s="577">
        <f t="shared" si="1311"/>
        <v>4186.0798975926455</v>
      </c>
      <c r="AD679" s="577">
        <f t="shared" si="1311"/>
        <v>4276.3259543695322</v>
      </c>
      <c r="AE679" s="577">
        <f t="shared" si="1311"/>
        <v>4369.2120330095713</v>
      </c>
      <c r="AF679" s="577">
        <f t="shared" si="1311"/>
        <v>4465.1387654261634</v>
      </c>
      <c r="AG679" s="577">
        <f t="shared" si="1311"/>
        <v>4564.6739980457469</v>
      </c>
      <c r="AH679" s="752">
        <f t="shared" si="1311"/>
        <v>4668.4723036542127</v>
      </c>
      <c r="AI679" s="18"/>
      <c r="AJ679" s="18"/>
      <c r="AK679" s="18"/>
      <c r="AL679" s="18"/>
      <c r="AM679" s="18"/>
      <c r="AN679" s="18"/>
    </row>
    <row r="680" spans="2:41" ht="21.95" customHeight="1" x14ac:dyDescent="0.2">
      <c r="B680" s="486" t="s">
        <v>186</v>
      </c>
      <c r="C680" s="116"/>
      <c r="D680" s="240"/>
      <c r="E680" s="1339"/>
      <c r="F680" s="116"/>
      <c r="G680" s="116"/>
      <c r="H680" s="124" t="s">
        <v>19</v>
      </c>
      <c r="I680" s="577">
        <f>I647*$C$21</f>
        <v>6028.7662239213269</v>
      </c>
      <c r="J680" s="577">
        <f t="shared" ref="J680:AH680" si="1312">J647*$C$21</f>
        <v>6302.9123756152858</v>
      </c>
      <c r="K680" s="577">
        <f t="shared" si="1312"/>
        <v>6689.1659215253048</v>
      </c>
      <c r="L680" s="577">
        <f t="shared" si="1312"/>
        <v>7257.3539395616972</v>
      </c>
      <c r="M680" s="577">
        <f t="shared" si="1312"/>
        <v>7825.8121495477899</v>
      </c>
      <c r="N680" s="577">
        <f t="shared" si="1312"/>
        <v>8394.3937955212677</v>
      </c>
      <c r="O680" s="577">
        <f t="shared" si="1312"/>
        <v>8962.999020112893</v>
      </c>
      <c r="P680" s="577">
        <f t="shared" si="1312"/>
        <v>9532.4344607414259</v>
      </c>
      <c r="Q680" s="577">
        <f t="shared" si="1312"/>
        <v>10095.839926462084</v>
      </c>
      <c r="R680" s="577">
        <f t="shared" si="1312"/>
        <v>10660.534418377534</v>
      </c>
      <c r="S680" s="577">
        <f t="shared" si="1312"/>
        <v>11227.02575909499</v>
      </c>
      <c r="T680" s="577">
        <f t="shared" si="1312"/>
        <v>11796.545826348223</v>
      </c>
      <c r="U680" s="577">
        <f t="shared" si="1312"/>
        <v>12371.187438355135</v>
      </c>
      <c r="V680" s="577">
        <f t="shared" si="1312"/>
        <v>12763.135321967617</v>
      </c>
      <c r="W680" s="577">
        <f t="shared" si="1312"/>
        <v>13048.678233376811</v>
      </c>
      <c r="X680" s="577">
        <f t="shared" si="1312"/>
        <v>13336.898779422032</v>
      </c>
      <c r="Y680" s="577">
        <f t="shared" si="1312"/>
        <v>13628.350157532253</v>
      </c>
      <c r="Z680" s="577">
        <f t="shared" si="1312"/>
        <v>13923.787101195841</v>
      </c>
      <c r="AA680" s="577">
        <f t="shared" si="1312"/>
        <v>14223.774006426513</v>
      </c>
      <c r="AB680" s="577">
        <f t="shared" si="1312"/>
        <v>14529.416742575326</v>
      </c>
      <c r="AC680" s="577">
        <f t="shared" si="1312"/>
        <v>14841.556000555745</v>
      </c>
      <c r="AD680" s="577">
        <f t="shared" si="1312"/>
        <v>15161.519292764708</v>
      </c>
      <c r="AE680" s="577">
        <f t="shared" si="1312"/>
        <v>15490.842662488481</v>
      </c>
      <c r="AF680" s="577">
        <f t="shared" si="1312"/>
        <v>15830.946531965488</v>
      </c>
      <c r="AG680" s="577">
        <f t="shared" si="1312"/>
        <v>16183.844174889466</v>
      </c>
      <c r="AH680" s="752">
        <f t="shared" si="1312"/>
        <v>16551.856349319482</v>
      </c>
      <c r="AI680" s="18"/>
      <c r="AJ680" s="18"/>
      <c r="AK680" s="18"/>
      <c r="AL680" s="18"/>
      <c r="AM680" s="18"/>
      <c r="AN680" s="18"/>
    </row>
    <row r="681" spans="2:41" ht="21.95" customHeight="1" x14ac:dyDescent="0.2">
      <c r="B681" s="199"/>
      <c r="C681" s="116"/>
      <c r="D681" s="240"/>
      <c r="E681" s="1339"/>
      <c r="F681" s="116"/>
      <c r="G681" s="116"/>
      <c r="H681" s="720" t="s">
        <v>25</v>
      </c>
      <c r="I681" s="577">
        <f t="shared" ref="I681:AH681" si="1313">SUM(I679:I680)</f>
        <v>7729.1874665658033</v>
      </c>
      <c r="J681" s="577">
        <f t="shared" si="1313"/>
        <v>8080.6568918144694</v>
      </c>
      <c r="K681" s="577">
        <f t="shared" si="1313"/>
        <v>8575.8537455452624</v>
      </c>
      <c r="L681" s="577">
        <f t="shared" si="1313"/>
        <v>9304.2999225149961</v>
      </c>
      <c r="M681" s="577">
        <f t="shared" si="1313"/>
        <v>10033.092499420243</v>
      </c>
      <c r="N681" s="577">
        <f t="shared" si="1313"/>
        <v>10762.043327591369</v>
      </c>
      <c r="O681" s="577">
        <f t="shared" si="1313"/>
        <v>11491.02438476012</v>
      </c>
      <c r="P681" s="577">
        <f t="shared" si="1313"/>
        <v>12221.069821463367</v>
      </c>
      <c r="Q681" s="577">
        <f t="shared" si="1313"/>
        <v>12943.384521105236</v>
      </c>
      <c r="R681" s="577">
        <f t="shared" si="1313"/>
        <v>13667.351818432737</v>
      </c>
      <c r="S681" s="577">
        <f t="shared" si="1313"/>
        <v>14393.6227680705</v>
      </c>
      <c r="T681" s="577">
        <f t="shared" si="1313"/>
        <v>15123.77670044644</v>
      </c>
      <c r="U681" s="577">
        <f t="shared" si="1313"/>
        <v>15860.496715839916</v>
      </c>
      <c r="V681" s="577">
        <f t="shared" si="1313"/>
        <v>16362.994002522586</v>
      </c>
      <c r="W681" s="577">
        <f t="shared" si="1313"/>
        <v>16729.074658175399</v>
      </c>
      <c r="X681" s="577">
        <f t="shared" si="1313"/>
        <v>17098.588178746195</v>
      </c>
      <c r="Y681" s="577">
        <f t="shared" si="1313"/>
        <v>17472.243791708017</v>
      </c>
      <c r="Z681" s="577">
        <f t="shared" si="1313"/>
        <v>17851.009104097233</v>
      </c>
      <c r="AA681" s="577">
        <f t="shared" si="1313"/>
        <v>18235.607700546811</v>
      </c>
      <c r="AB681" s="577">
        <f t="shared" si="1313"/>
        <v>18627.457362276058</v>
      </c>
      <c r="AC681" s="577">
        <f t="shared" si="1313"/>
        <v>19027.63589814839</v>
      </c>
      <c r="AD681" s="577">
        <f t="shared" si="1313"/>
        <v>19437.845247134239</v>
      </c>
      <c r="AE681" s="577">
        <f t="shared" si="1313"/>
        <v>19860.054695498053</v>
      </c>
      <c r="AF681" s="577">
        <f t="shared" si="1313"/>
        <v>20296.085297391652</v>
      </c>
      <c r="AG681" s="577">
        <f t="shared" si="1313"/>
        <v>20748.518172935212</v>
      </c>
      <c r="AH681" s="752">
        <f t="shared" si="1313"/>
        <v>21220.328652973694</v>
      </c>
      <c r="AI681" s="18"/>
      <c r="AJ681" s="18"/>
      <c r="AK681" s="18"/>
      <c r="AL681" s="18"/>
      <c r="AM681" s="18"/>
      <c r="AN681" s="18"/>
    </row>
    <row r="682" spans="2:41" ht="21.95" customHeight="1" x14ac:dyDescent="0.2">
      <c r="B682" s="197"/>
      <c r="C682" s="715"/>
      <c r="D682" s="715"/>
      <c r="E682" s="1339"/>
      <c r="F682" s="116" t="s">
        <v>282</v>
      </c>
      <c r="G682" s="116" t="s">
        <v>280</v>
      </c>
      <c r="H682" s="116" t="s">
        <v>20</v>
      </c>
      <c r="I682" s="577">
        <f t="shared" ref="I682:AH682" si="1314">I648*$C$20</f>
        <v>54677.558406391247</v>
      </c>
      <c r="J682" s="577">
        <f t="shared" si="1314"/>
        <v>57563.737188583982</v>
      </c>
      <c r="K682" s="577">
        <f t="shared" si="1314"/>
        <v>61896.265100153374</v>
      </c>
      <c r="L682" s="577">
        <f t="shared" si="1314"/>
        <v>69054.339495262087</v>
      </c>
      <c r="M682" s="577">
        <f t="shared" si="1314"/>
        <v>76215.972854242646</v>
      </c>
      <c r="N682" s="577">
        <f t="shared" si="1314"/>
        <v>83377.967179007392</v>
      </c>
      <c r="O682" s="577">
        <f t="shared" si="1314"/>
        <v>90538.82891508071</v>
      </c>
      <c r="P682" s="577">
        <f t="shared" si="1314"/>
        <v>97709.729541016379</v>
      </c>
      <c r="Q682" s="577">
        <f t="shared" si="1314"/>
        <v>104951.40807880393</v>
      </c>
      <c r="R682" s="577">
        <f t="shared" si="1314"/>
        <v>112209.06600744247</v>
      </c>
      <c r="S682" s="577">
        <f t="shared" si="1314"/>
        <v>119488.86060734327</v>
      </c>
      <c r="T682" s="577">
        <f t="shared" si="1314"/>
        <v>126811.64021600127</v>
      </c>
      <c r="U682" s="577">
        <f t="shared" si="1314"/>
        <v>134213.87780185047</v>
      </c>
      <c r="V682" s="577">
        <f t="shared" si="1314"/>
        <v>138769.94738711879</v>
      </c>
      <c r="W682" s="577">
        <f t="shared" si="1314"/>
        <v>141789.74280659828</v>
      </c>
      <c r="X682" s="577">
        <f t="shared" si="1314"/>
        <v>144839.85061616011</v>
      </c>
      <c r="Y682" s="577">
        <f t="shared" si="1314"/>
        <v>147926.32584689293</v>
      </c>
      <c r="Z682" s="577">
        <f t="shared" si="1314"/>
        <v>151058.04548827399</v>
      </c>
      <c r="AA682" s="577">
        <f t="shared" si="1314"/>
        <v>154239.81496906676</v>
      </c>
      <c r="AB682" s="577">
        <f t="shared" si="1314"/>
        <v>157484.91879749988</v>
      </c>
      <c r="AC682" s="577">
        <f t="shared" si="1314"/>
        <v>160801.00510132074</v>
      </c>
      <c r="AD682" s="577">
        <f t="shared" si="1314"/>
        <v>164202.96493904793</v>
      </c>
      <c r="AE682" s="577">
        <f t="shared" si="1314"/>
        <v>167707.93691159738</v>
      </c>
      <c r="AF682" s="577">
        <f t="shared" si="1314"/>
        <v>171329.46623650077</v>
      </c>
      <c r="AG682" s="577">
        <f t="shared" si="1314"/>
        <v>175089.59553673092</v>
      </c>
      <c r="AH682" s="752">
        <f t="shared" si="1314"/>
        <v>179013.66006525926</v>
      </c>
      <c r="AI682" s="18"/>
      <c r="AJ682" s="18"/>
      <c r="AK682" s="18"/>
      <c r="AL682" s="18"/>
      <c r="AM682" s="18"/>
      <c r="AN682" s="18"/>
    </row>
    <row r="683" spans="2:41" ht="21.95" customHeight="1" x14ac:dyDescent="0.2">
      <c r="B683" s="486"/>
      <c r="C683" s="715"/>
      <c r="D683" s="715"/>
      <c r="E683" s="1339"/>
      <c r="F683" s="116"/>
      <c r="G683" s="116"/>
      <c r="H683" s="124" t="s">
        <v>19</v>
      </c>
      <c r="I683" s="577">
        <f t="shared" ref="I683:AH683" si="1315">I648*$C$21</f>
        <v>193856.79798629624</v>
      </c>
      <c r="J683" s="577">
        <f t="shared" si="1315"/>
        <v>204089.61366861596</v>
      </c>
      <c r="K683" s="577">
        <f t="shared" si="1315"/>
        <v>219450.39444599833</v>
      </c>
      <c r="L683" s="577">
        <f t="shared" si="1315"/>
        <v>244829.02184683835</v>
      </c>
      <c r="M683" s="577">
        <f t="shared" si="1315"/>
        <v>270220.2673923148</v>
      </c>
      <c r="N683" s="577">
        <f t="shared" si="1315"/>
        <v>295612.79272557166</v>
      </c>
      <c r="O683" s="577">
        <f t="shared" si="1315"/>
        <v>321001.30251710437</v>
      </c>
      <c r="P683" s="577">
        <f t="shared" si="1315"/>
        <v>346425.40473633079</v>
      </c>
      <c r="Q683" s="577">
        <f t="shared" si="1315"/>
        <v>372100.44682485028</v>
      </c>
      <c r="R683" s="577">
        <f t="shared" si="1315"/>
        <v>397832.14311729604</v>
      </c>
      <c r="S683" s="577">
        <f t="shared" si="1315"/>
        <v>423642.32397148979</v>
      </c>
      <c r="T683" s="577">
        <f t="shared" si="1315"/>
        <v>449604.90622036817</v>
      </c>
      <c r="U683" s="577">
        <f t="shared" si="1315"/>
        <v>475849.20311565173</v>
      </c>
      <c r="V683" s="577">
        <f t="shared" si="1315"/>
        <v>492002.54073614854</v>
      </c>
      <c r="W683" s="577">
        <f t="shared" si="1315"/>
        <v>502709.08813248487</v>
      </c>
      <c r="X683" s="577">
        <f t="shared" si="1315"/>
        <v>513523.10673002223</v>
      </c>
      <c r="Y683" s="577">
        <f t="shared" si="1315"/>
        <v>524466.06436625682</v>
      </c>
      <c r="Z683" s="577">
        <f t="shared" si="1315"/>
        <v>535569.43400388048</v>
      </c>
      <c r="AA683" s="577">
        <f t="shared" si="1315"/>
        <v>546850.25307214574</v>
      </c>
      <c r="AB683" s="577">
        <f t="shared" si="1315"/>
        <v>558355.62119113596</v>
      </c>
      <c r="AC683" s="577">
        <f t="shared" si="1315"/>
        <v>570112.65445013717</v>
      </c>
      <c r="AD683" s="577">
        <f t="shared" si="1315"/>
        <v>582174.14842026087</v>
      </c>
      <c r="AE683" s="577">
        <f t="shared" si="1315"/>
        <v>594600.86723202711</v>
      </c>
      <c r="AF683" s="577">
        <f t="shared" si="1315"/>
        <v>607440.83483850269</v>
      </c>
      <c r="AG683" s="577">
        <f t="shared" si="1315"/>
        <v>620772.20235750056</v>
      </c>
      <c r="AH683" s="752">
        <f t="shared" si="1315"/>
        <v>634684.79477682838</v>
      </c>
      <c r="AI683" s="18"/>
      <c r="AJ683" s="18"/>
      <c r="AK683" s="18"/>
      <c r="AL683" s="18"/>
      <c r="AM683" s="18"/>
      <c r="AN683" s="18"/>
    </row>
    <row r="684" spans="2:41" ht="21.95" customHeight="1" x14ac:dyDescent="0.2">
      <c r="B684" s="486"/>
      <c r="C684" s="715"/>
      <c r="D684" s="715"/>
      <c r="E684" s="1339"/>
      <c r="F684" s="116"/>
      <c r="G684" s="116"/>
      <c r="H684" s="720" t="s">
        <v>25</v>
      </c>
      <c r="I684" s="577">
        <f t="shared" ref="I684:AH684" si="1316">SUM(I682:I683)</f>
        <v>248534.35639268748</v>
      </c>
      <c r="J684" s="577">
        <f t="shared" si="1316"/>
        <v>261653.35085719993</v>
      </c>
      <c r="K684" s="577">
        <f t="shared" si="1316"/>
        <v>281346.6595461517</v>
      </c>
      <c r="L684" s="577">
        <f t="shared" si="1316"/>
        <v>313883.36134210043</v>
      </c>
      <c r="M684" s="577">
        <f t="shared" si="1316"/>
        <v>346436.24024655746</v>
      </c>
      <c r="N684" s="577">
        <f t="shared" si="1316"/>
        <v>378990.75990457903</v>
      </c>
      <c r="O684" s="577">
        <f t="shared" si="1316"/>
        <v>411540.13143218507</v>
      </c>
      <c r="P684" s="577">
        <f t="shared" si="1316"/>
        <v>444135.13427734718</v>
      </c>
      <c r="Q684" s="577">
        <f t="shared" si="1316"/>
        <v>477051.8549036542</v>
      </c>
      <c r="R684" s="577">
        <f t="shared" si="1316"/>
        <v>510041.20912473853</v>
      </c>
      <c r="S684" s="577">
        <f t="shared" si="1316"/>
        <v>543131.18457883305</v>
      </c>
      <c r="T684" s="577">
        <f t="shared" si="1316"/>
        <v>576416.54643636942</v>
      </c>
      <c r="U684" s="577">
        <f t="shared" si="1316"/>
        <v>610063.08091750217</v>
      </c>
      <c r="V684" s="577">
        <f t="shared" si="1316"/>
        <v>630772.48812326731</v>
      </c>
      <c r="W684" s="577">
        <f t="shared" si="1316"/>
        <v>644498.83093908313</v>
      </c>
      <c r="X684" s="577">
        <f t="shared" si="1316"/>
        <v>658362.95734618232</v>
      </c>
      <c r="Y684" s="577">
        <f t="shared" si="1316"/>
        <v>672392.39021314972</v>
      </c>
      <c r="Z684" s="577">
        <f t="shared" si="1316"/>
        <v>686627.47949215444</v>
      </c>
      <c r="AA684" s="577">
        <f t="shared" si="1316"/>
        <v>701090.06804121251</v>
      </c>
      <c r="AB684" s="577">
        <f t="shared" si="1316"/>
        <v>715840.53998863581</v>
      </c>
      <c r="AC684" s="577">
        <f t="shared" si="1316"/>
        <v>730913.65955145797</v>
      </c>
      <c r="AD684" s="577">
        <f t="shared" si="1316"/>
        <v>746377.1133593088</v>
      </c>
      <c r="AE684" s="577">
        <f t="shared" si="1316"/>
        <v>762308.8041436245</v>
      </c>
      <c r="AF684" s="577">
        <f t="shared" si="1316"/>
        <v>778770.30107500346</v>
      </c>
      <c r="AG684" s="577">
        <f t="shared" si="1316"/>
        <v>795861.79789423151</v>
      </c>
      <c r="AH684" s="752">
        <f t="shared" si="1316"/>
        <v>813698.45484208758</v>
      </c>
      <c r="AI684" s="18"/>
      <c r="AJ684" s="18"/>
      <c r="AK684" s="18"/>
      <c r="AL684" s="18"/>
      <c r="AM684" s="18"/>
      <c r="AN684" s="18"/>
    </row>
    <row r="685" spans="2:41" ht="21.95" customHeight="1" x14ac:dyDescent="0.2">
      <c r="B685" s="486"/>
      <c r="C685" s="715"/>
      <c r="D685" s="715"/>
      <c r="E685" s="1339"/>
      <c r="F685" s="116" t="s">
        <v>280</v>
      </c>
      <c r="G685" s="116" t="s">
        <v>333</v>
      </c>
      <c r="H685" s="116" t="s">
        <v>20</v>
      </c>
      <c r="I685" s="577">
        <f t="shared" ref="I685:AH685" si="1317">I649*$C$20</f>
        <v>1275.4561323778137</v>
      </c>
      <c r="J685" s="577">
        <f t="shared" si="1317"/>
        <v>1328.7921816389526</v>
      </c>
      <c r="K685" s="577">
        <f t="shared" si="1317"/>
        <v>1394.8620228042305</v>
      </c>
      <c r="L685" s="577">
        <f t="shared" si="1317"/>
        <v>1483.9727511510785</v>
      </c>
      <c r="M685" s="577">
        <f t="shared" si="1317"/>
        <v>1573.4179006029424</v>
      </c>
      <c r="N685" s="577">
        <f t="shared" si="1317"/>
        <v>1663.361373162074</v>
      </c>
      <c r="O685" s="577">
        <f t="shared" si="1317"/>
        <v>1754.1158185327524</v>
      </c>
      <c r="P685" s="577">
        <f t="shared" si="1317"/>
        <v>1846.264734545312</v>
      </c>
      <c r="Q685" s="577">
        <f t="shared" si="1317"/>
        <v>1937.5140444174544</v>
      </c>
      <c r="R685" s="577">
        <f t="shared" si="1317"/>
        <v>2031.7304942878698</v>
      </c>
      <c r="S685" s="577">
        <f t="shared" si="1317"/>
        <v>2130.254695012613</v>
      </c>
      <c r="T685" s="577">
        <f t="shared" si="1317"/>
        <v>2235.1046507757969</v>
      </c>
      <c r="U685" s="577">
        <f t="shared" si="1317"/>
        <v>2349.1211837870546</v>
      </c>
      <c r="V685" s="577">
        <f t="shared" si="1317"/>
        <v>2440.7083333732212</v>
      </c>
      <c r="W685" s="577">
        <f t="shared" si="1317"/>
        <v>2524.6773223492992</v>
      </c>
      <c r="X685" s="577">
        <f t="shared" si="1317"/>
        <v>2616.3274373352483</v>
      </c>
      <c r="Y685" s="577">
        <f t="shared" si="1317"/>
        <v>2717.3464235096562</v>
      </c>
      <c r="Z685" s="577">
        <f t="shared" si="1317"/>
        <v>2829.7913457104796</v>
      </c>
      <c r="AA685" s="577">
        <f t="shared" si="1317"/>
        <v>2955.9574405851663</v>
      </c>
      <c r="AB685" s="577">
        <f t="shared" si="1317"/>
        <v>3098.7662734394203</v>
      </c>
      <c r="AC685" s="577">
        <f t="shared" si="1317"/>
        <v>3261.4253665874144</v>
      </c>
      <c r="AD685" s="577">
        <f t="shared" si="1317"/>
        <v>3447.8870502293362</v>
      </c>
      <c r="AE685" s="577">
        <f t="shared" si="1317"/>
        <v>3662.8069952066812</v>
      </c>
      <c r="AF685" s="577">
        <f t="shared" si="1317"/>
        <v>3911.3410859523424</v>
      </c>
      <c r="AG685" s="577">
        <f t="shared" si="1317"/>
        <v>4199.7657875058703</v>
      </c>
      <c r="AH685" s="752">
        <f t="shared" si="1317"/>
        <v>4535.4153164422651</v>
      </c>
      <c r="AI685" s="18"/>
      <c r="AJ685" s="18"/>
      <c r="AK685" s="18"/>
      <c r="AL685" s="18"/>
      <c r="AM685" s="18"/>
      <c r="AN685" s="18"/>
    </row>
    <row r="686" spans="2:41" ht="21.95" customHeight="1" x14ac:dyDescent="0.2">
      <c r="B686" s="486"/>
      <c r="C686" s="715"/>
      <c r="D686" s="715"/>
      <c r="E686" s="1339"/>
      <c r="F686" s="116"/>
      <c r="G686" s="116"/>
      <c r="H686" s="124" t="s">
        <v>19</v>
      </c>
      <c r="I686" s="577">
        <f t="shared" ref="I686:AH686" si="1318">I649*$C$21</f>
        <v>4522.0717420667943</v>
      </c>
      <c r="J686" s="577">
        <f t="shared" si="1318"/>
        <v>4711.1722803562861</v>
      </c>
      <c r="K686" s="577">
        <f t="shared" si="1318"/>
        <v>4945.4198990331815</v>
      </c>
      <c r="L686" s="577">
        <f t="shared" si="1318"/>
        <v>5261.3579358992783</v>
      </c>
      <c r="M686" s="577">
        <f t="shared" si="1318"/>
        <v>5578.4816475922507</v>
      </c>
      <c r="N686" s="577">
        <f t="shared" si="1318"/>
        <v>5897.3721412109899</v>
      </c>
      <c r="O686" s="577">
        <f t="shared" si="1318"/>
        <v>6219.1379020706681</v>
      </c>
      <c r="P686" s="577">
        <f t="shared" si="1318"/>
        <v>6545.8476952061064</v>
      </c>
      <c r="Q686" s="577">
        <f t="shared" si="1318"/>
        <v>6869.367975661884</v>
      </c>
      <c r="R686" s="577">
        <f t="shared" si="1318"/>
        <v>7203.4081161115382</v>
      </c>
      <c r="S686" s="577">
        <f t="shared" si="1318"/>
        <v>7552.7211914083564</v>
      </c>
      <c r="T686" s="577">
        <f t="shared" si="1318"/>
        <v>7924.461943659644</v>
      </c>
      <c r="U686" s="577">
        <f t="shared" si="1318"/>
        <v>8328.7023788813749</v>
      </c>
      <c r="V686" s="577">
        <f t="shared" si="1318"/>
        <v>8653.420454686875</v>
      </c>
      <c r="W686" s="577">
        <f t="shared" si="1318"/>
        <v>8951.1286883293342</v>
      </c>
      <c r="X686" s="577">
        <f t="shared" si="1318"/>
        <v>9276.0700050976975</v>
      </c>
      <c r="Y686" s="577">
        <f t="shared" si="1318"/>
        <v>9634.2282288069637</v>
      </c>
      <c r="Z686" s="577">
        <f t="shared" si="1318"/>
        <v>10032.896589337155</v>
      </c>
      <c r="AA686" s="577">
        <f t="shared" si="1318"/>
        <v>10480.212743892864</v>
      </c>
      <c r="AB686" s="577">
        <f t="shared" si="1318"/>
        <v>10986.534969467035</v>
      </c>
      <c r="AC686" s="577">
        <f t="shared" si="1318"/>
        <v>11563.235390628106</v>
      </c>
      <c r="AD686" s="577">
        <f t="shared" si="1318"/>
        <v>12224.326814449465</v>
      </c>
      <c r="AE686" s="577">
        <f t="shared" si="1318"/>
        <v>12986.315710278233</v>
      </c>
      <c r="AF686" s="577">
        <f t="shared" si="1318"/>
        <v>13867.482032012851</v>
      </c>
      <c r="AG686" s="577">
        <f t="shared" si="1318"/>
        <v>14890.078701157176</v>
      </c>
      <c r="AH686" s="752">
        <f t="shared" si="1318"/>
        <v>16080.108849204396</v>
      </c>
      <c r="AI686" s="18"/>
      <c r="AJ686" s="18"/>
      <c r="AK686" s="18"/>
      <c r="AL686" s="18"/>
      <c r="AM686" s="18"/>
      <c r="AN686" s="18"/>
    </row>
    <row r="687" spans="2:41" ht="21.95" customHeight="1" x14ac:dyDescent="0.2">
      <c r="B687" s="232"/>
      <c r="C687" s="715"/>
      <c r="D687" s="715"/>
      <c r="E687" s="1339"/>
      <c r="F687" s="116"/>
      <c r="G687" s="116"/>
      <c r="H687" s="721" t="s">
        <v>25</v>
      </c>
      <c r="I687" s="577">
        <f t="shared" ref="I687:AH687" si="1319">SUM(I685:I686)</f>
        <v>5797.5278744446077</v>
      </c>
      <c r="J687" s="577">
        <f t="shared" si="1319"/>
        <v>6039.9644619952387</v>
      </c>
      <c r="K687" s="577">
        <f t="shared" si="1319"/>
        <v>6340.2819218374116</v>
      </c>
      <c r="L687" s="577">
        <f t="shared" si="1319"/>
        <v>6745.3306870503566</v>
      </c>
      <c r="M687" s="577">
        <f t="shared" si="1319"/>
        <v>7151.8995481951933</v>
      </c>
      <c r="N687" s="577">
        <f t="shared" si="1319"/>
        <v>7560.7335143730634</v>
      </c>
      <c r="O687" s="577">
        <f t="shared" si="1319"/>
        <v>7973.2537206034203</v>
      </c>
      <c r="P687" s="577">
        <f t="shared" si="1319"/>
        <v>8392.1124297514179</v>
      </c>
      <c r="Q687" s="577">
        <f t="shared" si="1319"/>
        <v>8806.882020079338</v>
      </c>
      <c r="R687" s="577">
        <f t="shared" si="1319"/>
        <v>9235.1386103994082</v>
      </c>
      <c r="S687" s="577">
        <f t="shared" si="1319"/>
        <v>9682.9758864209689</v>
      </c>
      <c r="T687" s="577">
        <f t="shared" si="1319"/>
        <v>10159.56659443544</v>
      </c>
      <c r="U687" s="577">
        <f t="shared" si="1319"/>
        <v>10677.823562668429</v>
      </c>
      <c r="V687" s="577">
        <f t="shared" si="1319"/>
        <v>11094.128788060096</v>
      </c>
      <c r="W687" s="577">
        <f t="shared" si="1319"/>
        <v>11475.806010678632</v>
      </c>
      <c r="X687" s="577">
        <f t="shared" si="1319"/>
        <v>11892.397442432946</v>
      </c>
      <c r="Y687" s="577">
        <f t="shared" si="1319"/>
        <v>12351.57465231662</v>
      </c>
      <c r="Z687" s="577">
        <f t="shared" si="1319"/>
        <v>12862.687935047634</v>
      </c>
      <c r="AA687" s="577">
        <f t="shared" si="1319"/>
        <v>13436.170184478029</v>
      </c>
      <c r="AB687" s="577">
        <f t="shared" si="1319"/>
        <v>14085.301242906455</v>
      </c>
      <c r="AC687" s="577">
        <f t="shared" si="1319"/>
        <v>14824.660757215521</v>
      </c>
      <c r="AD687" s="577">
        <f t="shared" si="1319"/>
        <v>15672.213864678801</v>
      </c>
      <c r="AE687" s="577">
        <f t="shared" si="1319"/>
        <v>16649.122705484915</v>
      </c>
      <c r="AF687" s="577">
        <f t="shared" si="1319"/>
        <v>17778.823117965192</v>
      </c>
      <c r="AG687" s="577">
        <f t="shared" si="1319"/>
        <v>19089.844488663046</v>
      </c>
      <c r="AH687" s="752">
        <f t="shared" si="1319"/>
        <v>20615.524165646661</v>
      </c>
      <c r="AI687" s="18"/>
      <c r="AJ687" s="18"/>
      <c r="AK687" s="18"/>
      <c r="AL687" s="18"/>
      <c r="AM687" s="18"/>
      <c r="AN687" s="18"/>
    </row>
    <row r="688" spans="2:41" ht="21.95" customHeight="1" x14ac:dyDescent="0.2">
      <c r="B688" s="232"/>
      <c r="C688" s="715"/>
      <c r="D688" s="715"/>
      <c r="E688" s="1340" t="s">
        <v>280</v>
      </c>
      <c r="F688" s="220" t="s">
        <v>281</v>
      </c>
      <c r="G688" s="220" t="s">
        <v>335</v>
      </c>
      <c r="H688" s="116" t="s">
        <v>20</v>
      </c>
      <c r="I688" s="583">
        <f t="shared" ref="I688:AH688" si="1320">I650*$D$20</f>
        <v>13152.695652252323</v>
      </c>
      <c r="J688" s="583">
        <f t="shared" si="1320"/>
        <v>14483.156581095871</v>
      </c>
      <c r="K688" s="583">
        <f t="shared" si="1320"/>
        <v>17457.704467853218</v>
      </c>
      <c r="L688" s="583">
        <f t="shared" si="1320"/>
        <v>23432.316511081965</v>
      </c>
      <c r="M688" s="583">
        <f t="shared" si="1320"/>
        <v>29410.61176882061</v>
      </c>
      <c r="N688" s="583">
        <f t="shared" si="1320"/>
        <v>35388.252535051783</v>
      </c>
      <c r="O688" s="583">
        <f t="shared" si="1320"/>
        <v>41362.883670835967</v>
      </c>
      <c r="P688" s="583">
        <f t="shared" si="1320"/>
        <v>47344.940935844963</v>
      </c>
      <c r="Q688" s="583">
        <f t="shared" si="1320"/>
        <v>53214.995720639003</v>
      </c>
      <c r="R688" s="583">
        <f t="shared" si="1320"/>
        <v>59088.546580555478</v>
      </c>
      <c r="S688" s="583">
        <f t="shared" si="1320"/>
        <v>64960.494941805518</v>
      </c>
      <c r="T688" s="583">
        <f t="shared" si="1320"/>
        <v>70835.594567895343</v>
      </c>
      <c r="U688" s="583">
        <f t="shared" si="1320"/>
        <v>76724.894489599857</v>
      </c>
      <c r="V688" s="583">
        <f t="shared" si="1320"/>
        <v>79601.275477096016</v>
      </c>
      <c r="W688" s="583">
        <f t="shared" si="1320"/>
        <v>80937.969554581825</v>
      </c>
      <c r="X688" s="583">
        <f t="shared" si="1320"/>
        <v>82275.777518199015</v>
      </c>
      <c r="Y688" s="583">
        <f t="shared" si="1320"/>
        <v>83614.875522719958</v>
      </c>
      <c r="Z688" s="583">
        <f t="shared" si="1320"/>
        <v>84957.519414908282</v>
      </c>
      <c r="AA688" s="583">
        <f t="shared" si="1320"/>
        <v>86299.82874792385</v>
      </c>
      <c r="AB688" s="583">
        <f t="shared" si="1320"/>
        <v>87646.176081713435</v>
      </c>
      <c r="AC688" s="583">
        <f t="shared" si="1320"/>
        <v>88992.734055847337</v>
      </c>
      <c r="AD688" s="583">
        <f t="shared" si="1320"/>
        <v>90341.890668975742</v>
      </c>
      <c r="AE688" s="583">
        <f t="shared" si="1320"/>
        <v>91696.091931833493</v>
      </c>
      <c r="AF688" s="583">
        <f t="shared" si="1320"/>
        <v>93051.612855210959</v>
      </c>
      <c r="AG688" s="583">
        <f t="shared" si="1320"/>
        <v>94410.992731129969</v>
      </c>
      <c r="AH688" s="753">
        <f t="shared" si="1320"/>
        <v>95776.851740366197</v>
      </c>
      <c r="AI688" s="18"/>
      <c r="AJ688" s="18"/>
      <c r="AK688" s="18"/>
      <c r="AL688" s="18"/>
      <c r="AM688" s="18"/>
      <c r="AN688" s="18"/>
    </row>
    <row r="689" spans="2:40" ht="21.95" customHeight="1" x14ac:dyDescent="0.2">
      <c r="B689" s="232"/>
      <c r="C689" s="715"/>
      <c r="D689" s="715"/>
      <c r="E689" s="1340"/>
      <c r="F689" s="116"/>
      <c r="G689" s="116"/>
      <c r="H689" s="124" t="s">
        <v>19</v>
      </c>
      <c r="I689" s="577">
        <f t="shared" ref="I689:AH689" si="1321">I650*$D$21</f>
        <v>52610.782609009293</v>
      </c>
      <c r="J689" s="577">
        <f t="shared" si="1321"/>
        <v>57932.626324383484</v>
      </c>
      <c r="K689" s="577">
        <f t="shared" si="1321"/>
        <v>69830.817871412874</v>
      </c>
      <c r="L689" s="577">
        <f t="shared" si="1321"/>
        <v>93729.266044327858</v>
      </c>
      <c r="M689" s="577">
        <f t="shared" si="1321"/>
        <v>117642.44707528244</v>
      </c>
      <c r="N689" s="577">
        <f t="shared" si="1321"/>
        <v>141553.01014020713</v>
      </c>
      <c r="O689" s="577">
        <f t="shared" si="1321"/>
        <v>165451.53468334387</v>
      </c>
      <c r="P689" s="577">
        <f t="shared" si="1321"/>
        <v>189379.76374337985</v>
      </c>
      <c r="Q689" s="577">
        <f t="shared" si="1321"/>
        <v>212859.98288255601</v>
      </c>
      <c r="R689" s="577">
        <f t="shared" si="1321"/>
        <v>236354.18632222191</v>
      </c>
      <c r="S689" s="577">
        <f t="shared" si="1321"/>
        <v>259841.97976722207</v>
      </c>
      <c r="T689" s="577">
        <f t="shared" si="1321"/>
        <v>283342.37827158137</v>
      </c>
      <c r="U689" s="577">
        <f t="shared" si="1321"/>
        <v>306899.57795839943</v>
      </c>
      <c r="V689" s="577">
        <f t="shared" si="1321"/>
        <v>318405.10190838407</v>
      </c>
      <c r="W689" s="577">
        <f t="shared" si="1321"/>
        <v>323751.8782183273</v>
      </c>
      <c r="X689" s="577">
        <f t="shared" si="1321"/>
        <v>329103.11007279606</v>
      </c>
      <c r="Y689" s="577">
        <f t="shared" si="1321"/>
        <v>334459.50209087983</v>
      </c>
      <c r="Z689" s="577">
        <f t="shared" si="1321"/>
        <v>339830.07765963313</v>
      </c>
      <c r="AA689" s="577">
        <f t="shared" si="1321"/>
        <v>345199.3149916954</v>
      </c>
      <c r="AB689" s="577">
        <f t="shared" si="1321"/>
        <v>350584.70432685374</v>
      </c>
      <c r="AC689" s="577">
        <f t="shared" si="1321"/>
        <v>355970.93622338935</v>
      </c>
      <c r="AD689" s="577">
        <f t="shared" si="1321"/>
        <v>361367.56267590297</v>
      </c>
      <c r="AE689" s="577">
        <f t="shared" si="1321"/>
        <v>366784.36772733397</v>
      </c>
      <c r="AF689" s="577">
        <f t="shared" si="1321"/>
        <v>372206.45142084383</v>
      </c>
      <c r="AG689" s="577">
        <f t="shared" si="1321"/>
        <v>377643.97092451988</v>
      </c>
      <c r="AH689" s="752">
        <f t="shared" si="1321"/>
        <v>383107.40696146479</v>
      </c>
      <c r="AI689" s="18"/>
      <c r="AJ689" s="18"/>
      <c r="AK689" s="18"/>
      <c r="AL689" s="18"/>
      <c r="AM689" s="18"/>
      <c r="AN689" s="18"/>
    </row>
    <row r="690" spans="2:40" ht="21.95" customHeight="1" x14ac:dyDescent="0.2">
      <c r="B690" s="232"/>
      <c r="C690" s="715"/>
      <c r="D690" s="715"/>
      <c r="E690" s="1340"/>
      <c r="F690" s="116"/>
      <c r="G690" s="116"/>
      <c r="H690" s="720" t="s">
        <v>25</v>
      </c>
      <c r="I690" s="577">
        <f t="shared" ref="I690:AH690" si="1322">SUM(I688:I689)</f>
        <v>65763.478261261611</v>
      </c>
      <c r="J690" s="577">
        <f t="shared" si="1322"/>
        <v>72415.782905479355</v>
      </c>
      <c r="K690" s="577">
        <f t="shared" si="1322"/>
        <v>87288.522339266085</v>
      </c>
      <c r="L690" s="577">
        <f t="shared" si="1322"/>
        <v>117161.58255540983</v>
      </c>
      <c r="M690" s="577">
        <f t="shared" si="1322"/>
        <v>147053.05884410304</v>
      </c>
      <c r="N690" s="577">
        <f t="shared" si="1322"/>
        <v>176941.26267525891</v>
      </c>
      <c r="O690" s="577">
        <f t="shared" si="1322"/>
        <v>206814.41835417983</v>
      </c>
      <c r="P690" s="577">
        <f t="shared" si="1322"/>
        <v>236724.70467922481</v>
      </c>
      <c r="Q690" s="577">
        <f t="shared" si="1322"/>
        <v>266074.97860319499</v>
      </c>
      <c r="R690" s="577">
        <f t="shared" si="1322"/>
        <v>295442.73290277738</v>
      </c>
      <c r="S690" s="577">
        <f t="shared" si="1322"/>
        <v>324802.47470902756</v>
      </c>
      <c r="T690" s="577">
        <f t="shared" si="1322"/>
        <v>354177.97283947672</v>
      </c>
      <c r="U690" s="577">
        <f t="shared" si="1322"/>
        <v>383624.47244799929</v>
      </c>
      <c r="V690" s="577">
        <f t="shared" si="1322"/>
        <v>398006.3773854801</v>
      </c>
      <c r="W690" s="577">
        <f t="shared" si="1322"/>
        <v>404689.8477729091</v>
      </c>
      <c r="X690" s="577">
        <f t="shared" si="1322"/>
        <v>411378.88759099506</v>
      </c>
      <c r="Y690" s="577">
        <f t="shared" si="1322"/>
        <v>418074.37761359976</v>
      </c>
      <c r="Z690" s="577">
        <f t="shared" si="1322"/>
        <v>424787.59707454138</v>
      </c>
      <c r="AA690" s="577">
        <f t="shared" si="1322"/>
        <v>431499.14373961923</v>
      </c>
      <c r="AB690" s="577">
        <f t="shared" si="1322"/>
        <v>438230.88040856714</v>
      </c>
      <c r="AC690" s="577">
        <f t="shared" si="1322"/>
        <v>444963.67027923669</v>
      </c>
      <c r="AD690" s="577">
        <f t="shared" si="1322"/>
        <v>451709.45334487874</v>
      </c>
      <c r="AE690" s="577">
        <f t="shared" si="1322"/>
        <v>458480.45965916745</v>
      </c>
      <c r="AF690" s="577">
        <f t="shared" si="1322"/>
        <v>465258.06427605479</v>
      </c>
      <c r="AG690" s="577">
        <f t="shared" si="1322"/>
        <v>472054.96365564986</v>
      </c>
      <c r="AH690" s="752">
        <f t="shared" si="1322"/>
        <v>478884.25870183099</v>
      </c>
      <c r="AI690" s="18"/>
      <c r="AJ690" s="18"/>
      <c r="AK690" s="18"/>
      <c r="AL690" s="18"/>
      <c r="AM690" s="18"/>
      <c r="AN690" s="18"/>
    </row>
    <row r="691" spans="2:40" ht="21.95" customHeight="1" x14ac:dyDescent="0.2">
      <c r="B691" s="232"/>
      <c r="C691" s="715"/>
      <c r="D691" s="715"/>
      <c r="E691" s="1340"/>
      <c r="F691" s="116" t="s">
        <v>335</v>
      </c>
      <c r="G691" s="116" t="s">
        <v>323</v>
      </c>
      <c r="H691" s="116" t="s">
        <v>20</v>
      </c>
      <c r="I691" s="577">
        <f t="shared" ref="I691:AH691" si="1323">I651*$D$20</f>
        <v>1769.6979844380808</v>
      </c>
      <c r="J691" s="577">
        <f t="shared" si="1323"/>
        <v>1937.7177015185109</v>
      </c>
      <c r="K691" s="577">
        <f t="shared" si="1323"/>
        <v>2176.0734957588188</v>
      </c>
      <c r="L691" s="577">
        <f t="shared" si="1323"/>
        <v>2564.4836637537228</v>
      </c>
      <c r="M691" s="577">
        <f t="shared" si="1323"/>
        <v>2953.1848864748904</v>
      </c>
      <c r="N691" s="577">
        <f t="shared" si="1323"/>
        <v>3342.5197790969792</v>
      </c>
      <c r="O691" s="577">
        <f t="shared" si="1323"/>
        <v>3733.4745228377478</v>
      </c>
      <c r="P691" s="577">
        <f t="shared" si="1323"/>
        <v>4129.5635091245385</v>
      </c>
      <c r="Q691" s="577">
        <f t="shared" si="1323"/>
        <v>4594.6839384923715</v>
      </c>
      <c r="R691" s="577">
        <f t="shared" si="1323"/>
        <v>5097.0289504671928</v>
      </c>
      <c r="S691" s="577">
        <f t="shared" si="1323"/>
        <v>5683.4199124262159</v>
      </c>
      <c r="T691" s="577">
        <f t="shared" si="1323"/>
        <v>6449.2410131384459</v>
      </c>
      <c r="U691" s="577">
        <f t="shared" si="1323"/>
        <v>7576.6195843716087</v>
      </c>
      <c r="V691" s="577">
        <f t="shared" si="1323"/>
        <v>8668.6042998178145</v>
      </c>
      <c r="W691" s="577">
        <f t="shared" si="1323"/>
        <v>9485.7903094889134</v>
      </c>
      <c r="X691" s="577">
        <f t="shared" si="1323"/>
        <v>10485.120943083863</v>
      </c>
      <c r="Y691" s="577">
        <f t="shared" si="1323"/>
        <v>11711.376368635594</v>
      </c>
      <c r="Z691" s="577">
        <f t="shared" si="1323"/>
        <v>13220.767520166934</v>
      </c>
      <c r="AA691" s="577">
        <f t="shared" si="1323"/>
        <v>15075.490328149835</v>
      </c>
      <c r="AB691" s="577">
        <f t="shared" si="1323"/>
        <v>17358.80943850461</v>
      </c>
      <c r="AC691" s="577">
        <f t="shared" si="1323"/>
        <v>17904.100095232086</v>
      </c>
      <c r="AD691" s="577">
        <f t="shared" si="1323"/>
        <v>18289.842786118723</v>
      </c>
      <c r="AE691" s="577">
        <f t="shared" si="1323"/>
        <v>18676.03532837957</v>
      </c>
      <c r="AF691" s="577">
        <f t="shared" si="1323"/>
        <v>19061.799625514235</v>
      </c>
      <c r="AG691" s="577">
        <f t="shared" si="1323"/>
        <v>19447.578091505729</v>
      </c>
      <c r="AH691" s="752">
        <f t="shared" si="1323"/>
        <v>19833.813767105185</v>
      </c>
      <c r="AI691" s="18"/>
      <c r="AJ691" s="18"/>
      <c r="AK691" s="18"/>
      <c r="AL691" s="18"/>
      <c r="AM691" s="18"/>
      <c r="AN691" s="18"/>
    </row>
    <row r="692" spans="2:40" ht="21.95" customHeight="1" x14ac:dyDescent="0.2">
      <c r="B692" s="232"/>
      <c r="C692" s="715"/>
      <c r="D692" s="715"/>
      <c r="E692" s="1340"/>
      <c r="F692" s="116"/>
      <c r="G692" s="116"/>
      <c r="H692" s="124" t="s">
        <v>19</v>
      </c>
      <c r="I692" s="577">
        <f t="shared" ref="I692:AH692" si="1324">I651*$D$21</f>
        <v>7078.7919377523231</v>
      </c>
      <c r="J692" s="577">
        <f t="shared" si="1324"/>
        <v>7750.8708060740437</v>
      </c>
      <c r="K692" s="577">
        <f t="shared" si="1324"/>
        <v>8704.2939830352752</v>
      </c>
      <c r="L692" s="577">
        <f t="shared" si="1324"/>
        <v>10257.934655014891</v>
      </c>
      <c r="M692" s="577">
        <f t="shared" si="1324"/>
        <v>11812.739545899562</v>
      </c>
      <c r="N692" s="577">
        <f t="shared" si="1324"/>
        <v>13370.079116387917</v>
      </c>
      <c r="O692" s="577">
        <f t="shared" si="1324"/>
        <v>14933.898091350991</v>
      </c>
      <c r="P692" s="577">
        <f t="shared" si="1324"/>
        <v>16518.254036498154</v>
      </c>
      <c r="Q692" s="577">
        <f t="shared" si="1324"/>
        <v>18378.735753969486</v>
      </c>
      <c r="R692" s="577">
        <f t="shared" si="1324"/>
        <v>20388.115801868771</v>
      </c>
      <c r="S692" s="577">
        <f t="shared" si="1324"/>
        <v>22733.679649704864</v>
      </c>
      <c r="T692" s="577">
        <f t="shared" si="1324"/>
        <v>25796.964052553783</v>
      </c>
      <c r="U692" s="577">
        <f t="shared" si="1324"/>
        <v>30306.478337486435</v>
      </c>
      <c r="V692" s="577">
        <f t="shared" si="1324"/>
        <v>34674.417199271258</v>
      </c>
      <c r="W692" s="577">
        <f t="shared" si="1324"/>
        <v>37943.161237955654</v>
      </c>
      <c r="X692" s="577">
        <f t="shared" si="1324"/>
        <v>41940.48377233545</v>
      </c>
      <c r="Y692" s="577">
        <f t="shared" si="1324"/>
        <v>46845.505474542377</v>
      </c>
      <c r="Z692" s="577">
        <f t="shared" si="1324"/>
        <v>52883.070080667734</v>
      </c>
      <c r="AA692" s="577">
        <f t="shared" si="1324"/>
        <v>60301.961312599342</v>
      </c>
      <c r="AB692" s="577">
        <f t="shared" si="1324"/>
        <v>69435.237754018439</v>
      </c>
      <c r="AC692" s="577">
        <f t="shared" si="1324"/>
        <v>71616.400380928346</v>
      </c>
      <c r="AD692" s="577">
        <f t="shared" si="1324"/>
        <v>73159.371144474891</v>
      </c>
      <c r="AE692" s="577">
        <f t="shared" si="1324"/>
        <v>74704.141313518281</v>
      </c>
      <c r="AF692" s="577">
        <f t="shared" si="1324"/>
        <v>76247.198502056941</v>
      </c>
      <c r="AG692" s="577">
        <f t="shared" si="1324"/>
        <v>77790.312366022918</v>
      </c>
      <c r="AH692" s="752">
        <f t="shared" si="1324"/>
        <v>79335.255068420738</v>
      </c>
      <c r="AI692" s="18"/>
      <c r="AJ692" s="18"/>
      <c r="AK692" s="18"/>
      <c r="AL692" s="18"/>
      <c r="AM692" s="18"/>
      <c r="AN692" s="18"/>
    </row>
    <row r="693" spans="2:40" ht="21.95" customHeight="1" x14ac:dyDescent="0.2">
      <c r="B693" s="232"/>
      <c r="C693" s="715"/>
      <c r="D693" s="715"/>
      <c r="E693" s="1340"/>
      <c r="F693" s="116"/>
      <c r="G693" s="116"/>
      <c r="H693" s="720" t="s">
        <v>25</v>
      </c>
      <c r="I693" s="577">
        <f t="shared" ref="I693:AH693" si="1325">SUM(I691:I692)</f>
        <v>8848.4899221904034</v>
      </c>
      <c r="J693" s="577">
        <f t="shared" si="1325"/>
        <v>9688.5885075925544</v>
      </c>
      <c r="K693" s="577">
        <f t="shared" si="1325"/>
        <v>10880.367478794094</v>
      </c>
      <c r="L693" s="577">
        <f t="shared" si="1325"/>
        <v>12822.418318768614</v>
      </c>
      <c r="M693" s="577">
        <f t="shared" si="1325"/>
        <v>14765.924432374451</v>
      </c>
      <c r="N693" s="577">
        <f t="shared" si="1325"/>
        <v>16712.598895484894</v>
      </c>
      <c r="O693" s="577">
        <f t="shared" si="1325"/>
        <v>18667.372614188738</v>
      </c>
      <c r="P693" s="577">
        <f t="shared" si="1325"/>
        <v>20647.817545622693</v>
      </c>
      <c r="Q693" s="577">
        <f t="shared" si="1325"/>
        <v>22973.419692461859</v>
      </c>
      <c r="R693" s="577">
        <f t="shared" si="1325"/>
        <v>25485.144752335964</v>
      </c>
      <c r="S693" s="577">
        <f t="shared" si="1325"/>
        <v>28417.099562131079</v>
      </c>
      <c r="T693" s="577">
        <f t="shared" si="1325"/>
        <v>32246.205065692229</v>
      </c>
      <c r="U693" s="577">
        <f t="shared" si="1325"/>
        <v>37883.097921858047</v>
      </c>
      <c r="V693" s="577">
        <f t="shared" si="1325"/>
        <v>43343.021499089074</v>
      </c>
      <c r="W693" s="577">
        <f t="shared" si="1325"/>
        <v>47428.951547444565</v>
      </c>
      <c r="X693" s="577">
        <f t="shared" si="1325"/>
        <v>52425.604715419315</v>
      </c>
      <c r="Y693" s="577">
        <f t="shared" si="1325"/>
        <v>58556.881843177973</v>
      </c>
      <c r="Z693" s="577">
        <f t="shared" si="1325"/>
        <v>66103.837600834668</v>
      </c>
      <c r="AA693" s="577">
        <f t="shared" si="1325"/>
        <v>75377.451640749176</v>
      </c>
      <c r="AB693" s="577">
        <f t="shared" si="1325"/>
        <v>86794.047192523052</v>
      </c>
      <c r="AC693" s="577">
        <f t="shared" si="1325"/>
        <v>89520.500476160436</v>
      </c>
      <c r="AD693" s="577">
        <f t="shared" si="1325"/>
        <v>91449.213930593614</v>
      </c>
      <c r="AE693" s="577">
        <f t="shared" si="1325"/>
        <v>93380.176641897851</v>
      </c>
      <c r="AF693" s="577">
        <f t="shared" si="1325"/>
        <v>95308.998127571176</v>
      </c>
      <c r="AG693" s="577">
        <f t="shared" si="1325"/>
        <v>97237.890457528643</v>
      </c>
      <c r="AH693" s="752">
        <f t="shared" si="1325"/>
        <v>99169.068835525919</v>
      </c>
      <c r="AI693" s="18"/>
      <c r="AJ693" s="18"/>
      <c r="AK693" s="18"/>
      <c r="AL693" s="18"/>
      <c r="AM693" s="18"/>
      <c r="AN693" s="18"/>
    </row>
    <row r="694" spans="2:40" ht="21.95" customHeight="1" x14ac:dyDescent="0.2">
      <c r="B694" s="232"/>
      <c r="C694" s="715"/>
      <c r="D694" s="715"/>
      <c r="E694" s="1340"/>
      <c r="F694" s="116" t="s">
        <v>323</v>
      </c>
      <c r="G694" s="116" t="s">
        <v>338</v>
      </c>
      <c r="H694" s="116" t="s">
        <v>20</v>
      </c>
      <c r="I694" s="577">
        <f t="shared" ref="I694:AH694" si="1326">I652*$D$20</f>
        <v>25111.892976788306</v>
      </c>
      <c r="J694" s="577">
        <f t="shared" si="1326"/>
        <v>25859.768391897029</v>
      </c>
      <c r="K694" s="577">
        <f t="shared" si="1326"/>
        <v>26952.742857365054</v>
      </c>
      <c r="L694" s="577">
        <f t="shared" si="1326"/>
        <v>28563.950603370744</v>
      </c>
      <c r="M694" s="577">
        <f t="shared" si="1326"/>
        <v>30312.809155462881</v>
      </c>
      <c r="N694" s="577">
        <f t="shared" si="1326"/>
        <v>32273.457738607809</v>
      </c>
      <c r="O694" s="577">
        <f t="shared" si="1326"/>
        <v>34554.671480868274</v>
      </c>
      <c r="P694" s="577">
        <f t="shared" si="1326"/>
        <v>37316.438183099046</v>
      </c>
      <c r="Q694" s="577">
        <f t="shared" si="1326"/>
        <v>40816.489587918652</v>
      </c>
      <c r="R694" s="577">
        <f t="shared" si="1326"/>
        <v>45351.951391597468</v>
      </c>
      <c r="S694" s="577">
        <f t="shared" si="1326"/>
        <v>51359.88217567448</v>
      </c>
      <c r="T694" s="577">
        <f t="shared" si="1326"/>
        <v>59442.127002979978</v>
      </c>
      <c r="U694" s="577">
        <f t="shared" si="1326"/>
        <v>70415.838811656504</v>
      </c>
      <c r="V694" s="577">
        <f t="shared" si="1326"/>
        <v>80607.367482020083</v>
      </c>
      <c r="W694" s="577">
        <f t="shared" si="1326"/>
        <v>89099.587605749985</v>
      </c>
      <c r="X694" s="577">
        <f t="shared" si="1326"/>
        <v>95506.187871016038</v>
      </c>
      <c r="Y694" s="577">
        <f t="shared" si="1326"/>
        <v>97054.503461049157</v>
      </c>
      <c r="Z694" s="577">
        <f t="shared" si="1326"/>
        <v>98603.580974448472</v>
      </c>
      <c r="AA694" s="577">
        <f t="shared" si="1326"/>
        <v>100151.95006281752</v>
      </c>
      <c r="AB694" s="577">
        <f t="shared" si="1326"/>
        <v>101701.0892268102</v>
      </c>
      <c r="AC694" s="577">
        <f t="shared" si="1326"/>
        <v>103249.52933127224</v>
      </c>
      <c r="AD694" s="577">
        <f t="shared" si="1326"/>
        <v>104798.01290566109</v>
      </c>
      <c r="AE694" s="577">
        <f t="shared" si="1326"/>
        <v>106347.28354690061</v>
      </c>
      <c r="AF694" s="577">
        <f t="shared" si="1326"/>
        <v>107895.87428373814</v>
      </c>
      <c r="AG694" s="577">
        <f t="shared" si="1326"/>
        <v>109444.52994727265</v>
      </c>
      <c r="AH694" s="752">
        <f t="shared" si="1326"/>
        <v>110993.99689606029</v>
      </c>
      <c r="AI694" s="18"/>
      <c r="AJ694" s="18"/>
      <c r="AK694" s="18"/>
      <c r="AL694" s="18"/>
      <c r="AM694" s="18"/>
      <c r="AN694" s="18"/>
    </row>
    <row r="695" spans="2:40" ht="21.95" customHeight="1" x14ac:dyDescent="0.2">
      <c r="B695" s="232"/>
      <c r="C695" s="715"/>
      <c r="D695" s="715"/>
      <c r="E695" s="1340"/>
      <c r="F695" s="116"/>
      <c r="G695" s="116"/>
      <c r="H695" s="116" t="s">
        <v>19</v>
      </c>
      <c r="I695" s="577">
        <f t="shared" ref="I695:AH695" si="1327">I652*$D$21</f>
        <v>100447.57190715322</v>
      </c>
      <c r="J695" s="577">
        <f t="shared" si="1327"/>
        <v>103439.07356758812</v>
      </c>
      <c r="K695" s="577">
        <f t="shared" si="1327"/>
        <v>107810.97142946022</v>
      </c>
      <c r="L695" s="577">
        <f t="shared" si="1327"/>
        <v>114255.80241348298</v>
      </c>
      <c r="M695" s="577">
        <f t="shared" si="1327"/>
        <v>121251.23662185152</v>
      </c>
      <c r="N695" s="577">
        <f t="shared" si="1327"/>
        <v>129093.83095443124</v>
      </c>
      <c r="O695" s="577">
        <f t="shared" si="1327"/>
        <v>138218.68592347309</v>
      </c>
      <c r="P695" s="577">
        <f t="shared" si="1327"/>
        <v>149265.75273239618</v>
      </c>
      <c r="Q695" s="577">
        <f t="shared" si="1327"/>
        <v>163265.95835167461</v>
      </c>
      <c r="R695" s="577">
        <f t="shared" si="1327"/>
        <v>181407.80556638987</v>
      </c>
      <c r="S695" s="577">
        <f t="shared" si="1327"/>
        <v>205439.52870269792</v>
      </c>
      <c r="T695" s="577">
        <f t="shared" si="1327"/>
        <v>237768.50801191991</v>
      </c>
      <c r="U695" s="577">
        <f t="shared" si="1327"/>
        <v>281663.35524662602</v>
      </c>
      <c r="V695" s="577">
        <f t="shared" si="1327"/>
        <v>322429.46992808033</v>
      </c>
      <c r="W695" s="577">
        <f t="shared" si="1327"/>
        <v>356398.35042299994</v>
      </c>
      <c r="X695" s="577">
        <f t="shared" si="1327"/>
        <v>382024.75148406415</v>
      </c>
      <c r="Y695" s="577">
        <f t="shared" si="1327"/>
        <v>388218.01384419663</v>
      </c>
      <c r="Z695" s="577">
        <f t="shared" si="1327"/>
        <v>394414.32389779389</v>
      </c>
      <c r="AA695" s="577">
        <f t="shared" si="1327"/>
        <v>400607.80025127006</v>
      </c>
      <c r="AB695" s="577">
        <f t="shared" si="1327"/>
        <v>406804.35690724081</v>
      </c>
      <c r="AC695" s="577">
        <f t="shared" si="1327"/>
        <v>412998.11732508894</v>
      </c>
      <c r="AD695" s="577">
        <f t="shared" si="1327"/>
        <v>419192.05162264436</v>
      </c>
      <c r="AE695" s="577">
        <f t="shared" si="1327"/>
        <v>425389.13418760244</v>
      </c>
      <c r="AF695" s="577">
        <f t="shared" si="1327"/>
        <v>431583.49713495257</v>
      </c>
      <c r="AG695" s="577">
        <f t="shared" si="1327"/>
        <v>437778.11978909059</v>
      </c>
      <c r="AH695" s="752">
        <f t="shared" si="1327"/>
        <v>443975.98758424114</v>
      </c>
      <c r="AI695" s="18"/>
      <c r="AJ695" s="18"/>
      <c r="AK695" s="18"/>
      <c r="AL695" s="18"/>
      <c r="AM695" s="18"/>
      <c r="AN695" s="18"/>
    </row>
    <row r="696" spans="2:40" ht="21.95" customHeight="1" x14ac:dyDescent="0.2">
      <c r="B696" s="232"/>
      <c r="C696" s="715"/>
      <c r="D696" s="715"/>
      <c r="E696" s="1333"/>
      <c r="F696" s="254"/>
      <c r="G696" s="254"/>
      <c r="H696" s="721" t="s">
        <v>25</v>
      </c>
      <c r="I696" s="587">
        <f t="shared" ref="I696:AH696" si="1328">SUM(I694:I695)</f>
        <v>125559.46488394153</v>
      </c>
      <c r="J696" s="587">
        <f t="shared" si="1328"/>
        <v>129298.84195948514</v>
      </c>
      <c r="K696" s="587">
        <f t="shared" si="1328"/>
        <v>134763.71428682527</v>
      </c>
      <c r="L696" s="587">
        <f t="shared" si="1328"/>
        <v>142819.75301685371</v>
      </c>
      <c r="M696" s="587">
        <f t="shared" si="1328"/>
        <v>151564.0457773144</v>
      </c>
      <c r="N696" s="587">
        <f t="shared" si="1328"/>
        <v>161367.28869303904</v>
      </c>
      <c r="O696" s="587">
        <f t="shared" si="1328"/>
        <v>172773.35740434137</v>
      </c>
      <c r="P696" s="587">
        <f t="shared" si="1328"/>
        <v>186582.19091549522</v>
      </c>
      <c r="Q696" s="587">
        <f t="shared" si="1328"/>
        <v>204082.44793959326</v>
      </c>
      <c r="R696" s="587">
        <f t="shared" si="1328"/>
        <v>226759.75695798732</v>
      </c>
      <c r="S696" s="587">
        <f t="shared" si="1328"/>
        <v>256799.41087837241</v>
      </c>
      <c r="T696" s="587">
        <f t="shared" si="1328"/>
        <v>297210.63501489989</v>
      </c>
      <c r="U696" s="587">
        <f t="shared" si="1328"/>
        <v>352079.19405828253</v>
      </c>
      <c r="V696" s="587">
        <f t="shared" si="1328"/>
        <v>403036.83741010039</v>
      </c>
      <c r="W696" s="587">
        <f t="shared" si="1328"/>
        <v>445497.93802874989</v>
      </c>
      <c r="X696" s="587">
        <f t="shared" si="1328"/>
        <v>477530.93935508019</v>
      </c>
      <c r="Y696" s="587">
        <f t="shared" si="1328"/>
        <v>485272.5173052458</v>
      </c>
      <c r="Z696" s="587">
        <f t="shared" si="1328"/>
        <v>493017.90487224236</v>
      </c>
      <c r="AA696" s="587">
        <f t="shared" si="1328"/>
        <v>500759.75031408761</v>
      </c>
      <c r="AB696" s="587">
        <f t="shared" si="1328"/>
        <v>508505.44613405102</v>
      </c>
      <c r="AC696" s="587">
        <f t="shared" si="1328"/>
        <v>516247.64665636118</v>
      </c>
      <c r="AD696" s="587">
        <f t="shared" si="1328"/>
        <v>523990.06452830543</v>
      </c>
      <c r="AE696" s="587">
        <f t="shared" si="1328"/>
        <v>531736.41773450305</v>
      </c>
      <c r="AF696" s="587">
        <f t="shared" si="1328"/>
        <v>539479.37141869077</v>
      </c>
      <c r="AG696" s="587">
        <f t="shared" si="1328"/>
        <v>547222.64973636321</v>
      </c>
      <c r="AH696" s="754">
        <f t="shared" si="1328"/>
        <v>554969.98448030138</v>
      </c>
      <c r="AI696" s="18"/>
      <c r="AJ696" s="18"/>
      <c r="AK696" s="18"/>
      <c r="AL696" s="18"/>
      <c r="AM696" s="18"/>
      <c r="AN696" s="18"/>
    </row>
    <row r="697" spans="2:40" ht="21.95" customHeight="1" x14ac:dyDescent="0.2">
      <c r="B697" s="232"/>
      <c r="C697" s="715"/>
      <c r="D697" s="715"/>
      <c r="E697" s="116" t="s">
        <v>339</v>
      </c>
      <c r="F697" s="116" t="s">
        <v>335</v>
      </c>
      <c r="G697" s="116" t="s">
        <v>323</v>
      </c>
      <c r="H697" s="116" t="s">
        <v>20</v>
      </c>
      <c r="I697" s="577">
        <f t="shared" ref="I697:AH697" si="1329">I653*$E$20</f>
        <v>79.421296296296291</v>
      </c>
      <c r="J697" s="577">
        <f t="shared" si="1329"/>
        <v>329.87635416666666</v>
      </c>
      <c r="K697" s="577">
        <f t="shared" si="1329"/>
        <v>2942.9164236277611</v>
      </c>
      <c r="L697" s="577">
        <f t="shared" si="1329"/>
        <v>6960.7208871016664</v>
      </c>
      <c r="M697" s="577">
        <f t="shared" si="1329"/>
        <v>10981.416601410992</v>
      </c>
      <c r="N697" s="577">
        <f t="shared" si="1329"/>
        <v>15001.463727627046</v>
      </c>
      <c r="O697" s="577">
        <f t="shared" si="1329"/>
        <v>19031.932613422465</v>
      </c>
      <c r="P697" s="577">
        <f t="shared" si="1329"/>
        <v>23154.437796683949</v>
      </c>
      <c r="Q697" s="577">
        <f t="shared" si="1329"/>
        <v>24940.843527347752</v>
      </c>
      <c r="R697" s="577">
        <f t="shared" si="1329"/>
        <v>26851.980504173251</v>
      </c>
      <c r="S697" s="577">
        <f t="shared" si="1329"/>
        <v>28983.304451634387</v>
      </c>
      <c r="T697" s="577">
        <f t="shared" si="1329"/>
        <v>31494.164154905669</v>
      </c>
      <c r="U697" s="577">
        <f t="shared" si="1329"/>
        <v>34650.453828884281</v>
      </c>
      <c r="V697" s="577">
        <f t="shared" si="1329"/>
        <v>35204.593423518345</v>
      </c>
      <c r="W697" s="577">
        <f t="shared" si="1329"/>
        <v>35783.776165282376</v>
      </c>
      <c r="X697" s="577">
        <f t="shared" si="1329"/>
        <v>36389.865458226872</v>
      </c>
      <c r="Y697" s="577">
        <f t="shared" si="1329"/>
        <v>37024.827425205171</v>
      </c>
      <c r="Z697" s="577">
        <f t="shared" si="1329"/>
        <v>37695.622706767812</v>
      </c>
      <c r="AA697" s="577">
        <f t="shared" si="1329"/>
        <v>38394.987415750271</v>
      </c>
      <c r="AB697" s="577">
        <f t="shared" si="1329"/>
        <v>39132.319101749243</v>
      </c>
      <c r="AC697" s="577">
        <f t="shared" si="1329"/>
        <v>39905.481109613582</v>
      </c>
      <c r="AD697" s="577">
        <f t="shared" si="1329"/>
        <v>40719.421926038893</v>
      </c>
      <c r="AE697" s="577">
        <f t="shared" si="1329"/>
        <v>41583.265234739061</v>
      </c>
      <c r="AF697" s="577">
        <f t="shared" si="1329"/>
        <v>42487.806063229596</v>
      </c>
      <c r="AG697" s="577">
        <f t="shared" si="1329"/>
        <v>43442.206020993515</v>
      </c>
      <c r="AH697" s="752">
        <f t="shared" si="1329"/>
        <v>44453.143841226389</v>
      </c>
      <c r="AI697" s="18"/>
      <c r="AJ697" s="18"/>
      <c r="AK697" s="18"/>
      <c r="AL697" s="18"/>
      <c r="AM697" s="18"/>
      <c r="AN697" s="18"/>
    </row>
    <row r="698" spans="2:40" ht="21.95" customHeight="1" x14ac:dyDescent="0.2">
      <c r="B698" s="232"/>
      <c r="C698" s="715"/>
      <c r="D698" s="715"/>
      <c r="E698" s="116"/>
      <c r="F698" s="116"/>
      <c r="G698" s="116"/>
      <c r="H698" s="124" t="s">
        <v>19</v>
      </c>
      <c r="I698" s="577">
        <f t="shared" ref="I698:AH698" si="1330">I653*$E$21</f>
        <v>317.68518518518516</v>
      </c>
      <c r="J698" s="577">
        <f t="shared" si="1330"/>
        <v>1319.5054166666666</v>
      </c>
      <c r="K698" s="577">
        <f t="shared" si="1330"/>
        <v>11771.665694511044</v>
      </c>
      <c r="L698" s="577">
        <f t="shared" si="1330"/>
        <v>27842.883548406666</v>
      </c>
      <c r="M698" s="577">
        <f t="shared" si="1330"/>
        <v>43925.666405643969</v>
      </c>
      <c r="N698" s="577">
        <f t="shared" si="1330"/>
        <v>60005.854910508184</v>
      </c>
      <c r="O698" s="577">
        <f t="shared" si="1330"/>
        <v>76127.730453689859</v>
      </c>
      <c r="P698" s="577">
        <f t="shared" si="1330"/>
        <v>92617.751186735797</v>
      </c>
      <c r="Q698" s="577">
        <f t="shared" si="1330"/>
        <v>99763.374109391007</v>
      </c>
      <c r="R698" s="577">
        <f t="shared" si="1330"/>
        <v>107407.922016693</v>
      </c>
      <c r="S698" s="577">
        <f t="shared" si="1330"/>
        <v>115933.21780653755</v>
      </c>
      <c r="T698" s="577">
        <f t="shared" si="1330"/>
        <v>125976.65661962268</v>
      </c>
      <c r="U698" s="577">
        <f t="shared" si="1330"/>
        <v>138601.81531553713</v>
      </c>
      <c r="V698" s="577">
        <f t="shared" si="1330"/>
        <v>140818.37369407338</v>
      </c>
      <c r="W698" s="577">
        <f t="shared" si="1330"/>
        <v>143135.1046611295</v>
      </c>
      <c r="X698" s="577">
        <f t="shared" si="1330"/>
        <v>145559.46183290749</v>
      </c>
      <c r="Y698" s="577">
        <f t="shared" si="1330"/>
        <v>148099.30970082068</v>
      </c>
      <c r="Z698" s="577">
        <f t="shared" si="1330"/>
        <v>150782.49082707125</v>
      </c>
      <c r="AA698" s="577">
        <f t="shared" si="1330"/>
        <v>153579.94966300108</v>
      </c>
      <c r="AB698" s="577">
        <f t="shared" si="1330"/>
        <v>156529.27640699697</v>
      </c>
      <c r="AC698" s="577">
        <f t="shared" si="1330"/>
        <v>159621.92443845433</v>
      </c>
      <c r="AD698" s="577">
        <f t="shared" si="1330"/>
        <v>162877.68770415557</v>
      </c>
      <c r="AE698" s="577">
        <f t="shared" si="1330"/>
        <v>166333.06093895625</v>
      </c>
      <c r="AF698" s="577">
        <f t="shared" si="1330"/>
        <v>169951.22425291839</v>
      </c>
      <c r="AG698" s="577">
        <f t="shared" si="1330"/>
        <v>173768.82408397406</v>
      </c>
      <c r="AH698" s="752">
        <f t="shared" si="1330"/>
        <v>177812.57536490556</v>
      </c>
      <c r="AI698" s="18"/>
      <c r="AJ698" s="18"/>
      <c r="AK698" s="18"/>
      <c r="AL698" s="18"/>
      <c r="AM698" s="18"/>
      <c r="AN698" s="18"/>
    </row>
    <row r="699" spans="2:40" ht="21.95" customHeight="1" x14ac:dyDescent="0.2">
      <c r="B699" s="232"/>
      <c r="C699" s="715"/>
      <c r="D699" s="715"/>
      <c r="E699" s="116"/>
      <c r="F699" s="116"/>
      <c r="G699" s="116"/>
      <c r="H699" s="721" t="s">
        <v>25</v>
      </c>
      <c r="I699" s="577">
        <f t="shared" ref="I699:AH699" si="1331">SUM(I697:I698)</f>
        <v>397.10648148148147</v>
      </c>
      <c r="J699" s="577">
        <f t="shared" si="1331"/>
        <v>1649.3817708333333</v>
      </c>
      <c r="K699" s="577">
        <f t="shared" si="1331"/>
        <v>14714.582118138806</v>
      </c>
      <c r="L699" s="577">
        <f t="shared" si="1331"/>
        <v>34803.604435508329</v>
      </c>
      <c r="M699" s="577">
        <f t="shared" si="1331"/>
        <v>54907.083007054964</v>
      </c>
      <c r="N699" s="577">
        <f t="shared" si="1331"/>
        <v>75007.318638135228</v>
      </c>
      <c r="O699" s="577">
        <f t="shared" si="1331"/>
        <v>95159.663067112328</v>
      </c>
      <c r="P699" s="577">
        <f t="shared" si="1331"/>
        <v>115772.18898341975</v>
      </c>
      <c r="Q699" s="577">
        <f t="shared" si="1331"/>
        <v>124704.21763673876</v>
      </c>
      <c r="R699" s="577">
        <f t="shared" si="1331"/>
        <v>134259.90252086625</v>
      </c>
      <c r="S699" s="577">
        <f t="shared" si="1331"/>
        <v>144916.52225817193</v>
      </c>
      <c r="T699" s="577">
        <f t="shared" si="1331"/>
        <v>157470.82077452834</v>
      </c>
      <c r="U699" s="577">
        <f t="shared" si="1331"/>
        <v>173252.26914442141</v>
      </c>
      <c r="V699" s="577">
        <f t="shared" si="1331"/>
        <v>176022.96711759173</v>
      </c>
      <c r="W699" s="577">
        <f t="shared" si="1331"/>
        <v>178918.88082641189</v>
      </c>
      <c r="X699" s="577">
        <f t="shared" si="1331"/>
        <v>181949.32729113437</v>
      </c>
      <c r="Y699" s="577">
        <f t="shared" si="1331"/>
        <v>185124.13712602586</v>
      </c>
      <c r="Z699" s="577">
        <f t="shared" si="1331"/>
        <v>188478.11353383906</v>
      </c>
      <c r="AA699" s="577">
        <f t="shared" si="1331"/>
        <v>191974.93707875136</v>
      </c>
      <c r="AB699" s="577">
        <f t="shared" si="1331"/>
        <v>195661.59550874622</v>
      </c>
      <c r="AC699" s="577">
        <f t="shared" si="1331"/>
        <v>199527.40554806791</v>
      </c>
      <c r="AD699" s="577">
        <f t="shared" si="1331"/>
        <v>203597.10963019446</v>
      </c>
      <c r="AE699" s="577">
        <f t="shared" si="1331"/>
        <v>207916.3261736953</v>
      </c>
      <c r="AF699" s="577">
        <f t="shared" si="1331"/>
        <v>212439.03031614798</v>
      </c>
      <c r="AG699" s="577">
        <f t="shared" si="1331"/>
        <v>217211.03010496759</v>
      </c>
      <c r="AH699" s="752">
        <f t="shared" si="1331"/>
        <v>222265.71920613194</v>
      </c>
      <c r="AI699" s="18"/>
      <c r="AJ699" s="18"/>
      <c r="AK699" s="18"/>
      <c r="AL699" s="18"/>
      <c r="AM699" s="18"/>
      <c r="AN699" s="18"/>
    </row>
    <row r="700" spans="2:40" ht="21.95" customHeight="1" x14ac:dyDescent="0.2">
      <c r="B700" s="232"/>
      <c r="C700" s="715"/>
      <c r="D700" s="715"/>
      <c r="E700" s="1340" t="s">
        <v>323</v>
      </c>
      <c r="F700" s="220" t="s">
        <v>282</v>
      </c>
      <c r="G700" s="220" t="s">
        <v>339</v>
      </c>
      <c r="H700" s="116" t="s">
        <v>20</v>
      </c>
      <c r="I700" s="583">
        <f t="shared" ref="I700:AH700" si="1332">I654*$F$20</f>
        <v>239.78102189781021</v>
      </c>
      <c r="J700" s="583">
        <f t="shared" si="1332"/>
        <v>532.91332116788317</v>
      </c>
      <c r="K700" s="583">
        <f t="shared" si="1332"/>
        <v>2252.3830291970803</v>
      </c>
      <c r="L700" s="583">
        <f t="shared" si="1332"/>
        <v>5063.2160583943869</v>
      </c>
      <c r="M700" s="583">
        <f t="shared" si="1332"/>
        <v>7875.6076642626722</v>
      </c>
      <c r="N700" s="583">
        <f t="shared" si="1332"/>
        <v>10688.119161420667</v>
      </c>
      <c r="O700" s="583">
        <f t="shared" si="1332"/>
        <v>13498.952200694708</v>
      </c>
      <c r="P700" s="583">
        <f t="shared" si="1332"/>
        <v>16313.02235038298</v>
      </c>
      <c r="Q700" s="583">
        <f t="shared" si="1332"/>
        <v>18483.040857031498</v>
      </c>
      <c r="R700" s="583">
        <f t="shared" si="1332"/>
        <v>20653.419604429204</v>
      </c>
      <c r="S700" s="583">
        <f t="shared" si="1332"/>
        <v>22823.440201438778</v>
      </c>
      <c r="T700" s="583">
        <f t="shared" si="1332"/>
        <v>24993.464493707896</v>
      </c>
      <c r="U700" s="583">
        <f t="shared" si="1332"/>
        <v>27166.374481564795</v>
      </c>
      <c r="V700" s="583">
        <f t="shared" si="1332"/>
        <v>28243.363714320989</v>
      </c>
      <c r="W700" s="583">
        <f t="shared" si="1332"/>
        <v>28536.50042884819</v>
      </c>
      <c r="X700" s="583">
        <f t="shared" si="1332"/>
        <v>28829.637620860078</v>
      </c>
      <c r="Y700" s="583">
        <f t="shared" si="1332"/>
        <v>29122.775336487022</v>
      </c>
      <c r="Z700" s="583">
        <f t="shared" si="1332"/>
        <v>29416.752877233062</v>
      </c>
      <c r="AA700" s="583">
        <f t="shared" si="1332"/>
        <v>29709.891795866664</v>
      </c>
      <c r="AB700" s="583">
        <f t="shared" si="1332"/>
        <v>30003.870656396291</v>
      </c>
      <c r="AC700" s="583">
        <f t="shared" si="1332"/>
        <v>30297.011013390766</v>
      </c>
      <c r="AD700" s="583">
        <f t="shared" si="1332"/>
        <v>30590.152188902721</v>
      </c>
      <c r="AE700" s="583">
        <f t="shared" si="1332"/>
        <v>30884.133519920171</v>
      </c>
      <c r="AF700" s="583">
        <f t="shared" si="1332"/>
        <v>31177.276563535692</v>
      </c>
      <c r="AG700" s="583">
        <f t="shared" si="1332"/>
        <v>31470.420666298858</v>
      </c>
      <c r="AH700" s="753">
        <f t="shared" si="1332"/>
        <v>31764.405193685307</v>
      </c>
      <c r="AI700" s="18"/>
      <c r="AJ700" s="18"/>
      <c r="AK700" s="18"/>
      <c r="AL700" s="18"/>
      <c r="AM700" s="18"/>
      <c r="AN700" s="18"/>
    </row>
    <row r="701" spans="2:40" ht="21.95" customHeight="1" x14ac:dyDescent="0.2">
      <c r="B701" s="232"/>
      <c r="C701" s="715"/>
      <c r="D701" s="715"/>
      <c r="E701" s="1340"/>
      <c r="F701" s="116"/>
      <c r="G701" s="116"/>
      <c r="H701" s="124" t="s">
        <v>19</v>
      </c>
      <c r="I701" s="577">
        <f t="shared" ref="I701:AH701" si="1333">I654*$F$21</f>
        <v>959.12408759124082</v>
      </c>
      <c r="J701" s="577">
        <f t="shared" si="1333"/>
        <v>2131.6532846715327</v>
      </c>
      <c r="K701" s="577">
        <f t="shared" si="1333"/>
        <v>9009.5321167883212</v>
      </c>
      <c r="L701" s="577">
        <f t="shared" si="1333"/>
        <v>20252.864233577548</v>
      </c>
      <c r="M701" s="577">
        <f t="shared" si="1333"/>
        <v>31502.430657050689</v>
      </c>
      <c r="N701" s="577">
        <f t="shared" si="1333"/>
        <v>42752.476645682669</v>
      </c>
      <c r="O701" s="577">
        <f t="shared" si="1333"/>
        <v>53995.808802778833</v>
      </c>
      <c r="P701" s="577">
        <f t="shared" si="1333"/>
        <v>65252.089401531921</v>
      </c>
      <c r="Q701" s="577">
        <f t="shared" si="1333"/>
        <v>73932.16342812599</v>
      </c>
      <c r="R701" s="577">
        <f t="shared" si="1333"/>
        <v>82613.678417716816</v>
      </c>
      <c r="S701" s="577">
        <f t="shared" si="1333"/>
        <v>91293.760805755112</v>
      </c>
      <c r="T701" s="577">
        <f t="shared" si="1333"/>
        <v>99973.857974831582</v>
      </c>
      <c r="U701" s="577">
        <f t="shared" si="1333"/>
        <v>108665.49792625918</v>
      </c>
      <c r="V701" s="577">
        <f t="shared" si="1333"/>
        <v>112973.45485728396</v>
      </c>
      <c r="W701" s="577">
        <f t="shared" si="1333"/>
        <v>114146.00171539276</v>
      </c>
      <c r="X701" s="577">
        <f t="shared" si="1333"/>
        <v>115318.55048344031</v>
      </c>
      <c r="Y701" s="577">
        <f t="shared" si="1333"/>
        <v>116491.10134594809</v>
      </c>
      <c r="Z701" s="577">
        <f t="shared" si="1333"/>
        <v>117667.01150893225</v>
      </c>
      <c r="AA701" s="577">
        <f t="shared" si="1333"/>
        <v>118839.56718346666</v>
      </c>
      <c r="AB701" s="577">
        <f t="shared" si="1333"/>
        <v>120015.48262558517</v>
      </c>
      <c r="AC701" s="577">
        <f t="shared" si="1333"/>
        <v>121188.04405356306</v>
      </c>
      <c r="AD701" s="577">
        <f t="shared" si="1333"/>
        <v>122360.60875561088</v>
      </c>
      <c r="AE701" s="577">
        <f t="shared" si="1333"/>
        <v>123536.53407968068</v>
      </c>
      <c r="AF701" s="577">
        <f t="shared" si="1333"/>
        <v>124709.10625414277</v>
      </c>
      <c r="AG701" s="577">
        <f t="shared" si="1333"/>
        <v>125881.68266519543</v>
      </c>
      <c r="AH701" s="752">
        <f t="shared" si="1333"/>
        <v>127057.62077474123</v>
      </c>
      <c r="AI701" s="18"/>
      <c r="AJ701" s="18"/>
      <c r="AK701" s="18"/>
      <c r="AL701" s="18"/>
      <c r="AM701" s="18"/>
      <c r="AN701" s="18"/>
    </row>
    <row r="702" spans="2:40" ht="21.95" customHeight="1" x14ac:dyDescent="0.2">
      <c r="B702" s="232"/>
      <c r="C702" s="715"/>
      <c r="D702" s="715"/>
      <c r="E702" s="1340"/>
      <c r="F702" s="116"/>
      <c r="G702" s="116"/>
      <c r="H702" s="720" t="s">
        <v>25</v>
      </c>
      <c r="I702" s="577">
        <f t="shared" ref="I702:AH702" si="1334">SUM(I700:I701)</f>
        <v>1198.905109489051</v>
      </c>
      <c r="J702" s="577">
        <f t="shared" si="1334"/>
        <v>2664.5666058394158</v>
      </c>
      <c r="K702" s="577">
        <f t="shared" si="1334"/>
        <v>11261.915145985402</v>
      </c>
      <c r="L702" s="577">
        <f t="shared" si="1334"/>
        <v>25316.080291971935</v>
      </c>
      <c r="M702" s="577">
        <f t="shared" si="1334"/>
        <v>39378.038321313361</v>
      </c>
      <c r="N702" s="577">
        <f t="shared" si="1334"/>
        <v>53440.595807103338</v>
      </c>
      <c r="O702" s="577">
        <f t="shared" si="1334"/>
        <v>67494.761003473541</v>
      </c>
      <c r="P702" s="577">
        <f t="shared" si="1334"/>
        <v>81565.111751914897</v>
      </c>
      <c r="Q702" s="577">
        <f t="shared" si="1334"/>
        <v>92415.204285157495</v>
      </c>
      <c r="R702" s="577">
        <f t="shared" si="1334"/>
        <v>103267.09802214602</v>
      </c>
      <c r="S702" s="577">
        <f t="shared" si="1334"/>
        <v>114117.20100719389</v>
      </c>
      <c r="T702" s="577">
        <f t="shared" si="1334"/>
        <v>124967.32246853948</v>
      </c>
      <c r="U702" s="577">
        <f t="shared" si="1334"/>
        <v>135831.87240782398</v>
      </c>
      <c r="V702" s="577">
        <f t="shared" si="1334"/>
        <v>141216.81857160493</v>
      </c>
      <c r="W702" s="577">
        <f t="shared" si="1334"/>
        <v>142682.50214424095</v>
      </c>
      <c r="X702" s="577">
        <f t="shared" si="1334"/>
        <v>144148.18810430038</v>
      </c>
      <c r="Y702" s="577">
        <f t="shared" si="1334"/>
        <v>145613.8766824351</v>
      </c>
      <c r="Z702" s="577">
        <f t="shared" si="1334"/>
        <v>147083.76438616531</v>
      </c>
      <c r="AA702" s="577">
        <f t="shared" si="1334"/>
        <v>148549.45897933331</v>
      </c>
      <c r="AB702" s="577">
        <f t="shared" si="1334"/>
        <v>150019.35328198146</v>
      </c>
      <c r="AC702" s="577">
        <f t="shared" si="1334"/>
        <v>151485.05506695382</v>
      </c>
      <c r="AD702" s="577">
        <f t="shared" si="1334"/>
        <v>152950.7609445136</v>
      </c>
      <c r="AE702" s="577">
        <f t="shared" si="1334"/>
        <v>154420.66759960086</v>
      </c>
      <c r="AF702" s="577">
        <f t="shared" si="1334"/>
        <v>155886.38281767844</v>
      </c>
      <c r="AG702" s="577">
        <f t="shared" si="1334"/>
        <v>157352.10333149429</v>
      </c>
      <c r="AH702" s="752">
        <f t="shared" si="1334"/>
        <v>158822.02596842655</v>
      </c>
      <c r="AI702" s="18"/>
      <c r="AJ702" s="18"/>
      <c r="AK702" s="18"/>
      <c r="AL702" s="18"/>
      <c r="AM702" s="18"/>
      <c r="AN702" s="18"/>
    </row>
    <row r="703" spans="2:40" ht="21.95" customHeight="1" x14ac:dyDescent="0.2">
      <c r="B703" s="232"/>
      <c r="C703" s="715"/>
      <c r="D703" s="715"/>
      <c r="E703" s="1340"/>
      <c r="F703" s="116" t="s">
        <v>339</v>
      </c>
      <c r="G703" s="116" t="s">
        <v>288</v>
      </c>
      <c r="H703" s="116" t="s">
        <v>20</v>
      </c>
      <c r="I703" s="577">
        <f t="shared" ref="I703:AH703" si="1335">I655*$F$20</f>
        <v>0</v>
      </c>
      <c r="J703" s="577">
        <f t="shared" si="1335"/>
        <v>161.63017031630167</v>
      </c>
      <c r="K703" s="577">
        <f t="shared" si="1335"/>
        <v>467.16092457420928</v>
      </c>
      <c r="L703" s="577">
        <f t="shared" si="1335"/>
        <v>1050.148515815132</v>
      </c>
      <c r="M703" s="577">
        <f t="shared" si="1335"/>
        <v>1633.4593674026282</v>
      </c>
      <c r="N703" s="577">
        <f t="shared" si="1335"/>
        <v>2216.7950853316938</v>
      </c>
      <c r="O703" s="577">
        <f t="shared" si="1335"/>
        <v>2799.7826786626065</v>
      </c>
      <c r="P703" s="577">
        <f t="shared" si="1335"/>
        <v>3383.441672672026</v>
      </c>
      <c r="Q703" s="577">
        <f t="shared" si="1335"/>
        <v>3833.5195851620883</v>
      </c>
      <c r="R703" s="577">
        <f t="shared" si="1335"/>
        <v>4283.672214251982</v>
      </c>
      <c r="S703" s="577">
        <f t="shared" si="1335"/>
        <v>4733.7505602984129</v>
      </c>
      <c r="T703" s="577">
        <f t="shared" si="1335"/>
        <v>5183.8296727690458</v>
      </c>
      <c r="U703" s="577">
        <f t="shared" si="1335"/>
        <v>5634.5072998801061</v>
      </c>
      <c r="V703" s="577">
        <f t="shared" si="1335"/>
        <v>5857.8828444517603</v>
      </c>
      <c r="W703" s="577">
        <f t="shared" si="1335"/>
        <v>5918.6815704277733</v>
      </c>
      <c r="X703" s="577">
        <f t="shared" si="1335"/>
        <v>5979.4803954376448</v>
      </c>
      <c r="Y703" s="577">
        <f t="shared" si="1335"/>
        <v>6040.2793290491609</v>
      </c>
      <c r="Z703" s="577">
        <f t="shared" si="1335"/>
        <v>6101.2524486113025</v>
      </c>
      <c r="AA703" s="577">
        <f t="shared" si="1335"/>
        <v>6162.0516317353076</v>
      </c>
      <c r="AB703" s="577">
        <f t="shared" si="1335"/>
        <v>6223.0250250303425</v>
      </c>
      <c r="AC703" s="577">
        <f t="shared" si="1335"/>
        <v>6283.824506481048</v>
      </c>
      <c r="AD703" s="577">
        <f t="shared" si="1335"/>
        <v>6344.6241576983412</v>
      </c>
      <c r="AE703" s="577">
        <f t="shared" si="1335"/>
        <v>6405.5980633908512</v>
      </c>
      <c r="AF703" s="577">
        <f t="shared" si="1335"/>
        <v>6466.3981020666615</v>
      </c>
      <c r="AG703" s="577">
        <f t="shared" si="1335"/>
        <v>6527.1983604175402</v>
      </c>
      <c r="AH703" s="752">
        <f t="shared" si="1335"/>
        <v>6588.1729290606563</v>
      </c>
      <c r="AI703" s="18"/>
      <c r="AJ703" s="18"/>
      <c r="AK703" s="18"/>
      <c r="AL703" s="18"/>
      <c r="AM703" s="18"/>
      <c r="AN703" s="18"/>
    </row>
    <row r="704" spans="2:40" ht="21.95" customHeight="1" x14ac:dyDescent="0.2">
      <c r="B704" s="232"/>
      <c r="C704" s="715"/>
      <c r="D704" s="715"/>
      <c r="E704" s="1340"/>
      <c r="F704" s="116"/>
      <c r="G704" s="116"/>
      <c r="H704" s="124" t="s">
        <v>19</v>
      </c>
      <c r="I704" s="577">
        <f t="shared" ref="I704:AH704" si="1336">I655*$F$21</f>
        <v>0</v>
      </c>
      <c r="J704" s="577">
        <f t="shared" si="1336"/>
        <v>646.52068126520669</v>
      </c>
      <c r="K704" s="577">
        <f t="shared" si="1336"/>
        <v>1868.6436982968371</v>
      </c>
      <c r="L704" s="577">
        <f t="shared" si="1336"/>
        <v>4200.5940632605279</v>
      </c>
      <c r="M704" s="577">
        <f t="shared" si="1336"/>
        <v>6533.8374696105129</v>
      </c>
      <c r="N704" s="577">
        <f t="shared" si="1336"/>
        <v>8867.1803413267753</v>
      </c>
      <c r="O704" s="577">
        <f t="shared" si="1336"/>
        <v>11199.130714650426</v>
      </c>
      <c r="P704" s="577">
        <f t="shared" si="1336"/>
        <v>13533.766690688104</v>
      </c>
      <c r="Q704" s="577">
        <f t="shared" si="1336"/>
        <v>15334.078340648353</v>
      </c>
      <c r="R704" s="577">
        <f t="shared" si="1336"/>
        <v>17134.688857007928</v>
      </c>
      <c r="S704" s="577">
        <f t="shared" si="1336"/>
        <v>18935.002241193652</v>
      </c>
      <c r="T704" s="577">
        <f t="shared" si="1336"/>
        <v>20735.318691076183</v>
      </c>
      <c r="U704" s="577">
        <f t="shared" si="1336"/>
        <v>22538.029199520424</v>
      </c>
      <c r="V704" s="577">
        <f t="shared" si="1336"/>
        <v>23431.531377807041</v>
      </c>
      <c r="W704" s="577">
        <f t="shared" si="1336"/>
        <v>23674.726281711093</v>
      </c>
      <c r="X704" s="577">
        <f t="shared" si="1336"/>
        <v>23917.921581750579</v>
      </c>
      <c r="Y704" s="577">
        <f t="shared" si="1336"/>
        <v>24161.117316196644</v>
      </c>
      <c r="Z704" s="577">
        <f t="shared" si="1336"/>
        <v>24405.00979444521</v>
      </c>
      <c r="AA704" s="577">
        <f t="shared" si="1336"/>
        <v>24648.206526941231</v>
      </c>
      <c r="AB704" s="577">
        <f t="shared" si="1336"/>
        <v>24892.10010012137</v>
      </c>
      <c r="AC704" s="577">
        <f t="shared" si="1336"/>
        <v>25135.298025924192</v>
      </c>
      <c r="AD704" s="577">
        <f t="shared" si="1336"/>
        <v>25378.496630793365</v>
      </c>
      <c r="AE704" s="577">
        <f t="shared" si="1336"/>
        <v>25622.392253563405</v>
      </c>
      <c r="AF704" s="577">
        <f t="shared" si="1336"/>
        <v>25865.592408266646</v>
      </c>
      <c r="AG704" s="577">
        <f t="shared" si="1336"/>
        <v>26108.793441670161</v>
      </c>
      <c r="AH704" s="752">
        <f t="shared" si="1336"/>
        <v>26352.691716242625</v>
      </c>
      <c r="AI704" s="18"/>
      <c r="AJ704" s="18"/>
      <c r="AK704" s="18"/>
      <c r="AL704" s="18"/>
      <c r="AM704" s="18"/>
      <c r="AN704" s="18"/>
    </row>
    <row r="705" spans="2:40" ht="21.95" customHeight="1" x14ac:dyDescent="0.2">
      <c r="B705" s="232"/>
      <c r="C705" s="715"/>
      <c r="D705" s="715"/>
      <c r="E705" s="1340"/>
      <c r="F705" s="116"/>
      <c r="G705" s="116"/>
      <c r="H705" s="720" t="s">
        <v>25</v>
      </c>
      <c r="I705" s="577">
        <f t="shared" ref="I705:AH705" si="1337">SUM(I703:I704)</f>
        <v>0</v>
      </c>
      <c r="J705" s="577">
        <f t="shared" si="1337"/>
        <v>808.15085158150839</v>
      </c>
      <c r="K705" s="577">
        <f t="shared" si="1337"/>
        <v>2335.8046228710464</v>
      </c>
      <c r="L705" s="577">
        <f t="shared" si="1337"/>
        <v>5250.7425790756597</v>
      </c>
      <c r="M705" s="577">
        <f t="shared" si="1337"/>
        <v>8167.2968370131412</v>
      </c>
      <c r="N705" s="577">
        <f t="shared" si="1337"/>
        <v>11083.97542665847</v>
      </c>
      <c r="O705" s="577">
        <f t="shared" si="1337"/>
        <v>13998.913393313032</v>
      </c>
      <c r="P705" s="577">
        <f t="shared" si="1337"/>
        <v>16917.208363360129</v>
      </c>
      <c r="Q705" s="577">
        <f t="shared" si="1337"/>
        <v>19167.597925810442</v>
      </c>
      <c r="R705" s="577">
        <f t="shared" si="1337"/>
        <v>21418.361071259911</v>
      </c>
      <c r="S705" s="577">
        <f t="shared" si="1337"/>
        <v>23668.752801492064</v>
      </c>
      <c r="T705" s="577">
        <f t="shared" si="1337"/>
        <v>25919.14836384523</v>
      </c>
      <c r="U705" s="577">
        <f t="shared" si="1337"/>
        <v>28172.536499400529</v>
      </c>
      <c r="V705" s="577">
        <f t="shared" si="1337"/>
        <v>29289.414222258802</v>
      </c>
      <c r="W705" s="577">
        <f t="shared" si="1337"/>
        <v>29593.407852138866</v>
      </c>
      <c r="X705" s="577">
        <f t="shared" si="1337"/>
        <v>29897.401977188223</v>
      </c>
      <c r="Y705" s="577">
        <f t="shared" si="1337"/>
        <v>30201.396645245804</v>
      </c>
      <c r="Z705" s="577">
        <f t="shared" si="1337"/>
        <v>30506.262243056513</v>
      </c>
      <c r="AA705" s="577">
        <f t="shared" si="1337"/>
        <v>30810.258158676537</v>
      </c>
      <c r="AB705" s="577">
        <f t="shared" si="1337"/>
        <v>31115.125125151713</v>
      </c>
      <c r="AC705" s="577">
        <f t="shared" si="1337"/>
        <v>31419.122532405239</v>
      </c>
      <c r="AD705" s="577">
        <f t="shared" si="1337"/>
        <v>31723.120788491706</v>
      </c>
      <c r="AE705" s="577">
        <f t="shared" si="1337"/>
        <v>32027.990316954256</v>
      </c>
      <c r="AF705" s="577">
        <f t="shared" si="1337"/>
        <v>32331.990510333308</v>
      </c>
      <c r="AG705" s="577">
        <f t="shared" si="1337"/>
        <v>32635.991802087701</v>
      </c>
      <c r="AH705" s="752">
        <f t="shared" si="1337"/>
        <v>32940.864645303285</v>
      </c>
      <c r="AI705" s="18"/>
      <c r="AJ705" s="18"/>
      <c r="AK705" s="18"/>
      <c r="AL705" s="18"/>
      <c r="AM705" s="18"/>
      <c r="AN705" s="18"/>
    </row>
    <row r="706" spans="2:40" ht="21.95" customHeight="1" x14ac:dyDescent="0.2">
      <c r="B706" s="232"/>
      <c r="C706" s="715"/>
      <c r="D706" s="715"/>
      <c r="E706" s="1340"/>
      <c r="F706" s="116" t="s">
        <v>288</v>
      </c>
      <c r="G706" s="116" t="s">
        <v>340</v>
      </c>
      <c r="H706" s="116" t="s">
        <v>20</v>
      </c>
      <c r="I706" s="577">
        <f t="shared" ref="I706:AH706" si="1338">I656*$F$20</f>
        <v>0</v>
      </c>
      <c r="J706" s="577">
        <f t="shared" si="1338"/>
        <v>421.3929440389295</v>
      </c>
      <c r="K706" s="577">
        <f t="shared" si="1338"/>
        <v>1217.9552676399026</v>
      </c>
      <c r="L706" s="577">
        <f t="shared" si="1338"/>
        <v>2737.8872019465939</v>
      </c>
      <c r="M706" s="577">
        <f t="shared" si="1338"/>
        <v>4258.6619221568517</v>
      </c>
      <c r="N706" s="577">
        <f t="shared" si="1338"/>
        <v>5779.5014724719149</v>
      </c>
      <c r="O706" s="577">
        <f t="shared" si="1338"/>
        <v>7299.4334122275095</v>
      </c>
      <c r="P706" s="577">
        <f t="shared" si="1338"/>
        <v>8821.1157894663538</v>
      </c>
      <c r="Q706" s="577">
        <f t="shared" si="1338"/>
        <v>9994.5332041725869</v>
      </c>
      <c r="R706" s="577">
        <f t="shared" si="1338"/>
        <v>11168.145415728382</v>
      </c>
      <c r="S706" s="577">
        <f t="shared" si="1338"/>
        <v>12341.563960778003</v>
      </c>
      <c r="T706" s="577">
        <f t="shared" si="1338"/>
        <v>13514.984504005006</v>
      </c>
      <c r="U706" s="577">
        <f t="shared" si="1338"/>
        <v>14689.965460401701</v>
      </c>
      <c r="V706" s="577">
        <f t="shared" si="1338"/>
        <v>15272.337415892087</v>
      </c>
      <c r="W706" s="577">
        <f t="shared" si="1338"/>
        <v>15430.848380043835</v>
      </c>
      <c r="X706" s="577">
        <f t="shared" si="1338"/>
        <v>15589.359602391005</v>
      </c>
      <c r="Y706" s="577">
        <f t="shared" si="1338"/>
        <v>15747.871107878167</v>
      </c>
      <c r="Z706" s="577">
        <f t="shared" si="1338"/>
        <v>15906.836741022324</v>
      </c>
      <c r="AA706" s="577">
        <f t="shared" si="1338"/>
        <v>16065.348897024196</v>
      </c>
      <c r="AB706" s="577">
        <f t="shared" si="1338"/>
        <v>16224.315243829104</v>
      </c>
      <c r="AC706" s="577">
        <f t="shared" si="1338"/>
        <v>16382.828177611304</v>
      </c>
      <c r="AD706" s="577">
        <f t="shared" si="1338"/>
        <v>16541.341553999246</v>
      </c>
      <c r="AE706" s="577">
        <f t="shared" si="1338"/>
        <v>16700.309236697572</v>
      </c>
      <c r="AF706" s="577">
        <f t="shared" si="1338"/>
        <v>16858.823623245222</v>
      </c>
      <c r="AG706" s="577">
        <f t="shared" si="1338"/>
        <v>17017.338582517161</v>
      </c>
      <c r="AH706" s="752">
        <f t="shared" si="1338"/>
        <v>17176.307993622424</v>
      </c>
      <c r="AI706" s="18"/>
      <c r="AJ706" s="18"/>
      <c r="AK706" s="18"/>
      <c r="AL706" s="18"/>
      <c r="AM706" s="18"/>
      <c r="AN706" s="18"/>
    </row>
    <row r="707" spans="2:40" ht="21.95" customHeight="1" x14ac:dyDescent="0.2">
      <c r="B707" s="232"/>
      <c r="C707" s="715"/>
      <c r="D707" s="715"/>
      <c r="E707" s="1340"/>
      <c r="F707" s="116"/>
      <c r="G707" s="116"/>
      <c r="H707" s="124" t="s">
        <v>19</v>
      </c>
      <c r="I707" s="577">
        <f t="shared" ref="I707:AH707" si="1339">I656*$F$21</f>
        <v>0</v>
      </c>
      <c r="J707" s="577">
        <f t="shared" si="1339"/>
        <v>1685.571776155718</v>
      </c>
      <c r="K707" s="577">
        <f t="shared" si="1339"/>
        <v>4871.8210705596102</v>
      </c>
      <c r="L707" s="577">
        <f t="shared" si="1339"/>
        <v>10951.548807786376</v>
      </c>
      <c r="M707" s="577">
        <f t="shared" si="1339"/>
        <v>17034.647688627407</v>
      </c>
      <c r="N707" s="577">
        <f t="shared" si="1339"/>
        <v>23118.00588988766</v>
      </c>
      <c r="O707" s="577">
        <f t="shared" si="1339"/>
        <v>29197.733648910038</v>
      </c>
      <c r="P707" s="577">
        <f t="shared" si="1339"/>
        <v>35284.463157865415</v>
      </c>
      <c r="Q707" s="577">
        <f t="shared" si="1339"/>
        <v>39978.132816690348</v>
      </c>
      <c r="R707" s="577">
        <f t="shared" si="1339"/>
        <v>44672.58166291353</v>
      </c>
      <c r="S707" s="577">
        <f t="shared" si="1339"/>
        <v>49366.255843112012</v>
      </c>
      <c r="T707" s="577">
        <f t="shared" si="1339"/>
        <v>54059.938016020023</v>
      </c>
      <c r="U707" s="577">
        <f t="shared" si="1339"/>
        <v>58759.861841606806</v>
      </c>
      <c r="V707" s="577">
        <f t="shared" si="1339"/>
        <v>61089.349663568348</v>
      </c>
      <c r="W707" s="577">
        <f t="shared" si="1339"/>
        <v>61723.393520175341</v>
      </c>
      <c r="X707" s="577">
        <f t="shared" si="1339"/>
        <v>62357.43840956402</v>
      </c>
      <c r="Y707" s="577">
        <f t="shared" si="1339"/>
        <v>62991.484431512668</v>
      </c>
      <c r="Z707" s="577">
        <f t="shared" si="1339"/>
        <v>63627.346964089294</v>
      </c>
      <c r="AA707" s="577">
        <f t="shared" si="1339"/>
        <v>64261.395588096784</v>
      </c>
      <c r="AB707" s="577">
        <f t="shared" si="1339"/>
        <v>64897.260975316414</v>
      </c>
      <c r="AC707" s="577">
        <f t="shared" si="1339"/>
        <v>65531.312710445214</v>
      </c>
      <c r="AD707" s="577">
        <f t="shared" si="1339"/>
        <v>66165.366215996983</v>
      </c>
      <c r="AE707" s="577">
        <f t="shared" si="1339"/>
        <v>66801.23694679029</v>
      </c>
      <c r="AF707" s="577">
        <f t="shared" si="1339"/>
        <v>67435.294492980887</v>
      </c>
      <c r="AG707" s="577">
        <f t="shared" si="1339"/>
        <v>68069.354330068643</v>
      </c>
      <c r="AH707" s="752">
        <f t="shared" si="1339"/>
        <v>68705.231974489696</v>
      </c>
      <c r="AI707" s="18"/>
      <c r="AJ707" s="18"/>
      <c r="AK707" s="18"/>
      <c r="AL707" s="18"/>
      <c r="AM707" s="18"/>
      <c r="AN707" s="18"/>
    </row>
    <row r="708" spans="2:40" ht="21.95" customHeight="1" x14ac:dyDescent="0.2">
      <c r="B708" s="232"/>
      <c r="C708" s="715"/>
      <c r="D708" s="715"/>
      <c r="E708" s="1340"/>
      <c r="F708" s="116"/>
      <c r="G708" s="116"/>
      <c r="H708" s="720" t="s">
        <v>25</v>
      </c>
      <c r="I708" s="577">
        <f t="shared" ref="I708:AH708" si="1340">SUM(I706:I707)</f>
        <v>0</v>
      </c>
      <c r="J708" s="577">
        <f t="shared" si="1340"/>
        <v>2106.9647201946473</v>
      </c>
      <c r="K708" s="577">
        <f t="shared" si="1340"/>
        <v>6089.7763381995128</v>
      </c>
      <c r="L708" s="577">
        <f t="shared" si="1340"/>
        <v>13689.43600973297</v>
      </c>
      <c r="M708" s="577">
        <f t="shared" si="1340"/>
        <v>21293.309610784258</v>
      </c>
      <c r="N708" s="577">
        <f t="shared" si="1340"/>
        <v>28897.507362359574</v>
      </c>
      <c r="O708" s="577">
        <f t="shared" si="1340"/>
        <v>36497.167061137545</v>
      </c>
      <c r="P708" s="577">
        <f t="shared" si="1340"/>
        <v>44105.578947331771</v>
      </c>
      <c r="Q708" s="577">
        <f t="shared" si="1340"/>
        <v>49972.666020862933</v>
      </c>
      <c r="R708" s="577">
        <f t="shared" si="1340"/>
        <v>55840.72707864191</v>
      </c>
      <c r="S708" s="577">
        <f t="shared" si="1340"/>
        <v>61707.819803890015</v>
      </c>
      <c r="T708" s="577">
        <f t="shared" si="1340"/>
        <v>67574.922520025022</v>
      </c>
      <c r="U708" s="577">
        <f t="shared" si="1340"/>
        <v>73449.827302008503</v>
      </c>
      <c r="V708" s="577">
        <f t="shared" si="1340"/>
        <v>76361.687079460433</v>
      </c>
      <c r="W708" s="577">
        <f t="shared" si="1340"/>
        <v>77154.241900219175</v>
      </c>
      <c r="X708" s="577">
        <f t="shared" si="1340"/>
        <v>77946.798011955019</v>
      </c>
      <c r="Y708" s="577">
        <f t="shared" si="1340"/>
        <v>78739.355539390832</v>
      </c>
      <c r="Z708" s="577">
        <f t="shared" si="1340"/>
        <v>79534.183705111616</v>
      </c>
      <c r="AA708" s="577">
        <f t="shared" si="1340"/>
        <v>80326.744485120988</v>
      </c>
      <c r="AB708" s="577">
        <f t="shared" si="1340"/>
        <v>81121.576219145514</v>
      </c>
      <c r="AC708" s="577">
        <f t="shared" si="1340"/>
        <v>81914.140888056514</v>
      </c>
      <c r="AD708" s="577">
        <f t="shared" si="1340"/>
        <v>82706.707769996225</v>
      </c>
      <c r="AE708" s="577">
        <f t="shared" si="1340"/>
        <v>83501.546183487866</v>
      </c>
      <c r="AF708" s="577">
        <f t="shared" si="1340"/>
        <v>84294.118116226105</v>
      </c>
      <c r="AG708" s="577">
        <f t="shared" si="1340"/>
        <v>85086.692912585801</v>
      </c>
      <c r="AH708" s="752">
        <f t="shared" si="1340"/>
        <v>85881.53996811212</v>
      </c>
      <c r="AI708" s="18"/>
      <c r="AJ708" s="18"/>
      <c r="AK708" s="18"/>
      <c r="AL708" s="18"/>
      <c r="AM708" s="18"/>
      <c r="AN708" s="18"/>
    </row>
    <row r="709" spans="2:40" ht="21.95" customHeight="1" x14ac:dyDescent="0.2">
      <c r="B709" s="232"/>
      <c r="C709" s="715"/>
      <c r="D709" s="715"/>
      <c r="E709" s="1340"/>
      <c r="F709" s="116" t="s">
        <v>340</v>
      </c>
      <c r="G709" s="116" t="s">
        <v>280</v>
      </c>
      <c r="H709" s="116" t="s">
        <v>20</v>
      </c>
      <c r="I709" s="577">
        <f t="shared" ref="I709:AH709" si="1341">I657*$F$20</f>
        <v>559.48905109489056</v>
      </c>
      <c r="J709" s="577">
        <f t="shared" si="1341"/>
        <v>826.8688686131386</v>
      </c>
      <c r="K709" s="577">
        <f t="shared" si="1341"/>
        <v>1159.97</v>
      </c>
      <c r="L709" s="577">
        <f t="shared" si="1341"/>
        <v>1873.2066423357664</v>
      </c>
      <c r="M709" s="577">
        <f t="shared" si="1341"/>
        <v>2586.5365328467178</v>
      </c>
      <c r="N709" s="577">
        <f t="shared" si="1341"/>
        <v>3300.1648175182731</v>
      </c>
      <c r="O709" s="577">
        <f t="shared" si="1341"/>
        <v>4013.4014598542303</v>
      </c>
      <c r="P709" s="577">
        <f t="shared" si="1341"/>
        <v>4726.2651094903576</v>
      </c>
      <c r="Q709" s="577">
        <f t="shared" si="1341"/>
        <v>6157.6618978341903</v>
      </c>
      <c r="R709" s="577">
        <f t="shared" si="1341"/>
        <v>7588.2381024283786</v>
      </c>
      <c r="S709" s="577">
        <f t="shared" si="1341"/>
        <v>9019.1313519605792</v>
      </c>
      <c r="T709" s="577">
        <f t="shared" si="1341"/>
        <v>10450.528146751742</v>
      </c>
      <c r="U709" s="577">
        <f t="shared" si="1341"/>
        <v>11881.551967398467</v>
      </c>
      <c r="V709" s="577">
        <f t="shared" si="1341"/>
        <v>12932.775996495415</v>
      </c>
      <c r="W709" s="577">
        <f t="shared" si="1341"/>
        <v>13200.155835241938</v>
      </c>
      <c r="X709" s="577">
        <f t="shared" si="1341"/>
        <v>13467.535678752838</v>
      </c>
      <c r="Y709" s="577">
        <f t="shared" si="1341"/>
        <v>13734.915527970501</v>
      </c>
      <c r="Z709" s="577">
        <f t="shared" si="1341"/>
        <v>14001.493449565372</v>
      </c>
      <c r="AA709" s="577">
        <f t="shared" si="1341"/>
        <v>14268.873313667833</v>
      </c>
      <c r="AB709" s="577">
        <f t="shared" si="1341"/>
        <v>14535.451252877445</v>
      </c>
      <c r="AC709" s="577">
        <f t="shared" si="1341"/>
        <v>14802.83113788415</v>
      </c>
      <c r="AD709" s="577">
        <f t="shared" si="1341"/>
        <v>15070.211036248296</v>
      </c>
      <c r="AE709" s="577">
        <f t="shared" si="1341"/>
        <v>15336.789015681796</v>
      </c>
      <c r="AF709" s="577">
        <f t="shared" si="1341"/>
        <v>15604.168948059201</v>
      </c>
      <c r="AG709" s="577">
        <f t="shared" si="1341"/>
        <v>15871.548901900138</v>
      </c>
      <c r="AH709" s="752">
        <f t="shared" si="1341"/>
        <v>16138.126945917606</v>
      </c>
      <c r="AI709" s="18"/>
      <c r="AJ709" s="18"/>
      <c r="AK709" s="18"/>
      <c r="AL709" s="18"/>
      <c r="AM709" s="18"/>
      <c r="AN709" s="18"/>
    </row>
    <row r="710" spans="2:40" ht="21.95" customHeight="1" x14ac:dyDescent="0.2">
      <c r="B710" s="232"/>
      <c r="C710" s="715"/>
      <c r="D710" s="715"/>
      <c r="E710" s="1340"/>
      <c r="F710" s="116"/>
      <c r="G710" s="116"/>
      <c r="H710" s="116" t="s">
        <v>19</v>
      </c>
      <c r="I710" s="577">
        <f t="shared" ref="I710:AH710" si="1342">I657*$F$21</f>
        <v>2237.9562043795622</v>
      </c>
      <c r="J710" s="577">
        <f t="shared" si="1342"/>
        <v>3307.4754744525544</v>
      </c>
      <c r="K710" s="577">
        <f t="shared" si="1342"/>
        <v>4639.88</v>
      </c>
      <c r="L710" s="577">
        <f t="shared" si="1342"/>
        <v>7492.8265693430658</v>
      </c>
      <c r="M710" s="577">
        <f t="shared" si="1342"/>
        <v>10346.146131386871</v>
      </c>
      <c r="N710" s="577">
        <f t="shared" si="1342"/>
        <v>13200.659270073093</v>
      </c>
      <c r="O710" s="577">
        <f t="shared" si="1342"/>
        <v>16053.605839416921</v>
      </c>
      <c r="P710" s="577">
        <f t="shared" si="1342"/>
        <v>18905.060437961431</v>
      </c>
      <c r="Q710" s="577">
        <f t="shared" si="1342"/>
        <v>24630.647591336761</v>
      </c>
      <c r="R710" s="577">
        <f t="shared" si="1342"/>
        <v>30352.952409713514</v>
      </c>
      <c r="S710" s="577">
        <f t="shared" si="1342"/>
        <v>36076.525407842317</v>
      </c>
      <c r="T710" s="577">
        <f t="shared" si="1342"/>
        <v>41802.112587006966</v>
      </c>
      <c r="U710" s="577">
        <f t="shared" si="1342"/>
        <v>47526.207869593869</v>
      </c>
      <c r="V710" s="577">
        <f t="shared" si="1342"/>
        <v>51731.103985981659</v>
      </c>
      <c r="W710" s="577">
        <f t="shared" si="1342"/>
        <v>52800.623340967752</v>
      </c>
      <c r="X710" s="577">
        <f t="shared" si="1342"/>
        <v>53870.142715011352</v>
      </c>
      <c r="Y710" s="577">
        <f t="shared" si="1342"/>
        <v>54939.662111882004</v>
      </c>
      <c r="Z710" s="577">
        <f t="shared" si="1342"/>
        <v>56005.97379826149</v>
      </c>
      <c r="AA710" s="577">
        <f t="shared" si="1342"/>
        <v>57075.493254671332</v>
      </c>
      <c r="AB710" s="577">
        <f t="shared" si="1342"/>
        <v>58141.805011509779</v>
      </c>
      <c r="AC710" s="577">
        <f t="shared" si="1342"/>
        <v>59211.3245515366</v>
      </c>
      <c r="AD710" s="577">
        <f t="shared" si="1342"/>
        <v>60280.844144993185</v>
      </c>
      <c r="AE710" s="577">
        <f t="shared" si="1342"/>
        <v>61347.156062727183</v>
      </c>
      <c r="AF710" s="577">
        <f t="shared" si="1342"/>
        <v>62416.675792236805</v>
      </c>
      <c r="AG710" s="577">
        <f t="shared" si="1342"/>
        <v>63486.195607600552</v>
      </c>
      <c r="AH710" s="752">
        <f t="shared" si="1342"/>
        <v>64552.507783670422</v>
      </c>
      <c r="AI710" s="18"/>
      <c r="AJ710" s="18"/>
      <c r="AK710" s="18"/>
      <c r="AL710" s="18"/>
      <c r="AM710" s="18"/>
      <c r="AN710" s="18"/>
    </row>
    <row r="711" spans="2:40" ht="21.95" customHeight="1" x14ac:dyDescent="0.2">
      <c r="B711" s="232"/>
      <c r="C711" s="715"/>
      <c r="D711" s="715"/>
      <c r="E711" s="1340"/>
      <c r="F711" s="254"/>
      <c r="G711" s="254"/>
      <c r="H711" s="721" t="s">
        <v>25</v>
      </c>
      <c r="I711" s="587">
        <f t="shared" ref="I711:AH711" si="1343">SUM(I709:I710)</f>
        <v>2797.445255474453</v>
      </c>
      <c r="J711" s="587">
        <f t="shared" si="1343"/>
        <v>4134.3443430656935</v>
      </c>
      <c r="K711" s="587">
        <f t="shared" si="1343"/>
        <v>5799.85</v>
      </c>
      <c r="L711" s="587">
        <f t="shared" si="1343"/>
        <v>9366.0332116788322</v>
      </c>
      <c r="M711" s="587">
        <f t="shared" si="1343"/>
        <v>12932.682664233589</v>
      </c>
      <c r="N711" s="587">
        <f t="shared" si="1343"/>
        <v>16500.824087591365</v>
      </c>
      <c r="O711" s="587">
        <f t="shared" si="1343"/>
        <v>20067.00729927115</v>
      </c>
      <c r="P711" s="587">
        <f t="shared" si="1343"/>
        <v>23631.325547451786</v>
      </c>
      <c r="Q711" s="587">
        <f t="shared" si="1343"/>
        <v>30788.309489170952</v>
      </c>
      <c r="R711" s="587">
        <f t="shared" si="1343"/>
        <v>37941.190512141897</v>
      </c>
      <c r="S711" s="587">
        <f t="shared" si="1343"/>
        <v>45095.656759802892</v>
      </c>
      <c r="T711" s="587">
        <f t="shared" si="1343"/>
        <v>52252.640733758708</v>
      </c>
      <c r="U711" s="587">
        <f t="shared" si="1343"/>
        <v>59407.759836992336</v>
      </c>
      <c r="V711" s="587">
        <f t="shared" si="1343"/>
        <v>64663.879982477076</v>
      </c>
      <c r="W711" s="587">
        <f t="shared" si="1343"/>
        <v>66000.779176209689</v>
      </c>
      <c r="X711" s="587">
        <f t="shared" si="1343"/>
        <v>67337.678393764189</v>
      </c>
      <c r="Y711" s="587">
        <f t="shared" si="1343"/>
        <v>68674.577639852505</v>
      </c>
      <c r="Z711" s="587">
        <f t="shared" si="1343"/>
        <v>70007.467247826862</v>
      </c>
      <c r="AA711" s="587">
        <f t="shared" si="1343"/>
        <v>71344.366568339159</v>
      </c>
      <c r="AB711" s="587">
        <f t="shared" si="1343"/>
        <v>72677.256264387222</v>
      </c>
      <c r="AC711" s="587">
        <f t="shared" si="1343"/>
        <v>74014.155689420746</v>
      </c>
      <c r="AD711" s="587">
        <f t="shared" si="1343"/>
        <v>75351.055181241478</v>
      </c>
      <c r="AE711" s="587">
        <f t="shared" si="1343"/>
        <v>76683.945078408986</v>
      </c>
      <c r="AF711" s="587">
        <f t="shared" si="1343"/>
        <v>78020.844740296001</v>
      </c>
      <c r="AG711" s="587">
        <f t="shared" si="1343"/>
        <v>79357.744509500684</v>
      </c>
      <c r="AH711" s="754">
        <f t="shared" si="1343"/>
        <v>80690.634729588026</v>
      </c>
      <c r="AI711" s="18"/>
      <c r="AJ711" s="18"/>
      <c r="AK711" s="18"/>
      <c r="AL711" s="18"/>
      <c r="AM711" s="18"/>
      <c r="AN711" s="18"/>
    </row>
    <row r="712" spans="2:40" ht="21.95" customHeight="1" x14ac:dyDescent="0.2">
      <c r="B712" s="232"/>
      <c r="C712" s="715"/>
      <c r="D712" s="715"/>
      <c r="E712" s="1340" t="s">
        <v>334</v>
      </c>
      <c r="F712" s="116" t="s">
        <v>336</v>
      </c>
      <c r="G712" s="116" t="s">
        <v>337</v>
      </c>
      <c r="H712" s="116" t="s">
        <v>20</v>
      </c>
      <c r="I712" s="577">
        <f t="shared" ref="I712:AH712" si="1344">I658*$G$20</f>
        <v>14055.08160965871</v>
      </c>
      <c r="J712" s="577">
        <f t="shared" si="1344"/>
        <v>14444.43055045787</v>
      </c>
      <c r="K712" s="577">
        <f t="shared" si="1344"/>
        <v>15072.797605775351</v>
      </c>
      <c r="L712" s="577">
        <f t="shared" si="1344"/>
        <v>15970.548529864789</v>
      </c>
      <c r="M712" s="577">
        <f t="shared" si="1344"/>
        <v>16868.804791113795</v>
      </c>
      <c r="N712" s="577">
        <f t="shared" si="1344"/>
        <v>17767.180199525563</v>
      </c>
      <c r="O712" s="577">
        <f t="shared" si="1344"/>
        <v>18665.473544048058</v>
      </c>
      <c r="P712" s="577">
        <f t="shared" si="1344"/>
        <v>19564.990523921882</v>
      </c>
      <c r="Q712" s="577">
        <f t="shared" si="1344"/>
        <v>20366.180046164878</v>
      </c>
      <c r="R712" s="577">
        <f t="shared" si="1344"/>
        <v>21168.346673341275</v>
      </c>
      <c r="S712" s="577">
        <f t="shared" si="1344"/>
        <v>21971.286978069009</v>
      </c>
      <c r="T712" s="577">
        <f t="shared" si="1344"/>
        <v>22775.657950257108</v>
      </c>
      <c r="U712" s="577">
        <f t="shared" si="1344"/>
        <v>23582.812831970023</v>
      </c>
      <c r="V712" s="577">
        <f t="shared" si="1344"/>
        <v>24118.634908441338</v>
      </c>
      <c r="W712" s="577">
        <f t="shared" si="1344"/>
        <v>24513.154403306486</v>
      </c>
      <c r="X712" s="577">
        <f t="shared" si="1344"/>
        <v>24908.569319998016</v>
      </c>
      <c r="Y712" s="577">
        <f t="shared" si="1344"/>
        <v>25305.016255144514</v>
      </c>
      <c r="Z712" s="577">
        <f t="shared" si="1344"/>
        <v>25702.906757172743</v>
      </c>
      <c r="AA712" s="577">
        <f t="shared" si="1344"/>
        <v>26101.903341822439</v>
      </c>
      <c r="AB712" s="577">
        <f t="shared" si="1344"/>
        <v>26502.718427992895</v>
      </c>
      <c r="AC712" s="577">
        <f t="shared" si="1344"/>
        <v>26905.058514524109</v>
      </c>
      <c r="AD712" s="577">
        <f t="shared" si="1344"/>
        <v>27309.431995331881</v>
      </c>
      <c r="AE712" s="577">
        <f t="shared" si="1344"/>
        <v>27716.383417870555</v>
      </c>
      <c r="AF712" s="577">
        <f t="shared" si="1344"/>
        <v>28125.704305300816</v>
      </c>
      <c r="AG712" s="577">
        <f t="shared" si="1344"/>
        <v>28538.009483112441</v>
      </c>
      <c r="AH712" s="752">
        <f t="shared" si="1344"/>
        <v>28953.963128260952</v>
      </c>
      <c r="AI712" s="18"/>
      <c r="AJ712" s="18"/>
      <c r="AK712" s="18"/>
      <c r="AL712" s="18"/>
      <c r="AM712" s="18"/>
      <c r="AN712" s="18"/>
    </row>
    <row r="713" spans="2:40" ht="21.95" customHeight="1" x14ac:dyDescent="0.2">
      <c r="B713" s="232"/>
      <c r="C713" s="715"/>
      <c r="D713" s="715"/>
      <c r="E713" s="1340"/>
      <c r="F713" s="116"/>
      <c r="G713" s="116"/>
      <c r="H713" s="124" t="s">
        <v>19</v>
      </c>
      <c r="I713" s="577">
        <f t="shared" ref="I713:AH713" si="1345">I658*$G$21</f>
        <v>36141.638424836681</v>
      </c>
      <c r="J713" s="577">
        <f t="shared" si="1345"/>
        <v>37142.821415463091</v>
      </c>
      <c r="K713" s="577">
        <f t="shared" si="1345"/>
        <v>38758.622414850899</v>
      </c>
      <c r="L713" s="577">
        <f t="shared" si="1345"/>
        <v>41067.124791080882</v>
      </c>
      <c r="M713" s="577">
        <f t="shared" si="1345"/>
        <v>43376.926605721179</v>
      </c>
      <c r="N713" s="577">
        <f t="shared" si="1345"/>
        <v>45687.034798780012</v>
      </c>
      <c r="O713" s="577">
        <f t="shared" si="1345"/>
        <v>47996.931970409292</v>
      </c>
      <c r="P713" s="577">
        <f t="shared" si="1345"/>
        <v>50309.975632941976</v>
      </c>
      <c r="Q713" s="577">
        <f t="shared" si="1345"/>
        <v>52370.177261566823</v>
      </c>
      <c r="R713" s="577">
        <f t="shared" si="1345"/>
        <v>54432.891445734698</v>
      </c>
      <c r="S713" s="577">
        <f t="shared" si="1345"/>
        <v>56497.59508646316</v>
      </c>
      <c r="T713" s="577">
        <f t="shared" si="1345"/>
        <v>58565.977586375411</v>
      </c>
      <c r="U713" s="577">
        <f t="shared" si="1345"/>
        <v>60641.518710780052</v>
      </c>
      <c r="V713" s="577">
        <f t="shared" si="1345"/>
        <v>62019.346907420579</v>
      </c>
      <c r="W713" s="577">
        <f t="shared" si="1345"/>
        <v>63033.82560850239</v>
      </c>
      <c r="X713" s="577">
        <f t="shared" si="1345"/>
        <v>64050.606822852031</v>
      </c>
      <c r="Y713" s="577">
        <f t="shared" si="1345"/>
        <v>65070.041798943028</v>
      </c>
      <c r="Z713" s="577">
        <f t="shared" si="1345"/>
        <v>66093.188804158475</v>
      </c>
      <c r="AA713" s="577">
        <f t="shared" si="1345"/>
        <v>67119.180021829117</v>
      </c>
      <c r="AB713" s="577">
        <f t="shared" si="1345"/>
        <v>68149.847386267444</v>
      </c>
      <c r="AC713" s="577">
        <f t="shared" si="1345"/>
        <v>69184.436180204852</v>
      </c>
      <c r="AD713" s="577">
        <f t="shared" si="1345"/>
        <v>70224.253702281974</v>
      </c>
      <c r="AE713" s="577">
        <f t="shared" si="1345"/>
        <v>71270.700217381411</v>
      </c>
      <c r="AF713" s="577">
        <f t="shared" si="1345"/>
        <v>72323.239642202083</v>
      </c>
      <c r="AG713" s="577">
        <f t="shared" si="1345"/>
        <v>73383.452956574838</v>
      </c>
      <c r="AH713" s="752">
        <f t="shared" si="1345"/>
        <v>74453.048044099589</v>
      </c>
      <c r="AI713" s="18"/>
      <c r="AJ713" s="18"/>
      <c r="AK713" s="18"/>
      <c r="AL713" s="18"/>
      <c r="AM713" s="18"/>
      <c r="AN713" s="18"/>
    </row>
    <row r="714" spans="2:40" ht="21.95" customHeight="1" x14ac:dyDescent="0.2">
      <c r="B714" s="232"/>
      <c r="C714" s="715"/>
      <c r="D714" s="715"/>
      <c r="E714" s="1340"/>
      <c r="F714" s="116"/>
      <c r="G714" s="116"/>
      <c r="H714" s="721" t="s">
        <v>25</v>
      </c>
      <c r="I714" s="577">
        <f t="shared" ref="I714:AH714" si="1346">SUM(I712:I713)</f>
        <v>50196.720034495389</v>
      </c>
      <c r="J714" s="577">
        <f t="shared" si="1346"/>
        <v>51587.251965920965</v>
      </c>
      <c r="K714" s="577">
        <f t="shared" si="1346"/>
        <v>53831.420020626247</v>
      </c>
      <c r="L714" s="577">
        <f t="shared" si="1346"/>
        <v>57037.673320945672</v>
      </c>
      <c r="M714" s="577">
        <f t="shared" si="1346"/>
        <v>60245.731396834977</v>
      </c>
      <c r="N714" s="577">
        <f t="shared" si="1346"/>
        <v>63454.214998305571</v>
      </c>
      <c r="O714" s="577">
        <f t="shared" si="1346"/>
        <v>66662.40551445735</v>
      </c>
      <c r="P714" s="577">
        <f t="shared" si="1346"/>
        <v>69874.966156863855</v>
      </c>
      <c r="Q714" s="577">
        <f t="shared" si="1346"/>
        <v>72736.357307731698</v>
      </c>
      <c r="R714" s="577">
        <f t="shared" si="1346"/>
        <v>75601.238119075977</v>
      </c>
      <c r="S714" s="577">
        <f t="shared" si="1346"/>
        <v>78468.882064532168</v>
      </c>
      <c r="T714" s="577">
        <f t="shared" si="1346"/>
        <v>81341.635536632515</v>
      </c>
      <c r="U714" s="577">
        <f t="shared" si="1346"/>
        <v>84224.331542750078</v>
      </c>
      <c r="V714" s="577">
        <f t="shared" si="1346"/>
        <v>86137.981815861916</v>
      </c>
      <c r="W714" s="577">
        <f t="shared" si="1346"/>
        <v>87546.980011808875</v>
      </c>
      <c r="X714" s="577">
        <f t="shared" si="1346"/>
        <v>88959.176142850047</v>
      </c>
      <c r="Y714" s="577">
        <f t="shared" si="1346"/>
        <v>90375.058054087538</v>
      </c>
      <c r="Z714" s="577">
        <f t="shared" si="1346"/>
        <v>91796.095561331225</v>
      </c>
      <c r="AA714" s="577">
        <f t="shared" si="1346"/>
        <v>93221.08336365156</v>
      </c>
      <c r="AB714" s="577">
        <f t="shared" si="1346"/>
        <v>94652.565814260335</v>
      </c>
      <c r="AC714" s="577">
        <f t="shared" si="1346"/>
        <v>96089.494694728957</v>
      </c>
      <c r="AD714" s="577">
        <f t="shared" si="1346"/>
        <v>97533.685697613852</v>
      </c>
      <c r="AE714" s="577">
        <f t="shared" si="1346"/>
        <v>98987.083635251969</v>
      </c>
      <c r="AF714" s="577">
        <f t="shared" si="1346"/>
        <v>100448.94394750291</v>
      </c>
      <c r="AG714" s="577">
        <f t="shared" si="1346"/>
        <v>101921.46243968728</v>
      </c>
      <c r="AH714" s="752">
        <f t="shared" si="1346"/>
        <v>103407.01117236054</v>
      </c>
      <c r="AI714" s="18"/>
      <c r="AJ714" s="18"/>
      <c r="AK714" s="18"/>
      <c r="AL714" s="18"/>
      <c r="AM714" s="18"/>
      <c r="AN714" s="18"/>
    </row>
    <row r="715" spans="2:40" ht="21.95" customHeight="1" x14ac:dyDescent="0.2">
      <c r="B715" s="232"/>
      <c r="C715" s="715"/>
      <c r="D715" s="715"/>
      <c r="E715" s="1340"/>
      <c r="F715" s="116" t="s">
        <v>337</v>
      </c>
      <c r="G715" s="116" t="s">
        <v>386</v>
      </c>
      <c r="H715" s="116" t="s">
        <v>20</v>
      </c>
      <c r="I715" s="577">
        <f t="shared" ref="I715:AH715" si="1347">I659*$G$20</f>
        <v>23231.821142527078</v>
      </c>
      <c r="J715" s="577">
        <f t="shared" si="1347"/>
        <v>23266.737664836073</v>
      </c>
      <c r="K715" s="577">
        <f t="shared" si="1347"/>
        <v>23301.655329206904</v>
      </c>
      <c r="L715" s="577">
        <f t="shared" si="1347"/>
        <v>23336.574150087916</v>
      </c>
      <c r="M715" s="577">
        <f t="shared" si="1347"/>
        <v>23371.494143138672</v>
      </c>
      <c r="N715" s="577">
        <f t="shared" si="1347"/>
        <v>23406.41532420697</v>
      </c>
      <c r="O715" s="577">
        <f t="shared" si="1347"/>
        <v>23441.337709330746</v>
      </c>
      <c r="P715" s="577">
        <f t="shared" si="1347"/>
        <v>23476.261314740132</v>
      </c>
      <c r="Q715" s="577">
        <f t="shared" si="1347"/>
        <v>23511.186156859399</v>
      </c>
      <c r="R715" s="577">
        <f t="shared" si="1347"/>
        <v>23511.18615801437</v>
      </c>
      <c r="S715" s="577">
        <f t="shared" si="1347"/>
        <v>23511.18615801437</v>
      </c>
      <c r="T715" s="577">
        <f t="shared" si="1347"/>
        <v>23511.18615801437</v>
      </c>
      <c r="U715" s="577">
        <f t="shared" si="1347"/>
        <v>23511.18615801437</v>
      </c>
      <c r="V715" s="577">
        <f t="shared" si="1347"/>
        <v>23511.18615801437</v>
      </c>
      <c r="W715" s="577">
        <f t="shared" si="1347"/>
        <v>23665.917452147765</v>
      </c>
      <c r="X715" s="577">
        <f t="shared" si="1347"/>
        <v>24033.39117450628</v>
      </c>
      <c r="Y715" s="577">
        <f t="shared" si="1347"/>
        <v>24401.034010973832</v>
      </c>
      <c r="Z715" s="577">
        <f t="shared" si="1347"/>
        <v>24768.95649430796</v>
      </c>
      <c r="AA715" s="577">
        <f t="shared" si="1347"/>
        <v>25137.014766007193</v>
      </c>
      <c r="AB715" s="577">
        <f t="shared" si="1347"/>
        <v>25505.411948991965</v>
      </c>
      <c r="AC715" s="577">
        <f t="shared" si="1347"/>
        <v>25874.011335553147</v>
      </c>
      <c r="AD715" s="577">
        <f t="shared" si="1347"/>
        <v>26242.938329005028</v>
      </c>
      <c r="AE715" s="577">
        <f t="shared" si="1347"/>
        <v>26612.323378769914</v>
      </c>
      <c r="AF715" s="577">
        <f t="shared" si="1347"/>
        <v>26982.04357303468</v>
      </c>
      <c r="AG715" s="577">
        <f t="shared" si="1347"/>
        <v>27352.24025912361</v>
      </c>
      <c r="AH715" s="752">
        <f t="shared" si="1347"/>
        <v>27723.061572755003</v>
      </c>
      <c r="AI715" s="18"/>
      <c r="AJ715" s="18"/>
      <c r="AK715" s="18"/>
      <c r="AL715" s="18"/>
      <c r="AM715" s="18"/>
      <c r="AN715" s="18"/>
    </row>
    <row r="716" spans="2:40" ht="21.95" customHeight="1" x14ac:dyDescent="0.2">
      <c r="B716" s="232"/>
      <c r="C716" s="715"/>
      <c r="D716" s="715"/>
      <c r="E716" s="1340"/>
      <c r="F716" s="116"/>
      <c r="G716" s="116"/>
      <c r="H716" s="124" t="s">
        <v>19</v>
      </c>
      <c r="I716" s="577">
        <f t="shared" ref="I716:AH716" si="1348">I659*$G$21</f>
        <v>59738.968652212476</v>
      </c>
      <c r="J716" s="577">
        <f t="shared" si="1348"/>
        <v>59828.753995292755</v>
      </c>
      <c r="K716" s="577">
        <f t="shared" si="1348"/>
        <v>59918.542275103457</v>
      </c>
      <c r="L716" s="577">
        <f t="shared" si="1348"/>
        <v>60008.333528797484</v>
      </c>
      <c r="M716" s="577">
        <f t="shared" si="1348"/>
        <v>60098.127796642293</v>
      </c>
      <c r="N716" s="577">
        <f t="shared" si="1348"/>
        <v>60187.925119389343</v>
      </c>
      <c r="O716" s="577">
        <f t="shared" si="1348"/>
        <v>60277.725538279054</v>
      </c>
      <c r="P716" s="577">
        <f t="shared" si="1348"/>
        <v>60367.529095046048</v>
      </c>
      <c r="Q716" s="577">
        <f t="shared" si="1348"/>
        <v>60457.33583192416</v>
      </c>
      <c r="R716" s="577">
        <f t="shared" si="1348"/>
        <v>60457.335834894089</v>
      </c>
      <c r="S716" s="577">
        <f t="shared" si="1348"/>
        <v>60457.335834894089</v>
      </c>
      <c r="T716" s="577">
        <f t="shared" si="1348"/>
        <v>60457.335834894089</v>
      </c>
      <c r="U716" s="577">
        <f t="shared" si="1348"/>
        <v>60457.335834894089</v>
      </c>
      <c r="V716" s="577">
        <f t="shared" si="1348"/>
        <v>60457.335834894089</v>
      </c>
      <c r="W716" s="577">
        <f t="shared" si="1348"/>
        <v>60855.216305522816</v>
      </c>
      <c r="X716" s="577">
        <f t="shared" si="1348"/>
        <v>61800.148734444709</v>
      </c>
      <c r="Y716" s="577">
        <f t="shared" si="1348"/>
        <v>62745.516028218422</v>
      </c>
      <c r="Z716" s="577">
        <f t="shared" si="1348"/>
        <v>63691.602413934743</v>
      </c>
      <c r="AA716" s="577">
        <f t="shared" si="1348"/>
        <v>64638.037969732773</v>
      </c>
      <c r="AB716" s="577">
        <f t="shared" si="1348"/>
        <v>65585.345011693615</v>
      </c>
      <c r="AC716" s="577">
        <f t="shared" si="1348"/>
        <v>66533.172005708082</v>
      </c>
      <c r="AD716" s="577">
        <f t="shared" si="1348"/>
        <v>67481.841417441494</v>
      </c>
      <c r="AE716" s="577">
        <f t="shared" si="1348"/>
        <v>68431.68868826548</v>
      </c>
      <c r="AF716" s="577">
        <f t="shared" si="1348"/>
        <v>69382.39775923203</v>
      </c>
      <c r="AG716" s="577">
        <f t="shared" si="1348"/>
        <v>70334.33209488928</v>
      </c>
      <c r="AH716" s="752">
        <f t="shared" si="1348"/>
        <v>71287.87261565571</v>
      </c>
      <c r="AI716" s="18"/>
      <c r="AJ716" s="18"/>
      <c r="AK716" s="18"/>
      <c r="AL716" s="18"/>
      <c r="AM716" s="18"/>
      <c r="AN716" s="18"/>
    </row>
    <row r="717" spans="2:40" ht="21.95" customHeight="1" x14ac:dyDescent="0.2">
      <c r="B717" s="232"/>
      <c r="C717" s="715"/>
      <c r="D717" s="715"/>
      <c r="E717" s="1340"/>
      <c r="F717" s="116"/>
      <c r="G717" s="116"/>
      <c r="H717" s="721" t="s">
        <v>25</v>
      </c>
      <c r="I717" s="577">
        <f t="shared" ref="I717:AH717" si="1349">SUM(I715:I716)</f>
        <v>82970.789794739554</v>
      </c>
      <c r="J717" s="577">
        <f t="shared" si="1349"/>
        <v>83095.491660128828</v>
      </c>
      <c r="K717" s="577">
        <f t="shared" si="1349"/>
        <v>83220.197604310364</v>
      </c>
      <c r="L717" s="577">
        <f t="shared" si="1349"/>
        <v>83344.9076788854</v>
      </c>
      <c r="M717" s="577">
        <f t="shared" si="1349"/>
        <v>83469.621939780962</v>
      </c>
      <c r="N717" s="577">
        <f t="shared" si="1349"/>
        <v>83594.340443596317</v>
      </c>
      <c r="O717" s="577">
        <f t="shared" si="1349"/>
        <v>83719.063247609796</v>
      </c>
      <c r="P717" s="577">
        <f t="shared" si="1349"/>
        <v>83843.790409786176</v>
      </c>
      <c r="Q717" s="577">
        <f t="shared" si="1349"/>
        <v>83968.521988783556</v>
      </c>
      <c r="R717" s="577">
        <f t="shared" si="1349"/>
        <v>83968.521992908456</v>
      </c>
      <c r="S717" s="577">
        <f t="shared" si="1349"/>
        <v>83968.521992908456</v>
      </c>
      <c r="T717" s="577">
        <f t="shared" si="1349"/>
        <v>83968.521992908456</v>
      </c>
      <c r="U717" s="577">
        <f t="shared" si="1349"/>
        <v>83968.521992908456</v>
      </c>
      <c r="V717" s="577">
        <f t="shared" si="1349"/>
        <v>83968.521992908456</v>
      </c>
      <c r="W717" s="577">
        <f t="shared" si="1349"/>
        <v>84521.133757670585</v>
      </c>
      <c r="X717" s="577">
        <f t="shared" si="1349"/>
        <v>85833.539908950988</v>
      </c>
      <c r="Y717" s="577">
        <f t="shared" si="1349"/>
        <v>87146.550039192254</v>
      </c>
      <c r="Z717" s="577">
        <f t="shared" si="1349"/>
        <v>88460.558908242703</v>
      </c>
      <c r="AA717" s="577">
        <f t="shared" si="1349"/>
        <v>89775.05273573997</v>
      </c>
      <c r="AB717" s="577">
        <f t="shared" si="1349"/>
        <v>91090.756960685583</v>
      </c>
      <c r="AC717" s="577">
        <f t="shared" si="1349"/>
        <v>92407.183341261232</v>
      </c>
      <c r="AD717" s="577">
        <f t="shared" si="1349"/>
        <v>93724.779746446526</v>
      </c>
      <c r="AE717" s="577">
        <f t="shared" si="1349"/>
        <v>95044.012067035394</v>
      </c>
      <c r="AF717" s="577">
        <f t="shared" si="1349"/>
        <v>96364.44133226671</v>
      </c>
      <c r="AG717" s="577">
        <f t="shared" si="1349"/>
        <v>97686.572354012897</v>
      </c>
      <c r="AH717" s="752">
        <f t="shared" si="1349"/>
        <v>99010.934188410713</v>
      </c>
      <c r="AI717" s="18"/>
      <c r="AJ717" s="18"/>
      <c r="AK717" s="18"/>
      <c r="AL717" s="18"/>
      <c r="AM717" s="18"/>
      <c r="AN717" s="18"/>
    </row>
    <row r="718" spans="2:40" ht="21.95" customHeight="1" x14ac:dyDescent="0.2">
      <c r="B718" s="232"/>
      <c r="C718" s="715"/>
      <c r="D718" s="715"/>
      <c r="E718" s="1340"/>
      <c r="F718" s="116" t="s">
        <v>342</v>
      </c>
      <c r="G718" s="116" t="s">
        <v>341</v>
      </c>
      <c r="H718" s="116" t="s">
        <v>20</v>
      </c>
      <c r="I718" s="577">
        <f t="shared" ref="I718:AH718" si="1350">I660*$G$20</f>
        <v>33682.803046146102</v>
      </c>
      <c r="J718" s="577">
        <f t="shared" si="1350"/>
        <v>33733.457461446349</v>
      </c>
      <c r="K718" s="577">
        <f t="shared" si="1350"/>
        <v>33784.114038505868</v>
      </c>
      <c r="L718" s="577">
        <f t="shared" si="1350"/>
        <v>33834.772804673266</v>
      </c>
      <c r="M718" s="577">
        <f t="shared" si="1350"/>
        <v>33885.433789589908</v>
      </c>
      <c r="N718" s="577">
        <f t="shared" si="1350"/>
        <v>33936.097023253358</v>
      </c>
      <c r="O718" s="577">
        <f t="shared" si="1350"/>
        <v>33986.762536021168</v>
      </c>
      <c r="P718" s="577">
        <f t="shared" si="1350"/>
        <v>34037.430358614598</v>
      </c>
      <c r="Q718" s="577">
        <f t="shared" si="1350"/>
        <v>34088.100522122484</v>
      </c>
      <c r="R718" s="577">
        <f t="shared" si="1350"/>
        <v>34088.100524308684</v>
      </c>
      <c r="S718" s="577">
        <f t="shared" si="1350"/>
        <v>34088.100524308684</v>
      </c>
      <c r="T718" s="577">
        <f t="shared" si="1350"/>
        <v>34088.100524308684</v>
      </c>
      <c r="U718" s="577">
        <f t="shared" si="1350"/>
        <v>34088.100524308684</v>
      </c>
      <c r="V718" s="577">
        <f t="shared" si="1350"/>
        <v>34088.100524308684</v>
      </c>
      <c r="W718" s="577">
        <f t="shared" si="1350"/>
        <v>34312.5967774413</v>
      </c>
      <c r="X718" s="577">
        <f t="shared" si="1350"/>
        <v>34845.803851178673</v>
      </c>
      <c r="Y718" s="577">
        <f t="shared" si="1350"/>
        <v>35379.331033670744</v>
      </c>
      <c r="Z718" s="577">
        <f t="shared" si="1350"/>
        <v>35913.34965539768</v>
      </c>
      <c r="AA718" s="577">
        <f t="shared" si="1350"/>
        <v>36447.663197203059</v>
      </c>
      <c r="AB718" s="577">
        <f t="shared" si="1350"/>
        <v>36982.580357288956</v>
      </c>
      <c r="AC718" s="577">
        <f t="shared" si="1350"/>
        <v>37517.918151923244</v>
      </c>
      <c r="AD718" s="577">
        <f t="shared" si="1350"/>
        <v>38053.876059417424</v>
      </c>
      <c r="AE718" s="577">
        <f t="shared" si="1350"/>
        <v>38590.66310964174</v>
      </c>
      <c r="AF718" s="577">
        <f t="shared" si="1350"/>
        <v>39128.122432516677</v>
      </c>
      <c r="AG718" s="577">
        <f t="shared" si="1350"/>
        <v>39666.483686078012</v>
      </c>
      <c r="AH718" s="752">
        <f t="shared" si="1350"/>
        <v>40205.989377817794</v>
      </c>
      <c r="AI718" s="18"/>
      <c r="AJ718" s="18"/>
      <c r="AK718" s="18"/>
      <c r="AL718" s="18"/>
      <c r="AM718" s="18"/>
      <c r="AN718" s="18"/>
    </row>
    <row r="719" spans="2:40" ht="21.95" customHeight="1" x14ac:dyDescent="0.2">
      <c r="B719" s="232"/>
      <c r="C719" s="715"/>
      <c r="D719" s="715"/>
      <c r="E719" s="1340"/>
      <c r="F719" s="116"/>
      <c r="G719" s="116"/>
      <c r="H719" s="124" t="s">
        <v>19</v>
      </c>
      <c r="I719" s="577">
        <f t="shared" ref="I719:AH719" si="1351">I660*$G$21</f>
        <v>86612.922118661401</v>
      </c>
      <c r="J719" s="577">
        <f t="shared" si="1351"/>
        <v>86743.176329433467</v>
      </c>
      <c r="K719" s="577">
        <f t="shared" si="1351"/>
        <v>86873.436099015074</v>
      </c>
      <c r="L719" s="577">
        <f t="shared" si="1351"/>
        <v>87003.701497731236</v>
      </c>
      <c r="M719" s="577">
        <f t="shared" si="1351"/>
        <v>87133.972601802612</v>
      </c>
      <c r="N719" s="577">
        <f t="shared" si="1351"/>
        <v>87264.249488365778</v>
      </c>
      <c r="O719" s="577">
        <f t="shared" si="1351"/>
        <v>87394.532235482984</v>
      </c>
      <c r="P719" s="577">
        <f t="shared" si="1351"/>
        <v>87524.820922151819</v>
      </c>
      <c r="Q719" s="577">
        <f t="shared" si="1351"/>
        <v>87655.115628314947</v>
      </c>
      <c r="R719" s="577">
        <f t="shared" si="1351"/>
        <v>87655.115633936613</v>
      </c>
      <c r="S719" s="577">
        <f t="shared" si="1351"/>
        <v>87655.115633936613</v>
      </c>
      <c r="T719" s="577">
        <f t="shared" si="1351"/>
        <v>87655.115633936613</v>
      </c>
      <c r="U719" s="577">
        <f t="shared" si="1351"/>
        <v>87655.115633936613</v>
      </c>
      <c r="V719" s="577">
        <f t="shared" si="1351"/>
        <v>87655.115633936613</v>
      </c>
      <c r="W719" s="577">
        <f t="shared" si="1351"/>
        <v>88232.391713420482</v>
      </c>
      <c r="X719" s="577">
        <f t="shared" si="1351"/>
        <v>89603.49561731657</v>
      </c>
      <c r="Y719" s="577">
        <f t="shared" si="1351"/>
        <v>90975.422658010473</v>
      </c>
      <c r="Z719" s="577">
        <f t="shared" si="1351"/>
        <v>92348.613399594018</v>
      </c>
      <c r="AA719" s="577">
        <f t="shared" si="1351"/>
        <v>93722.562507093564</v>
      </c>
      <c r="AB719" s="577">
        <f t="shared" si="1351"/>
        <v>95098.063775885865</v>
      </c>
      <c r="AC719" s="577">
        <f t="shared" si="1351"/>
        <v>96474.646676374046</v>
      </c>
      <c r="AD719" s="577">
        <f t="shared" si="1351"/>
        <v>97852.824152787638</v>
      </c>
      <c r="AE719" s="577">
        <f t="shared" si="1351"/>
        <v>99233.133710507318</v>
      </c>
      <c r="AF719" s="577">
        <f t="shared" si="1351"/>
        <v>100615.17196932858</v>
      </c>
      <c r="AG719" s="577">
        <f t="shared" si="1351"/>
        <v>101999.52947848631</v>
      </c>
      <c r="AH719" s="752">
        <f t="shared" si="1351"/>
        <v>103386.82982867431</v>
      </c>
      <c r="AI719" s="18"/>
      <c r="AJ719" s="18"/>
      <c r="AK719" s="18"/>
      <c r="AL719" s="18"/>
      <c r="AM719" s="18"/>
      <c r="AN719" s="18"/>
    </row>
    <row r="720" spans="2:40" ht="21.95" customHeight="1" x14ac:dyDescent="0.2">
      <c r="B720" s="232"/>
      <c r="C720" s="715"/>
      <c r="D720" s="715"/>
      <c r="E720" s="1340"/>
      <c r="F720" s="116"/>
      <c r="G720" s="116"/>
      <c r="H720" s="721" t="s">
        <v>25</v>
      </c>
      <c r="I720" s="577">
        <f t="shared" ref="I720:AH720" si="1352">SUM(I718:I719)</f>
        <v>120295.7251648075</v>
      </c>
      <c r="J720" s="577">
        <f t="shared" si="1352"/>
        <v>120476.63379087982</v>
      </c>
      <c r="K720" s="577">
        <f t="shared" si="1352"/>
        <v>120657.55013752094</v>
      </c>
      <c r="L720" s="577">
        <f t="shared" si="1352"/>
        <v>120838.4743024045</v>
      </c>
      <c r="M720" s="577">
        <f t="shared" si="1352"/>
        <v>121019.40639139252</v>
      </c>
      <c r="N720" s="577">
        <f t="shared" si="1352"/>
        <v>121200.34651161914</v>
      </c>
      <c r="O720" s="577">
        <f t="shared" si="1352"/>
        <v>121381.29477150415</v>
      </c>
      <c r="P720" s="577">
        <f t="shared" si="1352"/>
        <v>121562.25128076642</v>
      </c>
      <c r="Q720" s="577">
        <f t="shared" si="1352"/>
        <v>121743.21615043742</v>
      </c>
      <c r="R720" s="577">
        <f t="shared" si="1352"/>
        <v>121743.2161582453</v>
      </c>
      <c r="S720" s="577">
        <f t="shared" si="1352"/>
        <v>121743.2161582453</v>
      </c>
      <c r="T720" s="577">
        <f t="shared" si="1352"/>
        <v>121743.2161582453</v>
      </c>
      <c r="U720" s="577">
        <f t="shared" si="1352"/>
        <v>121743.2161582453</v>
      </c>
      <c r="V720" s="577">
        <f t="shared" si="1352"/>
        <v>121743.2161582453</v>
      </c>
      <c r="W720" s="577">
        <f t="shared" si="1352"/>
        <v>122544.98849086178</v>
      </c>
      <c r="X720" s="577">
        <f t="shared" si="1352"/>
        <v>124449.29946849524</v>
      </c>
      <c r="Y720" s="577">
        <f t="shared" si="1352"/>
        <v>126354.75369168122</v>
      </c>
      <c r="Z720" s="577">
        <f t="shared" si="1352"/>
        <v>128261.96305499171</v>
      </c>
      <c r="AA720" s="577">
        <f t="shared" si="1352"/>
        <v>130170.22570429662</v>
      </c>
      <c r="AB720" s="577">
        <f t="shared" si="1352"/>
        <v>132080.64413317482</v>
      </c>
      <c r="AC720" s="577">
        <f t="shared" si="1352"/>
        <v>133992.5648282973</v>
      </c>
      <c r="AD720" s="577">
        <f t="shared" si="1352"/>
        <v>135906.70021220506</v>
      </c>
      <c r="AE720" s="577">
        <f t="shared" si="1352"/>
        <v>137823.79682014906</v>
      </c>
      <c r="AF720" s="577">
        <f t="shared" si="1352"/>
        <v>139743.29440184525</v>
      </c>
      <c r="AG720" s="577">
        <f t="shared" si="1352"/>
        <v>141666.01316456433</v>
      </c>
      <c r="AH720" s="752">
        <f t="shared" si="1352"/>
        <v>143592.8192064921</v>
      </c>
      <c r="AI720" s="18"/>
      <c r="AJ720" s="18"/>
      <c r="AK720" s="18"/>
      <c r="AL720" s="18"/>
      <c r="AM720" s="18"/>
      <c r="AN720" s="18"/>
    </row>
    <row r="721" spans="2:40" ht="21.95" customHeight="1" x14ac:dyDescent="0.2">
      <c r="B721" s="232"/>
      <c r="C721" s="715"/>
      <c r="D721" s="715"/>
      <c r="E721" s="1340"/>
      <c r="F721" s="116" t="s">
        <v>341</v>
      </c>
      <c r="G721" s="116" t="s">
        <v>344</v>
      </c>
      <c r="H721" s="116" t="s">
        <v>20</v>
      </c>
      <c r="I721" s="577">
        <f t="shared" ref="I721:AH721" si="1353">I661*$G$20</f>
        <v>34819.292475327915</v>
      </c>
      <c r="J721" s="577">
        <f t="shared" si="1353"/>
        <v>34872.068941218902</v>
      </c>
      <c r="K721" s="577">
        <f t="shared" si="1353"/>
        <v>34924.854497159104</v>
      </c>
      <c r="L721" s="577">
        <f t="shared" si="1353"/>
        <v>34977.649258147598</v>
      </c>
      <c r="M721" s="577">
        <f t="shared" si="1353"/>
        <v>35030.453348824172</v>
      </c>
      <c r="N721" s="577">
        <f t="shared" si="1353"/>
        <v>35083.266895326604</v>
      </c>
      <c r="O721" s="577">
        <f t="shared" si="1353"/>
        <v>35136.090025306243</v>
      </c>
      <c r="P721" s="577">
        <f t="shared" si="1353"/>
        <v>35188.922867943977</v>
      </c>
      <c r="Q721" s="577">
        <f t="shared" si="1353"/>
        <v>35241.765553966172</v>
      </c>
      <c r="R721" s="577">
        <f t="shared" si="1353"/>
        <v>35241.765563158981</v>
      </c>
      <c r="S721" s="577">
        <f t="shared" si="1353"/>
        <v>35241.765563158981</v>
      </c>
      <c r="T721" s="577">
        <f t="shared" si="1353"/>
        <v>35241.765563158981</v>
      </c>
      <c r="U721" s="577">
        <f t="shared" si="1353"/>
        <v>35241.765563158981</v>
      </c>
      <c r="V721" s="577">
        <f t="shared" si="1353"/>
        <v>35241.765563158981</v>
      </c>
      <c r="W721" s="577">
        <f t="shared" si="1353"/>
        <v>35241.765563158981</v>
      </c>
      <c r="X721" s="577">
        <f t="shared" si="1353"/>
        <v>35241.765563158981</v>
      </c>
      <c r="Y721" s="577">
        <f t="shared" si="1353"/>
        <v>35241.765563158981</v>
      </c>
      <c r="Z721" s="577">
        <f t="shared" si="1353"/>
        <v>35241.765563158981</v>
      </c>
      <c r="AA721" s="577">
        <f t="shared" si="1353"/>
        <v>35706.199260308291</v>
      </c>
      <c r="AB721" s="577">
        <f t="shared" si="1353"/>
        <v>36234.593096839206</v>
      </c>
      <c r="AC721" s="577">
        <f t="shared" si="1353"/>
        <v>36764.13378724995</v>
      </c>
      <c r="AD721" s="577">
        <f t="shared" si="1353"/>
        <v>37295.118488831373</v>
      </c>
      <c r="AE721" s="577">
        <f t="shared" si="1353"/>
        <v>37827.866611926009</v>
      </c>
      <c r="AF721" s="577">
        <f t="shared" si="1353"/>
        <v>38362.347548986378</v>
      </c>
      <c r="AG721" s="577">
        <f t="shared" si="1353"/>
        <v>38898.928745645542</v>
      </c>
      <c r="AH721" s="752">
        <f t="shared" si="1353"/>
        <v>39438.007569119691</v>
      </c>
      <c r="AI721" s="18"/>
      <c r="AJ721" s="18"/>
      <c r="AK721" s="18"/>
      <c r="AL721" s="18"/>
      <c r="AM721" s="18"/>
      <c r="AN721" s="18"/>
    </row>
    <row r="722" spans="2:40" ht="21.95" customHeight="1" x14ac:dyDescent="0.2">
      <c r="B722" s="232"/>
      <c r="C722" s="715"/>
      <c r="D722" s="715"/>
      <c r="E722" s="1340"/>
      <c r="F722" s="116"/>
      <c r="G722" s="116"/>
      <c r="H722" s="124" t="s">
        <v>19</v>
      </c>
      <c r="I722" s="577">
        <f t="shared" ref="I722:AH722" si="1354">I661*$G$21</f>
        <v>89535.323507986061</v>
      </c>
      <c r="J722" s="577">
        <f t="shared" si="1354"/>
        <v>89671.034420277167</v>
      </c>
      <c r="K722" s="577">
        <f t="shared" si="1354"/>
        <v>89806.76870698054</v>
      </c>
      <c r="L722" s="577">
        <f t="shared" si="1354"/>
        <v>89942.526663808094</v>
      </c>
      <c r="M722" s="577">
        <f t="shared" si="1354"/>
        <v>90078.308611262153</v>
      </c>
      <c r="N722" s="577">
        <f t="shared" si="1354"/>
        <v>90214.114873696963</v>
      </c>
      <c r="O722" s="577">
        <f t="shared" si="1354"/>
        <v>90349.945779358895</v>
      </c>
      <c r="P722" s="577">
        <f t="shared" si="1354"/>
        <v>90485.801660427358</v>
      </c>
      <c r="Q722" s="577">
        <f t="shared" si="1354"/>
        <v>90621.682853055856</v>
      </c>
      <c r="R722" s="577">
        <f t="shared" si="1354"/>
        <v>90621.682876694511</v>
      </c>
      <c r="S722" s="577">
        <f t="shared" si="1354"/>
        <v>90621.682876694511</v>
      </c>
      <c r="T722" s="577">
        <f t="shared" si="1354"/>
        <v>90621.682876694511</v>
      </c>
      <c r="U722" s="577">
        <f t="shared" si="1354"/>
        <v>90621.682876694511</v>
      </c>
      <c r="V722" s="577">
        <f t="shared" si="1354"/>
        <v>90621.682876694511</v>
      </c>
      <c r="W722" s="577">
        <f t="shared" si="1354"/>
        <v>90621.682876694511</v>
      </c>
      <c r="X722" s="577">
        <f t="shared" si="1354"/>
        <v>90621.682876694511</v>
      </c>
      <c r="Y722" s="577">
        <f t="shared" si="1354"/>
        <v>90621.682876694511</v>
      </c>
      <c r="Z722" s="577">
        <f t="shared" si="1354"/>
        <v>90621.682876694511</v>
      </c>
      <c r="AA722" s="577">
        <f t="shared" si="1354"/>
        <v>91815.940955078462</v>
      </c>
      <c r="AB722" s="577">
        <f t="shared" si="1354"/>
        <v>93174.667963300803</v>
      </c>
      <c r="AC722" s="577">
        <f t="shared" si="1354"/>
        <v>94536.344024357008</v>
      </c>
      <c r="AD722" s="577">
        <f t="shared" si="1354"/>
        <v>95901.733256994936</v>
      </c>
      <c r="AE722" s="577">
        <f t="shared" si="1354"/>
        <v>97271.657002095439</v>
      </c>
      <c r="AF722" s="577">
        <f t="shared" si="1354"/>
        <v>98646.036554536375</v>
      </c>
      <c r="AG722" s="577">
        <f t="shared" si="1354"/>
        <v>100025.81677451709</v>
      </c>
      <c r="AH722" s="752">
        <f t="shared" si="1354"/>
        <v>101412.01946345062</v>
      </c>
      <c r="AI722" s="18"/>
      <c r="AJ722" s="18"/>
      <c r="AK722" s="18"/>
      <c r="AL722" s="18"/>
      <c r="AM722" s="18"/>
      <c r="AN722" s="18"/>
    </row>
    <row r="723" spans="2:40" ht="21.95" customHeight="1" x14ac:dyDescent="0.2">
      <c r="B723" s="232"/>
      <c r="C723" s="715"/>
      <c r="D723" s="715"/>
      <c r="E723" s="1340"/>
      <c r="F723" s="116"/>
      <c r="G723" s="116"/>
      <c r="H723" s="721" t="s">
        <v>25</v>
      </c>
      <c r="I723" s="577">
        <f t="shared" ref="I723:AH723" si="1355">SUM(I721:I722)</f>
        <v>124354.61598331397</v>
      </c>
      <c r="J723" s="577">
        <f t="shared" si="1355"/>
        <v>124543.10336149606</v>
      </c>
      <c r="K723" s="577">
        <f t="shared" si="1355"/>
        <v>124731.62320413964</v>
      </c>
      <c r="L723" s="577">
        <f t="shared" si="1355"/>
        <v>124920.1759219557</v>
      </c>
      <c r="M723" s="577">
        <f t="shared" si="1355"/>
        <v>125108.76196008633</v>
      </c>
      <c r="N723" s="577">
        <f t="shared" si="1355"/>
        <v>125297.38176902357</v>
      </c>
      <c r="O723" s="577">
        <f t="shared" si="1355"/>
        <v>125486.03580466514</v>
      </c>
      <c r="P723" s="577">
        <f t="shared" si="1355"/>
        <v>125674.72452837133</v>
      </c>
      <c r="Q723" s="577">
        <f t="shared" si="1355"/>
        <v>125863.44840702202</v>
      </c>
      <c r="R723" s="577">
        <f t="shared" si="1355"/>
        <v>125863.4484398535</v>
      </c>
      <c r="S723" s="577">
        <f t="shared" si="1355"/>
        <v>125863.4484398535</v>
      </c>
      <c r="T723" s="577">
        <f t="shared" si="1355"/>
        <v>125863.4484398535</v>
      </c>
      <c r="U723" s="577">
        <f t="shared" si="1355"/>
        <v>125863.4484398535</v>
      </c>
      <c r="V723" s="577">
        <f t="shared" si="1355"/>
        <v>125863.4484398535</v>
      </c>
      <c r="W723" s="577">
        <f t="shared" si="1355"/>
        <v>125863.4484398535</v>
      </c>
      <c r="X723" s="577">
        <f t="shared" si="1355"/>
        <v>125863.4484398535</v>
      </c>
      <c r="Y723" s="577">
        <f t="shared" si="1355"/>
        <v>125863.4484398535</v>
      </c>
      <c r="Z723" s="577">
        <f t="shared" si="1355"/>
        <v>125863.4484398535</v>
      </c>
      <c r="AA723" s="577">
        <f t="shared" si="1355"/>
        <v>127522.14021538675</v>
      </c>
      <c r="AB723" s="577">
        <f t="shared" si="1355"/>
        <v>129409.26106014001</v>
      </c>
      <c r="AC723" s="577">
        <f t="shared" si="1355"/>
        <v>131300.47781160695</v>
      </c>
      <c r="AD723" s="577">
        <f t="shared" si="1355"/>
        <v>133196.85174582631</v>
      </c>
      <c r="AE723" s="577">
        <f t="shared" si="1355"/>
        <v>135099.52361402145</v>
      </c>
      <c r="AF723" s="577">
        <f t="shared" si="1355"/>
        <v>137008.38410352275</v>
      </c>
      <c r="AG723" s="577">
        <f t="shared" si="1355"/>
        <v>138924.74552016263</v>
      </c>
      <c r="AH723" s="752">
        <f t="shared" si="1355"/>
        <v>140850.0270325703</v>
      </c>
      <c r="AI723" s="18"/>
      <c r="AJ723" s="18"/>
      <c r="AK723" s="18"/>
      <c r="AL723" s="18"/>
      <c r="AM723" s="18"/>
      <c r="AN723" s="18"/>
    </row>
    <row r="724" spans="2:40" ht="21.95" customHeight="1" x14ac:dyDescent="0.2">
      <c r="B724" s="232"/>
      <c r="C724" s="715"/>
      <c r="D724" s="715"/>
      <c r="E724" s="1340"/>
      <c r="F724" s="116" t="s">
        <v>344</v>
      </c>
      <c r="G724" s="116" t="s">
        <v>345</v>
      </c>
      <c r="H724" s="116" t="s">
        <v>20</v>
      </c>
      <c r="I724" s="577">
        <f t="shared" ref="I724:AH724" si="1356">I662*$G$20</f>
        <v>11741.239252066247</v>
      </c>
      <c r="J724" s="577">
        <f t="shared" si="1356"/>
        <v>11758.919020111271</v>
      </c>
      <c r="K724" s="577">
        <f t="shared" si="1356"/>
        <v>11776.599915584655</v>
      </c>
      <c r="L724" s="577">
        <f t="shared" si="1356"/>
        <v>11794.281952749607</v>
      </c>
      <c r="M724" s="577">
        <f t="shared" si="1356"/>
        <v>11811.965147065053</v>
      </c>
      <c r="N724" s="577">
        <f t="shared" si="1356"/>
        <v>11829.649514175715</v>
      </c>
      <c r="O724" s="577">
        <f t="shared" si="1356"/>
        <v>11847.335069914046</v>
      </c>
      <c r="P724" s="577">
        <f t="shared" si="1356"/>
        <v>11865.021830302208</v>
      </c>
      <c r="Q724" s="577">
        <f t="shared" si="1356"/>
        <v>11882.709811554032</v>
      </c>
      <c r="R724" s="577">
        <f t="shared" si="1356"/>
        <v>11882.709812694209</v>
      </c>
      <c r="S724" s="577">
        <f t="shared" si="1356"/>
        <v>11882.709812694209</v>
      </c>
      <c r="T724" s="577">
        <f t="shared" si="1356"/>
        <v>11882.709812694209</v>
      </c>
      <c r="U724" s="577">
        <f t="shared" si="1356"/>
        <v>11882.709812694209</v>
      </c>
      <c r="V724" s="577">
        <f t="shared" si="1356"/>
        <v>11882.709812694209</v>
      </c>
      <c r="W724" s="577">
        <f t="shared" si="1356"/>
        <v>11882.709812694209</v>
      </c>
      <c r="X724" s="577">
        <f t="shared" si="1356"/>
        <v>11882.709812694209</v>
      </c>
      <c r="Y724" s="577">
        <f t="shared" si="1356"/>
        <v>11882.709812694209</v>
      </c>
      <c r="Z724" s="577">
        <f t="shared" si="1356"/>
        <v>11882.709812694209</v>
      </c>
      <c r="AA724" s="577">
        <f t="shared" si="1356"/>
        <v>12038.075814388456</v>
      </c>
      <c r="AB724" s="577">
        <f t="shared" si="1356"/>
        <v>12214.616347324169</v>
      </c>
      <c r="AC724" s="577">
        <f t="shared" si="1356"/>
        <v>12391.273223916898</v>
      </c>
      <c r="AD724" s="577">
        <f t="shared" si="1356"/>
        <v>12568.109199556344</v>
      </c>
      <c r="AE724" s="577">
        <f t="shared" si="1356"/>
        <v>12745.189789652633</v>
      </c>
      <c r="AF724" s="577">
        <f t="shared" si="1356"/>
        <v>12922.459399362278</v>
      </c>
      <c r="AG724" s="577">
        <f t="shared" si="1356"/>
        <v>13099.989501857324</v>
      </c>
      <c r="AH724" s="752">
        <f t="shared" si="1356"/>
        <v>13277.855281449385</v>
      </c>
      <c r="AI724" s="18"/>
      <c r="AJ724" s="18"/>
      <c r="AK724" s="18"/>
      <c r="AL724" s="18"/>
      <c r="AM724" s="18"/>
      <c r="AN724" s="18"/>
    </row>
    <row r="725" spans="2:40" ht="21.95" customHeight="1" x14ac:dyDescent="0.2">
      <c r="B725" s="232"/>
      <c r="C725" s="715"/>
      <c r="D725" s="715"/>
      <c r="E725" s="1340"/>
      <c r="F725" s="116"/>
      <c r="G725" s="116"/>
      <c r="H725" s="124" t="s">
        <v>19</v>
      </c>
      <c r="I725" s="577">
        <f t="shared" ref="I725:AH725" si="1357">I662*$G$21</f>
        <v>30191.758076741775</v>
      </c>
      <c r="J725" s="577">
        <f t="shared" si="1357"/>
        <v>30237.220337428978</v>
      </c>
      <c r="K725" s="577">
        <f t="shared" si="1357"/>
        <v>30282.685497217677</v>
      </c>
      <c r="L725" s="577">
        <f t="shared" si="1357"/>
        <v>30328.153592784696</v>
      </c>
      <c r="M725" s="577">
        <f t="shared" si="1357"/>
        <v>30373.624663881561</v>
      </c>
      <c r="N725" s="577">
        <f t="shared" si="1357"/>
        <v>30419.09875073755</v>
      </c>
      <c r="O725" s="577">
        <f t="shared" si="1357"/>
        <v>30464.575894064688</v>
      </c>
      <c r="P725" s="577">
        <f t="shared" si="1357"/>
        <v>30510.056135062816</v>
      </c>
      <c r="Q725" s="577">
        <f t="shared" si="1357"/>
        <v>30555.539515424647</v>
      </c>
      <c r="R725" s="577">
        <f t="shared" si="1357"/>
        <v>30555.539518356534</v>
      </c>
      <c r="S725" s="577">
        <f t="shared" si="1357"/>
        <v>30555.539518356534</v>
      </c>
      <c r="T725" s="577">
        <f t="shared" si="1357"/>
        <v>30555.539518356534</v>
      </c>
      <c r="U725" s="577">
        <f t="shared" si="1357"/>
        <v>30555.539518356534</v>
      </c>
      <c r="V725" s="577">
        <f t="shared" si="1357"/>
        <v>30555.539518356534</v>
      </c>
      <c r="W725" s="577">
        <f t="shared" si="1357"/>
        <v>30555.539518356534</v>
      </c>
      <c r="X725" s="577">
        <f t="shared" si="1357"/>
        <v>30555.539518356534</v>
      </c>
      <c r="Y725" s="577">
        <f t="shared" si="1357"/>
        <v>30555.539518356534</v>
      </c>
      <c r="Z725" s="577">
        <f t="shared" si="1357"/>
        <v>30555.539518356534</v>
      </c>
      <c r="AA725" s="577">
        <f t="shared" si="1357"/>
        <v>30955.052094141738</v>
      </c>
      <c r="AB725" s="577">
        <f t="shared" si="1357"/>
        <v>31409.013464547861</v>
      </c>
      <c r="AC725" s="577">
        <f t="shared" si="1357"/>
        <v>31863.274004357736</v>
      </c>
      <c r="AD725" s="577">
        <f t="shared" si="1357"/>
        <v>32317.995084573453</v>
      </c>
      <c r="AE725" s="577">
        <f t="shared" si="1357"/>
        <v>32773.345173392481</v>
      </c>
      <c r="AF725" s="577">
        <f t="shared" si="1357"/>
        <v>33229.181312645858</v>
      </c>
      <c r="AG725" s="577">
        <f t="shared" si="1357"/>
        <v>33685.687290490263</v>
      </c>
      <c r="AH725" s="752">
        <f t="shared" si="1357"/>
        <v>34143.056438012703</v>
      </c>
      <c r="AI725" s="18"/>
      <c r="AJ725" s="18"/>
      <c r="AK725" s="18"/>
      <c r="AL725" s="18"/>
      <c r="AM725" s="18"/>
      <c r="AN725" s="18"/>
    </row>
    <row r="726" spans="2:40" ht="21.95" customHeight="1" x14ac:dyDescent="0.2">
      <c r="B726" s="232"/>
      <c r="C726" s="715"/>
      <c r="D726" s="715"/>
      <c r="E726" s="1340"/>
      <c r="F726" s="116"/>
      <c r="G726" s="116"/>
      <c r="H726" s="721" t="s">
        <v>25</v>
      </c>
      <c r="I726" s="577">
        <f t="shared" ref="I726:AH726" si="1358">SUM(I724:I725)</f>
        <v>41932.997328808022</v>
      </c>
      <c r="J726" s="577">
        <f t="shared" si="1358"/>
        <v>41996.139357540247</v>
      </c>
      <c r="K726" s="577">
        <f t="shared" si="1358"/>
        <v>42059.285412802332</v>
      </c>
      <c r="L726" s="577">
        <f t="shared" si="1358"/>
        <v>42122.435545534303</v>
      </c>
      <c r="M726" s="577">
        <f t="shared" si="1358"/>
        <v>42185.589810946614</v>
      </c>
      <c r="N726" s="577">
        <f t="shared" si="1358"/>
        <v>42248.748264913265</v>
      </c>
      <c r="O726" s="577">
        <f t="shared" si="1358"/>
        <v>42311.910963978735</v>
      </c>
      <c r="P726" s="577">
        <f t="shared" si="1358"/>
        <v>42375.077965365024</v>
      </c>
      <c r="Q726" s="577">
        <f t="shared" si="1358"/>
        <v>42438.249326978679</v>
      </c>
      <c r="R726" s="577">
        <f t="shared" si="1358"/>
        <v>42438.249331050742</v>
      </c>
      <c r="S726" s="577">
        <f t="shared" si="1358"/>
        <v>42438.249331050742</v>
      </c>
      <c r="T726" s="577">
        <f t="shared" si="1358"/>
        <v>42438.249331050742</v>
      </c>
      <c r="U726" s="577">
        <f t="shared" si="1358"/>
        <v>42438.249331050742</v>
      </c>
      <c r="V726" s="577">
        <f t="shared" si="1358"/>
        <v>42438.249331050742</v>
      </c>
      <c r="W726" s="577">
        <f t="shared" si="1358"/>
        <v>42438.249331050742</v>
      </c>
      <c r="X726" s="577">
        <f t="shared" si="1358"/>
        <v>42438.249331050742</v>
      </c>
      <c r="Y726" s="577">
        <f t="shared" si="1358"/>
        <v>42438.249331050742</v>
      </c>
      <c r="Z726" s="577">
        <f t="shared" si="1358"/>
        <v>42438.249331050742</v>
      </c>
      <c r="AA726" s="577">
        <f t="shared" si="1358"/>
        <v>42993.127908530194</v>
      </c>
      <c r="AB726" s="577">
        <f t="shared" si="1358"/>
        <v>43623.62981187203</v>
      </c>
      <c r="AC726" s="577">
        <f t="shared" si="1358"/>
        <v>44254.547228274634</v>
      </c>
      <c r="AD726" s="577">
        <f t="shared" si="1358"/>
        <v>44886.104284129797</v>
      </c>
      <c r="AE726" s="577">
        <f t="shared" si="1358"/>
        <v>45518.534963045116</v>
      </c>
      <c r="AF726" s="577">
        <f t="shared" si="1358"/>
        <v>46151.640712008135</v>
      </c>
      <c r="AG726" s="577">
        <f t="shared" si="1358"/>
        <v>46785.676792347585</v>
      </c>
      <c r="AH726" s="752">
        <f t="shared" si="1358"/>
        <v>47420.911719462092</v>
      </c>
      <c r="AI726" s="18"/>
      <c r="AJ726" s="18"/>
      <c r="AK726" s="18"/>
      <c r="AL726" s="18"/>
      <c r="AM726" s="18"/>
      <c r="AN726" s="18"/>
    </row>
    <row r="727" spans="2:40" ht="21.95" customHeight="1" x14ac:dyDescent="0.2">
      <c r="B727" s="232"/>
      <c r="C727" s="715"/>
      <c r="D727" s="715"/>
      <c r="E727" s="1340"/>
      <c r="F727" s="116" t="s">
        <v>345</v>
      </c>
      <c r="G727" s="116" t="s">
        <v>323</v>
      </c>
      <c r="H727" s="116" t="s">
        <v>20</v>
      </c>
      <c r="I727" s="577">
        <f t="shared" ref="I727:AH727" si="1359">I663*$G$20</f>
        <v>115992.32479907914</v>
      </c>
      <c r="J727" s="577">
        <f t="shared" si="1359"/>
        <v>118664.73731916575</v>
      </c>
      <c r="K727" s="577">
        <f t="shared" si="1359"/>
        <v>122578.64712778485</v>
      </c>
      <c r="L727" s="577">
        <f t="shared" si="1359"/>
        <v>127282.8301174072</v>
      </c>
      <c r="M727" s="577">
        <f t="shared" si="1359"/>
        <v>132003.74973208466</v>
      </c>
      <c r="N727" s="577">
        <f t="shared" si="1359"/>
        <v>136746.50405352813</v>
      </c>
      <c r="O727" s="577">
        <f t="shared" si="1359"/>
        <v>141516.84221628521</v>
      </c>
      <c r="P727" s="577">
        <f t="shared" si="1359"/>
        <v>146329.33937332922</v>
      </c>
      <c r="Q727" s="577">
        <f t="shared" si="1359"/>
        <v>150511.39960240756</v>
      </c>
      <c r="R727" s="577">
        <f t="shared" si="1359"/>
        <v>154743.33712538215</v>
      </c>
      <c r="S727" s="577">
        <f t="shared" si="1359"/>
        <v>159039.04506759872</v>
      </c>
      <c r="T727" s="577">
        <f t="shared" si="1359"/>
        <v>163414.88691674234</v>
      </c>
      <c r="U727" s="577">
        <f t="shared" si="1359"/>
        <v>167893.98566131928</v>
      </c>
      <c r="V727" s="577">
        <f t="shared" si="1359"/>
        <v>171594.76134681609</v>
      </c>
      <c r="W727" s="577">
        <f t="shared" si="1359"/>
        <v>174704.88942526546</v>
      </c>
      <c r="X727" s="577">
        <f t="shared" si="1359"/>
        <v>177890.10786547879</v>
      </c>
      <c r="Y727" s="577">
        <f t="shared" si="1359"/>
        <v>181161.5534300649</v>
      </c>
      <c r="Z727" s="577">
        <f t="shared" si="1359"/>
        <v>184532.60541674393</v>
      </c>
      <c r="AA727" s="577">
        <f t="shared" si="1359"/>
        <v>188015.87975764304</v>
      </c>
      <c r="AB727" s="577">
        <f t="shared" si="1359"/>
        <v>191628.97921273357</v>
      </c>
      <c r="AC727" s="577">
        <f t="shared" si="1359"/>
        <v>195388.16587476482</v>
      </c>
      <c r="AD727" s="577">
        <f t="shared" si="1359"/>
        <v>199314.39799051997</v>
      </c>
      <c r="AE727" s="577">
        <f t="shared" si="1359"/>
        <v>203431.20679723928</v>
      </c>
      <c r="AF727" s="577">
        <f t="shared" si="1359"/>
        <v>207761.88886031511</v>
      </c>
      <c r="AG727" s="577">
        <f t="shared" si="1359"/>
        <v>212335.53221395891</v>
      </c>
      <c r="AH727" s="752">
        <f t="shared" si="1359"/>
        <v>217184.68626756265</v>
      </c>
      <c r="AI727" s="18"/>
      <c r="AJ727" s="18"/>
      <c r="AK727" s="18"/>
      <c r="AL727" s="18"/>
      <c r="AM727" s="18"/>
      <c r="AN727" s="18"/>
    </row>
    <row r="728" spans="2:40" ht="21.95" customHeight="1" x14ac:dyDescent="0.2">
      <c r="B728" s="232"/>
      <c r="C728" s="715"/>
      <c r="D728" s="715"/>
      <c r="E728" s="1340"/>
      <c r="F728" s="116"/>
      <c r="G728" s="116"/>
      <c r="H728" s="124" t="s">
        <v>19</v>
      </c>
      <c r="I728" s="577">
        <f t="shared" ref="I728:AH728" si="1360">I663*$G$21</f>
        <v>298265.97805477487</v>
      </c>
      <c r="J728" s="577">
        <f t="shared" si="1360"/>
        <v>305137.89596356906</v>
      </c>
      <c r="K728" s="577">
        <f t="shared" si="1360"/>
        <v>315202.23547144671</v>
      </c>
      <c r="L728" s="577">
        <f t="shared" si="1360"/>
        <v>327298.70601618988</v>
      </c>
      <c r="M728" s="577">
        <f t="shared" si="1360"/>
        <v>339438.21359678911</v>
      </c>
      <c r="N728" s="577">
        <f t="shared" si="1360"/>
        <v>351633.86756621517</v>
      </c>
      <c r="O728" s="577">
        <f t="shared" si="1360"/>
        <v>363900.45141330478</v>
      </c>
      <c r="P728" s="577">
        <f t="shared" si="1360"/>
        <v>376275.44410284649</v>
      </c>
      <c r="Q728" s="577">
        <f t="shared" si="1360"/>
        <v>387029.31326333369</v>
      </c>
      <c r="R728" s="577">
        <f t="shared" si="1360"/>
        <v>397911.43832241115</v>
      </c>
      <c r="S728" s="577">
        <f t="shared" si="1360"/>
        <v>408957.54445953952</v>
      </c>
      <c r="T728" s="577">
        <f t="shared" si="1360"/>
        <v>420209.70921448024</v>
      </c>
      <c r="U728" s="577">
        <f t="shared" si="1360"/>
        <v>431727.39170053526</v>
      </c>
      <c r="V728" s="577">
        <f t="shared" si="1360"/>
        <v>441243.6720346699</v>
      </c>
      <c r="W728" s="577">
        <f t="shared" si="1360"/>
        <v>449241.14423639682</v>
      </c>
      <c r="X728" s="577">
        <f t="shared" si="1360"/>
        <v>457431.70593980252</v>
      </c>
      <c r="Y728" s="577">
        <f t="shared" si="1360"/>
        <v>465843.99453445256</v>
      </c>
      <c r="Z728" s="577">
        <f t="shared" si="1360"/>
        <v>474512.41392877005</v>
      </c>
      <c r="AA728" s="577">
        <f t="shared" si="1360"/>
        <v>483469.40509108204</v>
      </c>
      <c r="AB728" s="577">
        <f t="shared" si="1360"/>
        <v>492760.23226131487</v>
      </c>
      <c r="AC728" s="577">
        <f t="shared" si="1360"/>
        <v>502426.7122493952</v>
      </c>
      <c r="AD728" s="577">
        <f t="shared" si="1360"/>
        <v>512522.73768990842</v>
      </c>
      <c r="AE728" s="577">
        <f t="shared" si="1360"/>
        <v>523108.81747861521</v>
      </c>
      <c r="AF728" s="577">
        <f t="shared" si="1360"/>
        <v>534244.85706938163</v>
      </c>
      <c r="AG728" s="577">
        <f t="shared" si="1360"/>
        <v>546005.65426446567</v>
      </c>
      <c r="AH728" s="752">
        <f t="shared" si="1360"/>
        <v>558474.90754516097</v>
      </c>
      <c r="AI728" s="18"/>
      <c r="AJ728" s="18"/>
      <c r="AK728" s="18"/>
      <c r="AL728" s="18"/>
      <c r="AM728" s="18"/>
      <c r="AN728" s="18"/>
    </row>
    <row r="729" spans="2:40" ht="21.95" customHeight="1" x14ac:dyDescent="0.2">
      <c r="B729" s="232"/>
      <c r="C729" s="715"/>
      <c r="D729" s="715"/>
      <c r="E729" s="1340"/>
      <c r="F729" s="116"/>
      <c r="G729" s="116"/>
      <c r="H729" s="721" t="s">
        <v>25</v>
      </c>
      <c r="I729" s="577">
        <f t="shared" ref="I729:AH729" si="1361">SUM(I727:I728)</f>
        <v>414258.30285385402</v>
      </c>
      <c r="J729" s="577">
        <f t="shared" si="1361"/>
        <v>423802.63328273478</v>
      </c>
      <c r="K729" s="577">
        <f t="shared" si="1361"/>
        <v>437780.88259923155</v>
      </c>
      <c r="L729" s="577">
        <f t="shared" si="1361"/>
        <v>454581.53613359708</v>
      </c>
      <c r="M729" s="577">
        <f t="shared" si="1361"/>
        <v>471441.96332887374</v>
      </c>
      <c r="N729" s="577">
        <f t="shared" si="1361"/>
        <v>488380.3716197433</v>
      </c>
      <c r="O729" s="577">
        <f t="shared" si="1361"/>
        <v>505417.29362958996</v>
      </c>
      <c r="P729" s="577">
        <f t="shared" si="1361"/>
        <v>522604.78347617574</v>
      </c>
      <c r="Q729" s="577">
        <f t="shared" si="1361"/>
        <v>537540.71286574122</v>
      </c>
      <c r="R729" s="577">
        <f t="shared" si="1361"/>
        <v>552654.7754477933</v>
      </c>
      <c r="S729" s="577">
        <f t="shared" si="1361"/>
        <v>567996.58952713828</v>
      </c>
      <c r="T729" s="577">
        <f t="shared" si="1361"/>
        <v>583624.59613122256</v>
      </c>
      <c r="U729" s="577">
        <f t="shared" si="1361"/>
        <v>599621.37736185454</v>
      </c>
      <c r="V729" s="577">
        <f t="shared" si="1361"/>
        <v>612838.43338148599</v>
      </c>
      <c r="W729" s="577">
        <f t="shared" si="1361"/>
        <v>623946.03366166225</v>
      </c>
      <c r="X729" s="577">
        <f t="shared" si="1361"/>
        <v>635321.8138052813</v>
      </c>
      <c r="Y729" s="577">
        <f t="shared" si="1361"/>
        <v>647005.54796451749</v>
      </c>
      <c r="Z729" s="577">
        <f t="shared" si="1361"/>
        <v>659045.01934551401</v>
      </c>
      <c r="AA729" s="577">
        <f t="shared" si="1361"/>
        <v>671485.28484872507</v>
      </c>
      <c r="AB729" s="577">
        <f t="shared" si="1361"/>
        <v>684389.21147404844</v>
      </c>
      <c r="AC729" s="577">
        <f t="shared" si="1361"/>
        <v>697814.87812415999</v>
      </c>
      <c r="AD729" s="577">
        <f t="shared" si="1361"/>
        <v>711837.13568042836</v>
      </c>
      <c r="AE729" s="577">
        <f t="shared" si="1361"/>
        <v>726540.02427585446</v>
      </c>
      <c r="AF729" s="577">
        <f t="shared" si="1361"/>
        <v>742006.74592969671</v>
      </c>
      <c r="AG729" s="577">
        <f t="shared" si="1361"/>
        <v>758341.18647842458</v>
      </c>
      <c r="AH729" s="752">
        <f t="shared" si="1361"/>
        <v>775659.59381272364</v>
      </c>
      <c r="AI729" s="18"/>
      <c r="AJ729" s="18"/>
      <c r="AK729" s="18"/>
      <c r="AL729" s="18"/>
      <c r="AM729" s="18"/>
      <c r="AN729" s="18"/>
    </row>
    <row r="730" spans="2:40" ht="21.95" customHeight="1" x14ac:dyDescent="0.2">
      <c r="B730" s="232"/>
      <c r="C730" s="715"/>
      <c r="D730" s="715"/>
      <c r="E730" s="1340"/>
      <c r="F730" s="116" t="s">
        <v>323</v>
      </c>
      <c r="G730" s="116" t="s">
        <v>347</v>
      </c>
      <c r="H730" s="116" t="s">
        <v>20</v>
      </c>
      <c r="I730" s="577">
        <f t="shared" ref="I730:AH730" si="1362">I664*$G$20</f>
        <v>20712.915142692709</v>
      </c>
      <c r="J730" s="577">
        <f t="shared" si="1362"/>
        <v>21172.267491386167</v>
      </c>
      <c r="K730" s="577">
        <f t="shared" si="1362"/>
        <v>21853.219202794637</v>
      </c>
      <c r="L730" s="577">
        <f t="shared" si="1362"/>
        <v>22719.302668410412</v>
      </c>
      <c r="M730" s="577">
        <f t="shared" si="1362"/>
        <v>23588.577055971924</v>
      </c>
      <c r="N730" s="577">
        <f t="shared" si="1362"/>
        <v>24461.891438850987</v>
      </c>
      <c r="O730" s="577">
        <f t="shared" si="1362"/>
        <v>25340.640577371691</v>
      </c>
      <c r="P730" s="577">
        <f t="shared" si="1362"/>
        <v>26227.57536401564</v>
      </c>
      <c r="Q730" s="577">
        <f t="shared" si="1362"/>
        <v>27024.342889668005</v>
      </c>
      <c r="R730" s="577">
        <f t="shared" si="1362"/>
        <v>27831.831760175315</v>
      </c>
      <c r="S730" s="577">
        <f t="shared" si="1362"/>
        <v>28652.934240286268</v>
      </c>
      <c r="T730" s="577">
        <f t="shared" si="1362"/>
        <v>29491.528956861028</v>
      </c>
      <c r="U730" s="577">
        <f t="shared" si="1362"/>
        <v>30352.733515728625</v>
      </c>
      <c r="V730" s="577">
        <f t="shared" si="1362"/>
        <v>31026.443460635539</v>
      </c>
      <c r="W730" s="577">
        <f t="shared" si="1362"/>
        <v>31569.56490889403</v>
      </c>
      <c r="X730" s="577">
        <f t="shared" si="1362"/>
        <v>32126.294695576562</v>
      </c>
      <c r="Y730" s="577">
        <f t="shared" si="1362"/>
        <v>32698.550476579989</v>
      </c>
      <c r="Z730" s="577">
        <f t="shared" si="1362"/>
        <v>33288.583052134614</v>
      </c>
      <c r="AA730" s="577">
        <f t="shared" si="1362"/>
        <v>33898.617596685566</v>
      </c>
      <c r="AB730" s="577">
        <f t="shared" si="1362"/>
        <v>34531.556864488026</v>
      </c>
      <c r="AC730" s="577">
        <f t="shared" si="1362"/>
        <v>35190.220189166852</v>
      </c>
      <c r="AD730" s="577">
        <f t="shared" si="1362"/>
        <v>35878.082742353108</v>
      </c>
      <c r="AE730" s="577">
        <f t="shared" si="1362"/>
        <v>36599.0252151807</v>
      </c>
      <c r="AF730" s="577">
        <f t="shared" si="1362"/>
        <v>37357.001183223212</v>
      </c>
      <c r="AG730" s="577">
        <f t="shared" si="1362"/>
        <v>38156.776512147946</v>
      </c>
      <c r="AH730" s="752">
        <f t="shared" si="1362"/>
        <v>39003.655150671497</v>
      </c>
      <c r="AI730" s="18"/>
      <c r="AJ730" s="18"/>
      <c r="AK730" s="18"/>
      <c r="AL730" s="18"/>
      <c r="AM730" s="18"/>
      <c r="AN730" s="18"/>
    </row>
    <row r="731" spans="2:40" ht="21.95" customHeight="1" x14ac:dyDescent="0.2">
      <c r="B731" s="232"/>
      <c r="C731" s="715"/>
      <c r="D731" s="715"/>
      <c r="E731" s="1340"/>
      <c r="F731" s="116"/>
      <c r="G731" s="116"/>
      <c r="H731" s="124" t="s">
        <v>19</v>
      </c>
      <c r="I731" s="577">
        <f t="shared" ref="I731:AH731" si="1363">I664*$G$21</f>
        <v>53261.781795495532</v>
      </c>
      <c r="J731" s="577">
        <f t="shared" si="1363"/>
        <v>54442.973549278708</v>
      </c>
      <c r="K731" s="577">
        <f t="shared" si="1363"/>
        <v>56193.992235757636</v>
      </c>
      <c r="L731" s="577">
        <f t="shared" si="1363"/>
        <v>58421.064004483909</v>
      </c>
      <c r="M731" s="577">
        <f t="shared" si="1363"/>
        <v>60656.341001070658</v>
      </c>
      <c r="N731" s="577">
        <f t="shared" si="1363"/>
        <v>62902.006557045388</v>
      </c>
      <c r="O731" s="577">
        <f t="shared" si="1363"/>
        <v>65161.647198955769</v>
      </c>
      <c r="P731" s="577">
        <f t="shared" si="1363"/>
        <v>67442.336650325917</v>
      </c>
      <c r="Q731" s="577">
        <f t="shared" si="1363"/>
        <v>69491.16743057486</v>
      </c>
      <c r="R731" s="577">
        <f t="shared" si="1363"/>
        <v>71567.567383307949</v>
      </c>
      <c r="S731" s="577">
        <f t="shared" si="1363"/>
        <v>73678.973760736102</v>
      </c>
      <c r="T731" s="577">
        <f t="shared" si="1363"/>
        <v>75835.360174785485</v>
      </c>
      <c r="U731" s="577">
        <f t="shared" si="1363"/>
        <v>78049.886183302166</v>
      </c>
      <c r="V731" s="577">
        <f t="shared" si="1363"/>
        <v>79782.283184491374</v>
      </c>
      <c r="W731" s="577">
        <f t="shared" si="1363"/>
        <v>81178.881194298927</v>
      </c>
      <c r="X731" s="577">
        <f t="shared" si="1363"/>
        <v>82610.472074339719</v>
      </c>
      <c r="Y731" s="577">
        <f t="shared" si="1363"/>
        <v>84081.986939777111</v>
      </c>
      <c r="Z731" s="577">
        <f t="shared" si="1363"/>
        <v>85599.213562631849</v>
      </c>
      <c r="AA731" s="577">
        <f t="shared" si="1363"/>
        <v>87167.873820048582</v>
      </c>
      <c r="AB731" s="577">
        <f t="shared" si="1363"/>
        <v>88795.431937254907</v>
      </c>
      <c r="AC731" s="577">
        <f t="shared" si="1363"/>
        <v>90489.137629286182</v>
      </c>
      <c r="AD731" s="577">
        <f t="shared" si="1363"/>
        <v>92257.927051765117</v>
      </c>
      <c r="AE731" s="577">
        <f t="shared" si="1363"/>
        <v>94111.779124750363</v>
      </c>
      <c r="AF731" s="577">
        <f t="shared" si="1363"/>
        <v>96060.860185431113</v>
      </c>
      <c r="AG731" s="577">
        <f t="shared" si="1363"/>
        <v>98117.425316951849</v>
      </c>
      <c r="AH731" s="752">
        <f t="shared" si="1363"/>
        <v>100295.11324458383</v>
      </c>
      <c r="AI731" s="18"/>
      <c r="AJ731" s="18"/>
      <c r="AK731" s="18"/>
      <c r="AL731" s="18"/>
      <c r="AM731" s="18"/>
      <c r="AN731" s="18"/>
    </row>
    <row r="732" spans="2:40" ht="21.95" customHeight="1" x14ac:dyDescent="0.2">
      <c r="B732" s="232"/>
      <c r="C732" s="715"/>
      <c r="D732" s="715"/>
      <c r="E732" s="1340"/>
      <c r="F732" s="116"/>
      <c r="G732" s="116"/>
      <c r="H732" s="721" t="s">
        <v>25</v>
      </c>
      <c r="I732" s="577">
        <f t="shared" ref="I732:AH732" si="1364">SUM(I730:I731)</f>
        <v>73974.696938188237</v>
      </c>
      <c r="J732" s="577">
        <f t="shared" si="1364"/>
        <v>75615.241040664871</v>
      </c>
      <c r="K732" s="577">
        <f t="shared" si="1364"/>
        <v>78047.211438552273</v>
      </c>
      <c r="L732" s="577">
        <f t="shared" si="1364"/>
        <v>81140.366672894321</v>
      </c>
      <c r="M732" s="577">
        <f t="shared" si="1364"/>
        <v>84244.918057042581</v>
      </c>
      <c r="N732" s="577">
        <f t="shared" si="1364"/>
        <v>87363.897995896376</v>
      </c>
      <c r="O732" s="577">
        <f t="shared" si="1364"/>
        <v>90502.287776327459</v>
      </c>
      <c r="P732" s="577">
        <f t="shared" si="1364"/>
        <v>93669.912014341564</v>
      </c>
      <c r="Q732" s="577">
        <f t="shared" si="1364"/>
        <v>96515.510320242873</v>
      </c>
      <c r="R732" s="577">
        <f t="shared" si="1364"/>
        <v>99399.399143483257</v>
      </c>
      <c r="S732" s="577">
        <f t="shared" si="1364"/>
        <v>102331.90800102237</v>
      </c>
      <c r="T732" s="577">
        <f t="shared" si="1364"/>
        <v>105326.88913164652</v>
      </c>
      <c r="U732" s="577">
        <f t="shared" si="1364"/>
        <v>108402.61969903079</v>
      </c>
      <c r="V732" s="577">
        <f t="shared" si="1364"/>
        <v>110808.72664512691</v>
      </c>
      <c r="W732" s="577">
        <f t="shared" si="1364"/>
        <v>112748.44610319295</v>
      </c>
      <c r="X732" s="577">
        <f t="shared" si="1364"/>
        <v>114736.76676991628</v>
      </c>
      <c r="Y732" s="577">
        <f t="shared" si="1364"/>
        <v>116780.5374163571</v>
      </c>
      <c r="Z732" s="577">
        <f t="shared" si="1364"/>
        <v>118887.79661476647</v>
      </c>
      <c r="AA732" s="577">
        <f t="shared" si="1364"/>
        <v>121066.49141673415</v>
      </c>
      <c r="AB732" s="577">
        <f t="shared" si="1364"/>
        <v>123326.98880174293</v>
      </c>
      <c r="AC732" s="577">
        <f t="shared" si="1364"/>
        <v>125679.35781845303</v>
      </c>
      <c r="AD732" s="577">
        <f t="shared" si="1364"/>
        <v>128136.00979411823</v>
      </c>
      <c r="AE732" s="577">
        <f t="shared" si="1364"/>
        <v>130710.80433993106</v>
      </c>
      <c r="AF732" s="577">
        <f t="shared" si="1364"/>
        <v>133417.86136865432</v>
      </c>
      <c r="AG732" s="577">
        <f t="shared" si="1364"/>
        <v>136274.20182909979</v>
      </c>
      <c r="AH732" s="752">
        <f t="shared" si="1364"/>
        <v>139298.76839525532</v>
      </c>
      <c r="AI732" s="18"/>
      <c r="AJ732" s="18"/>
      <c r="AK732" s="18"/>
      <c r="AL732" s="18"/>
      <c r="AM732" s="18"/>
      <c r="AN732" s="18"/>
    </row>
    <row r="733" spans="2:40" ht="21.95" customHeight="1" x14ac:dyDescent="0.2">
      <c r="B733" s="232"/>
      <c r="C733" s="715"/>
      <c r="D733" s="715"/>
      <c r="E733" s="1340"/>
      <c r="F733" s="116" t="s">
        <v>347</v>
      </c>
      <c r="G733" s="116" t="s">
        <v>348</v>
      </c>
      <c r="H733" s="116" t="s">
        <v>20</v>
      </c>
      <c r="I733" s="577">
        <f t="shared" ref="I733:AH733" si="1365">I665*$G$20</f>
        <v>16955.412784718425</v>
      </c>
      <c r="J733" s="577">
        <f t="shared" si="1365"/>
        <v>17332.199849433851</v>
      </c>
      <c r="K733" s="577">
        <f t="shared" si="1365"/>
        <v>17891.135280541068</v>
      </c>
      <c r="L733" s="577">
        <f t="shared" si="1365"/>
        <v>18602.892994625425</v>
      </c>
      <c r="M733" s="577">
        <f t="shared" si="1365"/>
        <v>19318.605529449349</v>
      </c>
      <c r="N733" s="577">
        <f t="shared" si="1365"/>
        <v>20039.4990624491</v>
      </c>
      <c r="O733" s="577">
        <f t="shared" si="1365"/>
        <v>20767.425227968688</v>
      </c>
      <c r="P733" s="577">
        <f t="shared" si="1365"/>
        <v>21505.587408107382</v>
      </c>
      <c r="Q733" s="577">
        <f t="shared" si="1365"/>
        <v>22172.544885112024</v>
      </c>
      <c r="R733" s="577">
        <f t="shared" si="1365"/>
        <v>22853.154890411988</v>
      </c>
      <c r="S733" s="577">
        <f t="shared" si="1365"/>
        <v>23551.177320087972</v>
      </c>
      <c r="T733" s="577">
        <f t="shared" si="1365"/>
        <v>24271.529583945034</v>
      </c>
      <c r="U733" s="577">
        <f t="shared" si="1365"/>
        <v>25020.581983002827</v>
      </c>
      <c r="V733" s="577">
        <f t="shared" si="1365"/>
        <v>25614.053246029212</v>
      </c>
      <c r="W733" s="577">
        <f t="shared" si="1365"/>
        <v>26097.776328140411</v>
      </c>
      <c r="X733" s="577">
        <f t="shared" si="1365"/>
        <v>26598.871227807216</v>
      </c>
      <c r="Y733" s="577">
        <f t="shared" si="1365"/>
        <v>27119.785941789862</v>
      </c>
      <c r="Z733" s="577">
        <f t="shared" si="1365"/>
        <v>27663.359866667641</v>
      </c>
      <c r="AA733" s="577">
        <f t="shared" si="1365"/>
        <v>28232.501319828414</v>
      </c>
      <c r="AB733" s="577">
        <f t="shared" si="1365"/>
        <v>28830.848076364084</v>
      </c>
      <c r="AC733" s="577">
        <f t="shared" si="1365"/>
        <v>29462.066931630063</v>
      </c>
      <c r="AD733" s="577">
        <f t="shared" si="1365"/>
        <v>30130.560261897303</v>
      </c>
      <c r="AE733" s="577">
        <f t="shared" si="1365"/>
        <v>30841.248112133577</v>
      </c>
      <c r="AF733" s="577">
        <f t="shared" si="1365"/>
        <v>31599.245202017129</v>
      </c>
      <c r="AG733" s="577">
        <f t="shared" si="1365"/>
        <v>32410.601552124841</v>
      </c>
      <c r="AH733" s="752">
        <f t="shared" si="1365"/>
        <v>33282.054076632972</v>
      </c>
      <c r="AI733" s="18"/>
      <c r="AJ733" s="18"/>
      <c r="AK733" s="18"/>
      <c r="AL733" s="18"/>
      <c r="AM733" s="18"/>
      <c r="AN733" s="18"/>
    </row>
    <row r="734" spans="2:40" ht="21.95" customHeight="1" x14ac:dyDescent="0.2">
      <c r="B734" s="232"/>
      <c r="C734" s="715"/>
      <c r="D734" s="715"/>
      <c r="E734" s="1340"/>
      <c r="F734" s="116"/>
      <c r="G734" s="116"/>
      <c r="H734" s="124" t="s">
        <v>19</v>
      </c>
      <c r="I734" s="577">
        <f t="shared" ref="I734:AH734" si="1366">I665*$G$21</f>
        <v>43599.632874990231</v>
      </c>
      <c r="J734" s="577">
        <f t="shared" si="1366"/>
        <v>44568.513898544181</v>
      </c>
      <c r="K734" s="577">
        <f t="shared" si="1366"/>
        <v>46005.776435677028</v>
      </c>
      <c r="L734" s="577">
        <f t="shared" si="1366"/>
        <v>47836.010557608228</v>
      </c>
      <c r="M734" s="577">
        <f t="shared" si="1366"/>
        <v>49676.414218584039</v>
      </c>
      <c r="N734" s="577">
        <f t="shared" si="1366"/>
        <v>51530.140446297679</v>
      </c>
      <c r="O734" s="577">
        <f t="shared" si="1366"/>
        <v>53401.950586205188</v>
      </c>
      <c r="P734" s="577">
        <f t="shared" si="1366"/>
        <v>55300.081906561834</v>
      </c>
      <c r="Q734" s="577">
        <f t="shared" si="1366"/>
        <v>57015.115418859488</v>
      </c>
      <c r="R734" s="577">
        <f t="shared" si="1366"/>
        <v>58765.25543248796</v>
      </c>
      <c r="S734" s="577">
        <f t="shared" si="1366"/>
        <v>60560.170251654781</v>
      </c>
      <c r="T734" s="577">
        <f t="shared" si="1366"/>
        <v>62412.504644430075</v>
      </c>
      <c r="U734" s="577">
        <f t="shared" si="1366"/>
        <v>64338.6393848644</v>
      </c>
      <c r="V734" s="577">
        <f t="shared" si="1366"/>
        <v>65864.708346932253</v>
      </c>
      <c r="W734" s="577">
        <f t="shared" si="1366"/>
        <v>67108.567700932472</v>
      </c>
      <c r="X734" s="577">
        <f t="shared" si="1366"/>
        <v>68397.097442932834</v>
      </c>
      <c r="Y734" s="577">
        <f t="shared" si="1366"/>
        <v>69736.592421745358</v>
      </c>
      <c r="Z734" s="577">
        <f t="shared" si="1366"/>
        <v>71134.353942859641</v>
      </c>
      <c r="AA734" s="577">
        <f t="shared" si="1366"/>
        <v>72597.860536701628</v>
      </c>
      <c r="AB734" s="577">
        <f t="shared" si="1366"/>
        <v>74136.466482079064</v>
      </c>
      <c r="AC734" s="577">
        <f t="shared" si="1366"/>
        <v>75759.600681334443</v>
      </c>
      <c r="AD734" s="577">
        <f t="shared" si="1366"/>
        <v>77478.583530593052</v>
      </c>
      <c r="AE734" s="577">
        <f t="shared" si="1366"/>
        <v>79306.066574057768</v>
      </c>
      <c r="AF734" s="577">
        <f t="shared" si="1366"/>
        <v>81255.201948044036</v>
      </c>
      <c r="AG734" s="577">
        <f t="shared" si="1366"/>
        <v>83341.546848321013</v>
      </c>
      <c r="AH734" s="752">
        <f t="shared" si="1366"/>
        <v>85582.42476848478</v>
      </c>
      <c r="AI734" s="18"/>
      <c r="AJ734" s="18"/>
      <c r="AK734" s="18"/>
      <c r="AL734" s="18"/>
      <c r="AM734" s="18"/>
      <c r="AN734" s="18"/>
    </row>
    <row r="735" spans="2:40" ht="21.95" customHeight="1" x14ac:dyDescent="0.2">
      <c r="B735" s="232"/>
      <c r="C735" s="715"/>
      <c r="D735" s="715"/>
      <c r="E735" s="1340"/>
      <c r="F735" s="116"/>
      <c r="G735" s="116"/>
      <c r="H735" s="721" t="s">
        <v>25</v>
      </c>
      <c r="I735" s="577">
        <f t="shared" ref="I735:AH735" si="1367">SUM(I733:I734)</f>
        <v>60555.04565970866</v>
      </c>
      <c r="J735" s="577">
        <f t="shared" si="1367"/>
        <v>61900.713747978036</v>
      </c>
      <c r="K735" s="577">
        <f t="shared" si="1367"/>
        <v>63896.911716218092</v>
      </c>
      <c r="L735" s="577">
        <f t="shared" si="1367"/>
        <v>66438.903552233649</v>
      </c>
      <c r="M735" s="577">
        <f t="shared" si="1367"/>
        <v>68995.019748033388</v>
      </c>
      <c r="N735" s="577">
        <f t="shared" si="1367"/>
        <v>71569.639508746783</v>
      </c>
      <c r="O735" s="577">
        <f t="shared" si="1367"/>
        <v>74169.37581417388</v>
      </c>
      <c r="P735" s="577">
        <f t="shared" si="1367"/>
        <v>76805.669314669212</v>
      </c>
      <c r="Q735" s="577">
        <f t="shared" si="1367"/>
        <v>79187.660303971512</v>
      </c>
      <c r="R735" s="577">
        <f t="shared" si="1367"/>
        <v>81618.410322899945</v>
      </c>
      <c r="S735" s="577">
        <f t="shared" si="1367"/>
        <v>84111.34757174275</v>
      </c>
      <c r="T735" s="577">
        <f t="shared" si="1367"/>
        <v>86684.034228375109</v>
      </c>
      <c r="U735" s="577">
        <f t="shared" si="1367"/>
        <v>89359.221367867227</v>
      </c>
      <c r="V735" s="577">
        <f t="shared" si="1367"/>
        <v>91478.761592961469</v>
      </c>
      <c r="W735" s="577">
        <f t="shared" si="1367"/>
        <v>93206.344029072876</v>
      </c>
      <c r="X735" s="577">
        <f t="shared" si="1367"/>
        <v>94995.968670740054</v>
      </c>
      <c r="Y735" s="577">
        <f t="shared" si="1367"/>
        <v>96856.378363535216</v>
      </c>
      <c r="Z735" s="577">
        <f t="shared" si="1367"/>
        <v>98797.713809527282</v>
      </c>
      <c r="AA735" s="577">
        <f t="shared" si="1367"/>
        <v>100830.36185653004</v>
      </c>
      <c r="AB735" s="577">
        <f t="shared" si="1367"/>
        <v>102967.31455844315</v>
      </c>
      <c r="AC735" s="577">
        <f t="shared" si="1367"/>
        <v>105221.66761296451</v>
      </c>
      <c r="AD735" s="577">
        <f t="shared" si="1367"/>
        <v>107609.14379249036</v>
      </c>
      <c r="AE735" s="577">
        <f t="shared" si="1367"/>
        <v>110147.31468619134</v>
      </c>
      <c r="AF735" s="577">
        <f t="shared" si="1367"/>
        <v>112854.44715006117</v>
      </c>
      <c r="AG735" s="577">
        <f t="shared" si="1367"/>
        <v>115752.14840044585</v>
      </c>
      <c r="AH735" s="752">
        <f t="shared" si="1367"/>
        <v>118864.47884511776</v>
      </c>
      <c r="AI735" s="18"/>
      <c r="AJ735" s="18"/>
      <c r="AK735" s="18"/>
      <c r="AL735" s="18"/>
      <c r="AM735" s="18"/>
      <c r="AN735" s="18"/>
    </row>
    <row r="736" spans="2:40" ht="21.95" customHeight="1" x14ac:dyDescent="0.2">
      <c r="B736" s="232"/>
      <c r="C736" s="715"/>
      <c r="D736" s="715"/>
      <c r="E736" s="1340"/>
      <c r="F736" s="116" t="s">
        <v>348</v>
      </c>
      <c r="G736" s="116" t="s">
        <v>349</v>
      </c>
      <c r="H736" s="116" t="s">
        <v>20</v>
      </c>
      <c r="I736" s="577">
        <f t="shared" ref="I736:AH736" si="1368">I666*$G$20</f>
        <v>27721.37721714787</v>
      </c>
      <c r="J736" s="577">
        <f t="shared" si="1368"/>
        <v>28397.980854922975</v>
      </c>
      <c r="K736" s="577">
        <f t="shared" si="1368"/>
        <v>29344.89276609716</v>
      </c>
      <c r="L736" s="577">
        <f t="shared" si="1368"/>
        <v>30619.48166265852</v>
      </c>
      <c r="M736" s="577">
        <f t="shared" si="1368"/>
        <v>31921.655047673357</v>
      </c>
      <c r="N736" s="577">
        <f t="shared" si="1368"/>
        <v>33262.658087452161</v>
      </c>
      <c r="O736" s="577">
        <f t="shared" si="1368"/>
        <v>34657.540970022936</v>
      </c>
      <c r="P736" s="577">
        <f t="shared" si="1368"/>
        <v>36128.643193705466</v>
      </c>
      <c r="Q736" s="577">
        <f t="shared" si="1368"/>
        <v>37628.694794946023</v>
      </c>
      <c r="R736" s="577">
        <f t="shared" si="1368"/>
        <v>39254.820789706137</v>
      </c>
      <c r="S736" s="577">
        <f t="shared" si="1368"/>
        <v>41047.981990781074</v>
      </c>
      <c r="T736" s="577">
        <f t="shared" si="1368"/>
        <v>43060.818605610533</v>
      </c>
      <c r="U736" s="577">
        <f t="shared" si="1368"/>
        <v>45361.60766466074</v>
      </c>
      <c r="V736" s="577">
        <f t="shared" si="1368"/>
        <v>47299.331393292574</v>
      </c>
      <c r="W736" s="577">
        <f t="shared" si="1368"/>
        <v>48946.783370098528</v>
      </c>
      <c r="X736" s="577">
        <f t="shared" si="1368"/>
        <v>50759.386784747185</v>
      </c>
      <c r="Y736" s="577">
        <f t="shared" si="1368"/>
        <v>52761.624603956436</v>
      </c>
      <c r="Z736" s="577">
        <f t="shared" si="1368"/>
        <v>54981.609287288389</v>
      </c>
      <c r="AA736" s="577">
        <f t="shared" si="1368"/>
        <v>57449.657036026438</v>
      </c>
      <c r="AB736" s="577">
        <f t="shared" si="1368"/>
        <v>60201.850224200651</v>
      </c>
      <c r="AC736" s="577">
        <f t="shared" si="1368"/>
        <v>63276.554515361837</v>
      </c>
      <c r="AD736" s="577">
        <f t="shared" si="1368"/>
        <v>66718.523058555729</v>
      </c>
      <c r="AE736" s="577">
        <f t="shared" si="1368"/>
        <v>70578.106486622419</v>
      </c>
      <c r="AF736" s="577">
        <f t="shared" si="1368"/>
        <v>74909.204468953918</v>
      </c>
      <c r="AG736" s="577">
        <f t="shared" si="1368"/>
        <v>79774.389889300815</v>
      </c>
      <c r="AH736" s="752">
        <f t="shared" si="1368"/>
        <v>85243.758914283855</v>
      </c>
      <c r="AI736" s="18"/>
      <c r="AJ736" s="18"/>
      <c r="AK736" s="18"/>
      <c r="AL736" s="18"/>
      <c r="AM736" s="18"/>
      <c r="AN736" s="18"/>
    </row>
    <row r="737" spans="2:40" ht="21.95" customHeight="1" x14ac:dyDescent="0.2">
      <c r="B737" s="232"/>
      <c r="C737" s="715"/>
      <c r="D737" s="715"/>
      <c r="E737" s="1340"/>
      <c r="F737" s="116"/>
      <c r="G737" s="116"/>
      <c r="H737" s="124" t="s">
        <v>19</v>
      </c>
      <c r="I737" s="577">
        <f t="shared" ref="I737:AH737" si="1369">I666*$G$21</f>
        <v>71283.541415523083</v>
      </c>
      <c r="J737" s="577">
        <f t="shared" si="1369"/>
        <v>73023.379341230495</v>
      </c>
      <c r="K737" s="577">
        <f t="shared" si="1369"/>
        <v>75458.295684249824</v>
      </c>
      <c r="L737" s="577">
        <f t="shared" si="1369"/>
        <v>78735.809989693327</v>
      </c>
      <c r="M737" s="577">
        <f t="shared" si="1369"/>
        <v>82084.255836874334</v>
      </c>
      <c r="N737" s="577">
        <f t="shared" si="1369"/>
        <v>85532.549367734115</v>
      </c>
      <c r="O737" s="577">
        <f t="shared" si="1369"/>
        <v>89119.391065773263</v>
      </c>
      <c r="P737" s="577">
        <f t="shared" si="1369"/>
        <v>92902.225355242612</v>
      </c>
      <c r="Q737" s="577">
        <f t="shared" si="1369"/>
        <v>96759.500901289764</v>
      </c>
      <c r="R737" s="577">
        <f t="shared" si="1369"/>
        <v>100940.96774495862</v>
      </c>
      <c r="S737" s="577">
        <f t="shared" si="1369"/>
        <v>105551.9536905799</v>
      </c>
      <c r="T737" s="577">
        <f t="shared" si="1369"/>
        <v>110727.81927156994</v>
      </c>
      <c r="U737" s="577">
        <f t="shared" si="1369"/>
        <v>116644.13399484188</v>
      </c>
      <c r="V737" s="577">
        <f t="shared" si="1369"/>
        <v>121626.85215418089</v>
      </c>
      <c r="W737" s="577">
        <f t="shared" si="1369"/>
        <v>125863.1572373962</v>
      </c>
      <c r="X737" s="577">
        <f t="shared" si="1369"/>
        <v>130524.13744649274</v>
      </c>
      <c r="Y737" s="577">
        <f t="shared" si="1369"/>
        <v>135672.74898160223</v>
      </c>
      <c r="Z737" s="577">
        <f t="shared" si="1369"/>
        <v>141381.28102445585</v>
      </c>
      <c r="AA737" s="577">
        <f t="shared" si="1369"/>
        <v>147727.68952121082</v>
      </c>
      <c r="AB737" s="577">
        <f t="shared" si="1369"/>
        <v>154804.75771937307</v>
      </c>
      <c r="AC737" s="577">
        <f t="shared" si="1369"/>
        <v>162711.14018235897</v>
      </c>
      <c r="AD737" s="577">
        <f t="shared" si="1369"/>
        <v>171561.91643628612</v>
      </c>
      <c r="AE737" s="577">
        <f t="shared" si="1369"/>
        <v>181486.55953702907</v>
      </c>
      <c r="AF737" s="577">
        <f t="shared" si="1369"/>
        <v>192623.66863445289</v>
      </c>
      <c r="AG737" s="577">
        <f t="shared" si="1369"/>
        <v>205134.14542963065</v>
      </c>
      <c r="AH737" s="752">
        <f t="shared" si="1369"/>
        <v>219198.23720815845</v>
      </c>
      <c r="AI737" s="18"/>
      <c r="AJ737" s="18"/>
      <c r="AK737" s="18"/>
      <c r="AL737" s="18"/>
      <c r="AM737" s="18"/>
      <c r="AN737" s="18"/>
    </row>
    <row r="738" spans="2:40" ht="21.95" customHeight="1" x14ac:dyDescent="0.2">
      <c r="B738" s="232"/>
      <c r="C738" s="715"/>
      <c r="D738" s="715"/>
      <c r="E738" s="1333"/>
      <c r="F738" s="254"/>
      <c r="G738" s="254"/>
      <c r="H738" s="721" t="s">
        <v>25</v>
      </c>
      <c r="I738" s="577">
        <f t="shared" ref="I738:AH738" si="1370">SUM(I736:I737)</f>
        <v>99004.918632670946</v>
      </c>
      <c r="J738" s="577">
        <f t="shared" si="1370"/>
        <v>101421.36019615347</v>
      </c>
      <c r="K738" s="577">
        <f t="shared" si="1370"/>
        <v>104803.18845034699</v>
      </c>
      <c r="L738" s="577">
        <f t="shared" si="1370"/>
        <v>109355.29165235185</v>
      </c>
      <c r="M738" s="577">
        <f t="shared" si="1370"/>
        <v>114005.91088454769</v>
      </c>
      <c r="N738" s="577">
        <f t="shared" si="1370"/>
        <v>118795.20745518628</v>
      </c>
      <c r="O738" s="577">
        <f t="shared" si="1370"/>
        <v>123776.9320357962</v>
      </c>
      <c r="P738" s="577">
        <f t="shared" si="1370"/>
        <v>129030.86854894808</v>
      </c>
      <c r="Q738" s="577">
        <f t="shared" si="1370"/>
        <v>134388.19569623578</v>
      </c>
      <c r="R738" s="577">
        <f t="shared" si="1370"/>
        <v>140195.78853466475</v>
      </c>
      <c r="S738" s="577">
        <f t="shared" si="1370"/>
        <v>146599.93568136098</v>
      </c>
      <c r="T738" s="577">
        <f t="shared" si="1370"/>
        <v>153788.63787718047</v>
      </c>
      <c r="U738" s="577">
        <f t="shared" si="1370"/>
        <v>162005.74165950262</v>
      </c>
      <c r="V738" s="577">
        <f t="shared" si="1370"/>
        <v>168926.18354747345</v>
      </c>
      <c r="W738" s="577">
        <f t="shared" si="1370"/>
        <v>174809.94060749473</v>
      </c>
      <c r="X738" s="577">
        <f t="shared" si="1370"/>
        <v>181283.52423123992</v>
      </c>
      <c r="Y738" s="577">
        <f t="shared" si="1370"/>
        <v>188434.37358555867</v>
      </c>
      <c r="Z738" s="577">
        <f t="shared" si="1370"/>
        <v>196362.89031174424</v>
      </c>
      <c r="AA738" s="577">
        <f t="shared" si="1370"/>
        <v>205177.34655723727</v>
      </c>
      <c r="AB738" s="577">
        <f t="shared" si="1370"/>
        <v>215006.60794357373</v>
      </c>
      <c r="AC738" s="577">
        <f t="shared" si="1370"/>
        <v>225987.69469772081</v>
      </c>
      <c r="AD738" s="577">
        <f t="shared" si="1370"/>
        <v>238280.43949484185</v>
      </c>
      <c r="AE738" s="577">
        <f t="shared" si="1370"/>
        <v>252064.66602365149</v>
      </c>
      <c r="AF738" s="577">
        <f t="shared" si="1370"/>
        <v>267532.8731034068</v>
      </c>
      <c r="AG738" s="577">
        <f t="shared" si="1370"/>
        <v>284908.53531893145</v>
      </c>
      <c r="AH738" s="752">
        <f t="shared" si="1370"/>
        <v>304441.9961224423</v>
      </c>
      <c r="AI738" s="18"/>
      <c r="AJ738" s="18"/>
      <c r="AK738" s="18"/>
      <c r="AL738" s="18"/>
      <c r="AM738" s="18"/>
      <c r="AN738" s="18"/>
    </row>
    <row r="739" spans="2:40" ht="21.95" customHeight="1" x14ac:dyDescent="0.2">
      <c r="B739" s="232"/>
      <c r="C739" s="715"/>
      <c r="D739" s="715"/>
      <c r="E739" s="116" t="s">
        <v>288</v>
      </c>
      <c r="F739" s="116" t="s">
        <v>323</v>
      </c>
      <c r="G739" s="116" t="s">
        <v>348</v>
      </c>
      <c r="H739" s="116" t="s">
        <v>20</v>
      </c>
      <c r="I739" s="577">
        <f t="shared" ref="I739:AH739" si="1371">I667*$H$20</f>
        <v>4902.9850746268921</v>
      </c>
      <c r="J739" s="577">
        <f t="shared" si="1371"/>
        <v>5204.4641791045287</v>
      </c>
      <c r="K739" s="577">
        <f t="shared" si="1371"/>
        <v>5603.4309701493657</v>
      </c>
      <c r="L739" s="577">
        <f t="shared" si="1371"/>
        <v>6133.634328358512</v>
      </c>
      <c r="M739" s="577">
        <f t="shared" si="1371"/>
        <v>6664.0011194037397</v>
      </c>
      <c r="N739" s="577">
        <f t="shared" si="1371"/>
        <v>7195.5119403002609</v>
      </c>
      <c r="O739" s="577">
        <f t="shared" si="1371"/>
        <v>7725.7152985112934</v>
      </c>
      <c r="P739" s="577">
        <f t="shared" si="1371"/>
        <v>8256.490671649748</v>
      </c>
      <c r="Q739" s="577">
        <f t="shared" si="1371"/>
        <v>8740.4697761342959</v>
      </c>
      <c r="R739" s="577">
        <f t="shared" si="1371"/>
        <v>9224.0402985343953</v>
      </c>
      <c r="S739" s="577">
        <f t="shared" si="1371"/>
        <v>9708.046641838313</v>
      </c>
      <c r="T739" s="577">
        <f t="shared" si="1371"/>
        <v>10192.025746349376</v>
      </c>
      <c r="U739" s="577">
        <f t="shared" si="1371"/>
        <v>10677.720895657092</v>
      </c>
      <c r="V739" s="577">
        <f t="shared" si="1371"/>
        <v>11030.082089744759</v>
      </c>
      <c r="W739" s="577">
        <f t="shared" si="1371"/>
        <v>11331.56119428885</v>
      </c>
      <c r="X739" s="577">
        <f t="shared" si="1371"/>
        <v>11633.04029885319</v>
      </c>
      <c r="Y739" s="577">
        <f t="shared" si="1371"/>
        <v>11934.519403443181</v>
      </c>
      <c r="Z739" s="577">
        <f t="shared" si="1371"/>
        <v>12236.325373737265</v>
      </c>
      <c r="AA739" s="577">
        <f t="shared" si="1371"/>
        <v>12537.804478399978</v>
      </c>
      <c r="AB739" s="577">
        <f t="shared" si="1371"/>
        <v>12840.019030874826</v>
      </c>
      <c r="AC739" s="577">
        <f t="shared" si="1371"/>
        <v>13141.498135650276</v>
      </c>
      <c r="AD739" s="577">
        <f t="shared" si="1371"/>
        <v>13442.9772405025</v>
      </c>
      <c r="AE739" s="577">
        <f t="shared" si="1371"/>
        <v>13744.783211121068</v>
      </c>
      <c r="AF739" s="577">
        <f t="shared" si="1371"/>
        <v>14046.262316182501</v>
      </c>
      <c r="AG739" s="577">
        <f t="shared" si="1371"/>
        <v>14347.741421383649</v>
      </c>
      <c r="AH739" s="752">
        <f t="shared" si="1371"/>
        <v>14649.955974517536</v>
      </c>
      <c r="AI739" s="18"/>
      <c r="AJ739" s="18"/>
      <c r="AK739" s="18"/>
      <c r="AL739" s="18"/>
      <c r="AM739" s="18"/>
      <c r="AN739" s="18"/>
    </row>
    <row r="740" spans="2:40" ht="21.95" customHeight="1" x14ac:dyDescent="0.2">
      <c r="B740" s="232"/>
      <c r="C740" s="715"/>
      <c r="D740" s="715"/>
      <c r="E740" s="116"/>
      <c r="F740" s="116"/>
      <c r="G740" s="116"/>
      <c r="H740" s="124" t="s">
        <v>19</v>
      </c>
      <c r="I740" s="577">
        <f t="shared" ref="I740:AH740" si="1372">I667*$H$21</f>
        <v>19611.940298507569</v>
      </c>
      <c r="J740" s="577">
        <f t="shared" si="1372"/>
        <v>20817.856716418115</v>
      </c>
      <c r="K740" s="577">
        <f t="shared" si="1372"/>
        <v>22413.723880597463</v>
      </c>
      <c r="L740" s="577">
        <f t="shared" si="1372"/>
        <v>24534.537313434048</v>
      </c>
      <c r="M740" s="577">
        <f t="shared" si="1372"/>
        <v>26656.004477614959</v>
      </c>
      <c r="N740" s="577">
        <f t="shared" si="1372"/>
        <v>28782.047761201044</v>
      </c>
      <c r="O740" s="577">
        <f t="shared" si="1372"/>
        <v>30902.861194045174</v>
      </c>
      <c r="P740" s="577">
        <f t="shared" si="1372"/>
        <v>33025.962686598992</v>
      </c>
      <c r="Q740" s="577">
        <f t="shared" si="1372"/>
        <v>34961.879104537184</v>
      </c>
      <c r="R740" s="577">
        <f t="shared" si="1372"/>
        <v>36896.161194137581</v>
      </c>
      <c r="S740" s="577">
        <f t="shared" si="1372"/>
        <v>38832.186567353252</v>
      </c>
      <c r="T740" s="577">
        <f t="shared" si="1372"/>
        <v>40768.102985397505</v>
      </c>
      <c r="U740" s="577">
        <f t="shared" si="1372"/>
        <v>42710.883582628368</v>
      </c>
      <c r="V740" s="577">
        <f t="shared" si="1372"/>
        <v>44120.328358979037</v>
      </c>
      <c r="W740" s="577">
        <f t="shared" si="1372"/>
        <v>45326.2447771554</v>
      </c>
      <c r="X740" s="577">
        <f t="shared" si="1372"/>
        <v>46532.161195412758</v>
      </c>
      <c r="Y740" s="577">
        <f t="shared" si="1372"/>
        <v>47738.077613772723</v>
      </c>
      <c r="Z740" s="577">
        <f t="shared" si="1372"/>
        <v>48945.301494949061</v>
      </c>
      <c r="AA740" s="577">
        <f t="shared" si="1372"/>
        <v>50151.21791359991</v>
      </c>
      <c r="AB740" s="577">
        <f t="shared" si="1372"/>
        <v>51360.076123499304</v>
      </c>
      <c r="AC740" s="577">
        <f t="shared" si="1372"/>
        <v>52565.992542601103</v>
      </c>
      <c r="AD740" s="577">
        <f t="shared" si="1372"/>
        <v>53771.908962009999</v>
      </c>
      <c r="AE740" s="577">
        <f t="shared" si="1372"/>
        <v>54979.132844484273</v>
      </c>
      <c r="AF740" s="577">
        <f t="shared" si="1372"/>
        <v>56185.049264730005</v>
      </c>
      <c r="AG740" s="577">
        <f t="shared" si="1372"/>
        <v>57390.965685534597</v>
      </c>
      <c r="AH740" s="752">
        <f t="shared" si="1372"/>
        <v>58599.823898070143</v>
      </c>
      <c r="AI740" s="18"/>
      <c r="AJ740" s="18"/>
      <c r="AK740" s="18"/>
      <c r="AL740" s="18"/>
      <c r="AM740" s="18"/>
      <c r="AN740" s="18"/>
    </row>
    <row r="741" spans="2:40" ht="21.95" customHeight="1" x14ac:dyDescent="0.2">
      <c r="B741" s="232"/>
      <c r="C741" s="715"/>
      <c r="D741" s="715"/>
      <c r="E741" s="116"/>
      <c r="F741" s="116"/>
      <c r="G741" s="116"/>
      <c r="H741" s="721" t="s">
        <v>25</v>
      </c>
      <c r="I741" s="577">
        <f t="shared" ref="I741:AH741" si="1373">SUM(I739:I740)</f>
        <v>24514.925373134462</v>
      </c>
      <c r="J741" s="577">
        <f t="shared" si="1373"/>
        <v>26022.320895522644</v>
      </c>
      <c r="K741" s="577">
        <f t="shared" si="1373"/>
        <v>28017.154850746829</v>
      </c>
      <c r="L741" s="577">
        <f t="shared" si="1373"/>
        <v>30668.17164179256</v>
      </c>
      <c r="M741" s="577">
        <f t="shared" si="1373"/>
        <v>33320.005597018695</v>
      </c>
      <c r="N741" s="577">
        <f t="shared" si="1373"/>
        <v>35977.559701501305</v>
      </c>
      <c r="O741" s="577">
        <f t="shared" si="1373"/>
        <v>38628.576492556465</v>
      </c>
      <c r="P741" s="577">
        <f t="shared" si="1373"/>
        <v>41282.453358248742</v>
      </c>
      <c r="Q741" s="577">
        <f t="shared" si="1373"/>
        <v>43702.348880671481</v>
      </c>
      <c r="R741" s="577">
        <f t="shared" si="1373"/>
        <v>46120.201492671978</v>
      </c>
      <c r="S741" s="577">
        <f t="shared" si="1373"/>
        <v>48540.233209191567</v>
      </c>
      <c r="T741" s="577">
        <f t="shared" si="1373"/>
        <v>50960.128731746881</v>
      </c>
      <c r="U741" s="577">
        <f t="shared" si="1373"/>
        <v>53388.604478285459</v>
      </c>
      <c r="V741" s="577">
        <f t="shared" si="1373"/>
        <v>55150.410448723793</v>
      </c>
      <c r="W741" s="577">
        <f t="shared" si="1373"/>
        <v>56657.80597144425</v>
      </c>
      <c r="X741" s="577">
        <f t="shared" si="1373"/>
        <v>58165.201494265944</v>
      </c>
      <c r="Y741" s="577">
        <f t="shared" si="1373"/>
        <v>59672.5970172159</v>
      </c>
      <c r="Z741" s="577">
        <f t="shared" si="1373"/>
        <v>61181.626868686326</v>
      </c>
      <c r="AA741" s="577">
        <f t="shared" si="1373"/>
        <v>62689.02239199989</v>
      </c>
      <c r="AB741" s="577">
        <f t="shared" si="1373"/>
        <v>64200.095154374132</v>
      </c>
      <c r="AC741" s="577">
        <f t="shared" si="1373"/>
        <v>65707.490678251372</v>
      </c>
      <c r="AD741" s="577">
        <f t="shared" si="1373"/>
        <v>67214.886202512498</v>
      </c>
      <c r="AE741" s="577">
        <f t="shared" si="1373"/>
        <v>68723.916055605339</v>
      </c>
      <c r="AF741" s="577">
        <f t="shared" si="1373"/>
        <v>70231.311580912501</v>
      </c>
      <c r="AG741" s="577">
        <f t="shared" si="1373"/>
        <v>71738.707106918242</v>
      </c>
      <c r="AH741" s="752">
        <f t="shared" si="1373"/>
        <v>73249.779872587678</v>
      </c>
      <c r="AI741" s="18"/>
      <c r="AJ741" s="18"/>
      <c r="AK741" s="18"/>
      <c r="AL741" s="18"/>
      <c r="AM741" s="18"/>
      <c r="AN741" s="18"/>
    </row>
    <row r="742" spans="2:40" ht="21.95" customHeight="1" x14ac:dyDescent="0.2">
      <c r="B742" s="232"/>
      <c r="C742" s="715"/>
      <c r="D742" s="715"/>
      <c r="E742" s="220" t="s">
        <v>340</v>
      </c>
      <c r="F742" s="220" t="s">
        <v>335</v>
      </c>
      <c r="G742" s="220" t="s">
        <v>323</v>
      </c>
      <c r="H742" s="116" t="s">
        <v>20</v>
      </c>
      <c r="I742" s="577">
        <f t="shared" ref="I742:AH742" si="1374">I668*$I$20</f>
        <v>0</v>
      </c>
      <c r="J742" s="577">
        <f t="shared" si="1374"/>
        <v>5101.339059726276</v>
      </c>
      <c r="K742" s="577">
        <f t="shared" si="1374"/>
        <v>5492.4008671834954</v>
      </c>
      <c r="L742" s="577">
        <f t="shared" si="1374"/>
        <v>6012.0997817210973</v>
      </c>
      <c r="M742" s="577">
        <f t="shared" si="1374"/>
        <v>6531.9608526489756</v>
      </c>
      <c r="N742" s="577">
        <f t="shared" si="1374"/>
        <v>7052.9474180273164</v>
      </c>
      <c r="O742" s="577">
        <f t="shared" si="1374"/>
        <v>7572.6605668699285</v>
      </c>
      <c r="P742" s="577">
        <f t="shared" si="1374"/>
        <v>8092.9498332352705</v>
      </c>
      <c r="Q742" s="577">
        <f t="shared" si="1374"/>
        <v>8567.3912524226034</v>
      </c>
      <c r="R742" s="577">
        <f t="shared" si="1374"/>
        <v>9041.4706500705815</v>
      </c>
      <c r="S742" s="577">
        <f t="shared" si="1374"/>
        <v>9516.0397967827939</v>
      </c>
      <c r="T742" s="577">
        <f t="shared" si="1374"/>
        <v>9990.6811047047904</v>
      </c>
      <c r="U742" s="577">
        <f t="shared" si="1374"/>
        <v>10467.159220204936</v>
      </c>
      <c r="V742" s="577">
        <f t="shared" si="1374"/>
        <v>10812.974278537011</v>
      </c>
      <c r="W742" s="577">
        <f t="shared" si="1374"/>
        <v>11108.980747432834</v>
      </c>
      <c r="X742" s="577">
        <f t="shared" si="1374"/>
        <v>11405.139875716137</v>
      </c>
      <c r="Y742" s="577">
        <f t="shared" si="1374"/>
        <v>11701.492317838414</v>
      </c>
      <c r="Z742" s="577">
        <f t="shared" si="1374"/>
        <v>11998.409806033393</v>
      </c>
      <c r="AA742" s="577">
        <f t="shared" si="1374"/>
        <v>12295.310454487368</v>
      </c>
      <c r="AB742" s="577">
        <f t="shared" si="1374"/>
        <v>12593.315958196814</v>
      </c>
      <c r="AC742" s="577">
        <f t="shared" si="1374"/>
        <v>12891.066432935495</v>
      </c>
      <c r="AD742" s="577">
        <f t="shared" si="1374"/>
        <v>13189.395602839712</v>
      </c>
      <c r="AE742" s="577">
        <f t="shared" si="1374"/>
        <v>13488.759082304518</v>
      </c>
      <c r="AF742" s="577">
        <f t="shared" si="1374"/>
        <v>13788.665254027197</v>
      </c>
      <c r="AG742" s="577">
        <f t="shared" si="1374"/>
        <v>14089.624653522907</v>
      </c>
      <c r="AH742" s="752">
        <f t="shared" si="1374"/>
        <v>14392.598010444095</v>
      </c>
      <c r="AI742" s="18"/>
      <c r="AJ742" s="18"/>
      <c r="AK742" s="18"/>
      <c r="AL742" s="18"/>
      <c r="AM742" s="18"/>
      <c r="AN742" s="18"/>
    </row>
    <row r="743" spans="2:40" ht="21.95" customHeight="1" x14ac:dyDescent="0.2">
      <c r="B743" s="232"/>
      <c r="C743" s="715"/>
      <c r="D743" s="715"/>
      <c r="E743" s="116"/>
      <c r="F743" s="116"/>
      <c r="G743" s="116"/>
      <c r="H743" s="124" t="s">
        <v>19</v>
      </c>
      <c r="I743" s="577">
        <f t="shared" ref="I743:AH743" si="1375">I668*$I$21</f>
        <v>0</v>
      </c>
      <c r="J743" s="577">
        <f t="shared" si="1375"/>
        <v>20405.356238905104</v>
      </c>
      <c r="K743" s="577">
        <f t="shared" si="1375"/>
        <v>21969.603468733982</v>
      </c>
      <c r="L743" s="577">
        <f t="shared" si="1375"/>
        <v>24048.399126884389</v>
      </c>
      <c r="M743" s="577">
        <f t="shared" si="1375"/>
        <v>26127.843410595902</v>
      </c>
      <c r="N743" s="577">
        <f t="shared" si="1375"/>
        <v>28211.789672109266</v>
      </c>
      <c r="O743" s="577">
        <f t="shared" si="1375"/>
        <v>30290.642267479714</v>
      </c>
      <c r="P743" s="577">
        <f t="shared" si="1375"/>
        <v>32371.799332941082</v>
      </c>
      <c r="Q743" s="577">
        <f t="shared" si="1375"/>
        <v>34269.565009690414</v>
      </c>
      <c r="R743" s="577">
        <f t="shared" si="1375"/>
        <v>36165.882600282326</v>
      </c>
      <c r="S743" s="577">
        <f t="shared" si="1375"/>
        <v>38064.159187131176</v>
      </c>
      <c r="T743" s="577">
        <f t="shared" si="1375"/>
        <v>39962.724418819162</v>
      </c>
      <c r="U743" s="577">
        <f t="shared" si="1375"/>
        <v>41868.636880819744</v>
      </c>
      <c r="V743" s="577">
        <f t="shared" si="1375"/>
        <v>43251.897114148043</v>
      </c>
      <c r="W743" s="577">
        <f t="shared" si="1375"/>
        <v>44435.922989731334</v>
      </c>
      <c r="X743" s="577">
        <f t="shared" si="1375"/>
        <v>45620.559502864548</v>
      </c>
      <c r="Y743" s="577">
        <f t="shared" si="1375"/>
        <v>46805.969271353657</v>
      </c>
      <c r="Z743" s="577">
        <f t="shared" si="1375"/>
        <v>47993.639224133571</v>
      </c>
      <c r="AA743" s="577">
        <f t="shared" si="1375"/>
        <v>49181.241817949471</v>
      </c>
      <c r="AB743" s="577">
        <f t="shared" si="1375"/>
        <v>50373.263832787256</v>
      </c>
      <c r="AC743" s="577">
        <f t="shared" si="1375"/>
        <v>51564.26573174198</v>
      </c>
      <c r="AD743" s="577">
        <f t="shared" si="1375"/>
        <v>52757.582411358846</v>
      </c>
      <c r="AE743" s="577">
        <f t="shared" si="1375"/>
        <v>53955.03632921807</v>
      </c>
      <c r="AF743" s="577">
        <f t="shared" si="1375"/>
        <v>55154.661016108788</v>
      </c>
      <c r="AG743" s="577">
        <f t="shared" si="1375"/>
        <v>56358.49861409163</v>
      </c>
      <c r="AH743" s="752">
        <f t="shared" si="1375"/>
        <v>57570.39204177638</v>
      </c>
      <c r="AI743" s="18"/>
      <c r="AJ743" s="18"/>
      <c r="AK743" s="18"/>
      <c r="AL743" s="18"/>
      <c r="AM743" s="18"/>
      <c r="AN743" s="18"/>
    </row>
    <row r="744" spans="2:40" ht="21.95" customHeight="1" x14ac:dyDescent="0.2">
      <c r="B744" s="232"/>
      <c r="C744" s="715"/>
      <c r="D744" s="715"/>
      <c r="E744" s="254"/>
      <c r="F744" s="254"/>
      <c r="G744" s="254"/>
      <c r="H744" s="721" t="s">
        <v>25</v>
      </c>
      <c r="I744" s="577">
        <f t="shared" ref="I744:AH744" si="1376">SUM(I742:I743)</f>
        <v>0</v>
      </c>
      <c r="J744" s="577">
        <f t="shared" si="1376"/>
        <v>25506.695298631381</v>
      </c>
      <c r="K744" s="577">
        <f t="shared" si="1376"/>
        <v>27462.004335917478</v>
      </c>
      <c r="L744" s="577">
        <f t="shared" si="1376"/>
        <v>30060.498908605485</v>
      </c>
      <c r="M744" s="577">
        <f t="shared" si="1376"/>
        <v>32659.804263244878</v>
      </c>
      <c r="N744" s="577">
        <f t="shared" si="1376"/>
        <v>35264.737090136579</v>
      </c>
      <c r="O744" s="577">
        <f t="shared" si="1376"/>
        <v>37863.302834349641</v>
      </c>
      <c r="P744" s="577">
        <f t="shared" si="1376"/>
        <v>40464.749166176349</v>
      </c>
      <c r="Q744" s="577">
        <f t="shared" si="1376"/>
        <v>42836.956262113017</v>
      </c>
      <c r="R744" s="577">
        <f t="shared" si="1376"/>
        <v>45207.353250352906</v>
      </c>
      <c r="S744" s="577">
        <f t="shared" si="1376"/>
        <v>47580.198983913971</v>
      </c>
      <c r="T744" s="577">
        <f t="shared" si="1376"/>
        <v>49953.40552352395</v>
      </c>
      <c r="U744" s="577">
        <f t="shared" si="1376"/>
        <v>52335.79610102468</v>
      </c>
      <c r="V744" s="577">
        <f t="shared" si="1376"/>
        <v>54064.871392685054</v>
      </c>
      <c r="W744" s="577">
        <f t="shared" si="1376"/>
        <v>55544.903737164168</v>
      </c>
      <c r="X744" s="577">
        <f t="shared" si="1376"/>
        <v>57025.699378580684</v>
      </c>
      <c r="Y744" s="577">
        <f t="shared" si="1376"/>
        <v>58507.461589192069</v>
      </c>
      <c r="Z744" s="577">
        <f t="shared" si="1376"/>
        <v>59992.049030166963</v>
      </c>
      <c r="AA744" s="577">
        <f t="shared" si="1376"/>
        <v>61476.552272436835</v>
      </c>
      <c r="AB744" s="577">
        <f t="shared" si="1376"/>
        <v>62966.579790984069</v>
      </c>
      <c r="AC744" s="577">
        <f t="shared" si="1376"/>
        <v>64455.332164677471</v>
      </c>
      <c r="AD744" s="577">
        <f t="shared" si="1376"/>
        <v>65946.978014198554</v>
      </c>
      <c r="AE744" s="577">
        <f t="shared" si="1376"/>
        <v>67443.795411522588</v>
      </c>
      <c r="AF744" s="577">
        <f t="shared" si="1376"/>
        <v>68943.326270135993</v>
      </c>
      <c r="AG744" s="577">
        <f t="shared" si="1376"/>
        <v>70448.123267614545</v>
      </c>
      <c r="AH744" s="752">
        <f t="shared" si="1376"/>
        <v>71962.99005222047</v>
      </c>
      <c r="AI744" s="18"/>
      <c r="AJ744" s="18"/>
      <c r="AK744" s="18"/>
      <c r="AL744" s="18"/>
      <c r="AM744" s="18"/>
      <c r="AN744" s="18"/>
    </row>
    <row r="745" spans="2:40" ht="21.95" customHeight="1" x14ac:dyDescent="0.2">
      <c r="B745" s="232"/>
      <c r="C745" s="715"/>
      <c r="D745" s="715"/>
      <c r="E745" s="220" t="s">
        <v>357</v>
      </c>
      <c r="F745" s="220" t="s">
        <v>338</v>
      </c>
      <c r="G745" s="220" t="s">
        <v>323</v>
      </c>
      <c r="H745" s="116" t="s">
        <v>20</v>
      </c>
      <c r="I745" s="577">
        <f t="shared" ref="I745:AH745" si="1377">I669*$J$20</f>
        <v>7639.4156932014657</v>
      </c>
      <c r="J745" s="577">
        <f t="shared" si="1377"/>
        <v>7744.3559527607358</v>
      </c>
      <c r="K745" s="577">
        <f t="shared" si="1377"/>
        <v>7925.7637583677661</v>
      </c>
      <c r="L745" s="577">
        <f t="shared" si="1377"/>
        <v>8174.8631035683156</v>
      </c>
      <c r="M745" s="577">
        <f t="shared" si="1377"/>
        <v>8424.1369777815653</v>
      </c>
      <c r="N745" s="577">
        <f t="shared" si="1377"/>
        <v>8673.8616986923535</v>
      </c>
      <c r="O745" s="577">
        <f t="shared" si="1377"/>
        <v>8923.2352975770136</v>
      </c>
      <c r="P745" s="577">
        <f t="shared" si="1377"/>
        <v>9173.6313285089036</v>
      </c>
      <c r="Q745" s="577">
        <f t="shared" si="1377"/>
        <v>9347.387684022031</v>
      </c>
      <c r="R745" s="577">
        <f t="shared" si="1377"/>
        <v>9521.2752470407122</v>
      </c>
      <c r="S745" s="577">
        <f t="shared" si="1377"/>
        <v>9695.313817216198</v>
      </c>
      <c r="T745" s="577">
        <f t="shared" si="1377"/>
        <v>9869.4622698900803</v>
      </c>
      <c r="U745" s="577">
        <f t="shared" si="1377"/>
        <v>10045.028912785612</v>
      </c>
      <c r="V745" s="577">
        <f t="shared" si="1377"/>
        <v>10150.69107971232</v>
      </c>
      <c r="W745" s="577">
        <f t="shared" si="1377"/>
        <v>10256.437454146959</v>
      </c>
      <c r="X745" s="577">
        <f t="shared" si="1377"/>
        <v>10362.276210157072</v>
      </c>
      <c r="Y745" s="577">
        <f t="shared" si="1377"/>
        <v>10468.216212715401</v>
      </c>
      <c r="Z745" s="577">
        <f t="shared" si="1377"/>
        <v>10574.996944228373</v>
      </c>
      <c r="AA745" s="577">
        <f t="shared" si="1377"/>
        <v>10681.169954903035</v>
      </c>
      <c r="AB745" s="577">
        <f t="shared" si="1377"/>
        <v>10787.884490379989</v>
      </c>
      <c r="AC745" s="577">
        <f t="shared" si="1377"/>
        <v>10894.335557002016</v>
      </c>
      <c r="AD745" s="577">
        <f t="shared" si="1377"/>
        <v>11000.944711841441</v>
      </c>
      <c r="AE745" s="577">
        <f t="shared" si="1377"/>
        <v>11108.461331150073</v>
      </c>
      <c r="AF745" s="577">
        <f t="shared" si="1377"/>
        <v>11215.431913437325</v>
      </c>
      <c r="AG745" s="577">
        <f t="shared" si="1377"/>
        <v>11322.606946953832</v>
      </c>
      <c r="AH745" s="752">
        <f t="shared" si="1377"/>
        <v>11430.417600813294</v>
      </c>
      <c r="AI745" s="18"/>
      <c r="AJ745" s="18"/>
      <c r="AK745" s="18"/>
      <c r="AL745" s="18"/>
      <c r="AM745" s="18"/>
      <c r="AN745" s="18"/>
    </row>
    <row r="746" spans="2:40" ht="21.95" customHeight="1" x14ac:dyDescent="0.2">
      <c r="B746" s="232"/>
      <c r="C746" s="715"/>
      <c r="D746" s="715"/>
      <c r="E746" s="116"/>
      <c r="F746" s="116"/>
      <c r="G746" s="116"/>
      <c r="H746" s="124" t="s">
        <v>19</v>
      </c>
      <c r="I746" s="577">
        <f t="shared" ref="I746:AH746" si="1378">I669*$J$21</f>
        <v>30557.662772805863</v>
      </c>
      <c r="J746" s="577">
        <f t="shared" si="1378"/>
        <v>30977.423811042943</v>
      </c>
      <c r="K746" s="577">
        <f t="shared" si="1378"/>
        <v>31703.055033471064</v>
      </c>
      <c r="L746" s="577">
        <f t="shared" si="1378"/>
        <v>32699.452414273263</v>
      </c>
      <c r="M746" s="577">
        <f t="shared" si="1378"/>
        <v>33696.547911126261</v>
      </c>
      <c r="N746" s="577">
        <f t="shared" si="1378"/>
        <v>34695.446794769414</v>
      </c>
      <c r="O746" s="577">
        <f t="shared" si="1378"/>
        <v>35692.941190308055</v>
      </c>
      <c r="P746" s="577">
        <f t="shared" si="1378"/>
        <v>36694.525314035614</v>
      </c>
      <c r="Q746" s="577">
        <f t="shared" si="1378"/>
        <v>37389.550736088124</v>
      </c>
      <c r="R746" s="577">
        <f t="shared" si="1378"/>
        <v>38085.100988162849</v>
      </c>
      <c r="S746" s="577">
        <f t="shared" si="1378"/>
        <v>38781.255268864792</v>
      </c>
      <c r="T746" s="577">
        <f t="shared" si="1378"/>
        <v>39477.849079560321</v>
      </c>
      <c r="U746" s="577">
        <f t="shared" si="1378"/>
        <v>40180.115651142449</v>
      </c>
      <c r="V746" s="577">
        <f t="shared" si="1378"/>
        <v>40602.76431884928</v>
      </c>
      <c r="W746" s="577">
        <f t="shared" si="1378"/>
        <v>41025.749816587835</v>
      </c>
      <c r="X746" s="577">
        <f t="shared" si="1378"/>
        <v>41449.104840628286</v>
      </c>
      <c r="Y746" s="577">
        <f t="shared" si="1378"/>
        <v>41872.864850861602</v>
      </c>
      <c r="Z746" s="577">
        <f t="shared" si="1378"/>
        <v>42299.987776913491</v>
      </c>
      <c r="AA746" s="577">
        <f t="shared" si="1378"/>
        <v>42724.679819612138</v>
      </c>
      <c r="AB746" s="577">
        <f t="shared" si="1378"/>
        <v>43151.537961519956</v>
      </c>
      <c r="AC746" s="577">
        <f t="shared" si="1378"/>
        <v>43577.342228008063</v>
      </c>
      <c r="AD746" s="577">
        <f t="shared" si="1378"/>
        <v>44003.778847365764</v>
      </c>
      <c r="AE746" s="577">
        <f t="shared" si="1378"/>
        <v>44433.84532460029</v>
      </c>
      <c r="AF746" s="577">
        <f t="shared" si="1378"/>
        <v>44861.727653749302</v>
      </c>
      <c r="AG746" s="577">
        <f t="shared" si="1378"/>
        <v>45290.42778781533</v>
      </c>
      <c r="AH746" s="752">
        <f t="shared" si="1378"/>
        <v>45721.670403253178</v>
      </c>
      <c r="AI746" s="18"/>
      <c r="AJ746" s="18"/>
      <c r="AK746" s="18"/>
      <c r="AL746" s="18"/>
      <c r="AM746" s="18"/>
      <c r="AN746" s="18"/>
    </row>
    <row r="747" spans="2:40" ht="21.95" customHeight="1" x14ac:dyDescent="0.2">
      <c r="B747" s="232"/>
      <c r="C747" s="715"/>
      <c r="D747" s="715"/>
      <c r="E747" s="254"/>
      <c r="F747" s="254"/>
      <c r="G747" s="254"/>
      <c r="H747" s="721" t="s">
        <v>25</v>
      </c>
      <c r="I747" s="577">
        <f t="shared" ref="I747:AH747" si="1379">SUM(I745:I746)</f>
        <v>38197.078466007326</v>
      </c>
      <c r="J747" s="577">
        <f t="shared" si="1379"/>
        <v>38721.779763803679</v>
      </c>
      <c r="K747" s="577">
        <f t="shared" si="1379"/>
        <v>39628.818791838828</v>
      </c>
      <c r="L747" s="577">
        <f t="shared" si="1379"/>
        <v>40874.315517841576</v>
      </c>
      <c r="M747" s="577">
        <f t="shared" si="1379"/>
        <v>42120.684888907825</v>
      </c>
      <c r="N747" s="577">
        <f t="shared" si="1379"/>
        <v>43369.308493461765</v>
      </c>
      <c r="O747" s="577">
        <f t="shared" si="1379"/>
        <v>44616.176487885066</v>
      </c>
      <c r="P747" s="577">
        <f t="shared" si="1379"/>
        <v>45868.15664254452</v>
      </c>
      <c r="Q747" s="577">
        <f t="shared" si="1379"/>
        <v>46736.938420110157</v>
      </c>
      <c r="R747" s="577">
        <f t="shared" si="1379"/>
        <v>47606.376235203563</v>
      </c>
      <c r="S747" s="577">
        <f t="shared" si="1379"/>
        <v>48476.569086080992</v>
      </c>
      <c r="T747" s="577">
        <f t="shared" si="1379"/>
        <v>49347.3113494504</v>
      </c>
      <c r="U747" s="577">
        <f t="shared" si="1379"/>
        <v>50225.144563928057</v>
      </c>
      <c r="V747" s="577">
        <f t="shared" si="1379"/>
        <v>50753.4553985616</v>
      </c>
      <c r="W747" s="577">
        <f t="shared" si="1379"/>
        <v>51282.187270734794</v>
      </c>
      <c r="X747" s="577">
        <f t="shared" si="1379"/>
        <v>51811.381050785356</v>
      </c>
      <c r="Y747" s="577">
        <f t="shared" si="1379"/>
        <v>52341.081063577003</v>
      </c>
      <c r="Z747" s="577">
        <f t="shared" si="1379"/>
        <v>52874.984721141867</v>
      </c>
      <c r="AA747" s="577">
        <f t="shared" si="1379"/>
        <v>53405.849774515169</v>
      </c>
      <c r="AB747" s="577">
        <f t="shared" si="1379"/>
        <v>53939.422451899947</v>
      </c>
      <c r="AC747" s="577">
        <f t="shared" si="1379"/>
        <v>54471.677785010077</v>
      </c>
      <c r="AD747" s="577">
        <f t="shared" si="1379"/>
        <v>55004.723559207203</v>
      </c>
      <c r="AE747" s="577">
        <f t="shared" si="1379"/>
        <v>55542.306655750363</v>
      </c>
      <c r="AF747" s="577">
        <f t="shared" si="1379"/>
        <v>56077.159567186623</v>
      </c>
      <c r="AG747" s="577">
        <f t="shared" si="1379"/>
        <v>56613.034734769164</v>
      </c>
      <c r="AH747" s="752">
        <f t="shared" si="1379"/>
        <v>57152.088004066471</v>
      </c>
      <c r="AI747" s="18"/>
      <c r="AJ747" s="18"/>
      <c r="AK747" s="18"/>
      <c r="AL747" s="18"/>
      <c r="AM747" s="18"/>
      <c r="AN747" s="18"/>
    </row>
    <row r="748" spans="2:40" ht="21.95" customHeight="1" x14ac:dyDescent="0.2">
      <c r="B748" s="232"/>
      <c r="C748" s="715"/>
      <c r="D748" s="715"/>
      <c r="E748" s="116" t="s">
        <v>338</v>
      </c>
      <c r="F748" s="116" t="s">
        <v>282</v>
      </c>
      <c r="G748" s="116" t="s">
        <v>357</v>
      </c>
      <c r="H748" s="116" t="s">
        <v>20</v>
      </c>
      <c r="I748" s="577">
        <f t="shared" ref="I748:AH748" si="1380">I670*$K$20</f>
        <v>15656.001865853943</v>
      </c>
      <c r="J748" s="577">
        <f t="shared" si="1380"/>
        <v>16107.317732631887</v>
      </c>
      <c r="K748" s="577">
        <f t="shared" si="1380"/>
        <v>16595.816748492842</v>
      </c>
      <c r="L748" s="577">
        <f t="shared" si="1380"/>
        <v>17243.897794637945</v>
      </c>
      <c r="M748" s="577">
        <f t="shared" si="1380"/>
        <v>17892.088836680399</v>
      </c>
      <c r="N748" s="577">
        <f t="shared" si="1380"/>
        <v>18540.546594112089</v>
      </c>
      <c r="O748" s="577">
        <f t="shared" si="1380"/>
        <v>19188.629380857681</v>
      </c>
      <c r="P748" s="577">
        <f t="shared" si="1380"/>
        <v>19836.885439032572</v>
      </c>
      <c r="Q748" s="577">
        <f t="shared" si="1380"/>
        <v>20550.209867236288</v>
      </c>
      <c r="R748" s="577">
        <f t="shared" si="1380"/>
        <v>21263.301820269371</v>
      </c>
      <c r="S748" s="577">
        <f t="shared" si="1380"/>
        <v>21976.631832906849</v>
      </c>
      <c r="T748" s="577">
        <f t="shared" si="1380"/>
        <v>22689.966173522935</v>
      </c>
      <c r="U748" s="577">
        <f t="shared" si="1380"/>
        <v>23403.713351584247</v>
      </c>
      <c r="V748" s="577">
        <f t="shared" si="1380"/>
        <v>23957.40957230932</v>
      </c>
      <c r="W748" s="577">
        <f t="shared" si="1380"/>
        <v>24408.746963828617</v>
      </c>
      <c r="X748" s="577">
        <f t="shared" si="1380"/>
        <v>24860.088792156639</v>
      </c>
      <c r="Y748" s="577">
        <f t="shared" si="1380"/>
        <v>25311.435852326846</v>
      </c>
      <c r="Z748" s="577">
        <f t="shared" si="1380"/>
        <v>25762.742091233886</v>
      </c>
      <c r="AA748" s="577">
        <f t="shared" si="1380"/>
        <v>26214.102512645564</v>
      </c>
      <c r="AB748" s="577">
        <f t="shared" si="1380"/>
        <v>26665.424390327466</v>
      </c>
      <c r="AC748" s="577">
        <f t="shared" si="1380"/>
        <v>27116.803070609232</v>
      </c>
      <c r="AD748" s="577">
        <f t="shared" si="1380"/>
        <v>27568.193182538416</v>
      </c>
      <c r="AE748" s="577">
        <f t="shared" si="1380"/>
        <v>28019.549578412785</v>
      </c>
      <c r="AF748" s="577">
        <f t="shared" si="1380"/>
        <v>28470.968298508189</v>
      </c>
      <c r="AG748" s="577">
        <f t="shared" si="1380"/>
        <v>28922.404739339792</v>
      </c>
      <c r="AH748" s="752">
        <f t="shared" si="1380"/>
        <v>29373.814610668058</v>
      </c>
      <c r="AI748" s="18"/>
      <c r="AJ748" s="18"/>
      <c r="AK748" s="18"/>
      <c r="AL748" s="18"/>
      <c r="AM748" s="18"/>
      <c r="AN748" s="18"/>
    </row>
    <row r="749" spans="2:40" ht="21.95" customHeight="1" x14ac:dyDescent="0.2">
      <c r="B749" s="232"/>
      <c r="C749" s="715"/>
      <c r="D749" s="715"/>
      <c r="E749" s="116"/>
      <c r="F749" s="116"/>
      <c r="G749" s="116"/>
      <c r="H749" s="124" t="s">
        <v>19</v>
      </c>
      <c r="I749" s="577">
        <f t="shared" ref="I749:AH749" si="1381">I670*$K$21</f>
        <v>62624.007463415772</v>
      </c>
      <c r="J749" s="577">
        <f t="shared" si="1381"/>
        <v>64429.270930527549</v>
      </c>
      <c r="K749" s="577">
        <f t="shared" si="1381"/>
        <v>66383.266993971367</v>
      </c>
      <c r="L749" s="577">
        <f t="shared" si="1381"/>
        <v>68975.591178551782</v>
      </c>
      <c r="M749" s="577">
        <f t="shared" si="1381"/>
        <v>71568.355346721597</v>
      </c>
      <c r="N749" s="577">
        <f t="shared" si="1381"/>
        <v>74162.186376448357</v>
      </c>
      <c r="O749" s="577">
        <f t="shared" si="1381"/>
        <v>76754.517523430724</v>
      </c>
      <c r="P749" s="577">
        <f t="shared" si="1381"/>
        <v>79347.541756130289</v>
      </c>
      <c r="Q749" s="577">
        <f t="shared" si="1381"/>
        <v>82200.839468945152</v>
      </c>
      <c r="R749" s="577">
        <f t="shared" si="1381"/>
        <v>85053.207281077484</v>
      </c>
      <c r="S749" s="577">
        <f t="shared" si="1381"/>
        <v>87906.527331627396</v>
      </c>
      <c r="T749" s="577">
        <f t="shared" si="1381"/>
        <v>90759.864694091739</v>
      </c>
      <c r="U749" s="577">
        <f t="shared" si="1381"/>
        <v>93614.853406336988</v>
      </c>
      <c r="V749" s="577">
        <f t="shared" si="1381"/>
        <v>95829.638289237279</v>
      </c>
      <c r="W749" s="577">
        <f t="shared" si="1381"/>
        <v>97634.987855314466</v>
      </c>
      <c r="X749" s="577">
        <f t="shared" si="1381"/>
        <v>99440.355168626556</v>
      </c>
      <c r="Y749" s="577">
        <f t="shared" si="1381"/>
        <v>101245.74340930738</v>
      </c>
      <c r="Z749" s="577">
        <f t="shared" si="1381"/>
        <v>103050.96836493554</v>
      </c>
      <c r="AA749" s="577">
        <f t="shared" si="1381"/>
        <v>104856.41005058226</v>
      </c>
      <c r="AB749" s="577">
        <f t="shared" si="1381"/>
        <v>106661.69756130986</v>
      </c>
      <c r="AC749" s="577">
        <f t="shared" si="1381"/>
        <v>108467.21228243693</v>
      </c>
      <c r="AD749" s="577">
        <f t="shared" si="1381"/>
        <v>110272.77273015367</v>
      </c>
      <c r="AE749" s="577">
        <f t="shared" si="1381"/>
        <v>112078.19831365114</v>
      </c>
      <c r="AF749" s="577">
        <f t="shared" si="1381"/>
        <v>113883.87319403276</v>
      </c>
      <c r="AG749" s="577">
        <f t="shared" si="1381"/>
        <v>115689.61895735917</v>
      </c>
      <c r="AH749" s="752">
        <f t="shared" si="1381"/>
        <v>117495.25844267223</v>
      </c>
      <c r="AI749" s="18"/>
      <c r="AJ749" s="18"/>
      <c r="AK749" s="18"/>
      <c r="AL749" s="18"/>
      <c r="AM749" s="18"/>
      <c r="AN749" s="18"/>
    </row>
    <row r="750" spans="2:40" ht="21.95" customHeight="1" x14ac:dyDescent="0.2">
      <c r="B750" s="232"/>
      <c r="C750" s="715"/>
      <c r="D750" s="715"/>
      <c r="E750" s="116"/>
      <c r="F750" s="116"/>
      <c r="G750" s="116"/>
      <c r="H750" s="721" t="s">
        <v>25</v>
      </c>
      <c r="I750" s="577">
        <f t="shared" ref="I750:AH750" si="1382">SUM(I748:I749)</f>
        <v>78280.009329269713</v>
      </c>
      <c r="J750" s="577">
        <f t="shared" si="1382"/>
        <v>80536.588663159433</v>
      </c>
      <c r="K750" s="577">
        <f t="shared" si="1382"/>
        <v>82979.083742464209</v>
      </c>
      <c r="L750" s="577">
        <f t="shared" si="1382"/>
        <v>86219.488973189727</v>
      </c>
      <c r="M750" s="577">
        <f t="shared" si="1382"/>
        <v>89460.444183401996</v>
      </c>
      <c r="N750" s="577">
        <f t="shared" si="1382"/>
        <v>92702.73297056045</v>
      </c>
      <c r="O750" s="577">
        <f t="shared" si="1382"/>
        <v>95943.146904288413</v>
      </c>
      <c r="P750" s="577">
        <f t="shared" si="1382"/>
        <v>99184.427195162862</v>
      </c>
      <c r="Q750" s="577">
        <f t="shared" si="1382"/>
        <v>102751.04933618144</v>
      </c>
      <c r="R750" s="577">
        <f t="shared" si="1382"/>
        <v>106316.50910134686</v>
      </c>
      <c r="S750" s="577">
        <f t="shared" si="1382"/>
        <v>109883.15916453424</v>
      </c>
      <c r="T750" s="577">
        <f t="shared" si="1382"/>
        <v>113449.83086761467</v>
      </c>
      <c r="U750" s="577">
        <f t="shared" si="1382"/>
        <v>117018.56675792123</v>
      </c>
      <c r="V750" s="577">
        <f t="shared" si="1382"/>
        <v>119787.0478615466</v>
      </c>
      <c r="W750" s="577">
        <f t="shared" si="1382"/>
        <v>122043.73481914308</v>
      </c>
      <c r="X750" s="577">
        <f t="shared" si="1382"/>
        <v>124300.44396078319</v>
      </c>
      <c r="Y750" s="577">
        <f t="shared" si="1382"/>
        <v>126557.17926163423</v>
      </c>
      <c r="Z750" s="577">
        <f t="shared" si="1382"/>
        <v>128813.71045616943</v>
      </c>
      <c r="AA750" s="577">
        <f t="shared" si="1382"/>
        <v>131070.51256322782</v>
      </c>
      <c r="AB750" s="577">
        <f t="shared" si="1382"/>
        <v>133327.12195163732</v>
      </c>
      <c r="AC750" s="577">
        <f t="shared" si="1382"/>
        <v>135584.01535304615</v>
      </c>
      <c r="AD750" s="577">
        <f t="shared" si="1382"/>
        <v>137840.96591269207</v>
      </c>
      <c r="AE750" s="577">
        <f t="shared" si="1382"/>
        <v>140097.74789206393</v>
      </c>
      <c r="AF750" s="577">
        <f t="shared" si="1382"/>
        <v>142354.84149254096</v>
      </c>
      <c r="AG750" s="577">
        <f t="shared" si="1382"/>
        <v>144612.02369669895</v>
      </c>
      <c r="AH750" s="752">
        <f t="shared" si="1382"/>
        <v>146869.07305334028</v>
      </c>
      <c r="AI750" s="18"/>
      <c r="AJ750" s="18"/>
      <c r="AK750" s="18"/>
      <c r="AL750" s="18"/>
      <c r="AM750" s="18"/>
      <c r="AN750" s="18"/>
    </row>
    <row r="751" spans="2:40" ht="21.95" customHeight="1" x14ac:dyDescent="0.2">
      <c r="B751" s="232"/>
      <c r="C751" s="715"/>
      <c r="D751" s="715"/>
      <c r="E751" s="116"/>
      <c r="F751" s="116" t="s">
        <v>357</v>
      </c>
      <c r="G751" s="116" t="s">
        <v>346</v>
      </c>
      <c r="H751" s="116" t="s">
        <v>20</v>
      </c>
      <c r="I751" s="577">
        <f t="shared" ref="I751:AH751" si="1383">I671*$K$20</f>
        <v>2280.0875564445132</v>
      </c>
      <c r="J751" s="577">
        <f t="shared" si="1383"/>
        <v>2344.8000442023558</v>
      </c>
      <c r="K751" s="577">
        <f t="shared" si="1383"/>
        <v>2416.6138060840563</v>
      </c>
      <c r="L751" s="577">
        <f t="shared" si="1383"/>
        <v>2517.4116853685737</v>
      </c>
      <c r="M751" s="577">
        <f t="shared" si="1383"/>
        <v>2618.2275697569798</v>
      </c>
      <c r="N751" s="577">
        <f t="shared" si="1383"/>
        <v>2719.0644612335009</v>
      </c>
      <c r="O751" s="577">
        <f t="shared" si="1383"/>
        <v>2819.8623600170085</v>
      </c>
      <c r="P751" s="577">
        <f t="shared" si="1383"/>
        <v>2920.6662712528696</v>
      </c>
      <c r="Q751" s="577">
        <f t="shared" si="1383"/>
        <v>3033.9656875950432</v>
      </c>
      <c r="R751" s="577">
        <f t="shared" si="1383"/>
        <v>3147.2261322499976</v>
      </c>
      <c r="S751" s="577">
        <f t="shared" si="1383"/>
        <v>3260.5256199193122</v>
      </c>
      <c r="T751" s="577">
        <f t="shared" si="1383"/>
        <v>3373.8251645979481</v>
      </c>
      <c r="U751" s="577">
        <f t="shared" si="1383"/>
        <v>3487.1427875097856</v>
      </c>
      <c r="V751" s="577">
        <f t="shared" si="1383"/>
        <v>3571.4702936663271</v>
      </c>
      <c r="W751" s="577">
        <f t="shared" si="1383"/>
        <v>3636.183031883219</v>
      </c>
      <c r="X751" s="577">
        <f t="shared" si="1383"/>
        <v>3700.8958194592433</v>
      </c>
      <c r="Y751" s="577">
        <f t="shared" si="1383"/>
        <v>3765.6086648842575</v>
      </c>
      <c r="Z751" s="577">
        <f t="shared" si="1383"/>
        <v>3830.2885764165712</v>
      </c>
      <c r="AA751" s="577">
        <f t="shared" si="1383"/>
        <v>3895.0015682231387</v>
      </c>
      <c r="AB751" s="577">
        <f t="shared" si="1383"/>
        <v>3959.6816500586738</v>
      </c>
      <c r="AC751" s="577">
        <f t="shared" si="1383"/>
        <v>4024.3948397031727</v>
      </c>
      <c r="AD751" s="577">
        <f t="shared" si="1383"/>
        <v>4089.1081522936092</v>
      </c>
      <c r="AE751" s="577">
        <f t="shared" si="1383"/>
        <v>4153.7886050029238</v>
      </c>
      <c r="AF751" s="577">
        <f t="shared" si="1383"/>
        <v>4218.5022228787202</v>
      </c>
      <c r="AG751" s="577">
        <f t="shared" si="1383"/>
        <v>4283.2160285868913</v>
      </c>
      <c r="AH751" s="752">
        <f t="shared" si="1383"/>
        <v>4347.8970475896413</v>
      </c>
      <c r="AI751" s="18"/>
      <c r="AJ751" s="18"/>
      <c r="AK751" s="18"/>
      <c r="AL751" s="18"/>
      <c r="AM751" s="18"/>
      <c r="AN751" s="18"/>
    </row>
    <row r="752" spans="2:40" ht="21.95" customHeight="1" x14ac:dyDescent="0.2">
      <c r="B752" s="232"/>
      <c r="C752" s="715"/>
      <c r="D752" s="715"/>
      <c r="E752" s="116"/>
      <c r="F752" s="116"/>
      <c r="G752" s="116"/>
      <c r="H752" s="124" t="s">
        <v>19</v>
      </c>
      <c r="I752" s="577">
        <f t="shared" ref="I752:AH752" si="1384">I671*$K$21</f>
        <v>9120.3502257780528</v>
      </c>
      <c r="J752" s="577">
        <f t="shared" si="1384"/>
        <v>9379.2001768094233</v>
      </c>
      <c r="K752" s="577">
        <f t="shared" si="1384"/>
        <v>9666.455224336225</v>
      </c>
      <c r="L752" s="577">
        <f t="shared" si="1384"/>
        <v>10069.646741474295</v>
      </c>
      <c r="M752" s="577">
        <f t="shared" si="1384"/>
        <v>10472.910279027919</v>
      </c>
      <c r="N752" s="577">
        <f t="shared" si="1384"/>
        <v>10876.257844934004</v>
      </c>
      <c r="O752" s="577">
        <f t="shared" si="1384"/>
        <v>11279.449440068034</v>
      </c>
      <c r="P752" s="577">
        <f t="shared" si="1384"/>
        <v>11682.665085011478</v>
      </c>
      <c r="Q752" s="577">
        <f t="shared" si="1384"/>
        <v>12135.862750380173</v>
      </c>
      <c r="R752" s="577">
        <f t="shared" si="1384"/>
        <v>12588.90452899999</v>
      </c>
      <c r="S752" s="577">
        <f t="shared" si="1384"/>
        <v>13042.102479677249</v>
      </c>
      <c r="T752" s="577">
        <f t="shared" si="1384"/>
        <v>13495.300658391792</v>
      </c>
      <c r="U752" s="577">
        <f t="shared" si="1384"/>
        <v>13948.571150039143</v>
      </c>
      <c r="V752" s="577">
        <f t="shared" si="1384"/>
        <v>14285.881174665308</v>
      </c>
      <c r="W752" s="577">
        <f t="shared" si="1384"/>
        <v>14544.732127532876</v>
      </c>
      <c r="X752" s="577">
        <f t="shared" si="1384"/>
        <v>14803.583277836973</v>
      </c>
      <c r="Y752" s="577">
        <f t="shared" si="1384"/>
        <v>15062.43465953703</v>
      </c>
      <c r="Z752" s="577">
        <f t="shared" si="1384"/>
        <v>15321.154305666285</v>
      </c>
      <c r="AA752" s="577">
        <f t="shared" si="1384"/>
        <v>15580.006272892555</v>
      </c>
      <c r="AB752" s="577">
        <f t="shared" si="1384"/>
        <v>15838.726600234695</v>
      </c>
      <c r="AC752" s="577">
        <f t="shared" si="1384"/>
        <v>16097.579358812691</v>
      </c>
      <c r="AD752" s="577">
        <f t="shared" si="1384"/>
        <v>16356.432609174437</v>
      </c>
      <c r="AE752" s="577">
        <f t="shared" si="1384"/>
        <v>16615.154420011695</v>
      </c>
      <c r="AF752" s="577">
        <f t="shared" si="1384"/>
        <v>16874.008891514881</v>
      </c>
      <c r="AG752" s="577">
        <f t="shared" si="1384"/>
        <v>17132.864114347565</v>
      </c>
      <c r="AH752" s="752">
        <f t="shared" si="1384"/>
        <v>17391.588190358565</v>
      </c>
      <c r="AI752" s="18"/>
      <c r="AJ752" s="18"/>
      <c r="AK752" s="18"/>
      <c r="AL752" s="18"/>
      <c r="AM752" s="18"/>
      <c r="AN752" s="18"/>
    </row>
    <row r="753" spans="2:40" ht="21.95" customHeight="1" x14ac:dyDescent="0.2">
      <c r="B753" s="232"/>
      <c r="C753" s="715"/>
      <c r="D753" s="715"/>
      <c r="E753" s="116"/>
      <c r="F753" s="116"/>
      <c r="G753" s="116"/>
      <c r="H753" s="721" t="s">
        <v>25</v>
      </c>
      <c r="I753" s="577">
        <f t="shared" ref="I753:AH753" si="1385">SUM(I751:I752)</f>
        <v>11400.437782222565</v>
      </c>
      <c r="J753" s="577">
        <f t="shared" si="1385"/>
        <v>11724.000221011778</v>
      </c>
      <c r="K753" s="577">
        <f t="shared" si="1385"/>
        <v>12083.069030420282</v>
      </c>
      <c r="L753" s="577">
        <f t="shared" si="1385"/>
        <v>12587.058426842868</v>
      </c>
      <c r="M753" s="577">
        <f t="shared" si="1385"/>
        <v>13091.1378487849</v>
      </c>
      <c r="N753" s="577">
        <f t="shared" si="1385"/>
        <v>13595.322306167505</v>
      </c>
      <c r="O753" s="577">
        <f t="shared" si="1385"/>
        <v>14099.311800085043</v>
      </c>
      <c r="P753" s="577">
        <f t="shared" si="1385"/>
        <v>14603.331356264349</v>
      </c>
      <c r="Q753" s="577">
        <f t="shared" si="1385"/>
        <v>15169.828437975215</v>
      </c>
      <c r="R753" s="577">
        <f t="shared" si="1385"/>
        <v>15736.130661249988</v>
      </c>
      <c r="S753" s="577">
        <f t="shared" si="1385"/>
        <v>16302.628099596561</v>
      </c>
      <c r="T753" s="577">
        <f t="shared" si="1385"/>
        <v>16869.125822989739</v>
      </c>
      <c r="U753" s="577">
        <f t="shared" si="1385"/>
        <v>17435.713937548928</v>
      </c>
      <c r="V753" s="577">
        <f t="shared" si="1385"/>
        <v>17857.351468331635</v>
      </c>
      <c r="W753" s="577">
        <f t="shared" si="1385"/>
        <v>18180.915159416094</v>
      </c>
      <c r="X753" s="577">
        <f t="shared" si="1385"/>
        <v>18504.479097296215</v>
      </c>
      <c r="Y753" s="577">
        <f t="shared" si="1385"/>
        <v>18828.043324421287</v>
      </c>
      <c r="Z753" s="577">
        <f t="shared" si="1385"/>
        <v>19151.442882082854</v>
      </c>
      <c r="AA753" s="577">
        <f t="shared" si="1385"/>
        <v>19475.007841115694</v>
      </c>
      <c r="AB753" s="577">
        <f t="shared" si="1385"/>
        <v>19798.408250293367</v>
      </c>
      <c r="AC753" s="577">
        <f t="shared" si="1385"/>
        <v>20121.974198515862</v>
      </c>
      <c r="AD753" s="577">
        <f t="shared" si="1385"/>
        <v>20445.540761468044</v>
      </c>
      <c r="AE753" s="577">
        <f t="shared" si="1385"/>
        <v>20768.943025014618</v>
      </c>
      <c r="AF753" s="577">
        <f t="shared" si="1385"/>
        <v>21092.511114393601</v>
      </c>
      <c r="AG753" s="577">
        <f t="shared" si="1385"/>
        <v>21416.080142934457</v>
      </c>
      <c r="AH753" s="752">
        <f t="shared" si="1385"/>
        <v>21739.485237948207</v>
      </c>
      <c r="AI753" s="18"/>
      <c r="AJ753" s="18"/>
      <c r="AK753" s="18"/>
      <c r="AL753" s="18"/>
      <c r="AM753" s="18"/>
      <c r="AN753" s="18"/>
    </row>
    <row r="754" spans="2:40" ht="21.95" customHeight="1" x14ac:dyDescent="0.2">
      <c r="B754" s="232"/>
      <c r="C754" s="715"/>
      <c r="D754" s="715"/>
      <c r="E754" s="116"/>
      <c r="F754" s="116" t="s">
        <v>346</v>
      </c>
      <c r="G754" s="116" t="s">
        <v>343</v>
      </c>
      <c r="H754" s="116" t="s">
        <v>20</v>
      </c>
      <c r="I754" s="577">
        <f t="shared" ref="I754:AH754" si="1386">I672*$K$20</f>
        <v>686.7696641868572</v>
      </c>
      <c r="J754" s="577">
        <f t="shared" si="1386"/>
        <v>706.26127389759552</v>
      </c>
      <c r="K754" s="577">
        <f t="shared" si="1386"/>
        <v>727.89181082767868</v>
      </c>
      <c r="L754" s="577">
        <f t="shared" si="1386"/>
        <v>758.25245889639848</v>
      </c>
      <c r="M754" s="577">
        <f t="shared" si="1386"/>
        <v>788.61853244678764</v>
      </c>
      <c r="N754" s="577">
        <f t="shared" si="1386"/>
        <v>818.99093665468956</v>
      </c>
      <c r="O754" s="577">
        <f t="shared" si="1386"/>
        <v>849.35160070163738</v>
      </c>
      <c r="P754" s="577">
        <f t="shared" si="1386"/>
        <v>879.71408205230989</v>
      </c>
      <c r="Q754" s="577">
        <f t="shared" si="1386"/>
        <v>913.84026260204337</v>
      </c>
      <c r="R754" s="577">
        <f t="shared" si="1386"/>
        <v>947.95472020378747</v>
      </c>
      <c r="S754" s="577">
        <f t="shared" si="1386"/>
        <v>982.08095920174753</v>
      </c>
      <c r="T754" s="577">
        <f t="shared" si="1386"/>
        <v>1016.2072449153555</v>
      </c>
      <c r="U754" s="577">
        <f t="shared" si="1386"/>
        <v>1050.3390160356275</v>
      </c>
      <c r="V754" s="577">
        <f t="shared" si="1386"/>
        <v>1075.7388694480862</v>
      </c>
      <c r="W754" s="577">
        <f t="shared" si="1386"/>
        <v>1095.2306843946824</v>
      </c>
      <c r="X754" s="577">
        <f t="shared" si="1386"/>
        <v>1114.7225397880654</v>
      </c>
      <c r="Y754" s="577">
        <f t="shared" si="1386"/>
        <v>1134.2144425851554</v>
      </c>
      <c r="Z754" s="577">
        <f t="shared" si="1386"/>
        <v>1153.6964605043302</v>
      </c>
      <c r="AA754" s="577">
        <f t="shared" si="1386"/>
        <v>1173.1884832521416</v>
      </c>
      <c r="AB754" s="577">
        <f t="shared" si="1386"/>
        <v>1192.6706407243798</v>
      </c>
      <c r="AC754" s="577">
        <f t="shared" si="1386"/>
        <v>1212.1628255882654</v>
      </c>
      <c r="AD754" s="577">
        <f t="shared" si="1386"/>
        <v>1231.6551111988185</v>
      </c>
      <c r="AE754" s="577">
        <f t="shared" si="1386"/>
        <v>1251.1375725794167</v>
      </c>
      <c r="AF754" s="577">
        <f t="shared" si="1386"/>
        <v>1270.6301083526332</v>
      </c>
      <c r="AG754" s="577">
        <f t="shared" si="1386"/>
        <v>1290.122798042983</v>
      </c>
      <c r="AH754" s="752">
        <f t="shared" si="1386"/>
        <v>1309.6057234663833</v>
      </c>
      <c r="AI754" s="18"/>
      <c r="AJ754" s="18"/>
      <c r="AK754" s="18"/>
      <c r="AL754" s="18"/>
      <c r="AM754" s="18"/>
      <c r="AN754" s="18"/>
    </row>
    <row r="755" spans="2:40" ht="21.95" customHeight="1" x14ac:dyDescent="0.2">
      <c r="B755" s="232"/>
      <c r="C755" s="715"/>
      <c r="D755" s="715"/>
      <c r="E755" s="116"/>
      <c r="F755" s="116"/>
      <c r="G755" s="116"/>
      <c r="H755" s="124" t="s">
        <v>19</v>
      </c>
      <c r="I755" s="577">
        <f t="shared" ref="I755:AH755" si="1387">I672*$K$21</f>
        <v>2747.0786567474288</v>
      </c>
      <c r="J755" s="577">
        <f t="shared" si="1387"/>
        <v>2825.0450955903821</v>
      </c>
      <c r="K755" s="577">
        <f t="shared" si="1387"/>
        <v>2911.5672433107147</v>
      </c>
      <c r="L755" s="577">
        <f t="shared" si="1387"/>
        <v>3033.0098355855939</v>
      </c>
      <c r="M755" s="577">
        <f t="shared" si="1387"/>
        <v>3154.4741297871506</v>
      </c>
      <c r="N755" s="577">
        <f t="shared" si="1387"/>
        <v>3275.9637466187583</v>
      </c>
      <c r="O755" s="577">
        <f t="shared" si="1387"/>
        <v>3397.4064028065495</v>
      </c>
      <c r="P755" s="577">
        <f t="shared" si="1387"/>
        <v>3518.8563282092396</v>
      </c>
      <c r="Q755" s="577">
        <f t="shared" si="1387"/>
        <v>3655.3610504081735</v>
      </c>
      <c r="R755" s="577">
        <f t="shared" si="1387"/>
        <v>3791.8188808151499</v>
      </c>
      <c r="S755" s="577">
        <f t="shared" si="1387"/>
        <v>3928.3238368069901</v>
      </c>
      <c r="T755" s="577">
        <f t="shared" si="1387"/>
        <v>4064.8289796614222</v>
      </c>
      <c r="U755" s="577">
        <f t="shared" si="1387"/>
        <v>4201.3560641425101</v>
      </c>
      <c r="V755" s="577">
        <f t="shared" si="1387"/>
        <v>4302.9554777923449</v>
      </c>
      <c r="W755" s="577">
        <f t="shared" si="1387"/>
        <v>4380.9227375787295</v>
      </c>
      <c r="X755" s="577">
        <f t="shared" si="1387"/>
        <v>4458.8901591522617</v>
      </c>
      <c r="Y755" s="577">
        <f t="shared" si="1387"/>
        <v>4536.8577703406218</v>
      </c>
      <c r="Z755" s="577">
        <f t="shared" si="1387"/>
        <v>4614.7858420173206</v>
      </c>
      <c r="AA755" s="577">
        <f t="shared" si="1387"/>
        <v>4692.7539330085665</v>
      </c>
      <c r="AB755" s="577">
        <f t="shared" si="1387"/>
        <v>4770.6825628975193</v>
      </c>
      <c r="AC755" s="577">
        <f t="shared" si="1387"/>
        <v>4848.6513023530615</v>
      </c>
      <c r="AD755" s="577">
        <f t="shared" si="1387"/>
        <v>4926.6204447952741</v>
      </c>
      <c r="AE755" s="577">
        <f t="shared" si="1387"/>
        <v>5004.5502903176666</v>
      </c>
      <c r="AF755" s="577">
        <f t="shared" si="1387"/>
        <v>5082.5204334105329</v>
      </c>
      <c r="AG755" s="577">
        <f t="shared" si="1387"/>
        <v>5160.4911921719322</v>
      </c>
      <c r="AH755" s="752">
        <f t="shared" si="1387"/>
        <v>5238.4228938655333</v>
      </c>
      <c r="AI755" s="18"/>
      <c r="AJ755" s="18"/>
      <c r="AK755" s="18"/>
      <c r="AL755" s="18"/>
      <c r="AM755" s="18"/>
      <c r="AN755" s="18"/>
    </row>
    <row r="756" spans="2:40" ht="21.95" customHeight="1" x14ac:dyDescent="0.2">
      <c r="B756" s="232"/>
      <c r="C756" s="715"/>
      <c r="D756" s="715"/>
      <c r="E756" s="116"/>
      <c r="F756" s="116"/>
      <c r="G756" s="116"/>
      <c r="H756" s="721" t="s">
        <v>25</v>
      </c>
      <c r="I756" s="577">
        <f t="shared" ref="I756:AH756" si="1388">SUM(I754:I755)</f>
        <v>3433.8483209342858</v>
      </c>
      <c r="J756" s="577">
        <f t="shared" si="1388"/>
        <v>3531.3063694879775</v>
      </c>
      <c r="K756" s="577">
        <f t="shared" si="1388"/>
        <v>3639.4590541383932</v>
      </c>
      <c r="L756" s="577">
        <f t="shared" si="1388"/>
        <v>3791.2622944819923</v>
      </c>
      <c r="M756" s="577">
        <f t="shared" si="1388"/>
        <v>3943.0926622339384</v>
      </c>
      <c r="N756" s="577">
        <f t="shared" si="1388"/>
        <v>4094.9546832734477</v>
      </c>
      <c r="O756" s="577">
        <f t="shared" si="1388"/>
        <v>4246.7580035081864</v>
      </c>
      <c r="P756" s="577">
        <f t="shared" si="1388"/>
        <v>4398.5704102615491</v>
      </c>
      <c r="Q756" s="577">
        <f t="shared" si="1388"/>
        <v>4569.2013130102168</v>
      </c>
      <c r="R756" s="577">
        <f t="shared" si="1388"/>
        <v>4739.7736010189374</v>
      </c>
      <c r="S756" s="577">
        <f t="shared" si="1388"/>
        <v>4910.4047960087373</v>
      </c>
      <c r="T756" s="577">
        <f t="shared" si="1388"/>
        <v>5081.0362245767774</v>
      </c>
      <c r="U756" s="577">
        <f t="shared" si="1388"/>
        <v>5251.6950801781377</v>
      </c>
      <c r="V756" s="577">
        <f t="shared" si="1388"/>
        <v>5378.6943472404309</v>
      </c>
      <c r="W756" s="577">
        <f t="shared" si="1388"/>
        <v>5476.1534219734122</v>
      </c>
      <c r="X756" s="577">
        <f t="shared" si="1388"/>
        <v>5573.6126989403274</v>
      </c>
      <c r="Y756" s="577">
        <f t="shared" si="1388"/>
        <v>5671.0722129257774</v>
      </c>
      <c r="Z756" s="577">
        <f t="shared" si="1388"/>
        <v>5768.482302521651</v>
      </c>
      <c r="AA756" s="577">
        <f t="shared" si="1388"/>
        <v>5865.9424162607083</v>
      </c>
      <c r="AB756" s="577">
        <f t="shared" si="1388"/>
        <v>5963.3532036218994</v>
      </c>
      <c r="AC756" s="577">
        <f t="shared" si="1388"/>
        <v>6060.8141279413267</v>
      </c>
      <c r="AD756" s="577">
        <f t="shared" si="1388"/>
        <v>6158.2755559940924</v>
      </c>
      <c r="AE756" s="577">
        <f t="shared" si="1388"/>
        <v>6255.6878628970835</v>
      </c>
      <c r="AF756" s="577">
        <f t="shared" si="1388"/>
        <v>6353.1505417631661</v>
      </c>
      <c r="AG756" s="577">
        <f t="shared" si="1388"/>
        <v>6450.6139902149152</v>
      </c>
      <c r="AH756" s="752">
        <f t="shared" si="1388"/>
        <v>6548.0286173319164</v>
      </c>
      <c r="AI756" s="18"/>
      <c r="AJ756" s="18"/>
      <c r="AK756" s="18"/>
      <c r="AL756" s="18"/>
      <c r="AM756" s="18"/>
      <c r="AN756" s="18"/>
    </row>
    <row r="757" spans="2:40" ht="21.95" customHeight="1" x14ac:dyDescent="0.2">
      <c r="B757" s="232"/>
      <c r="C757" s="715"/>
      <c r="D757" s="715"/>
      <c r="E757" s="116"/>
      <c r="F757" s="116" t="s">
        <v>343</v>
      </c>
      <c r="G757" s="116" t="s">
        <v>350</v>
      </c>
      <c r="H757" s="116" t="s">
        <v>20</v>
      </c>
      <c r="I757" s="577">
        <f t="shared" ref="I757:AH757" si="1389">I673*$K$20</f>
        <v>1762.1063593425749</v>
      </c>
      <c r="J757" s="577">
        <f t="shared" si="1389"/>
        <v>1812.0738225524194</v>
      </c>
      <c r="K757" s="577">
        <f t="shared" si="1389"/>
        <v>1869.0104167221086</v>
      </c>
      <c r="L757" s="577">
        <f t="shared" si="1389"/>
        <v>1941.7619161879506</v>
      </c>
      <c r="M757" s="577">
        <f t="shared" si="1389"/>
        <v>2014.5369111527511</v>
      </c>
      <c r="N757" s="577">
        <f t="shared" si="1389"/>
        <v>2087.3001597809184</v>
      </c>
      <c r="O757" s="577">
        <f t="shared" si="1389"/>
        <v>2160.0516624621209</v>
      </c>
      <c r="P757" s="577">
        <f t="shared" si="1389"/>
        <v>2232.8178513090552</v>
      </c>
      <c r="Q757" s="577">
        <f t="shared" si="1389"/>
        <v>2315.0612395999901</v>
      </c>
      <c r="R757" s="577">
        <f t="shared" si="1389"/>
        <v>2397.3016956865458</v>
      </c>
      <c r="S757" s="577">
        <f t="shared" si="1389"/>
        <v>2479.5333475878579</v>
      </c>
      <c r="T757" s="577">
        <f t="shared" si="1389"/>
        <v>2561.7767554652346</v>
      </c>
      <c r="U757" s="577">
        <f t="shared" si="1389"/>
        <v>2644.0348590987546</v>
      </c>
      <c r="V757" s="577">
        <f t="shared" si="1389"/>
        <v>2710.4604399925938</v>
      </c>
      <c r="W757" s="577">
        <f t="shared" si="1389"/>
        <v>2760.4279444402255</v>
      </c>
      <c r="X757" s="577">
        <f t="shared" si="1389"/>
        <v>2810.3954571863419</v>
      </c>
      <c r="Y757" s="577">
        <f t="shared" si="1389"/>
        <v>2860.3629796844962</v>
      </c>
      <c r="Z757" s="577">
        <f t="shared" si="1389"/>
        <v>2910.3158293676602</v>
      </c>
      <c r="AA757" s="577">
        <f t="shared" si="1389"/>
        <v>2960.2833766431199</v>
      </c>
      <c r="AB757" s="577">
        <f t="shared" si="1389"/>
        <v>3010.2362552304303</v>
      </c>
      <c r="AC757" s="577">
        <f t="shared" si="1389"/>
        <v>3060.2038361564846</v>
      </c>
      <c r="AD757" s="577">
        <f t="shared" si="1389"/>
        <v>3110.1714380628709</v>
      </c>
      <c r="AE757" s="577">
        <f t="shared" si="1389"/>
        <v>3160.1243799690765</v>
      </c>
      <c r="AF757" s="577">
        <f t="shared" si="1389"/>
        <v>3210.0920341518417</v>
      </c>
      <c r="AG757" s="577">
        <f t="shared" si="1389"/>
        <v>3260.0597205937361</v>
      </c>
      <c r="AH757" s="752">
        <f t="shared" si="1389"/>
        <v>3310.0127598019262</v>
      </c>
      <c r="AI757" s="18"/>
      <c r="AJ757" s="18"/>
      <c r="AK757" s="18"/>
      <c r="AL757" s="18"/>
      <c r="AM757" s="18"/>
      <c r="AN757" s="18"/>
    </row>
    <row r="758" spans="2:40" ht="21.95" customHeight="1" x14ac:dyDescent="0.2">
      <c r="B758" s="232"/>
      <c r="C758" s="715"/>
      <c r="D758" s="715"/>
      <c r="E758" s="116"/>
      <c r="F758" s="116"/>
      <c r="G758" s="116"/>
      <c r="H758" s="124" t="s">
        <v>19</v>
      </c>
      <c r="I758" s="577">
        <f t="shared" ref="I758:AH758" si="1390">I673*$K$21</f>
        <v>7048.4254373702997</v>
      </c>
      <c r="J758" s="577">
        <f t="shared" si="1390"/>
        <v>7248.2952902096777</v>
      </c>
      <c r="K758" s="577">
        <f t="shared" si="1390"/>
        <v>7476.0416668884345</v>
      </c>
      <c r="L758" s="577">
        <f t="shared" si="1390"/>
        <v>7767.0476647518026</v>
      </c>
      <c r="M758" s="577">
        <f t="shared" si="1390"/>
        <v>8058.1476446110046</v>
      </c>
      <c r="N758" s="577">
        <f t="shared" si="1390"/>
        <v>8349.2006391236737</v>
      </c>
      <c r="O758" s="577">
        <f t="shared" si="1390"/>
        <v>8640.2066498484837</v>
      </c>
      <c r="P758" s="577">
        <f t="shared" si="1390"/>
        <v>8931.2714052362207</v>
      </c>
      <c r="Q758" s="577">
        <f t="shared" si="1390"/>
        <v>9260.2449583999605</v>
      </c>
      <c r="R758" s="577">
        <f t="shared" si="1390"/>
        <v>9589.2067827461833</v>
      </c>
      <c r="S758" s="577">
        <f t="shared" si="1390"/>
        <v>9918.1333903514314</v>
      </c>
      <c r="T758" s="577">
        <f t="shared" si="1390"/>
        <v>10247.107021860938</v>
      </c>
      <c r="U758" s="577">
        <f t="shared" si="1390"/>
        <v>10576.139436395018</v>
      </c>
      <c r="V758" s="577">
        <f t="shared" si="1390"/>
        <v>10841.841759970375</v>
      </c>
      <c r="W758" s="577">
        <f t="shared" si="1390"/>
        <v>11041.711777760902</v>
      </c>
      <c r="X758" s="577">
        <f t="shared" si="1390"/>
        <v>11241.581828745368</v>
      </c>
      <c r="Y758" s="577">
        <f t="shared" si="1390"/>
        <v>11441.451918737985</v>
      </c>
      <c r="Z758" s="577">
        <f t="shared" si="1390"/>
        <v>11641.263317470641</v>
      </c>
      <c r="AA758" s="577">
        <f t="shared" si="1390"/>
        <v>11841.13350657248</v>
      </c>
      <c r="AB758" s="577">
        <f t="shared" si="1390"/>
        <v>12040.945020921721</v>
      </c>
      <c r="AC758" s="577">
        <f t="shared" si="1390"/>
        <v>12240.815344625938</v>
      </c>
      <c r="AD758" s="577">
        <f t="shared" si="1390"/>
        <v>12440.685752251484</v>
      </c>
      <c r="AE758" s="577">
        <f t="shared" si="1390"/>
        <v>12640.497519876306</v>
      </c>
      <c r="AF758" s="577">
        <f t="shared" si="1390"/>
        <v>12840.368136607367</v>
      </c>
      <c r="AG758" s="577">
        <f t="shared" si="1390"/>
        <v>13040.238882374944</v>
      </c>
      <c r="AH758" s="752">
        <f t="shared" si="1390"/>
        <v>13240.051039207705</v>
      </c>
      <c r="AI758" s="18"/>
      <c r="AJ758" s="18"/>
      <c r="AK758" s="18"/>
      <c r="AL758" s="18"/>
      <c r="AM758" s="18"/>
      <c r="AN758" s="18"/>
    </row>
    <row r="759" spans="2:40" ht="21.95" customHeight="1" x14ac:dyDescent="0.2">
      <c r="B759" s="232"/>
      <c r="C759" s="715"/>
      <c r="D759" s="715"/>
      <c r="E759" s="116"/>
      <c r="F759" s="116"/>
      <c r="G759" s="116"/>
      <c r="H759" s="721" t="s">
        <v>25</v>
      </c>
      <c r="I759" s="577">
        <f t="shared" ref="I759:AH759" si="1391">SUM(I757:I758)</f>
        <v>8810.531796712874</v>
      </c>
      <c r="J759" s="577">
        <f t="shared" si="1391"/>
        <v>9060.3691127620968</v>
      </c>
      <c r="K759" s="577">
        <f t="shared" si="1391"/>
        <v>9345.0520836105425</v>
      </c>
      <c r="L759" s="577">
        <f t="shared" si="1391"/>
        <v>9708.8095809397528</v>
      </c>
      <c r="M759" s="577">
        <f t="shared" si="1391"/>
        <v>10072.684555763755</v>
      </c>
      <c r="N759" s="577">
        <f t="shared" si="1391"/>
        <v>10436.500798904592</v>
      </c>
      <c r="O759" s="577">
        <f t="shared" si="1391"/>
        <v>10800.258312310605</v>
      </c>
      <c r="P759" s="577">
        <f t="shared" si="1391"/>
        <v>11164.089256545276</v>
      </c>
      <c r="Q759" s="577">
        <f t="shared" si="1391"/>
        <v>11575.306197999951</v>
      </c>
      <c r="R759" s="577">
        <f t="shared" si="1391"/>
        <v>11986.50847843273</v>
      </c>
      <c r="S759" s="577">
        <f t="shared" si="1391"/>
        <v>12397.666737939289</v>
      </c>
      <c r="T759" s="577">
        <f t="shared" si="1391"/>
        <v>12808.883777326173</v>
      </c>
      <c r="U759" s="577">
        <f t="shared" si="1391"/>
        <v>13220.174295493773</v>
      </c>
      <c r="V759" s="577">
        <f t="shared" si="1391"/>
        <v>13552.302199962969</v>
      </c>
      <c r="W759" s="577">
        <f t="shared" si="1391"/>
        <v>13802.139722201127</v>
      </c>
      <c r="X759" s="577">
        <f t="shared" si="1391"/>
        <v>14051.977285931709</v>
      </c>
      <c r="Y759" s="577">
        <f t="shared" si="1391"/>
        <v>14301.814898422481</v>
      </c>
      <c r="Z759" s="577">
        <f t="shared" si="1391"/>
        <v>14551.579146838301</v>
      </c>
      <c r="AA759" s="577">
        <f t="shared" si="1391"/>
        <v>14801.416883215599</v>
      </c>
      <c r="AB759" s="577">
        <f t="shared" si="1391"/>
        <v>15051.181276152151</v>
      </c>
      <c r="AC759" s="577">
        <f t="shared" si="1391"/>
        <v>15301.019180782423</v>
      </c>
      <c r="AD759" s="577">
        <f t="shared" si="1391"/>
        <v>15550.857190314355</v>
      </c>
      <c r="AE759" s="577">
        <f t="shared" si="1391"/>
        <v>15800.621899845382</v>
      </c>
      <c r="AF759" s="577">
        <f t="shared" si="1391"/>
        <v>16050.460170759208</v>
      </c>
      <c r="AG759" s="577">
        <f t="shared" si="1391"/>
        <v>16300.29860296868</v>
      </c>
      <c r="AH759" s="752">
        <f t="shared" si="1391"/>
        <v>16550.063799009629</v>
      </c>
      <c r="AI759" s="18"/>
      <c r="AJ759" s="18"/>
      <c r="AK759" s="18"/>
      <c r="AL759" s="18"/>
      <c r="AM759" s="18"/>
      <c r="AN759" s="18"/>
    </row>
    <row r="760" spans="2:40" ht="21.95" customHeight="1" x14ac:dyDescent="0.2">
      <c r="B760" s="232"/>
      <c r="C760" s="715"/>
      <c r="D760" s="715"/>
      <c r="E760" s="116"/>
      <c r="F760" s="116" t="s">
        <v>350</v>
      </c>
      <c r="G760" s="116" t="s">
        <v>280</v>
      </c>
      <c r="H760" s="116" t="s">
        <v>20</v>
      </c>
      <c r="I760" s="577">
        <f t="shared" ref="I760:AH760" si="1392">I674*$K$20</f>
        <v>12012.827293119686</v>
      </c>
      <c r="J760" s="577">
        <f t="shared" si="1392"/>
        <v>12353.471033765005</v>
      </c>
      <c r="K760" s="577">
        <f t="shared" si="1392"/>
        <v>12741.625507128027</v>
      </c>
      <c r="L760" s="577">
        <f t="shared" si="1392"/>
        <v>13237.595107253655</v>
      </c>
      <c r="M760" s="577">
        <f t="shared" si="1392"/>
        <v>13733.724880282989</v>
      </c>
      <c r="N760" s="577">
        <f t="shared" si="1392"/>
        <v>14229.774570400863</v>
      </c>
      <c r="O760" s="577">
        <f t="shared" si="1392"/>
        <v>14725.744178583724</v>
      </c>
      <c r="P760" s="577">
        <f t="shared" si="1392"/>
        <v>15221.813898537268</v>
      </c>
      <c r="Q760" s="577">
        <f t="shared" si="1392"/>
        <v>15782.492618159506</v>
      </c>
      <c r="R760" s="577">
        <f t="shared" si="1392"/>
        <v>16343.151328028984</v>
      </c>
      <c r="S760" s="577">
        <f t="shared" si="1392"/>
        <v>16903.749989665543</v>
      </c>
      <c r="T760" s="577">
        <f t="shared" si="1392"/>
        <v>17464.428758368602</v>
      </c>
      <c r="U760" s="577">
        <f t="shared" si="1392"/>
        <v>18025.207662874524</v>
      </c>
      <c r="V760" s="577">
        <f t="shared" si="1392"/>
        <v>18478.051321416286</v>
      </c>
      <c r="W760" s="577">
        <f t="shared" si="1392"/>
        <v>18818.695165397574</v>
      </c>
      <c r="X760" s="577">
        <f t="shared" si="1392"/>
        <v>19159.339030173676</v>
      </c>
      <c r="Y760" s="577">
        <f t="shared" si="1392"/>
        <v>19499.982919386977</v>
      </c>
      <c r="Z760" s="577">
        <f t="shared" si="1392"/>
        <v>19840.526730284644</v>
      </c>
      <c r="AA760" s="577">
        <f t="shared" si="1392"/>
        <v>20181.170681586311</v>
      </c>
      <c r="AB760" s="577">
        <f t="shared" si="1392"/>
        <v>20521.714564913618</v>
      </c>
      <c r="AC760" s="577">
        <f t="shared" si="1392"/>
        <v>20862.358600538853</v>
      </c>
      <c r="AD760" s="577">
        <f t="shared" si="1392"/>
        <v>21203.002688737786</v>
      </c>
      <c r="AE760" s="577">
        <f t="shared" si="1392"/>
        <v>21543.546730733146</v>
      </c>
      <c r="AF760" s="577">
        <f t="shared" si="1392"/>
        <v>21884.190949929176</v>
      </c>
      <c r="AG760" s="577">
        <f t="shared" si="1392"/>
        <v>22224.835249961954</v>
      </c>
      <c r="AH760" s="752">
        <f t="shared" si="1392"/>
        <v>22565.379535782111</v>
      </c>
      <c r="AI760" s="18"/>
      <c r="AJ760" s="18"/>
      <c r="AK760" s="18"/>
      <c r="AL760" s="18"/>
      <c r="AM760" s="18"/>
      <c r="AN760" s="18"/>
    </row>
    <row r="761" spans="2:40" ht="21.95" customHeight="1" x14ac:dyDescent="0.2">
      <c r="B761" s="232"/>
      <c r="C761" s="715"/>
      <c r="D761" s="715"/>
      <c r="E761" s="116"/>
      <c r="F761" s="116"/>
      <c r="G761" s="116"/>
      <c r="H761" s="124" t="s">
        <v>19</v>
      </c>
      <c r="I761" s="577">
        <f t="shared" ref="I761:AH761" si="1393">I674*$K$21</f>
        <v>48051.309172478745</v>
      </c>
      <c r="J761" s="577">
        <f t="shared" si="1393"/>
        <v>49413.88413506002</v>
      </c>
      <c r="K761" s="577">
        <f t="shared" si="1393"/>
        <v>50966.502028512106</v>
      </c>
      <c r="L761" s="577">
        <f t="shared" si="1393"/>
        <v>52950.380429014622</v>
      </c>
      <c r="M761" s="577">
        <f t="shared" si="1393"/>
        <v>54934.899521131956</v>
      </c>
      <c r="N761" s="577">
        <f t="shared" si="1393"/>
        <v>56919.098281603452</v>
      </c>
      <c r="O761" s="577">
        <f t="shared" si="1393"/>
        <v>58902.976714334894</v>
      </c>
      <c r="P761" s="577">
        <f t="shared" si="1393"/>
        <v>60887.255594149072</v>
      </c>
      <c r="Q761" s="577">
        <f t="shared" si="1393"/>
        <v>63129.970472638022</v>
      </c>
      <c r="R761" s="577">
        <f t="shared" si="1393"/>
        <v>65372.605312115935</v>
      </c>
      <c r="S761" s="577">
        <f t="shared" si="1393"/>
        <v>67614.999958662171</v>
      </c>
      <c r="T761" s="577">
        <f t="shared" si="1393"/>
        <v>69857.715033474407</v>
      </c>
      <c r="U761" s="577">
        <f t="shared" si="1393"/>
        <v>72100.830651498094</v>
      </c>
      <c r="V761" s="577">
        <f t="shared" si="1393"/>
        <v>73912.205285665143</v>
      </c>
      <c r="W761" s="577">
        <f t="shared" si="1393"/>
        <v>75274.780661590295</v>
      </c>
      <c r="X761" s="577">
        <f t="shared" si="1393"/>
        <v>76637.356120694705</v>
      </c>
      <c r="Y761" s="577">
        <f t="shared" si="1393"/>
        <v>77999.931677547909</v>
      </c>
      <c r="Z761" s="577">
        <f t="shared" si="1393"/>
        <v>79362.106921138577</v>
      </c>
      <c r="AA761" s="577">
        <f t="shared" si="1393"/>
        <v>80724.682726345243</v>
      </c>
      <c r="AB761" s="577">
        <f t="shared" si="1393"/>
        <v>82086.858259654473</v>
      </c>
      <c r="AC761" s="577">
        <f t="shared" si="1393"/>
        <v>83449.434402155413</v>
      </c>
      <c r="AD761" s="577">
        <f t="shared" si="1393"/>
        <v>84812.010754951145</v>
      </c>
      <c r="AE761" s="577">
        <f t="shared" si="1393"/>
        <v>86174.186922932582</v>
      </c>
      <c r="AF761" s="577">
        <f t="shared" si="1393"/>
        <v>87536.763799716704</v>
      </c>
      <c r="AG761" s="577">
        <f t="shared" si="1393"/>
        <v>88899.340999847816</v>
      </c>
      <c r="AH761" s="752">
        <f t="shared" si="1393"/>
        <v>90261.518143128444</v>
      </c>
      <c r="AI761" s="18"/>
      <c r="AJ761" s="18"/>
      <c r="AK761" s="18"/>
      <c r="AL761" s="18"/>
      <c r="AM761" s="18"/>
      <c r="AN761" s="18"/>
    </row>
    <row r="762" spans="2:40" ht="21.95" customHeight="1" x14ac:dyDescent="0.2">
      <c r="B762" s="232"/>
      <c r="C762" s="715"/>
      <c r="D762" s="715"/>
      <c r="E762" s="116"/>
      <c r="F762" s="116"/>
      <c r="G762" s="116"/>
      <c r="H762" s="721" t="s">
        <v>25</v>
      </c>
      <c r="I762" s="577">
        <f t="shared" ref="I762:AH762" si="1394">SUM(I760:I761)</f>
        <v>60064.136465598429</v>
      </c>
      <c r="J762" s="577">
        <f t="shared" si="1394"/>
        <v>61767.355168825023</v>
      </c>
      <c r="K762" s="577">
        <f t="shared" si="1394"/>
        <v>63708.127535640131</v>
      </c>
      <c r="L762" s="577">
        <f t="shared" si="1394"/>
        <v>66187.975536268277</v>
      </c>
      <c r="M762" s="577">
        <f t="shared" si="1394"/>
        <v>68668.624401414942</v>
      </c>
      <c r="N762" s="577">
        <f t="shared" si="1394"/>
        <v>71148.872852004308</v>
      </c>
      <c r="O762" s="577">
        <f t="shared" si="1394"/>
        <v>73628.720892918616</v>
      </c>
      <c r="P762" s="577">
        <f t="shared" si="1394"/>
        <v>76109.069492686336</v>
      </c>
      <c r="Q762" s="577">
        <f t="shared" si="1394"/>
        <v>78912.463090797522</v>
      </c>
      <c r="R762" s="577">
        <f t="shared" si="1394"/>
        <v>81715.756640144915</v>
      </c>
      <c r="S762" s="577">
        <f t="shared" si="1394"/>
        <v>84518.749948327721</v>
      </c>
      <c r="T762" s="577">
        <f t="shared" si="1394"/>
        <v>87322.143791843002</v>
      </c>
      <c r="U762" s="577">
        <f t="shared" si="1394"/>
        <v>90126.038314372621</v>
      </c>
      <c r="V762" s="577">
        <f t="shared" si="1394"/>
        <v>92390.256607081421</v>
      </c>
      <c r="W762" s="577">
        <f t="shared" si="1394"/>
        <v>94093.475826987866</v>
      </c>
      <c r="X762" s="577">
        <f t="shared" si="1394"/>
        <v>95796.695150868385</v>
      </c>
      <c r="Y762" s="577">
        <f t="shared" si="1394"/>
        <v>97499.91459693489</v>
      </c>
      <c r="Z762" s="577">
        <f t="shared" si="1394"/>
        <v>99202.633651423224</v>
      </c>
      <c r="AA762" s="577">
        <f t="shared" si="1394"/>
        <v>100905.85340793156</v>
      </c>
      <c r="AB762" s="577">
        <f t="shared" si="1394"/>
        <v>102608.57282456809</v>
      </c>
      <c r="AC762" s="577">
        <f t="shared" si="1394"/>
        <v>104311.79300269426</v>
      </c>
      <c r="AD762" s="577">
        <f t="shared" si="1394"/>
        <v>106015.01344368893</v>
      </c>
      <c r="AE762" s="577">
        <f t="shared" si="1394"/>
        <v>107717.73365366572</v>
      </c>
      <c r="AF762" s="577">
        <f t="shared" si="1394"/>
        <v>109420.95474964588</v>
      </c>
      <c r="AG762" s="577">
        <f t="shared" si="1394"/>
        <v>111124.17624980977</v>
      </c>
      <c r="AH762" s="752">
        <f t="shared" si="1394"/>
        <v>112826.89767891055</v>
      </c>
      <c r="AI762" s="18"/>
      <c r="AJ762" s="18"/>
      <c r="AK762" s="18"/>
      <c r="AL762" s="18"/>
      <c r="AM762" s="18"/>
      <c r="AN762" s="18"/>
    </row>
    <row r="763" spans="2:40" ht="21.95" customHeight="1" x14ac:dyDescent="0.2">
      <c r="B763" s="232"/>
      <c r="C763" s="715"/>
      <c r="D763" s="715"/>
      <c r="E763" s="116"/>
      <c r="F763" s="116" t="s">
        <v>280</v>
      </c>
      <c r="G763" s="116" t="s">
        <v>333</v>
      </c>
      <c r="H763" s="116" t="s">
        <v>20</v>
      </c>
      <c r="I763" s="577">
        <f t="shared" ref="I763:AH763" si="1395">I675*$K$20</f>
        <v>300.01661128584107</v>
      </c>
      <c r="J763" s="577">
        <f t="shared" si="1395"/>
        <v>308.52413940082653</v>
      </c>
      <c r="K763" s="577">
        <f t="shared" si="1395"/>
        <v>318.2182654321835</v>
      </c>
      <c r="L763" s="577">
        <f t="shared" si="1395"/>
        <v>330.60511581872754</v>
      </c>
      <c r="M763" s="577">
        <f t="shared" si="1395"/>
        <v>342.99604445669263</v>
      </c>
      <c r="N763" s="577">
        <f t="shared" si="1395"/>
        <v>355.38508145247897</v>
      </c>
      <c r="O763" s="577">
        <f t="shared" si="1395"/>
        <v>367.77226748290343</v>
      </c>
      <c r="P763" s="577">
        <f t="shared" si="1395"/>
        <v>380.16215679746438</v>
      </c>
      <c r="Q763" s="577">
        <f t="shared" si="1395"/>
        <v>394.1660607980283</v>
      </c>
      <c r="R763" s="577">
        <f t="shared" si="1395"/>
        <v>408.16994908273102</v>
      </c>
      <c r="S763" s="577">
        <f t="shared" si="1395"/>
        <v>422.17299978588147</v>
      </c>
      <c r="T763" s="577">
        <f t="shared" si="1395"/>
        <v>436.17894836822734</v>
      </c>
      <c r="U763" s="577">
        <f t="shared" si="1395"/>
        <v>450.18860135487324</v>
      </c>
      <c r="V763" s="577">
        <f t="shared" si="1395"/>
        <v>461.50290770989523</v>
      </c>
      <c r="W763" s="577">
        <f t="shared" si="1395"/>
        <v>470.01474053874466</v>
      </c>
      <c r="X763" s="577">
        <f t="shared" si="1395"/>
        <v>478.52743962667887</v>
      </c>
      <c r="Y763" s="577">
        <f t="shared" si="1395"/>
        <v>487.04115670646547</v>
      </c>
      <c r="Z763" s="577">
        <f t="shared" si="1395"/>
        <v>495.55356415412052</v>
      </c>
      <c r="AA763" s="577">
        <f t="shared" si="1395"/>
        <v>504.06986767768689</v>
      </c>
      <c r="AB763" s="577">
        <f t="shared" si="1395"/>
        <v>512.58529236010725</v>
      </c>
      <c r="AC763" s="577">
        <f t="shared" si="1395"/>
        <v>521.10510858864859</v>
      </c>
      <c r="AD763" s="577">
        <f t="shared" si="1395"/>
        <v>529.62711490368838</v>
      </c>
      <c r="AE763" s="577">
        <f t="shared" si="1395"/>
        <v>538.14914929411157</v>
      </c>
      <c r="AF763" s="577">
        <f t="shared" si="1395"/>
        <v>546.67661261534693</v>
      </c>
      <c r="AG763" s="577">
        <f t="shared" si="1395"/>
        <v>555.20744338997144</v>
      </c>
      <c r="AH763" s="752">
        <f t="shared" si="1395"/>
        <v>563.73963490160838</v>
      </c>
      <c r="AI763" s="18"/>
      <c r="AJ763" s="18"/>
      <c r="AK763" s="18"/>
      <c r="AL763" s="18"/>
      <c r="AM763" s="18"/>
      <c r="AN763" s="18"/>
    </row>
    <row r="764" spans="2:40" ht="21.95" customHeight="1" x14ac:dyDescent="0.2">
      <c r="B764" s="232"/>
      <c r="C764" s="715"/>
      <c r="D764" s="715"/>
      <c r="E764" s="116"/>
      <c r="F764" s="116"/>
      <c r="G764" s="116"/>
      <c r="H764" s="124" t="s">
        <v>19</v>
      </c>
      <c r="I764" s="577">
        <f t="shared" ref="I764:AH764" si="1396">I675*$K$21</f>
        <v>1200.0664451433643</v>
      </c>
      <c r="J764" s="577">
        <f t="shared" si="1396"/>
        <v>1234.0965576033061</v>
      </c>
      <c r="K764" s="577">
        <f t="shared" si="1396"/>
        <v>1272.873061728734</v>
      </c>
      <c r="L764" s="577">
        <f t="shared" si="1396"/>
        <v>1322.4204632749102</v>
      </c>
      <c r="M764" s="577">
        <f t="shared" si="1396"/>
        <v>1371.9841778267705</v>
      </c>
      <c r="N764" s="577">
        <f t="shared" si="1396"/>
        <v>1421.5403258099159</v>
      </c>
      <c r="O764" s="577">
        <f t="shared" si="1396"/>
        <v>1471.0890699316137</v>
      </c>
      <c r="P764" s="577">
        <f t="shared" si="1396"/>
        <v>1520.6486271898575</v>
      </c>
      <c r="Q764" s="577">
        <f t="shared" si="1396"/>
        <v>1576.6642431921132</v>
      </c>
      <c r="R764" s="577">
        <f t="shared" si="1396"/>
        <v>1632.6797963309241</v>
      </c>
      <c r="S764" s="577">
        <f t="shared" si="1396"/>
        <v>1688.6919991435259</v>
      </c>
      <c r="T764" s="577">
        <f t="shared" si="1396"/>
        <v>1744.7157934729094</v>
      </c>
      <c r="U764" s="577">
        <f t="shared" si="1396"/>
        <v>1800.754405419493</v>
      </c>
      <c r="V764" s="577">
        <f t="shared" si="1396"/>
        <v>1846.0116308395809</v>
      </c>
      <c r="W764" s="577">
        <f t="shared" si="1396"/>
        <v>1880.0589621549786</v>
      </c>
      <c r="X764" s="577">
        <f t="shared" si="1396"/>
        <v>1914.1097585067155</v>
      </c>
      <c r="Y764" s="577">
        <f t="shared" si="1396"/>
        <v>1948.1646268258619</v>
      </c>
      <c r="Z764" s="577">
        <f t="shared" si="1396"/>
        <v>1982.2142566164821</v>
      </c>
      <c r="AA764" s="577">
        <f t="shared" si="1396"/>
        <v>2016.2794707107475</v>
      </c>
      <c r="AB764" s="577">
        <f t="shared" si="1396"/>
        <v>2050.341169440429</v>
      </c>
      <c r="AC764" s="577">
        <f t="shared" si="1396"/>
        <v>2084.4204343545944</v>
      </c>
      <c r="AD764" s="577">
        <f t="shared" si="1396"/>
        <v>2118.5084596147535</v>
      </c>
      <c r="AE764" s="577">
        <f t="shared" si="1396"/>
        <v>2152.5965971764463</v>
      </c>
      <c r="AF764" s="577">
        <f t="shared" si="1396"/>
        <v>2186.7064504613877</v>
      </c>
      <c r="AG764" s="577">
        <f t="shared" si="1396"/>
        <v>2220.8297735598858</v>
      </c>
      <c r="AH764" s="752">
        <f t="shared" si="1396"/>
        <v>2254.9585396064335</v>
      </c>
      <c r="AI764" s="18"/>
      <c r="AJ764" s="18"/>
      <c r="AK764" s="18"/>
      <c r="AL764" s="18"/>
      <c r="AM764" s="18"/>
      <c r="AN764" s="18"/>
    </row>
    <row r="765" spans="2:40" ht="21.95" customHeight="1" thickBot="1" x14ac:dyDescent="0.25">
      <c r="B765" s="487"/>
      <c r="C765" s="764"/>
      <c r="D765" s="764"/>
      <c r="E765" s="278"/>
      <c r="F765" s="278"/>
      <c r="G765" s="278"/>
      <c r="H765" s="765" t="s">
        <v>25</v>
      </c>
      <c r="I765" s="735">
        <f t="shared" ref="I765:AH765" si="1397">SUM(I763:I764)</f>
        <v>1500.0830564292053</v>
      </c>
      <c r="J765" s="735">
        <f t="shared" si="1397"/>
        <v>1542.6206970041326</v>
      </c>
      <c r="K765" s="735">
        <f t="shared" si="1397"/>
        <v>1591.0913271609174</v>
      </c>
      <c r="L765" s="735">
        <f t="shared" si="1397"/>
        <v>1653.0255790936376</v>
      </c>
      <c r="M765" s="735">
        <f t="shared" si="1397"/>
        <v>1714.9802222834633</v>
      </c>
      <c r="N765" s="735">
        <f t="shared" si="1397"/>
        <v>1776.9254072623949</v>
      </c>
      <c r="O765" s="735">
        <f t="shared" si="1397"/>
        <v>1838.861337414517</v>
      </c>
      <c r="P765" s="735">
        <f t="shared" si="1397"/>
        <v>1900.8107839873219</v>
      </c>
      <c r="Q765" s="735">
        <f t="shared" si="1397"/>
        <v>1970.8303039901416</v>
      </c>
      <c r="R765" s="735">
        <f t="shared" si="1397"/>
        <v>2040.849745413655</v>
      </c>
      <c r="S765" s="735">
        <f t="shared" si="1397"/>
        <v>2110.8649989294072</v>
      </c>
      <c r="T765" s="735">
        <f t="shared" si="1397"/>
        <v>2180.8947418411367</v>
      </c>
      <c r="U765" s="735">
        <f t="shared" si="1397"/>
        <v>2250.943006774366</v>
      </c>
      <c r="V765" s="735">
        <f t="shared" si="1397"/>
        <v>2307.5145385494761</v>
      </c>
      <c r="W765" s="735">
        <f t="shared" si="1397"/>
        <v>2350.0737026937231</v>
      </c>
      <c r="X765" s="735">
        <f t="shared" si="1397"/>
        <v>2392.6371981333941</v>
      </c>
      <c r="Y765" s="735">
        <f t="shared" si="1397"/>
        <v>2435.2057835323276</v>
      </c>
      <c r="Z765" s="735">
        <f t="shared" si="1397"/>
        <v>2477.7678207706026</v>
      </c>
      <c r="AA765" s="735">
        <f t="shared" si="1397"/>
        <v>2520.3493383884343</v>
      </c>
      <c r="AB765" s="735">
        <f t="shared" si="1397"/>
        <v>2562.9264618005363</v>
      </c>
      <c r="AC765" s="735">
        <f t="shared" si="1397"/>
        <v>2605.5255429432427</v>
      </c>
      <c r="AD765" s="735">
        <f t="shared" si="1397"/>
        <v>2648.1355745184419</v>
      </c>
      <c r="AE765" s="735">
        <f t="shared" si="1397"/>
        <v>2690.7457464705576</v>
      </c>
      <c r="AF765" s="735">
        <f t="shared" si="1397"/>
        <v>2733.3830630767347</v>
      </c>
      <c r="AG765" s="735">
        <f t="shared" si="1397"/>
        <v>2776.0372169498573</v>
      </c>
      <c r="AH765" s="766">
        <f t="shared" si="1397"/>
        <v>2818.698174508042</v>
      </c>
      <c r="AI765" s="18"/>
      <c r="AJ765" s="18"/>
      <c r="AK765" s="18"/>
      <c r="AL765" s="18"/>
      <c r="AM765" s="18"/>
      <c r="AN765" s="18"/>
    </row>
    <row r="766" spans="2:40" ht="21.95" customHeight="1" thickBot="1" x14ac:dyDescent="0.25">
      <c r="B766" s="487"/>
      <c r="C766" s="764"/>
      <c r="D766" s="764"/>
      <c r="E766" s="278"/>
      <c r="F766" s="278"/>
      <c r="G766" s="278"/>
      <c r="H766" s="767" t="s">
        <v>514</v>
      </c>
      <c r="I766" s="767">
        <f>SUM(I681,I684,I687,I690,I693,I696,I699,I702,I705,I708,I711,I714,I717,I720,I723,I726,I729,I732,I735,I738,I741,I744,I747,I750,I753,I756,I759,I762,I765)</f>
        <v>1760370.8246284313</v>
      </c>
      <c r="J766" s="767">
        <f t="shared" ref="J766:AH766" si="1398">SUM(J681,J684,J687,J690,J693,J696,J699,J702,J705,J708,J711,J714,J717,J720,J723,J726,J729,J732,J735,J738,J741,J744,J747,J750,J753,J756,J759,J762,J765)</f>
        <v>1841392.1984687862</v>
      </c>
      <c r="K766" s="767">
        <f t="shared" si="1398"/>
        <v>1946879.4588793006</v>
      </c>
      <c r="L766" s="767">
        <f t="shared" si="1398"/>
        <v>2112693.0136105241</v>
      </c>
      <c r="M766" s="767">
        <f t="shared" si="1398"/>
        <v>2279451.0539289569</v>
      </c>
      <c r="N766" s="767">
        <f t="shared" si="1398"/>
        <v>2447535.9712024773</v>
      </c>
      <c r="O766" s="767">
        <f t="shared" si="1398"/>
        <v>2617568.7823579847</v>
      </c>
      <c r="P766" s="767">
        <f t="shared" si="1398"/>
        <v>2791112.1446195473</v>
      </c>
      <c r="Q766" s="767">
        <f t="shared" si="1398"/>
        <v>2951587.7576478235</v>
      </c>
      <c r="R766" s="767">
        <f t="shared" si="1398"/>
        <v>3118311.1200675387</v>
      </c>
      <c r="S766" s="767">
        <f t="shared" si="1398"/>
        <v>3294975.2948057833</v>
      </c>
      <c r="T766" s="767">
        <f t="shared" si="1398"/>
        <v>3486271.5471700439</v>
      </c>
      <c r="U766" s="767">
        <f t="shared" si="1398"/>
        <v>3699181.8349033883</v>
      </c>
      <c r="V766" s="767">
        <f t="shared" si="1398"/>
        <v>3845616.0413495628</v>
      </c>
      <c r="W766" s="767">
        <f t="shared" si="1398"/>
        <v>3951727.214920687</v>
      </c>
      <c r="X766" s="767">
        <f t="shared" si="1398"/>
        <v>4051472.6824911614</v>
      </c>
      <c r="Y766" s="767">
        <f t="shared" si="1398"/>
        <v>4129542.5956858383</v>
      </c>
      <c r="Z766" s="767">
        <f t="shared" si="1398"/>
        <v>4210788.3194517409</v>
      </c>
      <c r="AA766" s="767">
        <f t="shared" si="1398"/>
        <v>4297855.5783868367</v>
      </c>
      <c r="AB766" s="767">
        <f t="shared" si="1398"/>
        <v>4389643.2206516452</v>
      </c>
      <c r="AC766" s="767">
        <f t="shared" si="1398"/>
        <v>4475225.1615348123</v>
      </c>
      <c r="AD766" s="767">
        <f t="shared" si="1398"/>
        <v>4562900.8852520315</v>
      </c>
      <c r="AE766" s="767">
        <f t="shared" si="1398"/>
        <v>4653942.7695602905</v>
      </c>
      <c r="AF766" s="767">
        <f t="shared" si="1398"/>
        <v>4748649.7404127372</v>
      </c>
      <c r="AG766" s="767">
        <f t="shared" si="1398"/>
        <v>4847598.8643725626</v>
      </c>
      <c r="AH766" s="768">
        <f t="shared" si="1398"/>
        <v>4951422.0491806865</v>
      </c>
      <c r="AI766" s="18"/>
      <c r="AJ766" s="18"/>
      <c r="AK766" s="18"/>
      <c r="AL766" s="18"/>
      <c r="AM766" s="18"/>
      <c r="AN766" s="18"/>
    </row>
    <row r="767" spans="2:40" ht="21.95" customHeight="1" x14ac:dyDescent="0.2">
      <c r="B767" s="9"/>
      <c r="C767" s="715"/>
      <c r="D767" s="715"/>
      <c r="E767" s="116"/>
      <c r="F767" s="116"/>
      <c r="G767" s="116"/>
      <c r="H767" s="769"/>
      <c r="I767" s="769"/>
      <c r="J767" s="769"/>
      <c r="K767" s="769"/>
      <c r="L767" s="769"/>
      <c r="M767" s="769"/>
      <c r="N767" s="769"/>
      <c r="O767" s="769"/>
      <c r="P767" s="769"/>
      <c r="Q767" s="769"/>
      <c r="R767" s="769"/>
      <c r="S767" s="769"/>
      <c r="T767" s="769"/>
      <c r="U767" s="769"/>
      <c r="V767" s="769"/>
      <c r="W767" s="769"/>
      <c r="X767" s="769"/>
      <c r="Y767" s="769"/>
      <c r="Z767" s="769"/>
      <c r="AA767" s="769"/>
      <c r="AB767" s="769"/>
      <c r="AC767" s="769"/>
      <c r="AD767" s="769"/>
      <c r="AE767" s="769"/>
      <c r="AF767" s="769"/>
      <c r="AG767" s="769"/>
      <c r="AH767" s="769"/>
      <c r="AI767" s="18"/>
      <c r="AJ767" s="18"/>
      <c r="AK767" s="18"/>
      <c r="AL767" s="18"/>
      <c r="AM767" s="18"/>
      <c r="AN767" s="18"/>
    </row>
    <row r="768" spans="2:40" ht="21.95" customHeight="1" thickBot="1" x14ac:dyDescent="0.25">
      <c r="B768" s="9"/>
      <c r="C768" s="715"/>
      <c r="D768" s="715"/>
      <c r="E768" s="116"/>
      <c r="F768" s="116"/>
      <c r="G768" s="116"/>
      <c r="H768" s="769"/>
      <c r="I768" s="769"/>
      <c r="J768" s="769"/>
      <c r="K768" s="769"/>
      <c r="L768" s="769"/>
      <c r="M768" s="769"/>
      <c r="N768" s="769"/>
      <c r="O768" s="769"/>
      <c r="P768" s="769"/>
      <c r="Q768" s="769"/>
      <c r="R768" s="769"/>
      <c r="S768" s="769"/>
      <c r="T768" s="769"/>
      <c r="U768" s="769"/>
      <c r="V768" s="769"/>
      <c r="W768" s="769"/>
      <c r="X768" s="769"/>
      <c r="Y768" s="769"/>
      <c r="Z768" s="769"/>
      <c r="AA768" s="769"/>
      <c r="AB768" s="769"/>
      <c r="AC768" s="769"/>
      <c r="AD768" s="769"/>
      <c r="AE768" s="769"/>
      <c r="AF768" s="769"/>
      <c r="AG768" s="769"/>
      <c r="AH768" s="769"/>
      <c r="AI768" s="18"/>
      <c r="AJ768" s="18"/>
      <c r="AK768" s="18"/>
      <c r="AL768" s="18"/>
      <c r="AM768" s="18"/>
      <c r="AN768" s="18"/>
    </row>
    <row r="769" spans="2:41" s="7" customFormat="1" ht="21.95" customHeight="1" thickBot="1" x14ac:dyDescent="0.25">
      <c r="B769" s="234"/>
      <c r="C769" s="485" t="s">
        <v>2</v>
      </c>
      <c r="D769" s="485"/>
      <c r="E769" s="485" t="s">
        <v>328</v>
      </c>
      <c r="F769" s="1338" t="s">
        <v>18</v>
      </c>
      <c r="G769" s="1338"/>
      <c r="H769" s="485" t="s">
        <v>24</v>
      </c>
      <c r="I769" s="763">
        <v>2023</v>
      </c>
      <c r="J769" s="763">
        <v>2024</v>
      </c>
      <c r="K769" s="763">
        <v>2025</v>
      </c>
      <c r="L769" s="763">
        <v>2026</v>
      </c>
      <c r="M769" s="763">
        <v>2027</v>
      </c>
      <c r="N769" s="763">
        <v>2028</v>
      </c>
      <c r="O769" s="763">
        <v>2029</v>
      </c>
      <c r="P769" s="763">
        <v>2030</v>
      </c>
      <c r="Q769" s="763">
        <v>2031</v>
      </c>
      <c r="R769" s="763">
        <v>2032</v>
      </c>
      <c r="S769" s="763">
        <v>2033</v>
      </c>
      <c r="T769" s="763">
        <v>2034</v>
      </c>
      <c r="U769" s="763">
        <v>2035</v>
      </c>
      <c r="V769" s="763">
        <v>2036</v>
      </c>
      <c r="W769" s="763">
        <v>2037</v>
      </c>
      <c r="X769" s="763">
        <v>2038</v>
      </c>
      <c r="Y769" s="763">
        <v>2039</v>
      </c>
      <c r="Z769" s="763">
        <v>2040</v>
      </c>
      <c r="AA769" s="763">
        <v>2041</v>
      </c>
      <c r="AB769" s="763">
        <v>2042</v>
      </c>
      <c r="AC769" s="763">
        <v>2043</v>
      </c>
      <c r="AD769" s="763">
        <v>2044</v>
      </c>
      <c r="AE769" s="763">
        <v>2045</v>
      </c>
      <c r="AF769" s="763">
        <v>2046</v>
      </c>
      <c r="AG769" s="763">
        <v>2047</v>
      </c>
      <c r="AH769" s="762">
        <v>2048</v>
      </c>
      <c r="AI769" s="484"/>
      <c r="AJ769" s="484"/>
      <c r="AK769" s="484"/>
      <c r="AL769" s="484"/>
      <c r="AM769" s="484"/>
      <c r="AN769" s="484"/>
      <c r="AO769" s="484"/>
    </row>
    <row r="770" spans="2:41" ht="21.95" customHeight="1" x14ac:dyDescent="0.2">
      <c r="B770" s="199" t="s">
        <v>213</v>
      </c>
      <c r="C770" s="116" t="s">
        <v>130</v>
      </c>
      <c r="D770" s="240" t="s">
        <v>23</v>
      </c>
      <c r="E770" s="1339" t="s">
        <v>331</v>
      </c>
      <c r="F770" s="116" t="s">
        <v>332</v>
      </c>
      <c r="G770" s="116" t="s">
        <v>282</v>
      </c>
      <c r="H770" s="116" t="s">
        <v>20</v>
      </c>
      <c r="I770" s="577">
        <f t="shared" ref="I770:AH770" si="1399">I679*$D$11</f>
        <v>2839.7034752162758</v>
      </c>
      <c r="J770" s="577">
        <f t="shared" si="1399"/>
        <v>2968.833342052636</v>
      </c>
      <c r="K770" s="577">
        <f t="shared" si="1399"/>
        <v>3150.7686661133293</v>
      </c>
      <c r="L770" s="577">
        <f t="shared" si="1399"/>
        <v>3418.3997915320092</v>
      </c>
      <c r="M770" s="577">
        <f t="shared" si="1399"/>
        <v>3686.1581842869969</v>
      </c>
      <c r="N770" s="577">
        <f t="shared" si="1399"/>
        <v>3953.9747185570686</v>
      </c>
      <c r="O770" s="577">
        <f t="shared" si="1399"/>
        <v>4221.8023589608683</v>
      </c>
      <c r="P770" s="577">
        <f t="shared" si="1399"/>
        <v>4490.0210524056411</v>
      </c>
      <c r="Q770" s="577">
        <f t="shared" si="1399"/>
        <v>4755.3994730540635</v>
      </c>
      <c r="R770" s="577">
        <f t="shared" si="1399"/>
        <v>5021.3850580921871</v>
      </c>
      <c r="S770" s="577">
        <f t="shared" si="1399"/>
        <v>5288.217004989101</v>
      </c>
      <c r="T770" s="577">
        <f t="shared" si="1399"/>
        <v>5556.4755597440217</v>
      </c>
      <c r="U770" s="577">
        <f t="shared" si="1399"/>
        <v>5827.1464933995849</v>
      </c>
      <c r="V770" s="577">
        <f t="shared" si="1399"/>
        <v>6011.7639965267981</v>
      </c>
      <c r="W770" s="577">
        <f t="shared" si="1399"/>
        <v>6146.2620294136414</v>
      </c>
      <c r="X770" s="577">
        <f t="shared" si="1399"/>
        <v>6282.0212968713513</v>
      </c>
      <c r="Y770" s="577">
        <f t="shared" si="1399"/>
        <v>6419.3023690735254</v>
      </c>
      <c r="Z770" s="577">
        <f t="shared" si="1399"/>
        <v>6558.4607448453226</v>
      </c>
      <c r="AA770" s="577">
        <f t="shared" si="1399"/>
        <v>6699.7622691808983</v>
      </c>
      <c r="AB770" s="577">
        <f t="shared" si="1399"/>
        <v>6843.7278349002245</v>
      </c>
      <c r="AC770" s="577">
        <f t="shared" si="1399"/>
        <v>6990.7534289797177</v>
      </c>
      <c r="AD770" s="577">
        <f t="shared" si="1399"/>
        <v>7141.4643437971181</v>
      </c>
      <c r="AE770" s="577">
        <f t="shared" si="1399"/>
        <v>7296.5840951259834</v>
      </c>
      <c r="AF770" s="577">
        <f t="shared" si="1399"/>
        <v>7456.7817382616922</v>
      </c>
      <c r="AG770" s="577">
        <f t="shared" si="1399"/>
        <v>7623.0055767363974</v>
      </c>
      <c r="AH770" s="752">
        <f t="shared" si="1399"/>
        <v>7796.3487471025346</v>
      </c>
      <c r="AI770" s="18"/>
      <c r="AJ770" s="18"/>
      <c r="AK770" s="18"/>
      <c r="AL770" s="18"/>
      <c r="AM770" s="18"/>
      <c r="AN770" s="18"/>
    </row>
    <row r="771" spans="2:41" ht="21.95" customHeight="1" x14ac:dyDescent="0.2">
      <c r="B771" s="486" t="s">
        <v>158</v>
      </c>
      <c r="C771" s="715"/>
      <c r="D771" s="240"/>
      <c r="E771" s="1339"/>
      <c r="F771" s="116"/>
      <c r="G771" s="116"/>
      <c r="H771" s="124" t="s">
        <v>19</v>
      </c>
      <c r="I771" s="577">
        <f t="shared" ref="I771:AH771" si="1400">I680*$D$12</f>
        <v>6028.7662239213269</v>
      </c>
      <c r="J771" s="577">
        <f t="shared" si="1400"/>
        <v>6302.9123756152858</v>
      </c>
      <c r="K771" s="577">
        <f t="shared" si="1400"/>
        <v>6689.1659215253048</v>
      </c>
      <c r="L771" s="577">
        <f t="shared" si="1400"/>
        <v>7257.3539395616972</v>
      </c>
      <c r="M771" s="577">
        <f t="shared" si="1400"/>
        <v>7825.8121495477899</v>
      </c>
      <c r="N771" s="577">
        <f t="shared" si="1400"/>
        <v>8394.3937955212677</v>
      </c>
      <c r="O771" s="577">
        <f t="shared" si="1400"/>
        <v>8962.999020112893</v>
      </c>
      <c r="P771" s="577">
        <f t="shared" si="1400"/>
        <v>9532.4344607414259</v>
      </c>
      <c r="Q771" s="577">
        <f t="shared" si="1400"/>
        <v>10095.839926462084</v>
      </c>
      <c r="R771" s="577">
        <f t="shared" si="1400"/>
        <v>10660.534418377534</v>
      </c>
      <c r="S771" s="577">
        <f t="shared" si="1400"/>
        <v>11227.02575909499</v>
      </c>
      <c r="T771" s="577">
        <f t="shared" si="1400"/>
        <v>11796.545826348223</v>
      </c>
      <c r="U771" s="577">
        <f t="shared" si="1400"/>
        <v>12371.187438355135</v>
      </c>
      <c r="V771" s="577">
        <f t="shared" si="1400"/>
        <v>12763.135321967617</v>
      </c>
      <c r="W771" s="577">
        <f t="shared" si="1400"/>
        <v>13048.678233376811</v>
      </c>
      <c r="X771" s="577">
        <f t="shared" si="1400"/>
        <v>13336.898779422032</v>
      </c>
      <c r="Y771" s="577">
        <f t="shared" si="1400"/>
        <v>13628.350157532253</v>
      </c>
      <c r="Z771" s="577">
        <f t="shared" si="1400"/>
        <v>13923.787101195841</v>
      </c>
      <c r="AA771" s="577">
        <f t="shared" si="1400"/>
        <v>14223.774006426513</v>
      </c>
      <c r="AB771" s="577">
        <f t="shared" si="1400"/>
        <v>14529.416742575326</v>
      </c>
      <c r="AC771" s="577">
        <f t="shared" si="1400"/>
        <v>14841.556000555745</v>
      </c>
      <c r="AD771" s="577">
        <f t="shared" si="1400"/>
        <v>15161.519292764708</v>
      </c>
      <c r="AE771" s="577">
        <f t="shared" si="1400"/>
        <v>15490.842662488481</v>
      </c>
      <c r="AF771" s="577">
        <f t="shared" si="1400"/>
        <v>15830.946531965488</v>
      </c>
      <c r="AG771" s="577">
        <f t="shared" si="1400"/>
        <v>16183.844174889466</v>
      </c>
      <c r="AH771" s="752">
        <f t="shared" si="1400"/>
        <v>16551.856349319482</v>
      </c>
      <c r="AI771" s="18"/>
      <c r="AJ771" s="18"/>
      <c r="AK771" s="18"/>
      <c r="AL771" s="18"/>
      <c r="AM771" s="18"/>
      <c r="AN771" s="18"/>
    </row>
    <row r="772" spans="2:41" ht="21.95" customHeight="1" x14ac:dyDescent="0.2">
      <c r="B772" s="199"/>
      <c r="C772" s="116"/>
      <c r="D772" s="240"/>
      <c r="E772" s="1339"/>
      <c r="F772" s="116"/>
      <c r="G772" s="116"/>
      <c r="H772" s="720" t="s">
        <v>25</v>
      </c>
      <c r="I772" s="577">
        <f t="shared" ref="I772" si="1401">SUM(I770:I771)</f>
        <v>8868.4696991376022</v>
      </c>
      <c r="J772" s="577">
        <f t="shared" ref="J772:AH772" si="1402">SUM(J770:J771)</f>
        <v>9271.7457176679218</v>
      </c>
      <c r="K772" s="577">
        <f t="shared" si="1402"/>
        <v>9839.9345876386342</v>
      </c>
      <c r="L772" s="577">
        <f t="shared" si="1402"/>
        <v>10675.753731093706</v>
      </c>
      <c r="M772" s="577">
        <f t="shared" si="1402"/>
        <v>11511.970333834786</v>
      </c>
      <c r="N772" s="577">
        <f t="shared" si="1402"/>
        <v>12348.368514078336</v>
      </c>
      <c r="O772" s="577">
        <f t="shared" si="1402"/>
        <v>13184.80137907376</v>
      </c>
      <c r="P772" s="577">
        <f t="shared" si="1402"/>
        <v>14022.455513147066</v>
      </c>
      <c r="Q772" s="577">
        <f t="shared" si="1402"/>
        <v>14851.239399516147</v>
      </c>
      <c r="R772" s="577">
        <f t="shared" si="1402"/>
        <v>15681.91947646972</v>
      </c>
      <c r="S772" s="577">
        <f t="shared" si="1402"/>
        <v>16515.242764084091</v>
      </c>
      <c r="T772" s="577">
        <f t="shared" si="1402"/>
        <v>17353.021386092245</v>
      </c>
      <c r="U772" s="577">
        <f t="shared" si="1402"/>
        <v>18198.333931754722</v>
      </c>
      <c r="V772" s="577">
        <f t="shared" si="1402"/>
        <v>18774.899318494416</v>
      </c>
      <c r="W772" s="577">
        <f t="shared" si="1402"/>
        <v>19194.940262790453</v>
      </c>
      <c r="X772" s="577">
        <f t="shared" si="1402"/>
        <v>19618.920076293383</v>
      </c>
      <c r="Y772" s="577">
        <f t="shared" si="1402"/>
        <v>20047.65252660578</v>
      </c>
      <c r="Z772" s="577">
        <f t="shared" si="1402"/>
        <v>20482.247846041166</v>
      </c>
      <c r="AA772" s="577">
        <f t="shared" si="1402"/>
        <v>20923.53627560741</v>
      </c>
      <c r="AB772" s="577">
        <f t="shared" si="1402"/>
        <v>21373.144577475548</v>
      </c>
      <c r="AC772" s="577">
        <f t="shared" si="1402"/>
        <v>21832.309429535464</v>
      </c>
      <c r="AD772" s="577">
        <f t="shared" si="1402"/>
        <v>22302.983636561825</v>
      </c>
      <c r="AE772" s="577">
        <f t="shared" si="1402"/>
        <v>22787.426757614463</v>
      </c>
      <c r="AF772" s="577">
        <f t="shared" si="1402"/>
        <v>23287.72827022718</v>
      </c>
      <c r="AG772" s="577">
        <f t="shared" si="1402"/>
        <v>23806.849751625865</v>
      </c>
      <c r="AH772" s="752">
        <f t="shared" si="1402"/>
        <v>24348.205096422018</v>
      </c>
      <c r="AI772" s="18"/>
      <c r="AJ772" s="18"/>
      <c r="AK772" s="18"/>
      <c r="AL772" s="18"/>
      <c r="AM772" s="18"/>
      <c r="AN772" s="18"/>
    </row>
    <row r="773" spans="2:41" ht="21.95" customHeight="1" x14ac:dyDescent="0.2">
      <c r="B773" s="197"/>
      <c r="C773" s="715"/>
      <c r="D773" s="715"/>
      <c r="E773" s="1339"/>
      <c r="F773" s="116" t="s">
        <v>282</v>
      </c>
      <c r="G773" s="116" t="s">
        <v>280</v>
      </c>
      <c r="H773" s="116" t="s">
        <v>20</v>
      </c>
      <c r="I773" s="577">
        <f t="shared" ref="I773:AH773" si="1403">I682*$D$11</f>
        <v>91311.52253867338</v>
      </c>
      <c r="J773" s="577">
        <f t="shared" si="1403"/>
        <v>96131.441104935249</v>
      </c>
      <c r="K773" s="577">
        <f t="shared" si="1403"/>
        <v>103366.76271725613</v>
      </c>
      <c r="L773" s="577">
        <f t="shared" si="1403"/>
        <v>115320.74695708769</v>
      </c>
      <c r="M773" s="577">
        <f t="shared" si="1403"/>
        <v>127280.67466658521</v>
      </c>
      <c r="N773" s="577">
        <f t="shared" si="1403"/>
        <v>139241.20518894235</v>
      </c>
      <c r="O773" s="577">
        <f t="shared" si="1403"/>
        <v>151199.84428818477</v>
      </c>
      <c r="P773" s="577">
        <f t="shared" si="1403"/>
        <v>163175.24833349735</v>
      </c>
      <c r="Q773" s="577">
        <f t="shared" si="1403"/>
        <v>175268.85149160255</v>
      </c>
      <c r="R773" s="577">
        <f t="shared" si="1403"/>
        <v>187389.14023242891</v>
      </c>
      <c r="S773" s="577">
        <f t="shared" si="1403"/>
        <v>199546.39721426327</v>
      </c>
      <c r="T773" s="577">
        <f t="shared" si="1403"/>
        <v>211775.4391607221</v>
      </c>
      <c r="U773" s="577">
        <f t="shared" si="1403"/>
        <v>224137.17592909027</v>
      </c>
      <c r="V773" s="577">
        <f t="shared" si="1403"/>
        <v>231745.81213648838</v>
      </c>
      <c r="W773" s="577">
        <f t="shared" si="1403"/>
        <v>236788.87048701913</v>
      </c>
      <c r="X773" s="577">
        <f t="shared" si="1403"/>
        <v>241882.55052898737</v>
      </c>
      <c r="Y773" s="577">
        <f t="shared" si="1403"/>
        <v>247036.96416431118</v>
      </c>
      <c r="Z773" s="577">
        <f t="shared" si="1403"/>
        <v>252266.93596541754</v>
      </c>
      <c r="AA773" s="577">
        <f t="shared" si="1403"/>
        <v>257580.4909983415</v>
      </c>
      <c r="AB773" s="577">
        <f t="shared" si="1403"/>
        <v>262999.81439182477</v>
      </c>
      <c r="AC773" s="577">
        <f t="shared" si="1403"/>
        <v>268537.6785192056</v>
      </c>
      <c r="AD773" s="577">
        <f t="shared" si="1403"/>
        <v>274218.95144821005</v>
      </c>
      <c r="AE773" s="577">
        <f t="shared" si="1403"/>
        <v>280072.2546423676</v>
      </c>
      <c r="AF773" s="577">
        <f t="shared" si="1403"/>
        <v>286120.2086149563</v>
      </c>
      <c r="AG773" s="577">
        <f t="shared" si="1403"/>
        <v>292399.62454634061</v>
      </c>
      <c r="AH773" s="752">
        <f t="shared" si="1403"/>
        <v>298952.81230898295</v>
      </c>
      <c r="AI773" s="18"/>
      <c r="AJ773" s="18"/>
      <c r="AK773" s="18"/>
      <c r="AL773" s="18"/>
      <c r="AM773" s="18"/>
      <c r="AN773" s="18"/>
    </row>
    <row r="774" spans="2:41" ht="21.95" customHeight="1" x14ac:dyDescent="0.2">
      <c r="B774" s="486"/>
      <c r="C774" s="715"/>
      <c r="D774" s="715"/>
      <c r="E774" s="1339"/>
      <c r="F774" s="116"/>
      <c r="G774" s="116"/>
      <c r="H774" s="124" t="s">
        <v>19</v>
      </c>
      <c r="I774" s="577">
        <f t="shared" ref="I774:AH774" si="1404">I683*$D$12</f>
        <v>193856.79798629624</v>
      </c>
      <c r="J774" s="577">
        <f t="shared" si="1404"/>
        <v>204089.61366861596</v>
      </c>
      <c r="K774" s="577">
        <f t="shared" si="1404"/>
        <v>219450.39444599833</v>
      </c>
      <c r="L774" s="577">
        <f t="shared" si="1404"/>
        <v>244829.02184683835</v>
      </c>
      <c r="M774" s="577">
        <f t="shared" si="1404"/>
        <v>270220.2673923148</v>
      </c>
      <c r="N774" s="577">
        <f t="shared" si="1404"/>
        <v>295612.79272557166</v>
      </c>
      <c r="O774" s="577">
        <f t="shared" si="1404"/>
        <v>321001.30251710437</v>
      </c>
      <c r="P774" s="577">
        <f t="shared" si="1404"/>
        <v>346425.40473633079</v>
      </c>
      <c r="Q774" s="577">
        <f t="shared" si="1404"/>
        <v>372100.44682485028</v>
      </c>
      <c r="R774" s="577">
        <f t="shared" si="1404"/>
        <v>397832.14311729604</v>
      </c>
      <c r="S774" s="577">
        <f t="shared" si="1404"/>
        <v>423642.32397148979</v>
      </c>
      <c r="T774" s="577">
        <f t="shared" si="1404"/>
        <v>449604.90622036817</v>
      </c>
      <c r="U774" s="577">
        <f t="shared" si="1404"/>
        <v>475849.20311565173</v>
      </c>
      <c r="V774" s="577">
        <f t="shared" si="1404"/>
        <v>492002.54073614854</v>
      </c>
      <c r="W774" s="577">
        <f t="shared" si="1404"/>
        <v>502709.08813248487</v>
      </c>
      <c r="X774" s="577">
        <f t="shared" si="1404"/>
        <v>513523.10673002223</v>
      </c>
      <c r="Y774" s="577">
        <f t="shared" si="1404"/>
        <v>524466.06436625682</v>
      </c>
      <c r="Z774" s="577">
        <f t="shared" si="1404"/>
        <v>535569.43400388048</v>
      </c>
      <c r="AA774" s="577">
        <f t="shared" si="1404"/>
        <v>546850.25307214574</v>
      </c>
      <c r="AB774" s="577">
        <f t="shared" si="1404"/>
        <v>558355.62119113596</v>
      </c>
      <c r="AC774" s="577">
        <f t="shared" si="1404"/>
        <v>570112.65445013717</v>
      </c>
      <c r="AD774" s="577">
        <f t="shared" si="1404"/>
        <v>582174.14842026087</v>
      </c>
      <c r="AE774" s="577">
        <f t="shared" si="1404"/>
        <v>594600.86723202711</v>
      </c>
      <c r="AF774" s="577">
        <f t="shared" si="1404"/>
        <v>607440.83483850269</v>
      </c>
      <c r="AG774" s="577">
        <f t="shared" si="1404"/>
        <v>620772.20235750056</v>
      </c>
      <c r="AH774" s="752">
        <f t="shared" si="1404"/>
        <v>634684.79477682838</v>
      </c>
      <c r="AI774" s="18"/>
      <c r="AJ774" s="18"/>
      <c r="AK774" s="18"/>
      <c r="AL774" s="18"/>
      <c r="AM774" s="18"/>
      <c r="AN774" s="18"/>
    </row>
    <row r="775" spans="2:41" ht="21.95" customHeight="1" x14ac:dyDescent="0.2">
      <c r="B775" s="486"/>
      <c r="C775" s="715"/>
      <c r="D775" s="715"/>
      <c r="E775" s="1339"/>
      <c r="F775" s="116"/>
      <c r="G775" s="116"/>
      <c r="H775" s="720" t="s">
        <v>25</v>
      </c>
      <c r="I775" s="577">
        <f t="shared" ref="I775:AH775" si="1405">SUM(I773:I774)</f>
        <v>285168.3205249696</v>
      </c>
      <c r="J775" s="577">
        <f t="shared" si="1405"/>
        <v>300221.05477355118</v>
      </c>
      <c r="K775" s="577">
        <f t="shared" si="1405"/>
        <v>322817.15716325445</v>
      </c>
      <c r="L775" s="577">
        <f t="shared" si="1405"/>
        <v>360149.76880392607</v>
      </c>
      <c r="M775" s="577">
        <f t="shared" si="1405"/>
        <v>397500.94205890002</v>
      </c>
      <c r="N775" s="577">
        <f t="shared" si="1405"/>
        <v>434853.99791451404</v>
      </c>
      <c r="O775" s="577">
        <f t="shared" si="1405"/>
        <v>472201.14680528914</v>
      </c>
      <c r="P775" s="577">
        <f t="shared" si="1405"/>
        <v>509600.65306982817</v>
      </c>
      <c r="Q775" s="577">
        <f t="shared" si="1405"/>
        <v>547369.29831645289</v>
      </c>
      <c r="R775" s="577">
        <f t="shared" si="1405"/>
        <v>585221.28334972495</v>
      </c>
      <c r="S775" s="577">
        <f t="shared" si="1405"/>
        <v>623188.72118575312</v>
      </c>
      <c r="T775" s="577">
        <f t="shared" si="1405"/>
        <v>661380.3453810903</v>
      </c>
      <c r="U775" s="577">
        <f t="shared" si="1405"/>
        <v>699986.37904474197</v>
      </c>
      <c r="V775" s="577">
        <f t="shared" si="1405"/>
        <v>723748.35287263687</v>
      </c>
      <c r="W775" s="577">
        <f t="shared" si="1405"/>
        <v>739497.958619504</v>
      </c>
      <c r="X775" s="577">
        <f t="shared" si="1405"/>
        <v>755405.65725900955</v>
      </c>
      <c r="Y775" s="577">
        <f t="shared" si="1405"/>
        <v>771503.028530568</v>
      </c>
      <c r="Z775" s="577">
        <f t="shared" si="1405"/>
        <v>787836.36996929802</v>
      </c>
      <c r="AA775" s="577">
        <f t="shared" si="1405"/>
        <v>804430.74407048721</v>
      </c>
      <c r="AB775" s="577">
        <f t="shared" si="1405"/>
        <v>821355.43558296072</v>
      </c>
      <c r="AC775" s="577">
        <f t="shared" si="1405"/>
        <v>838650.33296934282</v>
      </c>
      <c r="AD775" s="577">
        <f t="shared" si="1405"/>
        <v>856393.09986847092</v>
      </c>
      <c r="AE775" s="577">
        <f t="shared" si="1405"/>
        <v>874673.12187439471</v>
      </c>
      <c r="AF775" s="577">
        <f t="shared" si="1405"/>
        <v>893561.04345345893</v>
      </c>
      <c r="AG775" s="577">
        <f t="shared" si="1405"/>
        <v>913171.82690384123</v>
      </c>
      <c r="AH775" s="752">
        <f t="shared" si="1405"/>
        <v>933637.60708581132</v>
      </c>
      <c r="AI775" s="18"/>
      <c r="AJ775" s="18"/>
      <c r="AK775" s="18"/>
      <c r="AL775" s="18"/>
      <c r="AM775" s="18"/>
      <c r="AN775" s="18"/>
    </row>
    <row r="776" spans="2:41" ht="21.95" customHeight="1" x14ac:dyDescent="0.2">
      <c r="B776" s="486"/>
      <c r="C776" s="715"/>
      <c r="D776" s="715"/>
      <c r="E776" s="1339"/>
      <c r="F776" s="116" t="s">
        <v>280</v>
      </c>
      <c r="G776" s="116" t="s">
        <v>333</v>
      </c>
      <c r="H776" s="116" t="s">
        <v>20</v>
      </c>
      <c r="I776" s="577">
        <f t="shared" ref="I776:AH776" si="1406">I685*$D$11</f>
        <v>2130.0117410709486</v>
      </c>
      <c r="J776" s="577">
        <f t="shared" si="1406"/>
        <v>2219.0829433370509</v>
      </c>
      <c r="K776" s="577">
        <f t="shared" si="1406"/>
        <v>2329.4195780830646</v>
      </c>
      <c r="L776" s="577">
        <f t="shared" si="1406"/>
        <v>2478.2344944223009</v>
      </c>
      <c r="M776" s="577">
        <f t="shared" si="1406"/>
        <v>2627.6078940069137</v>
      </c>
      <c r="N776" s="577">
        <f t="shared" si="1406"/>
        <v>2777.8134931806635</v>
      </c>
      <c r="O776" s="577">
        <f t="shared" si="1406"/>
        <v>2929.3734169496965</v>
      </c>
      <c r="P776" s="577">
        <f t="shared" si="1406"/>
        <v>3083.2621066906709</v>
      </c>
      <c r="Q776" s="577">
        <f t="shared" si="1406"/>
        <v>3235.6484541771488</v>
      </c>
      <c r="R776" s="577">
        <f t="shared" si="1406"/>
        <v>3392.9899254607421</v>
      </c>
      <c r="S776" s="577">
        <f t="shared" si="1406"/>
        <v>3557.5253406710635</v>
      </c>
      <c r="T776" s="577">
        <f t="shared" si="1406"/>
        <v>3732.6247667955809</v>
      </c>
      <c r="U776" s="577">
        <f t="shared" si="1406"/>
        <v>3923.032376924381</v>
      </c>
      <c r="V776" s="577">
        <f t="shared" si="1406"/>
        <v>4075.9829167332791</v>
      </c>
      <c r="W776" s="577">
        <f t="shared" si="1406"/>
        <v>4216.2111283233298</v>
      </c>
      <c r="X776" s="577">
        <f t="shared" si="1406"/>
        <v>4369.2668203498642</v>
      </c>
      <c r="Y776" s="577">
        <f t="shared" si="1406"/>
        <v>4537.9685272611259</v>
      </c>
      <c r="Z776" s="577">
        <f t="shared" si="1406"/>
        <v>4725.7515473365011</v>
      </c>
      <c r="AA776" s="577">
        <f t="shared" si="1406"/>
        <v>4936.4489257772275</v>
      </c>
      <c r="AB776" s="577">
        <f t="shared" si="1406"/>
        <v>5174.9396766438313</v>
      </c>
      <c r="AC776" s="577">
        <f t="shared" si="1406"/>
        <v>5446.5803622009817</v>
      </c>
      <c r="AD776" s="577">
        <f t="shared" si="1406"/>
        <v>5757.9713738829914</v>
      </c>
      <c r="AE776" s="577">
        <f t="shared" si="1406"/>
        <v>6116.8876819951574</v>
      </c>
      <c r="AF776" s="577">
        <f t="shared" si="1406"/>
        <v>6531.9396135404113</v>
      </c>
      <c r="AG776" s="577">
        <f t="shared" si="1406"/>
        <v>7013.6088651348027</v>
      </c>
      <c r="AH776" s="752">
        <f t="shared" si="1406"/>
        <v>7574.1435784585819</v>
      </c>
      <c r="AI776" s="18"/>
      <c r="AJ776" s="18"/>
      <c r="AK776" s="18"/>
      <c r="AL776" s="18"/>
      <c r="AM776" s="18"/>
      <c r="AN776" s="18"/>
    </row>
    <row r="777" spans="2:41" ht="21.95" customHeight="1" x14ac:dyDescent="0.2">
      <c r="B777" s="486"/>
      <c r="C777" s="715"/>
      <c r="D777" s="715"/>
      <c r="E777" s="1339"/>
      <c r="F777" s="116"/>
      <c r="G777" s="116"/>
      <c r="H777" s="124" t="s">
        <v>19</v>
      </c>
      <c r="I777" s="577">
        <f t="shared" ref="I777:AH777" si="1407">I686*$D$12</f>
        <v>4522.0717420667943</v>
      </c>
      <c r="J777" s="577">
        <f t="shared" si="1407"/>
        <v>4711.1722803562861</v>
      </c>
      <c r="K777" s="577">
        <f t="shared" si="1407"/>
        <v>4945.4198990331815</v>
      </c>
      <c r="L777" s="577">
        <f t="shared" si="1407"/>
        <v>5261.3579358992783</v>
      </c>
      <c r="M777" s="577">
        <f t="shared" si="1407"/>
        <v>5578.4816475922507</v>
      </c>
      <c r="N777" s="577">
        <f t="shared" si="1407"/>
        <v>5897.3721412109899</v>
      </c>
      <c r="O777" s="577">
        <f t="shared" si="1407"/>
        <v>6219.1379020706681</v>
      </c>
      <c r="P777" s="577">
        <f t="shared" si="1407"/>
        <v>6545.8476952061064</v>
      </c>
      <c r="Q777" s="577">
        <f t="shared" si="1407"/>
        <v>6869.367975661884</v>
      </c>
      <c r="R777" s="577">
        <f t="shared" si="1407"/>
        <v>7203.4081161115382</v>
      </c>
      <c r="S777" s="577">
        <f t="shared" si="1407"/>
        <v>7552.7211914083564</v>
      </c>
      <c r="T777" s="577">
        <f t="shared" si="1407"/>
        <v>7924.461943659644</v>
      </c>
      <c r="U777" s="577">
        <f t="shared" si="1407"/>
        <v>8328.7023788813749</v>
      </c>
      <c r="V777" s="577">
        <f t="shared" si="1407"/>
        <v>8653.420454686875</v>
      </c>
      <c r="W777" s="577">
        <f t="shared" si="1407"/>
        <v>8951.1286883293342</v>
      </c>
      <c r="X777" s="577">
        <f t="shared" si="1407"/>
        <v>9276.0700050976975</v>
      </c>
      <c r="Y777" s="577">
        <f t="shared" si="1407"/>
        <v>9634.2282288069637</v>
      </c>
      <c r="Z777" s="577">
        <f t="shared" si="1407"/>
        <v>10032.896589337155</v>
      </c>
      <c r="AA777" s="577">
        <f t="shared" si="1407"/>
        <v>10480.212743892864</v>
      </c>
      <c r="AB777" s="577">
        <f t="shared" si="1407"/>
        <v>10986.534969467035</v>
      </c>
      <c r="AC777" s="577">
        <f t="shared" si="1407"/>
        <v>11563.235390628106</v>
      </c>
      <c r="AD777" s="577">
        <f t="shared" si="1407"/>
        <v>12224.326814449465</v>
      </c>
      <c r="AE777" s="577">
        <f t="shared" si="1407"/>
        <v>12986.315710278233</v>
      </c>
      <c r="AF777" s="577">
        <f t="shared" si="1407"/>
        <v>13867.482032012851</v>
      </c>
      <c r="AG777" s="577">
        <f t="shared" si="1407"/>
        <v>14890.078701157176</v>
      </c>
      <c r="AH777" s="752">
        <f t="shared" si="1407"/>
        <v>16080.108849204396</v>
      </c>
      <c r="AI777" s="18"/>
      <c r="AJ777" s="18"/>
      <c r="AK777" s="18"/>
      <c r="AL777" s="18"/>
      <c r="AM777" s="18"/>
      <c r="AN777" s="18"/>
    </row>
    <row r="778" spans="2:41" ht="21.95" customHeight="1" x14ac:dyDescent="0.2">
      <c r="B778" s="232"/>
      <c r="C778" s="715"/>
      <c r="D778" s="715"/>
      <c r="E778" s="1339"/>
      <c r="F778" s="116"/>
      <c r="G778" s="116"/>
      <c r="H778" s="721" t="s">
        <v>25</v>
      </c>
      <c r="I778" s="577">
        <f t="shared" ref="I778:AH778" si="1408">SUM(I776:I777)</f>
        <v>6652.0834831377433</v>
      </c>
      <c r="J778" s="577">
        <f t="shared" si="1408"/>
        <v>6930.255223693337</v>
      </c>
      <c r="K778" s="577">
        <f t="shared" si="1408"/>
        <v>7274.8394771162457</v>
      </c>
      <c r="L778" s="577">
        <f t="shared" si="1408"/>
        <v>7739.5924303215797</v>
      </c>
      <c r="M778" s="577">
        <f t="shared" si="1408"/>
        <v>8206.0895415991654</v>
      </c>
      <c r="N778" s="577">
        <f t="shared" si="1408"/>
        <v>8675.1856343916534</v>
      </c>
      <c r="O778" s="577">
        <f t="shared" si="1408"/>
        <v>9148.5113190203647</v>
      </c>
      <c r="P778" s="577">
        <f t="shared" si="1408"/>
        <v>9629.1098018967768</v>
      </c>
      <c r="Q778" s="577">
        <f t="shared" si="1408"/>
        <v>10105.016429839034</v>
      </c>
      <c r="R778" s="577">
        <f t="shared" si="1408"/>
        <v>10596.39804157228</v>
      </c>
      <c r="S778" s="577">
        <f t="shared" si="1408"/>
        <v>11110.24653207942</v>
      </c>
      <c r="T778" s="577">
        <f t="shared" si="1408"/>
        <v>11657.086710455225</v>
      </c>
      <c r="U778" s="577">
        <f t="shared" si="1408"/>
        <v>12251.734755805755</v>
      </c>
      <c r="V778" s="577">
        <f t="shared" si="1408"/>
        <v>12729.403371420154</v>
      </c>
      <c r="W778" s="577">
        <f t="shared" si="1408"/>
        <v>13167.339816652664</v>
      </c>
      <c r="X778" s="577">
        <f t="shared" si="1408"/>
        <v>13645.336825447561</v>
      </c>
      <c r="Y778" s="577">
        <f t="shared" si="1408"/>
        <v>14172.19675606809</v>
      </c>
      <c r="Z778" s="577">
        <f t="shared" si="1408"/>
        <v>14758.648136673655</v>
      </c>
      <c r="AA778" s="577">
        <f t="shared" si="1408"/>
        <v>15416.661669670091</v>
      </c>
      <c r="AB778" s="577">
        <f t="shared" si="1408"/>
        <v>16161.474646110866</v>
      </c>
      <c r="AC778" s="577">
        <f t="shared" si="1408"/>
        <v>17009.815752829087</v>
      </c>
      <c r="AD778" s="577">
        <f t="shared" si="1408"/>
        <v>17982.298188332457</v>
      </c>
      <c r="AE778" s="577">
        <f t="shared" si="1408"/>
        <v>19103.20339227339</v>
      </c>
      <c r="AF778" s="577">
        <f t="shared" si="1408"/>
        <v>20399.421645553262</v>
      </c>
      <c r="AG778" s="577">
        <f t="shared" si="1408"/>
        <v>21903.687566291977</v>
      </c>
      <c r="AH778" s="752">
        <f t="shared" si="1408"/>
        <v>23654.252427662977</v>
      </c>
      <c r="AI778" s="18"/>
      <c r="AJ778" s="18"/>
      <c r="AK778" s="18"/>
      <c r="AL778" s="18"/>
      <c r="AM778" s="18"/>
      <c r="AN778" s="18"/>
    </row>
    <row r="779" spans="2:41" ht="21.95" customHeight="1" x14ac:dyDescent="0.2">
      <c r="B779" s="232"/>
      <c r="C779" s="715"/>
      <c r="D779" s="715"/>
      <c r="E779" s="1340" t="s">
        <v>280</v>
      </c>
      <c r="F779" s="220" t="s">
        <v>281</v>
      </c>
      <c r="G779" s="220" t="s">
        <v>335</v>
      </c>
      <c r="H779" s="116" t="s">
        <v>20</v>
      </c>
      <c r="I779" s="577">
        <f t="shared" ref="I779:AH779" si="1409">I688*$D$11</f>
        <v>21965.001739261377</v>
      </c>
      <c r="J779" s="577">
        <f t="shared" si="1409"/>
        <v>24186.871490430105</v>
      </c>
      <c r="K779" s="577">
        <f t="shared" si="1409"/>
        <v>29154.366461314872</v>
      </c>
      <c r="L779" s="577">
        <f t="shared" si="1409"/>
        <v>39131.968573506878</v>
      </c>
      <c r="M779" s="577">
        <f t="shared" si="1409"/>
        <v>49115.721653930421</v>
      </c>
      <c r="N779" s="577">
        <f t="shared" si="1409"/>
        <v>59098.381733536473</v>
      </c>
      <c r="O779" s="577">
        <f t="shared" si="1409"/>
        <v>69076.015730296058</v>
      </c>
      <c r="P779" s="577">
        <f t="shared" si="1409"/>
        <v>79066.051362861079</v>
      </c>
      <c r="Q779" s="577">
        <f t="shared" si="1409"/>
        <v>88869.042853467137</v>
      </c>
      <c r="R779" s="577">
        <f t="shared" si="1409"/>
        <v>98677.872789527639</v>
      </c>
      <c r="S779" s="577">
        <f t="shared" si="1409"/>
        <v>108484.02655281521</v>
      </c>
      <c r="T779" s="577">
        <f t="shared" si="1409"/>
        <v>118295.44292838522</v>
      </c>
      <c r="U779" s="577">
        <f t="shared" si="1409"/>
        <v>128130.57379763176</v>
      </c>
      <c r="V779" s="577">
        <f t="shared" si="1409"/>
        <v>132934.13004675033</v>
      </c>
      <c r="W779" s="577">
        <f t="shared" si="1409"/>
        <v>135166.40915615164</v>
      </c>
      <c r="X779" s="577">
        <f t="shared" si="1409"/>
        <v>137400.54845539236</v>
      </c>
      <c r="Y779" s="577">
        <f t="shared" si="1409"/>
        <v>139636.84212294233</v>
      </c>
      <c r="Z779" s="577">
        <f t="shared" si="1409"/>
        <v>141879.05742289682</v>
      </c>
      <c r="AA779" s="577">
        <f t="shared" si="1409"/>
        <v>144120.71400903282</v>
      </c>
      <c r="AB779" s="577">
        <f t="shared" si="1409"/>
        <v>146369.11405646143</v>
      </c>
      <c r="AC779" s="577">
        <f t="shared" si="1409"/>
        <v>148617.86587326505</v>
      </c>
      <c r="AD779" s="577">
        <f t="shared" si="1409"/>
        <v>150870.95741718949</v>
      </c>
      <c r="AE779" s="577">
        <f t="shared" si="1409"/>
        <v>153132.47352616192</v>
      </c>
      <c r="AF779" s="577">
        <f t="shared" si="1409"/>
        <v>155396.19346820228</v>
      </c>
      <c r="AG779" s="577">
        <f t="shared" si="1409"/>
        <v>157666.35786098705</v>
      </c>
      <c r="AH779" s="752">
        <f t="shared" si="1409"/>
        <v>159947.34240641154</v>
      </c>
      <c r="AI779" s="18"/>
      <c r="AJ779" s="18"/>
      <c r="AK779" s="18"/>
      <c r="AL779" s="18"/>
      <c r="AM779" s="18"/>
      <c r="AN779" s="18"/>
    </row>
    <row r="780" spans="2:41" ht="21.95" customHeight="1" x14ac:dyDescent="0.2">
      <c r="B780" s="232"/>
      <c r="C780" s="715"/>
      <c r="D780" s="715"/>
      <c r="E780" s="1340"/>
      <c r="F780" s="116"/>
      <c r="G780" s="116"/>
      <c r="H780" s="124" t="s">
        <v>19</v>
      </c>
      <c r="I780" s="577">
        <f t="shared" ref="I780:AH780" si="1410">I689*$D$12</f>
        <v>52610.782609009293</v>
      </c>
      <c r="J780" s="577">
        <f t="shared" si="1410"/>
        <v>57932.626324383484</v>
      </c>
      <c r="K780" s="577">
        <f t="shared" si="1410"/>
        <v>69830.817871412874</v>
      </c>
      <c r="L780" s="577">
        <f t="shared" si="1410"/>
        <v>93729.266044327858</v>
      </c>
      <c r="M780" s="577">
        <f t="shared" si="1410"/>
        <v>117642.44707528244</v>
      </c>
      <c r="N780" s="577">
        <f t="shared" si="1410"/>
        <v>141553.01014020713</v>
      </c>
      <c r="O780" s="577">
        <f t="shared" si="1410"/>
        <v>165451.53468334387</v>
      </c>
      <c r="P780" s="577">
        <f t="shared" si="1410"/>
        <v>189379.76374337985</v>
      </c>
      <c r="Q780" s="577">
        <f t="shared" si="1410"/>
        <v>212859.98288255601</v>
      </c>
      <c r="R780" s="577">
        <f t="shared" si="1410"/>
        <v>236354.18632222191</v>
      </c>
      <c r="S780" s="577">
        <f t="shared" si="1410"/>
        <v>259841.97976722207</v>
      </c>
      <c r="T780" s="577">
        <f t="shared" si="1410"/>
        <v>283342.37827158137</v>
      </c>
      <c r="U780" s="577">
        <f t="shared" si="1410"/>
        <v>306899.57795839943</v>
      </c>
      <c r="V780" s="577">
        <f t="shared" si="1410"/>
        <v>318405.10190838407</v>
      </c>
      <c r="W780" s="577">
        <f t="shared" si="1410"/>
        <v>323751.8782183273</v>
      </c>
      <c r="X780" s="577">
        <f t="shared" si="1410"/>
        <v>329103.11007279606</v>
      </c>
      <c r="Y780" s="577">
        <f t="shared" si="1410"/>
        <v>334459.50209087983</v>
      </c>
      <c r="Z780" s="577">
        <f t="shared" si="1410"/>
        <v>339830.07765963313</v>
      </c>
      <c r="AA780" s="577">
        <f t="shared" si="1410"/>
        <v>345199.3149916954</v>
      </c>
      <c r="AB780" s="577">
        <f t="shared" si="1410"/>
        <v>350584.70432685374</v>
      </c>
      <c r="AC780" s="577">
        <f t="shared" si="1410"/>
        <v>355970.93622338935</v>
      </c>
      <c r="AD780" s="577">
        <f t="shared" si="1410"/>
        <v>361367.56267590297</v>
      </c>
      <c r="AE780" s="577">
        <f t="shared" si="1410"/>
        <v>366784.36772733397</v>
      </c>
      <c r="AF780" s="577">
        <f t="shared" si="1410"/>
        <v>372206.45142084383</v>
      </c>
      <c r="AG780" s="577">
        <f t="shared" si="1410"/>
        <v>377643.97092451988</v>
      </c>
      <c r="AH780" s="752">
        <f t="shared" si="1410"/>
        <v>383107.40696146479</v>
      </c>
      <c r="AI780" s="18"/>
      <c r="AJ780" s="18"/>
      <c r="AK780" s="18"/>
      <c r="AL780" s="18"/>
      <c r="AM780" s="18"/>
      <c r="AN780" s="18"/>
    </row>
    <row r="781" spans="2:41" ht="21.95" customHeight="1" x14ac:dyDescent="0.2">
      <c r="B781" s="232"/>
      <c r="C781" s="715"/>
      <c r="D781" s="715"/>
      <c r="E781" s="1340"/>
      <c r="F781" s="116"/>
      <c r="G781" s="116"/>
      <c r="H781" s="720" t="s">
        <v>25</v>
      </c>
      <c r="I781" s="577">
        <f t="shared" ref="I781:AH781" si="1411">SUM(I779:I780)</f>
        <v>74575.784348270667</v>
      </c>
      <c r="J781" s="577">
        <f t="shared" si="1411"/>
        <v>82119.497814813585</v>
      </c>
      <c r="K781" s="577">
        <f t="shared" si="1411"/>
        <v>98985.184332727746</v>
      </c>
      <c r="L781" s="577">
        <f t="shared" si="1411"/>
        <v>132861.23461783474</v>
      </c>
      <c r="M781" s="577">
        <f t="shared" si="1411"/>
        <v>166758.16872921286</v>
      </c>
      <c r="N781" s="577">
        <f t="shared" si="1411"/>
        <v>200651.39187374362</v>
      </c>
      <c r="O781" s="577">
        <f t="shared" si="1411"/>
        <v>234527.55041363992</v>
      </c>
      <c r="P781" s="577">
        <f t="shared" si="1411"/>
        <v>268445.81510624092</v>
      </c>
      <c r="Q781" s="577">
        <f t="shared" si="1411"/>
        <v>301729.02573602315</v>
      </c>
      <c r="R781" s="577">
        <f t="shared" si="1411"/>
        <v>335032.05911174952</v>
      </c>
      <c r="S781" s="577">
        <f t="shared" si="1411"/>
        <v>368326.0063200373</v>
      </c>
      <c r="T781" s="577">
        <f t="shared" si="1411"/>
        <v>401637.82119996659</v>
      </c>
      <c r="U781" s="577">
        <f t="shared" si="1411"/>
        <v>435030.15175603121</v>
      </c>
      <c r="V781" s="577">
        <f t="shared" si="1411"/>
        <v>451339.23195513443</v>
      </c>
      <c r="W781" s="577">
        <f t="shared" si="1411"/>
        <v>458918.28737447894</v>
      </c>
      <c r="X781" s="577">
        <f t="shared" si="1411"/>
        <v>466503.65852818842</v>
      </c>
      <c r="Y781" s="577">
        <f t="shared" si="1411"/>
        <v>474096.34421382216</v>
      </c>
      <c r="Z781" s="577">
        <f t="shared" si="1411"/>
        <v>481709.13508252997</v>
      </c>
      <c r="AA781" s="577">
        <f t="shared" si="1411"/>
        <v>489320.02900072822</v>
      </c>
      <c r="AB781" s="577">
        <f t="shared" si="1411"/>
        <v>496953.81838331517</v>
      </c>
      <c r="AC781" s="577">
        <f t="shared" si="1411"/>
        <v>504588.80209665443</v>
      </c>
      <c r="AD781" s="577">
        <f t="shared" si="1411"/>
        <v>512238.52009309246</v>
      </c>
      <c r="AE781" s="577">
        <f t="shared" si="1411"/>
        <v>519916.84125349589</v>
      </c>
      <c r="AF781" s="577">
        <f t="shared" si="1411"/>
        <v>527602.64488904609</v>
      </c>
      <c r="AG781" s="577">
        <f t="shared" si="1411"/>
        <v>535310.32878550689</v>
      </c>
      <c r="AH781" s="752">
        <f t="shared" si="1411"/>
        <v>543054.74936787633</v>
      </c>
      <c r="AI781" s="18"/>
      <c r="AJ781" s="18"/>
      <c r="AK781" s="18"/>
      <c r="AL781" s="18"/>
      <c r="AM781" s="18"/>
      <c r="AN781" s="18"/>
    </row>
    <row r="782" spans="2:41" ht="21.95" customHeight="1" x14ac:dyDescent="0.2">
      <c r="B782" s="232"/>
      <c r="C782" s="715"/>
      <c r="D782" s="715"/>
      <c r="E782" s="1340"/>
      <c r="F782" s="116" t="s">
        <v>335</v>
      </c>
      <c r="G782" s="116" t="s">
        <v>323</v>
      </c>
      <c r="H782" s="116" t="s">
        <v>20</v>
      </c>
      <c r="I782" s="577">
        <f t="shared" ref="I782:AH782" si="1412">I691*$D$11</f>
        <v>2955.3956340115947</v>
      </c>
      <c r="J782" s="577">
        <f t="shared" si="1412"/>
        <v>3235.988561535913</v>
      </c>
      <c r="K782" s="577">
        <f t="shared" si="1412"/>
        <v>3634.0427379172274</v>
      </c>
      <c r="L782" s="577">
        <f t="shared" si="1412"/>
        <v>4282.6877184687173</v>
      </c>
      <c r="M782" s="577">
        <f t="shared" si="1412"/>
        <v>4931.8187604130671</v>
      </c>
      <c r="N782" s="577">
        <f t="shared" si="1412"/>
        <v>5582.0080310919548</v>
      </c>
      <c r="O782" s="577">
        <f t="shared" si="1412"/>
        <v>6234.9024531390387</v>
      </c>
      <c r="P782" s="577">
        <f t="shared" si="1412"/>
        <v>6896.3710602379788</v>
      </c>
      <c r="Q782" s="577">
        <f t="shared" si="1412"/>
        <v>7673.1221772822601</v>
      </c>
      <c r="R782" s="577">
        <f t="shared" si="1412"/>
        <v>8512.0383472802114</v>
      </c>
      <c r="S782" s="577">
        <f t="shared" si="1412"/>
        <v>9491.3112537517809</v>
      </c>
      <c r="T782" s="577">
        <f t="shared" si="1412"/>
        <v>10770.232491941204</v>
      </c>
      <c r="U782" s="577">
        <f t="shared" si="1412"/>
        <v>12652.954705900585</v>
      </c>
      <c r="V782" s="577">
        <f t="shared" si="1412"/>
        <v>14476.569180695749</v>
      </c>
      <c r="W782" s="577">
        <f t="shared" si="1412"/>
        <v>15841.269816846485</v>
      </c>
      <c r="X782" s="577">
        <f t="shared" si="1412"/>
        <v>17510.151974950051</v>
      </c>
      <c r="Y782" s="577">
        <f t="shared" si="1412"/>
        <v>19557.998535621442</v>
      </c>
      <c r="Z782" s="577">
        <f t="shared" si="1412"/>
        <v>22078.681758678777</v>
      </c>
      <c r="AA782" s="577">
        <f t="shared" si="1412"/>
        <v>25176.068848010225</v>
      </c>
      <c r="AB782" s="577">
        <f t="shared" si="1412"/>
        <v>28989.211762302697</v>
      </c>
      <c r="AC782" s="577">
        <f t="shared" si="1412"/>
        <v>29899.847159037585</v>
      </c>
      <c r="AD782" s="577">
        <f t="shared" si="1412"/>
        <v>30544.037452818266</v>
      </c>
      <c r="AE782" s="577">
        <f t="shared" si="1412"/>
        <v>31188.978998393883</v>
      </c>
      <c r="AF782" s="577">
        <f t="shared" si="1412"/>
        <v>31833.205374608773</v>
      </c>
      <c r="AG782" s="577">
        <f t="shared" si="1412"/>
        <v>32477.455412814568</v>
      </c>
      <c r="AH782" s="752">
        <f t="shared" si="1412"/>
        <v>33122.46899106566</v>
      </c>
      <c r="AI782" s="18"/>
      <c r="AJ782" s="18"/>
      <c r="AK782" s="18"/>
      <c r="AL782" s="18"/>
      <c r="AM782" s="18"/>
      <c r="AN782" s="18"/>
    </row>
    <row r="783" spans="2:41" ht="21.95" customHeight="1" x14ac:dyDescent="0.2">
      <c r="B783" s="232"/>
      <c r="C783" s="715"/>
      <c r="D783" s="715"/>
      <c r="E783" s="1340"/>
      <c r="F783" s="116"/>
      <c r="G783" s="116"/>
      <c r="H783" s="124" t="s">
        <v>19</v>
      </c>
      <c r="I783" s="577">
        <f t="shared" ref="I783:AH783" si="1413">I692*$D$12</f>
        <v>7078.7919377523231</v>
      </c>
      <c r="J783" s="577">
        <f t="shared" si="1413"/>
        <v>7750.8708060740437</v>
      </c>
      <c r="K783" s="577">
        <f t="shared" si="1413"/>
        <v>8704.2939830352752</v>
      </c>
      <c r="L783" s="577">
        <f t="shared" si="1413"/>
        <v>10257.934655014891</v>
      </c>
      <c r="M783" s="577">
        <f t="shared" si="1413"/>
        <v>11812.739545899562</v>
      </c>
      <c r="N783" s="577">
        <f t="shared" si="1413"/>
        <v>13370.079116387917</v>
      </c>
      <c r="O783" s="577">
        <f t="shared" si="1413"/>
        <v>14933.898091350991</v>
      </c>
      <c r="P783" s="577">
        <f t="shared" si="1413"/>
        <v>16518.254036498154</v>
      </c>
      <c r="Q783" s="577">
        <f t="shared" si="1413"/>
        <v>18378.735753969486</v>
      </c>
      <c r="R783" s="577">
        <f t="shared" si="1413"/>
        <v>20388.115801868771</v>
      </c>
      <c r="S783" s="577">
        <f t="shared" si="1413"/>
        <v>22733.679649704864</v>
      </c>
      <c r="T783" s="577">
        <f t="shared" si="1413"/>
        <v>25796.964052553783</v>
      </c>
      <c r="U783" s="577">
        <f t="shared" si="1413"/>
        <v>30306.478337486435</v>
      </c>
      <c r="V783" s="577">
        <f t="shared" si="1413"/>
        <v>34674.417199271258</v>
      </c>
      <c r="W783" s="577">
        <f t="shared" si="1413"/>
        <v>37943.161237955654</v>
      </c>
      <c r="X783" s="577">
        <f t="shared" si="1413"/>
        <v>41940.48377233545</v>
      </c>
      <c r="Y783" s="577">
        <f t="shared" si="1413"/>
        <v>46845.505474542377</v>
      </c>
      <c r="Z783" s="577">
        <f t="shared" si="1413"/>
        <v>52883.070080667734</v>
      </c>
      <c r="AA783" s="577">
        <f t="shared" si="1413"/>
        <v>60301.961312599342</v>
      </c>
      <c r="AB783" s="577">
        <f t="shared" si="1413"/>
        <v>69435.237754018439</v>
      </c>
      <c r="AC783" s="577">
        <f t="shared" si="1413"/>
        <v>71616.400380928346</v>
      </c>
      <c r="AD783" s="577">
        <f t="shared" si="1413"/>
        <v>73159.371144474891</v>
      </c>
      <c r="AE783" s="577">
        <f t="shared" si="1413"/>
        <v>74704.141313518281</v>
      </c>
      <c r="AF783" s="577">
        <f t="shared" si="1413"/>
        <v>76247.198502056941</v>
      </c>
      <c r="AG783" s="577">
        <f t="shared" si="1413"/>
        <v>77790.312366022918</v>
      </c>
      <c r="AH783" s="752">
        <f t="shared" si="1413"/>
        <v>79335.255068420738</v>
      </c>
      <c r="AI783" s="18"/>
      <c r="AJ783" s="18"/>
      <c r="AK783" s="18"/>
      <c r="AL783" s="18"/>
      <c r="AM783" s="18"/>
      <c r="AN783" s="18"/>
    </row>
    <row r="784" spans="2:41" ht="21.95" customHeight="1" x14ac:dyDescent="0.2">
      <c r="B784" s="232"/>
      <c r="C784" s="715"/>
      <c r="D784" s="715"/>
      <c r="E784" s="1340"/>
      <c r="F784" s="116"/>
      <c r="G784" s="116"/>
      <c r="H784" s="720" t="s">
        <v>25</v>
      </c>
      <c r="I784" s="577">
        <f t="shared" ref="I784:AH784" si="1414">SUM(I782:I783)</f>
        <v>10034.187571763918</v>
      </c>
      <c r="J784" s="577">
        <f t="shared" si="1414"/>
        <v>10986.859367609957</v>
      </c>
      <c r="K784" s="577">
        <f t="shared" si="1414"/>
        <v>12338.336720952502</v>
      </c>
      <c r="L784" s="577">
        <f t="shared" si="1414"/>
        <v>14540.622373483609</v>
      </c>
      <c r="M784" s="577">
        <f t="shared" si="1414"/>
        <v>16744.558306312629</v>
      </c>
      <c r="N784" s="577">
        <f t="shared" si="1414"/>
        <v>18952.08714747987</v>
      </c>
      <c r="O784" s="577">
        <f t="shared" si="1414"/>
        <v>21168.80054449003</v>
      </c>
      <c r="P784" s="577">
        <f t="shared" si="1414"/>
        <v>23414.625096736134</v>
      </c>
      <c r="Q784" s="577">
        <f t="shared" si="1414"/>
        <v>26051.857931251747</v>
      </c>
      <c r="R784" s="577">
        <f t="shared" si="1414"/>
        <v>28900.154149148984</v>
      </c>
      <c r="S784" s="577">
        <f t="shared" si="1414"/>
        <v>32224.990903456644</v>
      </c>
      <c r="T784" s="577">
        <f t="shared" si="1414"/>
        <v>36567.196544494989</v>
      </c>
      <c r="U784" s="577">
        <f t="shared" si="1414"/>
        <v>42959.43304338702</v>
      </c>
      <c r="V784" s="577">
        <f t="shared" si="1414"/>
        <v>49150.986379967006</v>
      </c>
      <c r="W784" s="577">
        <f t="shared" si="1414"/>
        <v>53784.431054802139</v>
      </c>
      <c r="X784" s="577">
        <f t="shared" si="1414"/>
        <v>59450.635747285502</v>
      </c>
      <c r="Y784" s="577">
        <f t="shared" si="1414"/>
        <v>66403.504010163815</v>
      </c>
      <c r="Z784" s="577">
        <f t="shared" si="1414"/>
        <v>74961.751839346514</v>
      </c>
      <c r="AA784" s="577">
        <f t="shared" si="1414"/>
        <v>85478.030160609575</v>
      </c>
      <c r="AB784" s="577">
        <f t="shared" si="1414"/>
        <v>98424.44951632114</v>
      </c>
      <c r="AC784" s="577">
        <f t="shared" si="1414"/>
        <v>101516.24753996593</v>
      </c>
      <c r="AD784" s="577">
        <f t="shared" si="1414"/>
        <v>103703.40859729316</v>
      </c>
      <c r="AE784" s="577">
        <f t="shared" si="1414"/>
        <v>105893.12031191216</v>
      </c>
      <c r="AF784" s="577">
        <f t="shared" si="1414"/>
        <v>108080.40387666572</v>
      </c>
      <c r="AG784" s="577">
        <f t="shared" si="1414"/>
        <v>110267.76777883749</v>
      </c>
      <c r="AH784" s="752">
        <f t="shared" si="1414"/>
        <v>112457.7240594864</v>
      </c>
      <c r="AI784" s="18"/>
      <c r="AJ784" s="18"/>
      <c r="AK784" s="18"/>
      <c r="AL784" s="18"/>
      <c r="AM784" s="18"/>
      <c r="AN784" s="18"/>
    </row>
    <row r="785" spans="2:40" ht="21.95" customHeight="1" x14ac:dyDescent="0.2">
      <c r="B785" s="232"/>
      <c r="C785" s="715"/>
      <c r="D785" s="715"/>
      <c r="E785" s="1340"/>
      <c r="F785" s="116" t="s">
        <v>323</v>
      </c>
      <c r="G785" s="116" t="s">
        <v>338</v>
      </c>
      <c r="H785" s="116" t="s">
        <v>20</v>
      </c>
      <c r="I785" s="577">
        <f t="shared" ref="I785:AH785" si="1415">I694*$D$11</f>
        <v>41936.86127123647</v>
      </c>
      <c r="J785" s="577">
        <f t="shared" si="1415"/>
        <v>43185.813214468035</v>
      </c>
      <c r="K785" s="577">
        <f t="shared" si="1415"/>
        <v>45011.080571799641</v>
      </c>
      <c r="L785" s="577">
        <f t="shared" si="1415"/>
        <v>47701.79750762914</v>
      </c>
      <c r="M785" s="577">
        <f t="shared" si="1415"/>
        <v>50622.39128962301</v>
      </c>
      <c r="N785" s="577">
        <f t="shared" si="1415"/>
        <v>53896.674423475037</v>
      </c>
      <c r="O785" s="577">
        <f t="shared" si="1415"/>
        <v>57706.301373050017</v>
      </c>
      <c r="P785" s="577">
        <f t="shared" si="1415"/>
        <v>62318.451765775404</v>
      </c>
      <c r="Q785" s="577">
        <f t="shared" si="1415"/>
        <v>68163.53761182414</v>
      </c>
      <c r="R785" s="577">
        <f t="shared" si="1415"/>
        <v>75737.758823967772</v>
      </c>
      <c r="S785" s="577">
        <f t="shared" si="1415"/>
        <v>85771.003233376381</v>
      </c>
      <c r="T785" s="577">
        <f t="shared" si="1415"/>
        <v>99268.352094976566</v>
      </c>
      <c r="U785" s="577">
        <f t="shared" si="1415"/>
        <v>117594.45081546636</v>
      </c>
      <c r="V785" s="577">
        <f t="shared" si="1415"/>
        <v>134614.30369497353</v>
      </c>
      <c r="W785" s="577">
        <f t="shared" si="1415"/>
        <v>148796.31130160246</v>
      </c>
      <c r="X785" s="577">
        <f t="shared" si="1415"/>
        <v>159495.33374459678</v>
      </c>
      <c r="Y785" s="577">
        <f t="shared" si="1415"/>
        <v>162081.02077995209</v>
      </c>
      <c r="Z785" s="577">
        <f t="shared" si="1415"/>
        <v>164667.98022732895</v>
      </c>
      <c r="AA785" s="577">
        <f t="shared" si="1415"/>
        <v>167253.75660490524</v>
      </c>
      <c r="AB785" s="577">
        <f t="shared" si="1415"/>
        <v>169840.81900877302</v>
      </c>
      <c r="AC785" s="577">
        <f t="shared" si="1415"/>
        <v>172426.71398322462</v>
      </c>
      <c r="AD785" s="577">
        <f t="shared" si="1415"/>
        <v>175012.68155245401</v>
      </c>
      <c r="AE785" s="577">
        <f t="shared" si="1415"/>
        <v>177599.963523324</v>
      </c>
      <c r="AF785" s="577">
        <f t="shared" si="1415"/>
        <v>180186.11005384268</v>
      </c>
      <c r="AG785" s="577">
        <f t="shared" si="1415"/>
        <v>182772.36501194531</v>
      </c>
      <c r="AH785" s="752">
        <f t="shared" si="1415"/>
        <v>185359.97481642067</v>
      </c>
      <c r="AI785" s="18"/>
      <c r="AJ785" s="18"/>
      <c r="AK785" s="18"/>
      <c r="AL785" s="18"/>
      <c r="AM785" s="18"/>
      <c r="AN785" s="18"/>
    </row>
    <row r="786" spans="2:40" ht="21.95" customHeight="1" x14ac:dyDescent="0.2">
      <c r="B786" s="232"/>
      <c r="C786" s="715"/>
      <c r="D786" s="715"/>
      <c r="E786" s="1340"/>
      <c r="F786" s="116"/>
      <c r="G786" s="116"/>
      <c r="H786" s="116" t="s">
        <v>19</v>
      </c>
      <c r="I786" s="577">
        <f t="shared" ref="I786:AH786" si="1416">I695*$D$12</f>
        <v>100447.57190715322</v>
      </c>
      <c r="J786" s="577">
        <f t="shared" si="1416"/>
        <v>103439.07356758812</v>
      </c>
      <c r="K786" s="577">
        <f t="shared" si="1416"/>
        <v>107810.97142946022</v>
      </c>
      <c r="L786" s="577">
        <f t="shared" si="1416"/>
        <v>114255.80241348298</v>
      </c>
      <c r="M786" s="577">
        <f t="shared" si="1416"/>
        <v>121251.23662185152</v>
      </c>
      <c r="N786" s="577">
        <f t="shared" si="1416"/>
        <v>129093.83095443124</v>
      </c>
      <c r="O786" s="577">
        <f t="shared" si="1416"/>
        <v>138218.68592347309</v>
      </c>
      <c r="P786" s="577">
        <f t="shared" si="1416"/>
        <v>149265.75273239618</v>
      </c>
      <c r="Q786" s="577">
        <f t="shared" si="1416"/>
        <v>163265.95835167461</v>
      </c>
      <c r="R786" s="577">
        <f t="shared" si="1416"/>
        <v>181407.80556638987</v>
      </c>
      <c r="S786" s="577">
        <f t="shared" si="1416"/>
        <v>205439.52870269792</v>
      </c>
      <c r="T786" s="577">
        <f t="shared" si="1416"/>
        <v>237768.50801191991</v>
      </c>
      <c r="U786" s="577">
        <f t="shared" si="1416"/>
        <v>281663.35524662602</v>
      </c>
      <c r="V786" s="577">
        <f t="shared" si="1416"/>
        <v>322429.46992808033</v>
      </c>
      <c r="W786" s="577">
        <f t="shared" si="1416"/>
        <v>356398.35042299994</v>
      </c>
      <c r="X786" s="577">
        <f t="shared" si="1416"/>
        <v>382024.75148406415</v>
      </c>
      <c r="Y786" s="577">
        <f t="shared" si="1416"/>
        <v>388218.01384419663</v>
      </c>
      <c r="Z786" s="577">
        <f t="shared" si="1416"/>
        <v>394414.32389779389</v>
      </c>
      <c r="AA786" s="577">
        <f t="shared" si="1416"/>
        <v>400607.80025127006</v>
      </c>
      <c r="AB786" s="577">
        <f t="shared" si="1416"/>
        <v>406804.35690724081</v>
      </c>
      <c r="AC786" s="577">
        <f t="shared" si="1416"/>
        <v>412998.11732508894</v>
      </c>
      <c r="AD786" s="577">
        <f t="shared" si="1416"/>
        <v>419192.05162264436</v>
      </c>
      <c r="AE786" s="577">
        <f t="shared" si="1416"/>
        <v>425389.13418760244</v>
      </c>
      <c r="AF786" s="577">
        <f t="shared" si="1416"/>
        <v>431583.49713495257</v>
      </c>
      <c r="AG786" s="577">
        <f t="shared" si="1416"/>
        <v>437778.11978909059</v>
      </c>
      <c r="AH786" s="752">
        <f t="shared" si="1416"/>
        <v>443975.98758424114</v>
      </c>
      <c r="AI786" s="18"/>
      <c r="AJ786" s="18"/>
      <c r="AK786" s="18"/>
      <c r="AL786" s="18"/>
      <c r="AM786" s="18"/>
      <c r="AN786" s="18"/>
    </row>
    <row r="787" spans="2:40" ht="21.95" customHeight="1" x14ac:dyDescent="0.2">
      <c r="B787" s="232"/>
      <c r="C787" s="715"/>
      <c r="D787" s="715"/>
      <c r="E787" s="1333"/>
      <c r="F787" s="254"/>
      <c r="G787" s="254"/>
      <c r="H787" s="721" t="s">
        <v>25</v>
      </c>
      <c r="I787" s="587">
        <f t="shared" ref="I787:AH787" si="1417">SUM(I785:I786)</f>
        <v>142384.43317838968</v>
      </c>
      <c r="J787" s="587">
        <f t="shared" si="1417"/>
        <v>146624.88678205616</v>
      </c>
      <c r="K787" s="587">
        <f t="shared" si="1417"/>
        <v>152822.05200125987</v>
      </c>
      <c r="L787" s="587">
        <f t="shared" si="1417"/>
        <v>161957.59992111212</v>
      </c>
      <c r="M787" s="587">
        <f t="shared" si="1417"/>
        <v>171873.62791147453</v>
      </c>
      <c r="N787" s="587">
        <f t="shared" si="1417"/>
        <v>182990.50537790626</v>
      </c>
      <c r="O787" s="587">
        <f t="shared" si="1417"/>
        <v>195924.98729652312</v>
      </c>
      <c r="P787" s="587">
        <f t="shared" si="1417"/>
        <v>211584.20449817157</v>
      </c>
      <c r="Q787" s="587">
        <f t="shared" si="1417"/>
        <v>231429.49596349875</v>
      </c>
      <c r="R787" s="587">
        <f t="shared" si="1417"/>
        <v>257145.56439035764</v>
      </c>
      <c r="S787" s="587">
        <f t="shared" si="1417"/>
        <v>291210.53193607432</v>
      </c>
      <c r="T787" s="587">
        <f t="shared" si="1417"/>
        <v>337036.86010689649</v>
      </c>
      <c r="U787" s="587">
        <f t="shared" si="1417"/>
        <v>399257.80606209236</v>
      </c>
      <c r="V787" s="587">
        <f t="shared" si="1417"/>
        <v>457043.77362305386</v>
      </c>
      <c r="W787" s="587">
        <f t="shared" si="1417"/>
        <v>505194.6617246024</v>
      </c>
      <c r="X787" s="587">
        <f t="shared" si="1417"/>
        <v>541520.08522866096</v>
      </c>
      <c r="Y787" s="587">
        <f t="shared" si="1417"/>
        <v>550299.03462414874</v>
      </c>
      <c r="Z787" s="587">
        <f t="shared" si="1417"/>
        <v>559082.30412512284</v>
      </c>
      <c r="AA787" s="587">
        <f t="shared" si="1417"/>
        <v>567861.5568561753</v>
      </c>
      <c r="AB787" s="587">
        <f t="shared" si="1417"/>
        <v>576645.17591601377</v>
      </c>
      <c r="AC787" s="587">
        <f t="shared" si="1417"/>
        <v>585424.83130831353</v>
      </c>
      <c r="AD787" s="587">
        <f t="shared" si="1417"/>
        <v>594204.73317509843</v>
      </c>
      <c r="AE787" s="587">
        <f t="shared" si="1417"/>
        <v>602989.09771092643</v>
      </c>
      <c r="AF787" s="587">
        <f t="shared" si="1417"/>
        <v>611769.60718879523</v>
      </c>
      <c r="AG787" s="587">
        <f t="shared" si="1417"/>
        <v>620550.48480103584</v>
      </c>
      <c r="AH787" s="754">
        <f t="shared" si="1417"/>
        <v>629335.96240066178</v>
      </c>
      <c r="AI787" s="18"/>
      <c r="AJ787" s="18"/>
      <c r="AK787" s="18"/>
      <c r="AL787" s="18"/>
      <c r="AM787" s="18"/>
      <c r="AN787" s="18"/>
    </row>
    <row r="788" spans="2:40" ht="21.95" customHeight="1" x14ac:dyDescent="0.2">
      <c r="B788" s="232"/>
      <c r="C788" s="715"/>
      <c r="D788" s="715"/>
      <c r="E788" s="116" t="s">
        <v>339</v>
      </c>
      <c r="F788" s="116" t="s">
        <v>335</v>
      </c>
      <c r="G788" s="116" t="s">
        <v>323</v>
      </c>
      <c r="H788" s="116" t="s">
        <v>20</v>
      </c>
      <c r="I788" s="577">
        <f t="shared" ref="I788:AH788" si="1418">I697*$D$11</f>
        <v>132.6335648148148</v>
      </c>
      <c r="J788" s="577">
        <f t="shared" si="1418"/>
        <v>550.89351145833325</v>
      </c>
      <c r="K788" s="577">
        <f t="shared" si="1418"/>
        <v>4914.6704274583608</v>
      </c>
      <c r="L788" s="577">
        <f t="shared" si="1418"/>
        <v>11624.403881459782</v>
      </c>
      <c r="M788" s="577">
        <f t="shared" si="1418"/>
        <v>18338.965724356356</v>
      </c>
      <c r="N788" s="577">
        <f t="shared" si="1418"/>
        <v>25052.444425137164</v>
      </c>
      <c r="O788" s="577">
        <f t="shared" si="1418"/>
        <v>31783.327464415514</v>
      </c>
      <c r="P788" s="577">
        <f t="shared" si="1418"/>
        <v>38667.911120462195</v>
      </c>
      <c r="Q788" s="577">
        <f t="shared" si="1418"/>
        <v>41651.208690670741</v>
      </c>
      <c r="R788" s="577">
        <f t="shared" si="1418"/>
        <v>44842.807441969329</v>
      </c>
      <c r="S788" s="577">
        <f t="shared" si="1418"/>
        <v>48402.118434229422</v>
      </c>
      <c r="T788" s="577">
        <f t="shared" si="1418"/>
        <v>52595.254138692464</v>
      </c>
      <c r="U788" s="577">
        <f t="shared" si="1418"/>
        <v>57866.257894236747</v>
      </c>
      <c r="V788" s="577">
        <f t="shared" si="1418"/>
        <v>58791.671017275636</v>
      </c>
      <c r="W788" s="577">
        <f t="shared" si="1418"/>
        <v>59758.906196021562</v>
      </c>
      <c r="X788" s="577">
        <f t="shared" si="1418"/>
        <v>60771.075315238872</v>
      </c>
      <c r="Y788" s="577">
        <f t="shared" si="1418"/>
        <v>61831.461800092635</v>
      </c>
      <c r="Z788" s="577">
        <f t="shared" si="1418"/>
        <v>62951.68992030224</v>
      </c>
      <c r="AA788" s="577">
        <f t="shared" si="1418"/>
        <v>64119.628984302952</v>
      </c>
      <c r="AB788" s="577">
        <f t="shared" si="1418"/>
        <v>65350.972899921231</v>
      </c>
      <c r="AC788" s="577">
        <f t="shared" si="1418"/>
        <v>66642.153453054678</v>
      </c>
      <c r="AD788" s="577">
        <f t="shared" si="1418"/>
        <v>68001.434616484941</v>
      </c>
      <c r="AE788" s="577">
        <f t="shared" si="1418"/>
        <v>69444.052942014227</v>
      </c>
      <c r="AF788" s="577">
        <f t="shared" si="1418"/>
        <v>70954.636125593417</v>
      </c>
      <c r="AG788" s="577">
        <f t="shared" si="1418"/>
        <v>72548.484055059162</v>
      </c>
      <c r="AH788" s="752">
        <f t="shared" si="1418"/>
        <v>74236.750214848071</v>
      </c>
      <c r="AI788" s="18"/>
      <c r="AJ788" s="18"/>
      <c r="AK788" s="18"/>
      <c r="AL788" s="18"/>
      <c r="AM788" s="18"/>
      <c r="AN788" s="18"/>
    </row>
    <row r="789" spans="2:40" ht="21.95" customHeight="1" x14ac:dyDescent="0.2">
      <c r="B789" s="232"/>
      <c r="C789" s="715"/>
      <c r="D789" s="715"/>
      <c r="E789" s="116"/>
      <c r="F789" s="116"/>
      <c r="G789" s="116"/>
      <c r="H789" s="124" t="s">
        <v>19</v>
      </c>
      <c r="I789" s="577">
        <f t="shared" ref="I789:AH789" si="1419">I698*$D$12</f>
        <v>317.68518518518516</v>
      </c>
      <c r="J789" s="577">
        <f t="shared" si="1419"/>
        <v>1319.5054166666666</v>
      </c>
      <c r="K789" s="577">
        <f t="shared" si="1419"/>
        <v>11771.665694511044</v>
      </c>
      <c r="L789" s="577">
        <f t="shared" si="1419"/>
        <v>27842.883548406666</v>
      </c>
      <c r="M789" s="577">
        <f t="shared" si="1419"/>
        <v>43925.666405643969</v>
      </c>
      <c r="N789" s="577">
        <f t="shared" si="1419"/>
        <v>60005.854910508184</v>
      </c>
      <c r="O789" s="577">
        <f t="shared" si="1419"/>
        <v>76127.730453689859</v>
      </c>
      <c r="P789" s="577">
        <f t="shared" si="1419"/>
        <v>92617.751186735797</v>
      </c>
      <c r="Q789" s="577">
        <f t="shared" si="1419"/>
        <v>99763.374109391007</v>
      </c>
      <c r="R789" s="577">
        <f t="shared" si="1419"/>
        <v>107407.922016693</v>
      </c>
      <c r="S789" s="577">
        <f t="shared" si="1419"/>
        <v>115933.21780653755</v>
      </c>
      <c r="T789" s="577">
        <f t="shared" si="1419"/>
        <v>125976.65661962268</v>
      </c>
      <c r="U789" s="577">
        <f t="shared" si="1419"/>
        <v>138601.81531553713</v>
      </c>
      <c r="V789" s="577">
        <f t="shared" si="1419"/>
        <v>140818.37369407338</v>
      </c>
      <c r="W789" s="577">
        <f t="shared" si="1419"/>
        <v>143135.1046611295</v>
      </c>
      <c r="X789" s="577">
        <f t="shared" si="1419"/>
        <v>145559.46183290749</v>
      </c>
      <c r="Y789" s="577">
        <f t="shared" si="1419"/>
        <v>148099.30970082068</v>
      </c>
      <c r="Z789" s="577">
        <f t="shared" si="1419"/>
        <v>150782.49082707125</v>
      </c>
      <c r="AA789" s="577">
        <f t="shared" si="1419"/>
        <v>153579.94966300108</v>
      </c>
      <c r="AB789" s="577">
        <f t="shared" si="1419"/>
        <v>156529.27640699697</v>
      </c>
      <c r="AC789" s="577">
        <f t="shared" si="1419"/>
        <v>159621.92443845433</v>
      </c>
      <c r="AD789" s="577">
        <f t="shared" si="1419"/>
        <v>162877.68770415557</v>
      </c>
      <c r="AE789" s="577">
        <f t="shared" si="1419"/>
        <v>166333.06093895625</v>
      </c>
      <c r="AF789" s="577">
        <f t="shared" si="1419"/>
        <v>169951.22425291839</v>
      </c>
      <c r="AG789" s="577">
        <f t="shared" si="1419"/>
        <v>173768.82408397406</v>
      </c>
      <c r="AH789" s="752">
        <f t="shared" si="1419"/>
        <v>177812.57536490556</v>
      </c>
      <c r="AI789" s="18"/>
      <c r="AJ789" s="18"/>
      <c r="AK789" s="18"/>
      <c r="AL789" s="18"/>
      <c r="AM789" s="18"/>
      <c r="AN789" s="18"/>
    </row>
    <row r="790" spans="2:40" ht="21.95" customHeight="1" x14ac:dyDescent="0.2">
      <c r="B790" s="232"/>
      <c r="C790" s="715"/>
      <c r="D790" s="715"/>
      <c r="E790" s="116"/>
      <c r="F790" s="116"/>
      <c r="G790" s="116"/>
      <c r="H790" s="721" t="s">
        <v>25</v>
      </c>
      <c r="I790" s="577">
        <f t="shared" ref="I790:AH790" si="1420">SUM(I788:I789)</f>
        <v>450.31874999999997</v>
      </c>
      <c r="J790" s="577">
        <f t="shared" si="1420"/>
        <v>1870.3989281249999</v>
      </c>
      <c r="K790" s="577">
        <f t="shared" si="1420"/>
        <v>16686.336121969405</v>
      </c>
      <c r="L790" s="577">
        <f t="shared" si="1420"/>
        <v>39467.287429866446</v>
      </c>
      <c r="M790" s="577">
        <f t="shared" si="1420"/>
        <v>62264.632130000326</v>
      </c>
      <c r="N790" s="577">
        <f t="shared" si="1420"/>
        <v>85058.299335645352</v>
      </c>
      <c r="O790" s="577">
        <f t="shared" si="1420"/>
        <v>107911.05791810538</v>
      </c>
      <c r="P790" s="577">
        <f t="shared" si="1420"/>
        <v>131285.66230719798</v>
      </c>
      <c r="Q790" s="577">
        <f t="shared" si="1420"/>
        <v>141414.58280006173</v>
      </c>
      <c r="R790" s="577">
        <f t="shared" si="1420"/>
        <v>152250.72945866233</v>
      </c>
      <c r="S790" s="577">
        <f t="shared" si="1420"/>
        <v>164335.33624076698</v>
      </c>
      <c r="T790" s="577">
        <f t="shared" si="1420"/>
        <v>178571.91075831515</v>
      </c>
      <c r="U790" s="577">
        <f t="shared" si="1420"/>
        <v>196468.07320977387</v>
      </c>
      <c r="V790" s="577">
        <f t="shared" si="1420"/>
        <v>199610.04471134901</v>
      </c>
      <c r="W790" s="577">
        <f t="shared" si="1420"/>
        <v>202894.01085715106</v>
      </c>
      <c r="X790" s="577">
        <f t="shared" si="1420"/>
        <v>206330.53714814637</v>
      </c>
      <c r="Y790" s="577">
        <f t="shared" si="1420"/>
        <v>209930.77150091331</v>
      </c>
      <c r="Z790" s="577">
        <f t="shared" si="1420"/>
        <v>213734.1807473735</v>
      </c>
      <c r="AA790" s="577">
        <f t="shared" si="1420"/>
        <v>217699.57864730404</v>
      </c>
      <c r="AB790" s="577">
        <f t="shared" si="1420"/>
        <v>221880.24930691821</v>
      </c>
      <c r="AC790" s="577">
        <f t="shared" si="1420"/>
        <v>226264.07789150899</v>
      </c>
      <c r="AD790" s="577">
        <f t="shared" si="1420"/>
        <v>230879.12232064051</v>
      </c>
      <c r="AE790" s="577">
        <f t="shared" si="1420"/>
        <v>235777.11388097046</v>
      </c>
      <c r="AF790" s="577">
        <f t="shared" si="1420"/>
        <v>240905.8603785118</v>
      </c>
      <c r="AG790" s="577">
        <f t="shared" si="1420"/>
        <v>246317.30813903321</v>
      </c>
      <c r="AH790" s="752">
        <f t="shared" si="1420"/>
        <v>252049.32557975361</v>
      </c>
      <c r="AI790" s="18"/>
      <c r="AJ790" s="18"/>
      <c r="AK790" s="18"/>
      <c r="AL790" s="18"/>
      <c r="AM790" s="18"/>
      <c r="AN790" s="18"/>
    </row>
    <row r="791" spans="2:40" ht="21.95" customHeight="1" x14ac:dyDescent="0.2">
      <c r="B791" s="232"/>
      <c r="C791" s="715"/>
      <c r="D791" s="715"/>
      <c r="E791" s="1340" t="s">
        <v>323</v>
      </c>
      <c r="F791" s="220" t="s">
        <v>282</v>
      </c>
      <c r="G791" s="220" t="s">
        <v>339</v>
      </c>
      <c r="H791" s="116" t="s">
        <v>20</v>
      </c>
      <c r="I791" s="577">
        <f t="shared" ref="I791:AH791" si="1421">I700*$D$11</f>
        <v>400.43430656934305</v>
      </c>
      <c r="J791" s="577">
        <f t="shared" si="1421"/>
        <v>889.96524635036485</v>
      </c>
      <c r="K791" s="577">
        <f t="shared" si="1421"/>
        <v>3761.479658759124</v>
      </c>
      <c r="L791" s="577">
        <f t="shared" si="1421"/>
        <v>8455.5708175186264</v>
      </c>
      <c r="M791" s="577">
        <f t="shared" si="1421"/>
        <v>13152.264799318662</v>
      </c>
      <c r="N791" s="577">
        <f t="shared" si="1421"/>
        <v>17849.158999572515</v>
      </c>
      <c r="O791" s="577">
        <f t="shared" si="1421"/>
        <v>22543.250175160163</v>
      </c>
      <c r="P791" s="577">
        <f t="shared" si="1421"/>
        <v>27242.747325139575</v>
      </c>
      <c r="Q791" s="577">
        <f t="shared" si="1421"/>
        <v>30866.6782312426</v>
      </c>
      <c r="R791" s="577">
        <f t="shared" si="1421"/>
        <v>34491.210739396767</v>
      </c>
      <c r="S791" s="577">
        <f t="shared" si="1421"/>
        <v>38115.14513640276</v>
      </c>
      <c r="T791" s="577">
        <f t="shared" si="1421"/>
        <v>41739.085704492187</v>
      </c>
      <c r="U791" s="577">
        <f t="shared" si="1421"/>
        <v>45367.845384213208</v>
      </c>
      <c r="V791" s="577">
        <f t="shared" si="1421"/>
        <v>47166.417402916049</v>
      </c>
      <c r="W791" s="577">
        <f t="shared" si="1421"/>
        <v>47655.955716176475</v>
      </c>
      <c r="X791" s="577">
        <f t="shared" si="1421"/>
        <v>48145.49482683633</v>
      </c>
      <c r="Y791" s="577">
        <f t="shared" si="1421"/>
        <v>48635.034811933328</v>
      </c>
      <c r="Z791" s="577">
        <f t="shared" si="1421"/>
        <v>49125.977304979213</v>
      </c>
      <c r="AA791" s="577">
        <f t="shared" si="1421"/>
        <v>49615.51929909733</v>
      </c>
      <c r="AB791" s="577">
        <f t="shared" si="1421"/>
        <v>50106.463996181803</v>
      </c>
      <c r="AC791" s="577">
        <f t="shared" si="1421"/>
        <v>50596.008392362579</v>
      </c>
      <c r="AD791" s="577">
        <f t="shared" si="1421"/>
        <v>51085.554155467544</v>
      </c>
      <c r="AE791" s="577">
        <f t="shared" si="1421"/>
        <v>51576.502978266682</v>
      </c>
      <c r="AF791" s="577">
        <f t="shared" si="1421"/>
        <v>52066.051861104606</v>
      </c>
      <c r="AG791" s="577">
        <f t="shared" si="1421"/>
        <v>52555.602512719088</v>
      </c>
      <c r="AH791" s="752">
        <f t="shared" si="1421"/>
        <v>53046.556673454463</v>
      </c>
      <c r="AI791" s="18"/>
      <c r="AJ791" s="18"/>
      <c r="AK791" s="18"/>
      <c r="AL791" s="18"/>
      <c r="AM791" s="18"/>
      <c r="AN791" s="18"/>
    </row>
    <row r="792" spans="2:40" ht="21.95" customHeight="1" x14ac:dyDescent="0.2">
      <c r="B792" s="232"/>
      <c r="C792" s="715"/>
      <c r="D792" s="715"/>
      <c r="E792" s="1340"/>
      <c r="F792" s="116"/>
      <c r="G792" s="116"/>
      <c r="H792" s="124" t="s">
        <v>19</v>
      </c>
      <c r="I792" s="577">
        <f t="shared" ref="I792:AH792" si="1422">I701*$D$12</f>
        <v>959.12408759124082</v>
      </c>
      <c r="J792" s="577">
        <f t="shared" si="1422"/>
        <v>2131.6532846715327</v>
      </c>
      <c r="K792" s="577">
        <f t="shared" si="1422"/>
        <v>9009.5321167883212</v>
      </c>
      <c r="L792" s="577">
        <f t="shared" si="1422"/>
        <v>20252.864233577548</v>
      </c>
      <c r="M792" s="577">
        <f t="shared" si="1422"/>
        <v>31502.430657050689</v>
      </c>
      <c r="N792" s="577">
        <f t="shared" si="1422"/>
        <v>42752.476645682669</v>
      </c>
      <c r="O792" s="577">
        <f t="shared" si="1422"/>
        <v>53995.808802778833</v>
      </c>
      <c r="P792" s="577">
        <f t="shared" si="1422"/>
        <v>65252.089401531921</v>
      </c>
      <c r="Q792" s="577">
        <f t="shared" si="1422"/>
        <v>73932.16342812599</v>
      </c>
      <c r="R792" s="577">
        <f t="shared" si="1422"/>
        <v>82613.678417716816</v>
      </c>
      <c r="S792" s="577">
        <f t="shared" si="1422"/>
        <v>91293.760805755112</v>
      </c>
      <c r="T792" s="577">
        <f t="shared" si="1422"/>
        <v>99973.857974831582</v>
      </c>
      <c r="U792" s="577">
        <f t="shared" si="1422"/>
        <v>108665.49792625918</v>
      </c>
      <c r="V792" s="577">
        <f t="shared" si="1422"/>
        <v>112973.45485728396</v>
      </c>
      <c r="W792" s="577">
        <f t="shared" si="1422"/>
        <v>114146.00171539276</v>
      </c>
      <c r="X792" s="577">
        <f t="shared" si="1422"/>
        <v>115318.55048344031</v>
      </c>
      <c r="Y792" s="577">
        <f t="shared" si="1422"/>
        <v>116491.10134594809</v>
      </c>
      <c r="Z792" s="577">
        <f t="shared" si="1422"/>
        <v>117667.01150893225</v>
      </c>
      <c r="AA792" s="577">
        <f t="shared" si="1422"/>
        <v>118839.56718346666</v>
      </c>
      <c r="AB792" s="577">
        <f t="shared" si="1422"/>
        <v>120015.48262558517</v>
      </c>
      <c r="AC792" s="577">
        <f t="shared" si="1422"/>
        <v>121188.04405356306</v>
      </c>
      <c r="AD792" s="577">
        <f t="shared" si="1422"/>
        <v>122360.60875561088</v>
      </c>
      <c r="AE792" s="577">
        <f t="shared" si="1422"/>
        <v>123536.53407968068</v>
      </c>
      <c r="AF792" s="577">
        <f t="shared" si="1422"/>
        <v>124709.10625414277</v>
      </c>
      <c r="AG792" s="577">
        <f t="shared" si="1422"/>
        <v>125881.68266519543</v>
      </c>
      <c r="AH792" s="752">
        <f t="shared" si="1422"/>
        <v>127057.62077474123</v>
      </c>
      <c r="AI792" s="18"/>
      <c r="AJ792" s="18"/>
      <c r="AK792" s="18"/>
      <c r="AL792" s="18"/>
      <c r="AM792" s="18"/>
      <c r="AN792" s="18"/>
    </row>
    <row r="793" spans="2:40" ht="21.95" customHeight="1" x14ac:dyDescent="0.2">
      <c r="B793" s="232"/>
      <c r="C793" s="715"/>
      <c r="D793" s="715"/>
      <c r="E793" s="1340"/>
      <c r="F793" s="116"/>
      <c r="G793" s="116"/>
      <c r="H793" s="720" t="s">
        <v>25</v>
      </c>
      <c r="I793" s="577">
        <f t="shared" ref="I793:AH793" si="1423">SUM(I791:I792)</f>
        <v>1359.5583941605839</v>
      </c>
      <c r="J793" s="577">
        <f t="shared" si="1423"/>
        <v>3021.6185310218975</v>
      </c>
      <c r="K793" s="577">
        <f t="shared" si="1423"/>
        <v>12771.011775547446</v>
      </c>
      <c r="L793" s="577">
        <f t="shared" si="1423"/>
        <v>28708.435051096174</v>
      </c>
      <c r="M793" s="577">
        <f t="shared" si="1423"/>
        <v>44654.695456369351</v>
      </c>
      <c r="N793" s="577">
        <f t="shared" si="1423"/>
        <v>60601.635645255184</v>
      </c>
      <c r="O793" s="577">
        <f t="shared" si="1423"/>
        <v>76539.058977938999</v>
      </c>
      <c r="P793" s="577">
        <f t="shared" si="1423"/>
        <v>92494.836726671492</v>
      </c>
      <c r="Q793" s="577">
        <f t="shared" si="1423"/>
        <v>104798.8416593686</v>
      </c>
      <c r="R793" s="577">
        <f t="shared" si="1423"/>
        <v>117104.88915711359</v>
      </c>
      <c r="S793" s="577">
        <f t="shared" si="1423"/>
        <v>129408.90594215787</v>
      </c>
      <c r="T793" s="577">
        <f t="shared" si="1423"/>
        <v>141712.94367932377</v>
      </c>
      <c r="U793" s="577">
        <f t="shared" si="1423"/>
        <v>154033.34331047238</v>
      </c>
      <c r="V793" s="577">
        <f t="shared" si="1423"/>
        <v>160139.87226020001</v>
      </c>
      <c r="W793" s="577">
        <f t="shared" si="1423"/>
        <v>161801.95743156923</v>
      </c>
      <c r="X793" s="577">
        <f t="shared" si="1423"/>
        <v>163464.04531027665</v>
      </c>
      <c r="Y793" s="577">
        <f t="shared" si="1423"/>
        <v>165126.13615788141</v>
      </c>
      <c r="Z793" s="577">
        <f t="shared" si="1423"/>
        <v>166792.98881391145</v>
      </c>
      <c r="AA793" s="577">
        <f t="shared" si="1423"/>
        <v>168455.08648256399</v>
      </c>
      <c r="AB793" s="577">
        <f t="shared" si="1423"/>
        <v>170121.94662176695</v>
      </c>
      <c r="AC793" s="577">
        <f t="shared" si="1423"/>
        <v>171784.05244592566</v>
      </c>
      <c r="AD793" s="577">
        <f t="shared" si="1423"/>
        <v>173446.16291107843</v>
      </c>
      <c r="AE793" s="577">
        <f t="shared" si="1423"/>
        <v>175113.03705794737</v>
      </c>
      <c r="AF793" s="577">
        <f t="shared" si="1423"/>
        <v>176775.15811524738</v>
      </c>
      <c r="AG793" s="577">
        <f t="shared" si="1423"/>
        <v>178437.28517791451</v>
      </c>
      <c r="AH793" s="752">
        <f t="shared" si="1423"/>
        <v>180104.1774481957</v>
      </c>
      <c r="AI793" s="18"/>
      <c r="AJ793" s="18"/>
      <c r="AK793" s="18"/>
      <c r="AL793" s="18"/>
      <c r="AM793" s="18"/>
      <c r="AN793" s="18"/>
    </row>
    <row r="794" spans="2:40" ht="21.95" customHeight="1" x14ac:dyDescent="0.2">
      <c r="B794" s="232"/>
      <c r="C794" s="715"/>
      <c r="D794" s="715"/>
      <c r="E794" s="1340"/>
      <c r="F794" s="116" t="s">
        <v>339</v>
      </c>
      <c r="G794" s="116" t="s">
        <v>288</v>
      </c>
      <c r="H794" s="116" t="s">
        <v>20</v>
      </c>
      <c r="I794" s="577">
        <f t="shared" ref="I794:AH794" si="1424">I703*$D$11</f>
        <v>0</v>
      </c>
      <c r="J794" s="577">
        <f t="shared" si="1424"/>
        <v>269.92238442822378</v>
      </c>
      <c r="K794" s="577">
        <f t="shared" si="1424"/>
        <v>780.15874403892951</v>
      </c>
      <c r="L794" s="577">
        <f t="shared" si="1424"/>
        <v>1753.7480214112704</v>
      </c>
      <c r="M794" s="577">
        <f t="shared" si="1424"/>
        <v>2727.8771435623889</v>
      </c>
      <c r="N794" s="577">
        <f t="shared" si="1424"/>
        <v>3702.0477925039286</v>
      </c>
      <c r="O794" s="577">
        <f t="shared" si="1424"/>
        <v>4675.6370733665526</v>
      </c>
      <c r="P794" s="577">
        <f t="shared" si="1424"/>
        <v>5650.3475933622831</v>
      </c>
      <c r="Q794" s="577">
        <f t="shared" si="1424"/>
        <v>6401.9777072206871</v>
      </c>
      <c r="R794" s="577">
        <f t="shared" si="1424"/>
        <v>7153.7325978008093</v>
      </c>
      <c r="S794" s="577">
        <f t="shared" si="1424"/>
        <v>7905.3634356983493</v>
      </c>
      <c r="T794" s="577">
        <f t="shared" si="1424"/>
        <v>8656.9955535243062</v>
      </c>
      <c r="U794" s="577">
        <f t="shared" si="1424"/>
        <v>9409.6271907997761</v>
      </c>
      <c r="V794" s="577">
        <f t="shared" si="1424"/>
        <v>9782.6643502344396</v>
      </c>
      <c r="W794" s="577">
        <f t="shared" si="1424"/>
        <v>9884.1982226143809</v>
      </c>
      <c r="X794" s="577">
        <f t="shared" si="1424"/>
        <v>9985.7322603808661</v>
      </c>
      <c r="Y794" s="577">
        <f t="shared" si="1424"/>
        <v>10087.266479512098</v>
      </c>
      <c r="Z794" s="577">
        <f t="shared" si="1424"/>
        <v>10189.091589180875</v>
      </c>
      <c r="AA794" s="577">
        <f t="shared" si="1424"/>
        <v>10290.626224997963</v>
      </c>
      <c r="AB794" s="577">
        <f t="shared" si="1424"/>
        <v>10392.451791800671</v>
      </c>
      <c r="AC794" s="577">
        <f t="shared" si="1424"/>
        <v>10493.98692582335</v>
      </c>
      <c r="AD794" s="577">
        <f t="shared" si="1424"/>
        <v>10595.52234335623</v>
      </c>
      <c r="AE794" s="577">
        <f t="shared" si="1424"/>
        <v>10697.348765862722</v>
      </c>
      <c r="AF794" s="577">
        <f t="shared" si="1424"/>
        <v>10798.884830451325</v>
      </c>
      <c r="AG794" s="577">
        <f t="shared" si="1424"/>
        <v>10900.421261897292</v>
      </c>
      <c r="AH794" s="752">
        <f t="shared" si="1424"/>
        <v>11002.248791531296</v>
      </c>
      <c r="AI794" s="18"/>
      <c r="AJ794" s="18"/>
      <c r="AK794" s="18"/>
      <c r="AL794" s="18"/>
      <c r="AM794" s="18"/>
      <c r="AN794" s="18"/>
    </row>
    <row r="795" spans="2:40" ht="21.95" customHeight="1" x14ac:dyDescent="0.2">
      <c r="B795" s="232"/>
      <c r="C795" s="715"/>
      <c r="D795" s="715"/>
      <c r="E795" s="1340"/>
      <c r="F795" s="116"/>
      <c r="G795" s="116"/>
      <c r="H795" s="124" t="s">
        <v>19</v>
      </c>
      <c r="I795" s="577">
        <f t="shared" ref="I795:AH795" si="1425">I704*$D$12</f>
        <v>0</v>
      </c>
      <c r="J795" s="577">
        <f t="shared" si="1425"/>
        <v>646.52068126520669</v>
      </c>
      <c r="K795" s="577">
        <f t="shared" si="1425"/>
        <v>1868.6436982968371</v>
      </c>
      <c r="L795" s="577">
        <f t="shared" si="1425"/>
        <v>4200.5940632605279</v>
      </c>
      <c r="M795" s="577">
        <f t="shared" si="1425"/>
        <v>6533.8374696105129</v>
      </c>
      <c r="N795" s="577">
        <f t="shared" si="1425"/>
        <v>8867.1803413267753</v>
      </c>
      <c r="O795" s="577">
        <f t="shared" si="1425"/>
        <v>11199.130714650426</v>
      </c>
      <c r="P795" s="577">
        <f t="shared" si="1425"/>
        <v>13533.766690688104</v>
      </c>
      <c r="Q795" s="577">
        <f t="shared" si="1425"/>
        <v>15334.078340648353</v>
      </c>
      <c r="R795" s="577">
        <f t="shared" si="1425"/>
        <v>17134.688857007928</v>
      </c>
      <c r="S795" s="577">
        <f t="shared" si="1425"/>
        <v>18935.002241193652</v>
      </c>
      <c r="T795" s="577">
        <f t="shared" si="1425"/>
        <v>20735.318691076183</v>
      </c>
      <c r="U795" s="577">
        <f t="shared" si="1425"/>
        <v>22538.029199520424</v>
      </c>
      <c r="V795" s="577">
        <f t="shared" si="1425"/>
        <v>23431.531377807041</v>
      </c>
      <c r="W795" s="577">
        <f t="shared" si="1425"/>
        <v>23674.726281711093</v>
      </c>
      <c r="X795" s="577">
        <f t="shared" si="1425"/>
        <v>23917.921581750579</v>
      </c>
      <c r="Y795" s="577">
        <f t="shared" si="1425"/>
        <v>24161.117316196644</v>
      </c>
      <c r="Z795" s="577">
        <f t="shared" si="1425"/>
        <v>24405.00979444521</v>
      </c>
      <c r="AA795" s="577">
        <f t="shared" si="1425"/>
        <v>24648.206526941231</v>
      </c>
      <c r="AB795" s="577">
        <f t="shared" si="1425"/>
        <v>24892.10010012137</v>
      </c>
      <c r="AC795" s="577">
        <f t="shared" si="1425"/>
        <v>25135.298025924192</v>
      </c>
      <c r="AD795" s="577">
        <f t="shared" si="1425"/>
        <v>25378.496630793365</v>
      </c>
      <c r="AE795" s="577">
        <f t="shared" si="1425"/>
        <v>25622.392253563405</v>
      </c>
      <c r="AF795" s="577">
        <f t="shared" si="1425"/>
        <v>25865.592408266646</v>
      </c>
      <c r="AG795" s="577">
        <f t="shared" si="1425"/>
        <v>26108.793441670161</v>
      </c>
      <c r="AH795" s="752">
        <f t="shared" si="1425"/>
        <v>26352.691716242625</v>
      </c>
      <c r="AI795" s="18"/>
      <c r="AJ795" s="18"/>
      <c r="AK795" s="18"/>
      <c r="AL795" s="18"/>
      <c r="AM795" s="18"/>
      <c r="AN795" s="18"/>
    </row>
    <row r="796" spans="2:40" ht="21.95" customHeight="1" x14ac:dyDescent="0.2">
      <c r="B796" s="232"/>
      <c r="C796" s="715"/>
      <c r="D796" s="715"/>
      <c r="E796" s="1340"/>
      <c r="F796" s="116"/>
      <c r="G796" s="116"/>
      <c r="H796" s="720" t="s">
        <v>25</v>
      </c>
      <c r="I796" s="577">
        <f t="shared" ref="I796:AH796" si="1426">SUM(I794:I795)</f>
        <v>0</v>
      </c>
      <c r="J796" s="577">
        <f t="shared" si="1426"/>
        <v>916.44306569343053</v>
      </c>
      <c r="K796" s="577">
        <f t="shared" si="1426"/>
        <v>2648.8024423357665</v>
      </c>
      <c r="L796" s="577">
        <f t="shared" si="1426"/>
        <v>5954.3420846717981</v>
      </c>
      <c r="M796" s="577">
        <f t="shared" si="1426"/>
        <v>9261.7146131729023</v>
      </c>
      <c r="N796" s="577">
        <f t="shared" si="1426"/>
        <v>12569.228133830704</v>
      </c>
      <c r="O796" s="577">
        <f t="shared" si="1426"/>
        <v>15874.767788016979</v>
      </c>
      <c r="P796" s="577">
        <f t="shared" si="1426"/>
        <v>19184.114284050389</v>
      </c>
      <c r="Q796" s="577">
        <f t="shared" si="1426"/>
        <v>21736.056047869039</v>
      </c>
      <c r="R796" s="577">
        <f t="shared" si="1426"/>
        <v>24288.421454808737</v>
      </c>
      <c r="S796" s="577">
        <f t="shared" si="1426"/>
        <v>26840.365676892001</v>
      </c>
      <c r="T796" s="577">
        <f t="shared" si="1426"/>
        <v>29392.314244600489</v>
      </c>
      <c r="U796" s="577">
        <f t="shared" si="1426"/>
        <v>31947.6563903202</v>
      </c>
      <c r="V796" s="577">
        <f t="shared" si="1426"/>
        <v>33214.195728041479</v>
      </c>
      <c r="W796" s="577">
        <f t="shared" si="1426"/>
        <v>33558.924504325478</v>
      </c>
      <c r="X796" s="577">
        <f t="shared" si="1426"/>
        <v>33903.653842131447</v>
      </c>
      <c r="Y796" s="577">
        <f t="shared" si="1426"/>
        <v>34248.383795708738</v>
      </c>
      <c r="Z796" s="577">
        <f t="shared" si="1426"/>
        <v>34594.101383626083</v>
      </c>
      <c r="AA796" s="577">
        <f t="shared" si="1426"/>
        <v>34938.83275193919</v>
      </c>
      <c r="AB796" s="577">
        <f t="shared" si="1426"/>
        <v>35284.551891922041</v>
      </c>
      <c r="AC796" s="577">
        <f t="shared" si="1426"/>
        <v>35629.284951747541</v>
      </c>
      <c r="AD796" s="577">
        <f t="shared" si="1426"/>
        <v>35974.018974149592</v>
      </c>
      <c r="AE796" s="577">
        <f t="shared" si="1426"/>
        <v>36319.741019426125</v>
      </c>
      <c r="AF796" s="577">
        <f t="shared" si="1426"/>
        <v>36664.477238717969</v>
      </c>
      <c r="AG796" s="577">
        <f t="shared" si="1426"/>
        <v>37009.214703567457</v>
      </c>
      <c r="AH796" s="752">
        <f t="shared" si="1426"/>
        <v>37354.940507773921</v>
      </c>
      <c r="AI796" s="18"/>
      <c r="AJ796" s="18"/>
      <c r="AK796" s="18"/>
      <c r="AL796" s="18"/>
      <c r="AM796" s="18"/>
      <c r="AN796" s="18"/>
    </row>
    <row r="797" spans="2:40" ht="21.95" customHeight="1" x14ac:dyDescent="0.2">
      <c r="B797" s="232"/>
      <c r="C797" s="715"/>
      <c r="D797" s="715"/>
      <c r="E797" s="1340"/>
      <c r="F797" s="116" t="s">
        <v>288</v>
      </c>
      <c r="G797" s="116" t="s">
        <v>340</v>
      </c>
      <c r="H797" s="116" t="s">
        <v>20</v>
      </c>
      <c r="I797" s="577">
        <f t="shared" ref="I797:AH797" si="1427">I706*$D$11</f>
        <v>0</v>
      </c>
      <c r="J797" s="577">
        <f t="shared" si="1427"/>
        <v>703.72621654501222</v>
      </c>
      <c r="K797" s="577">
        <f t="shared" si="1427"/>
        <v>2033.9852969586373</v>
      </c>
      <c r="L797" s="577">
        <f t="shared" si="1427"/>
        <v>4572.2716272508114</v>
      </c>
      <c r="M797" s="577">
        <f t="shared" si="1427"/>
        <v>7111.9654100019416</v>
      </c>
      <c r="N797" s="577">
        <f t="shared" si="1427"/>
        <v>9651.7674590280967</v>
      </c>
      <c r="O797" s="577">
        <f t="shared" si="1427"/>
        <v>12190.05379841994</v>
      </c>
      <c r="P797" s="577">
        <f t="shared" si="1427"/>
        <v>14731.26336840881</v>
      </c>
      <c r="Q797" s="577">
        <f t="shared" si="1427"/>
        <v>16690.870450968221</v>
      </c>
      <c r="R797" s="577">
        <f t="shared" si="1427"/>
        <v>18650.802844266396</v>
      </c>
      <c r="S797" s="577">
        <f t="shared" si="1427"/>
        <v>20610.411814499264</v>
      </c>
      <c r="T797" s="577">
        <f t="shared" si="1427"/>
        <v>22570.024121688359</v>
      </c>
      <c r="U797" s="577">
        <f t="shared" si="1427"/>
        <v>24532.242318870842</v>
      </c>
      <c r="V797" s="577">
        <f t="shared" si="1427"/>
        <v>25504.803484539785</v>
      </c>
      <c r="W797" s="577">
        <f t="shared" si="1427"/>
        <v>25769.516794673204</v>
      </c>
      <c r="X797" s="577">
        <f t="shared" si="1427"/>
        <v>26034.230535992978</v>
      </c>
      <c r="Y797" s="577">
        <f t="shared" si="1427"/>
        <v>26298.944750156537</v>
      </c>
      <c r="Z797" s="577">
        <f t="shared" si="1427"/>
        <v>26564.417357507278</v>
      </c>
      <c r="AA797" s="577">
        <f t="shared" si="1427"/>
        <v>26829.132658030405</v>
      </c>
      <c r="AB797" s="577">
        <f t="shared" si="1427"/>
        <v>27094.606457194601</v>
      </c>
      <c r="AC797" s="577">
        <f t="shared" si="1427"/>
        <v>27359.323056610876</v>
      </c>
      <c r="AD797" s="577">
        <f t="shared" si="1427"/>
        <v>27624.040395178738</v>
      </c>
      <c r="AE797" s="577">
        <f t="shared" si="1427"/>
        <v>27889.516425284946</v>
      </c>
      <c r="AF797" s="577">
        <f t="shared" si="1427"/>
        <v>28154.23545081952</v>
      </c>
      <c r="AG797" s="577">
        <f t="shared" si="1427"/>
        <v>28418.955432803657</v>
      </c>
      <c r="AH797" s="752">
        <f t="shared" si="1427"/>
        <v>28684.434349349445</v>
      </c>
      <c r="AI797" s="18"/>
      <c r="AJ797" s="18"/>
      <c r="AK797" s="18"/>
      <c r="AL797" s="18"/>
      <c r="AM797" s="18"/>
      <c r="AN797" s="18"/>
    </row>
    <row r="798" spans="2:40" ht="21.95" customHeight="1" x14ac:dyDescent="0.2">
      <c r="B798" s="232"/>
      <c r="C798" s="715"/>
      <c r="D798" s="715"/>
      <c r="E798" s="1340"/>
      <c r="F798" s="116"/>
      <c r="G798" s="116"/>
      <c r="H798" s="124" t="s">
        <v>19</v>
      </c>
      <c r="I798" s="577">
        <f t="shared" ref="I798:AH798" si="1428">I707*$D$12</f>
        <v>0</v>
      </c>
      <c r="J798" s="577">
        <f t="shared" si="1428"/>
        <v>1685.571776155718</v>
      </c>
      <c r="K798" s="577">
        <f t="shared" si="1428"/>
        <v>4871.8210705596102</v>
      </c>
      <c r="L798" s="577">
        <f t="shared" si="1428"/>
        <v>10951.548807786376</v>
      </c>
      <c r="M798" s="577">
        <f t="shared" si="1428"/>
        <v>17034.647688627407</v>
      </c>
      <c r="N798" s="577">
        <f t="shared" si="1428"/>
        <v>23118.00588988766</v>
      </c>
      <c r="O798" s="577">
        <f t="shared" si="1428"/>
        <v>29197.733648910038</v>
      </c>
      <c r="P798" s="577">
        <f t="shared" si="1428"/>
        <v>35284.463157865415</v>
      </c>
      <c r="Q798" s="577">
        <f t="shared" si="1428"/>
        <v>39978.132816690348</v>
      </c>
      <c r="R798" s="577">
        <f t="shared" si="1428"/>
        <v>44672.58166291353</v>
      </c>
      <c r="S798" s="577">
        <f t="shared" si="1428"/>
        <v>49366.255843112012</v>
      </c>
      <c r="T798" s="577">
        <f t="shared" si="1428"/>
        <v>54059.938016020023</v>
      </c>
      <c r="U798" s="577">
        <f t="shared" si="1428"/>
        <v>58759.861841606806</v>
      </c>
      <c r="V798" s="577">
        <f t="shared" si="1428"/>
        <v>61089.349663568348</v>
      </c>
      <c r="W798" s="577">
        <f t="shared" si="1428"/>
        <v>61723.393520175341</v>
      </c>
      <c r="X798" s="577">
        <f t="shared" si="1428"/>
        <v>62357.43840956402</v>
      </c>
      <c r="Y798" s="577">
        <f t="shared" si="1428"/>
        <v>62991.484431512668</v>
      </c>
      <c r="Z798" s="577">
        <f t="shared" si="1428"/>
        <v>63627.346964089294</v>
      </c>
      <c r="AA798" s="577">
        <f t="shared" si="1428"/>
        <v>64261.395588096784</v>
      </c>
      <c r="AB798" s="577">
        <f t="shared" si="1428"/>
        <v>64897.260975316414</v>
      </c>
      <c r="AC798" s="577">
        <f t="shared" si="1428"/>
        <v>65531.312710445214</v>
      </c>
      <c r="AD798" s="577">
        <f t="shared" si="1428"/>
        <v>66165.366215996983</v>
      </c>
      <c r="AE798" s="577">
        <f t="shared" si="1428"/>
        <v>66801.23694679029</v>
      </c>
      <c r="AF798" s="577">
        <f t="shared" si="1428"/>
        <v>67435.294492980887</v>
      </c>
      <c r="AG798" s="577">
        <f t="shared" si="1428"/>
        <v>68069.354330068643</v>
      </c>
      <c r="AH798" s="752">
        <f t="shared" si="1428"/>
        <v>68705.231974489696</v>
      </c>
      <c r="AI798" s="18"/>
      <c r="AJ798" s="18"/>
      <c r="AK798" s="18"/>
      <c r="AL798" s="18"/>
      <c r="AM798" s="18"/>
      <c r="AN798" s="18"/>
    </row>
    <row r="799" spans="2:40" ht="21.95" customHeight="1" x14ac:dyDescent="0.2">
      <c r="B799" s="232"/>
      <c r="C799" s="715"/>
      <c r="D799" s="715"/>
      <c r="E799" s="1340"/>
      <c r="F799" s="116"/>
      <c r="G799" s="116"/>
      <c r="H799" s="720" t="s">
        <v>25</v>
      </c>
      <c r="I799" s="577">
        <f t="shared" ref="I799:AH799" si="1429">SUM(I797:I798)</f>
        <v>0</v>
      </c>
      <c r="J799" s="577">
        <f t="shared" si="1429"/>
        <v>2389.29799270073</v>
      </c>
      <c r="K799" s="577">
        <f t="shared" si="1429"/>
        <v>6905.8063675182475</v>
      </c>
      <c r="L799" s="577">
        <f t="shared" si="1429"/>
        <v>15523.820435037187</v>
      </c>
      <c r="M799" s="577">
        <f t="shared" si="1429"/>
        <v>24146.61309862935</v>
      </c>
      <c r="N799" s="577">
        <f t="shared" si="1429"/>
        <v>32769.773348915754</v>
      </c>
      <c r="O799" s="577">
        <f t="shared" si="1429"/>
        <v>41387.787447329974</v>
      </c>
      <c r="P799" s="577">
        <f t="shared" si="1429"/>
        <v>50015.726526274229</v>
      </c>
      <c r="Q799" s="577">
        <f t="shared" si="1429"/>
        <v>56669.003267658569</v>
      </c>
      <c r="R799" s="577">
        <f t="shared" si="1429"/>
        <v>63323.38450717993</v>
      </c>
      <c r="S799" s="577">
        <f t="shared" si="1429"/>
        <v>69976.66765761128</v>
      </c>
      <c r="T799" s="577">
        <f t="shared" si="1429"/>
        <v>76629.962137708382</v>
      </c>
      <c r="U799" s="577">
        <f t="shared" si="1429"/>
        <v>83292.10416047764</v>
      </c>
      <c r="V799" s="577">
        <f t="shared" si="1429"/>
        <v>86594.153148108133</v>
      </c>
      <c r="W799" s="577">
        <f t="shared" si="1429"/>
        <v>87492.910314848545</v>
      </c>
      <c r="X799" s="577">
        <f t="shared" si="1429"/>
        <v>88391.668945557001</v>
      </c>
      <c r="Y799" s="577">
        <f t="shared" si="1429"/>
        <v>89290.429181669198</v>
      </c>
      <c r="Z799" s="577">
        <f t="shared" si="1429"/>
        <v>90191.764321596565</v>
      </c>
      <c r="AA799" s="577">
        <f t="shared" si="1429"/>
        <v>91090.528246127185</v>
      </c>
      <c r="AB799" s="577">
        <f t="shared" si="1429"/>
        <v>91991.867432511019</v>
      </c>
      <c r="AC799" s="577">
        <f t="shared" si="1429"/>
        <v>92890.635767056083</v>
      </c>
      <c r="AD799" s="577">
        <f t="shared" si="1429"/>
        <v>93789.406611175713</v>
      </c>
      <c r="AE799" s="577">
        <f t="shared" si="1429"/>
        <v>94690.75337207524</v>
      </c>
      <c r="AF799" s="577">
        <f t="shared" si="1429"/>
        <v>95589.529943800415</v>
      </c>
      <c r="AG799" s="577">
        <f t="shared" si="1429"/>
        <v>96488.309762872304</v>
      </c>
      <c r="AH799" s="752">
        <f t="shared" si="1429"/>
        <v>97389.666323839134</v>
      </c>
      <c r="AI799" s="18"/>
      <c r="AJ799" s="18"/>
      <c r="AK799" s="18"/>
      <c r="AL799" s="18"/>
      <c r="AM799" s="18"/>
      <c r="AN799" s="18"/>
    </row>
    <row r="800" spans="2:40" ht="21.95" customHeight="1" x14ac:dyDescent="0.2">
      <c r="B800" s="232"/>
      <c r="C800" s="715"/>
      <c r="D800" s="715"/>
      <c r="E800" s="1340"/>
      <c r="F800" s="116" t="s">
        <v>340</v>
      </c>
      <c r="G800" s="116" t="s">
        <v>280</v>
      </c>
      <c r="H800" s="116" t="s">
        <v>20</v>
      </c>
      <c r="I800" s="577">
        <f t="shared" ref="I800:AH800" si="1430">I709*$D$11</f>
        <v>934.34671532846721</v>
      </c>
      <c r="J800" s="577">
        <f t="shared" si="1430"/>
        <v>1380.8710105839414</v>
      </c>
      <c r="K800" s="577">
        <f t="shared" si="1430"/>
        <v>1937.1498999999999</v>
      </c>
      <c r="L800" s="577">
        <f t="shared" si="1430"/>
        <v>3128.2550927007296</v>
      </c>
      <c r="M800" s="577">
        <f t="shared" si="1430"/>
        <v>4319.5160098540182</v>
      </c>
      <c r="N800" s="577">
        <f t="shared" si="1430"/>
        <v>5511.275245255516</v>
      </c>
      <c r="O800" s="577">
        <f t="shared" si="1430"/>
        <v>6702.3804379565645</v>
      </c>
      <c r="P800" s="577">
        <f t="shared" si="1430"/>
        <v>7892.8627328488965</v>
      </c>
      <c r="Q800" s="577">
        <f t="shared" si="1430"/>
        <v>10283.295369383097</v>
      </c>
      <c r="R800" s="577">
        <f t="shared" si="1430"/>
        <v>12672.357631055393</v>
      </c>
      <c r="S800" s="577">
        <f t="shared" si="1430"/>
        <v>15061.949357774167</v>
      </c>
      <c r="T800" s="577">
        <f t="shared" si="1430"/>
        <v>17452.382005075408</v>
      </c>
      <c r="U800" s="577">
        <f t="shared" si="1430"/>
        <v>19842.191785555438</v>
      </c>
      <c r="V800" s="577">
        <f t="shared" si="1430"/>
        <v>21597.735914147343</v>
      </c>
      <c r="W800" s="577">
        <f t="shared" si="1430"/>
        <v>22044.260244854035</v>
      </c>
      <c r="X800" s="577">
        <f t="shared" si="1430"/>
        <v>22490.784583517237</v>
      </c>
      <c r="Y800" s="577">
        <f t="shared" si="1430"/>
        <v>22937.308931710737</v>
      </c>
      <c r="Z800" s="577">
        <f t="shared" si="1430"/>
        <v>23382.49406077417</v>
      </c>
      <c r="AA800" s="577">
        <f t="shared" si="1430"/>
        <v>23829.01843382528</v>
      </c>
      <c r="AB800" s="577">
        <f t="shared" si="1430"/>
        <v>24274.203592305334</v>
      </c>
      <c r="AC800" s="577">
        <f t="shared" si="1430"/>
        <v>24720.728000266528</v>
      </c>
      <c r="AD800" s="577">
        <f t="shared" si="1430"/>
        <v>25167.252430534652</v>
      </c>
      <c r="AE800" s="577">
        <f t="shared" si="1430"/>
        <v>25612.437656188598</v>
      </c>
      <c r="AF800" s="577">
        <f t="shared" si="1430"/>
        <v>26058.962143258865</v>
      </c>
      <c r="AG800" s="577">
        <f t="shared" si="1430"/>
        <v>26505.48666617323</v>
      </c>
      <c r="AH800" s="752">
        <f t="shared" si="1430"/>
        <v>26950.671999682399</v>
      </c>
      <c r="AI800" s="18"/>
      <c r="AJ800" s="18"/>
      <c r="AK800" s="18"/>
      <c r="AL800" s="18"/>
      <c r="AM800" s="18"/>
      <c r="AN800" s="18"/>
    </row>
    <row r="801" spans="2:40" ht="21.95" customHeight="1" x14ac:dyDescent="0.2">
      <c r="B801" s="232"/>
      <c r="C801" s="715"/>
      <c r="D801" s="715"/>
      <c r="E801" s="1340"/>
      <c r="F801" s="116"/>
      <c r="G801" s="116"/>
      <c r="H801" s="116" t="s">
        <v>19</v>
      </c>
      <c r="I801" s="577">
        <f t="shared" ref="I801:AH801" si="1431">I710*$D$12</f>
        <v>2237.9562043795622</v>
      </c>
      <c r="J801" s="577">
        <f t="shared" si="1431"/>
        <v>3307.4754744525544</v>
      </c>
      <c r="K801" s="577">
        <f t="shared" si="1431"/>
        <v>4639.88</v>
      </c>
      <c r="L801" s="577">
        <f t="shared" si="1431"/>
        <v>7492.8265693430658</v>
      </c>
      <c r="M801" s="577">
        <f t="shared" si="1431"/>
        <v>10346.146131386871</v>
      </c>
      <c r="N801" s="577">
        <f t="shared" si="1431"/>
        <v>13200.659270073093</v>
      </c>
      <c r="O801" s="577">
        <f t="shared" si="1431"/>
        <v>16053.605839416921</v>
      </c>
      <c r="P801" s="577">
        <f t="shared" si="1431"/>
        <v>18905.060437961431</v>
      </c>
      <c r="Q801" s="577">
        <f t="shared" si="1431"/>
        <v>24630.647591336761</v>
      </c>
      <c r="R801" s="577">
        <f t="shared" si="1431"/>
        <v>30352.952409713514</v>
      </c>
      <c r="S801" s="577">
        <f t="shared" si="1431"/>
        <v>36076.525407842317</v>
      </c>
      <c r="T801" s="577">
        <f t="shared" si="1431"/>
        <v>41802.112587006966</v>
      </c>
      <c r="U801" s="577">
        <f t="shared" si="1431"/>
        <v>47526.207869593869</v>
      </c>
      <c r="V801" s="577">
        <f t="shared" si="1431"/>
        <v>51731.103985981659</v>
      </c>
      <c r="W801" s="577">
        <f t="shared" si="1431"/>
        <v>52800.623340967752</v>
      </c>
      <c r="X801" s="577">
        <f t="shared" si="1431"/>
        <v>53870.142715011352</v>
      </c>
      <c r="Y801" s="577">
        <f t="shared" si="1431"/>
        <v>54939.662111882004</v>
      </c>
      <c r="Z801" s="577">
        <f t="shared" si="1431"/>
        <v>56005.97379826149</v>
      </c>
      <c r="AA801" s="577">
        <f t="shared" si="1431"/>
        <v>57075.493254671332</v>
      </c>
      <c r="AB801" s="577">
        <f t="shared" si="1431"/>
        <v>58141.805011509779</v>
      </c>
      <c r="AC801" s="577">
        <f t="shared" si="1431"/>
        <v>59211.3245515366</v>
      </c>
      <c r="AD801" s="577">
        <f t="shared" si="1431"/>
        <v>60280.844144993185</v>
      </c>
      <c r="AE801" s="577">
        <f t="shared" si="1431"/>
        <v>61347.156062727183</v>
      </c>
      <c r="AF801" s="577">
        <f t="shared" si="1431"/>
        <v>62416.675792236805</v>
      </c>
      <c r="AG801" s="577">
        <f t="shared" si="1431"/>
        <v>63486.195607600552</v>
      </c>
      <c r="AH801" s="752">
        <f t="shared" si="1431"/>
        <v>64552.507783670422</v>
      </c>
      <c r="AI801" s="18"/>
      <c r="AJ801" s="18"/>
      <c r="AK801" s="18"/>
      <c r="AL801" s="18"/>
      <c r="AM801" s="18"/>
      <c r="AN801" s="18"/>
    </row>
    <row r="802" spans="2:40" ht="21.95" customHeight="1" x14ac:dyDescent="0.2">
      <c r="B802" s="232"/>
      <c r="C802" s="715"/>
      <c r="D802" s="715"/>
      <c r="E802" s="1340"/>
      <c r="F802" s="254"/>
      <c r="G802" s="254"/>
      <c r="H802" s="721" t="s">
        <v>25</v>
      </c>
      <c r="I802" s="587">
        <f t="shared" ref="I802:AH802" si="1432">SUM(I800:I801)</f>
        <v>3172.3029197080295</v>
      </c>
      <c r="J802" s="587">
        <f t="shared" si="1432"/>
        <v>4688.3464850364962</v>
      </c>
      <c r="K802" s="587">
        <f t="shared" si="1432"/>
        <v>6577.0298999999995</v>
      </c>
      <c r="L802" s="587">
        <f t="shared" si="1432"/>
        <v>10621.081662043794</v>
      </c>
      <c r="M802" s="587">
        <f t="shared" si="1432"/>
        <v>14665.662141240889</v>
      </c>
      <c r="N802" s="587">
        <f t="shared" si="1432"/>
        <v>18711.934515328609</v>
      </c>
      <c r="O802" s="587">
        <f t="shared" si="1432"/>
        <v>22755.986277373486</v>
      </c>
      <c r="P802" s="587">
        <f t="shared" si="1432"/>
        <v>26797.923170810325</v>
      </c>
      <c r="Q802" s="587">
        <f t="shared" si="1432"/>
        <v>34913.942960719854</v>
      </c>
      <c r="R802" s="587">
        <f t="shared" si="1432"/>
        <v>43025.310040768905</v>
      </c>
      <c r="S802" s="587">
        <f t="shared" si="1432"/>
        <v>51138.474765616484</v>
      </c>
      <c r="T802" s="587">
        <f t="shared" si="1432"/>
        <v>59254.494592082374</v>
      </c>
      <c r="U802" s="587">
        <f t="shared" si="1432"/>
        <v>67368.399655149304</v>
      </c>
      <c r="V802" s="587">
        <f t="shared" si="1432"/>
        <v>73328.839900129009</v>
      </c>
      <c r="W802" s="587">
        <f t="shared" si="1432"/>
        <v>74844.883585821779</v>
      </c>
      <c r="X802" s="587">
        <f t="shared" si="1432"/>
        <v>76360.927298528593</v>
      </c>
      <c r="Y802" s="587">
        <f t="shared" si="1432"/>
        <v>77876.971043592741</v>
      </c>
      <c r="Z802" s="587">
        <f t="shared" si="1432"/>
        <v>79388.467859035663</v>
      </c>
      <c r="AA802" s="587">
        <f t="shared" si="1432"/>
        <v>80904.511688496612</v>
      </c>
      <c r="AB802" s="587">
        <f t="shared" si="1432"/>
        <v>82416.008603815106</v>
      </c>
      <c r="AC802" s="587">
        <f t="shared" si="1432"/>
        <v>83932.052551803121</v>
      </c>
      <c r="AD802" s="587">
        <f t="shared" si="1432"/>
        <v>85448.09657552783</v>
      </c>
      <c r="AE802" s="587">
        <f t="shared" si="1432"/>
        <v>86959.593718915785</v>
      </c>
      <c r="AF802" s="587">
        <f t="shared" si="1432"/>
        <v>88475.637935495673</v>
      </c>
      <c r="AG802" s="587">
        <f t="shared" si="1432"/>
        <v>89991.682273773782</v>
      </c>
      <c r="AH802" s="754">
        <f t="shared" si="1432"/>
        <v>91503.179783352825</v>
      </c>
      <c r="AI802" s="18"/>
      <c r="AJ802" s="18"/>
      <c r="AK802" s="18"/>
      <c r="AL802" s="18"/>
      <c r="AM802" s="18"/>
      <c r="AN802" s="18"/>
    </row>
    <row r="803" spans="2:40" ht="21.95" customHeight="1" x14ac:dyDescent="0.2">
      <c r="B803" s="232"/>
      <c r="C803" s="715"/>
      <c r="D803" s="715"/>
      <c r="E803" s="1340" t="s">
        <v>334</v>
      </c>
      <c r="F803" s="116" t="s">
        <v>336</v>
      </c>
      <c r="G803" s="116" t="s">
        <v>337</v>
      </c>
      <c r="H803" s="116" t="s">
        <v>20</v>
      </c>
      <c r="I803" s="577">
        <f t="shared" ref="I803:AH803" si="1433">I712*$D$11</f>
        <v>23471.986288130043</v>
      </c>
      <c r="J803" s="577">
        <f t="shared" si="1433"/>
        <v>24122.199019264641</v>
      </c>
      <c r="K803" s="577">
        <f t="shared" si="1433"/>
        <v>25171.572001644836</v>
      </c>
      <c r="L803" s="577">
        <f t="shared" si="1433"/>
        <v>26670.816044874198</v>
      </c>
      <c r="M803" s="577">
        <f t="shared" si="1433"/>
        <v>28170.904001160037</v>
      </c>
      <c r="N803" s="577">
        <f t="shared" si="1433"/>
        <v>29671.19093320769</v>
      </c>
      <c r="O803" s="577">
        <f t="shared" si="1433"/>
        <v>31171.340818560257</v>
      </c>
      <c r="P803" s="577">
        <f t="shared" si="1433"/>
        <v>32673.534174949542</v>
      </c>
      <c r="Q803" s="577">
        <f t="shared" si="1433"/>
        <v>34011.520677095345</v>
      </c>
      <c r="R803" s="577">
        <f t="shared" si="1433"/>
        <v>35351.138944479928</v>
      </c>
      <c r="S803" s="577">
        <f t="shared" si="1433"/>
        <v>36692.04925337524</v>
      </c>
      <c r="T803" s="577">
        <f t="shared" si="1433"/>
        <v>38035.348776929372</v>
      </c>
      <c r="U803" s="577">
        <f t="shared" si="1433"/>
        <v>39383.297429389939</v>
      </c>
      <c r="V803" s="577">
        <f t="shared" si="1433"/>
        <v>40278.120297097033</v>
      </c>
      <c r="W803" s="577">
        <f t="shared" si="1433"/>
        <v>40936.967853521826</v>
      </c>
      <c r="X803" s="577">
        <f t="shared" si="1433"/>
        <v>41597.310764396687</v>
      </c>
      <c r="Y803" s="577">
        <f t="shared" si="1433"/>
        <v>42259.377146091334</v>
      </c>
      <c r="Z803" s="577">
        <f t="shared" si="1433"/>
        <v>42923.854284478475</v>
      </c>
      <c r="AA803" s="577">
        <f t="shared" si="1433"/>
        <v>43590.178580843472</v>
      </c>
      <c r="AB803" s="577">
        <f t="shared" si="1433"/>
        <v>44259.539774748133</v>
      </c>
      <c r="AC803" s="577">
        <f t="shared" si="1433"/>
        <v>44931.447719255259</v>
      </c>
      <c r="AD803" s="577">
        <f t="shared" si="1433"/>
        <v>45606.751432204241</v>
      </c>
      <c r="AE803" s="577">
        <f t="shared" si="1433"/>
        <v>46286.360307843825</v>
      </c>
      <c r="AF803" s="577">
        <f t="shared" si="1433"/>
        <v>46969.926189852362</v>
      </c>
      <c r="AG803" s="577">
        <f t="shared" si="1433"/>
        <v>47658.475836797777</v>
      </c>
      <c r="AH803" s="752">
        <f t="shared" si="1433"/>
        <v>48353.118424195789</v>
      </c>
      <c r="AI803" s="18"/>
      <c r="AJ803" s="18"/>
      <c r="AK803" s="18"/>
      <c r="AL803" s="18"/>
      <c r="AM803" s="18"/>
      <c r="AN803" s="18"/>
    </row>
    <row r="804" spans="2:40" ht="21.95" customHeight="1" x14ac:dyDescent="0.2">
      <c r="B804" s="232"/>
      <c r="C804" s="715"/>
      <c r="D804" s="715"/>
      <c r="E804" s="1340"/>
      <c r="F804" s="116"/>
      <c r="G804" s="116"/>
      <c r="H804" s="124" t="s">
        <v>19</v>
      </c>
      <c r="I804" s="577">
        <f t="shared" ref="I804:AH804" si="1434">I713*$D$12</f>
        <v>36141.638424836681</v>
      </c>
      <c r="J804" s="577">
        <f t="shared" si="1434"/>
        <v>37142.821415463091</v>
      </c>
      <c r="K804" s="577">
        <f t="shared" si="1434"/>
        <v>38758.622414850899</v>
      </c>
      <c r="L804" s="577">
        <f t="shared" si="1434"/>
        <v>41067.124791080882</v>
      </c>
      <c r="M804" s="577">
        <f t="shared" si="1434"/>
        <v>43376.926605721179</v>
      </c>
      <c r="N804" s="577">
        <f t="shared" si="1434"/>
        <v>45687.034798780012</v>
      </c>
      <c r="O804" s="577">
        <f t="shared" si="1434"/>
        <v>47996.931970409292</v>
      </c>
      <c r="P804" s="577">
        <f t="shared" si="1434"/>
        <v>50309.975632941976</v>
      </c>
      <c r="Q804" s="577">
        <f t="shared" si="1434"/>
        <v>52370.177261566823</v>
      </c>
      <c r="R804" s="577">
        <f t="shared" si="1434"/>
        <v>54432.891445734698</v>
      </c>
      <c r="S804" s="577">
        <f t="shared" si="1434"/>
        <v>56497.59508646316</v>
      </c>
      <c r="T804" s="577">
        <f t="shared" si="1434"/>
        <v>58565.977586375411</v>
      </c>
      <c r="U804" s="577">
        <f t="shared" si="1434"/>
        <v>60641.518710780052</v>
      </c>
      <c r="V804" s="577">
        <f t="shared" si="1434"/>
        <v>62019.346907420579</v>
      </c>
      <c r="W804" s="577">
        <f t="shared" si="1434"/>
        <v>63033.82560850239</v>
      </c>
      <c r="X804" s="577">
        <f t="shared" si="1434"/>
        <v>64050.606822852031</v>
      </c>
      <c r="Y804" s="577">
        <f t="shared" si="1434"/>
        <v>65070.041798943028</v>
      </c>
      <c r="Z804" s="577">
        <f t="shared" si="1434"/>
        <v>66093.188804158475</v>
      </c>
      <c r="AA804" s="577">
        <f t="shared" si="1434"/>
        <v>67119.180021829117</v>
      </c>
      <c r="AB804" s="577">
        <f t="shared" si="1434"/>
        <v>68149.847386267444</v>
      </c>
      <c r="AC804" s="577">
        <f t="shared" si="1434"/>
        <v>69184.436180204852</v>
      </c>
      <c r="AD804" s="577">
        <f t="shared" si="1434"/>
        <v>70224.253702281974</v>
      </c>
      <c r="AE804" s="577">
        <f t="shared" si="1434"/>
        <v>71270.700217381411</v>
      </c>
      <c r="AF804" s="577">
        <f t="shared" si="1434"/>
        <v>72323.239642202083</v>
      </c>
      <c r="AG804" s="577">
        <f t="shared" si="1434"/>
        <v>73383.452956574838</v>
      </c>
      <c r="AH804" s="752">
        <f t="shared" si="1434"/>
        <v>74453.048044099589</v>
      </c>
      <c r="AI804" s="18"/>
      <c r="AJ804" s="18"/>
      <c r="AK804" s="18"/>
      <c r="AL804" s="18"/>
      <c r="AM804" s="18"/>
      <c r="AN804" s="18"/>
    </row>
    <row r="805" spans="2:40" ht="21.95" customHeight="1" x14ac:dyDescent="0.2">
      <c r="B805" s="232"/>
      <c r="C805" s="715"/>
      <c r="D805" s="715"/>
      <c r="E805" s="1340"/>
      <c r="F805" s="116"/>
      <c r="G805" s="116"/>
      <c r="H805" s="721" t="s">
        <v>25</v>
      </c>
      <c r="I805" s="577">
        <f t="shared" ref="I805:AH805" si="1435">SUM(I803:I804)</f>
        <v>59613.624712966724</v>
      </c>
      <c r="J805" s="577">
        <f t="shared" si="1435"/>
        <v>61265.020434727732</v>
      </c>
      <c r="K805" s="577">
        <f t="shared" si="1435"/>
        <v>63930.194416495739</v>
      </c>
      <c r="L805" s="577">
        <f t="shared" si="1435"/>
        <v>67737.940835955087</v>
      </c>
      <c r="M805" s="577">
        <f t="shared" si="1435"/>
        <v>71547.830606881209</v>
      </c>
      <c r="N805" s="577">
        <f t="shared" si="1435"/>
        <v>75358.22573198771</v>
      </c>
      <c r="O805" s="577">
        <f t="shared" si="1435"/>
        <v>79168.272788969552</v>
      </c>
      <c r="P805" s="577">
        <f t="shared" si="1435"/>
        <v>82983.509807891518</v>
      </c>
      <c r="Q805" s="577">
        <f t="shared" si="1435"/>
        <v>86381.697938662168</v>
      </c>
      <c r="R805" s="577">
        <f t="shared" si="1435"/>
        <v>89784.030390214626</v>
      </c>
      <c r="S805" s="577">
        <f t="shared" si="1435"/>
        <v>93189.6443398384</v>
      </c>
      <c r="T805" s="577">
        <f t="shared" si="1435"/>
        <v>96601.326363304775</v>
      </c>
      <c r="U805" s="577">
        <f t="shared" si="1435"/>
        <v>100024.81614016999</v>
      </c>
      <c r="V805" s="577">
        <f t="shared" si="1435"/>
        <v>102297.46720451761</v>
      </c>
      <c r="W805" s="577">
        <f t="shared" si="1435"/>
        <v>103970.79346202422</v>
      </c>
      <c r="X805" s="577">
        <f t="shared" si="1435"/>
        <v>105647.91758724872</v>
      </c>
      <c r="Y805" s="577">
        <f t="shared" si="1435"/>
        <v>107329.41894503435</v>
      </c>
      <c r="Z805" s="577">
        <f t="shared" si="1435"/>
        <v>109017.04308863694</v>
      </c>
      <c r="AA805" s="577">
        <f t="shared" si="1435"/>
        <v>110709.35860267258</v>
      </c>
      <c r="AB805" s="577">
        <f t="shared" si="1435"/>
        <v>112409.38716101558</v>
      </c>
      <c r="AC805" s="577">
        <f t="shared" si="1435"/>
        <v>114115.88389946011</v>
      </c>
      <c r="AD805" s="577">
        <f t="shared" si="1435"/>
        <v>115831.00513448621</v>
      </c>
      <c r="AE805" s="577">
        <f t="shared" si="1435"/>
        <v>117557.06052522524</v>
      </c>
      <c r="AF805" s="577">
        <f t="shared" si="1435"/>
        <v>119293.16583205445</v>
      </c>
      <c r="AG805" s="577">
        <f t="shared" si="1435"/>
        <v>121041.92879337262</v>
      </c>
      <c r="AH805" s="752">
        <f t="shared" si="1435"/>
        <v>122806.16646829539</v>
      </c>
      <c r="AI805" s="18"/>
      <c r="AJ805" s="18"/>
      <c r="AK805" s="18"/>
      <c r="AL805" s="18"/>
      <c r="AM805" s="18"/>
      <c r="AN805" s="18"/>
    </row>
    <row r="806" spans="2:40" ht="21.95" customHeight="1" x14ac:dyDescent="0.2">
      <c r="B806" s="232"/>
      <c r="C806" s="715"/>
      <c r="D806" s="715"/>
      <c r="E806" s="1340"/>
      <c r="F806" s="116" t="s">
        <v>337</v>
      </c>
      <c r="G806" s="116" t="s">
        <v>386</v>
      </c>
      <c r="H806" s="116" t="s">
        <v>20</v>
      </c>
      <c r="I806" s="577">
        <f t="shared" ref="I806:AH806" si="1436">I715*$D$11</f>
        <v>38797.141308020218</v>
      </c>
      <c r="J806" s="577">
        <f t="shared" si="1436"/>
        <v>38855.451900276239</v>
      </c>
      <c r="K806" s="577">
        <f t="shared" si="1436"/>
        <v>38913.764399775529</v>
      </c>
      <c r="L806" s="577">
        <f t="shared" si="1436"/>
        <v>38972.078830646817</v>
      </c>
      <c r="M806" s="577">
        <f t="shared" si="1436"/>
        <v>39030.39521904158</v>
      </c>
      <c r="N806" s="577">
        <f t="shared" si="1436"/>
        <v>39088.713591425636</v>
      </c>
      <c r="O806" s="577">
        <f t="shared" si="1436"/>
        <v>39147.033974582344</v>
      </c>
      <c r="P806" s="577">
        <f t="shared" si="1436"/>
        <v>39205.356395616021</v>
      </c>
      <c r="Q806" s="577">
        <f t="shared" si="1436"/>
        <v>39263.680881955195</v>
      </c>
      <c r="R806" s="577">
        <f t="shared" si="1436"/>
        <v>39263.680883883993</v>
      </c>
      <c r="S806" s="577">
        <f t="shared" si="1436"/>
        <v>39263.680883883993</v>
      </c>
      <c r="T806" s="577">
        <f t="shared" si="1436"/>
        <v>39263.680883883993</v>
      </c>
      <c r="U806" s="577">
        <f t="shared" si="1436"/>
        <v>39263.680883883993</v>
      </c>
      <c r="V806" s="577">
        <f t="shared" si="1436"/>
        <v>39263.680883883993</v>
      </c>
      <c r="W806" s="577">
        <f t="shared" si="1436"/>
        <v>39522.082145086766</v>
      </c>
      <c r="X806" s="577">
        <f t="shared" si="1436"/>
        <v>40135.763261425484</v>
      </c>
      <c r="Y806" s="577">
        <f t="shared" si="1436"/>
        <v>40749.726798326301</v>
      </c>
      <c r="Z806" s="577">
        <f t="shared" si="1436"/>
        <v>41364.157345494292</v>
      </c>
      <c r="AA806" s="577">
        <f t="shared" si="1436"/>
        <v>41978.814659232012</v>
      </c>
      <c r="AB806" s="577">
        <f t="shared" si="1436"/>
        <v>42594.03795481658</v>
      </c>
      <c r="AC806" s="577">
        <f t="shared" si="1436"/>
        <v>43209.598930373752</v>
      </c>
      <c r="AD806" s="577">
        <f t="shared" si="1436"/>
        <v>43825.707009438396</v>
      </c>
      <c r="AE806" s="577">
        <f t="shared" si="1436"/>
        <v>44442.580042545756</v>
      </c>
      <c r="AF806" s="577">
        <f t="shared" si="1436"/>
        <v>45060.012766967913</v>
      </c>
      <c r="AG806" s="577">
        <f t="shared" si="1436"/>
        <v>45678.241232736429</v>
      </c>
      <c r="AH806" s="752">
        <f t="shared" si="1436"/>
        <v>46297.512826500853</v>
      </c>
      <c r="AI806" s="18"/>
      <c r="AJ806" s="18"/>
      <c r="AK806" s="18"/>
      <c r="AL806" s="18"/>
      <c r="AM806" s="18"/>
      <c r="AN806" s="18"/>
    </row>
    <row r="807" spans="2:40" ht="21.95" customHeight="1" x14ac:dyDescent="0.2">
      <c r="B807" s="232"/>
      <c r="C807" s="715"/>
      <c r="D807" s="715"/>
      <c r="E807" s="1340"/>
      <c r="F807" s="116"/>
      <c r="G807" s="116"/>
      <c r="H807" s="124" t="s">
        <v>19</v>
      </c>
      <c r="I807" s="577">
        <f t="shared" ref="I807:AH807" si="1437">I716*$D$12</f>
        <v>59738.968652212476</v>
      </c>
      <c r="J807" s="577">
        <f t="shared" si="1437"/>
        <v>59828.753995292755</v>
      </c>
      <c r="K807" s="577">
        <f t="shared" si="1437"/>
        <v>59918.542275103457</v>
      </c>
      <c r="L807" s="577">
        <f t="shared" si="1437"/>
        <v>60008.333528797484</v>
      </c>
      <c r="M807" s="577">
        <f t="shared" si="1437"/>
        <v>60098.127796642293</v>
      </c>
      <c r="N807" s="577">
        <f t="shared" si="1437"/>
        <v>60187.925119389343</v>
      </c>
      <c r="O807" s="577">
        <f t="shared" si="1437"/>
        <v>60277.725538279054</v>
      </c>
      <c r="P807" s="577">
        <f t="shared" si="1437"/>
        <v>60367.529095046048</v>
      </c>
      <c r="Q807" s="577">
        <f t="shared" si="1437"/>
        <v>60457.33583192416</v>
      </c>
      <c r="R807" s="577">
        <f t="shared" si="1437"/>
        <v>60457.335834894089</v>
      </c>
      <c r="S807" s="577">
        <f t="shared" si="1437"/>
        <v>60457.335834894089</v>
      </c>
      <c r="T807" s="577">
        <f t="shared" si="1437"/>
        <v>60457.335834894089</v>
      </c>
      <c r="U807" s="577">
        <f t="shared" si="1437"/>
        <v>60457.335834894089</v>
      </c>
      <c r="V807" s="577">
        <f t="shared" si="1437"/>
        <v>60457.335834894089</v>
      </c>
      <c r="W807" s="577">
        <f t="shared" si="1437"/>
        <v>60855.216305522816</v>
      </c>
      <c r="X807" s="577">
        <f t="shared" si="1437"/>
        <v>61800.148734444709</v>
      </c>
      <c r="Y807" s="577">
        <f t="shared" si="1437"/>
        <v>62745.516028218422</v>
      </c>
      <c r="Z807" s="577">
        <f t="shared" si="1437"/>
        <v>63691.602413934743</v>
      </c>
      <c r="AA807" s="577">
        <f t="shared" si="1437"/>
        <v>64638.037969732773</v>
      </c>
      <c r="AB807" s="577">
        <f t="shared" si="1437"/>
        <v>65585.345011693615</v>
      </c>
      <c r="AC807" s="577">
        <f t="shared" si="1437"/>
        <v>66533.172005708082</v>
      </c>
      <c r="AD807" s="577">
        <f t="shared" si="1437"/>
        <v>67481.841417441494</v>
      </c>
      <c r="AE807" s="577">
        <f t="shared" si="1437"/>
        <v>68431.68868826548</v>
      </c>
      <c r="AF807" s="577">
        <f t="shared" si="1437"/>
        <v>69382.39775923203</v>
      </c>
      <c r="AG807" s="577">
        <f t="shared" si="1437"/>
        <v>70334.33209488928</v>
      </c>
      <c r="AH807" s="752">
        <f t="shared" si="1437"/>
        <v>71287.87261565571</v>
      </c>
      <c r="AI807" s="18"/>
      <c r="AJ807" s="18"/>
      <c r="AK807" s="18"/>
      <c r="AL807" s="18"/>
      <c r="AM807" s="18"/>
      <c r="AN807" s="18"/>
    </row>
    <row r="808" spans="2:40" ht="21.95" customHeight="1" x14ac:dyDescent="0.2">
      <c r="B808" s="232"/>
      <c r="C808" s="715"/>
      <c r="D808" s="715"/>
      <c r="E808" s="1340"/>
      <c r="F808" s="116"/>
      <c r="G808" s="116"/>
      <c r="H808" s="721" t="s">
        <v>25</v>
      </c>
      <c r="I808" s="577">
        <f t="shared" ref="I808:AH808" si="1438">SUM(I806:I807)</f>
        <v>98536.109960232687</v>
      </c>
      <c r="J808" s="577">
        <f t="shared" si="1438"/>
        <v>98684.205895569001</v>
      </c>
      <c r="K808" s="577">
        <f t="shared" si="1438"/>
        <v>98832.306674878986</v>
      </c>
      <c r="L808" s="577">
        <f t="shared" si="1438"/>
        <v>98980.412359444308</v>
      </c>
      <c r="M808" s="577">
        <f t="shared" si="1438"/>
        <v>99128.523015683866</v>
      </c>
      <c r="N808" s="577">
        <f t="shared" si="1438"/>
        <v>99276.638710814979</v>
      </c>
      <c r="O808" s="577">
        <f t="shared" si="1438"/>
        <v>99424.759512861405</v>
      </c>
      <c r="P808" s="577">
        <f t="shared" si="1438"/>
        <v>99572.885490662069</v>
      </c>
      <c r="Q808" s="577">
        <f t="shared" si="1438"/>
        <v>99721.016713879362</v>
      </c>
      <c r="R808" s="577">
        <f t="shared" si="1438"/>
        <v>99721.01671877809</v>
      </c>
      <c r="S808" s="577">
        <f t="shared" si="1438"/>
        <v>99721.01671877809</v>
      </c>
      <c r="T808" s="577">
        <f t="shared" si="1438"/>
        <v>99721.01671877809</v>
      </c>
      <c r="U808" s="577">
        <f t="shared" si="1438"/>
        <v>99721.01671877809</v>
      </c>
      <c r="V808" s="577">
        <f t="shared" si="1438"/>
        <v>99721.01671877809</v>
      </c>
      <c r="W808" s="577">
        <f t="shared" si="1438"/>
        <v>100377.29845060958</v>
      </c>
      <c r="X808" s="577">
        <f t="shared" si="1438"/>
        <v>101935.91199587019</v>
      </c>
      <c r="Y808" s="577">
        <f t="shared" si="1438"/>
        <v>103495.24282654472</v>
      </c>
      <c r="Z808" s="577">
        <f t="shared" si="1438"/>
        <v>105055.75975942903</v>
      </c>
      <c r="AA808" s="577">
        <f t="shared" si="1438"/>
        <v>106616.85262896479</v>
      </c>
      <c r="AB808" s="577">
        <f t="shared" si="1438"/>
        <v>108179.38296651019</v>
      </c>
      <c r="AC808" s="577">
        <f t="shared" si="1438"/>
        <v>109742.77093608183</v>
      </c>
      <c r="AD808" s="577">
        <f t="shared" si="1438"/>
        <v>111307.54842687989</v>
      </c>
      <c r="AE808" s="577">
        <f t="shared" si="1438"/>
        <v>112874.26873081124</v>
      </c>
      <c r="AF808" s="577">
        <f t="shared" si="1438"/>
        <v>114442.41052619994</v>
      </c>
      <c r="AG808" s="577">
        <f t="shared" si="1438"/>
        <v>116012.57332762571</v>
      </c>
      <c r="AH808" s="752">
        <f t="shared" si="1438"/>
        <v>117585.38544215656</v>
      </c>
      <c r="AI808" s="18"/>
      <c r="AJ808" s="18"/>
      <c r="AK808" s="18"/>
      <c r="AL808" s="18"/>
      <c r="AM808" s="18"/>
      <c r="AN808" s="18"/>
    </row>
    <row r="809" spans="2:40" ht="21.95" customHeight="1" x14ac:dyDescent="0.2">
      <c r="B809" s="232"/>
      <c r="C809" s="715"/>
      <c r="D809" s="715"/>
      <c r="E809" s="1340"/>
      <c r="F809" s="116" t="s">
        <v>342</v>
      </c>
      <c r="G809" s="116" t="s">
        <v>341</v>
      </c>
      <c r="H809" s="116" t="s">
        <v>20</v>
      </c>
      <c r="I809" s="577">
        <f t="shared" ref="I809:AH809" si="1439">I718*$D$11</f>
        <v>56250.281087063988</v>
      </c>
      <c r="J809" s="577">
        <f t="shared" si="1439"/>
        <v>56334.873960615398</v>
      </c>
      <c r="K809" s="577">
        <f t="shared" si="1439"/>
        <v>56419.470444304796</v>
      </c>
      <c r="L809" s="577">
        <f t="shared" si="1439"/>
        <v>56504.07058380435</v>
      </c>
      <c r="M809" s="577">
        <f t="shared" si="1439"/>
        <v>56588.674428615144</v>
      </c>
      <c r="N809" s="577">
        <f t="shared" si="1439"/>
        <v>56673.282028833106</v>
      </c>
      <c r="O809" s="577">
        <f t="shared" si="1439"/>
        <v>56757.893435155347</v>
      </c>
      <c r="P809" s="577">
        <f t="shared" si="1439"/>
        <v>56842.508698886377</v>
      </c>
      <c r="Q809" s="577">
        <f t="shared" si="1439"/>
        <v>56927.127871944547</v>
      </c>
      <c r="R809" s="577">
        <f t="shared" si="1439"/>
        <v>56927.127875595499</v>
      </c>
      <c r="S809" s="577">
        <f t="shared" si="1439"/>
        <v>56927.127875595499</v>
      </c>
      <c r="T809" s="577">
        <f t="shared" si="1439"/>
        <v>56927.127875595499</v>
      </c>
      <c r="U809" s="577">
        <f t="shared" si="1439"/>
        <v>56927.127875595499</v>
      </c>
      <c r="V809" s="577">
        <f t="shared" si="1439"/>
        <v>56927.127875595499</v>
      </c>
      <c r="W809" s="577">
        <f t="shared" si="1439"/>
        <v>57302.036618326973</v>
      </c>
      <c r="X809" s="577">
        <f t="shared" si="1439"/>
        <v>58192.492431468381</v>
      </c>
      <c r="Y809" s="577">
        <f t="shared" si="1439"/>
        <v>59083.482826230138</v>
      </c>
      <c r="Z809" s="577">
        <f t="shared" si="1439"/>
        <v>59975.293924514124</v>
      </c>
      <c r="AA809" s="577">
        <f t="shared" si="1439"/>
        <v>60867.597539329108</v>
      </c>
      <c r="AB809" s="577">
        <f t="shared" si="1439"/>
        <v>61760.909196672554</v>
      </c>
      <c r="AC809" s="577">
        <f t="shared" si="1439"/>
        <v>62654.923313711814</v>
      </c>
      <c r="AD809" s="577">
        <f t="shared" si="1439"/>
        <v>63549.973019227094</v>
      </c>
      <c r="AE809" s="577">
        <f t="shared" si="1439"/>
        <v>64446.407393101705</v>
      </c>
      <c r="AF809" s="577">
        <f t="shared" si="1439"/>
        <v>65343.964462302851</v>
      </c>
      <c r="AG809" s="577">
        <f t="shared" si="1439"/>
        <v>66243.027755750285</v>
      </c>
      <c r="AH809" s="752">
        <f t="shared" si="1439"/>
        <v>67144.00226095572</v>
      </c>
      <c r="AI809" s="18"/>
      <c r="AJ809" s="18"/>
      <c r="AK809" s="18"/>
      <c r="AL809" s="18"/>
      <c r="AM809" s="18"/>
      <c r="AN809" s="18"/>
    </row>
    <row r="810" spans="2:40" ht="21.95" customHeight="1" x14ac:dyDescent="0.2">
      <c r="B810" s="232"/>
      <c r="C810" s="715"/>
      <c r="D810" s="715"/>
      <c r="E810" s="1340"/>
      <c r="F810" s="116"/>
      <c r="G810" s="116"/>
      <c r="H810" s="124" t="s">
        <v>19</v>
      </c>
      <c r="I810" s="577">
        <f t="shared" ref="I810:AH810" si="1440">I719*$D$12</f>
        <v>86612.922118661401</v>
      </c>
      <c r="J810" s="577">
        <f t="shared" si="1440"/>
        <v>86743.176329433467</v>
      </c>
      <c r="K810" s="577">
        <f t="shared" si="1440"/>
        <v>86873.436099015074</v>
      </c>
      <c r="L810" s="577">
        <f t="shared" si="1440"/>
        <v>87003.701497731236</v>
      </c>
      <c r="M810" s="577">
        <f t="shared" si="1440"/>
        <v>87133.972601802612</v>
      </c>
      <c r="N810" s="577">
        <f t="shared" si="1440"/>
        <v>87264.249488365778</v>
      </c>
      <c r="O810" s="577">
        <f t="shared" si="1440"/>
        <v>87394.532235482984</v>
      </c>
      <c r="P810" s="577">
        <f t="shared" si="1440"/>
        <v>87524.820922151819</v>
      </c>
      <c r="Q810" s="577">
        <f t="shared" si="1440"/>
        <v>87655.115628314947</v>
      </c>
      <c r="R810" s="577">
        <f t="shared" si="1440"/>
        <v>87655.115633936613</v>
      </c>
      <c r="S810" s="577">
        <f t="shared" si="1440"/>
        <v>87655.115633936613</v>
      </c>
      <c r="T810" s="577">
        <f t="shared" si="1440"/>
        <v>87655.115633936613</v>
      </c>
      <c r="U810" s="577">
        <f t="shared" si="1440"/>
        <v>87655.115633936613</v>
      </c>
      <c r="V810" s="577">
        <f t="shared" si="1440"/>
        <v>87655.115633936613</v>
      </c>
      <c r="W810" s="577">
        <f t="shared" si="1440"/>
        <v>88232.391713420482</v>
      </c>
      <c r="X810" s="577">
        <f t="shared" si="1440"/>
        <v>89603.49561731657</v>
      </c>
      <c r="Y810" s="577">
        <f t="shared" si="1440"/>
        <v>90975.422658010473</v>
      </c>
      <c r="Z810" s="577">
        <f t="shared" si="1440"/>
        <v>92348.613399594018</v>
      </c>
      <c r="AA810" s="577">
        <f t="shared" si="1440"/>
        <v>93722.562507093564</v>
      </c>
      <c r="AB810" s="577">
        <f t="shared" si="1440"/>
        <v>95098.063775885865</v>
      </c>
      <c r="AC810" s="577">
        <f t="shared" si="1440"/>
        <v>96474.646676374046</v>
      </c>
      <c r="AD810" s="577">
        <f t="shared" si="1440"/>
        <v>97852.824152787638</v>
      </c>
      <c r="AE810" s="577">
        <f t="shared" si="1440"/>
        <v>99233.133710507318</v>
      </c>
      <c r="AF810" s="577">
        <f t="shared" si="1440"/>
        <v>100615.17196932858</v>
      </c>
      <c r="AG810" s="577">
        <f t="shared" si="1440"/>
        <v>101999.52947848631</v>
      </c>
      <c r="AH810" s="752">
        <f t="shared" si="1440"/>
        <v>103386.82982867431</v>
      </c>
      <c r="AI810" s="18"/>
      <c r="AJ810" s="18"/>
      <c r="AK810" s="18"/>
      <c r="AL810" s="18"/>
      <c r="AM810" s="18"/>
      <c r="AN810" s="18"/>
    </row>
    <row r="811" spans="2:40" ht="21.95" customHeight="1" x14ac:dyDescent="0.2">
      <c r="B811" s="232"/>
      <c r="C811" s="715"/>
      <c r="D811" s="715"/>
      <c r="E811" s="1340"/>
      <c r="F811" s="116"/>
      <c r="G811" s="116"/>
      <c r="H811" s="721" t="s">
        <v>25</v>
      </c>
      <c r="I811" s="577">
        <f t="shared" ref="I811:AH811" si="1441">SUM(I809:I810)</f>
        <v>142863.20320572538</v>
      </c>
      <c r="J811" s="577">
        <f t="shared" si="1441"/>
        <v>143078.05029004888</v>
      </c>
      <c r="K811" s="577">
        <f t="shared" si="1441"/>
        <v>143292.90654331987</v>
      </c>
      <c r="L811" s="577">
        <f t="shared" si="1441"/>
        <v>143507.7720815356</v>
      </c>
      <c r="M811" s="577">
        <f t="shared" si="1441"/>
        <v>143722.64703041775</v>
      </c>
      <c r="N811" s="577">
        <f t="shared" si="1441"/>
        <v>143937.53151719889</v>
      </c>
      <c r="O811" s="577">
        <f t="shared" si="1441"/>
        <v>144152.42567063833</v>
      </c>
      <c r="P811" s="577">
        <f t="shared" si="1441"/>
        <v>144367.3296210382</v>
      </c>
      <c r="Q811" s="577">
        <f t="shared" si="1441"/>
        <v>144582.2435002595</v>
      </c>
      <c r="R811" s="577">
        <f t="shared" si="1441"/>
        <v>144582.24350953213</v>
      </c>
      <c r="S811" s="577">
        <f t="shared" si="1441"/>
        <v>144582.24350953213</v>
      </c>
      <c r="T811" s="577">
        <f t="shared" si="1441"/>
        <v>144582.24350953213</v>
      </c>
      <c r="U811" s="577">
        <f t="shared" si="1441"/>
        <v>144582.24350953213</v>
      </c>
      <c r="V811" s="577">
        <f t="shared" si="1441"/>
        <v>144582.24350953213</v>
      </c>
      <c r="W811" s="577">
        <f t="shared" si="1441"/>
        <v>145534.42833174745</v>
      </c>
      <c r="X811" s="577">
        <f t="shared" si="1441"/>
        <v>147795.98804878496</v>
      </c>
      <c r="Y811" s="577">
        <f t="shared" si="1441"/>
        <v>150058.90548424062</v>
      </c>
      <c r="Z811" s="577">
        <f t="shared" si="1441"/>
        <v>152323.90732410815</v>
      </c>
      <c r="AA811" s="577">
        <f t="shared" si="1441"/>
        <v>154590.16004642268</v>
      </c>
      <c r="AB811" s="577">
        <f t="shared" si="1441"/>
        <v>156858.9729725584</v>
      </c>
      <c r="AC811" s="577">
        <f t="shared" si="1441"/>
        <v>159129.56999008585</v>
      </c>
      <c r="AD811" s="577">
        <f t="shared" si="1441"/>
        <v>161402.79717201472</v>
      </c>
      <c r="AE811" s="577">
        <f t="shared" si="1441"/>
        <v>163679.54110360902</v>
      </c>
      <c r="AF811" s="577">
        <f t="shared" si="1441"/>
        <v>165959.13643163143</v>
      </c>
      <c r="AG811" s="577">
        <f t="shared" si="1441"/>
        <v>168242.55723423659</v>
      </c>
      <c r="AH811" s="752">
        <f t="shared" si="1441"/>
        <v>170530.83208963001</v>
      </c>
      <c r="AI811" s="18"/>
      <c r="AJ811" s="18"/>
      <c r="AK811" s="18"/>
      <c r="AL811" s="18"/>
      <c r="AM811" s="18"/>
      <c r="AN811" s="18"/>
    </row>
    <row r="812" spans="2:40" ht="21.95" customHeight="1" x14ac:dyDescent="0.2">
      <c r="B812" s="232"/>
      <c r="C812" s="715"/>
      <c r="D812" s="715"/>
      <c r="E812" s="1340"/>
      <c r="F812" s="116" t="s">
        <v>341</v>
      </c>
      <c r="G812" s="116" t="s">
        <v>344</v>
      </c>
      <c r="H812" s="116" t="s">
        <v>20</v>
      </c>
      <c r="I812" s="577">
        <f t="shared" ref="I812:AH812" si="1442">I721*$D$11</f>
        <v>58148.218433797614</v>
      </c>
      <c r="J812" s="577">
        <f t="shared" si="1442"/>
        <v>58236.355131835568</v>
      </c>
      <c r="K812" s="577">
        <f t="shared" si="1442"/>
        <v>58324.5070102557</v>
      </c>
      <c r="L812" s="577">
        <f t="shared" si="1442"/>
        <v>58412.674261106484</v>
      </c>
      <c r="M812" s="577">
        <f t="shared" si="1442"/>
        <v>58500.857092536367</v>
      </c>
      <c r="N812" s="577">
        <f t="shared" si="1442"/>
        <v>58589.055715195427</v>
      </c>
      <c r="O812" s="577">
        <f t="shared" si="1442"/>
        <v>58677.270342261421</v>
      </c>
      <c r="P812" s="577">
        <f t="shared" si="1442"/>
        <v>58765.501189466435</v>
      </c>
      <c r="Q812" s="577">
        <f t="shared" si="1442"/>
        <v>58853.748475123502</v>
      </c>
      <c r="R812" s="577">
        <f t="shared" si="1442"/>
        <v>58853.748490475497</v>
      </c>
      <c r="S812" s="577">
        <f t="shared" si="1442"/>
        <v>58853.748490475497</v>
      </c>
      <c r="T812" s="577">
        <f t="shared" si="1442"/>
        <v>58853.748490475497</v>
      </c>
      <c r="U812" s="577">
        <f t="shared" si="1442"/>
        <v>58853.748490475497</v>
      </c>
      <c r="V812" s="577">
        <f t="shared" si="1442"/>
        <v>58853.748490475497</v>
      </c>
      <c r="W812" s="577">
        <f t="shared" si="1442"/>
        <v>58853.748490475497</v>
      </c>
      <c r="X812" s="577">
        <f t="shared" si="1442"/>
        <v>58853.748490475497</v>
      </c>
      <c r="Y812" s="577">
        <f t="shared" si="1442"/>
        <v>58853.748490475497</v>
      </c>
      <c r="Z812" s="577">
        <f t="shared" si="1442"/>
        <v>58853.748490475497</v>
      </c>
      <c r="AA812" s="577">
        <f t="shared" si="1442"/>
        <v>59629.352764714844</v>
      </c>
      <c r="AB812" s="577">
        <f t="shared" si="1442"/>
        <v>60511.770471721473</v>
      </c>
      <c r="AC812" s="577">
        <f t="shared" si="1442"/>
        <v>61396.103424707413</v>
      </c>
      <c r="AD812" s="577">
        <f t="shared" si="1442"/>
        <v>62282.847876348387</v>
      </c>
      <c r="AE812" s="577">
        <f t="shared" si="1442"/>
        <v>63172.537241916434</v>
      </c>
      <c r="AF812" s="577">
        <f t="shared" si="1442"/>
        <v>64065.120406807247</v>
      </c>
      <c r="AG812" s="577">
        <f t="shared" si="1442"/>
        <v>64961.211005228055</v>
      </c>
      <c r="AH812" s="752">
        <f t="shared" si="1442"/>
        <v>65861.472640429885</v>
      </c>
      <c r="AI812" s="18"/>
      <c r="AJ812" s="18"/>
      <c r="AK812" s="18"/>
      <c r="AL812" s="18"/>
      <c r="AM812" s="18"/>
      <c r="AN812" s="18"/>
    </row>
    <row r="813" spans="2:40" ht="21.95" customHeight="1" x14ac:dyDescent="0.2">
      <c r="B813" s="232"/>
      <c r="C813" s="715"/>
      <c r="D813" s="715"/>
      <c r="E813" s="1340"/>
      <c r="F813" s="116"/>
      <c r="G813" s="116"/>
      <c r="H813" s="124" t="s">
        <v>19</v>
      </c>
      <c r="I813" s="577">
        <f t="shared" ref="I813:AH813" si="1443">I722*$D$12</f>
        <v>89535.323507986061</v>
      </c>
      <c r="J813" s="577">
        <f t="shared" si="1443"/>
        <v>89671.034420277167</v>
      </c>
      <c r="K813" s="577">
        <f t="shared" si="1443"/>
        <v>89806.76870698054</v>
      </c>
      <c r="L813" s="577">
        <f t="shared" si="1443"/>
        <v>89942.526663808094</v>
      </c>
      <c r="M813" s="577">
        <f t="shared" si="1443"/>
        <v>90078.308611262153</v>
      </c>
      <c r="N813" s="577">
        <f t="shared" si="1443"/>
        <v>90214.114873696963</v>
      </c>
      <c r="O813" s="577">
        <f t="shared" si="1443"/>
        <v>90349.945779358895</v>
      </c>
      <c r="P813" s="577">
        <f t="shared" si="1443"/>
        <v>90485.801660427358</v>
      </c>
      <c r="Q813" s="577">
        <f t="shared" si="1443"/>
        <v>90621.682853055856</v>
      </c>
      <c r="R813" s="577">
        <f t="shared" si="1443"/>
        <v>90621.682876694511</v>
      </c>
      <c r="S813" s="577">
        <f t="shared" si="1443"/>
        <v>90621.682876694511</v>
      </c>
      <c r="T813" s="577">
        <f t="shared" si="1443"/>
        <v>90621.682876694511</v>
      </c>
      <c r="U813" s="577">
        <f t="shared" si="1443"/>
        <v>90621.682876694511</v>
      </c>
      <c r="V813" s="577">
        <f t="shared" si="1443"/>
        <v>90621.682876694511</v>
      </c>
      <c r="W813" s="577">
        <f t="shared" si="1443"/>
        <v>90621.682876694511</v>
      </c>
      <c r="X813" s="577">
        <f t="shared" si="1443"/>
        <v>90621.682876694511</v>
      </c>
      <c r="Y813" s="577">
        <f t="shared" si="1443"/>
        <v>90621.682876694511</v>
      </c>
      <c r="Z813" s="577">
        <f t="shared" si="1443"/>
        <v>90621.682876694511</v>
      </c>
      <c r="AA813" s="577">
        <f t="shared" si="1443"/>
        <v>91815.940955078462</v>
      </c>
      <c r="AB813" s="577">
        <f t="shared" si="1443"/>
        <v>93174.667963300803</v>
      </c>
      <c r="AC813" s="577">
        <f t="shared" si="1443"/>
        <v>94536.344024357008</v>
      </c>
      <c r="AD813" s="577">
        <f t="shared" si="1443"/>
        <v>95901.733256994936</v>
      </c>
      <c r="AE813" s="577">
        <f t="shared" si="1443"/>
        <v>97271.657002095439</v>
      </c>
      <c r="AF813" s="577">
        <f t="shared" si="1443"/>
        <v>98646.036554536375</v>
      </c>
      <c r="AG813" s="577">
        <f t="shared" si="1443"/>
        <v>100025.81677451709</v>
      </c>
      <c r="AH813" s="752">
        <f t="shared" si="1443"/>
        <v>101412.01946345062</v>
      </c>
      <c r="AI813" s="18"/>
      <c r="AJ813" s="18"/>
      <c r="AK813" s="18"/>
      <c r="AL813" s="18"/>
      <c r="AM813" s="18"/>
      <c r="AN813" s="18"/>
    </row>
    <row r="814" spans="2:40" ht="21.95" customHeight="1" x14ac:dyDescent="0.2">
      <c r="B814" s="232"/>
      <c r="C814" s="715"/>
      <c r="D814" s="715"/>
      <c r="E814" s="1340"/>
      <c r="F814" s="116"/>
      <c r="G814" s="116"/>
      <c r="H814" s="721" t="s">
        <v>25</v>
      </c>
      <c r="I814" s="577">
        <f t="shared" ref="I814:AH814" si="1444">SUM(I812:I813)</f>
        <v>147683.54194178368</v>
      </c>
      <c r="J814" s="577">
        <f t="shared" si="1444"/>
        <v>147907.38955211273</v>
      </c>
      <c r="K814" s="577">
        <f t="shared" si="1444"/>
        <v>148131.27571723625</v>
      </c>
      <c r="L814" s="577">
        <f t="shared" si="1444"/>
        <v>148355.20092491456</v>
      </c>
      <c r="M814" s="577">
        <f t="shared" si="1444"/>
        <v>148579.16570379853</v>
      </c>
      <c r="N814" s="577">
        <f t="shared" si="1444"/>
        <v>148803.17058889239</v>
      </c>
      <c r="O814" s="577">
        <f t="shared" si="1444"/>
        <v>149027.21612162032</v>
      </c>
      <c r="P814" s="577">
        <f t="shared" si="1444"/>
        <v>149251.30284989381</v>
      </c>
      <c r="Q814" s="577">
        <f t="shared" si="1444"/>
        <v>149475.43132817937</v>
      </c>
      <c r="R814" s="577">
        <f t="shared" si="1444"/>
        <v>149475.43136717001</v>
      </c>
      <c r="S814" s="577">
        <f t="shared" si="1444"/>
        <v>149475.43136717001</v>
      </c>
      <c r="T814" s="577">
        <f t="shared" si="1444"/>
        <v>149475.43136717001</v>
      </c>
      <c r="U814" s="577">
        <f t="shared" si="1444"/>
        <v>149475.43136717001</v>
      </c>
      <c r="V814" s="577">
        <f t="shared" si="1444"/>
        <v>149475.43136717001</v>
      </c>
      <c r="W814" s="577">
        <f t="shared" si="1444"/>
        <v>149475.43136717001</v>
      </c>
      <c r="X814" s="577">
        <f t="shared" si="1444"/>
        <v>149475.43136717001</v>
      </c>
      <c r="Y814" s="577">
        <f t="shared" si="1444"/>
        <v>149475.43136717001</v>
      </c>
      <c r="Z814" s="577">
        <f t="shared" si="1444"/>
        <v>149475.43136717001</v>
      </c>
      <c r="AA814" s="577">
        <f t="shared" si="1444"/>
        <v>151445.29371979332</v>
      </c>
      <c r="AB814" s="577">
        <f t="shared" si="1444"/>
        <v>153686.43843502228</v>
      </c>
      <c r="AC814" s="577">
        <f t="shared" si="1444"/>
        <v>155932.44744906441</v>
      </c>
      <c r="AD814" s="577">
        <f t="shared" si="1444"/>
        <v>158184.58113334334</v>
      </c>
      <c r="AE814" s="577">
        <f t="shared" si="1444"/>
        <v>160444.19424401189</v>
      </c>
      <c r="AF814" s="577">
        <f t="shared" si="1444"/>
        <v>162711.15696134363</v>
      </c>
      <c r="AG814" s="577">
        <f t="shared" si="1444"/>
        <v>164987.02777974514</v>
      </c>
      <c r="AH814" s="752">
        <f t="shared" si="1444"/>
        <v>167273.4921038805</v>
      </c>
      <c r="AI814" s="18"/>
      <c r="AJ814" s="18"/>
      <c r="AK814" s="18"/>
      <c r="AL814" s="18"/>
      <c r="AM814" s="18"/>
      <c r="AN814" s="18"/>
    </row>
    <row r="815" spans="2:40" ht="21.95" customHeight="1" x14ac:dyDescent="0.2">
      <c r="B815" s="232"/>
      <c r="C815" s="715"/>
      <c r="D815" s="715"/>
      <c r="E815" s="1340"/>
      <c r="F815" s="116" t="s">
        <v>344</v>
      </c>
      <c r="G815" s="116" t="s">
        <v>345</v>
      </c>
      <c r="H815" s="116" t="s">
        <v>20</v>
      </c>
      <c r="I815" s="577">
        <f t="shared" ref="I815:AH815" si="1445">I724*$D$11</f>
        <v>19607.869550950632</v>
      </c>
      <c r="J815" s="577">
        <f t="shared" si="1445"/>
        <v>19637.39476358582</v>
      </c>
      <c r="K815" s="577">
        <f t="shared" si="1445"/>
        <v>19666.921859026374</v>
      </c>
      <c r="L815" s="577">
        <f t="shared" si="1445"/>
        <v>19696.450861091842</v>
      </c>
      <c r="M815" s="577">
        <f t="shared" si="1445"/>
        <v>19725.981795598636</v>
      </c>
      <c r="N815" s="577">
        <f t="shared" si="1445"/>
        <v>19755.514688673444</v>
      </c>
      <c r="O815" s="577">
        <f t="shared" si="1445"/>
        <v>19785.049566756457</v>
      </c>
      <c r="P815" s="577">
        <f t="shared" si="1445"/>
        <v>19814.586456604688</v>
      </c>
      <c r="Q815" s="577">
        <f t="shared" si="1445"/>
        <v>19844.125385295232</v>
      </c>
      <c r="R815" s="577">
        <f t="shared" si="1445"/>
        <v>19844.125387199329</v>
      </c>
      <c r="S815" s="577">
        <f t="shared" si="1445"/>
        <v>19844.125387199329</v>
      </c>
      <c r="T815" s="577">
        <f t="shared" si="1445"/>
        <v>19844.125387199329</v>
      </c>
      <c r="U815" s="577">
        <f t="shared" si="1445"/>
        <v>19844.125387199329</v>
      </c>
      <c r="V815" s="577">
        <f t="shared" si="1445"/>
        <v>19844.125387199329</v>
      </c>
      <c r="W815" s="577">
        <f t="shared" si="1445"/>
        <v>19844.125387199329</v>
      </c>
      <c r="X815" s="577">
        <f t="shared" si="1445"/>
        <v>19844.125387199329</v>
      </c>
      <c r="Y815" s="577">
        <f t="shared" si="1445"/>
        <v>19844.125387199329</v>
      </c>
      <c r="Z815" s="577">
        <f t="shared" si="1445"/>
        <v>19844.125387199329</v>
      </c>
      <c r="AA815" s="577">
        <f t="shared" si="1445"/>
        <v>20103.58661002872</v>
      </c>
      <c r="AB815" s="577">
        <f t="shared" si="1445"/>
        <v>20398.409300031362</v>
      </c>
      <c r="AC815" s="577">
        <f t="shared" si="1445"/>
        <v>20693.426283941219</v>
      </c>
      <c r="AD815" s="577">
        <f t="shared" si="1445"/>
        <v>20988.742363259094</v>
      </c>
      <c r="AE815" s="577">
        <f t="shared" si="1445"/>
        <v>21284.466948719895</v>
      </c>
      <c r="AF815" s="577">
        <f t="shared" si="1445"/>
        <v>21580.507196935003</v>
      </c>
      <c r="AG815" s="577">
        <f t="shared" si="1445"/>
        <v>21876.982468101731</v>
      </c>
      <c r="AH815" s="752">
        <f t="shared" si="1445"/>
        <v>22174.018320020474</v>
      </c>
      <c r="AI815" s="18"/>
      <c r="AJ815" s="18"/>
      <c r="AK815" s="18"/>
      <c r="AL815" s="18"/>
      <c r="AM815" s="18"/>
      <c r="AN815" s="18"/>
    </row>
    <row r="816" spans="2:40" ht="21.95" customHeight="1" x14ac:dyDescent="0.2">
      <c r="B816" s="232"/>
      <c r="C816" s="715"/>
      <c r="D816" s="715"/>
      <c r="E816" s="1340"/>
      <c r="F816" s="116"/>
      <c r="G816" s="116"/>
      <c r="H816" s="124" t="s">
        <v>19</v>
      </c>
      <c r="I816" s="577">
        <f t="shared" ref="I816:AH816" si="1446">I725*$D$12</f>
        <v>30191.758076741775</v>
      </c>
      <c r="J816" s="577">
        <f t="shared" si="1446"/>
        <v>30237.220337428978</v>
      </c>
      <c r="K816" s="577">
        <f t="shared" si="1446"/>
        <v>30282.685497217677</v>
      </c>
      <c r="L816" s="577">
        <f t="shared" si="1446"/>
        <v>30328.153592784696</v>
      </c>
      <c r="M816" s="577">
        <f t="shared" si="1446"/>
        <v>30373.624663881561</v>
      </c>
      <c r="N816" s="577">
        <f t="shared" si="1446"/>
        <v>30419.09875073755</v>
      </c>
      <c r="O816" s="577">
        <f t="shared" si="1446"/>
        <v>30464.575894064688</v>
      </c>
      <c r="P816" s="577">
        <f t="shared" si="1446"/>
        <v>30510.056135062816</v>
      </c>
      <c r="Q816" s="577">
        <f t="shared" si="1446"/>
        <v>30555.539515424647</v>
      </c>
      <c r="R816" s="577">
        <f t="shared" si="1446"/>
        <v>30555.539518356534</v>
      </c>
      <c r="S816" s="577">
        <f t="shared" si="1446"/>
        <v>30555.539518356534</v>
      </c>
      <c r="T816" s="577">
        <f t="shared" si="1446"/>
        <v>30555.539518356534</v>
      </c>
      <c r="U816" s="577">
        <f t="shared" si="1446"/>
        <v>30555.539518356534</v>
      </c>
      <c r="V816" s="577">
        <f t="shared" si="1446"/>
        <v>30555.539518356534</v>
      </c>
      <c r="W816" s="577">
        <f t="shared" si="1446"/>
        <v>30555.539518356534</v>
      </c>
      <c r="X816" s="577">
        <f t="shared" si="1446"/>
        <v>30555.539518356534</v>
      </c>
      <c r="Y816" s="577">
        <f t="shared" si="1446"/>
        <v>30555.539518356534</v>
      </c>
      <c r="Z816" s="577">
        <f t="shared" si="1446"/>
        <v>30555.539518356534</v>
      </c>
      <c r="AA816" s="577">
        <f t="shared" si="1446"/>
        <v>30955.052094141738</v>
      </c>
      <c r="AB816" s="577">
        <f t="shared" si="1446"/>
        <v>31409.013464547861</v>
      </c>
      <c r="AC816" s="577">
        <f t="shared" si="1446"/>
        <v>31863.274004357736</v>
      </c>
      <c r="AD816" s="577">
        <f t="shared" si="1446"/>
        <v>32317.995084573453</v>
      </c>
      <c r="AE816" s="577">
        <f t="shared" si="1446"/>
        <v>32773.345173392481</v>
      </c>
      <c r="AF816" s="577">
        <f t="shared" si="1446"/>
        <v>33229.181312645858</v>
      </c>
      <c r="AG816" s="577">
        <f t="shared" si="1446"/>
        <v>33685.687290490263</v>
      </c>
      <c r="AH816" s="752">
        <f t="shared" si="1446"/>
        <v>34143.056438012703</v>
      </c>
      <c r="AI816" s="18"/>
      <c r="AJ816" s="18"/>
      <c r="AK816" s="18"/>
      <c r="AL816" s="18"/>
      <c r="AM816" s="18"/>
      <c r="AN816" s="18"/>
    </row>
    <row r="817" spans="2:40" ht="21.95" customHeight="1" x14ac:dyDescent="0.2">
      <c r="B817" s="232"/>
      <c r="C817" s="715"/>
      <c r="D817" s="715"/>
      <c r="E817" s="1340"/>
      <c r="F817" s="116"/>
      <c r="G817" s="116"/>
      <c r="H817" s="721" t="s">
        <v>25</v>
      </c>
      <c r="I817" s="577">
        <f t="shared" ref="I817:AH817" si="1447">SUM(I815:I816)</f>
        <v>49799.627627692404</v>
      </c>
      <c r="J817" s="577">
        <f t="shared" si="1447"/>
        <v>49874.615101014802</v>
      </c>
      <c r="K817" s="577">
        <f t="shared" si="1447"/>
        <v>49949.607356244051</v>
      </c>
      <c r="L817" s="577">
        <f t="shared" si="1447"/>
        <v>50024.604453876542</v>
      </c>
      <c r="M817" s="577">
        <f t="shared" si="1447"/>
        <v>50099.606459480201</v>
      </c>
      <c r="N817" s="577">
        <f t="shared" si="1447"/>
        <v>50174.613439410998</v>
      </c>
      <c r="O817" s="577">
        <f t="shared" si="1447"/>
        <v>50249.625460821146</v>
      </c>
      <c r="P817" s="577">
        <f t="shared" si="1447"/>
        <v>50324.642591667507</v>
      </c>
      <c r="Q817" s="577">
        <f t="shared" si="1447"/>
        <v>50399.664900719879</v>
      </c>
      <c r="R817" s="577">
        <f t="shared" si="1447"/>
        <v>50399.664905555866</v>
      </c>
      <c r="S817" s="577">
        <f t="shared" si="1447"/>
        <v>50399.664905555866</v>
      </c>
      <c r="T817" s="577">
        <f t="shared" si="1447"/>
        <v>50399.664905555866</v>
      </c>
      <c r="U817" s="577">
        <f t="shared" si="1447"/>
        <v>50399.664905555866</v>
      </c>
      <c r="V817" s="577">
        <f t="shared" si="1447"/>
        <v>50399.664905555866</v>
      </c>
      <c r="W817" s="577">
        <f t="shared" si="1447"/>
        <v>50399.664905555866</v>
      </c>
      <c r="X817" s="577">
        <f t="shared" si="1447"/>
        <v>50399.664905555866</v>
      </c>
      <c r="Y817" s="577">
        <f t="shared" si="1447"/>
        <v>50399.664905555866</v>
      </c>
      <c r="Z817" s="577">
        <f t="shared" si="1447"/>
        <v>50399.664905555866</v>
      </c>
      <c r="AA817" s="577">
        <f t="shared" si="1447"/>
        <v>51058.638704170458</v>
      </c>
      <c r="AB817" s="577">
        <f t="shared" si="1447"/>
        <v>51807.422764579227</v>
      </c>
      <c r="AC817" s="577">
        <f t="shared" si="1447"/>
        <v>52556.700288298955</v>
      </c>
      <c r="AD817" s="577">
        <f t="shared" si="1447"/>
        <v>53306.737447832551</v>
      </c>
      <c r="AE817" s="577">
        <f t="shared" si="1447"/>
        <v>54057.812122112373</v>
      </c>
      <c r="AF817" s="577">
        <f t="shared" si="1447"/>
        <v>54809.688509580861</v>
      </c>
      <c r="AG817" s="577">
        <f t="shared" si="1447"/>
        <v>55562.66975859199</v>
      </c>
      <c r="AH817" s="752">
        <f t="shared" si="1447"/>
        <v>56317.074758033181</v>
      </c>
      <c r="AI817" s="18"/>
      <c r="AJ817" s="18"/>
      <c r="AK817" s="18"/>
      <c r="AL817" s="18"/>
      <c r="AM817" s="18"/>
      <c r="AN817" s="18"/>
    </row>
    <row r="818" spans="2:40" ht="21.95" customHeight="1" x14ac:dyDescent="0.2">
      <c r="B818" s="232"/>
      <c r="C818" s="715"/>
      <c r="D818" s="715"/>
      <c r="E818" s="1340"/>
      <c r="F818" s="116" t="s">
        <v>345</v>
      </c>
      <c r="G818" s="116" t="s">
        <v>323</v>
      </c>
      <c r="H818" s="116" t="s">
        <v>20</v>
      </c>
      <c r="I818" s="577">
        <f t="shared" ref="I818:AH818" si="1448">I727*$D$11</f>
        <v>193707.18241446215</v>
      </c>
      <c r="J818" s="577">
        <f t="shared" si="1448"/>
        <v>198170.1113230068</v>
      </c>
      <c r="K818" s="577">
        <f t="shared" si="1448"/>
        <v>204706.3407034007</v>
      </c>
      <c r="L818" s="577">
        <f t="shared" si="1448"/>
        <v>212562.32629607001</v>
      </c>
      <c r="M818" s="577">
        <f t="shared" si="1448"/>
        <v>220446.26205258138</v>
      </c>
      <c r="N818" s="577">
        <f t="shared" si="1448"/>
        <v>228366.66176939197</v>
      </c>
      <c r="O818" s="577">
        <f t="shared" si="1448"/>
        <v>236333.1265011963</v>
      </c>
      <c r="P818" s="577">
        <f t="shared" si="1448"/>
        <v>244369.9967534598</v>
      </c>
      <c r="Q818" s="577">
        <f t="shared" si="1448"/>
        <v>251354.03733602061</v>
      </c>
      <c r="R818" s="577">
        <f t="shared" si="1448"/>
        <v>258421.37299938817</v>
      </c>
      <c r="S818" s="577">
        <f t="shared" si="1448"/>
        <v>265595.20526288985</v>
      </c>
      <c r="T818" s="577">
        <f t="shared" si="1448"/>
        <v>272902.86115095968</v>
      </c>
      <c r="U818" s="577">
        <f t="shared" si="1448"/>
        <v>280382.95605440321</v>
      </c>
      <c r="V818" s="577">
        <f t="shared" si="1448"/>
        <v>286563.25144918286</v>
      </c>
      <c r="W818" s="577">
        <f t="shared" si="1448"/>
        <v>291757.16534019331</v>
      </c>
      <c r="X818" s="577">
        <f t="shared" si="1448"/>
        <v>297076.48013534956</v>
      </c>
      <c r="Y818" s="577">
        <f t="shared" si="1448"/>
        <v>302539.79422820837</v>
      </c>
      <c r="Z818" s="577">
        <f t="shared" si="1448"/>
        <v>308169.45104596234</v>
      </c>
      <c r="AA818" s="577">
        <f t="shared" si="1448"/>
        <v>313986.51919526386</v>
      </c>
      <c r="AB818" s="577">
        <f t="shared" si="1448"/>
        <v>320020.39528526505</v>
      </c>
      <c r="AC818" s="577">
        <f t="shared" si="1448"/>
        <v>326298.23701085721</v>
      </c>
      <c r="AD818" s="577">
        <f t="shared" si="1448"/>
        <v>332855.04464416835</v>
      </c>
      <c r="AE818" s="577">
        <f t="shared" si="1448"/>
        <v>339730.11535138957</v>
      </c>
      <c r="AF818" s="577">
        <f t="shared" si="1448"/>
        <v>346962.35439672624</v>
      </c>
      <c r="AG818" s="577">
        <f t="shared" si="1448"/>
        <v>354600.33879731136</v>
      </c>
      <c r="AH818" s="752">
        <f t="shared" si="1448"/>
        <v>362698.42606682959</v>
      </c>
      <c r="AI818" s="18"/>
      <c r="AJ818" s="18"/>
      <c r="AK818" s="18"/>
      <c r="AL818" s="18"/>
      <c r="AM818" s="18"/>
      <c r="AN818" s="18"/>
    </row>
    <row r="819" spans="2:40" ht="21.95" customHeight="1" x14ac:dyDescent="0.2">
      <c r="B819" s="232"/>
      <c r="C819" s="715"/>
      <c r="D819" s="715"/>
      <c r="E819" s="1340"/>
      <c r="F819" s="116"/>
      <c r="G819" s="116"/>
      <c r="H819" s="124" t="s">
        <v>19</v>
      </c>
      <c r="I819" s="577">
        <f t="shared" ref="I819:AH819" si="1449">I728*$D$12</f>
        <v>298265.97805477487</v>
      </c>
      <c r="J819" s="577">
        <f t="shared" si="1449"/>
        <v>305137.89596356906</v>
      </c>
      <c r="K819" s="577">
        <f t="shared" si="1449"/>
        <v>315202.23547144671</v>
      </c>
      <c r="L819" s="577">
        <f t="shared" si="1449"/>
        <v>327298.70601618988</v>
      </c>
      <c r="M819" s="577">
        <f t="shared" si="1449"/>
        <v>339438.21359678911</v>
      </c>
      <c r="N819" s="577">
        <f t="shared" si="1449"/>
        <v>351633.86756621517</v>
      </c>
      <c r="O819" s="577">
        <f t="shared" si="1449"/>
        <v>363900.45141330478</v>
      </c>
      <c r="P819" s="577">
        <f t="shared" si="1449"/>
        <v>376275.44410284649</v>
      </c>
      <c r="Q819" s="577">
        <f t="shared" si="1449"/>
        <v>387029.31326333369</v>
      </c>
      <c r="R819" s="577">
        <f t="shared" si="1449"/>
        <v>397911.43832241115</v>
      </c>
      <c r="S819" s="577">
        <f t="shared" si="1449"/>
        <v>408957.54445953952</v>
      </c>
      <c r="T819" s="577">
        <f t="shared" si="1449"/>
        <v>420209.70921448024</v>
      </c>
      <c r="U819" s="577">
        <f t="shared" si="1449"/>
        <v>431727.39170053526</v>
      </c>
      <c r="V819" s="577">
        <f t="shared" si="1449"/>
        <v>441243.6720346699</v>
      </c>
      <c r="W819" s="577">
        <f t="shared" si="1449"/>
        <v>449241.14423639682</v>
      </c>
      <c r="X819" s="577">
        <f t="shared" si="1449"/>
        <v>457431.70593980252</v>
      </c>
      <c r="Y819" s="577">
        <f t="shared" si="1449"/>
        <v>465843.99453445256</v>
      </c>
      <c r="Z819" s="577">
        <f t="shared" si="1449"/>
        <v>474512.41392877005</v>
      </c>
      <c r="AA819" s="577">
        <f t="shared" si="1449"/>
        <v>483469.40509108204</v>
      </c>
      <c r="AB819" s="577">
        <f t="shared" si="1449"/>
        <v>492760.23226131487</v>
      </c>
      <c r="AC819" s="577">
        <f t="shared" si="1449"/>
        <v>502426.7122493952</v>
      </c>
      <c r="AD819" s="577">
        <f t="shared" si="1449"/>
        <v>512522.73768990842</v>
      </c>
      <c r="AE819" s="577">
        <f t="shared" si="1449"/>
        <v>523108.81747861521</v>
      </c>
      <c r="AF819" s="577">
        <f t="shared" si="1449"/>
        <v>534244.85706938163</v>
      </c>
      <c r="AG819" s="577">
        <f t="shared" si="1449"/>
        <v>546005.65426446567</v>
      </c>
      <c r="AH819" s="752">
        <f t="shared" si="1449"/>
        <v>558474.90754516097</v>
      </c>
      <c r="AI819" s="18"/>
      <c r="AJ819" s="18"/>
      <c r="AK819" s="18"/>
      <c r="AL819" s="18"/>
      <c r="AM819" s="18"/>
      <c r="AN819" s="18"/>
    </row>
    <row r="820" spans="2:40" ht="21.95" customHeight="1" x14ac:dyDescent="0.2">
      <c r="B820" s="232"/>
      <c r="C820" s="715"/>
      <c r="D820" s="715"/>
      <c r="E820" s="1340"/>
      <c r="F820" s="116"/>
      <c r="G820" s="116"/>
      <c r="H820" s="721" t="s">
        <v>25</v>
      </c>
      <c r="I820" s="577">
        <f t="shared" ref="I820:AH820" si="1450">SUM(I818:I819)</f>
        <v>491973.16046923702</v>
      </c>
      <c r="J820" s="577">
        <f t="shared" si="1450"/>
        <v>503308.00728657586</v>
      </c>
      <c r="K820" s="577">
        <f t="shared" si="1450"/>
        <v>519908.57617484743</v>
      </c>
      <c r="L820" s="577">
        <f t="shared" si="1450"/>
        <v>539861.03231225989</v>
      </c>
      <c r="M820" s="577">
        <f t="shared" si="1450"/>
        <v>559884.47564937046</v>
      </c>
      <c r="N820" s="577">
        <f t="shared" si="1450"/>
        <v>580000.52933560708</v>
      </c>
      <c r="O820" s="577">
        <f t="shared" si="1450"/>
        <v>600233.57791450107</v>
      </c>
      <c r="P820" s="577">
        <f t="shared" si="1450"/>
        <v>620645.44085630635</v>
      </c>
      <c r="Q820" s="577">
        <f t="shared" si="1450"/>
        <v>638383.35059935437</v>
      </c>
      <c r="R820" s="577">
        <f t="shared" si="1450"/>
        <v>656332.81132179929</v>
      </c>
      <c r="S820" s="577">
        <f t="shared" si="1450"/>
        <v>674552.74972242932</v>
      </c>
      <c r="T820" s="577">
        <f t="shared" si="1450"/>
        <v>693112.57036543987</v>
      </c>
      <c r="U820" s="577">
        <f t="shared" si="1450"/>
        <v>712110.34775493853</v>
      </c>
      <c r="V820" s="577">
        <f t="shared" si="1450"/>
        <v>727806.92348385276</v>
      </c>
      <c r="W820" s="577">
        <f t="shared" si="1450"/>
        <v>740998.30957659008</v>
      </c>
      <c r="X820" s="577">
        <f t="shared" si="1450"/>
        <v>754508.18607515213</v>
      </c>
      <c r="Y820" s="577">
        <f t="shared" si="1450"/>
        <v>768383.78876266093</v>
      </c>
      <c r="Z820" s="577">
        <f t="shared" si="1450"/>
        <v>782681.86497473239</v>
      </c>
      <c r="AA820" s="577">
        <f t="shared" si="1450"/>
        <v>797455.92428634595</v>
      </c>
      <c r="AB820" s="577">
        <f t="shared" si="1450"/>
        <v>812780.62754657993</v>
      </c>
      <c r="AC820" s="577">
        <f t="shared" si="1450"/>
        <v>828724.94926025241</v>
      </c>
      <c r="AD820" s="577">
        <f t="shared" si="1450"/>
        <v>845377.78233407671</v>
      </c>
      <c r="AE820" s="577">
        <f t="shared" si="1450"/>
        <v>862838.93283000472</v>
      </c>
      <c r="AF820" s="577">
        <f t="shared" si="1450"/>
        <v>881207.21146610787</v>
      </c>
      <c r="AG820" s="577">
        <f t="shared" si="1450"/>
        <v>900605.99306177697</v>
      </c>
      <c r="AH820" s="752">
        <f t="shared" si="1450"/>
        <v>921173.33361199056</v>
      </c>
      <c r="AI820" s="18"/>
      <c r="AJ820" s="18"/>
      <c r="AK820" s="18"/>
      <c r="AL820" s="18"/>
      <c r="AM820" s="18"/>
      <c r="AN820" s="18"/>
    </row>
    <row r="821" spans="2:40" ht="21.95" customHeight="1" x14ac:dyDescent="0.2">
      <c r="B821" s="232"/>
      <c r="C821" s="715"/>
      <c r="D821" s="715"/>
      <c r="E821" s="1340"/>
      <c r="F821" s="116" t="s">
        <v>323</v>
      </c>
      <c r="G821" s="116" t="s">
        <v>347</v>
      </c>
      <c r="H821" s="116" t="s">
        <v>20</v>
      </c>
      <c r="I821" s="577">
        <f t="shared" ref="I821:AH821" si="1451">I730*$D$11</f>
        <v>34590.568288296825</v>
      </c>
      <c r="J821" s="577">
        <f t="shared" si="1451"/>
        <v>35357.686710614893</v>
      </c>
      <c r="K821" s="577">
        <f t="shared" si="1451"/>
        <v>36494.876068667043</v>
      </c>
      <c r="L821" s="577">
        <f t="shared" si="1451"/>
        <v>37941.235456245384</v>
      </c>
      <c r="M821" s="577">
        <f t="shared" si="1451"/>
        <v>39392.923683473113</v>
      </c>
      <c r="N821" s="577">
        <f t="shared" si="1451"/>
        <v>40851.358702881145</v>
      </c>
      <c r="O821" s="577">
        <f t="shared" si="1451"/>
        <v>42318.869764210722</v>
      </c>
      <c r="P821" s="577">
        <f t="shared" si="1451"/>
        <v>43800.050857906113</v>
      </c>
      <c r="Q821" s="577">
        <f t="shared" si="1451"/>
        <v>45130.65262574557</v>
      </c>
      <c r="R821" s="577">
        <f t="shared" si="1451"/>
        <v>46479.159039492777</v>
      </c>
      <c r="S821" s="577">
        <f t="shared" si="1451"/>
        <v>47850.400181278063</v>
      </c>
      <c r="T821" s="577">
        <f t="shared" si="1451"/>
        <v>49250.853357957916</v>
      </c>
      <c r="U821" s="577">
        <f t="shared" si="1451"/>
        <v>50689.064971266802</v>
      </c>
      <c r="V821" s="577">
        <f t="shared" si="1451"/>
        <v>51814.160579261348</v>
      </c>
      <c r="W821" s="577">
        <f t="shared" si="1451"/>
        <v>52721.173397853025</v>
      </c>
      <c r="X821" s="577">
        <f t="shared" si="1451"/>
        <v>53650.912141612855</v>
      </c>
      <c r="Y821" s="577">
        <f t="shared" si="1451"/>
        <v>54606.57929588858</v>
      </c>
      <c r="Z821" s="577">
        <f t="shared" si="1451"/>
        <v>55591.9336970648</v>
      </c>
      <c r="AA821" s="577">
        <f t="shared" si="1451"/>
        <v>56610.691386464896</v>
      </c>
      <c r="AB821" s="577">
        <f t="shared" si="1451"/>
        <v>57667.699963694999</v>
      </c>
      <c r="AC821" s="577">
        <f t="shared" si="1451"/>
        <v>58767.667715908639</v>
      </c>
      <c r="AD821" s="577">
        <f t="shared" si="1451"/>
        <v>59916.398179729687</v>
      </c>
      <c r="AE821" s="577">
        <f t="shared" si="1451"/>
        <v>61120.372109351767</v>
      </c>
      <c r="AF821" s="577">
        <f t="shared" si="1451"/>
        <v>62386.191975982765</v>
      </c>
      <c r="AG821" s="577">
        <f t="shared" si="1451"/>
        <v>63721.816775287065</v>
      </c>
      <c r="AH821" s="752">
        <f t="shared" si="1451"/>
        <v>65136.1041016214</v>
      </c>
      <c r="AI821" s="18"/>
      <c r="AJ821" s="18"/>
      <c r="AK821" s="18"/>
      <c r="AL821" s="18"/>
      <c r="AM821" s="18"/>
      <c r="AN821" s="18"/>
    </row>
    <row r="822" spans="2:40" ht="21.95" customHeight="1" x14ac:dyDescent="0.2">
      <c r="B822" s="232"/>
      <c r="C822" s="715"/>
      <c r="D822" s="715"/>
      <c r="E822" s="1340"/>
      <c r="F822" s="116"/>
      <c r="G822" s="116"/>
      <c r="H822" s="124" t="s">
        <v>19</v>
      </c>
      <c r="I822" s="577">
        <f t="shared" ref="I822:AH822" si="1452">I731*$D$12</f>
        <v>53261.781795495532</v>
      </c>
      <c r="J822" s="577">
        <f t="shared" si="1452"/>
        <v>54442.973549278708</v>
      </c>
      <c r="K822" s="577">
        <f t="shared" si="1452"/>
        <v>56193.992235757636</v>
      </c>
      <c r="L822" s="577">
        <f t="shared" si="1452"/>
        <v>58421.064004483909</v>
      </c>
      <c r="M822" s="577">
        <f t="shared" si="1452"/>
        <v>60656.341001070658</v>
      </c>
      <c r="N822" s="577">
        <f t="shared" si="1452"/>
        <v>62902.006557045388</v>
      </c>
      <c r="O822" s="577">
        <f t="shared" si="1452"/>
        <v>65161.647198955769</v>
      </c>
      <c r="P822" s="577">
        <f t="shared" si="1452"/>
        <v>67442.336650325917</v>
      </c>
      <c r="Q822" s="577">
        <f t="shared" si="1452"/>
        <v>69491.16743057486</v>
      </c>
      <c r="R822" s="577">
        <f t="shared" si="1452"/>
        <v>71567.567383307949</v>
      </c>
      <c r="S822" s="577">
        <f t="shared" si="1452"/>
        <v>73678.973760736102</v>
      </c>
      <c r="T822" s="577">
        <f t="shared" si="1452"/>
        <v>75835.360174785485</v>
      </c>
      <c r="U822" s="577">
        <f t="shared" si="1452"/>
        <v>78049.886183302166</v>
      </c>
      <c r="V822" s="577">
        <f t="shared" si="1452"/>
        <v>79782.283184491374</v>
      </c>
      <c r="W822" s="577">
        <f t="shared" si="1452"/>
        <v>81178.881194298927</v>
      </c>
      <c r="X822" s="577">
        <f t="shared" si="1452"/>
        <v>82610.472074339719</v>
      </c>
      <c r="Y822" s="577">
        <f t="shared" si="1452"/>
        <v>84081.986939777111</v>
      </c>
      <c r="Z822" s="577">
        <f t="shared" si="1452"/>
        <v>85599.213562631849</v>
      </c>
      <c r="AA822" s="577">
        <f t="shared" si="1452"/>
        <v>87167.873820048582</v>
      </c>
      <c r="AB822" s="577">
        <f t="shared" si="1452"/>
        <v>88795.431937254907</v>
      </c>
      <c r="AC822" s="577">
        <f t="shared" si="1452"/>
        <v>90489.137629286182</v>
      </c>
      <c r="AD822" s="577">
        <f t="shared" si="1452"/>
        <v>92257.927051765117</v>
      </c>
      <c r="AE822" s="577">
        <f t="shared" si="1452"/>
        <v>94111.779124750363</v>
      </c>
      <c r="AF822" s="577">
        <f t="shared" si="1452"/>
        <v>96060.860185431113</v>
      </c>
      <c r="AG822" s="577">
        <f t="shared" si="1452"/>
        <v>98117.425316951849</v>
      </c>
      <c r="AH822" s="752">
        <f t="shared" si="1452"/>
        <v>100295.11324458383</v>
      </c>
      <c r="AI822" s="18"/>
      <c r="AJ822" s="18"/>
      <c r="AK822" s="18"/>
      <c r="AL822" s="18"/>
      <c r="AM822" s="18"/>
      <c r="AN822" s="18"/>
    </row>
    <row r="823" spans="2:40" ht="21.95" customHeight="1" x14ac:dyDescent="0.2">
      <c r="B823" s="232"/>
      <c r="C823" s="715"/>
      <c r="D823" s="715"/>
      <c r="E823" s="1340"/>
      <c r="F823" s="116"/>
      <c r="G823" s="116"/>
      <c r="H823" s="721" t="s">
        <v>25</v>
      </c>
      <c r="I823" s="577">
        <f t="shared" ref="I823:AH823" si="1453">SUM(I821:I822)</f>
        <v>87852.350083792349</v>
      </c>
      <c r="J823" s="577">
        <f t="shared" si="1453"/>
        <v>89800.660259893601</v>
      </c>
      <c r="K823" s="577">
        <f t="shared" si="1453"/>
        <v>92688.868304424686</v>
      </c>
      <c r="L823" s="577">
        <f t="shared" si="1453"/>
        <v>96362.299460729293</v>
      </c>
      <c r="M823" s="577">
        <f t="shared" si="1453"/>
        <v>100049.26468454377</v>
      </c>
      <c r="N823" s="577">
        <f t="shared" si="1453"/>
        <v>103753.36525992653</v>
      </c>
      <c r="O823" s="577">
        <f t="shared" si="1453"/>
        <v>107480.51696316649</v>
      </c>
      <c r="P823" s="577">
        <f t="shared" si="1453"/>
        <v>111242.38750823203</v>
      </c>
      <c r="Q823" s="577">
        <f t="shared" si="1453"/>
        <v>114621.82005632043</v>
      </c>
      <c r="R823" s="577">
        <f t="shared" si="1453"/>
        <v>118046.72642280073</v>
      </c>
      <c r="S823" s="577">
        <f t="shared" si="1453"/>
        <v>121529.37394201416</v>
      </c>
      <c r="T823" s="577">
        <f t="shared" si="1453"/>
        <v>125086.21353274339</v>
      </c>
      <c r="U823" s="577">
        <f t="shared" si="1453"/>
        <v>128738.95115456896</v>
      </c>
      <c r="V823" s="577">
        <f t="shared" si="1453"/>
        <v>131596.44376375273</v>
      </c>
      <c r="W823" s="577">
        <f t="shared" si="1453"/>
        <v>133900.05459215195</v>
      </c>
      <c r="X823" s="577">
        <f t="shared" si="1453"/>
        <v>136261.38421595257</v>
      </c>
      <c r="Y823" s="577">
        <f t="shared" si="1453"/>
        <v>138688.5662356657</v>
      </c>
      <c r="Z823" s="577">
        <f t="shared" si="1453"/>
        <v>141191.14725969665</v>
      </c>
      <c r="AA823" s="577">
        <f t="shared" si="1453"/>
        <v>143778.56520651348</v>
      </c>
      <c r="AB823" s="577">
        <f t="shared" si="1453"/>
        <v>146463.1319009499</v>
      </c>
      <c r="AC823" s="577">
        <f t="shared" si="1453"/>
        <v>149256.80534519482</v>
      </c>
      <c r="AD823" s="577">
        <f t="shared" si="1453"/>
        <v>152174.32523149479</v>
      </c>
      <c r="AE823" s="577">
        <f t="shared" si="1453"/>
        <v>155232.15123410214</v>
      </c>
      <c r="AF823" s="577">
        <f t="shared" si="1453"/>
        <v>158447.05216141389</v>
      </c>
      <c r="AG823" s="577">
        <f t="shared" si="1453"/>
        <v>161839.24209223891</v>
      </c>
      <c r="AH823" s="752">
        <f t="shared" si="1453"/>
        <v>165431.21734620523</v>
      </c>
      <c r="AI823" s="18"/>
      <c r="AJ823" s="18"/>
      <c r="AK823" s="18"/>
      <c r="AL823" s="18"/>
      <c r="AM823" s="18"/>
      <c r="AN823" s="18"/>
    </row>
    <row r="824" spans="2:40" ht="21.95" customHeight="1" x14ac:dyDescent="0.2">
      <c r="B824" s="232"/>
      <c r="C824" s="715"/>
      <c r="D824" s="715"/>
      <c r="E824" s="1340"/>
      <c r="F824" s="116" t="s">
        <v>347</v>
      </c>
      <c r="G824" s="116" t="s">
        <v>348</v>
      </c>
      <c r="H824" s="116" t="s">
        <v>20</v>
      </c>
      <c r="I824" s="577">
        <f t="shared" ref="I824:AH824" si="1454">I733*$D$11</f>
        <v>28315.539350479768</v>
      </c>
      <c r="J824" s="577">
        <f t="shared" si="1454"/>
        <v>28944.773748554529</v>
      </c>
      <c r="K824" s="577">
        <f t="shared" si="1454"/>
        <v>29878.195918503581</v>
      </c>
      <c r="L824" s="577">
        <f t="shared" si="1454"/>
        <v>31066.831301024456</v>
      </c>
      <c r="M824" s="577">
        <f t="shared" si="1454"/>
        <v>32262.07123418041</v>
      </c>
      <c r="N824" s="577">
        <f t="shared" si="1454"/>
        <v>33465.963434289995</v>
      </c>
      <c r="O824" s="577">
        <f t="shared" si="1454"/>
        <v>34681.600130707709</v>
      </c>
      <c r="P824" s="577">
        <f t="shared" si="1454"/>
        <v>35914.330971539326</v>
      </c>
      <c r="Q824" s="577">
        <f t="shared" si="1454"/>
        <v>37028.149958137081</v>
      </c>
      <c r="R824" s="577">
        <f t="shared" si="1454"/>
        <v>38164.76866698802</v>
      </c>
      <c r="S824" s="577">
        <f t="shared" si="1454"/>
        <v>39330.466124546911</v>
      </c>
      <c r="T824" s="577">
        <f t="shared" si="1454"/>
        <v>40533.454405188204</v>
      </c>
      <c r="U824" s="577">
        <f t="shared" si="1454"/>
        <v>41784.371911614719</v>
      </c>
      <c r="V824" s="577">
        <f t="shared" si="1454"/>
        <v>42775.468920868785</v>
      </c>
      <c r="W824" s="577">
        <f t="shared" si="1454"/>
        <v>43583.286467994483</v>
      </c>
      <c r="X824" s="577">
        <f t="shared" si="1454"/>
        <v>44420.114950438052</v>
      </c>
      <c r="Y824" s="577">
        <f t="shared" si="1454"/>
        <v>45290.042522789066</v>
      </c>
      <c r="Z824" s="577">
        <f t="shared" si="1454"/>
        <v>46197.810977334957</v>
      </c>
      <c r="AA824" s="577">
        <f t="shared" si="1454"/>
        <v>47148.277204113452</v>
      </c>
      <c r="AB824" s="577">
        <f t="shared" si="1454"/>
        <v>48147.516287528015</v>
      </c>
      <c r="AC824" s="577">
        <f t="shared" si="1454"/>
        <v>49201.651775822203</v>
      </c>
      <c r="AD824" s="577">
        <f t="shared" si="1454"/>
        <v>50318.035637368492</v>
      </c>
      <c r="AE824" s="577">
        <f t="shared" si="1454"/>
        <v>51504.884347263069</v>
      </c>
      <c r="AF824" s="577">
        <f t="shared" si="1454"/>
        <v>52770.739487368606</v>
      </c>
      <c r="AG824" s="577">
        <f t="shared" si="1454"/>
        <v>54125.704592048482</v>
      </c>
      <c r="AH824" s="752">
        <f t="shared" si="1454"/>
        <v>55581.03030797706</v>
      </c>
      <c r="AI824" s="18"/>
      <c r="AJ824" s="18"/>
      <c r="AK824" s="18"/>
      <c r="AL824" s="18"/>
      <c r="AM824" s="18"/>
      <c r="AN824" s="18"/>
    </row>
    <row r="825" spans="2:40" ht="21.95" customHeight="1" x14ac:dyDescent="0.2">
      <c r="B825" s="232"/>
      <c r="C825" s="715"/>
      <c r="D825" s="715"/>
      <c r="E825" s="1340"/>
      <c r="F825" s="116"/>
      <c r="G825" s="116"/>
      <c r="H825" s="124" t="s">
        <v>19</v>
      </c>
      <c r="I825" s="577">
        <f t="shared" ref="I825:AH825" si="1455">I734*$D$12</f>
        <v>43599.632874990231</v>
      </c>
      <c r="J825" s="577">
        <f t="shared" si="1455"/>
        <v>44568.513898544181</v>
      </c>
      <c r="K825" s="577">
        <f t="shared" si="1455"/>
        <v>46005.776435677028</v>
      </c>
      <c r="L825" s="577">
        <f t="shared" si="1455"/>
        <v>47836.010557608228</v>
      </c>
      <c r="M825" s="577">
        <f t="shared" si="1455"/>
        <v>49676.414218584039</v>
      </c>
      <c r="N825" s="577">
        <f t="shared" si="1455"/>
        <v>51530.140446297679</v>
      </c>
      <c r="O825" s="577">
        <f t="shared" si="1455"/>
        <v>53401.950586205188</v>
      </c>
      <c r="P825" s="577">
        <f t="shared" si="1455"/>
        <v>55300.081906561834</v>
      </c>
      <c r="Q825" s="577">
        <f t="shared" si="1455"/>
        <v>57015.115418859488</v>
      </c>
      <c r="R825" s="577">
        <f t="shared" si="1455"/>
        <v>58765.25543248796</v>
      </c>
      <c r="S825" s="577">
        <f t="shared" si="1455"/>
        <v>60560.170251654781</v>
      </c>
      <c r="T825" s="577">
        <f t="shared" si="1455"/>
        <v>62412.504644430075</v>
      </c>
      <c r="U825" s="577">
        <f t="shared" si="1455"/>
        <v>64338.6393848644</v>
      </c>
      <c r="V825" s="577">
        <f t="shared" si="1455"/>
        <v>65864.708346932253</v>
      </c>
      <c r="W825" s="577">
        <f t="shared" si="1455"/>
        <v>67108.567700932472</v>
      </c>
      <c r="X825" s="577">
        <f t="shared" si="1455"/>
        <v>68397.097442932834</v>
      </c>
      <c r="Y825" s="577">
        <f t="shared" si="1455"/>
        <v>69736.592421745358</v>
      </c>
      <c r="Z825" s="577">
        <f t="shared" si="1455"/>
        <v>71134.353942859641</v>
      </c>
      <c r="AA825" s="577">
        <f t="shared" si="1455"/>
        <v>72597.860536701628</v>
      </c>
      <c r="AB825" s="577">
        <f t="shared" si="1455"/>
        <v>74136.466482079064</v>
      </c>
      <c r="AC825" s="577">
        <f t="shared" si="1455"/>
        <v>75759.600681334443</v>
      </c>
      <c r="AD825" s="577">
        <f t="shared" si="1455"/>
        <v>77478.583530593052</v>
      </c>
      <c r="AE825" s="577">
        <f t="shared" si="1455"/>
        <v>79306.066574057768</v>
      </c>
      <c r="AF825" s="577">
        <f t="shared" si="1455"/>
        <v>81255.201948044036</v>
      </c>
      <c r="AG825" s="577">
        <f t="shared" si="1455"/>
        <v>83341.546848321013</v>
      </c>
      <c r="AH825" s="752">
        <f t="shared" si="1455"/>
        <v>85582.42476848478</v>
      </c>
      <c r="AI825" s="18"/>
      <c r="AJ825" s="18"/>
      <c r="AK825" s="18"/>
      <c r="AL825" s="18"/>
      <c r="AM825" s="18"/>
      <c r="AN825" s="18"/>
    </row>
    <row r="826" spans="2:40" ht="21.95" customHeight="1" x14ac:dyDescent="0.2">
      <c r="B826" s="232"/>
      <c r="C826" s="715"/>
      <c r="D826" s="715"/>
      <c r="E826" s="1340"/>
      <c r="F826" s="116"/>
      <c r="G826" s="116"/>
      <c r="H826" s="721" t="s">
        <v>25</v>
      </c>
      <c r="I826" s="577">
        <f t="shared" ref="I826:AH826" si="1456">SUM(I824:I825)</f>
        <v>71915.17222547</v>
      </c>
      <c r="J826" s="577">
        <f t="shared" si="1456"/>
        <v>73513.28764709871</v>
      </c>
      <c r="K826" s="577">
        <f t="shared" si="1456"/>
        <v>75883.972354180616</v>
      </c>
      <c r="L826" s="577">
        <f t="shared" si="1456"/>
        <v>78902.841858632688</v>
      </c>
      <c r="M826" s="577">
        <f t="shared" si="1456"/>
        <v>81938.485452764449</v>
      </c>
      <c r="N826" s="577">
        <f t="shared" si="1456"/>
        <v>84996.103880587674</v>
      </c>
      <c r="O826" s="577">
        <f t="shared" si="1456"/>
        <v>88083.550716912898</v>
      </c>
      <c r="P826" s="577">
        <f t="shared" si="1456"/>
        <v>91214.412878101168</v>
      </c>
      <c r="Q826" s="577">
        <f t="shared" si="1456"/>
        <v>94043.265376996569</v>
      </c>
      <c r="R826" s="577">
        <f t="shared" si="1456"/>
        <v>96930.024099475981</v>
      </c>
      <c r="S826" s="577">
        <f t="shared" si="1456"/>
        <v>99890.636376201699</v>
      </c>
      <c r="T826" s="577">
        <f t="shared" si="1456"/>
        <v>102945.95904961828</v>
      </c>
      <c r="U826" s="577">
        <f t="shared" si="1456"/>
        <v>106123.01129647912</v>
      </c>
      <c r="V826" s="577">
        <f t="shared" si="1456"/>
        <v>108640.17726780105</v>
      </c>
      <c r="W826" s="577">
        <f t="shared" si="1456"/>
        <v>110691.85416892695</v>
      </c>
      <c r="X826" s="577">
        <f t="shared" si="1456"/>
        <v>112817.21239337089</v>
      </c>
      <c r="Y826" s="577">
        <f t="shared" si="1456"/>
        <v>115026.63494453442</v>
      </c>
      <c r="Z826" s="577">
        <f t="shared" si="1456"/>
        <v>117332.1649201946</v>
      </c>
      <c r="AA826" s="577">
        <f t="shared" si="1456"/>
        <v>119746.13774081509</v>
      </c>
      <c r="AB826" s="577">
        <f t="shared" si="1456"/>
        <v>122283.98276960707</v>
      </c>
      <c r="AC826" s="577">
        <f t="shared" si="1456"/>
        <v>124961.25245715665</v>
      </c>
      <c r="AD826" s="577">
        <f t="shared" si="1456"/>
        <v>127796.61916796154</v>
      </c>
      <c r="AE826" s="577">
        <f t="shared" si="1456"/>
        <v>130810.95092132084</v>
      </c>
      <c r="AF826" s="577">
        <f t="shared" si="1456"/>
        <v>134025.94143541265</v>
      </c>
      <c r="AG826" s="577">
        <f t="shared" si="1456"/>
        <v>137467.25144036949</v>
      </c>
      <c r="AH826" s="752">
        <f t="shared" si="1456"/>
        <v>141163.45507646183</v>
      </c>
      <c r="AI826" s="18"/>
      <c r="AJ826" s="18"/>
      <c r="AK826" s="18"/>
      <c r="AL826" s="18"/>
      <c r="AM826" s="18"/>
      <c r="AN826" s="18"/>
    </row>
    <row r="827" spans="2:40" ht="21.95" customHeight="1" x14ac:dyDescent="0.2">
      <c r="B827" s="232"/>
      <c r="C827" s="715"/>
      <c r="D827" s="715"/>
      <c r="E827" s="1340"/>
      <c r="F827" s="116" t="s">
        <v>348</v>
      </c>
      <c r="G827" s="116" t="s">
        <v>349</v>
      </c>
      <c r="H827" s="116" t="s">
        <v>20</v>
      </c>
      <c r="I827" s="577">
        <f t="shared" ref="I827:AH827" si="1457">I736*$D$11</f>
        <v>46294.69995263694</v>
      </c>
      <c r="J827" s="577">
        <f t="shared" si="1457"/>
        <v>47424.628027721366</v>
      </c>
      <c r="K827" s="577">
        <f t="shared" si="1457"/>
        <v>49005.970919382256</v>
      </c>
      <c r="L827" s="577">
        <f t="shared" si="1457"/>
        <v>51134.534376639727</v>
      </c>
      <c r="M827" s="577">
        <f t="shared" si="1457"/>
        <v>53309.163929614508</v>
      </c>
      <c r="N827" s="577">
        <f t="shared" si="1457"/>
        <v>55548.639006045109</v>
      </c>
      <c r="O827" s="577">
        <f t="shared" si="1457"/>
        <v>57878.093419938297</v>
      </c>
      <c r="P827" s="577">
        <f t="shared" si="1457"/>
        <v>60334.834133488126</v>
      </c>
      <c r="Q827" s="577">
        <f t="shared" si="1457"/>
        <v>62839.920307559856</v>
      </c>
      <c r="R827" s="577">
        <f t="shared" si="1457"/>
        <v>65555.550718809245</v>
      </c>
      <c r="S827" s="577">
        <f t="shared" si="1457"/>
        <v>68550.129924604393</v>
      </c>
      <c r="T827" s="577">
        <f t="shared" si="1457"/>
        <v>71911.567071369587</v>
      </c>
      <c r="U827" s="577">
        <f t="shared" si="1457"/>
        <v>75753.884799983425</v>
      </c>
      <c r="V827" s="577">
        <f t="shared" si="1457"/>
        <v>78989.883426798595</v>
      </c>
      <c r="W827" s="577">
        <f t="shared" si="1457"/>
        <v>81741.128228064539</v>
      </c>
      <c r="X827" s="577">
        <f t="shared" si="1457"/>
        <v>84768.175930527796</v>
      </c>
      <c r="Y827" s="577">
        <f t="shared" si="1457"/>
        <v>88111.913088607238</v>
      </c>
      <c r="Z827" s="577">
        <f t="shared" si="1457"/>
        <v>91819.287509771602</v>
      </c>
      <c r="AA827" s="577">
        <f t="shared" si="1457"/>
        <v>95940.927250164154</v>
      </c>
      <c r="AB827" s="577">
        <f t="shared" si="1457"/>
        <v>100537.08987441508</v>
      </c>
      <c r="AC827" s="577">
        <f t="shared" si="1457"/>
        <v>105671.84604065426</v>
      </c>
      <c r="AD827" s="577">
        <f t="shared" si="1457"/>
        <v>111419.93350778807</v>
      </c>
      <c r="AE827" s="577">
        <f t="shared" si="1457"/>
        <v>117865.43783265943</v>
      </c>
      <c r="AF827" s="577">
        <f t="shared" si="1457"/>
        <v>125098.37146315303</v>
      </c>
      <c r="AG827" s="577">
        <f t="shared" si="1457"/>
        <v>133223.23111513237</v>
      </c>
      <c r="AH827" s="752">
        <f t="shared" si="1457"/>
        <v>142357.07738685404</v>
      </c>
      <c r="AI827" s="18"/>
      <c r="AJ827" s="18"/>
      <c r="AK827" s="18"/>
      <c r="AL827" s="18"/>
      <c r="AM827" s="18"/>
      <c r="AN827" s="18"/>
    </row>
    <row r="828" spans="2:40" ht="21.95" customHeight="1" x14ac:dyDescent="0.2">
      <c r="B828" s="232"/>
      <c r="C828" s="715"/>
      <c r="D828" s="715"/>
      <c r="E828" s="1340"/>
      <c r="F828" s="116"/>
      <c r="G828" s="116"/>
      <c r="H828" s="124" t="s">
        <v>19</v>
      </c>
      <c r="I828" s="577">
        <f t="shared" ref="I828:AH828" si="1458">I737*$D$12</f>
        <v>71283.541415523083</v>
      </c>
      <c r="J828" s="577">
        <f t="shared" si="1458"/>
        <v>73023.379341230495</v>
      </c>
      <c r="K828" s="577">
        <f t="shared" si="1458"/>
        <v>75458.295684249824</v>
      </c>
      <c r="L828" s="577">
        <f t="shared" si="1458"/>
        <v>78735.809989693327</v>
      </c>
      <c r="M828" s="577">
        <f t="shared" si="1458"/>
        <v>82084.255836874334</v>
      </c>
      <c r="N828" s="577">
        <f t="shared" si="1458"/>
        <v>85532.549367734115</v>
      </c>
      <c r="O828" s="577">
        <f t="shared" si="1458"/>
        <v>89119.391065773263</v>
      </c>
      <c r="P828" s="577">
        <f t="shared" si="1458"/>
        <v>92902.225355242612</v>
      </c>
      <c r="Q828" s="577">
        <f t="shared" si="1458"/>
        <v>96759.500901289764</v>
      </c>
      <c r="R828" s="577">
        <f t="shared" si="1458"/>
        <v>100940.96774495862</v>
      </c>
      <c r="S828" s="577">
        <f t="shared" si="1458"/>
        <v>105551.9536905799</v>
      </c>
      <c r="T828" s="577">
        <f t="shared" si="1458"/>
        <v>110727.81927156994</v>
      </c>
      <c r="U828" s="577">
        <f t="shared" si="1458"/>
        <v>116644.13399484188</v>
      </c>
      <c r="V828" s="577">
        <f t="shared" si="1458"/>
        <v>121626.85215418089</v>
      </c>
      <c r="W828" s="577">
        <f t="shared" si="1458"/>
        <v>125863.1572373962</v>
      </c>
      <c r="X828" s="577">
        <f t="shared" si="1458"/>
        <v>130524.13744649274</v>
      </c>
      <c r="Y828" s="577">
        <f t="shared" si="1458"/>
        <v>135672.74898160223</v>
      </c>
      <c r="Z828" s="577">
        <f t="shared" si="1458"/>
        <v>141381.28102445585</v>
      </c>
      <c r="AA828" s="577">
        <f t="shared" si="1458"/>
        <v>147727.68952121082</v>
      </c>
      <c r="AB828" s="577">
        <f t="shared" si="1458"/>
        <v>154804.75771937307</v>
      </c>
      <c r="AC828" s="577">
        <f t="shared" si="1458"/>
        <v>162711.14018235897</v>
      </c>
      <c r="AD828" s="577">
        <f t="shared" si="1458"/>
        <v>171561.91643628612</v>
      </c>
      <c r="AE828" s="577">
        <f t="shared" si="1458"/>
        <v>181486.55953702907</v>
      </c>
      <c r="AF828" s="577">
        <f t="shared" si="1458"/>
        <v>192623.66863445289</v>
      </c>
      <c r="AG828" s="577">
        <f t="shared" si="1458"/>
        <v>205134.14542963065</v>
      </c>
      <c r="AH828" s="752">
        <f t="shared" si="1458"/>
        <v>219198.23720815845</v>
      </c>
      <c r="AI828" s="18"/>
      <c r="AJ828" s="18"/>
      <c r="AK828" s="18"/>
      <c r="AL828" s="18"/>
      <c r="AM828" s="18"/>
      <c r="AN828" s="18"/>
    </row>
    <row r="829" spans="2:40" ht="21.95" customHeight="1" x14ac:dyDescent="0.2">
      <c r="B829" s="232"/>
      <c r="C829" s="715"/>
      <c r="D829" s="715"/>
      <c r="E829" s="1333"/>
      <c r="F829" s="254"/>
      <c r="G829" s="254"/>
      <c r="H829" s="721" t="s">
        <v>25</v>
      </c>
      <c r="I829" s="577">
        <f t="shared" ref="I829:AH829" si="1459">SUM(I827:I828)</f>
        <v>117578.24136816003</v>
      </c>
      <c r="J829" s="577">
        <f t="shared" si="1459"/>
        <v>120448.00736895186</v>
      </c>
      <c r="K829" s="577">
        <f t="shared" si="1459"/>
        <v>124464.26660363207</v>
      </c>
      <c r="L829" s="577">
        <f t="shared" si="1459"/>
        <v>129870.34436633305</v>
      </c>
      <c r="M829" s="577">
        <f t="shared" si="1459"/>
        <v>135393.41976648883</v>
      </c>
      <c r="N829" s="577">
        <f t="shared" si="1459"/>
        <v>141081.18837377924</v>
      </c>
      <c r="O829" s="577">
        <f t="shared" si="1459"/>
        <v>146997.48448571155</v>
      </c>
      <c r="P829" s="577">
        <f t="shared" si="1459"/>
        <v>153237.05948873074</v>
      </c>
      <c r="Q829" s="577">
        <f t="shared" si="1459"/>
        <v>159599.42120884961</v>
      </c>
      <c r="R829" s="577">
        <f t="shared" si="1459"/>
        <v>166496.51846376786</v>
      </c>
      <c r="S829" s="577">
        <f t="shared" si="1459"/>
        <v>174102.0836151843</v>
      </c>
      <c r="T829" s="577">
        <f t="shared" si="1459"/>
        <v>182639.38634293951</v>
      </c>
      <c r="U829" s="577">
        <f t="shared" si="1459"/>
        <v>192398.0187948253</v>
      </c>
      <c r="V829" s="577">
        <f t="shared" si="1459"/>
        <v>200616.7355809795</v>
      </c>
      <c r="W829" s="577">
        <f t="shared" si="1459"/>
        <v>207604.28546546074</v>
      </c>
      <c r="X829" s="577">
        <f t="shared" si="1459"/>
        <v>215292.31337702053</v>
      </c>
      <c r="Y829" s="577">
        <f t="shared" si="1459"/>
        <v>223784.66207020945</v>
      </c>
      <c r="Z829" s="577">
        <f t="shared" si="1459"/>
        <v>233200.56853422744</v>
      </c>
      <c r="AA829" s="577">
        <f t="shared" si="1459"/>
        <v>243668.61677137497</v>
      </c>
      <c r="AB829" s="577">
        <f t="shared" si="1459"/>
        <v>255341.84759378814</v>
      </c>
      <c r="AC829" s="577">
        <f t="shared" si="1459"/>
        <v>268382.98622301326</v>
      </c>
      <c r="AD829" s="577">
        <f t="shared" si="1459"/>
        <v>282981.84994407417</v>
      </c>
      <c r="AE829" s="577">
        <f t="shared" si="1459"/>
        <v>299351.99736968847</v>
      </c>
      <c r="AF829" s="577">
        <f t="shared" si="1459"/>
        <v>317722.0400976059</v>
      </c>
      <c r="AG829" s="577">
        <f t="shared" si="1459"/>
        <v>338357.37654476298</v>
      </c>
      <c r="AH829" s="752">
        <f t="shared" si="1459"/>
        <v>361555.31459501246</v>
      </c>
      <c r="AI829" s="18"/>
      <c r="AJ829" s="18"/>
      <c r="AK829" s="18"/>
      <c r="AL829" s="18"/>
      <c r="AM829" s="18"/>
      <c r="AN829" s="18"/>
    </row>
    <row r="830" spans="2:40" ht="21.95" customHeight="1" x14ac:dyDescent="0.2">
      <c r="B830" s="232"/>
      <c r="C830" s="715"/>
      <c r="D830" s="715"/>
      <c r="E830" s="116" t="s">
        <v>288</v>
      </c>
      <c r="F830" s="116" t="s">
        <v>323</v>
      </c>
      <c r="G830" s="116" t="s">
        <v>348</v>
      </c>
      <c r="H830" s="116" t="s">
        <v>20</v>
      </c>
      <c r="I830" s="577">
        <f t="shared" ref="I830:AH830" si="1460">I739*$D$11</f>
        <v>8187.9850746269094</v>
      </c>
      <c r="J830" s="577">
        <f t="shared" si="1460"/>
        <v>8691.4551791045633</v>
      </c>
      <c r="K830" s="577">
        <f t="shared" si="1460"/>
        <v>9357.7297201494403</v>
      </c>
      <c r="L830" s="577">
        <f t="shared" si="1460"/>
        <v>10243.169328358714</v>
      </c>
      <c r="M830" s="577">
        <f t="shared" si="1460"/>
        <v>11128.881869404246</v>
      </c>
      <c r="N830" s="577">
        <f t="shared" si="1460"/>
        <v>12016.504940301435</v>
      </c>
      <c r="O830" s="577">
        <f t="shared" si="1460"/>
        <v>12901.94454851386</v>
      </c>
      <c r="P830" s="577">
        <f t="shared" si="1460"/>
        <v>13788.339421655079</v>
      </c>
      <c r="Q830" s="577">
        <f t="shared" si="1460"/>
        <v>14596.584526144274</v>
      </c>
      <c r="R830" s="577">
        <f t="shared" si="1460"/>
        <v>15404.14729855244</v>
      </c>
      <c r="S830" s="577">
        <f t="shared" si="1460"/>
        <v>16212.437891869982</v>
      </c>
      <c r="T830" s="577">
        <f t="shared" si="1460"/>
        <v>17020.682996403459</v>
      </c>
      <c r="U830" s="577">
        <f t="shared" si="1460"/>
        <v>17831.793895747342</v>
      </c>
      <c r="V830" s="577">
        <f t="shared" si="1460"/>
        <v>18420.237089873746</v>
      </c>
      <c r="W830" s="577">
        <f t="shared" si="1460"/>
        <v>18923.707194462379</v>
      </c>
      <c r="X830" s="577">
        <f t="shared" si="1460"/>
        <v>19427.177299084826</v>
      </c>
      <c r="Y830" s="577">
        <f t="shared" si="1460"/>
        <v>19930.64740375011</v>
      </c>
      <c r="Z830" s="577">
        <f t="shared" si="1460"/>
        <v>20434.663374141233</v>
      </c>
      <c r="AA830" s="577">
        <f t="shared" si="1460"/>
        <v>20938.133478927961</v>
      </c>
      <c r="AB830" s="577">
        <f t="shared" si="1460"/>
        <v>21442.831781560959</v>
      </c>
      <c r="AC830" s="577">
        <f t="shared" si="1460"/>
        <v>21946.301886535959</v>
      </c>
      <c r="AD830" s="577">
        <f t="shared" si="1460"/>
        <v>22449.771991639172</v>
      </c>
      <c r="AE830" s="577">
        <f t="shared" si="1460"/>
        <v>22953.787962572183</v>
      </c>
      <c r="AF830" s="577">
        <f t="shared" si="1460"/>
        <v>23457.258068024777</v>
      </c>
      <c r="AG830" s="577">
        <f t="shared" si="1460"/>
        <v>23960.728173710693</v>
      </c>
      <c r="AH830" s="752">
        <f t="shared" si="1460"/>
        <v>24465.426477444282</v>
      </c>
      <c r="AI830" s="18"/>
      <c r="AJ830" s="18"/>
      <c r="AK830" s="18"/>
      <c r="AL830" s="18"/>
      <c r="AM830" s="18"/>
      <c r="AN830" s="18"/>
    </row>
    <row r="831" spans="2:40" ht="21.95" customHeight="1" x14ac:dyDescent="0.2">
      <c r="B831" s="232"/>
      <c r="C831" s="715"/>
      <c r="D831" s="715"/>
      <c r="E831" s="116"/>
      <c r="F831" s="116"/>
      <c r="G831" s="116"/>
      <c r="H831" s="124" t="s">
        <v>19</v>
      </c>
      <c r="I831" s="577">
        <f t="shared" ref="I831:AH831" si="1461">I740*$D$12</f>
        <v>19611.940298507569</v>
      </c>
      <c r="J831" s="577">
        <f t="shared" si="1461"/>
        <v>20817.856716418115</v>
      </c>
      <c r="K831" s="577">
        <f t="shared" si="1461"/>
        <v>22413.723880597463</v>
      </c>
      <c r="L831" s="577">
        <f t="shared" si="1461"/>
        <v>24534.537313434048</v>
      </c>
      <c r="M831" s="577">
        <f t="shared" si="1461"/>
        <v>26656.004477614959</v>
      </c>
      <c r="N831" s="577">
        <f t="shared" si="1461"/>
        <v>28782.047761201044</v>
      </c>
      <c r="O831" s="577">
        <f t="shared" si="1461"/>
        <v>30902.861194045174</v>
      </c>
      <c r="P831" s="577">
        <f t="shared" si="1461"/>
        <v>33025.962686598992</v>
      </c>
      <c r="Q831" s="577">
        <f t="shared" si="1461"/>
        <v>34961.879104537184</v>
      </c>
      <c r="R831" s="577">
        <f t="shared" si="1461"/>
        <v>36896.161194137581</v>
      </c>
      <c r="S831" s="577">
        <f t="shared" si="1461"/>
        <v>38832.186567353252</v>
      </c>
      <c r="T831" s="577">
        <f t="shared" si="1461"/>
        <v>40768.102985397505</v>
      </c>
      <c r="U831" s="577">
        <f t="shared" si="1461"/>
        <v>42710.883582628368</v>
      </c>
      <c r="V831" s="577">
        <f t="shared" si="1461"/>
        <v>44120.328358979037</v>
      </c>
      <c r="W831" s="577">
        <f t="shared" si="1461"/>
        <v>45326.2447771554</v>
      </c>
      <c r="X831" s="577">
        <f t="shared" si="1461"/>
        <v>46532.161195412758</v>
      </c>
      <c r="Y831" s="577">
        <f t="shared" si="1461"/>
        <v>47738.077613772723</v>
      </c>
      <c r="Z831" s="577">
        <f t="shared" si="1461"/>
        <v>48945.301494949061</v>
      </c>
      <c r="AA831" s="577">
        <f t="shared" si="1461"/>
        <v>50151.21791359991</v>
      </c>
      <c r="AB831" s="577">
        <f t="shared" si="1461"/>
        <v>51360.076123499304</v>
      </c>
      <c r="AC831" s="577">
        <f t="shared" si="1461"/>
        <v>52565.992542601103</v>
      </c>
      <c r="AD831" s="577">
        <f t="shared" si="1461"/>
        <v>53771.908962009999</v>
      </c>
      <c r="AE831" s="577">
        <f t="shared" si="1461"/>
        <v>54979.132844484273</v>
      </c>
      <c r="AF831" s="577">
        <f t="shared" si="1461"/>
        <v>56185.049264730005</v>
      </c>
      <c r="AG831" s="577">
        <f t="shared" si="1461"/>
        <v>57390.965685534597</v>
      </c>
      <c r="AH831" s="752">
        <f t="shared" si="1461"/>
        <v>58599.823898070143</v>
      </c>
      <c r="AI831" s="18"/>
      <c r="AJ831" s="18"/>
      <c r="AK831" s="18"/>
      <c r="AL831" s="18"/>
      <c r="AM831" s="18"/>
      <c r="AN831" s="18"/>
    </row>
    <row r="832" spans="2:40" ht="21.95" customHeight="1" x14ac:dyDescent="0.2">
      <c r="B832" s="232"/>
      <c r="C832" s="715"/>
      <c r="D832" s="715"/>
      <c r="E832" s="116"/>
      <c r="F832" s="116"/>
      <c r="G832" s="116"/>
      <c r="H832" s="721" t="s">
        <v>25</v>
      </c>
      <c r="I832" s="577">
        <f t="shared" ref="I832:AH832" si="1462">SUM(I830:I831)</f>
        <v>27799.92537313448</v>
      </c>
      <c r="J832" s="577">
        <f t="shared" si="1462"/>
        <v>29509.311895522678</v>
      </c>
      <c r="K832" s="577">
        <f t="shared" si="1462"/>
        <v>31771.453600746903</v>
      </c>
      <c r="L832" s="577">
        <f t="shared" si="1462"/>
        <v>34777.706641792764</v>
      </c>
      <c r="M832" s="577">
        <f t="shared" si="1462"/>
        <v>37784.886347019201</v>
      </c>
      <c r="N832" s="577">
        <f t="shared" si="1462"/>
        <v>40798.552701502478</v>
      </c>
      <c r="O832" s="577">
        <f t="shared" si="1462"/>
        <v>43804.805742559038</v>
      </c>
      <c r="P832" s="577">
        <f t="shared" si="1462"/>
        <v>46814.302108254073</v>
      </c>
      <c r="Q832" s="577">
        <f t="shared" si="1462"/>
        <v>49558.463630681457</v>
      </c>
      <c r="R832" s="577">
        <f t="shared" si="1462"/>
        <v>52300.308492690019</v>
      </c>
      <c r="S832" s="577">
        <f t="shared" si="1462"/>
        <v>55044.624459223232</v>
      </c>
      <c r="T832" s="577">
        <f t="shared" si="1462"/>
        <v>57788.78598180096</v>
      </c>
      <c r="U832" s="577">
        <f t="shared" si="1462"/>
        <v>60542.677478375714</v>
      </c>
      <c r="V832" s="577">
        <f t="shared" si="1462"/>
        <v>62540.56544885278</v>
      </c>
      <c r="W832" s="577">
        <f t="shared" si="1462"/>
        <v>64249.951971617775</v>
      </c>
      <c r="X832" s="577">
        <f t="shared" si="1462"/>
        <v>65959.338494497584</v>
      </c>
      <c r="Y832" s="577">
        <f t="shared" si="1462"/>
        <v>67668.72501752284</v>
      </c>
      <c r="Z832" s="577">
        <f t="shared" si="1462"/>
        <v>69379.964869090298</v>
      </c>
      <c r="AA832" s="577">
        <f t="shared" si="1462"/>
        <v>71089.351392527868</v>
      </c>
      <c r="AB832" s="577">
        <f t="shared" si="1462"/>
        <v>72802.90790506026</v>
      </c>
      <c r="AC832" s="577">
        <f t="shared" si="1462"/>
        <v>74512.294429137066</v>
      </c>
      <c r="AD832" s="577">
        <f t="shared" si="1462"/>
        <v>76221.680953649164</v>
      </c>
      <c r="AE832" s="577">
        <f t="shared" si="1462"/>
        <v>77932.920807056449</v>
      </c>
      <c r="AF832" s="577">
        <f t="shared" si="1462"/>
        <v>79642.307332754775</v>
      </c>
      <c r="AG832" s="577">
        <f t="shared" si="1462"/>
        <v>81351.693859245293</v>
      </c>
      <c r="AH832" s="752">
        <f t="shared" si="1462"/>
        <v>83065.250375514428</v>
      </c>
      <c r="AI832" s="18"/>
      <c r="AJ832" s="18"/>
      <c r="AK832" s="18"/>
      <c r="AL832" s="18"/>
      <c r="AM832" s="18"/>
      <c r="AN832" s="18"/>
    </row>
    <row r="833" spans="2:40" ht="21.95" customHeight="1" x14ac:dyDescent="0.2">
      <c r="B833" s="232"/>
      <c r="C833" s="715"/>
      <c r="D833" s="715"/>
      <c r="E833" s="220" t="s">
        <v>340</v>
      </c>
      <c r="F833" s="220" t="s">
        <v>335</v>
      </c>
      <c r="G833" s="220" t="s">
        <v>323</v>
      </c>
      <c r="H833" s="116" t="s">
        <v>20</v>
      </c>
      <c r="I833" s="577">
        <f t="shared" ref="I833:AH833" si="1463">I742*$D$11</f>
        <v>0</v>
      </c>
      <c r="J833" s="577">
        <f t="shared" si="1463"/>
        <v>8519.2362297428808</v>
      </c>
      <c r="K833" s="577">
        <f t="shared" si="1463"/>
        <v>9172.3094481964363</v>
      </c>
      <c r="L833" s="577">
        <f t="shared" si="1463"/>
        <v>10040.206635474233</v>
      </c>
      <c r="M833" s="577">
        <f t="shared" si="1463"/>
        <v>10908.374623923788</v>
      </c>
      <c r="N833" s="577">
        <f t="shared" si="1463"/>
        <v>11778.422188105618</v>
      </c>
      <c r="O833" s="577">
        <f t="shared" si="1463"/>
        <v>12646.34314667278</v>
      </c>
      <c r="P833" s="577">
        <f t="shared" si="1463"/>
        <v>13515.2262215029</v>
      </c>
      <c r="Q833" s="577">
        <f t="shared" si="1463"/>
        <v>14307.543391545747</v>
      </c>
      <c r="R833" s="577">
        <f t="shared" si="1463"/>
        <v>15099.25598561787</v>
      </c>
      <c r="S833" s="577">
        <f t="shared" si="1463"/>
        <v>15891.786460627265</v>
      </c>
      <c r="T833" s="577">
        <f t="shared" si="1463"/>
        <v>16684.437444856998</v>
      </c>
      <c r="U833" s="577">
        <f t="shared" si="1463"/>
        <v>17480.155897742243</v>
      </c>
      <c r="V833" s="577">
        <f t="shared" si="1463"/>
        <v>18057.667045156806</v>
      </c>
      <c r="W833" s="577">
        <f t="shared" si="1463"/>
        <v>18551.997848212832</v>
      </c>
      <c r="X833" s="577">
        <f t="shared" si="1463"/>
        <v>19046.583592445946</v>
      </c>
      <c r="Y833" s="577">
        <f t="shared" si="1463"/>
        <v>19541.492170790152</v>
      </c>
      <c r="Z833" s="577">
        <f t="shared" si="1463"/>
        <v>20037.344376075765</v>
      </c>
      <c r="AA833" s="577">
        <f t="shared" si="1463"/>
        <v>20533.168458993903</v>
      </c>
      <c r="AB833" s="577">
        <f t="shared" si="1463"/>
        <v>21030.837650188678</v>
      </c>
      <c r="AC833" s="577">
        <f t="shared" si="1463"/>
        <v>21528.080943002275</v>
      </c>
      <c r="AD833" s="577">
        <f t="shared" si="1463"/>
        <v>22026.290656742316</v>
      </c>
      <c r="AE833" s="577">
        <f t="shared" si="1463"/>
        <v>22526.227667448544</v>
      </c>
      <c r="AF833" s="577">
        <f t="shared" si="1463"/>
        <v>23027.070974225418</v>
      </c>
      <c r="AG833" s="577">
        <f t="shared" si="1463"/>
        <v>23529.673171383256</v>
      </c>
      <c r="AH833" s="752">
        <f t="shared" si="1463"/>
        <v>24035.638677441639</v>
      </c>
      <c r="AI833" s="18"/>
      <c r="AJ833" s="18"/>
      <c r="AK833" s="18"/>
      <c r="AL833" s="18"/>
      <c r="AM833" s="18"/>
      <c r="AN833" s="18"/>
    </row>
    <row r="834" spans="2:40" ht="21.95" customHeight="1" x14ac:dyDescent="0.2">
      <c r="B834" s="232"/>
      <c r="C834" s="715"/>
      <c r="D834" s="715"/>
      <c r="E834" s="116"/>
      <c r="F834" s="116"/>
      <c r="G834" s="116"/>
      <c r="H834" s="124" t="s">
        <v>19</v>
      </c>
      <c r="I834" s="577">
        <f t="shared" ref="I834:AH834" si="1464">I743*$D$12</f>
        <v>0</v>
      </c>
      <c r="J834" s="577">
        <f t="shared" si="1464"/>
        <v>20405.356238905104</v>
      </c>
      <c r="K834" s="577">
        <f t="shared" si="1464"/>
        <v>21969.603468733982</v>
      </c>
      <c r="L834" s="577">
        <f t="shared" si="1464"/>
        <v>24048.399126884389</v>
      </c>
      <c r="M834" s="577">
        <f t="shared" si="1464"/>
        <v>26127.843410595902</v>
      </c>
      <c r="N834" s="577">
        <f t="shared" si="1464"/>
        <v>28211.789672109266</v>
      </c>
      <c r="O834" s="577">
        <f t="shared" si="1464"/>
        <v>30290.642267479714</v>
      </c>
      <c r="P834" s="577">
        <f t="shared" si="1464"/>
        <v>32371.799332941082</v>
      </c>
      <c r="Q834" s="577">
        <f t="shared" si="1464"/>
        <v>34269.565009690414</v>
      </c>
      <c r="R834" s="577">
        <f t="shared" si="1464"/>
        <v>36165.882600282326</v>
      </c>
      <c r="S834" s="577">
        <f t="shared" si="1464"/>
        <v>38064.159187131176</v>
      </c>
      <c r="T834" s="577">
        <f t="shared" si="1464"/>
        <v>39962.724418819162</v>
      </c>
      <c r="U834" s="577">
        <f t="shared" si="1464"/>
        <v>41868.636880819744</v>
      </c>
      <c r="V834" s="577">
        <f t="shared" si="1464"/>
        <v>43251.897114148043</v>
      </c>
      <c r="W834" s="577">
        <f t="shared" si="1464"/>
        <v>44435.922989731334</v>
      </c>
      <c r="X834" s="577">
        <f t="shared" si="1464"/>
        <v>45620.559502864548</v>
      </c>
      <c r="Y834" s="577">
        <f t="shared" si="1464"/>
        <v>46805.969271353657</v>
      </c>
      <c r="Z834" s="577">
        <f t="shared" si="1464"/>
        <v>47993.639224133571</v>
      </c>
      <c r="AA834" s="577">
        <f t="shared" si="1464"/>
        <v>49181.241817949471</v>
      </c>
      <c r="AB834" s="577">
        <f t="shared" si="1464"/>
        <v>50373.263832787256</v>
      </c>
      <c r="AC834" s="577">
        <f t="shared" si="1464"/>
        <v>51564.26573174198</v>
      </c>
      <c r="AD834" s="577">
        <f t="shared" si="1464"/>
        <v>52757.582411358846</v>
      </c>
      <c r="AE834" s="577">
        <f t="shared" si="1464"/>
        <v>53955.03632921807</v>
      </c>
      <c r="AF834" s="577">
        <f t="shared" si="1464"/>
        <v>55154.661016108788</v>
      </c>
      <c r="AG834" s="577">
        <f t="shared" si="1464"/>
        <v>56358.49861409163</v>
      </c>
      <c r="AH834" s="752">
        <f t="shared" si="1464"/>
        <v>57570.39204177638</v>
      </c>
      <c r="AI834" s="18"/>
      <c r="AJ834" s="18"/>
      <c r="AK834" s="18"/>
      <c r="AL834" s="18"/>
      <c r="AM834" s="18"/>
      <c r="AN834" s="18"/>
    </row>
    <row r="835" spans="2:40" ht="21.95" customHeight="1" x14ac:dyDescent="0.2">
      <c r="B835" s="232"/>
      <c r="C835" s="715"/>
      <c r="D835" s="715"/>
      <c r="E835" s="254"/>
      <c r="F835" s="254"/>
      <c r="G835" s="254"/>
      <c r="H835" s="721" t="s">
        <v>25</v>
      </c>
      <c r="I835" s="577">
        <f t="shared" ref="I835:AH835" si="1465">SUM(I833:I834)</f>
        <v>0</v>
      </c>
      <c r="J835" s="577">
        <f t="shared" si="1465"/>
        <v>28924.592468647985</v>
      </c>
      <c r="K835" s="577">
        <f t="shared" si="1465"/>
        <v>31141.912916930418</v>
      </c>
      <c r="L835" s="577">
        <f t="shared" si="1465"/>
        <v>34088.605762358624</v>
      </c>
      <c r="M835" s="577">
        <f t="shared" si="1465"/>
        <v>37036.21803451969</v>
      </c>
      <c r="N835" s="577">
        <f t="shared" si="1465"/>
        <v>39990.211860214884</v>
      </c>
      <c r="O835" s="577">
        <f t="shared" si="1465"/>
        <v>42936.985414152492</v>
      </c>
      <c r="P835" s="577">
        <f t="shared" si="1465"/>
        <v>45887.025554443986</v>
      </c>
      <c r="Q835" s="577">
        <f t="shared" si="1465"/>
        <v>48577.108401236161</v>
      </c>
      <c r="R835" s="577">
        <f t="shared" si="1465"/>
        <v>51265.138585900197</v>
      </c>
      <c r="S835" s="577">
        <f t="shared" si="1465"/>
        <v>53955.945647758439</v>
      </c>
      <c r="T835" s="577">
        <f t="shared" si="1465"/>
        <v>56647.161863676156</v>
      </c>
      <c r="U835" s="577">
        <f t="shared" si="1465"/>
        <v>59348.792778561983</v>
      </c>
      <c r="V835" s="577">
        <f t="shared" si="1465"/>
        <v>61309.564159304849</v>
      </c>
      <c r="W835" s="577">
        <f t="shared" si="1465"/>
        <v>62987.92083794417</v>
      </c>
      <c r="X835" s="577">
        <f t="shared" si="1465"/>
        <v>64667.143095310494</v>
      </c>
      <c r="Y835" s="577">
        <f t="shared" si="1465"/>
        <v>66347.461442143802</v>
      </c>
      <c r="Z835" s="577">
        <f t="shared" si="1465"/>
        <v>68030.983600209336</v>
      </c>
      <c r="AA835" s="577">
        <f t="shared" si="1465"/>
        <v>69714.410276943381</v>
      </c>
      <c r="AB835" s="577">
        <f t="shared" si="1465"/>
        <v>71404.101482975937</v>
      </c>
      <c r="AC835" s="577">
        <f t="shared" si="1465"/>
        <v>73092.346674744258</v>
      </c>
      <c r="AD835" s="577">
        <f t="shared" si="1465"/>
        <v>74783.873068101166</v>
      </c>
      <c r="AE835" s="577">
        <f t="shared" si="1465"/>
        <v>76481.263996666617</v>
      </c>
      <c r="AF835" s="577">
        <f t="shared" si="1465"/>
        <v>78181.7319903342</v>
      </c>
      <c r="AG835" s="577">
        <f t="shared" si="1465"/>
        <v>79888.171785474886</v>
      </c>
      <c r="AH835" s="752">
        <f t="shared" si="1465"/>
        <v>81606.030719218019</v>
      </c>
      <c r="AI835" s="18"/>
      <c r="AJ835" s="18"/>
      <c r="AK835" s="18"/>
      <c r="AL835" s="18"/>
      <c r="AM835" s="18"/>
      <c r="AN835" s="18"/>
    </row>
    <row r="836" spans="2:40" ht="21.95" customHeight="1" x14ac:dyDescent="0.2">
      <c r="B836" s="232"/>
      <c r="C836" s="715"/>
      <c r="D836" s="715"/>
      <c r="E836" s="220" t="s">
        <v>357</v>
      </c>
      <c r="F836" s="220" t="s">
        <v>338</v>
      </c>
      <c r="G836" s="220" t="s">
        <v>323</v>
      </c>
      <c r="H836" s="116" t="s">
        <v>20</v>
      </c>
      <c r="I836" s="577">
        <f t="shared" ref="I836:AH836" si="1466">I745*$D$11</f>
        <v>12757.824207646447</v>
      </c>
      <c r="J836" s="577">
        <f t="shared" si="1466"/>
        <v>12933.074441110428</v>
      </c>
      <c r="K836" s="577">
        <f t="shared" si="1466"/>
        <v>13236.025476474169</v>
      </c>
      <c r="L836" s="577">
        <f t="shared" si="1466"/>
        <v>13652.021382959087</v>
      </c>
      <c r="M836" s="577">
        <f t="shared" si="1466"/>
        <v>14068.308752895213</v>
      </c>
      <c r="N836" s="577">
        <f t="shared" si="1466"/>
        <v>14485.349036816229</v>
      </c>
      <c r="O836" s="577">
        <f t="shared" si="1466"/>
        <v>14901.802946953612</v>
      </c>
      <c r="P836" s="577">
        <f t="shared" si="1466"/>
        <v>15319.964318609869</v>
      </c>
      <c r="Q836" s="577">
        <f t="shared" si="1466"/>
        <v>15610.137432316791</v>
      </c>
      <c r="R836" s="577">
        <f t="shared" si="1466"/>
        <v>15900.529662557989</v>
      </c>
      <c r="S836" s="577">
        <f t="shared" si="1466"/>
        <v>16191.17407475105</v>
      </c>
      <c r="T836" s="577">
        <f t="shared" si="1466"/>
        <v>16482.001990716435</v>
      </c>
      <c r="U836" s="577">
        <f t="shared" si="1466"/>
        <v>16775.198284351973</v>
      </c>
      <c r="V836" s="577">
        <f t="shared" si="1466"/>
        <v>16951.654103119574</v>
      </c>
      <c r="W836" s="577">
        <f t="shared" si="1466"/>
        <v>17128.250548425422</v>
      </c>
      <c r="X836" s="577">
        <f t="shared" si="1466"/>
        <v>17305.001270962308</v>
      </c>
      <c r="Y836" s="577">
        <f t="shared" si="1466"/>
        <v>17481.921075234717</v>
      </c>
      <c r="Z836" s="577">
        <f t="shared" si="1466"/>
        <v>17660.244896861383</v>
      </c>
      <c r="AA836" s="577">
        <f t="shared" si="1466"/>
        <v>17837.553824688068</v>
      </c>
      <c r="AB836" s="577">
        <f t="shared" si="1466"/>
        <v>18015.767098934582</v>
      </c>
      <c r="AC836" s="577">
        <f t="shared" si="1466"/>
        <v>18193.540380193364</v>
      </c>
      <c r="AD836" s="577">
        <f t="shared" si="1466"/>
        <v>18371.577668775204</v>
      </c>
      <c r="AE836" s="577">
        <f t="shared" si="1466"/>
        <v>18551.130423020619</v>
      </c>
      <c r="AF836" s="577">
        <f t="shared" si="1466"/>
        <v>18729.771295440332</v>
      </c>
      <c r="AG836" s="577">
        <f t="shared" si="1466"/>
        <v>18908.7536014129</v>
      </c>
      <c r="AH836" s="752">
        <f t="shared" si="1466"/>
        <v>19088.7973933582</v>
      </c>
      <c r="AI836" s="18"/>
      <c r="AJ836" s="18"/>
      <c r="AK836" s="18"/>
      <c r="AL836" s="18"/>
      <c r="AM836" s="18"/>
      <c r="AN836" s="18"/>
    </row>
    <row r="837" spans="2:40" ht="21.95" customHeight="1" x14ac:dyDescent="0.2">
      <c r="B837" s="232"/>
      <c r="C837" s="715"/>
      <c r="D837" s="715"/>
      <c r="E837" s="116"/>
      <c r="F837" s="116"/>
      <c r="G837" s="116"/>
      <c r="H837" s="124" t="s">
        <v>19</v>
      </c>
      <c r="I837" s="577">
        <f t="shared" ref="I837:AH837" si="1467">I746*$D$12</f>
        <v>30557.662772805863</v>
      </c>
      <c r="J837" s="577">
        <f t="shared" si="1467"/>
        <v>30977.423811042943</v>
      </c>
      <c r="K837" s="577">
        <f t="shared" si="1467"/>
        <v>31703.055033471064</v>
      </c>
      <c r="L837" s="577">
        <f t="shared" si="1467"/>
        <v>32699.452414273263</v>
      </c>
      <c r="M837" s="577">
        <f t="shared" si="1467"/>
        <v>33696.547911126261</v>
      </c>
      <c r="N837" s="577">
        <f t="shared" si="1467"/>
        <v>34695.446794769414</v>
      </c>
      <c r="O837" s="577">
        <f t="shared" si="1467"/>
        <v>35692.941190308055</v>
      </c>
      <c r="P837" s="577">
        <f t="shared" si="1467"/>
        <v>36694.525314035614</v>
      </c>
      <c r="Q837" s="577">
        <f t="shared" si="1467"/>
        <v>37389.550736088124</v>
      </c>
      <c r="R837" s="577">
        <f t="shared" si="1467"/>
        <v>38085.100988162849</v>
      </c>
      <c r="S837" s="577">
        <f t="shared" si="1467"/>
        <v>38781.255268864792</v>
      </c>
      <c r="T837" s="577">
        <f t="shared" si="1467"/>
        <v>39477.849079560321</v>
      </c>
      <c r="U837" s="577">
        <f t="shared" si="1467"/>
        <v>40180.115651142449</v>
      </c>
      <c r="V837" s="577">
        <f t="shared" si="1467"/>
        <v>40602.76431884928</v>
      </c>
      <c r="W837" s="577">
        <f t="shared" si="1467"/>
        <v>41025.749816587835</v>
      </c>
      <c r="X837" s="577">
        <f t="shared" si="1467"/>
        <v>41449.104840628286</v>
      </c>
      <c r="Y837" s="577">
        <f t="shared" si="1467"/>
        <v>41872.864850861602</v>
      </c>
      <c r="Z837" s="577">
        <f t="shared" si="1467"/>
        <v>42299.987776913491</v>
      </c>
      <c r="AA837" s="577">
        <f t="shared" si="1467"/>
        <v>42724.679819612138</v>
      </c>
      <c r="AB837" s="577">
        <f t="shared" si="1467"/>
        <v>43151.537961519956</v>
      </c>
      <c r="AC837" s="577">
        <f t="shared" si="1467"/>
        <v>43577.342228008063</v>
      </c>
      <c r="AD837" s="577">
        <f t="shared" si="1467"/>
        <v>44003.778847365764</v>
      </c>
      <c r="AE837" s="577">
        <f t="shared" si="1467"/>
        <v>44433.84532460029</v>
      </c>
      <c r="AF837" s="577">
        <f t="shared" si="1467"/>
        <v>44861.727653749302</v>
      </c>
      <c r="AG837" s="577">
        <f t="shared" si="1467"/>
        <v>45290.42778781533</v>
      </c>
      <c r="AH837" s="752">
        <f t="shared" si="1467"/>
        <v>45721.670403253178</v>
      </c>
      <c r="AI837" s="18"/>
      <c r="AJ837" s="18"/>
      <c r="AK837" s="18"/>
      <c r="AL837" s="18"/>
      <c r="AM837" s="18"/>
      <c r="AN837" s="18"/>
    </row>
    <row r="838" spans="2:40" ht="21.95" customHeight="1" x14ac:dyDescent="0.2">
      <c r="B838" s="232"/>
      <c r="C838" s="715"/>
      <c r="D838" s="715"/>
      <c r="E838" s="254"/>
      <c r="F838" s="254"/>
      <c r="G838" s="254"/>
      <c r="H838" s="721" t="s">
        <v>25</v>
      </c>
      <c r="I838" s="577">
        <f t="shared" ref="I838:AH838" si="1468">SUM(I836:I837)</f>
        <v>43315.486980452311</v>
      </c>
      <c r="J838" s="577">
        <f t="shared" si="1468"/>
        <v>43910.498252153368</v>
      </c>
      <c r="K838" s="577">
        <f t="shared" si="1468"/>
        <v>44939.080509945234</v>
      </c>
      <c r="L838" s="577">
        <f t="shared" si="1468"/>
        <v>46351.473797232349</v>
      </c>
      <c r="M838" s="577">
        <f t="shared" si="1468"/>
        <v>47764.85666402147</v>
      </c>
      <c r="N838" s="577">
        <f t="shared" si="1468"/>
        <v>49180.795831585645</v>
      </c>
      <c r="O838" s="577">
        <f t="shared" si="1468"/>
        <v>50594.744137261667</v>
      </c>
      <c r="P838" s="577">
        <f t="shared" si="1468"/>
        <v>52014.489632645484</v>
      </c>
      <c r="Q838" s="577">
        <f t="shared" si="1468"/>
        <v>52999.688168404915</v>
      </c>
      <c r="R838" s="577">
        <f t="shared" si="1468"/>
        <v>53985.630650720836</v>
      </c>
      <c r="S838" s="577">
        <f t="shared" si="1468"/>
        <v>54972.42934361584</v>
      </c>
      <c r="T838" s="577">
        <f t="shared" si="1468"/>
        <v>55959.851070276753</v>
      </c>
      <c r="U838" s="577">
        <f t="shared" si="1468"/>
        <v>56955.313935494421</v>
      </c>
      <c r="V838" s="577">
        <f t="shared" si="1468"/>
        <v>57554.418421968854</v>
      </c>
      <c r="W838" s="577">
        <f t="shared" si="1468"/>
        <v>58154.000365013257</v>
      </c>
      <c r="X838" s="577">
        <f t="shared" si="1468"/>
        <v>58754.10611159059</v>
      </c>
      <c r="Y838" s="577">
        <f t="shared" si="1468"/>
        <v>59354.785926096316</v>
      </c>
      <c r="Z838" s="577">
        <f t="shared" si="1468"/>
        <v>59960.232673774874</v>
      </c>
      <c r="AA838" s="577">
        <f t="shared" si="1468"/>
        <v>60562.233644300206</v>
      </c>
      <c r="AB838" s="577">
        <f t="shared" si="1468"/>
        <v>61167.305060454542</v>
      </c>
      <c r="AC838" s="577">
        <f t="shared" si="1468"/>
        <v>61770.882608201428</v>
      </c>
      <c r="AD838" s="577">
        <f t="shared" si="1468"/>
        <v>62375.356516140964</v>
      </c>
      <c r="AE838" s="577">
        <f t="shared" si="1468"/>
        <v>62984.975747620905</v>
      </c>
      <c r="AF838" s="577">
        <f t="shared" si="1468"/>
        <v>63591.498949189634</v>
      </c>
      <c r="AG838" s="577">
        <f t="shared" si="1468"/>
        <v>64199.18138922823</v>
      </c>
      <c r="AH838" s="752">
        <f t="shared" si="1468"/>
        <v>64810.467796611381</v>
      </c>
      <c r="AI838" s="18"/>
      <c r="AJ838" s="18"/>
      <c r="AK838" s="18"/>
      <c r="AL838" s="18"/>
      <c r="AM838" s="18"/>
      <c r="AN838" s="18"/>
    </row>
    <row r="839" spans="2:40" ht="21.95" customHeight="1" x14ac:dyDescent="0.2">
      <c r="B839" s="232"/>
      <c r="C839" s="715"/>
      <c r="D839" s="715"/>
      <c r="E839" s="116" t="s">
        <v>338</v>
      </c>
      <c r="F839" s="116" t="s">
        <v>282</v>
      </c>
      <c r="G839" s="116" t="s">
        <v>357</v>
      </c>
      <c r="H839" s="116" t="s">
        <v>20</v>
      </c>
      <c r="I839" s="577">
        <f t="shared" ref="I839:AH839" si="1469">I748*$D$11</f>
        <v>26145.523115976084</v>
      </c>
      <c r="J839" s="577">
        <f t="shared" si="1469"/>
        <v>26899.22061349525</v>
      </c>
      <c r="K839" s="577">
        <f t="shared" si="1469"/>
        <v>27715.013969983043</v>
      </c>
      <c r="L839" s="577">
        <f t="shared" si="1469"/>
        <v>28797.309317045369</v>
      </c>
      <c r="M839" s="577">
        <f t="shared" si="1469"/>
        <v>29879.788357256264</v>
      </c>
      <c r="N839" s="577">
        <f t="shared" si="1469"/>
        <v>30962.712812167189</v>
      </c>
      <c r="O839" s="577">
        <f t="shared" si="1469"/>
        <v>32045.011066032326</v>
      </c>
      <c r="P839" s="577">
        <f t="shared" si="1469"/>
        <v>33127.598683184391</v>
      </c>
      <c r="Q839" s="577">
        <f t="shared" si="1469"/>
        <v>34318.850478284599</v>
      </c>
      <c r="R839" s="577">
        <f t="shared" si="1469"/>
        <v>35509.714039849845</v>
      </c>
      <c r="S839" s="577">
        <f t="shared" si="1469"/>
        <v>36700.975160954433</v>
      </c>
      <c r="T839" s="577">
        <f t="shared" si="1469"/>
        <v>37892.2435097833</v>
      </c>
      <c r="U839" s="577">
        <f t="shared" si="1469"/>
        <v>39084.201297145693</v>
      </c>
      <c r="V839" s="577">
        <f t="shared" si="1469"/>
        <v>40008.87398575656</v>
      </c>
      <c r="W839" s="577">
        <f t="shared" si="1469"/>
        <v>40762.607429593787</v>
      </c>
      <c r="X839" s="577">
        <f t="shared" si="1469"/>
        <v>41516.348282901585</v>
      </c>
      <c r="Y839" s="577">
        <f t="shared" si="1469"/>
        <v>42270.097873385828</v>
      </c>
      <c r="Z839" s="577">
        <f t="shared" si="1469"/>
        <v>43023.779292360588</v>
      </c>
      <c r="AA839" s="577">
        <f t="shared" si="1469"/>
        <v>43777.551196118089</v>
      </c>
      <c r="AB839" s="577">
        <f t="shared" si="1469"/>
        <v>44531.258731846865</v>
      </c>
      <c r="AC839" s="577">
        <f t="shared" si="1469"/>
        <v>45285.061127917419</v>
      </c>
      <c r="AD839" s="577">
        <f t="shared" si="1469"/>
        <v>46038.882614839153</v>
      </c>
      <c r="AE839" s="577">
        <f t="shared" si="1469"/>
        <v>46792.64779594935</v>
      </c>
      <c r="AF839" s="577">
        <f t="shared" si="1469"/>
        <v>47546.517058508674</v>
      </c>
      <c r="AG839" s="577">
        <f t="shared" si="1469"/>
        <v>48300.415914697449</v>
      </c>
      <c r="AH839" s="752">
        <f t="shared" si="1469"/>
        <v>49054.270399815658</v>
      </c>
      <c r="AI839" s="18"/>
      <c r="AJ839" s="18"/>
      <c r="AK839" s="18"/>
      <c r="AL839" s="18"/>
      <c r="AM839" s="18"/>
      <c r="AN839" s="18"/>
    </row>
    <row r="840" spans="2:40" ht="21.95" customHeight="1" x14ac:dyDescent="0.2">
      <c r="B840" s="232"/>
      <c r="C840" s="715"/>
      <c r="D840" s="715"/>
      <c r="E840" s="116"/>
      <c r="F840" s="116"/>
      <c r="G840" s="116"/>
      <c r="H840" s="124" t="s">
        <v>19</v>
      </c>
      <c r="I840" s="577">
        <f t="shared" ref="I840:AH840" si="1470">I749*$D$12</f>
        <v>62624.007463415772</v>
      </c>
      <c r="J840" s="577">
        <f t="shared" si="1470"/>
        <v>64429.270930527549</v>
      </c>
      <c r="K840" s="577">
        <f t="shared" si="1470"/>
        <v>66383.266993971367</v>
      </c>
      <c r="L840" s="577">
        <f t="shared" si="1470"/>
        <v>68975.591178551782</v>
      </c>
      <c r="M840" s="577">
        <f t="shared" si="1470"/>
        <v>71568.355346721597</v>
      </c>
      <c r="N840" s="577">
        <f t="shared" si="1470"/>
        <v>74162.186376448357</v>
      </c>
      <c r="O840" s="577">
        <f t="shared" si="1470"/>
        <v>76754.517523430724</v>
      </c>
      <c r="P840" s="577">
        <f t="shared" si="1470"/>
        <v>79347.541756130289</v>
      </c>
      <c r="Q840" s="577">
        <f t="shared" si="1470"/>
        <v>82200.839468945152</v>
      </c>
      <c r="R840" s="577">
        <f t="shared" si="1470"/>
        <v>85053.207281077484</v>
      </c>
      <c r="S840" s="577">
        <f t="shared" si="1470"/>
        <v>87906.527331627396</v>
      </c>
      <c r="T840" s="577">
        <f t="shared" si="1470"/>
        <v>90759.864694091739</v>
      </c>
      <c r="U840" s="577">
        <f t="shared" si="1470"/>
        <v>93614.853406336988</v>
      </c>
      <c r="V840" s="577">
        <f t="shared" si="1470"/>
        <v>95829.638289237279</v>
      </c>
      <c r="W840" s="577">
        <f t="shared" si="1470"/>
        <v>97634.987855314466</v>
      </c>
      <c r="X840" s="577">
        <f t="shared" si="1470"/>
        <v>99440.355168626556</v>
      </c>
      <c r="Y840" s="577">
        <f t="shared" si="1470"/>
        <v>101245.74340930738</v>
      </c>
      <c r="Z840" s="577">
        <f t="shared" si="1470"/>
        <v>103050.96836493554</v>
      </c>
      <c r="AA840" s="577">
        <f t="shared" si="1470"/>
        <v>104856.41005058226</v>
      </c>
      <c r="AB840" s="577">
        <f t="shared" si="1470"/>
        <v>106661.69756130986</v>
      </c>
      <c r="AC840" s="577">
        <f t="shared" si="1470"/>
        <v>108467.21228243693</v>
      </c>
      <c r="AD840" s="577">
        <f t="shared" si="1470"/>
        <v>110272.77273015367</v>
      </c>
      <c r="AE840" s="577">
        <f t="shared" si="1470"/>
        <v>112078.19831365114</v>
      </c>
      <c r="AF840" s="577">
        <f t="shared" si="1470"/>
        <v>113883.87319403276</v>
      </c>
      <c r="AG840" s="577">
        <f t="shared" si="1470"/>
        <v>115689.61895735917</v>
      </c>
      <c r="AH840" s="752">
        <f t="shared" si="1470"/>
        <v>117495.25844267223</v>
      </c>
      <c r="AI840" s="18"/>
      <c r="AJ840" s="18"/>
      <c r="AK840" s="18"/>
      <c r="AL840" s="18"/>
      <c r="AM840" s="18"/>
      <c r="AN840" s="18"/>
    </row>
    <row r="841" spans="2:40" ht="21.95" customHeight="1" x14ac:dyDescent="0.2">
      <c r="B841" s="232"/>
      <c r="C841" s="715"/>
      <c r="D841" s="715"/>
      <c r="E841" s="116"/>
      <c r="F841" s="116"/>
      <c r="G841" s="116"/>
      <c r="H841" s="721" t="s">
        <v>25</v>
      </c>
      <c r="I841" s="577">
        <f t="shared" ref="I841:AH841" si="1471">SUM(I839:I840)</f>
        <v>88769.530579391852</v>
      </c>
      <c r="J841" s="577">
        <f t="shared" si="1471"/>
        <v>91328.491544022807</v>
      </c>
      <c r="K841" s="577">
        <f t="shared" si="1471"/>
        <v>94098.280963954414</v>
      </c>
      <c r="L841" s="577">
        <f t="shared" si="1471"/>
        <v>97772.900495597147</v>
      </c>
      <c r="M841" s="577">
        <f t="shared" si="1471"/>
        <v>101448.14370397787</v>
      </c>
      <c r="N841" s="577">
        <f t="shared" si="1471"/>
        <v>105124.89918861554</v>
      </c>
      <c r="O841" s="577">
        <f t="shared" si="1471"/>
        <v>108799.52858946305</v>
      </c>
      <c r="P841" s="577">
        <f t="shared" si="1471"/>
        <v>112475.14043931468</v>
      </c>
      <c r="Q841" s="577">
        <f t="shared" si="1471"/>
        <v>116519.68994722975</v>
      </c>
      <c r="R841" s="577">
        <f t="shared" si="1471"/>
        <v>120562.92132092733</v>
      </c>
      <c r="S841" s="577">
        <f t="shared" si="1471"/>
        <v>124607.50249258183</v>
      </c>
      <c r="T841" s="577">
        <f t="shared" si="1471"/>
        <v>128652.10820387505</v>
      </c>
      <c r="U841" s="577">
        <f t="shared" si="1471"/>
        <v>132699.05470348269</v>
      </c>
      <c r="V841" s="577">
        <f t="shared" si="1471"/>
        <v>135838.51227499385</v>
      </c>
      <c r="W841" s="577">
        <f t="shared" si="1471"/>
        <v>138397.59528490825</v>
      </c>
      <c r="X841" s="577">
        <f t="shared" si="1471"/>
        <v>140956.70345152816</v>
      </c>
      <c r="Y841" s="577">
        <f t="shared" si="1471"/>
        <v>143515.8412826932</v>
      </c>
      <c r="Z841" s="577">
        <f t="shared" si="1471"/>
        <v>146074.74765729613</v>
      </c>
      <c r="AA841" s="577">
        <f t="shared" si="1471"/>
        <v>148633.96124670035</v>
      </c>
      <c r="AB841" s="577">
        <f t="shared" si="1471"/>
        <v>151192.95629315672</v>
      </c>
      <c r="AC841" s="577">
        <f t="shared" si="1471"/>
        <v>153752.27341035433</v>
      </c>
      <c r="AD841" s="577">
        <f t="shared" si="1471"/>
        <v>156311.65534499282</v>
      </c>
      <c r="AE841" s="577">
        <f t="shared" si="1471"/>
        <v>158870.8461096005</v>
      </c>
      <c r="AF841" s="577">
        <f t="shared" si="1471"/>
        <v>161430.39025254143</v>
      </c>
      <c r="AG841" s="577">
        <f t="shared" si="1471"/>
        <v>163990.03487205663</v>
      </c>
      <c r="AH841" s="752">
        <f t="shared" si="1471"/>
        <v>166549.5288424879</v>
      </c>
      <c r="AI841" s="18"/>
      <c r="AJ841" s="18"/>
      <c r="AK841" s="18"/>
      <c r="AL841" s="18"/>
      <c r="AM841" s="18"/>
      <c r="AN841" s="18"/>
    </row>
    <row r="842" spans="2:40" ht="21.95" customHeight="1" x14ac:dyDescent="0.2">
      <c r="B842" s="232"/>
      <c r="C842" s="715"/>
      <c r="D842" s="715"/>
      <c r="E842" s="116"/>
      <c r="F842" s="116" t="s">
        <v>357</v>
      </c>
      <c r="G842" s="116" t="s">
        <v>346</v>
      </c>
      <c r="H842" s="116" t="s">
        <v>20</v>
      </c>
      <c r="I842" s="577">
        <f t="shared" ref="I842:AH842" si="1472">I751*$D$11</f>
        <v>3807.746219262337</v>
      </c>
      <c r="J842" s="577">
        <f t="shared" si="1472"/>
        <v>3915.816073817934</v>
      </c>
      <c r="K842" s="577">
        <f t="shared" si="1472"/>
        <v>4035.7450561603737</v>
      </c>
      <c r="L842" s="577">
        <f t="shared" si="1472"/>
        <v>4204.077514565518</v>
      </c>
      <c r="M842" s="577">
        <f t="shared" si="1472"/>
        <v>4372.4400414941565</v>
      </c>
      <c r="N842" s="577">
        <f t="shared" si="1472"/>
        <v>4540.8376502599467</v>
      </c>
      <c r="O842" s="577">
        <f t="shared" si="1472"/>
        <v>4709.1701412284037</v>
      </c>
      <c r="P842" s="577">
        <f t="shared" si="1472"/>
        <v>4877.5126729922922</v>
      </c>
      <c r="Q842" s="577">
        <f t="shared" si="1472"/>
        <v>5066.7226982837219</v>
      </c>
      <c r="R842" s="577">
        <f t="shared" si="1472"/>
        <v>5255.8676408574956</v>
      </c>
      <c r="S842" s="577">
        <f t="shared" si="1472"/>
        <v>5445.0777852652509</v>
      </c>
      <c r="T842" s="577">
        <f t="shared" si="1472"/>
        <v>5634.2880248785732</v>
      </c>
      <c r="U842" s="577">
        <f t="shared" si="1472"/>
        <v>5823.5284551413415</v>
      </c>
      <c r="V842" s="577">
        <f t="shared" si="1472"/>
        <v>5964.3553904227656</v>
      </c>
      <c r="W842" s="577">
        <f t="shared" si="1472"/>
        <v>6072.4256632449751</v>
      </c>
      <c r="X842" s="577">
        <f t="shared" si="1472"/>
        <v>6180.4960184969359</v>
      </c>
      <c r="Y842" s="577">
        <f t="shared" si="1472"/>
        <v>6288.5664703567099</v>
      </c>
      <c r="Z842" s="577">
        <f t="shared" si="1472"/>
        <v>6396.5819226156736</v>
      </c>
      <c r="AA842" s="577">
        <f t="shared" si="1472"/>
        <v>6504.6526189326414</v>
      </c>
      <c r="AB842" s="577">
        <f t="shared" si="1472"/>
        <v>6612.6683555979853</v>
      </c>
      <c r="AC842" s="577">
        <f t="shared" si="1472"/>
        <v>6720.7393823042985</v>
      </c>
      <c r="AD842" s="577">
        <f t="shared" si="1472"/>
        <v>6828.8106143303276</v>
      </c>
      <c r="AE842" s="577">
        <f t="shared" si="1472"/>
        <v>6936.8269703548822</v>
      </c>
      <c r="AF842" s="577">
        <f t="shared" si="1472"/>
        <v>7044.8987122074623</v>
      </c>
      <c r="AG842" s="577">
        <f t="shared" si="1472"/>
        <v>7152.9707677401084</v>
      </c>
      <c r="AH842" s="752">
        <f t="shared" si="1472"/>
        <v>7260.9880694747008</v>
      </c>
      <c r="AI842" s="18"/>
      <c r="AJ842" s="18"/>
      <c r="AK842" s="18"/>
      <c r="AL842" s="18"/>
      <c r="AM842" s="18"/>
      <c r="AN842" s="18"/>
    </row>
    <row r="843" spans="2:40" ht="21.95" customHeight="1" x14ac:dyDescent="0.2">
      <c r="B843" s="232"/>
      <c r="C843" s="715"/>
      <c r="D843" s="715"/>
      <c r="E843" s="116"/>
      <c r="F843" s="116"/>
      <c r="G843" s="116"/>
      <c r="H843" s="124" t="s">
        <v>19</v>
      </c>
      <c r="I843" s="577">
        <f t="shared" ref="I843:AH843" si="1473">I752*$D$12</f>
        <v>9120.3502257780528</v>
      </c>
      <c r="J843" s="577">
        <f t="shared" si="1473"/>
        <v>9379.2001768094233</v>
      </c>
      <c r="K843" s="577">
        <f t="shared" si="1473"/>
        <v>9666.455224336225</v>
      </c>
      <c r="L843" s="577">
        <f t="shared" si="1473"/>
        <v>10069.646741474295</v>
      </c>
      <c r="M843" s="577">
        <f t="shared" si="1473"/>
        <v>10472.910279027919</v>
      </c>
      <c r="N843" s="577">
        <f t="shared" si="1473"/>
        <v>10876.257844934004</v>
      </c>
      <c r="O843" s="577">
        <f t="shared" si="1473"/>
        <v>11279.449440068034</v>
      </c>
      <c r="P843" s="577">
        <f t="shared" si="1473"/>
        <v>11682.665085011478</v>
      </c>
      <c r="Q843" s="577">
        <f t="shared" si="1473"/>
        <v>12135.862750380173</v>
      </c>
      <c r="R843" s="577">
        <f t="shared" si="1473"/>
        <v>12588.90452899999</v>
      </c>
      <c r="S843" s="577">
        <f t="shared" si="1473"/>
        <v>13042.102479677249</v>
      </c>
      <c r="T843" s="577">
        <f t="shared" si="1473"/>
        <v>13495.300658391792</v>
      </c>
      <c r="U843" s="577">
        <f t="shared" si="1473"/>
        <v>13948.571150039143</v>
      </c>
      <c r="V843" s="577">
        <f t="shared" si="1473"/>
        <v>14285.881174665308</v>
      </c>
      <c r="W843" s="577">
        <f t="shared" si="1473"/>
        <v>14544.732127532876</v>
      </c>
      <c r="X843" s="577">
        <f t="shared" si="1473"/>
        <v>14803.583277836973</v>
      </c>
      <c r="Y843" s="577">
        <f t="shared" si="1473"/>
        <v>15062.43465953703</v>
      </c>
      <c r="Z843" s="577">
        <f t="shared" si="1473"/>
        <v>15321.154305666285</v>
      </c>
      <c r="AA843" s="577">
        <f t="shared" si="1473"/>
        <v>15580.006272892555</v>
      </c>
      <c r="AB843" s="577">
        <f t="shared" si="1473"/>
        <v>15838.726600234695</v>
      </c>
      <c r="AC843" s="577">
        <f t="shared" si="1473"/>
        <v>16097.579358812691</v>
      </c>
      <c r="AD843" s="577">
        <f t="shared" si="1473"/>
        <v>16356.432609174437</v>
      </c>
      <c r="AE843" s="577">
        <f t="shared" si="1473"/>
        <v>16615.154420011695</v>
      </c>
      <c r="AF843" s="577">
        <f t="shared" si="1473"/>
        <v>16874.008891514881</v>
      </c>
      <c r="AG843" s="577">
        <f t="shared" si="1473"/>
        <v>17132.864114347565</v>
      </c>
      <c r="AH843" s="752">
        <f t="shared" si="1473"/>
        <v>17391.588190358565</v>
      </c>
      <c r="AI843" s="18"/>
      <c r="AJ843" s="18"/>
      <c r="AK843" s="18"/>
      <c r="AL843" s="18"/>
      <c r="AM843" s="18"/>
      <c r="AN843" s="18"/>
    </row>
    <row r="844" spans="2:40" ht="21.95" customHeight="1" x14ac:dyDescent="0.2">
      <c r="B844" s="232"/>
      <c r="C844" s="715"/>
      <c r="D844" s="715"/>
      <c r="E844" s="116"/>
      <c r="F844" s="116"/>
      <c r="G844" s="116"/>
      <c r="H844" s="721" t="s">
        <v>25</v>
      </c>
      <c r="I844" s="577">
        <f t="shared" ref="I844:AH844" si="1474">SUM(I842:I843)</f>
        <v>12928.09644504039</v>
      </c>
      <c r="J844" s="577">
        <f t="shared" si="1474"/>
        <v>13295.016250627357</v>
      </c>
      <c r="K844" s="577">
        <f t="shared" si="1474"/>
        <v>13702.2002804966</v>
      </c>
      <c r="L844" s="577">
        <f t="shared" si="1474"/>
        <v>14273.724256039812</v>
      </c>
      <c r="M844" s="577">
        <f t="shared" si="1474"/>
        <v>14845.350320522077</v>
      </c>
      <c r="N844" s="577">
        <f t="shared" si="1474"/>
        <v>15417.095495193949</v>
      </c>
      <c r="O844" s="577">
        <f t="shared" si="1474"/>
        <v>15988.619581296438</v>
      </c>
      <c r="P844" s="577">
        <f t="shared" si="1474"/>
        <v>16560.177758003771</v>
      </c>
      <c r="Q844" s="577">
        <f t="shared" si="1474"/>
        <v>17202.585448663893</v>
      </c>
      <c r="R844" s="577">
        <f t="shared" si="1474"/>
        <v>17844.772169857486</v>
      </c>
      <c r="S844" s="577">
        <f t="shared" si="1474"/>
        <v>18487.180264942501</v>
      </c>
      <c r="T844" s="577">
        <f t="shared" si="1474"/>
        <v>19129.588683270365</v>
      </c>
      <c r="U844" s="577">
        <f t="shared" si="1474"/>
        <v>19772.099605180483</v>
      </c>
      <c r="V844" s="577">
        <f t="shared" si="1474"/>
        <v>20250.236565088075</v>
      </c>
      <c r="W844" s="577">
        <f t="shared" si="1474"/>
        <v>20617.157790777852</v>
      </c>
      <c r="X844" s="577">
        <f t="shared" si="1474"/>
        <v>20984.079296333908</v>
      </c>
      <c r="Y844" s="577">
        <f t="shared" si="1474"/>
        <v>21351.001129893739</v>
      </c>
      <c r="Z844" s="577">
        <f t="shared" si="1474"/>
        <v>21717.736228281959</v>
      </c>
      <c r="AA844" s="577">
        <f t="shared" si="1474"/>
        <v>22084.658891825195</v>
      </c>
      <c r="AB844" s="577">
        <f t="shared" si="1474"/>
        <v>22451.394955832679</v>
      </c>
      <c r="AC844" s="577">
        <f t="shared" si="1474"/>
        <v>22818.318741116989</v>
      </c>
      <c r="AD844" s="577">
        <f t="shared" si="1474"/>
        <v>23185.243223504764</v>
      </c>
      <c r="AE844" s="577">
        <f t="shared" si="1474"/>
        <v>23551.981390366578</v>
      </c>
      <c r="AF844" s="577">
        <f t="shared" si="1474"/>
        <v>23918.907603722342</v>
      </c>
      <c r="AG844" s="577">
        <f t="shared" si="1474"/>
        <v>24285.834882087674</v>
      </c>
      <c r="AH844" s="752">
        <f t="shared" si="1474"/>
        <v>24652.576259833266</v>
      </c>
      <c r="AI844" s="18"/>
      <c r="AJ844" s="18"/>
      <c r="AK844" s="18"/>
      <c r="AL844" s="18"/>
      <c r="AM844" s="18"/>
      <c r="AN844" s="18"/>
    </row>
    <row r="845" spans="2:40" ht="21.95" customHeight="1" x14ac:dyDescent="0.2">
      <c r="B845" s="232"/>
      <c r="C845" s="715"/>
      <c r="D845" s="715"/>
      <c r="E845" s="116"/>
      <c r="F845" s="116" t="s">
        <v>346</v>
      </c>
      <c r="G845" s="116" t="s">
        <v>343</v>
      </c>
      <c r="H845" s="116" t="s">
        <v>20</v>
      </c>
      <c r="I845" s="577">
        <f t="shared" ref="I845:AH845" si="1475">I754*$D$11</f>
        <v>1146.9053391920515</v>
      </c>
      <c r="J845" s="577">
        <f t="shared" si="1475"/>
        <v>1179.4563274089844</v>
      </c>
      <c r="K845" s="577">
        <f t="shared" si="1475"/>
        <v>1215.5793240822234</v>
      </c>
      <c r="L845" s="577">
        <f t="shared" si="1475"/>
        <v>1266.2816063569853</v>
      </c>
      <c r="M845" s="577">
        <f t="shared" si="1475"/>
        <v>1316.9929491861353</v>
      </c>
      <c r="N845" s="577">
        <f t="shared" si="1475"/>
        <v>1367.7148642133316</v>
      </c>
      <c r="O845" s="577">
        <f t="shared" si="1475"/>
        <v>1418.4171731717345</v>
      </c>
      <c r="P845" s="577">
        <f t="shared" si="1475"/>
        <v>1469.1225170273574</v>
      </c>
      <c r="Q845" s="577">
        <f t="shared" si="1475"/>
        <v>1526.1132385454123</v>
      </c>
      <c r="R845" s="577">
        <f t="shared" si="1475"/>
        <v>1583.0843827403251</v>
      </c>
      <c r="S845" s="577">
        <f t="shared" si="1475"/>
        <v>1640.0752018669184</v>
      </c>
      <c r="T845" s="577">
        <f t="shared" si="1475"/>
        <v>1697.0660990086437</v>
      </c>
      <c r="U845" s="577">
        <f t="shared" si="1475"/>
        <v>1754.066156779498</v>
      </c>
      <c r="V845" s="577">
        <f t="shared" si="1475"/>
        <v>1796.4839119783039</v>
      </c>
      <c r="W845" s="577">
        <f t="shared" si="1475"/>
        <v>1829.0352429391196</v>
      </c>
      <c r="X845" s="577">
        <f t="shared" si="1475"/>
        <v>1861.5866414460693</v>
      </c>
      <c r="Y845" s="577">
        <f t="shared" si="1475"/>
        <v>1894.1381191172095</v>
      </c>
      <c r="Z845" s="577">
        <f t="shared" si="1475"/>
        <v>1926.6730890422314</v>
      </c>
      <c r="AA845" s="577">
        <f t="shared" si="1475"/>
        <v>1959.2247670310765</v>
      </c>
      <c r="AB845" s="577">
        <f t="shared" si="1475"/>
        <v>1991.7599700097142</v>
      </c>
      <c r="AC845" s="577">
        <f t="shared" si="1475"/>
        <v>2024.311918732403</v>
      </c>
      <c r="AD845" s="577">
        <f t="shared" si="1475"/>
        <v>2056.8640357020267</v>
      </c>
      <c r="AE845" s="577">
        <f t="shared" si="1475"/>
        <v>2089.3997462076259</v>
      </c>
      <c r="AF845" s="577">
        <f t="shared" si="1475"/>
        <v>2121.9522809488972</v>
      </c>
      <c r="AG845" s="577">
        <f t="shared" si="1475"/>
        <v>2154.5050727317816</v>
      </c>
      <c r="AH845" s="752">
        <f t="shared" si="1475"/>
        <v>2187.0415581888601</v>
      </c>
      <c r="AI845" s="18"/>
      <c r="AJ845" s="18"/>
      <c r="AK845" s="18"/>
      <c r="AL845" s="18"/>
      <c r="AM845" s="18"/>
      <c r="AN845" s="18"/>
    </row>
    <row r="846" spans="2:40" ht="21.95" customHeight="1" x14ac:dyDescent="0.2">
      <c r="B846" s="232"/>
      <c r="C846" s="715"/>
      <c r="D846" s="715"/>
      <c r="E846" s="116"/>
      <c r="F846" s="116"/>
      <c r="G846" s="116"/>
      <c r="H846" s="124" t="s">
        <v>19</v>
      </c>
      <c r="I846" s="577">
        <f t="shared" ref="I846:AH846" si="1476">I755*$D$12</f>
        <v>2747.0786567474288</v>
      </c>
      <c r="J846" s="577">
        <f t="shared" si="1476"/>
        <v>2825.0450955903821</v>
      </c>
      <c r="K846" s="577">
        <f t="shared" si="1476"/>
        <v>2911.5672433107147</v>
      </c>
      <c r="L846" s="577">
        <f t="shared" si="1476"/>
        <v>3033.0098355855939</v>
      </c>
      <c r="M846" s="577">
        <f t="shared" si="1476"/>
        <v>3154.4741297871506</v>
      </c>
      <c r="N846" s="577">
        <f t="shared" si="1476"/>
        <v>3275.9637466187583</v>
      </c>
      <c r="O846" s="577">
        <f t="shared" si="1476"/>
        <v>3397.4064028065495</v>
      </c>
      <c r="P846" s="577">
        <f t="shared" si="1476"/>
        <v>3518.8563282092396</v>
      </c>
      <c r="Q846" s="577">
        <f t="shared" si="1476"/>
        <v>3655.3610504081735</v>
      </c>
      <c r="R846" s="577">
        <f t="shared" si="1476"/>
        <v>3791.8188808151499</v>
      </c>
      <c r="S846" s="577">
        <f t="shared" si="1476"/>
        <v>3928.3238368069901</v>
      </c>
      <c r="T846" s="577">
        <f t="shared" si="1476"/>
        <v>4064.8289796614222</v>
      </c>
      <c r="U846" s="577">
        <f t="shared" si="1476"/>
        <v>4201.3560641425101</v>
      </c>
      <c r="V846" s="577">
        <f t="shared" si="1476"/>
        <v>4302.9554777923449</v>
      </c>
      <c r="W846" s="577">
        <f t="shared" si="1476"/>
        <v>4380.9227375787295</v>
      </c>
      <c r="X846" s="577">
        <f t="shared" si="1476"/>
        <v>4458.8901591522617</v>
      </c>
      <c r="Y846" s="577">
        <f t="shared" si="1476"/>
        <v>4536.8577703406218</v>
      </c>
      <c r="Z846" s="577">
        <f t="shared" si="1476"/>
        <v>4614.7858420173206</v>
      </c>
      <c r="AA846" s="577">
        <f t="shared" si="1476"/>
        <v>4692.7539330085665</v>
      </c>
      <c r="AB846" s="577">
        <f t="shared" si="1476"/>
        <v>4770.6825628975193</v>
      </c>
      <c r="AC846" s="577">
        <f t="shared" si="1476"/>
        <v>4848.6513023530615</v>
      </c>
      <c r="AD846" s="577">
        <f t="shared" si="1476"/>
        <v>4926.6204447952741</v>
      </c>
      <c r="AE846" s="577">
        <f t="shared" si="1476"/>
        <v>5004.5502903176666</v>
      </c>
      <c r="AF846" s="577">
        <f t="shared" si="1476"/>
        <v>5082.5204334105329</v>
      </c>
      <c r="AG846" s="577">
        <f t="shared" si="1476"/>
        <v>5160.4911921719322</v>
      </c>
      <c r="AH846" s="752">
        <f t="shared" si="1476"/>
        <v>5238.4228938655333</v>
      </c>
      <c r="AI846" s="18"/>
      <c r="AJ846" s="18"/>
      <c r="AK846" s="18"/>
      <c r="AL846" s="18"/>
      <c r="AM846" s="18"/>
      <c r="AN846" s="18"/>
    </row>
    <row r="847" spans="2:40" ht="21.95" customHeight="1" x14ac:dyDescent="0.2">
      <c r="B847" s="232"/>
      <c r="C847" s="715"/>
      <c r="D847" s="715"/>
      <c r="E847" s="116"/>
      <c r="F847" s="116"/>
      <c r="G847" s="116"/>
      <c r="H847" s="721" t="s">
        <v>25</v>
      </c>
      <c r="I847" s="577">
        <f t="shared" ref="I847:AH847" si="1477">SUM(I845:I846)</f>
        <v>3893.9839959394803</v>
      </c>
      <c r="J847" s="577">
        <f t="shared" si="1477"/>
        <v>4004.5014229993667</v>
      </c>
      <c r="K847" s="577">
        <f t="shared" si="1477"/>
        <v>4127.1465673929379</v>
      </c>
      <c r="L847" s="577">
        <f t="shared" si="1477"/>
        <v>4299.2914419425797</v>
      </c>
      <c r="M847" s="577">
        <f t="shared" si="1477"/>
        <v>4471.4670789732863</v>
      </c>
      <c r="N847" s="577">
        <f t="shared" si="1477"/>
        <v>4643.6786108320903</v>
      </c>
      <c r="O847" s="577">
        <f t="shared" si="1477"/>
        <v>4815.8235759782838</v>
      </c>
      <c r="P847" s="577">
        <f t="shared" si="1477"/>
        <v>4987.9788452365974</v>
      </c>
      <c r="Q847" s="577">
        <f t="shared" si="1477"/>
        <v>5181.4742889535855</v>
      </c>
      <c r="R847" s="577">
        <f t="shared" si="1477"/>
        <v>5374.903263555475</v>
      </c>
      <c r="S847" s="577">
        <f t="shared" si="1477"/>
        <v>5568.3990386739088</v>
      </c>
      <c r="T847" s="577">
        <f t="shared" si="1477"/>
        <v>5761.8950786700661</v>
      </c>
      <c r="U847" s="577">
        <f t="shared" si="1477"/>
        <v>5955.4222209220079</v>
      </c>
      <c r="V847" s="577">
        <f t="shared" si="1477"/>
        <v>6099.4393897706486</v>
      </c>
      <c r="W847" s="577">
        <f t="shared" si="1477"/>
        <v>6209.9579805178491</v>
      </c>
      <c r="X847" s="577">
        <f t="shared" si="1477"/>
        <v>6320.4768005983315</v>
      </c>
      <c r="Y847" s="577">
        <f t="shared" si="1477"/>
        <v>6430.9958894578313</v>
      </c>
      <c r="Z847" s="577">
        <f t="shared" si="1477"/>
        <v>6541.458931059552</v>
      </c>
      <c r="AA847" s="577">
        <f t="shared" si="1477"/>
        <v>6651.9787000396427</v>
      </c>
      <c r="AB847" s="577">
        <f t="shared" si="1477"/>
        <v>6762.4425329072337</v>
      </c>
      <c r="AC847" s="577">
        <f t="shared" si="1477"/>
        <v>6872.9632210854643</v>
      </c>
      <c r="AD847" s="577">
        <f t="shared" si="1477"/>
        <v>6983.4844804973009</v>
      </c>
      <c r="AE847" s="577">
        <f t="shared" si="1477"/>
        <v>7093.9500365252925</v>
      </c>
      <c r="AF847" s="577">
        <f t="shared" si="1477"/>
        <v>7204.47271435943</v>
      </c>
      <c r="AG847" s="577">
        <f t="shared" si="1477"/>
        <v>7314.9962649037134</v>
      </c>
      <c r="AH847" s="752">
        <f t="shared" si="1477"/>
        <v>7425.4644520543934</v>
      </c>
      <c r="AI847" s="18"/>
      <c r="AJ847" s="18"/>
      <c r="AK847" s="18"/>
      <c r="AL847" s="18"/>
      <c r="AM847" s="18"/>
      <c r="AN847" s="18"/>
    </row>
    <row r="848" spans="2:40" ht="21.95" customHeight="1" x14ac:dyDescent="0.2">
      <c r="B848" s="232"/>
      <c r="C848" s="715"/>
      <c r="D848" s="715"/>
      <c r="E848" s="116"/>
      <c r="F848" s="116" t="s">
        <v>343</v>
      </c>
      <c r="G848" s="116" t="s">
        <v>350</v>
      </c>
      <c r="H848" s="116" t="s">
        <v>20</v>
      </c>
      <c r="I848" s="577">
        <f t="shared" ref="I848:AH848" si="1478">I757*$D$11</f>
        <v>2942.7176201021002</v>
      </c>
      <c r="J848" s="577">
        <f t="shared" si="1478"/>
        <v>3026.1632836625404</v>
      </c>
      <c r="K848" s="577">
        <f t="shared" si="1478"/>
        <v>3121.2473959259214</v>
      </c>
      <c r="L848" s="577">
        <f t="shared" si="1478"/>
        <v>3242.7424000338774</v>
      </c>
      <c r="M848" s="577">
        <f t="shared" si="1478"/>
        <v>3364.2766416250943</v>
      </c>
      <c r="N848" s="577">
        <f t="shared" si="1478"/>
        <v>3485.7912668341337</v>
      </c>
      <c r="O848" s="577">
        <f t="shared" si="1478"/>
        <v>3607.2862763117419</v>
      </c>
      <c r="P848" s="577">
        <f t="shared" si="1478"/>
        <v>3728.8058116861221</v>
      </c>
      <c r="Q848" s="577">
        <f t="shared" si="1478"/>
        <v>3866.1522701319832</v>
      </c>
      <c r="R848" s="577">
        <f t="shared" si="1478"/>
        <v>4003.4938317965311</v>
      </c>
      <c r="S848" s="577">
        <f t="shared" si="1478"/>
        <v>4140.8206904717226</v>
      </c>
      <c r="T848" s="577">
        <f t="shared" si="1478"/>
        <v>4278.1671816269418</v>
      </c>
      <c r="U848" s="577">
        <f t="shared" si="1478"/>
        <v>4415.5382146949196</v>
      </c>
      <c r="V848" s="577">
        <f t="shared" si="1478"/>
        <v>4526.468934787631</v>
      </c>
      <c r="W848" s="577">
        <f t="shared" si="1478"/>
        <v>4609.9146672151765</v>
      </c>
      <c r="X848" s="577">
        <f t="shared" si="1478"/>
        <v>4693.360413501191</v>
      </c>
      <c r="Y848" s="577">
        <f t="shared" si="1478"/>
        <v>4776.806176073108</v>
      </c>
      <c r="Z848" s="577">
        <f t="shared" si="1478"/>
        <v>4860.227435043992</v>
      </c>
      <c r="AA848" s="577">
        <f t="shared" si="1478"/>
        <v>4943.6732389940098</v>
      </c>
      <c r="AB848" s="577">
        <f t="shared" si="1478"/>
        <v>5027.0945462348182</v>
      </c>
      <c r="AC848" s="577">
        <f t="shared" si="1478"/>
        <v>5110.5404063813294</v>
      </c>
      <c r="AD848" s="577">
        <f t="shared" si="1478"/>
        <v>5193.9863015649944</v>
      </c>
      <c r="AE848" s="577">
        <f t="shared" si="1478"/>
        <v>5277.407714548357</v>
      </c>
      <c r="AF848" s="577">
        <f t="shared" si="1478"/>
        <v>5360.8536970335754</v>
      </c>
      <c r="AG848" s="577">
        <f t="shared" si="1478"/>
        <v>5444.2997333915391</v>
      </c>
      <c r="AH848" s="752">
        <f t="shared" si="1478"/>
        <v>5527.721308869217</v>
      </c>
      <c r="AI848" s="18"/>
      <c r="AJ848" s="18"/>
      <c r="AK848" s="18"/>
      <c r="AL848" s="18"/>
      <c r="AM848" s="18"/>
      <c r="AN848" s="18"/>
    </row>
    <row r="849" spans="2:41" ht="21.95" customHeight="1" x14ac:dyDescent="0.2">
      <c r="B849" s="232"/>
      <c r="C849" s="715"/>
      <c r="D849" s="715"/>
      <c r="E849" s="116"/>
      <c r="F849" s="116"/>
      <c r="G849" s="116"/>
      <c r="H849" s="124" t="s">
        <v>19</v>
      </c>
      <c r="I849" s="577">
        <f t="shared" ref="I849:AH849" si="1479">I758*$D$12</f>
        <v>7048.4254373702997</v>
      </c>
      <c r="J849" s="577">
        <f t="shared" si="1479"/>
        <v>7248.2952902096777</v>
      </c>
      <c r="K849" s="577">
        <f t="shared" si="1479"/>
        <v>7476.0416668884345</v>
      </c>
      <c r="L849" s="577">
        <f t="shared" si="1479"/>
        <v>7767.0476647518026</v>
      </c>
      <c r="M849" s="577">
        <f t="shared" si="1479"/>
        <v>8058.1476446110046</v>
      </c>
      <c r="N849" s="577">
        <f t="shared" si="1479"/>
        <v>8349.2006391236737</v>
      </c>
      <c r="O849" s="577">
        <f t="shared" si="1479"/>
        <v>8640.2066498484837</v>
      </c>
      <c r="P849" s="577">
        <f t="shared" si="1479"/>
        <v>8931.2714052362207</v>
      </c>
      <c r="Q849" s="577">
        <f t="shared" si="1479"/>
        <v>9260.2449583999605</v>
      </c>
      <c r="R849" s="577">
        <f t="shared" si="1479"/>
        <v>9589.2067827461833</v>
      </c>
      <c r="S849" s="577">
        <f t="shared" si="1479"/>
        <v>9918.1333903514314</v>
      </c>
      <c r="T849" s="577">
        <f t="shared" si="1479"/>
        <v>10247.107021860938</v>
      </c>
      <c r="U849" s="577">
        <f t="shared" si="1479"/>
        <v>10576.139436395018</v>
      </c>
      <c r="V849" s="577">
        <f t="shared" si="1479"/>
        <v>10841.841759970375</v>
      </c>
      <c r="W849" s="577">
        <f t="shared" si="1479"/>
        <v>11041.711777760902</v>
      </c>
      <c r="X849" s="577">
        <f t="shared" si="1479"/>
        <v>11241.581828745368</v>
      </c>
      <c r="Y849" s="577">
        <f t="shared" si="1479"/>
        <v>11441.451918737985</v>
      </c>
      <c r="Z849" s="577">
        <f t="shared" si="1479"/>
        <v>11641.263317470641</v>
      </c>
      <c r="AA849" s="577">
        <f t="shared" si="1479"/>
        <v>11841.13350657248</v>
      </c>
      <c r="AB849" s="577">
        <f t="shared" si="1479"/>
        <v>12040.945020921721</v>
      </c>
      <c r="AC849" s="577">
        <f t="shared" si="1479"/>
        <v>12240.815344625938</v>
      </c>
      <c r="AD849" s="577">
        <f t="shared" si="1479"/>
        <v>12440.685752251484</v>
      </c>
      <c r="AE849" s="577">
        <f t="shared" si="1479"/>
        <v>12640.497519876306</v>
      </c>
      <c r="AF849" s="577">
        <f t="shared" si="1479"/>
        <v>12840.368136607367</v>
      </c>
      <c r="AG849" s="577">
        <f t="shared" si="1479"/>
        <v>13040.238882374944</v>
      </c>
      <c r="AH849" s="752">
        <f t="shared" si="1479"/>
        <v>13240.051039207705</v>
      </c>
      <c r="AI849" s="18"/>
      <c r="AJ849" s="18"/>
      <c r="AK849" s="18"/>
      <c r="AL849" s="18"/>
      <c r="AM849" s="18"/>
      <c r="AN849" s="18"/>
    </row>
    <row r="850" spans="2:41" ht="21.95" customHeight="1" x14ac:dyDescent="0.2">
      <c r="B850" s="232"/>
      <c r="C850" s="715"/>
      <c r="D850" s="715"/>
      <c r="E850" s="116"/>
      <c r="F850" s="116"/>
      <c r="G850" s="116"/>
      <c r="H850" s="721" t="s">
        <v>25</v>
      </c>
      <c r="I850" s="577">
        <f t="shared" ref="I850:AH850" si="1480">SUM(I848:I849)</f>
        <v>9991.1430574724</v>
      </c>
      <c r="J850" s="577">
        <f t="shared" si="1480"/>
        <v>10274.458573872218</v>
      </c>
      <c r="K850" s="577">
        <f t="shared" si="1480"/>
        <v>10597.289062814356</v>
      </c>
      <c r="L850" s="577">
        <f t="shared" si="1480"/>
        <v>11009.79006478568</v>
      </c>
      <c r="M850" s="577">
        <f t="shared" si="1480"/>
        <v>11422.424286236099</v>
      </c>
      <c r="N850" s="577">
        <f t="shared" si="1480"/>
        <v>11834.991905957808</v>
      </c>
      <c r="O850" s="577">
        <f t="shared" si="1480"/>
        <v>12247.492926160226</v>
      </c>
      <c r="P850" s="577">
        <f t="shared" si="1480"/>
        <v>12660.077216922342</v>
      </c>
      <c r="Q850" s="577">
        <f t="shared" si="1480"/>
        <v>13126.397228531943</v>
      </c>
      <c r="R850" s="577">
        <f t="shared" si="1480"/>
        <v>13592.700614542715</v>
      </c>
      <c r="S850" s="577">
        <f t="shared" si="1480"/>
        <v>14058.954080823154</v>
      </c>
      <c r="T850" s="577">
        <f t="shared" si="1480"/>
        <v>14525.274203487879</v>
      </c>
      <c r="U850" s="577">
        <f t="shared" si="1480"/>
        <v>14991.677651089938</v>
      </c>
      <c r="V850" s="577">
        <f t="shared" si="1480"/>
        <v>15368.310694758005</v>
      </c>
      <c r="W850" s="577">
        <f t="shared" si="1480"/>
        <v>15651.626444976078</v>
      </c>
      <c r="X850" s="577">
        <f t="shared" si="1480"/>
        <v>15934.942242246558</v>
      </c>
      <c r="Y850" s="577">
        <f t="shared" si="1480"/>
        <v>16218.258094811092</v>
      </c>
      <c r="Z850" s="577">
        <f t="shared" si="1480"/>
        <v>16501.490752514634</v>
      </c>
      <c r="AA850" s="577">
        <f t="shared" si="1480"/>
        <v>16784.80674556649</v>
      </c>
      <c r="AB850" s="577">
        <f t="shared" si="1480"/>
        <v>17068.039567156538</v>
      </c>
      <c r="AC850" s="577">
        <f t="shared" si="1480"/>
        <v>17351.355751007268</v>
      </c>
      <c r="AD850" s="577">
        <f t="shared" si="1480"/>
        <v>17634.672053816477</v>
      </c>
      <c r="AE850" s="577">
        <f t="shared" si="1480"/>
        <v>17917.905234424663</v>
      </c>
      <c r="AF850" s="577">
        <f t="shared" si="1480"/>
        <v>18201.221833640942</v>
      </c>
      <c r="AG850" s="577">
        <f t="shared" si="1480"/>
        <v>18484.538615766483</v>
      </c>
      <c r="AH850" s="752">
        <f t="shared" si="1480"/>
        <v>18767.77234807692</v>
      </c>
      <c r="AI850" s="18"/>
      <c r="AJ850" s="18"/>
      <c r="AK850" s="18"/>
      <c r="AL850" s="18"/>
      <c r="AM850" s="18"/>
      <c r="AN850" s="18"/>
    </row>
    <row r="851" spans="2:41" ht="21.95" customHeight="1" x14ac:dyDescent="0.2">
      <c r="B851" s="232"/>
      <c r="C851" s="715"/>
      <c r="D851" s="715"/>
      <c r="E851" s="116"/>
      <c r="F851" s="116" t="s">
        <v>350</v>
      </c>
      <c r="G851" s="116" t="s">
        <v>280</v>
      </c>
      <c r="H851" s="116" t="s">
        <v>20</v>
      </c>
      <c r="I851" s="577">
        <f t="shared" ref="I851:AH851" si="1481">I760*$D$11</f>
        <v>20061.421579509875</v>
      </c>
      <c r="J851" s="577">
        <f t="shared" si="1481"/>
        <v>20630.296626387557</v>
      </c>
      <c r="K851" s="577">
        <f t="shared" si="1481"/>
        <v>21278.514596903802</v>
      </c>
      <c r="L851" s="577">
        <f t="shared" si="1481"/>
        <v>22106.783829113603</v>
      </c>
      <c r="M851" s="577">
        <f t="shared" si="1481"/>
        <v>22935.320550072589</v>
      </c>
      <c r="N851" s="577">
        <f t="shared" si="1481"/>
        <v>23763.723532569442</v>
      </c>
      <c r="O851" s="577">
        <f t="shared" si="1481"/>
        <v>24591.992778234817</v>
      </c>
      <c r="P851" s="577">
        <f t="shared" si="1481"/>
        <v>25420.429210557235</v>
      </c>
      <c r="Q851" s="577">
        <f t="shared" si="1481"/>
        <v>26356.762672326375</v>
      </c>
      <c r="R851" s="577">
        <f t="shared" si="1481"/>
        <v>27293.062717808403</v>
      </c>
      <c r="S851" s="577">
        <f t="shared" si="1481"/>
        <v>28229.262482741455</v>
      </c>
      <c r="T851" s="577">
        <f t="shared" si="1481"/>
        <v>29165.596026475563</v>
      </c>
      <c r="U851" s="577">
        <f t="shared" si="1481"/>
        <v>30102.096797000453</v>
      </c>
      <c r="V851" s="577">
        <f t="shared" si="1481"/>
        <v>30858.345706765194</v>
      </c>
      <c r="W851" s="577">
        <f t="shared" si="1481"/>
        <v>31427.220926213948</v>
      </c>
      <c r="X851" s="577">
        <f t="shared" si="1481"/>
        <v>31996.096180390039</v>
      </c>
      <c r="Y851" s="577">
        <f t="shared" si="1481"/>
        <v>32564.971475376249</v>
      </c>
      <c r="Z851" s="577">
        <f t="shared" si="1481"/>
        <v>33133.679639575355</v>
      </c>
      <c r="AA851" s="577">
        <f t="shared" si="1481"/>
        <v>33702.555038249135</v>
      </c>
      <c r="AB851" s="577">
        <f t="shared" si="1481"/>
        <v>34271.263323405743</v>
      </c>
      <c r="AC851" s="577">
        <f t="shared" si="1481"/>
        <v>34840.138862899883</v>
      </c>
      <c r="AD851" s="577">
        <f t="shared" si="1481"/>
        <v>35409.014490192101</v>
      </c>
      <c r="AE851" s="577">
        <f t="shared" si="1481"/>
        <v>35977.723040324352</v>
      </c>
      <c r="AF851" s="577">
        <f t="shared" si="1481"/>
        <v>36546.598886381726</v>
      </c>
      <c r="AG851" s="577">
        <f t="shared" si="1481"/>
        <v>37115.47486743646</v>
      </c>
      <c r="AH851" s="752">
        <f t="shared" si="1481"/>
        <v>37684.183824756125</v>
      </c>
      <c r="AI851" s="18"/>
      <c r="AJ851" s="18"/>
      <c r="AK851" s="18"/>
      <c r="AL851" s="18"/>
      <c r="AM851" s="18"/>
      <c r="AN851" s="18"/>
    </row>
    <row r="852" spans="2:41" ht="21.95" customHeight="1" x14ac:dyDescent="0.2">
      <c r="B852" s="232"/>
      <c r="C852" s="715"/>
      <c r="D852" s="715"/>
      <c r="E852" s="116"/>
      <c r="F852" s="116"/>
      <c r="G852" s="116"/>
      <c r="H852" s="124" t="s">
        <v>19</v>
      </c>
      <c r="I852" s="577">
        <f t="shared" ref="I852:AH852" si="1482">I761*$D$12</f>
        <v>48051.309172478745</v>
      </c>
      <c r="J852" s="577">
        <f t="shared" si="1482"/>
        <v>49413.88413506002</v>
      </c>
      <c r="K852" s="577">
        <f t="shared" si="1482"/>
        <v>50966.502028512106</v>
      </c>
      <c r="L852" s="577">
        <f t="shared" si="1482"/>
        <v>52950.380429014622</v>
      </c>
      <c r="M852" s="577">
        <f t="shared" si="1482"/>
        <v>54934.899521131956</v>
      </c>
      <c r="N852" s="577">
        <f t="shared" si="1482"/>
        <v>56919.098281603452</v>
      </c>
      <c r="O852" s="577">
        <f t="shared" si="1482"/>
        <v>58902.976714334894</v>
      </c>
      <c r="P852" s="577">
        <f t="shared" si="1482"/>
        <v>60887.255594149072</v>
      </c>
      <c r="Q852" s="577">
        <f t="shared" si="1482"/>
        <v>63129.970472638022</v>
      </c>
      <c r="R852" s="577">
        <f t="shared" si="1482"/>
        <v>65372.605312115935</v>
      </c>
      <c r="S852" s="577">
        <f t="shared" si="1482"/>
        <v>67614.999958662171</v>
      </c>
      <c r="T852" s="577">
        <f t="shared" si="1482"/>
        <v>69857.715033474407</v>
      </c>
      <c r="U852" s="577">
        <f t="shared" si="1482"/>
        <v>72100.830651498094</v>
      </c>
      <c r="V852" s="577">
        <f t="shared" si="1482"/>
        <v>73912.205285665143</v>
      </c>
      <c r="W852" s="577">
        <f t="shared" si="1482"/>
        <v>75274.780661590295</v>
      </c>
      <c r="X852" s="577">
        <f t="shared" si="1482"/>
        <v>76637.356120694705</v>
      </c>
      <c r="Y852" s="577">
        <f t="shared" si="1482"/>
        <v>77999.931677547909</v>
      </c>
      <c r="Z852" s="577">
        <f t="shared" si="1482"/>
        <v>79362.106921138577</v>
      </c>
      <c r="AA852" s="577">
        <f t="shared" si="1482"/>
        <v>80724.682726345243</v>
      </c>
      <c r="AB852" s="577">
        <f t="shared" si="1482"/>
        <v>82086.858259654473</v>
      </c>
      <c r="AC852" s="577">
        <f t="shared" si="1482"/>
        <v>83449.434402155413</v>
      </c>
      <c r="AD852" s="577">
        <f t="shared" si="1482"/>
        <v>84812.010754951145</v>
      </c>
      <c r="AE852" s="577">
        <f t="shared" si="1482"/>
        <v>86174.186922932582</v>
      </c>
      <c r="AF852" s="577">
        <f t="shared" si="1482"/>
        <v>87536.763799716704</v>
      </c>
      <c r="AG852" s="577">
        <f t="shared" si="1482"/>
        <v>88899.340999847816</v>
      </c>
      <c r="AH852" s="752">
        <f t="shared" si="1482"/>
        <v>90261.518143128444</v>
      </c>
      <c r="AI852" s="18"/>
      <c r="AJ852" s="18"/>
      <c r="AK852" s="18"/>
      <c r="AL852" s="18"/>
      <c r="AM852" s="18"/>
      <c r="AN852" s="18"/>
    </row>
    <row r="853" spans="2:41" ht="21.95" customHeight="1" x14ac:dyDescent="0.2">
      <c r="B853" s="232"/>
      <c r="C853" s="715"/>
      <c r="D853" s="715"/>
      <c r="E853" s="116"/>
      <c r="F853" s="116"/>
      <c r="G853" s="116"/>
      <c r="H853" s="721" t="s">
        <v>25</v>
      </c>
      <c r="I853" s="577">
        <f t="shared" ref="I853:AH853" si="1483">SUM(I851:I852)</f>
        <v>68112.730751988624</v>
      </c>
      <c r="J853" s="577">
        <f t="shared" si="1483"/>
        <v>70044.180761447584</v>
      </c>
      <c r="K853" s="577">
        <f t="shared" si="1483"/>
        <v>72245.016625415912</v>
      </c>
      <c r="L853" s="577">
        <f t="shared" si="1483"/>
        <v>75057.164258128221</v>
      </c>
      <c r="M853" s="577">
        <f t="shared" si="1483"/>
        <v>77870.220071204545</v>
      </c>
      <c r="N853" s="577">
        <f t="shared" si="1483"/>
        <v>80682.821814172901</v>
      </c>
      <c r="O853" s="577">
        <f t="shared" si="1483"/>
        <v>83494.969492569711</v>
      </c>
      <c r="P853" s="577">
        <f t="shared" si="1483"/>
        <v>86307.68480470631</v>
      </c>
      <c r="Q853" s="577">
        <f t="shared" si="1483"/>
        <v>89486.733144964397</v>
      </c>
      <c r="R853" s="577">
        <f t="shared" si="1483"/>
        <v>92665.668029924331</v>
      </c>
      <c r="S853" s="577">
        <f t="shared" si="1483"/>
        <v>95844.262441403625</v>
      </c>
      <c r="T853" s="577">
        <f t="shared" si="1483"/>
        <v>99023.311059949978</v>
      </c>
      <c r="U853" s="577">
        <f t="shared" si="1483"/>
        <v>102202.92744849855</v>
      </c>
      <c r="V853" s="577">
        <f t="shared" si="1483"/>
        <v>104770.55099243033</v>
      </c>
      <c r="W853" s="577">
        <f t="shared" si="1483"/>
        <v>106702.00158780425</v>
      </c>
      <c r="X853" s="577">
        <f t="shared" si="1483"/>
        <v>108633.45230108475</v>
      </c>
      <c r="Y853" s="577">
        <f t="shared" si="1483"/>
        <v>110564.90315292416</v>
      </c>
      <c r="Z853" s="577">
        <f t="shared" si="1483"/>
        <v>112495.78656071392</v>
      </c>
      <c r="AA853" s="577">
        <f t="shared" si="1483"/>
        <v>114427.23776459438</v>
      </c>
      <c r="AB853" s="577">
        <f t="shared" si="1483"/>
        <v>116358.12158306022</v>
      </c>
      <c r="AC853" s="577">
        <f t="shared" si="1483"/>
        <v>118289.5732650553</v>
      </c>
      <c r="AD853" s="577">
        <f t="shared" si="1483"/>
        <v>120221.02524514325</v>
      </c>
      <c r="AE853" s="577">
        <f t="shared" si="1483"/>
        <v>122151.90996325694</v>
      </c>
      <c r="AF853" s="577">
        <f t="shared" si="1483"/>
        <v>124083.36268609844</v>
      </c>
      <c r="AG853" s="577">
        <f t="shared" si="1483"/>
        <v>126014.81586728428</v>
      </c>
      <c r="AH853" s="752">
        <f t="shared" si="1483"/>
        <v>127945.70196788457</v>
      </c>
      <c r="AI853" s="18"/>
      <c r="AJ853" s="18"/>
      <c r="AK853" s="18"/>
      <c r="AL853" s="18"/>
      <c r="AM853" s="18"/>
      <c r="AN853" s="18"/>
    </row>
    <row r="854" spans="2:41" ht="21.95" customHeight="1" x14ac:dyDescent="0.2">
      <c r="B854" s="232"/>
      <c r="C854" s="715"/>
      <c r="D854" s="715"/>
      <c r="E854" s="116"/>
      <c r="F854" s="116" t="s">
        <v>280</v>
      </c>
      <c r="G854" s="116" t="s">
        <v>333</v>
      </c>
      <c r="H854" s="116" t="s">
        <v>20</v>
      </c>
      <c r="I854" s="577">
        <f t="shared" ref="I854:AH854" si="1484">I763*$D$11</f>
        <v>501.02774084735455</v>
      </c>
      <c r="J854" s="577">
        <f t="shared" si="1484"/>
        <v>515.23531279938027</v>
      </c>
      <c r="K854" s="577">
        <f t="shared" si="1484"/>
        <v>531.4245032717464</v>
      </c>
      <c r="L854" s="577">
        <f t="shared" si="1484"/>
        <v>552.11054341727493</v>
      </c>
      <c r="M854" s="577">
        <f t="shared" si="1484"/>
        <v>572.80339424267663</v>
      </c>
      <c r="N854" s="577">
        <f t="shared" si="1484"/>
        <v>593.49308602563985</v>
      </c>
      <c r="O854" s="577">
        <f t="shared" si="1484"/>
        <v>614.1796866964487</v>
      </c>
      <c r="P854" s="577">
        <f t="shared" si="1484"/>
        <v>634.87080185176546</v>
      </c>
      <c r="Q854" s="577">
        <f t="shared" si="1484"/>
        <v>658.25732153270724</v>
      </c>
      <c r="R854" s="577">
        <f t="shared" si="1484"/>
        <v>681.64381496816077</v>
      </c>
      <c r="S854" s="577">
        <f t="shared" si="1484"/>
        <v>705.02890964242204</v>
      </c>
      <c r="T854" s="577">
        <f t="shared" si="1484"/>
        <v>728.41884377493966</v>
      </c>
      <c r="U854" s="577">
        <f t="shared" si="1484"/>
        <v>751.81496426263823</v>
      </c>
      <c r="V854" s="577">
        <f t="shared" si="1484"/>
        <v>770.70985587552502</v>
      </c>
      <c r="W854" s="577">
        <f t="shared" si="1484"/>
        <v>784.92461669970351</v>
      </c>
      <c r="X854" s="577">
        <f t="shared" si="1484"/>
        <v>799.14082417655368</v>
      </c>
      <c r="Y854" s="577">
        <f t="shared" si="1484"/>
        <v>813.35873169979732</v>
      </c>
      <c r="Z854" s="577">
        <f t="shared" si="1484"/>
        <v>827.57445213738129</v>
      </c>
      <c r="AA854" s="577">
        <f t="shared" si="1484"/>
        <v>841.79667902173708</v>
      </c>
      <c r="AB854" s="577">
        <f t="shared" si="1484"/>
        <v>856.01743824137907</v>
      </c>
      <c r="AC854" s="577">
        <f t="shared" si="1484"/>
        <v>870.24553134304313</v>
      </c>
      <c r="AD854" s="577">
        <f t="shared" si="1484"/>
        <v>884.4772818891596</v>
      </c>
      <c r="AE854" s="577">
        <f t="shared" si="1484"/>
        <v>898.70907932116631</v>
      </c>
      <c r="AF854" s="577">
        <f t="shared" si="1484"/>
        <v>912.94994306762931</v>
      </c>
      <c r="AG854" s="577">
        <f t="shared" si="1484"/>
        <v>927.19643046125225</v>
      </c>
      <c r="AH854" s="752">
        <f t="shared" si="1484"/>
        <v>941.44519028568595</v>
      </c>
      <c r="AI854" s="18"/>
      <c r="AJ854" s="18"/>
      <c r="AK854" s="18"/>
      <c r="AL854" s="18"/>
      <c r="AM854" s="18"/>
      <c r="AN854" s="18"/>
    </row>
    <row r="855" spans="2:41" ht="21.95" customHeight="1" x14ac:dyDescent="0.2">
      <c r="B855" s="232"/>
      <c r="C855" s="715"/>
      <c r="D855" s="715"/>
      <c r="E855" s="116"/>
      <c r="F855" s="116"/>
      <c r="G855" s="116"/>
      <c r="H855" s="124" t="s">
        <v>19</v>
      </c>
      <c r="I855" s="577">
        <f t="shared" ref="I855:AH855" si="1485">I764*$D$12</f>
        <v>1200.0664451433643</v>
      </c>
      <c r="J855" s="577">
        <f t="shared" si="1485"/>
        <v>1234.0965576033061</v>
      </c>
      <c r="K855" s="577">
        <f t="shared" si="1485"/>
        <v>1272.873061728734</v>
      </c>
      <c r="L855" s="577">
        <f t="shared" si="1485"/>
        <v>1322.4204632749102</v>
      </c>
      <c r="M855" s="577">
        <f t="shared" si="1485"/>
        <v>1371.9841778267705</v>
      </c>
      <c r="N855" s="577">
        <f t="shared" si="1485"/>
        <v>1421.5403258099159</v>
      </c>
      <c r="O855" s="577">
        <f t="shared" si="1485"/>
        <v>1471.0890699316137</v>
      </c>
      <c r="P855" s="577">
        <f t="shared" si="1485"/>
        <v>1520.6486271898575</v>
      </c>
      <c r="Q855" s="577">
        <f t="shared" si="1485"/>
        <v>1576.6642431921132</v>
      </c>
      <c r="R855" s="577">
        <f t="shared" si="1485"/>
        <v>1632.6797963309241</v>
      </c>
      <c r="S855" s="577">
        <f t="shared" si="1485"/>
        <v>1688.6919991435259</v>
      </c>
      <c r="T855" s="577">
        <f t="shared" si="1485"/>
        <v>1744.7157934729094</v>
      </c>
      <c r="U855" s="577">
        <f t="shared" si="1485"/>
        <v>1800.754405419493</v>
      </c>
      <c r="V855" s="577">
        <f t="shared" si="1485"/>
        <v>1846.0116308395809</v>
      </c>
      <c r="W855" s="577">
        <f t="shared" si="1485"/>
        <v>1880.0589621549786</v>
      </c>
      <c r="X855" s="577">
        <f t="shared" si="1485"/>
        <v>1914.1097585067155</v>
      </c>
      <c r="Y855" s="577">
        <f t="shared" si="1485"/>
        <v>1948.1646268258619</v>
      </c>
      <c r="Z855" s="577">
        <f t="shared" si="1485"/>
        <v>1982.2142566164821</v>
      </c>
      <c r="AA855" s="577">
        <f t="shared" si="1485"/>
        <v>2016.2794707107475</v>
      </c>
      <c r="AB855" s="577">
        <f t="shared" si="1485"/>
        <v>2050.341169440429</v>
      </c>
      <c r="AC855" s="577">
        <f t="shared" si="1485"/>
        <v>2084.4204343545944</v>
      </c>
      <c r="AD855" s="577">
        <f t="shared" si="1485"/>
        <v>2118.5084596147535</v>
      </c>
      <c r="AE855" s="577">
        <f t="shared" si="1485"/>
        <v>2152.5965971764463</v>
      </c>
      <c r="AF855" s="577">
        <f t="shared" si="1485"/>
        <v>2186.7064504613877</v>
      </c>
      <c r="AG855" s="577">
        <f t="shared" si="1485"/>
        <v>2220.8297735598858</v>
      </c>
      <c r="AH855" s="752">
        <f t="shared" si="1485"/>
        <v>2254.9585396064335</v>
      </c>
      <c r="AI855" s="18"/>
      <c r="AJ855" s="18"/>
      <c r="AK855" s="18"/>
      <c r="AL855" s="18"/>
      <c r="AM855" s="18"/>
      <c r="AN855" s="18"/>
    </row>
    <row r="856" spans="2:41" ht="21.95" customHeight="1" thickBot="1" x14ac:dyDescent="0.25">
      <c r="B856" s="487"/>
      <c r="C856" s="764"/>
      <c r="D856" s="764"/>
      <c r="E856" s="278"/>
      <c r="F856" s="278"/>
      <c r="G856" s="278"/>
      <c r="H856" s="765" t="s">
        <v>25</v>
      </c>
      <c r="I856" s="735">
        <f t="shared" ref="I856:AH856" si="1486">SUM(I854:I855)</f>
        <v>1701.0941859907189</v>
      </c>
      <c r="J856" s="735">
        <f t="shared" si="1486"/>
        <v>1749.3318704026865</v>
      </c>
      <c r="K856" s="735">
        <f t="shared" si="1486"/>
        <v>1804.2975650004805</v>
      </c>
      <c r="L856" s="735">
        <f t="shared" si="1486"/>
        <v>1874.5310066921852</v>
      </c>
      <c r="M856" s="735">
        <f t="shared" si="1486"/>
        <v>1944.7875720694472</v>
      </c>
      <c r="N856" s="735">
        <f t="shared" si="1486"/>
        <v>2015.0334118355559</v>
      </c>
      <c r="O856" s="735">
        <f t="shared" si="1486"/>
        <v>2085.2687566280624</v>
      </c>
      <c r="P856" s="735">
        <f t="shared" si="1486"/>
        <v>2155.519429041623</v>
      </c>
      <c r="Q856" s="735">
        <f t="shared" si="1486"/>
        <v>2234.9215647248202</v>
      </c>
      <c r="R856" s="735">
        <f t="shared" si="1486"/>
        <v>2314.3236112990849</v>
      </c>
      <c r="S856" s="735">
        <f t="shared" si="1486"/>
        <v>2393.7209087859478</v>
      </c>
      <c r="T856" s="735">
        <f t="shared" si="1486"/>
        <v>2473.1346372478492</v>
      </c>
      <c r="U856" s="735">
        <f t="shared" si="1486"/>
        <v>2552.5693696821313</v>
      </c>
      <c r="V856" s="735">
        <f t="shared" si="1486"/>
        <v>2616.721486715106</v>
      </c>
      <c r="W856" s="735">
        <f t="shared" si="1486"/>
        <v>2664.983578854682</v>
      </c>
      <c r="X856" s="735">
        <f t="shared" si="1486"/>
        <v>2713.2505826832694</v>
      </c>
      <c r="Y856" s="735">
        <f t="shared" si="1486"/>
        <v>2761.5233585256592</v>
      </c>
      <c r="Z856" s="735">
        <f t="shared" si="1486"/>
        <v>2809.7887087538634</v>
      </c>
      <c r="AA856" s="735">
        <f t="shared" si="1486"/>
        <v>2858.0761497324847</v>
      </c>
      <c r="AB856" s="735">
        <f t="shared" si="1486"/>
        <v>2906.3586076818083</v>
      </c>
      <c r="AC856" s="735">
        <f t="shared" si="1486"/>
        <v>2954.6659656976376</v>
      </c>
      <c r="AD856" s="735">
        <f t="shared" si="1486"/>
        <v>3002.9857415039132</v>
      </c>
      <c r="AE856" s="735">
        <f t="shared" si="1486"/>
        <v>3051.3056764976127</v>
      </c>
      <c r="AF856" s="735">
        <f t="shared" si="1486"/>
        <v>3099.6563935290169</v>
      </c>
      <c r="AG856" s="735">
        <f t="shared" si="1486"/>
        <v>3148.0262040211383</v>
      </c>
      <c r="AH856" s="766">
        <f t="shared" si="1486"/>
        <v>3196.4037298921194</v>
      </c>
      <c r="AI856" s="18"/>
      <c r="AJ856" s="18"/>
      <c r="AK856" s="18"/>
      <c r="AL856" s="18"/>
      <c r="AM856" s="18"/>
      <c r="AN856" s="18"/>
    </row>
    <row r="857" spans="2:41" ht="21.95" customHeight="1" thickBot="1" x14ac:dyDescent="0.25">
      <c r="B857" s="487"/>
      <c r="C857" s="764"/>
      <c r="D857" s="764"/>
      <c r="E857" s="278"/>
      <c r="F857" s="278"/>
      <c r="G857" s="278"/>
      <c r="H857" s="767" t="s">
        <v>514</v>
      </c>
      <c r="I857" s="767">
        <f>SUM(I772,I775,I778,I781,I784,I787,I790,I793,I796,I799,I802,I805,I808,I811,I814,I817,I820,I823,I826,I829,I832,I835,I838,I841,I844,I847,I850,I853,I856)</f>
        <v>2056992.4818340081</v>
      </c>
      <c r="J857" s="767">
        <f t="shared" ref="J857:AH857" si="1487">SUM(J772,J775,J778,J781,J784,J787,J790,J793,J796,J799,J802,J805,J808,J811,J814,J817,J820,J823,J826,J829,J832,J835,J838,J841,J844,J847,J850,J853,J856)</f>
        <v>2149960.0315576587</v>
      </c>
      <c r="K857" s="767">
        <f t="shared" si="1487"/>
        <v>2271175.1431282773</v>
      </c>
      <c r="L857" s="767">
        <f t="shared" si="1487"/>
        <v>2461307.1749187373</v>
      </c>
      <c r="M857" s="767">
        <f t="shared" si="1487"/>
        <v>2652520.4467687202</v>
      </c>
      <c r="N857" s="767">
        <f t="shared" si="1487"/>
        <v>2845251.8550992063</v>
      </c>
      <c r="O857" s="767">
        <f t="shared" si="1487"/>
        <v>3040210.1240180726</v>
      </c>
      <c r="P857" s="767">
        <f t="shared" si="1487"/>
        <v>3239176.4929821179</v>
      </c>
      <c r="Q857" s="767">
        <f t="shared" si="1487"/>
        <v>3423163.3339588721</v>
      </c>
      <c r="R857" s="767">
        <f t="shared" si="1487"/>
        <v>3614244.9470760692</v>
      </c>
      <c r="S857" s="767">
        <f t="shared" si="1487"/>
        <v>3816651.3530990425</v>
      </c>
      <c r="T857" s="767">
        <f t="shared" si="1487"/>
        <v>4035718.8796783639</v>
      </c>
      <c r="U857" s="767">
        <f t="shared" si="1487"/>
        <v>4279387.452153313</v>
      </c>
      <c r="V857" s="767">
        <f t="shared" si="1487"/>
        <v>4447158.1765043568</v>
      </c>
      <c r="W857" s="767">
        <f t="shared" si="1487"/>
        <v>4568937.6217091987</v>
      </c>
      <c r="X857" s="767">
        <f t="shared" si="1487"/>
        <v>4683652.6285515241</v>
      </c>
      <c r="Y857" s="767">
        <f t="shared" si="1487"/>
        <v>4773850.2631768249</v>
      </c>
      <c r="Z857" s="767">
        <f t="shared" si="1487"/>
        <v>4867721.7022400014</v>
      </c>
      <c r="AA857" s="767">
        <f t="shared" si="1487"/>
        <v>4968395.3583690114</v>
      </c>
      <c r="AB857" s="767">
        <f t="shared" si="1487"/>
        <v>5074532.9445780255</v>
      </c>
      <c r="AC857" s="767">
        <f t="shared" si="1487"/>
        <v>5173740.4826196898</v>
      </c>
      <c r="AD857" s="767">
        <f t="shared" si="1487"/>
        <v>5275445.0735709341</v>
      </c>
      <c r="AE857" s="767">
        <f t="shared" si="1487"/>
        <v>5381107.0183928525</v>
      </c>
      <c r="AF857" s="767">
        <f t="shared" si="1487"/>
        <v>5491082.8661130406</v>
      </c>
      <c r="AG857" s="767">
        <f t="shared" si="1487"/>
        <v>5606048.65941709</v>
      </c>
      <c r="AH857" s="768">
        <f t="shared" si="1487"/>
        <v>5726745.2580640754</v>
      </c>
      <c r="AI857" s="18"/>
      <c r="AJ857" s="18"/>
      <c r="AK857" s="18"/>
      <c r="AL857" s="18"/>
      <c r="AM857" s="18"/>
      <c r="AN857" s="18"/>
    </row>
    <row r="858" spans="2:41" ht="21.95" customHeight="1" x14ac:dyDescent="0.2">
      <c r="B858" s="9"/>
      <c r="C858" s="715"/>
      <c r="D858" s="715"/>
      <c r="E858" s="116"/>
      <c r="F858" s="116"/>
      <c r="G858" s="116"/>
      <c r="H858" s="769"/>
      <c r="I858" s="769"/>
      <c r="J858" s="769"/>
      <c r="K858" s="769"/>
      <c r="L858" s="769"/>
      <c r="M858" s="769"/>
      <c r="N858" s="769"/>
      <c r="O858" s="769"/>
      <c r="P858" s="769"/>
      <c r="Q858" s="769"/>
      <c r="R858" s="769"/>
      <c r="S858" s="769"/>
      <c r="T858" s="769"/>
      <c r="U858" s="769"/>
      <c r="V858" s="769"/>
      <c r="W858" s="769"/>
      <c r="X858" s="769"/>
      <c r="Y858" s="769"/>
      <c r="Z858" s="769"/>
      <c r="AA858" s="769"/>
      <c r="AB858" s="769"/>
      <c r="AC858" s="769"/>
      <c r="AD858" s="769"/>
      <c r="AE858" s="769"/>
      <c r="AF858" s="769"/>
      <c r="AG858" s="769"/>
      <c r="AH858" s="769"/>
      <c r="AI858" s="18"/>
      <c r="AJ858" s="18"/>
      <c r="AK858" s="18"/>
      <c r="AL858" s="18"/>
      <c r="AM858" s="18"/>
      <c r="AN858" s="18"/>
    </row>
    <row r="859" spans="2:41" ht="21.95" customHeight="1" thickBot="1" x14ac:dyDescent="0.25">
      <c r="B859" s="9"/>
      <c r="C859" s="715"/>
      <c r="D859" s="715"/>
      <c r="E859" s="116"/>
      <c r="F859" s="116"/>
      <c r="G859" s="116"/>
      <c r="H859" s="769"/>
      <c r="I859" s="769"/>
      <c r="J859" s="769"/>
      <c r="K859" s="769"/>
      <c r="L859" s="769"/>
      <c r="M859" s="769"/>
      <c r="N859" s="769"/>
      <c r="O859" s="769"/>
      <c r="P859" s="769"/>
      <c r="Q859" s="769"/>
      <c r="R859" s="769"/>
      <c r="S859" s="769"/>
      <c r="T859" s="769"/>
      <c r="U859" s="769"/>
      <c r="V859" s="769"/>
      <c r="W859" s="769"/>
      <c r="X859" s="769"/>
      <c r="Y859" s="769"/>
      <c r="Z859" s="769"/>
      <c r="AA859" s="769"/>
      <c r="AB859" s="769"/>
      <c r="AC859" s="769"/>
      <c r="AD859" s="769"/>
      <c r="AE859" s="769"/>
      <c r="AF859" s="769"/>
      <c r="AG859" s="769"/>
      <c r="AH859" s="769"/>
      <c r="AI859" s="18"/>
      <c r="AJ859" s="18"/>
      <c r="AK859" s="18"/>
      <c r="AL859" s="18"/>
      <c r="AM859" s="18"/>
      <c r="AN859" s="18"/>
    </row>
    <row r="860" spans="2:41" s="7" customFormat="1" ht="21.95" customHeight="1" thickBot="1" x14ac:dyDescent="0.25">
      <c r="B860" s="234"/>
      <c r="C860" s="485" t="s">
        <v>2</v>
      </c>
      <c r="D860" s="485"/>
      <c r="E860" s="485" t="s">
        <v>328</v>
      </c>
      <c r="F860" s="1338" t="s">
        <v>18</v>
      </c>
      <c r="G860" s="1338"/>
      <c r="H860" s="485" t="s">
        <v>24</v>
      </c>
      <c r="I860" s="763">
        <v>2023</v>
      </c>
      <c r="J860" s="763">
        <v>2024</v>
      </c>
      <c r="K860" s="763">
        <v>2025</v>
      </c>
      <c r="L860" s="763">
        <v>2026</v>
      </c>
      <c r="M860" s="763">
        <v>2027</v>
      </c>
      <c r="N860" s="763">
        <v>2028</v>
      </c>
      <c r="O860" s="763">
        <v>2029</v>
      </c>
      <c r="P860" s="763">
        <v>2030</v>
      </c>
      <c r="Q860" s="763">
        <v>2031</v>
      </c>
      <c r="R860" s="763">
        <v>2032</v>
      </c>
      <c r="S860" s="763">
        <v>2033</v>
      </c>
      <c r="T860" s="763">
        <v>2034</v>
      </c>
      <c r="U860" s="763">
        <v>2035</v>
      </c>
      <c r="V860" s="763">
        <v>2036</v>
      </c>
      <c r="W860" s="763">
        <v>2037</v>
      </c>
      <c r="X860" s="763">
        <v>2038</v>
      </c>
      <c r="Y860" s="763">
        <v>2039</v>
      </c>
      <c r="Z860" s="763">
        <v>2040</v>
      </c>
      <c r="AA860" s="763">
        <v>2041</v>
      </c>
      <c r="AB860" s="763">
        <v>2042</v>
      </c>
      <c r="AC860" s="763">
        <v>2043</v>
      </c>
      <c r="AD860" s="763">
        <v>2044</v>
      </c>
      <c r="AE860" s="763">
        <v>2045</v>
      </c>
      <c r="AF860" s="763">
        <v>2046</v>
      </c>
      <c r="AG860" s="763">
        <v>2047</v>
      </c>
      <c r="AH860" s="762">
        <v>2048</v>
      </c>
      <c r="AI860" s="484"/>
      <c r="AJ860" s="484"/>
      <c r="AK860" s="484"/>
      <c r="AL860" s="484"/>
      <c r="AM860" s="484"/>
      <c r="AN860" s="484"/>
      <c r="AO860" s="484"/>
    </row>
    <row r="861" spans="2:41" ht="21.95" customHeight="1" x14ac:dyDescent="0.2">
      <c r="B861" s="199" t="s">
        <v>131</v>
      </c>
      <c r="C861" s="116" t="str">
        <f>baseYear &amp; "$"</f>
        <v>2021$</v>
      </c>
      <c r="D861" s="240" t="s">
        <v>23</v>
      </c>
      <c r="E861" s="1339" t="s">
        <v>331</v>
      </c>
      <c r="F861" s="116" t="s">
        <v>332</v>
      </c>
      <c r="G861" s="116" t="s">
        <v>282</v>
      </c>
      <c r="H861" s="116" t="s">
        <v>20</v>
      </c>
      <c r="I861" s="577">
        <f t="shared" ref="I861:AH861" si="1488">I770*$D$13</f>
        <v>53386.425334065985</v>
      </c>
      <c r="J861" s="577">
        <f t="shared" si="1488"/>
        <v>55814.06683058956</v>
      </c>
      <c r="K861" s="577">
        <f t="shared" si="1488"/>
        <v>59234.450922930591</v>
      </c>
      <c r="L861" s="577">
        <f t="shared" si="1488"/>
        <v>64265.916080801777</v>
      </c>
      <c r="M861" s="577">
        <f t="shared" si="1488"/>
        <v>69299.77386459554</v>
      </c>
      <c r="N861" s="577">
        <f t="shared" si="1488"/>
        <v>74334.724708872891</v>
      </c>
      <c r="O861" s="577">
        <f t="shared" si="1488"/>
        <v>79369.884348464329</v>
      </c>
      <c r="P861" s="577">
        <f t="shared" si="1488"/>
        <v>84412.39578522605</v>
      </c>
      <c r="Q861" s="577">
        <f t="shared" si="1488"/>
        <v>89401.510093416393</v>
      </c>
      <c r="R861" s="577">
        <f t="shared" si="1488"/>
        <v>94402.039092133127</v>
      </c>
      <c r="S861" s="577">
        <f t="shared" si="1488"/>
        <v>99418.479693795103</v>
      </c>
      <c r="T861" s="577">
        <f t="shared" si="1488"/>
        <v>104461.74052318762</v>
      </c>
      <c r="U861" s="577">
        <f t="shared" si="1488"/>
        <v>109550.3540759122</v>
      </c>
      <c r="V861" s="577">
        <f t="shared" si="1488"/>
        <v>113021.16313470381</v>
      </c>
      <c r="W861" s="577">
        <f t="shared" si="1488"/>
        <v>115549.72615297647</v>
      </c>
      <c r="X861" s="577">
        <f t="shared" si="1488"/>
        <v>118102.00038118141</v>
      </c>
      <c r="Y861" s="577">
        <f t="shared" si="1488"/>
        <v>120682.88453858228</v>
      </c>
      <c r="Z861" s="577">
        <f t="shared" si="1488"/>
        <v>123299.06200309207</v>
      </c>
      <c r="AA861" s="577">
        <f t="shared" si="1488"/>
        <v>125955.5306606009</v>
      </c>
      <c r="AB861" s="577">
        <f t="shared" si="1488"/>
        <v>128662.08329612423</v>
      </c>
      <c r="AC861" s="577">
        <f t="shared" si="1488"/>
        <v>131426.16446481869</v>
      </c>
      <c r="AD861" s="577">
        <f t="shared" si="1488"/>
        <v>134259.52966338582</v>
      </c>
      <c r="AE861" s="577">
        <f t="shared" si="1488"/>
        <v>137175.7809883685</v>
      </c>
      <c r="AF861" s="577">
        <f t="shared" si="1488"/>
        <v>140187.49667931983</v>
      </c>
      <c r="AG861" s="577">
        <f t="shared" si="1488"/>
        <v>143312.50484264427</v>
      </c>
      <c r="AH861" s="752">
        <f t="shared" si="1488"/>
        <v>146571.35644552766</v>
      </c>
      <c r="AI861" s="18"/>
      <c r="AJ861" s="18"/>
      <c r="AK861" s="18"/>
      <c r="AL861" s="18"/>
      <c r="AM861" s="18"/>
      <c r="AN861" s="18"/>
    </row>
    <row r="862" spans="2:41" ht="21.95" customHeight="1" x14ac:dyDescent="0.2">
      <c r="B862" s="486" t="s">
        <v>134</v>
      </c>
      <c r="C862" s="715"/>
      <c r="D862" s="240"/>
      <c r="E862" s="1339"/>
      <c r="F862" s="116"/>
      <c r="G862" s="116"/>
      <c r="H862" s="124" t="s">
        <v>19</v>
      </c>
      <c r="I862" s="577">
        <f t="shared" ref="I862:AH862" si="1489">I771*$D$14</f>
        <v>195332.02565505099</v>
      </c>
      <c r="J862" s="577">
        <f t="shared" si="1489"/>
        <v>204214.36096993525</v>
      </c>
      <c r="K862" s="577">
        <f t="shared" si="1489"/>
        <v>216728.97585741986</v>
      </c>
      <c r="L862" s="577">
        <f t="shared" si="1489"/>
        <v>235138.26764179897</v>
      </c>
      <c r="M862" s="577">
        <f t="shared" si="1489"/>
        <v>253556.31364534839</v>
      </c>
      <c r="N862" s="577">
        <f t="shared" si="1489"/>
        <v>271978.35897488904</v>
      </c>
      <c r="O862" s="577">
        <f t="shared" si="1489"/>
        <v>290401.16825165774</v>
      </c>
      <c r="P862" s="577">
        <f t="shared" si="1489"/>
        <v>308850.87652802217</v>
      </c>
      <c r="Q862" s="577">
        <f t="shared" si="1489"/>
        <v>327105.21361737151</v>
      </c>
      <c r="R862" s="577">
        <f t="shared" si="1489"/>
        <v>345401.31515543209</v>
      </c>
      <c r="S862" s="577">
        <f t="shared" si="1489"/>
        <v>363755.63459467766</v>
      </c>
      <c r="T862" s="577">
        <f t="shared" si="1489"/>
        <v>382208.08477368241</v>
      </c>
      <c r="U862" s="577">
        <f t="shared" si="1489"/>
        <v>400826.47300270636</v>
      </c>
      <c r="V862" s="577">
        <f t="shared" si="1489"/>
        <v>413525.58443175076</v>
      </c>
      <c r="W862" s="577">
        <f t="shared" si="1489"/>
        <v>422777.17476140865</v>
      </c>
      <c r="X862" s="577">
        <f t="shared" si="1489"/>
        <v>432115.52045327384</v>
      </c>
      <c r="Y862" s="577">
        <f t="shared" si="1489"/>
        <v>441558.54510404501</v>
      </c>
      <c r="Z862" s="577">
        <f t="shared" si="1489"/>
        <v>451130.70207874523</v>
      </c>
      <c r="AA862" s="577">
        <f t="shared" si="1489"/>
        <v>460850.27780821896</v>
      </c>
      <c r="AB862" s="577">
        <f t="shared" si="1489"/>
        <v>470753.10245944053</v>
      </c>
      <c r="AC862" s="577">
        <f t="shared" si="1489"/>
        <v>480866.41441800614</v>
      </c>
      <c r="AD862" s="577">
        <f t="shared" si="1489"/>
        <v>491233.22508557653</v>
      </c>
      <c r="AE862" s="577">
        <f t="shared" si="1489"/>
        <v>501903.30226462678</v>
      </c>
      <c r="AF862" s="577">
        <f t="shared" si="1489"/>
        <v>512922.66763568181</v>
      </c>
      <c r="AG862" s="577">
        <f t="shared" si="1489"/>
        <v>524356.55126641865</v>
      </c>
      <c r="AH862" s="752">
        <f t="shared" si="1489"/>
        <v>536280.14571795112</v>
      </c>
      <c r="AI862" s="18"/>
      <c r="AJ862" s="18"/>
      <c r="AK862" s="18"/>
      <c r="AL862" s="18"/>
      <c r="AM862" s="18"/>
      <c r="AN862" s="18"/>
    </row>
    <row r="863" spans="2:41" ht="21.95" customHeight="1" x14ac:dyDescent="0.2">
      <c r="B863" s="199"/>
      <c r="C863" s="116"/>
      <c r="D863" s="240"/>
      <c r="E863" s="1339"/>
      <c r="F863" s="116"/>
      <c r="G863" s="116"/>
      <c r="H863" s="720" t="s">
        <v>25</v>
      </c>
      <c r="I863" s="577">
        <f t="shared" ref="I863:AH863" si="1490">SUM(I861:I862)</f>
        <v>248718.45098911697</v>
      </c>
      <c r="J863" s="577">
        <f t="shared" si="1490"/>
        <v>260028.42780052481</v>
      </c>
      <c r="K863" s="577">
        <f t="shared" si="1490"/>
        <v>275963.42678035045</v>
      </c>
      <c r="L863" s="577">
        <f t="shared" si="1490"/>
        <v>299404.18372260075</v>
      </c>
      <c r="M863" s="577">
        <f t="shared" si="1490"/>
        <v>322856.08750994393</v>
      </c>
      <c r="N863" s="577">
        <f t="shared" si="1490"/>
        <v>346313.08368376194</v>
      </c>
      <c r="O863" s="577">
        <f t="shared" si="1490"/>
        <v>369771.05260012206</v>
      </c>
      <c r="P863" s="577">
        <f t="shared" si="1490"/>
        <v>393263.27231324825</v>
      </c>
      <c r="Q863" s="577">
        <f t="shared" si="1490"/>
        <v>416506.72371078789</v>
      </c>
      <c r="R863" s="577">
        <f t="shared" si="1490"/>
        <v>439803.35424756521</v>
      </c>
      <c r="S863" s="577">
        <f t="shared" si="1490"/>
        <v>463174.11428847275</v>
      </c>
      <c r="T863" s="577">
        <f t="shared" si="1490"/>
        <v>486669.82529687003</v>
      </c>
      <c r="U863" s="577">
        <f t="shared" si="1490"/>
        <v>510376.82707861857</v>
      </c>
      <c r="V863" s="577">
        <f t="shared" si="1490"/>
        <v>526546.74756645458</v>
      </c>
      <c r="W863" s="577">
        <f t="shared" si="1490"/>
        <v>538326.9009143851</v>
      </c>
      <c r="X863" s="577">
        <f t="shared" si="1490"/>
        <v>550217.52083445527</v>
      </c>
      <c r="Y863" s="577">
        <f t="shared" si="1490"/>
        <v>562241.42964262725</v>
      </c>
      <c r="Z863" s="577">
        <f t="shared" si="1490"/>
        <v>574429.76408183726</v>
      </c>
      <c r="AA863" s="577">
        <f t="shared" si="1490"/>
        <v>586805.80846881983</v>
      </c>
      <c r="AB863" s="577">
        <f t="shared" si="1490"/>
        <v>599415.18575556471</v>
      </c>
      <c r="AC863" s="577">
        <f t="shared" si="1490"/>
        <v>612292.57888282486</v>
      </c>
      <c r="AD863" s="577">
        <f t="shared" si="1490"/>
        <v>625492.75474896235</v>
      </c>
      <c r="AE863" s="577">
        <f t="shared" si="1490"/>
        <v>639079.08325299527</v>
      </c>
      <c r="AF863" s="577">
        <f t="shared" si="1490"/>
        <v>653110.16431500157</v>
      </c>
      <c r="AG863" s="577">
        <f t="shared" si="1490"/>
        <v>667669.05610906286</v>
      </c>
      <c r="AH863" s="752">
        <f t="shared" si="1490"/>
        <v>682851.50216347876</v>
      </c>
      <c r="AI863" s="18"/>
      <c r="AJ863" s="18"/>
      <c r="AK863" s="18"/>
      <c r="AL863" s="18"/>
      <c r="AM863" s="18"/>
      <c r="AN863" s="18"/>
    </row>
    <row r="864" spans="2:41" ht="21.95" customHeight="1" x14ac:dyDescent="0.2">
      <c r="B864" s="197"/>
      <c r="C864" s="715"/>
      <c r="D864" s="715"/>
      <c r="E864" s="1339"/>
      <c r="F864" s="116" t="s">
        <v>282</v>
      </c>
      <c r="G864" s="116" t="s">
        <v>280</v>
      </c>
      <c r="H864" s="116" t="s">
        <v>20</v>
      </c>
      <c r="I864" s="577">
        <f t="shared" ref="I864:AH864" si="1491">I773*$D$13</f>
        <v>1716656.6237270597</v>
      </c>
      <c r="J864" s="577">
        <f t="shared" si="1491"/>
        <v>1807271.0927727828</v>
      </c>
      <c r="K864" s="577">
        <f t="shared" si="1491"/>
        <v>1943295.1390844153</v>
      </c>
      <c r="L864" s="577">
        <f t="shared" si="1491"/>
        <v>2168030.0427932488</v>
      </c>
      <c r="M864" s="577">
        <f t="shared" si="1491"/>
        <v>2392876.6837318023</v>
      </c>
      <c r="N864" s="577">
        <f t="shared" si="1491"/>
        <v>2617734.6575521161</v>
      </c>
      <c r="O864" s="577">
        <f t="shared" si="1491"/>
        <v>2842557.072617874</v>
      </c>
      <c r="P864" s="577">
        <f t="shared" si="1491"/>
        <v>3067694.6686697504</v>
      </c>
      <c r="Q864" s="577">
        <f t="shared" si="1491"/>
        <v>3295054.4080421282</v>
      </c>
      <c r="R864" s="577">
        <f t="shared" si="1491"/>
        <v>3522915.8363696635</v>
      </c>
      <c r="S864" s="577">
        <f t="shared" si="1491"/>
        <v>3751472.2676281496</v>
      </c>
      <c r="T864" s="577">
        <f t="shared" si="1491"/>
        <v>3981378.2562215757</v>
      </c>
      <c r="U864" s="577">
        <f t="shared" si="1491"/>
        <v>4213778.9074668968</v>
      </c>
      <c r="V864" s="577">
        <f t="shared" si="1491"/>
        <v>4356821.2681659814</v>
      </c>
      <c r="W864" s="577">
        <f t="shared" si="1491"/>
        <v>4451630.7651559599</v>
      </c>
      <c r="X864" s="577">
        <f t="shared" si="1491"/>
        <v>4547391.9499449627</v>
      </c>
      <c r="Y864" s="577">
        <f t="shared" si="1491"/>
        <v>4644294.9262890508</v>
      </c>
      <c r="Z864" s="577">
        <f t="shared" si="1491"/>
        <v>4742618.3961498495</v>
      </c>
      <c r="AA864" s="577">
        <f t="shared" si="1491"/>
        <v>4842513.2307688203</v>
      </c>
      <c r="AB864" s="577">
        <f t="shared" si="1491"/>
        <v>4944396.5105663054</v>
      </c>
      <c r="AC864" s="577">
        <f t="shared" si="1491"/>
        <v>5048508.3561610654</v>
      </c>
      <c r="AD864" s="577">
        <f t="shared" si="1491"/>
        <v>5155316.2872263491</v>
      </c>
      <c r="AE864" s="577">
        <f t="shared" si="1491"/>
        <v>5265358.3872765107</v>
      </c>
      <c r="AF864" s="577">
        <f t="shared" si="1491"/>
        <v>5379059.921961179</v>
      </c>
      <c r="AG864" s="577">
        <f t="shared" si="1491"/>
        <v>5497112.9414712032</v>
      </c>
      <c r="AH864" s="752">
        <f t="shared" si="1491"/>
        <v>5620312.8714088798</v>
      </c>
      <c r="AI864" s="18"/>
      <c r="AJ864" s="18"/>
      <c r="AK864" s="18"/>
      <c r="AL864" s="18"/>
      <c r="AM864" s="18"/>
      <c r="AN864" s="18"/>
    </row>
    <row r="865" spans="2:40" ht="21.95" customHeight="1" x14ac:dyDescent="0.2">
      <c r="B865" s="486"/>
      <c r="C865" s="715"/>
      <c r="D865" s="715"/>
      <c r="E865" s="1339"/>
      <c r="F865" s="116"/>
      <c r="G865" s="116"/>
      <c r="H865" s="124" t="s">
        <v>19</v>
      </c>
      <c r="I865" s="577">
        <f t="shared" ref="I865:AH865" si="1492">I774*$D$14</f>
        <v>6280960.254755998</v>
      </c>
      <c r="J865" s="577">
        <f t="shared" si="1492"/>
        <v>6612503.4828631571</v>
      </c>
      <c r="K865" s="577">
        <f t="shared" si="1492"/>
        <v>7110192.7800503457</v>
      </c>
      <c r="L865" s="577">
        <f t="shared" si="1492"/>
        <v>7932460.3078375626</v>
      </c>
      <c r="M865" s="577">
        <f t="shared" si="1492"/>
        <v>8755136.6635109987</v>
      </c>
      <c r="N865" s="577">
        <f t="shared" si="1492"/>
        <v>9577854.4843085222</v>
      </c>
      <c r="O865" s="577">
        <f t="shared" si="1492"/>
        <v>10400442.201554181</v>
      </c>
      <c r="P865" s="577">
        <f t="shared" si="1492"/>
        <v>11224183.113457117</v>
      </c>
      <c r="Q865" s="577">
        <f t="shared" si="1492"/>
        <v>12056054.477125149</v>
      </c>
      <c r="R865" s="577">
        <f t="shared" si="1492"/>
        <v>12889761.437000392</v>
      </c>
      <c r="S865" s="577">
        <f t="shared" si="1492"/>
        <v>13726011.296676269</v>
      </c>
      <c r="T865" s="577">
        <f t="shared" si="1492"/>
        <v>14567198.961539928</v>
      </c>
      <c r="U865" s="577">
        <f t="shared" si="1492"/>
        <v>15417514.180947116</v>
      </c>
      <c r="V865" s="577">
        <f t="shared" si="1492"/>
        <v>15940882.319851212</v>
      </c>
      <c r="W865" s="577">
        <f t="shared" si="1492"/>
        <v>16287774.45549251</v>
      </c>
      <c r="X865" s="577">
        <f t="shared" si="1492"/>
        <v>16638148.65805272</v>
      </c>
      <c r="Y865" s="577">
        <f t="shared" si="1492"/>
        <v>16992700.485466719</v>
      </c>
      <c r="Z865" s="577">
        <f t="shared" si="1492"/>
        <v>17352449.661725726</v>
      </c>
      <c r="AA865" s="577">
        <f t="shared" si="1492"/>
        <v>17717948.199537523</v>
      </c>
      <c r="AB865" s="577">
        <f t="shared" si="1492"/>
        <v>18090722.126592804</v>
      </c>
      <c r="AC865" s="577">
        <f t="shared" si="1492"/>
        <v>18471650.004184444</v>
      </c>
      <c r="AD865" s="577">
        <f t="shared" si="1492"/>
        <v>18862442.408816453</v>
      </c>
      <c r="AE865" s="577">
        <f t="shared" si="1492"/>
        <v>19265068.098317679</v>
      </c>
      <c r="AF865" s="577">
        <f t="shared" si="1492"/>
        <v>19681083.048767485</v>
      </c>
      <c r="AG865" s="577">
        <f t="shared" si="1492"/>
        <v>20113019.356383018</v>
      </c>
      <c r="AH865" s="752">
        <f t="shared" si="1492"/>
        <v>20563787.350769237</v>
      </c>
      <c r="AI865" s="18"/>
      <c r="AJ865" s="18"/>
      <c r="AK865" s="18"/>
      <c r="AL865" s="18"/>
      <c r="AM865" s="18"/>
      <c r="AN865" s="18"/>
    </row>
    <row r="866" spans="2:40" ht="21.95" customHeight="1" x14ac:dyDescent="0.2">
      <c r="B866" s="486"/>
      <c r="C866" s="715"/>
      <c r="D866" s="715"/>
      <c r="E866" s="1339"/>
      <c r="F866" s="116"/>
      <c r="G866" s="116"/>
      <c r="H866" s="720" t="s">
        <v>25</v>
      </c>
      <c r="I866" s="577">
        <f t="shared" ref="I866:AH866" si="1493">SUM(I864:I865)</f>
        <v>7997616.878483058</v>
      </c>
      <c r="J866" s="577">
        <f t="shared" si="1493"/>
        <v>8419774.5756359398</v>
      </c>
      <c r="K866" s="577">
        <f t="shared" si="1493"/>
        <v>9053487.9191347603</v>
      </c>
      <c r="L866" s="577">
        <f t="shared" si="1493"/>
        <v>10100490.350630812</v>
      </c>
      <c r="M866" s="577">
        <f t="shared" si="1493"/>
        <v>11148013.347242801</v>
      </c>
      <c r="N866" s="577">
        <f t="shared" si="1493"/>
        <v>12195589.141860638</v>
      </c>
      <c r="O866" s="577">
        <f t="shared" si="1493"/>
        <v>13242999.274172055</v>
      </c>
      <c r="P866" s="577">
        <f t="shared" si="1493"/>
        <v>14291877.782126868</v>
      </c>
      <c r="Q866" s="577">
        <f t="shared" si="1493"/>
        <v>15351108.885167278</v>
      </c>
      <c r="R866" s="577">
        <f t="shared" si="1493"/>
        <v>16412677.273370055</v>
      </c>
      <c r="S866" s="577">
        <f t="shared" si="1493"/>
        <v>17477483.564304419</v>
      </c>
      <c r="T866" s="577">
        <f t="shared" si="1493"/>
        <v>18548577.217761502</v>
      </c>
      <c r="U866" s="577">
        <f t="shared" si="1493"/>
        <v>19631293.088414013</v>
      </c>
      <c r="V866" s="577">
        <f t="shared" si="1493"/>
        <v>20297703.588017195</v>
      </c>
      <c r="W866" s="577">
        <f t="shared" si="1493"/>
        <v>20739405.220648468</v>
      </c>
      <c r="X866" s="577">
        <f t="shared" si="1493"/>
        <v>21185540.607997682</v>
      </c>
      <c r="Y866" s="577">
        <f t="shared" si="1493"/>
        <v>21636995.41175577</v>
      </c>
      <c r="Z866" s="577">
        <f t="shared" si="1493"/>
        <v>22095068.057875574</v>
      </c>
      <c r="AA866" s="577">
        <f t="shared" si="1493"/>
        <v>22560461.430306345</v>
      </c>
      <c r="AB866" s="577">
        <f t="shared" si="1493"/>
        <v>23035118.637159109</v>
      </c>
      <c r="AC866" s="577">
        <f t="shared" si="1493"/>
        <v>23520158.360345509</v>
      </c>
      <c r="AD866" s="577">
        <f t="shared" si="1493"/>
        <v>24017758.696042802</v>
      </c>
      <c r="AE866" s="577">
        <f t="shared" si="1493"/>
        <v>24530426.485594191</v>
      </c>
      <c r="AF866" s="577">
        <f t="shared" si="1493"/>
        <v>25060142.970728666</v>
      </c>
      <c r="AG866" s="577">
        <f t="shared" si="1493"/>
        <v>25610132.297854222</v>
      </c>
      <c r="AH866" s="752">
        <f t="shared" si="1493"/>
        <v>26184100.222178116</v>
      </c>
      <c r="AI866" s="18"/>
      <c r="AJ866" s="18"/>
      <c r="AK866" s="18"/>
      <c r="AL866" s="18"/>
      <c r="AM866" s="18"/>
      <c r="AN866" s="18"/>
    </row>
    <row r="867" spans="2:40" ht="21.95" customHeight="1" x14ac:dyDescent="0.2">
      <c r="B867" s="486"/>
      <c r="C867" s="715"/>
      <c r="D867" s="715"/>
      <c r="E867" s="1339"/>
      <c r="F867" s="116" t="s">
        <v>280</v>
      </c>
      <c r="G867" s="116" t="s">
        <v>333</v>
      </c>
      <c r="H867" s="116" t="s">
        <v>20</v>
      </c>
      <c r="I867" s="577">
        <f t="shared" ref="I867:AH867" si="1494">I776*$D$13</f>
        <v>40044.220732133836</v>
      </c>
      <c r="J867" s="577">
        <f t="shared" si="1494"/>
        <v>41718.759334736562</v>
      </c>
      <c r="K867" s="577">
        <f t="shared" si="1494"/>
        <v>43793.088067961617</v>
      </c>
      <c r="L867" s="577">
        <f t="shared" si="1494"/>
        <v>46590.808495139259</v>
      </c>
      <c r="M867" s="577">
        <f t="shared" si="1494"/>
        <v>49399.028407329977</v>
      </c>
      <c r="N867" s="577">
        <f t="shared" si="1494"/>
        <v>52222.893671796475</v>
      </c>
      <c r="O867" s="577">
        <f t="shared" si="1494"/>
        <v>55072.220238654299</v>
      </c>
      <c r="P867" s="577">
        <f t="shared" si="1494"/>
        <v>57965.327605784616</v>
      </c>
      <c r="Q867" s="577">
        <f t="shared" si="1494"/>
        <v>60830.190938530402</v>
      </c>
      <c r="R867" s="577">
        <f t="shared" si="1494"/>
        <v>63788.210598661957</v>
      </c>
      <c r="S867" s="577">
        <f t="shared" si="1494"/>
        <v>66881.476404615998</v>
      </c>
      <c r="T867" s="577">
        <f t="shared" si="1494"/>
        <v>70173.345615756916</v>
      </c>
      <c r="U867" s="577">
        <f t="shared" si="1494"/>
        <v>73753.008686178364</v>
      </c>
      <c r="V867" s="577">
        <f t="shared" si="1494"/>
        <v>76628.47883458565</v>
      </c>
      <c r="W867" s="577">
        <f t="shared" si="1494"/>
        <v>79264.769212478597</v>
      </c>
      <c r="X867" s="577">
        <f t="shared" si="1494"/>
        <v>82142.216222577452</v>
      </c>
      <c r="Y867" s="577">
        <f t="shared" si="1494"/>
        <v>85313.808312509165</v>
      </c>
      <c r="Z867" s="577">
        <f t="shared" si="1494"/>
        <v>88844.129089926224</v>
      </c>
      <c r="AA867" s="577">
        <f t="shared" si="1494"/>
        <v>92805.239804611876</v>
      </c>
      <c r="AB867" s="577">
        <f t="shared" si="1494"/>
        <v>97288.865920904034</v>
      </c>
      <c r="AC867" s="577">
        <f t="shared" si="1494"/>
        <v>102395.71080937846</v>
      </c>
      <c r="AD867" s="577">
        <f t="shared" si="1494"/>
        <v>108249.86182900025</v>
      </c>
      <c r="AE867" s="577">
        <f t="shared" si="1494"/>
        <v>114997.48842150897</v>
      </c>
      <c r="AF867" s="577">
        <f t="shared" si="1494"/>
        <v>122800.46473455973</v>
      </c>
      <c r="AG867" s="577">
        <f t="shared" si="1494"/>
        <v>131855.8466645343</v>
      </c>
      <c r="AH867" s="752">
        <f t="shared" si="1494"/>
        <v>142393.89927502134</v>
      </c>
      <c r="AI867" s="18"/>
      <c r="AJ867" s="18"/>
      <c r="AK867" s="18"/>
      <c r="AL867" s="18"/>
      <c r="AM867" s="18"/>
      <c r="AN867" s="18"/>
    </row>
    <row r="868" spans="2:40" ht="21.95" customHeight="1" x14ac:dyDescent="0.2">
      <c r="B868" s="486"/>
      <c r="C868" s="715"/>
      <c r="D868" s="715"/>
      <c r="E868" s="1339"/>
      <c r="F868" s="116"/>
      <c r="G868" s="116"/>
      <c r="H868" s="124" t="s">
        <v>19</v>
      </c>
      <c r="I868" s="577">
        <f t="shared" ref="I868:AH868" si="1495">I777*$D$14</f>
        <v>146515.12444296412</v>
      </c>
      <c r="J868" s="577">
        <f t="shared" si="1495"/>
        <v>152641.98188354366</v>
      </c>
      <c r="K868" s="577">
        <f t="shared" si="1495"/>
        <v>160231.60472867507</v>
      </c>
      <c r="L868" s="577">
        <f t="shared" si="1495"/>
        <v>170467.99712313662</v>
      </c>
      <c r="M868" s="577">
        <f t="shared" si="1495"/>
        <v>180742.8053819889</v>
      </c>
      <c r="N868" s="577">
        <f t="shared" si="1495"/>
        <v>191074.85737523605</v>
      </c>
      <c r="O868" s="577">
        <f t="shared" si="1495"/>
        <v>201500.06802708964</v>
      </c>
      <c r="P868" s="577">
        <f t="shared" si="1495"/>
        <v>212085.46532467785</v>
      </c>
      <c r="Q868" s="577">
        <f t="shared" si="1495"/>
        <v>222567.52241144504</v>
      </c>
      <c r="R868" s="577">
        <f t="shared" si="1495"/>
        <v>233390.42296201384</v>
      </c>
      <c r="S868" s="577">
        <f t="shared" si="1495"/>
        <v>244708.16660163074</v>
      </c>
      <c r="T868" s="577">
        <f t="shared" si="1495"/>
        <v>256752.56697457246</v>
      </c>
      <c r="U868" s="577">
        <f t="shared" si="1495"/>
        <v>269849.95707575651</v>
      </c>
      <c r="V868" s="577">
        <f t="shared" si="1495"/>
        <v>280370.82273185474</v>
      </c>
      <c r="W868" s="577">
        <f t="shared" si="1495"/>
        <v>290016.56950187043</v>
      </c>
      <c r="X868" s="577">
        <f t="shared" si="1495"/>
        <v>300544.66816516541</v>
      </c>
      <c r="Y868" s="577">
        <f t="shared" si="1495"/>
        <v>312148.9946133456</v>
      </c>
      <c r="Z868" s="577">
        <f t="shared" si="1495"/>
        <v>325065.84949452383</v>
      </c>
      <c r="AA868" s="577">
        <f t="shared" si="1495"/>
        <v>339558.89290212875</v>
      </c>
      <c r="AB868" s="577">
        <f t="shared" si="1495"/>
        <v>355963.73301073193</v>
      </c>
      <c r="AC868" s="577">
        <f t="shared" si="1495"/>
        <v>374648.82665635063</v>
      </c>
      <c r="AD868" s="577">
        <f t="shared" si="1495"/>
        <v>396068.18878816266</v>
      </c>
      <c r="AE868" s="577">
        <f t="shared" si="1495"/>
        <v>420756.62901301472</v>
      </c>
      <c r="AF868" s="577">
        <f t="shared" si="1495"/>
        <v>449306.41783721634</v>
      </c>
      <c r="AG868" s="577">
        <f t="shared" si="1495"/>
        <v>482438.54991749249</v>
      </c>
      <c r="AH868" s="752">
        <f t="shared" si="1495"/>
        <v>520995.52671422245</v>
      </c>
      <c r="AI868" s="18"/>
      <c r="AJ868" s="18"/>
      <c r="AK868" s="18"/>
      <c r="AL868" s="18"/>
      <c r="AM868" s="18"/>
      <c r="AN868" s="18"/>
    </row>
    <row r="869" spans="2:40" ht="21.95" customHeight="1" x14ac:dyDescent="0.2">
      <c r="B869" s="232"/>
      <c r="C869" s="715"/>
      <c r="D869" s="715"/>
      <c r="E869" s="1339"/>
      <c r="F869" s="116"/>
      <c r="G869" s="116"/>
      <c r="H869" s="721" t="s">
        <v>25</v>
      </c>
      <c r="I869" s="577">
        <f t="shared" ref="I869:AH869" si="1496">SUM(I867:I868)</f>
        <v>186559.34517509796</v>
      </c>
      <c r="J869" s="577">
        <f t="shared" si="1496"/>
        <v>194360.74121828022</v>
      </c>
      <c r="K869" s="577">
        <f t="shared" si="1496"/>
        <v>204024.69279663669</v>
      </c>
      <c r="L869" s="577">
        <f t="shared" si="1496"/>
        <v>217058.80561827589</v>
      </c>
      <c r="M869" s="577">
        <f t="shared" si="1496"/>
        <v>230141.83378931889</v>
      </c>
      <c r="N869" s="577">
        <f t="shared" si="1496"/>
        <v>243297.75104703254</v>
      </c>
      <c r="O869" s="577">
        <f t="shared" si="1496"/>
        <v>256572.28826574393</v>
      </c>
      <c r="P869" s="577">
        <f t="shared" si="1496"/>
        <v>270050.79293046246</v>
      </c>
      <c r="Q869" s="577">
        <f t="shared" si="1496"/>
        <v>283397.71334997541</v>
      </c>
      <c r="R869" s="577">
        <f t="shared" si="1496"/>
        <v>297178.63356067578</v>
      </c>
      <c r="S869" s="577">
        <f t="shared" si="1496"/>
        <v>311589.64300624677</v>
      </c>
      <c r="T869" s="577">
        <f t="shared" si="1496"/>
        <v>326925.91259032936</v>
      </c>
      <c r="U869" s="577">
        <f t="shared" si="1496"/>
        <v>343602.96576193487</v>
      </c>
      <c r="V869" s="577">
        <f t="shared" si="1496"/>
        <v>356999.30156644038</v>
      </c>
      <c r="W869" s="577">
        <f t="shared" si="1496"/>
        <v>369281.33871434903</v>
      </c>
      <c r="X869" s="577">
        <f t="shared" si="1496"/>
        <v>382686.88438774284</v>
      </c>
      <c r="Y869" s="577">
        <f t="shared" si="1496"/>
        <v>397462.80292585475</v>
      </c>
      <c r="Z869" s="577">
        <f t="shared" si="1496"/>
        <v>413909.97858445009</v>
      </c>
      <c r="AA869" s="577">
        <f t="shared" si="1496"/>
        <v>432364.13270674064</v>
      </c>
      <c r="AB869" s="577">
        <f t="shared" si="1496"/>
        <v>453252.59893163596</v>
      </c>
      <c r="AC869" s="577">
        <f t="shared" si="1496"/>
        <v>477044.53746572911</v>
      </c>
      <c r="AD869" s="577">
        <f t="shared" si="1496"/>
        <v>504318.05061716289</v>
      </c>
      <c r="AE869" s="577">
        <f t="shared" si="1496"/>
        <v>535754.11743452365</v>
      </c>
      <c r="AF869" s="577">
        <f t="shared" si="1496"/>
        <v>572106.88257177605</v>
      </c>
      <c r="AG869" s="577">
        <f t="shared" si="1496"/>
        <v>614294.39658202673</v>
      </c>
      <c r="AH869" s="752">
        <f t="shared" si="1496"/>
        <v>663389.42598924378</v>
      </c>
      <c r="AI869" s="18"/>
      <c r="AJ869" s="18"/>
      <c r="AK869" s="18"/>
      <c r="AL869" s="18"/>
      <c r="AM869" s="18"/>
      <c r="AN869" s="18"/>
    </row>
    <row r="870" spans="2:40" ht="21.95" customHeight="1" x14ac:dyDescent="0.2">
      <c r="B870" s="232"/>
      <c r="C870" s="715"/>
      <c r="D870" s="715"/>
      <c r="E870" s="1340" t="s">
        <v>280</v>
      </c>
      <c r="F870" s="220" t="s">
        <v>281</v>
      </c>
      <c r="G870" s="220" t="s">
        <v>335</v>
      </c>
      <c r="H870" s="116" t="s">
        <v>20</v>
      </c>
      <c r="I870" s="577">
        <f t="shared" ref="I870:AH870" si="1497">I779*$D$13</f>
        <v>412942.03269811388</v>
      </c>
      <c r="J870" s="577">
        <f t="shared" si="1497"/>
        <v>454713.18402008602</v>
      </c>
      <c r="K870" s="577">
        <f t="shared" si="1497"/>
        <v>548102.08947271958</v>
      </c>
      <c r="L870" s="577">
        <f t="shared" si="1497"/>
        <v>735681.00918192929</v>
      </c>
      <c r="M870" s="577">
        <f t="shared" si="1497"/>
        <v>923375.56709389191</v>
      </c>
      <c r="N870" s="577">
        <f t="shared" si="1497"/>
        <v>1111049.5765904856</v>
      </c>
      <c r="O870" s="577">
        <f t="shared" si="1497"/>
        <v>1298629.0957295659</v>
      </c>
      <c r="P870" s="577">
        <f t="shared" si="1497"/>
        <v>1486441.7656217883</v>
      </c>
      <c r="Q870" s="577">
        <f t="shared" si="1497"/>
        <v>1670738.0056451822</v>
      </c>
      <c r="R870" s="577">
        <f t="shared" si="1497"/>
        <v>1855144.0084431197</v>
      </c>
      <c r="S870" s="577">
        <f t="shared" si="1497"/>
        <v>2039499.6991929261</v>
      </c>
      <c r="T870" s="577">
        <f t="shared" si="1497"/>
        <v>2223954.3270536424</v>
      </c>
      <c r="U870" s="577">
        <f t="shared" si="1497"/>
        <v>2408854.7873954773</v>
      </c>
      <c r="V870" s="577">
        <f t="shared" si="1497"/>
        <v>2499161.6448789062</v>
      </c>
      <c r="W870" s="577">
        <f t="shared" si="1497"/>
        <v>2541128.4921356509</v>
      </c>
      <c r="X870" s="577">
        <f t="shared" si="1497"/>
        <v>2583130.3109613764</v>
      </c>
      <c r="Y870" s="577">
        <f t="shared" si="1497"/>
        <v>2625172.631911316</v>
      </c>
      <c r="Z870" s="577">
        <f t="shared" si="1497"/>
        <v>2667326.2795504602</v>
      </c>
      <c r="AA870" s="577">
        <f t="shared" si="1497"/>
        <v>2709469.423369817</v>
      </c>
      <c r="AB870" s="577">
        <f t="shared" si="1497"/>
        <v>2751739.3442614749</v>
      </c>
      <c r="AC870" s="577">
        <f t="shared" si="1497"/>
        <v>2794015.8784173829</v>
      </c>
      <c r="AD870" s="577">
        <f t="shared" si="1497"/>
        <v>2836373.9994431627</v>
      </c>
      <c r="AE870" s="577">
        <f t="shared" si="1497"/>
        <v>2878890.5022918442</v>
      </c>
      <c r="AF870" s="577">
        <f t="shared" si="1497"/>
        <v>2921448.4372022031</v>
      </c>
      <c r="AG870" s="577">
        <f t="shared" si="1497"/>
        <v>2964127.5277865566</v>
      </c>
      <c r="AH870" s="752">
        <f t="shared" si="1497"/>
        <v>3007010.0372405369</v>
      </c>
      <c r="AI870" s="18"/>
      <c r="AJ870" s="18"/>
      <c r="AK870" s="18"/>
      <c r="AL870" s="18"/>
      <c r="AM870" s="18"/>
      <c r="AN870" s="18"/>
    </row>
    <row r="871" spans="2:40" ht="21.95" customHeight="1" x14ac:dyDescent="0.2">
      <c r="B871" s="232"/>
      <c r="C871" s="715"/>
      <c r="D871" s="715"/>
      <c r="E871" s="1340"/>
      <c r="F871" s="116"/>
      <c r="G871" s="116"/>
      <c r="H871" s="124" t="s">
        <v>19</v>
      </c>
      <c r="I871" s="577">
        <f t="shared" ref="I871:AH871" si="1498">I780*$D$14</f>
        <v>1704589.3565319011</v>
      </c>
      <c r="J871" s="577">
        <f t="shared" si="1498"/>
        <v>1877017.0929100248</v>
      </c>
      <c r="K871" s="577">
        <f t="shared" si="1498"/>
        <v>2262518.499033777</v>
      </c>
      <c r="L871" s="577">
        <f t="shared" si="1498"/>
        <v>3036828.2198362225</v>
      </c>
      <c r="M871" s="577">
        <f t="shared" si="1498"/>
        <v>3811615.2852391507</v>
      </c>
      <c r="N871" s="577">
        <f t="shared" si="1498"/>
        <v>4586317.5285427105</v>
      </c>
      <c r="O871" s="577">
        <f t="shared" si="1498"/>
        <v>5360629.7237403411</v>
      </c>
      <c r="P871" s="577">
        <f t="shared" si="1498"/>
        <v>6135904.3452855069</v>
      </c>
      <c r="Q871" s="577">
        <f t="shared" si="1498"/>
        <v>6896663.445394814</v>
      </c>
      <c r="R871" s="577">
        <f t="shared" si="1498"/>
        <v>7657875.6368399896</v>
      </c>
      <c r="S871" s="577">
        <f t="shared" si="1498"/>
        <v>8418880.144457994</v>
      </c>
      <c r="T871" s="577">
        <f t="shared" si="1498"/>
        <v>9180293.0559992362</v>
      </c>
      <c r="U871" s="577">
        <f t="shared" si="1498"/>
        <v>9943546.3258521408</v>
      </c>
      <c r="V871" s="577">
        <f t="shared" si="1498"/>
        <v>10316325.301831644</v>
      </c>
      <c r="W871" s="577">
        <f t="shared" si="1498"/>
        <v>10489560.854273804</v>
      </c>
      <c r="X871" s="577">
        <f t="shared" si="1498"/>
        <v>10662940.766358592</v>
      </c>
      <c r="Y871" s="577">
        <f t="shared" si="1498"/>
        <v>10836487.867744505</v>
      </c>
      <c r="Z871" s="577">
        <f t="shared" si="1498"/>
        <v>11010494.516172113</v>
      </c>
      <c r="AA871" s="577">
        <f t="shared" si="1498"/>
        <v>11184457.80573093</v>
      </c>
      <c r="AB871" s="577">
        <f t="shared" si="1498"/>
        <v>11358944.420190061</v>
      </c>
      <c r="AC871" s="577">
        <f t="shared" si="1498"/>
        <v>11533458.333637815</v>
      </c>
      <c r="AD871" s="577">
        <f t="shared" si="1498"/>
        <v>11708309.030699255</v>
      </c>
      <c r="AE871" s="577">
        <f t="shared" si="1498"/>
        <v>11883813.514365621</v>
      </c>
      <c r="AF871" s="577">
        <f t="shared" si="1498"/>
        <v>12059489.026035341</v>
      </c>
      <c r="AG871" s="577">
        <f t="shared" si="1498"/>
        <v>12235664.657954443</v>
      </c>
      <c r="AH871" s="752">
        <f t="shared" si="1498"/>
        <v>12412679.985551458</v>
      </c>
      <c r="AI871" s="18"/>
      <c r="AJ871" s="18"/>
      <c r="AK871" s="18"/>
      <c r="AL871" s="18"/>
      <c r="AM871" s="18"/>
      <c r="AN871" s="18"/>
    </row>
    <row r="872" spans="2:40" ht="21.95" customHeight="1" x14ac:dyDescent="0.2">
      <c r="B872" s="232"/>
      <c r="C872" s="715"/>
      <c r="D872" s="715"/>
      <c r="E872" s="1340"/>
      <c r="F872" s="116"/>
      <c r="G872" s="116"/>
      <c r="H872" s="720" t="s">
        <v>25</v>
      </c>
      <c r="I872" s="577">
        <f t="shared" ref="I872:AH872" si="1499">SUM(I870:I871)</f>
        <v>2117531.3892300148</v>
      </c>
      <c r="J872" s="577">
        <f t="shared" si="1499"/>
        <v>2331730.276930111</v>
      </c>
      <c r="K872" s="577">
        <f t="shared" si="1499"/>
        <v>2810620.5885064965</v>
      </c>
      <c r="L872" s="577">
        <f t="shared" si="1499"/>
        <v>3772509.2290181518</v>
      </c>
      <c r="M872" s="577">
        <f t="shared" si="1499"/>
        <v>4734990.8523330428</v>
      </c>
      <c r="N872" s="577">
        <f t="shared" si="1499"/>
        <v>5697367.1051331963</v>
      </c>
      <c r="O872" s="577">
        <f t="shared" si="1499"/>
        <v>6659258.8194699073</v>
      </c>
      <c r="P872" s="577">
        <f t="shared" si="1499"/>
        <v>7622346.1109072957</v>
      </c>
      <c r="Q872" s="577">
        <f t="shared" si="1499"/>
        <v>8567401.451039996</v>
      </c>
      <c r="R872" s="577">
        <f t="shared" si="1499"/>
        <v>9513019.6452831086</v>
      </c>
      <c r="S872" s="577">
        <f t="shared" si="1499"/>
        <v>10458379.84365092</v>
      </c>
      <c r="T872" s="577">
        <f t="shared" si="1499"/>
        <v>11404247.383052878</v>
      </c>
      <c r="U872" s="577">
        <f t="shared" si="1499"/>
        <v>12352401.113247618</v>
      </c>
      <c r="V872" s="577">
        <f t="shared" si="1499"/>
        <v>12815486.946710549</v>
      </c>
      <c r="W872" s="577">
        <f t="shared" si="1499"/>
        <v>13030689.346409455</v>
      </c>
      <c r="X872" s="577">
        <f t="shared" si="1499"/>
        <v>13246071.077319968</v>
      </c>
      <c r="Y872" s="577">
        <f t="shared" si="1499"/>
        <v>13461660.49965582</v>
      </c>
      <c r="Z872" s="577">
        <f t="shared" si="1499"/>
        <v>13677820.795722574</v>
      </c>
      <c r="AA872" s="577">
        <f t="shared" si="1499"/>
        <v>13893927.229100747</v>
      </c>
      <c r="AB872" s="577">
        <f t="shared" si="1499"/>
        <v>14110683.764451535</v>
      </c>
      <c r="AC872" s="577">
        <f t="shared" si="1499"/>
        <v>14327474.212055199</v>
      </c>
      <c r="AD872" s="577">
        <f t="shared" si="1499"/>
        <v>14544683.030142417</v>
      </c>
      <c r="AE872" s="577">
        <f t="shared" si="1499"/>
        <v>14762704.016657464</v>
      </c>
      <c r="AF872" s="577">
        <f t="shared" si="1499"/>
        <v>14980937.463237543</v>
      </c>
      <c r="AG872" s="577">
        <f t="shared" si="1499"/>
        <v>15199792.185741</v>
      </c>
      <c r="AH872" s="752">
        <f t="shared" si="1499"/>
        <v>15419690.022791995</v>
      </c>
      <c r="AI872" s="18"/>
      <c r="AJ872" s="18"/>
      <c r="AK872" s="18"/>
      <c r="AL872" s="18"/>
      <c r="AM872" s="18"/>
      <c r="AN872" s="18"/>
    </row>
    <row r="873" spans="2:40" ht="21.95" customHeight="1" x14ac:dyDescent="0.2">
      <c r="B873" s="232"/>
      <c r="C873" s="715"/>
      <c r="D873" s="715"/>
      <c r="E873" s="1340"/>
      <c r="F873" s="116" t="s">
        <v>335</v>
      </c>
      <c r="G873" s="116" t="s">
        <v>323</v>
      </c>
      <c r="H873" s="116" t="s">
        <v>20</v>
      </c>
      <c r="I873" s="577">
        <f t="shared" ref="I873:AH873" si="1500">I782*$D$13</f>
        <v>55561.437919417978</v>
      </c>
      <c r="J873" s="577">
        <f t="shared" si="1500"/>
        <v>60836.584956875166</v>
      </c>
      <c r="K873" s="577">
        <f t="shared" si="1500"/>
        <v>68320.003472843877</v>
      </c>
      <c r="L873" s="577">
        <f t="shared" si="1500"/>
        <v>80514.529107211885</v>
      </c>
      <c r="M873" s="577">
        <f t="shared" si="1500"/>
        <v>92718.192695765669</v>
      </c>
      <c r="N873" s="577">
        <f t="shared" si="1500"/>
        <v>104941.75098452876</v>
      </c>
      <c r="O873" s="577">
        <f t="shared" si="1500"/>
        <v>117216.16611901393</v>
      </c>
      <c r="P873" s="577">
        <f t="shared" si="1500"/>
        <v>129651.775932474</v>
      </c>
      <c r="Q873" s="577">
        <f t="shared" si="1500"/>
        <v>144254.69693290649</v>
      </c>
      <c r="R873" s="577">
        <f t="shared" si="1500"/>
        <v>160026.32092886799</v>
      </c>
      <c r="S873" s="577">
        <f t="shared" si="1500"/>
        <v>178436.65157053349</v>
      </c>
      <c r="T873" s="577">
        <f t="shared" si="1500"/>
        <v>202480.37084849464</v>
      </c>
      <c r="U873" s="577">
        <f t="shared" si="1500"/>
        <v>237875.54847093101</v>
      </c>
      <c r="V873" s="577">
        <f t="shared" si="1500"/>
        <v>272159.5005970801</v>
      </c>
      <c r="W873" s="577">
        <f t="shared" si="1500"/>
        <v>297815.87255671393</v>
      </c>
      <c r="X873" s="577">
        <f t="shared" si="1500"/>
        <v>329190.85712906095</v>
      </c>
      <c r="Y873" s="577">
        <f t="shared" si="1500"/>
        <v>367690.37246968312</v>
      </c>
      <c r="Z873" s="577">
        <f t="shared" si="1500"/>
        <v>415079.21706316102</v>
      </c>
      <c r="AA873" s="577">
        <f t="shared" si="1500"/>
        <v>473310.09434259223</v>
      </c>
      <c r="AB873" s="577">
        <f t="shared" si="1500"/>
        <v>544997.18113129074</v>
      </c>
      <c r="AC873" s="577">
        <f t="shared" si="1500"/>
        <v>562117.12658990663</v>
      </c>
      <c r="AD873" s="577">
        <f t="shared" si="1500"/>
        <v>574227.90411298338</v>
      </c>
      <c r="AE873" s="577">
        <f t="shared" si="1500"/>
        <v>586352.80516980507</v>
      </c>
      <c r="AF873" s="577">
        <f t="shared" si="1500"/>
        <v>598464.26104264497</v>
      </c>
      <c r="AG873" s="577">
        <f t="shared" si="1500"/>
        <v>610576.16176091391</v>
      </c>
      <c r="AH873" s="752">
        <f t="shared" si="1500"/>
        <v>622702.41703203449</v>
      </c>
      <c r="AI873" s="18"/>
      <c r="AJ873" s="18"/>
      <c r="AK873" s="18"/>
      <c r="AL873" s="18"/>
      <c r="AM873" s="18"/>
      <c r="AN873" s="18"/>
    </row>
    <row r="874" spans="2:40" ht="21.95" customHeight="1" x14ac:dyDescent="0.2">
      <c r="B874" s="232"/>
      <c r="C874" s="715"/>
      <c r="D874" s="715"/>
      <c r="E874" s="1340"/>
      <c r="F874" s="116"/>
      <c r="G874" s="116"/>
      <c r="H874" s="124" t="s">
        <v>19</v>
      </c>
      <c r="I874" s="577">
        <f t="shared" ref="I874:AH874" si="1501">I783*$D$14</f>
        <v>229352.85878317527</v>
      </c>
      <c r="J874" s="577">
        <f t="shared" si="1501"/>
        <v>251128.214116799</v>
      </c>
      <c r="K874" s="577">
        <f t="shared" si="1501"/>
        <v>282019.12505034293</v>
      </c>
      <c r="L874" s="577">
        <f t="shared" si="1501"/>
        <v>332357.08282248245</v>
      </c>
      <c r="M874" s="577">
        <f t="shared" si="1501"/>
        <v>382732.76128714578</v>
      </c>
      <c r="N874" s="577">
        <f t="shared" si="1501"/>
        <v>433190.56337096851</v>
      </c>
      <c r="O874" s="577">
        <f t="shared" si="1501"/>
        <v>483858.29815977212</v>
      </c>
      <c r="P874" s="577">
        <f t="shared" si="1501"/>
        <v>535191.43078254012</v>
      </c>
      <c r="Q874" s="577">
        <f t="shared" si="1501"/>
        <v>595471.03842861135</v>
      </c>
      <c r="R874" s="577">
        <f t="shared" si="1501"/>
        <v>660574.95198054821</v>
      </c>
      <c r="S874" s="577">
        <f t="shared" si="1501"/>
        <v>736571.22065043752</v>
      </c>
      <c r="T874" s="577">
        <f t="shared" si="1501"/>
        <v>835821.63530274259</v>
      </c>
      <c r="U874" s="577">
        <f t="shared" si="1501"/>
        <v>981929.89813456044</v>
      </c>
      <c r="V874" s="577">
        <f t="shared" si="1501"/>
        <v>1123451.1172563888</v>
      </c>
      <c r="W874" s="577">
        <f t="shared" si="1501"/>
        <v>1229358.4241097632</v>
      </c>
      <c r="X874" s="577">
        <f t="shared" si="1501"/>
        <v>1358871.6742236686</v>
      </c>
      <c r="Y874" s="577">
        <f t="shared" si="1501"/>
        <v>1517794.3773751729</v>
      </c>
      <c r="Z874" s="577">
        <f t="shared" si="1501"/>
        <v>1713411.4706136344</v>
      </c>
      <c r="AA874" s="577">
        <f t="shared" si="1501"/>
        <v>1953783.5465282185</v>
      </c>
      <c r="AB874" s="577">
        <f t="shared" si="1501"/>
        <v>2249701.7032301975</v>
      </c>
      <c r="AC874" s="577">
        <f t="shared" si="1501"/>
        <v>2320371.3723420785</v>
      </c>
      <c r="AD874" s="577">
        <f t="shared" si="1501"/>
        <v>2370363.6250809864</v>
      </c>
      <c r="AE874" s="577">
        <f t="shared" si="1501"/>
        <v>2420414.178557992</v>
      </c>
      <c r="AF874" s="577">
        <f t="shared" si="1501"/>
        <v>2470409.2314666449</v>
      </c>
      <c r="AG874" s="577">
        <f t="shared" si="1501"/>
        <v>2520406.1206591423</v>
      </c>
      <c r="AH874" s="752">
        <f t="shared" si="1501"/>
        <v>2570462.2642168319</v>
      </c>
      <c r="AI874" s="18"/>
      <c r="AJ874" s="18"/>
      <c r="AK874" s="18"/>
      <c r="AL874" s="18"/>
      <c r="AM874" s="18"/>
      <c r="AN874" s="18"/>
    </row>
    <row r="875" spans="2:40" ht="21.95" customHeight="1" x14ac:dyDescent="0.2">
      <c r="B875" s="232"/>
      <c r="C875" s="715"/>
      <c r="D875" s="715"/>
      <c r="E875" s="1340"/>
      <c r="F875" s="116"/>
      <c r="G875" s="116"/>
      <c r="H875" s="720" t="s">
        <v>25</v>
      </c>
      <c r="I875" s="577">
        <f t="shared" ref="I875:AH875" si="1502">SUM(I873:I874)</f>
        <v>284914.29670259322</v>
      </c>
      <c r="J875" s="577">
        <f t="shared" si="1502"/>
        <v>311964.79907367419</v>
      </c>
      <c r="K875" s="577">
        <f t="shared" si="1502"/>
        <v>350339.12852318678</v>
      </c>
      <c r="L875" s="577">
        <f t="shared" si="1502"/>
        <v>412871.61192969431</v>
      </c>
      <c r="M875" s="577">
        <f t="shared" si="1502"/>
        <v>475450.95398291142</v>
      </c>
      <c r="N875" s="577">
        <f t="shared" si="1502"/>
        <v>538132.31435549725</v>
      </c>
      <c r="O875" s="577">
        <f t="shared" si="1502"/>
        <v>601074.46427878609</v>
      </c>
      <c r="P875" s="577">
        <f t="shared" si="1502"/>
        <v>664843.20671501406</v>
      </c>
      <c r="Q875" s="577">
        <f t="shared" si="1502"/>
        <v>739725.73536151787</v>
      </c>
      <c r="R875" s="577">
        <f t="shared" si="1502"/>
        <v>820601.27290941624</v>
      </c>
      <c r="S875" s="577">
        <f t="shared" si="1502"/>
        <v>915007.87222097104</v>
      </c>
      <c r="T875" s="577">
        <f t="shared" si="1502"/>
        <v>1038302.0061512373</v>
      </c>
      <c r="U875" s="577">
        <f t="shared" si="1502"/>
        <v>1219805.4466054915</v>
      </c>
      <c r="V875" s="577">
        <f t="shared" si="1502"/>
        <v>1395610.6178534687</v>
      </c>
      <c r="W875" s="577">
        <f t="shared" si="1502"/>
        <v>1527174.2966664771</v>
      </c>
      <c r="X875" s="577">
        <f t="shared" si="1502"/>
        <v>1688062.5313527295</v>
      </c>
      <c r="Y875" s="577">
        <f t="shared" si="1502"/>
        <v>1885484.7498448561</v>
      </c>
      <c r="Z875" s="577">
        <f t="shared" si="1502"/>
        <v>2128490.6876767953</v>
      </c>
      <c r="AA875" s="577">
        <f t="shared" si="1502"/>
        <v>2427093.640870811</v>
      </c>
      <c r="AB875" s="577">
        <f t="shared" si="1502"/>
        <v>2794698.8843614883</v>
      </c>
      <c r="AC875" s="577">
        <f t="shared" si="1502"/>
        <v>2882488.4989319853</v>
      </c>
      <c r="AD875" s="577">
        <f t="shared" si="1502"/>
        <v>2944591.5291939699</v>
      </c>
      <c r="AE875" s="577">
        <f t="shared" si="1502"/>
        <v>3006766.9837277969</v>
      </c>
      <c r="AF875" s="577">
        <f t="shared" si="1502"/>
        <v>3068873.4925092896</v>
      </c>
      <c r="AG875" s="577">
        <f t="shared" si="1502"/>
        <v>3130982.2824200559</v>
      </c>
      <c r="AH875" s="752">
        <f t="shared" si="1502"/>
        <v>3193164.6812488665</v>
      </c>
      <c r="AI875" s="18"/>
      <c r="AJ875" s="18"/>
      <c r="AK875" s="18"/>
      <c r="AL875" s="18"/>
      <c r="AM875" s="18"/>
      <c r="AN875" s="18"/>
    </row>
    <row r="876" spans="2:40" ht="21.95" customHeight="1" x14ac:dyDescent="0.2">
      <c r="B876" s="232"/>
      <c r="C876" s="715"/>
      <c r="D876" s="715"/>
      <c r="E876" s="1340"/>
      <c r="F876" s="116" t="s">
        <v>323</v>
      </c>
      <c r="G876" s="116" t="s">
        <v>338</v>
      </c>
      <c r="H876" s="116" t="s">
        <v>20</v>
      </c>
      <c r="I876" s="577">
        <f t="shared" ref="I876:AH876" si="1503">I785*$D$13</f>
        <v>788412.99189924565</v>
      </c>
      <c r="J876" s="577">
        <f t="shared" si="1503"/>
        <v>811893.28843199904</v>
      </c>
      <c r="K876" s="577">
        <f t="shared" si="1503"/>
        <v>846208.31474983331</v>
      </c>
      <c r="L876" s="577">
        <f t="shared" si="1503"/>
        <v>896793.79314342793</v>
      </c>
      <c r="M876" s="577">
        <f t="shared" si="1503"/>
        <v>951700.95624491258</v>
      </c>
      <c r="N876" s="577">
        <f t="shared" si="1503"/>
        <v>1013257.4791613307</v>
      </c>
      <c r="O876" s="577">
        <f t="shared" si="1503"/>
        <v>1084878.4658133404</v>
      </c>
      <c r="P876" s="577">
        <f t="shared" si="1503"/>
        <v>1171586.8931965777</v>
      </c>
      <c r="Q876" s="577">
        <f t="shared" si="1503"/>
        <v>1281474.5071022939</v>
      </c>
      <c r="R876" s="577">
        <f t="shared" si="1503"/>
        <v>1423869.8658905942</v>
      </c>
      <c r="S876" s="577">
        <f t="shared" si="1503"/>
        <v>1612494.8607874759</v>
      </c>
      <c r="T876" s="577">
        <f t="shared" si="1503"/>
        <v>1866245.0193855595</v>
      </c>
      <c r="U876" s="577">
        <f t="shared" si="1503"/>
        <v>2210775.6753307679</v>
      </c>
      <c r="V876" s="577">
        <f t="shared" si="1503"/>
        <v>2530748.9094655025</v>
      </c>
      <c r="W876" s="577">
        <f t="shared" si="1503"/>
        <v>2797370.6524701263</v>
      </c>
      <c r="X876" s="577">
        <f t="shared" si="1503"/>
        <v>2998512.2743984195</v>
      </c>
      <c r="Y876" s="577">
        <f t="shared" si="1503"/>
        <v>3047123.1906630993</v>
      </c>
      <c r="Z876" s="577">
        <f t="shared" si="1503"/>
        <v>3095758.0282737846</v>
      </c>
      <c r="AA876" s="577">
        <f t="shared" si="1503"/>
        <v>3144370.6241722186</v>
      </c>
      <c r="AB876" s="577">
        <f t="shared" si="1503"/>
        <v>3193007.397364933</v>
      </c>
      <c r="AC876" s="577">
        <f t="shared" si="1503"/>
        <v>3241622.2228846229</v>
      </c>
      <c r="AD876" s="577">
        <f t="shared" si="1503"/>
        <v>3290238.4131861357</v>
      </c>
      <c r="AE876" s="577">
        <f t="shared" si="1503"/>
        <v>3338879.3142384915</v>
      </c>
      <c r="AF876" s="577">
        <f t="shared" si="1503"/>
        <v>3387498.8690122426</v>
      </c>
      <c r="AG876" s="577">
        <f t="shared" si="1503"/>
        <v>3436120.462224572</v>
      </c>
      <c r="AH876" s="752">
        <f t="shared" si="1503"/>
        <v>3484767.5265487088</v>
      </c>
      <c r="AI876" s="18"/>
      <c r="AJ876" s="18"/>
      <c r="AK876" s="18"/>
      <c r="AL876" s="18"/>
      <c r="AM876" s="18"/>
      <c r="AN876" s="18"/>
    </row>
    <row r="877" spans="2:40" ht="21.95" customHeight="1" x14ac:dyDescent="0.2">
      <c r="B877" s="232"/>
      <c r="C877" s="715"/>
      <c r="D877" s="715"/>
      <c r="E877" s="1340"/>
      <c r="F877" s="116"/>
      <c r="G877" s="116"/>
      <c r="H877" s="116" t="s">
        <v>19</v>
      </c>
      <c r="I877" s="577">
        <f t="shared" ref="I877:AH877" si="1504">I786*$D$14</f>
        <v>3254501.3297917643</v>
      </c>
      <c r="J877" s="577">
        <f t="shared" si="1504"/>
        <v>3351425.9835898546</v>
      </c>
      <c r="K877" s="577">
        <f t="shared" si="1504"/>
        <v>3493075.4743145108</v>
      </c>
      <c r="L877" s="577">
        <f t="shared" si="1504"/>
        <v>3701887.9981968482</v>
      </c>
      <c r="M877" s="577">
        <f t="shared" si="1504"/>
        <v>3928540.0665479894</v>
      </c>
      <c r="N877" s="577">
        <f t="shared" si="1504"/>
        <v>4182640.1229235721</v>
      </c>
      <c r="O877" s="577">
        <f t="shared" si="1504"/>
        <v>4478285.423920528</v>
      </c>
      <c r="P877" s="577">
        <f t="shared" si="1504"/>
        <v>4836210.388529636</v>
      </c>
      <c r="Q877" s="577">
        <f t="shared" si="1504"/>
        <v>5289817.0505942572</v>
      </c>
      <c r="R877" s="577">
        <f t="shared" si="1504"/>
        <v>5877612.9003510317</v>
      </c>
      <c r="S877" s="577">
        <f t="shared" si="1504"/>
        <v>6656240.7299674125</v>
      </c>
      <c r="T877" s="577">
        <f t="shared" si="1504"/>
        <v>7703699.6595862051</v>
      </c>
      <c r="U877" s="577">
        <f t="shared" si="1504"/>
        <v>9125892.7099906821</v>
      </c>
      <c r="V877" s="577">
        <f t="shared" si="1504"/>
        <v>10446714.825669803</v>
      </c>
      <c r="W877" s="577">
        <f t="shared" si="1504"/>
        <v>11547306.553705197</v>
      </c>
      <c r="X877" s="577">
        <f t="shared" si="1504"/>
        <v>12377601.948083678</v>
      </c>
      <c r="Y877" s="577">
        <f t="shared" si="1504"/>
        <v>12578263.648551971</v>
      </c>
      <c r="Z877" s="577">
        <f t="shared" si="1504"/>
        <v>12779024.094288521</v>
      </c>
      <c r="AA877" s="577">
        <f t="shared" si="1504"/>
        <v>12979692.72814115</v>
      </c>
      <c r="AB877" s="577">
        <f t="shared" si="1504"/>
        <v>13180461.163794601</v>
      </c>
      <c r="AC877" s="577">
        <f t="shared" si="1504"/>
        <v>13381139.001332881</v>
      </c>
      <c r="AD877" s="577">
        <f t="shared" si="1504"/>
        <v>13581822.472573677</v>
      </c>
      <c r="AE877" s="577">
        <f t="shared" si="1504"/>
        <v>13782607.947678318</v>
      </c>
      <c r="AF877" s="577">
        <f t="shared" si="1504"/>
        <v>13983305.307172462</v>
      </c>
      <c r="AG877" s="577">
        <f t="shared" si="1504"/>
        <v>14184011.081166534</v>
      </c>
      <c r="AH877" s="752">
        <f t="shared" si="1504"/>
        <v>14384821.997729413</v>
      </c>
      <c r="AI877" s="18"/>
      <c r="AJ877" s="18"/>
      <c r="AK877" s="18"/>
      <c r="AL877" s="18"/>
      <c r="AM877" s="18"/>
      <c r="AN877" s="18"/>
    </row>
    <row r="878" spans="2:40" ht="21.95" customHeight="1" x14ac:dyDescent="0.2">
      <c r="B878" s="232"/>
      <c r="C878" s="715"/>
      <c r="D878" s="715"/>
      <c r="E878" s="1333"/>
      <c r="F878" s="254"/>
      <c r="G878" s="254"/>
      <c r="H878" s="721" t="s">
        <v>25</v>
      </c>
      <c r="I878" s="587">
        <f t="shared" ref="I878:AH878" si="1505">SUM(I876:I877)</f>
        <v>4042914.3216910101</v>
      </c>
      <c r="J878" s="587">
        <f t="shared" si="1505"/>
        <v>4163319.2720218534</v>
      </c>
      <c r="K878" s="587">
        <f t="shared" si="1505"/>
        <v>4339283.789064344</v>
      </c>
      <c r="L878" s="587">
        <f t="shared" si="1505"/>
        <v>4598681.7913402766</v>
      </c>
      <c r="M878" s="587">
        <f t="shared" si="1505"/>
        <v>4880241.0227929018</v>
      </c>
      <c r="N878" s="587">
        <f t="shared" si="1505"/>
        <v>5195897.602084903</v>
      </c>
      <c r="O878" s="587">
        <f t="shared" si="1505"/>
        <v>5563163.8897338687</v>
      </c>
      <c r="P878" s="587">
        <f t="shared" si="1505"/>
        <v>6007797.2817262132</v>
      </c>
      <c r="Q878" s="587">
        <f t="shared" si="1505"/>
        <v>6571291.5576965511</v>
      </c>
      <c r="R878" s="587">
        <f t="shared" si="1505"/>
        <v>7301482.7662416259</v>
      </c>
      <c r="S878" s="587">
        <f t="shared" si="1505"/>
        <v>8268735.590754889</v>
      </c>
      <c r="T878" s="587">
        <f t="shared" si="1505"/>
        <v>9569944.6789717637</v>
      </c>
      <c r="U878" s="587">
        <f t="shared" si="1505"/>
        <v>11336668.385321449</v>
      </c>
      <c r="V878" s="587">
        <f t="shared" si="1505"/>
        <v>12977463.735135306</v>
      </c>
      <c r="W878" s="587">
        <f t="shared" si="1505"/>
        <v>14344677.206175324</v>
      </c>
      <c r="X878" s="587">
        <f t="shared" si="1505"/>
        <v>15376114.222482098</v>
      </c>
      <c r="Y878" s="587">
        <f t="shared" si="1505"/>
        <v>15625386.83921507</v>
      </c>
      <c r="Z878" s="587">
        <f t="shared" si="1505"/>
        <v>15874782.122562304</v>
      </c>
      <c r="AA878" s="587">
        <f t="shared" si="1505"/>
        <v>16124063.352313368</v>
      </c>
      <c r="AB878" s="587">
        <f t="shared" si="1505"/>
        <v>16373468.561159534</v>
      </c>
      <c r="AC878" s="587">
        <f t="shared" si="1505"/>
        <v>16622761.224217504</v>
      </c>
      <c r="AD878" s="587">
        <f t="shared" si="1505"/>
        <v>16872060.885759812</v>
      </c>
      <c r="AE878" s="587">
        <f t="shared" si="1505"/>
        <v>17121487.261916809</v>
      </c>
      <c r="AF878" s="587">
        <f t="shared" si="1505"/>
        <v>17370804.176184706</v>
      </c>
      <c r="AG878" s="587">
        <f t="shared" si="1505"/>
        <v>17620131.543391105</v>
      </c>
      <c r="AH878" s="754">
        <f t="shared" si="1505"/>
        <v>17869589.524278123</v>
      </c>
      <c r="AI878" s="18"/>
      <c r="AJ878" s="18"/>
      <c r="AK878" s="18"/>
      <c r="AL878" s="18"/>
      <c r="AM878" s="18"/>
      <c r="AN878" s="18"/>
    </row>
    <row r="879" spans="2:40" ht="21.95" customHeight="1" x14ac:dyDescent="0.2">
      <c r="B879" s="232"/>
      <c r="C879" s="715"/>
      <c r="D879" s="715"/>
      <c r="E879" s="116" t="s">
        <v>339</v>
      </c>
      <c r="F879" s="116" t="s">
        <v>335</v>
      </c>
      <c r="G879" s="116" t="s">
        <v>323</v>
      </c>
      <c r="H879" s="116" t="s">
        <v>20</v>
      </c>
      <c r="I879" s="577">
        <f t="shared" ref="I879:AH879" si="1506">I788*$D$13</f>
        <v>2493.5110185185185</v>
      </c>
      <c r="J879" s="577">
        <f t="shared" si="1506"/>
        <v>10356.798015416665</v>
      </c>
      <c r="K879" s="577">
        <f t="shared" si="1506"/>
        <v>92395.804036217189</v>
      </c>
      <c r="L879" s="577">
        <f t="shared" si="1506"/>
        <v>218538.79297144391</v>
      </c>
      <c r="M879" s="577">
        <f t="shared" si="1506"/>
        <v>344772.55561789952</v>
      </c>
      <c r="N879" s="577">
        <f t="shared" si="1506"/>
        <v>470985.95519257872</v>
      </c>
      <c r="O879" s="577">
        <f t="shared" si="1506"/>
        <v>597526.5563310117</v>
      </c>
      <c r="P879" s="577">
        <f t="shared" si="1506"/>
        <v>726956.72906468925</v>
      </c>
      <c r="Q879" s="577">
        <f t="shared" si="1506"/>
        <v>783042.72338460991</v>
      </c>
      <c r="R879" s="577">
        <f t="shared" si="1506"/>
        <v>843044.77990902343</v>
      </c>
      <c r="S879" s="577">
        <f t="shared" si="1506"/>
        <v>909959.82656351314</v>
      </c>
      <c r="T879" s="577">
        <f t="shared" si="1506"/>
        <v>988790.77780741837</v>
      </c>
      <c r="U879" s="577">
        <f t="shared" si="1506"/>
        <v>1087885.6484116509</v>
      </c>
      <c r="V879" s="577">
        <f t="shared" si="1506"/>
        <v>1105283.4151247819</v>
      </c>
      <c r="W879" s="577">
        <f t="shared" si="1506"/>
        <v>1123467.4364852053</v>
      </c>
      <c r="X879" s="577">
        <f t="shared" si="1506"/>
        <v>1142496.2159264907</v>
      </c>
      <c r="Y879" s="577">
        <f t="shared" si="1506"/>
        <v>1162431.4818417416</v>
      </c>
      <c r="Z879" s="577">
        <f t="shared" si="1506"/>
        <v>1183491.7705016821</v>
      </c>
      <c r="AA879" s="577">
        <f t="shared" si="1506"/>
        <v>1205449.0249048956</v>
      </c>
      <c r="AB879" s="577">
        <f t="shared" si="1506"/>
        <v>1228598.2905185192</v>
      </c>
      <c r="AC879" s="577">
        <f t="shared" si="1506"/>
        <v>1252872.4849174279</v>
      </c>
      <c r="AD879" s="577">
        <f t="shared" si="1506"/>
        <v>1278426.970789917</v>
      </c>
      <c r="AE879" s="577">
        <f t="shared" si="1506"/>
        <v>1305548.1953098676</v>
      </c>
      <c r="AF879" s="577">
        <f t="shared" si="1506"/>
        <v>1333947.1591611563</v>
      </c>
      <c r="AG879" s="577">
        <f t="shared" si="1506"/>
        <v>1363911.5002351124</v>
      </c>
      <c r="AH879" s="752">
        <f t="shared" si="1506"/>
        <v>1395650.9040391438</v>
      </c>
      <c r="AI879" s="18"/>
      <c r="AJ879" s="18"/>
      <c r="AK879" s="18"/>
      <c r="AL879" s="18"/>
      <c r="AM879" s="18"/>
      <c r="AN879" s="18"/>
    </row>
    <row r="880" spans="2:40" ht="21.95" customHeight="1" x14ac:dyDescent="0.2">
      <c r="B880" s="232"/>
      <c r="C880" s="715"/>
      <c r="D880" s="715"/>
      <c r="E880" s="116"/>
      <c r="F880" s="116"/>
      <c r="G880" s="116"/>
      <c r="H880" s="124" t="s">
        <v>19</v>
      </c>
      <c r="I880" s="577">
        <f t="shared" ref="I880:AH880" si="1507">I789*$D$14</f>
        <v>10292.999999999998</v>
      </c>
      <c r="J880" s="577">
        <f t="shared" si="1507"/>
        <v>42751.9755</v>
      </c>
      <c r="K880" s="577">
        <f t="shared" si="1507"/>
        <v>381401.96850215783</v>
      </c>
      <c r="L880" s="577">
        <f t="shared" si="1507"/>
        <v>902109.42696837592</v>
      </c>
      <c r="M880" s="577">
        <f t="shared" si="1507"/>
        <v>1423191.5915428645</v>
      </c>
      <c r="N880" s="577">
        <f t="shared" si="1507"/>
        <v>1944189.699100465</v>
      </c>
      <c r="O880" s="577">
        <f t="shared" si="1507"/>
        <v>2466538.4666995513</v>
      </c>
      <c r="P880" s="577">
        <f t="shared" si="1507"/>
        <v>3000815.1384502398</v>
      </c>
      <c r="Q880" s="577">
        <f t="shared" si="1507"/>
        <v>3232333.3211442684</v>
      </c>
      <c r="R880" s="577">
        <f t="shared" si="1507"/>
        <v>3480016.6733408533</v>
      </c>
      <c r="S880" s="577">
        <f t="shared" si="1507"/>
        <v>3756236.2569318162</v>
      </c>
      <c r="T880" s="577">
        <f t="shared" si="1507"/>
        <v>4081643.6744757746</v>
      </c>
      <c r="U880" s="577">
        <f t="shared" si="1507"/>
        <v>4490698.8162234025</v>
      </c>
      <c r="V880" s="577">
        <f t="shared" si="1507"/>
        <v>4562515.3076879773</v>
      </c>
      <c r="W880" s="577">
        <f t="shared" si="1507"/>
        <v>4637577.391020596</v>
      </c>
      <c r="X880" s="577">
        <f t="shared" si="1507"/>
        <v>4716126.5633862028</v>
      </c>
      <c r="Y880" s="577">
        <f t="shared" si="1507"/>
        <v>4798417.6343065901</v>
      </c>
      <c r="Z880" s="577">
        <f t="shared" si="1507"/>
        <v>4885352.7027971083</v>
      </c>
      <c r="AA880" s="577">
        <f t="shared" si="1507"/>
        <v>4975990.3690812346</v>
      </c>
      <c r="AB880" s="577">
        <f t="shared" si="1507"/>
        <v>5071548.5555867013</v>
      </c>
      <c r="AC880" s="577">
        <f t="shared" si="1507"/>
        <v>5171750.3518059198</v>
      </c>
      <c r="AD880" s="577">
        <f t="shared" si="1507"/>
        <v>5277237.0816146405</v>
      </c>
      <c r="AE880" s="577">
        <f t="shared" si="1507"/>
        <v>5389191.1744221821</v>
      </c>
      <c r="AF880" s="577">
        <f t="shared" si="1507"/>
        <v>5506419.6657945551</v>
      </c>
      <c r="AG880" s="577">
        <f t="shared" si="1507"/>
        <v>5630109.900320759</v>
      </c>
      <c r="AH880" s="752">
        <f t="shared" si="1507"/>
        <v>5761127.4418229396</v>
      </c>
      <c r="AI880" s="18"/>
      <c r="AJ880" s="18"/>
      <c r="AK880" s="18"/>
      <c r="AL880" s="18"/>
      <c r="AM880" s="18"/>
      <c r="AN880" s="18"/>
    </row>
    <row r="881" spans="2:40" ht="21.95" customHeight="1" x14ac:dyDescent="0.2">
      <c r="B881" s="232"/>
      <c r="C881" s="715"/>
      <c r="D881" s="715"/>
      <c r="E881" s="116"/>
      <c r="F881" s="116"/>
      <c r="G881" s="116"/>
      <c r="H881" s="721" t="s">
        <v>25</v>
      </c>
      <c r="I881" s="577">
        <f t="shared" ref="I881:AH881" si="1508">SUM(I879:I880)</f>
        <v>12786.511018518517</v>
      </c>
      <c r="J881" s="577">
        <f t="shared" si="1508"/>
        <v>53108.773515416666</v>
      </c>
      <c r="K881" s="577">
        <f t="shared" si="1508"/>
        <v>473797.77253837499</v>
      </c>
      <c r="L881" s="577">
        <f t="shared" si="1508"/>
        <v>1120648.2199398198</v>
      </c>
      <c r="M881" s="577">
        <f t="shared" si="1508"/>
        <v>1767964.1471607639</v>
      </c>
      <c r="N881" s="577">
        <f t="shared" si="1508"/>
        <v>2415175.6542930435</v>
      </c>
      <c r="O881" s="577">
        <f t="shared" si="1508"/>
        <v>3064065.0230305633</v>
      </c>
      <c r="P881" s="577">
        <f t="shared" si="1508"/>
        <v>3727771.8675149288</v>
      </c>
      <c r="Q881" s="577">
        <f t="shared" si="1508"/>
        <v>4015376.0445288783</v>
      </c>
      <c r="R881" s="577">
        <f t="shared" si="1508"/>
        <v>4323061.4532498764</v>
      </c>
      <c r="S881" s="577">
        <f t="shared" si="1508"/>
        <v>4666196.0834953291</v>
      </c>
      <c r="T881" s="577">
        <f t="shared" si="1508"/>
        <v>5070434.4522831934</v>
      </c>
      <c r="U881" s="577">
        <f t="shared" si="1508"/>
        <v>5578584.4646350536</v>
      </c>
      <c r="V881" s="577">
        <f t="shared" si="1508"/>
        <v>5667798.7228127588</v>
      </c>
      <c r="W881" s="577">
        <f t="shared" si="1508"/>
        <v>5761044.8275058009</v>
      </c>
      <c r="X881" s="577">
        <f t="shared" si="1508"/>
        <v>5858622.7793126935</v>
      </c>
      <c r="Y881" s="577">
        <f t="shared" si="1508"/>
        <v>5960849.1161483321</v>
      </c>
      <c r="Z881" s="577">
        <f t="shared" si="1508"/>
        <v>6068844.4732987899</v>
      </c>
      <c r="AA881" s="577">
        <f t="shared" si="1508"/>
        <v>6181439.3939861301</v>
      </c>
      <c r="AB881" s="577">
        <f t="shared" si="1508"/>
        <v>6300146.8461052207</v>
      </c>
      <c r="AC881" s="577">
        <f t="shared" si="1508"/>
        <v>6424622.8367233481</v>
      </c>
      <c r="AD881" s="577">
        <f t="shared" si="1508"/>
        <v>6555664.0524045574</v>
      </c>
      <c r="AE881" s="577">
        <f t="shared" si="1508"/>
        <v>6694739.3697320502</v>
      </c>
      <c r="AF881" s="577">
        <f t="shared" si="1508"/>
        <v>6840366.8249557111</v>
      </c>
      <c r="AG881" s="577">
        <f t="shared" si="1508"/>
        <v>6994021.4005558714</v>
      </c>
      <c r="AH881" s="752">
        <f t="shared" si="1508"/>
        <v>7156778.3458620831</v>
      </c>
      <c r="AI881" s="18"/>
      <c r="AJ881" s="18"/>
      <c r="AK881" s="18"/>
      <c r="AL881" s="18"/>
      <c r="AM881" s="18"/>
      <c r="AN881" s="18"/>
    </row>
    <row r="882" spans="2:40" ht="21.95" customHeight="1" x14ac:dyDescent="0.2">
      <c r="B882" s="232"/>
      <c r="C882" s="715"/>
      <c r="D882" s="715"/>
      <c r="E882" s="1340" t="s">
        <v>323</v>
      </c>
      <c r="F882" s="220" t="s">
        <v>282</v>
      </c>
      <c r="G882" s="220" t="s">
        <v>339</v>
      </c>
      <c r="H882" s="116" t="s">
        <v>20</v>
      </c>
      <c r="I882" s="577">
        <f t="shared" ref="I882:AH882" si="1509">I791*$D$13</f>
        <v>7528.1649635036492</v>
      </c>
      <c r="J882" s="577">
        <f t="shared" si="1509"/>
        <v>16731.346631386859</v>
      </c>
      <c r="K882" s="577">
        <f t="shared" si="1509"/>
        <v>70715.817584671531</v>
      </c>
      <c r="L882" s="577">
        <f t="shared" si="1509"/>
        <v>158964.73136935019</v>
      </c>
      <c r="M882" s="577">
        <f t="shared" si="1509"/>
        <v>247262.57822719085</v>
      </c>
      <c r="N882" s="577">
        <f t="shared" si="1509"/>
        <v>335564.18919196329</v>
      </c>
      <c r="O882" s="577">
        <f t="shared" si="1509"/>
        <v>423813.10329301108</v>
      </c>
      <c r="P882" s="577">
        <f t="shared" si="1509"/>
        <v>512163.64971262403</v>
      </c>
      <c r="Q882" s="577">
        <f t="shared" si="1509"/>
        <v>580293.55074736092</v>
      </c>
      <c r="R882" s="577">
        <f t="shared" si="1509"/>
        <v>648434.7619006593</v>
      </c>
      <c r="S882" s="577">
        <f t="shared" si="1509"/>
        <v>716564.72856437194</v>
      </c>
      <c r="T882" s="577">
        <f t="shared" si="1509"/>
        <v>784694.81124445319</v>
      </c>
      <c r="U882" s="577">
        <f t="shared" si="1509"/>
        <v>852915.49322320835</v>
      </c>
      <c r="V882" s="577">
        <f t="shared" si="1509"/>
        <v>886728.64717482182</v>
      </c>
      <c r="W882" s="577">
        <f t="shared" si="1509"/>
        <v>895931.9674641178</v>
      </c>
      <c r="X882" s="577">
        <f t="shared" si="1509"/>
        <v>905135.30274452304</v>
      </c>
      <c r="Y882" s="577">
        <f t="shared" si="1509"/>
        <v>914338.65446434659</v>
      </c>
      <c r="Z882" s="577">
        <f t="shared" si="1509"/>
        <v>923568.3733336092</v>
      </c>
      <c r="AA882" s="577">
        <f t="shared" si="1509"/>
        <v>932771.76282302989</v>
      </c>
      <c r="AB882" s="577">
        <f t="shared" si="1509"/>
        <v>942001.5231282179</v>
      </c>
      <c r="AC882" s="577">
        <f t="shared" si="1509"/>
        <v>951204.95777641656</v>
      </c>
      <c r="AD882" s="577">
        <f t="shared" si="1509"/>
        <v>960408.41812278982</v>
      </c>
      <c r="AE882" s="577">
        <f t="shared" si="1509"/>
        <v>969638.25599141372</v>
      </c>
      <c r="AF882" s="577">
        <f t="shared" si="1509"/>
        <v>978841.77498876664</v>
      </c>
      <c r="AG882" s="577">
        <f t="shared" si="1509"/>
        <v>988045.32723911887</v>
      </c>
      <c r="AH882" s="752">
        <f t="shared" si="1509"/>
        <v>997275.26546094392</v>
      </c>
      <c r="AI882" s="18"/>
      <c r="AJ882" s="18"/>
      <c r="AK882" s="18"/>
      <c r="AL882" s="18"/>
      <c r="AM882" s="18"/>
      <c r="AN882" s="18"/>
    </row>
    <row r="883" spans="2:40" ht="21.95" customHeight="1" x14ac:dyDescent="0.2">
      <c r="B883" s="232"/>
      <c r="C883" s="715"/>
      <c r="D883" s="715"/>
      <c r="E883" s="1340"/>
      <c r="F883" s="116"/>
      <c r="G883" s="116"/>
      <c r="H883" s="124" t="s">
        <v>19</v>
      </c>
      <c r="I883" s="577">
        <f t="shared" ref="I883:AH883" si="1510">I792*$D$14</f>
        <v>31075.6204379562</v>
      </c>
      <c r="J883" s="577">
        <f t="shared" si="1510"/>
        <v>69065.566423357654</v>
      </c>
      <c r="K883" s="577">
        <f t="shared" si="1510"/>
        <v>291908.84058394161</v>
      </c>
      <c r="L883" s="577">
        <f t="shared" si="1510"/>
        <v>656192.80116791255</v>
      </c>
      <c r="M883" s="577">
        <f t="shared" si="1510"/>
        <v>1020678.7532884423</v>
      </c>
      <c r="N883" s="577">
        <f t="shared" si="1510"/>
        <v>1385180.2433201184</v>
      </c>
      <c r="O883" s="577">
        <f t="shared" si="1510"/>
        <v>1749464.205210034</v>
      </c>
      <c r="P883" s="577">
        <f t="shared" si="1510"/>
        <v>2114167.696609634</v>
      </c>
      <c r="Q883" s="577">
        <f t="shared" si="1510"/>
        <v>2395402.0950712818</v>
      </c>
      <c r="R883" s="577">
        <f t="shared" si="1510"/>
        <v>2676683.1807340248</v>
      </c>
      <c r="S883" s="577">
        <f t="shared" si="1510"/>
        <v>2957917.8501064656</v>
      </c>
      <c r="T883" s="577">
        <f t="shared" si="1510"/>
        <v>3239152.9983845432</v>
      </c>
      <c r="U883" s="577">
        <f t="shared" si="1510"/>
        <v>3520762.1328107971</v>
      </c>
      <c r="V883" s="577">
        <f t="shared" si="1510"/>
        <v>3660339.937376</v>
      </c>
      <c r="W883" s="577">
        <f t="shared" si="1510"/>
        <v>3698330.4555787253</v>
      </c>
      <c r="X883" s="577">
        <f t="shared" si="1510"/>
        <v>3736321.035663466</v>
      </c>
      <c r="Y883" s="577">
        <f t="shared" si="1510"/>
        <v>3774311.6836087178</v>
      </c>
      <c r="Z883" s="577">
        <f t="shared" si="1510"/>
        <v>3812411.1728894049</v>
      </c>
      <c r="AA883" s="577">
        <f t="shared" si="1510"/>
        <v>3850401.9767443193</v>
      </c>
      <c r="AB883" s="577">
        <f t="shared" si="1510"/>
        <v>3888501.6370689594</v>
      </c>
      <c r="AC883" s="577">
        <f t="shared" si="1510"/>
        <v>3926492.6273354432</v>
      </c>
      <c r="AD883" s="577">
        <f t="shared" si="1510"/>
        <v>3964483.7236817926</v>
      </c>
      <c r="AE883" s="577">
        <f t="shared" si="1510"/>
        <v>4002583.7041816539</v>
      </c>
      <c r="AF883" s="577">
        <f t="shared" si="1510"/>
        <v>4040575.0426342255</v>
      </c>
      <c r="AG883" s="577">
        <f t="shared" si="1510"/>
        <v>4078566.5183523321</v>
      </c>
      <c r="AH883" s="752">
        <f t="shared" si="1510"/>
        <v>4116666.9131016154</v>
      </c>
      <c r="AI883" s="18"/>
      <c r="AJ883" s="18"/>
      <c r="AK883" s="18"/>
      <c r="AL883" s="18"/>
      <c r="AM883" s="18"/>
      <c r="AN883" s="18"/>
    </row>
    <row r="884" spans="2:40" ht="21.95" customHeight="1" x14ac:dyDescent="0.2">
      <c r="B884" s="232"/>
      <c r="C884" s="715"/>
      <c r="D884" s="715"/>
      <c r="E884" s="1340"/>
      <c r="F884" s="116"/>
      <c r="G884" s="116"/>
      <c r="H884" s="720" t="s">
        <v>25</v>
      </c>
      <c r="I884" s="577">
        <f t="shared" ref="I884:AH884" si="1511">SUM(I882:I883)</f>
        <v>38603.785401459849</v>
      </c>
      <c r="J884" s="577">
        <f t="shared" si="1511"/>
        <v>85796.913054744509</v>
      </c>
      <c r="K884" s="577">
        <f t="shared" si="1511"/>
        <v>362624.65816861315</v>
      </c>
      <c r="L884" s="577">
        <f t="shared" si="1511"/>
        <v>815157.53253726277</v>
      </c>
      <c r="M884" s="577">
        <f t="shared" si="1511"/>
        <v>1267941.331515633</v>
      </c>
      <c r="N884" s="577">
        <f t="shared" si="1511"/>
        <v>1720744.4325120817</v>
      </c>
      <c r="O884" s="577">
        <f t="shared" si="1511"/>
        <v>2173277.3085030452</v>
      </c>
      <c r="P884" s="577">
        <f t="shared" si="1511"/>
        <v>2626331.346322258</v>
      </c>
      <c r="Q884" s="577">
        <f t="shared" si="1511"/>
        <v>2975695.6458186428</v>
      </c>
      <c r="R884" s="577">
        <f t="shared" si="1511"/>
        <v>3325117.942634684</v>
      </c>
      <c r="S884" s="577">
        <f t="shared" si="1511"/>
        <v>3674482.5786708375</v>
      </c>
      <c r="T884" s="577">
        <f t="shared" si="1511"/>
        <v>4023847.8096289965</v>
      </c>
      <c r="U884" s="577">
        <f t="shared" si="1511"/>
        <v>4373677.6260340055</v>
      </c>
      <c r="V884" s="577">
        <f t="shared" si="1511"/>
        <v>4547068.5845508222</v>
      </c>
      <c r="W884" s="577">
        <f t="shared" si="1511"/>
        <v>4594262.4230428431</v>
      </c>
      <c r="X884" s="577">
        <f t="shared" si="1511"/>
        <v>4641456.3384079887</v>
      </c>
      <c r="Y884" s="577">
        <f t="shared" si="1511"/>
        <v>4688650.3380730646</v>
      </c>
      <c r="Z884" s="577">
        <f t="shared" si="1511"/>
        <v>4735979.5462230146</v>
      </c>
      <c r="AA884" s="577">
        <f t="shared" si="1511"/>
        <v>4783173.7395673487</v>
      </c>
      <c r="AB884" s="577">
        <f t="shared" si="1511"/>
        <v>4830503.160197177</v>
      </c>
      <c r="AC884" s="577">
        <f t="shared" si="1511"/>
        <v>4877697.5851118602</v>
      </c>
      <c r="AD884" s="577">
        <f t="shared" si="1511"/>
        <v>4924892.1418045824</v>
      </c>
      <c r="AE884" s="577">
        <f t="shared" si="1511"/>
        <v>4972221.9601730676</v>
      </c>
      <c r="AF884" s="577">
        <f t="shared" si="1511"/>
        <v>5019416.8176229922</v>
      </c>
      <c r="AG884" s="577">
        <f t="shared" si="1511"/>
        <v>5066611.845591451</v>
      </c>
      <c r="AH884" s="752">
        <f t="shared" si="1511"/>
        <v>5113942.1785625592</v>
      </c>
      <c r="AI884" s="18"/>
      <c r="AJ884" s="18"/>
      <c r="AK884" s="18"/>
      <c r="AL884" s="18"/>
      <c r="AM884" s="18"/>
      <c r="AN884" s="18"/>
    </row>
    <row r="885" spans="2:40" ht="21.95" customHeight="1" x14ac:dyDescent="0.2">
      <c r="B885" s="232"/>
      <c r="C885" s="715"/>
      <c r="D885" s="715"/>
      <c r="E885" s="1340"/>
      <c r="F885" s="116" t="s">
        <v>339</v>
      </c>
      <c r="G885" s="116" t="s">
        <v>288</v>
      </c>
      <c r="H885" s="116" t="s">
        <v>20</v>
      </c>
      <c r="I885" s="577">
        <f t="shared" ref="I885:AH885" si="1512">I794*$D$13</f>
        <v>0</v>
      </c>
      <c r="J885" s="577">
        <f t="shared" si="1512"/>
        <v>5074.5408272506074</v>
      </c>
      <c r="K885" s="577">
        <f t="shared" si="1512"/>
        <v>14666.984387931876</v>
      </c>
      <c r="L885" s="577">
        <f t="shared" si="1512"/>
        <v>32970.462802531889</v>
      </c>
      <c r="M885" s="577">
        <f t="shared" si="1512"/>
        <v>51284.090298972915</v>
      </c>
      <c r="N885" s="577">
        <f t="shared" si="1512"/>
        <v>69598.498499073859</v>
      </c>
      <c r="O885" s="577">
        <f t="shared" si="1512"/>
        <v>87901.976979291197</v>
      </c>
      <c r="P885" s="577">
        <f t="shared" si="1512"/>
        <v>106226.53475521093</v>
      </c>
      <c r="Q885" s="577">
        <f t="shared" si="1512"/>
        <v>120357.18089574893</v>
      </c>
      <c r="R885" s="577">
        <f t="shared" si="1512"/>
        <v>134490.17283865521</v>
      </c>
      <c r="S885" s="577">
        <f t="shared" si="1512"/>
        <v>148620.83259112897</v>
      </c>
      <c r="T885" s="577">
        <f t="shared" si="1512"/>
        <v>162751.51640625697</v>
      </c>
      <c r="U885" s="577">
        <f t="shared" si="1512"/>
        <v>176900.9911870358</v>
      </c>
      <c r="V885" s="577">
        <f t="shared" si="1512"/>
        <v>183914.08978440746</v>
      </c>
      <c r="W885" s="577">
        <f t="shared" si="1512"/>
        <v>185822.92658515036</v>
      </c>
      <c r="X885" s="577">
        <f t="shared" si="1512"/>
        <v>187731.76649516029</v>
      </c>
      <c r="Y885" s="577">
        <f t="shared" si="1512"/>
        <v>189640.60981482745</v>
      </c>
      <c r="Z885" s="577">
        <f t="shared" si="1512"/>
        <v>191554.92187660045</v>
      </c>
      <c r="AA885" s="577">
        <f t="shared" si="1512"/>
        <v>193463.77302996171</v>
      </c>
      <c r="AB885" s="577">
        <f t="shared" si="1512"/>
        <v>195378.09368585263</v>
      </c>
      <c r="AC885" s="577">
        <f t="shared" si="1512"/>
        <v>197286.95420547898</v>
      </c>
      <c r="AD885" s="577">
        <f t="shared" si="1512"/>
        <v>199195.82005509714</v>
      </c>
      <c r="AE885" s="577">
        <f t="shared" si="1512"/>
        <v>201110.15679821919</v>
      </c>
      <c r="AF885" s="577">
        <f t="shared" si="1512"/>
        <v>203019.03481248493</v>
      </c>
      <c r="AG885" s="577">
        <f t="shared" si="1512"/>
        <v>204927.9197236691</v>
      </c>
      <c r="AH885" s="752">
        <f t="shared" si="1512"/>
        <v>206842.27728078837</v>
      </c>
      <c r="AI885" s="18"/>
      <c r="AJ885" s="18"/>
      <c r="AK885" s="18"/>
      <c r="AL885" s="18"/>
      <c r="AM885" s="18"/>
      <c r="AN885" s="18"/>
    </row>
    <row r="886" spans="2:40" ht="21.95" customHeight="1" x14ac:dyDescent="0.2">
      <c r="B886" s="232"/>
      <c r="C886" s="715"/>
      <c r="D886" s="715"/>
      <c r="E886" s="1340"/>
      <c r="F886" s="116"/>
      <c r="G886" s="116"/>
      <c r="H886" s="124" t="s">
        <v>19</v>
      </c>
      <c r="I886" s="577">
        <f t="shared" ref="I886:AH886" si="1513">I795*$D$14</f>
        <v>0</v>
      </c>
      <c r="J886" s="577">
        <f t="shared" si="1513"/>
        <v>20947.270072992695</v>
      </c>
      <c r="K886" s="577">
        <f t="shared" si="1513"/>
        <v>60544.055824817522</v>
      </c>
      <c r="L886" s="577">
        <f t="shared" si="1513"/>
        <v>136099.2476496411</v>
      </c>
      <c r="M886" s="577">
        <f t="shared" si="1513"/>
        <v>211696.33401538062</v>
      </c>
      <c r="N886" s="577">
        <f t="shared" si="1513"/>
        <v>287296.64305898751</v>
      </c>
      <c r="O886" s="577">
        <f t="shared" si="1513"/>
        <v>362851.83515467378</v>
      </c>
      <c r="P886" s="577">
        <f t="shared" si="1513"/>
        <v>438494.04077829455</v>
      </c>
      <c r="Q886" s="577">
        <f t="shared" si="1513"/>
        <v>496824.13823700661</v>
      </c>
      <c r="R886" s="577">
        <f t="shared" si="1513"/>
        <v>555163.9189670569</v>
      </c>
      <c r="S886" s="577">
        <f t="shared" si="1513"/>
        <v>613494.07261467434</v>
      </c>
      <c r="T886" s="577">
        <f t="shared" si="1513"/>
        <v>671824.32559086836</v>
      </c>
      <c r="U886" s="577">
        <f t="shared" si="1513"/>
        <v>730232.14606446167</v>
      </c>
      <c r="V886" s="577">
        <f t="shared" si="1513"/>
        <v>759181.61664094811</v>
      </c>
      <c r="W886" s="577">
        <f t="shared" si="1513"/>
        <v>767061.13152743934</v>
      </c>
      <c r="X886" s="577">
        <f t="shared" si="1513"/>
        <v>774940.65924871876</v>
      </c>
      <c r="Y886" s="577">
        <f t="shared" si="1513"/>
        <v>782820.20104477124</v>
      </c>
      <c r="Z886" s="577">
        <f t="shared" si="1513"/>
        <v>790722.31734002475</v>
      </c>
      <c r="AA886" s="577">
        <f t="shared" si="1513"/>
        <v>798601.89147289586</v>
      </c>
      <c r="AB886" s="577">
        <f t="shared" si="1513"/>
        <v>806504.0432439323</v>
      </c>
      <c r="AC886" s="577">
        <f t="shared" si="1513"/>
        <v>814383.6560399438</v>
      </c>
      <c r="AD886" s="577">
        <f t="shared" si="1513"/>
        <v>822263.29083770502</v>
      </c>
      <c r="AE886" s="577">
        <f t="shared" si="1513"/>
        <v>830165.50901545433</v>
      </c>
      <c r="AF886" s="577">
        <f t="shared" si="1513"/>
        <v>838045.19402783934</v>
      </c>
      <c r="AG886" s="577">
        <f t="shared" si="1513"/>
        <v>845924.9075101132</v>
      </c>
      <c r="AH886" s="752">
        <f t="shared" si="1513"/>
        <v>853827.21160626097</v>
      </c>
      <c r="AI886" s="18"/>
      <c r="AJ886" s="18"/>
      <c r="AK886" s="18"/>
      <c r="AL886" s="18"/>
      <c r="AM886" s="18"/>
      <c r="AN886" s="18"/>
    </row>
    <row r="887" spans="2:40" ht="21.95" customHeight="1" x14ac:dyDescent="0.2">
      <c r="B887" s="232"/>
      <c r="C887" s="715"/>
      <c r="D887" s="715"/>
      <c r="E887" s="1340"/>
      <c r="F887" s="116"/>
      <c r="G887" s="116"/>
      <c r="H887" s="720" t="s">
        <v>25</v>
      </c>
      <c r="I887" s="577">
        <f t="shared" ref="I887:AH887" si="1514">SUM(I885:I886)</f>
        <v>0</v>
      </c>
      <c r="J887" s="577">
        <f t="shared" si="1514"/>
        <v>26021.810900243301</v>
      </c>
      <c r="K887" s="577">
        <f t="shared" si="1514"/>
        <v>75211.040212749402</v>
      </c>
      <c r="L887" s="577">
        <f t="shared" si="1514"/>
        <v>169069.71045217299</v>
      </c>
      <c r="M887" s="577">
        <f t="shared" si="1514"/>
        <v>262980.42431435356</v>
      </c>
      <c r="N887" s="577">
        <f t="shared" si="1514"/>
        <v>356895.14155806135</v>
      </c>
      <c r="O887" s="577">
        <f t="shared" si="1514"/>
        <v>450753.81213396497</v>
      </c>
      <c r="P887" s="577">
        <f t="shared" si="1514"/>
        <v>544720.57553350553</v>
      </c>
      <c r="Q887" s="577">
        <f t="shared" si="1514"/>
        <v>617181.31913275551</v>
      </c>
      <c r="R887" s="577">
        <f t="shared" si="1514"/>
        <v>689654.09180571209</v>
      </c>
      <c r="S887" s="577">
        <f t="shared" si="1514"/>
        <v>762114.90520580334</v>
      </c>
      <c r="T887" s="577">
        <f t="shared" si="1514"/>
        <v>834575.8419971253</v>
      </c>
      <c r="U887" s="577">
        <f t="shared" si="1514"/>
        <v>907133.13725149748</v>
      </c>
      <c r="V887" s="577">
        <f t="shared" si="1514"/>
        <v>943095.70642535551</v>
      </c>
      <c r="W887" s="577">
        <f t="shared" si="1514"/>
        <v>952884.05811258964</v>
      </c>
      <c r="X887" s="577">
        <f t="shared" si="1514"/>
        <v>962672.42574387905</v>
      </c>
      <c r="Y887" s="577">
        <f t="shared" si="1514"/>
        <v>972460.81085959869</v>
      </c>
      <c r="Z887" s="577">
        <f t="shared" si="1514"/>
        <v>982277.23921662522</v>
      </c>
      <c r="AA887" s="577">
        <f t="shared" si="1514"/>
        <v>992065.6645028576</v>
      </c>
      <c r="AB887" s="577">
        <f t="shared" si="1514"/>
        <v>1001882.1369297849</v>
      </c>
      <c r="AC887" s="577">
        <f t="shared" si="1514"/>
        <v>1011670.6102454228</v>
      </c>
      <c r="AD887" s="577">
        <f t="shared" si="1514"/>
        <v>1021459.1108928021</v>
      </c>
      <c r="AE887" s="577">
        <f t="shared" si="1514"/>
        <v>1031275.6658136735</v>
      </c>
      <c r="AF887" s="577">
        <f t="shared" si="1514"/>
        <v>1041064.2288403243</v>
      </c>
      <c r="AG887" s="577">
        <f t="shared" si="1514"/>
        <v>1050852.8272337823</v>
      </c>
      <c r="AH887" s="752">
        <f t="shared" si="1514"/>
        <v>1060669.4888870493</v>
      </c>
      <c r="AI887" s="18"/>
      <c r="AJ887" s="18"/>
      <c r="AK887" s="18"/>
      <c r="AL887" s="18"/>
      <c r="AM887" s="18"/>
      <c r="AN887" s="18"/>
    </row>
    <row r="888" spans="2:40" ht="21.95" customHeight="1" x14ac:dyDescent="0.2">
      <c r="B888" s="232"/>
      <c r="C888" s="715"/>
      <c r="D888" s="715"/>
      <c r="E888" s="1340"/>
      <c r="F888" s="116" t="s">
        <v>288</v>
      </c>
      <c r="G888" s="116" t="s">
        <v>340</v>
      </c>
      <c r="H888" s="116" t="s">
        <v>20</v>
      </c>
      <c r="I888" s="577">
        <f t="shared" ref="I888:AH888" si="1515">I797*$D$13</f>
        <v>0</v>
      </c>
      <c r="J888" s="577">
        <f t="shared" si="1515"/>
        <v>13230.052871046229</v>
      </c>
      <c r="K888" s="577">
        <f t="shared" si="1515"/>
        <v>38238.923582822383</v>
      </c>
      <c r="L888" s="577">
        <f t="shared" si="1515"/>
        <v>85958.706592315255</v>
      </c>
      <c r="M888" s="577">
        <f t="shared" si="1515"/>
        <v>133704.9497080365</v>
      </c>
      <c r="N888" s="577">
        <f t="shared" si="1515"/>
        <v>181453.22822972824</v>
      </c>
      <c r="O888" s="577">
        <f t="shared" si="1515"/>
        <v>229173.01141029489</v>
      </c>
      <c r="P888" s="577">
        <f t="shared" si="1515"/>
        <v>276947.75132608565</v>
      </c>
      <c r="Q888" s="577">
        <f t="shared" si="1515"/>
        <v>313788.36447820259</v>
      </c>
      <c r="R888" s="577">
        <f t="shared" si="1515"/>
        <v>350635.09347220825</v>
      </c>
      <c r="S888" s="577">
        <f t="shared" si="1515"/>
        <v>387475.74211258616</v>
      </c>
      <c r="T888" s="577">
        <f t="shared" si="1515"/>
        <v>424316.45348774118</v>
      </c>
      <c r="U888" s="577">
        <f t="shared" si="1515"/>
        <v>461206.15559477184</v>
      </c>
      <c r="V888" s="577">
        <f t="shared" si="1515"/>
        <v>479490.30550934799</v>
      </c>
      <c r="W888" s="577">
        <f t="shared" si="1515"/>
        <v>484466.91573985625</v>
      </c>
      <c r="X888" s="577">
        <f t="shared" si="1515"/>
        <v>489443.53407666797</v>
      </c>
      <c r="Y888" s="577">
        <f t="shared" si="1515"/>
        <v>494420.1613029429</v>
      </c>
      <c r="Z888" s="577">
        <f t="shared" si="1515"/>
        <v>499411.04632113688</v>
      </c>
      <c r="AA888" s="577">
        <f t="shared" si="1515"/>
        <v>504387.69397097162</v>
      </c>
      <c r="AB888" s="577">
        <f t="shared" si="1515"/>
        <v>509378.60139525851</v>
      </c>
      <c r="AC888" s="577">
        <f t="shared" si="1515"/>
        <v>514355.27346428449</v>
      </c>
      <c r="AD888" s="577">
        <f t="shared" si="1515"/>
        <v>519331.95942936029</v>
      </c>
      <c r="AE888" s="577">
        <f t="shared" si="1515"/>
        <v>524322.90879535698</v>
      </c>
      <c r="AF888" s="577">
        <f t="shared" si="1515"/>
        <v>529299.62647540704</v>
      </c>
      <c r="AG888" s="577">
        <f t="shared" si="1515"/>
        <v>534276.36213670881</v>
      </c>
      <c r="AH888" s="752">
        <f t="shared" si="1515"/>
        <v>539267.36576776963</v>
      </c>
      <c r="AI888" s="18"/>
      <c r="AJ888" s="18"/>
      <c r="AK888" s="18"/>
      <c r="AL888" s="18"/>
      <c r="AM888" s="18"/>
      <c r="AN888" s="18"/>
    </row>
    <row r="889" spans="2:40" ht="21.95" customHeight="1" x14ac:dyDescent="0.2">
      <c r="B889" s="232"/>
      <c r="C889" s="715"/>
      <c r="D889" s="715"/>
      <c r="E889" s="1340"/>
      <c r="F889" s="116"/>
      <c r="G889" s="116"/>
      <c r="H889" s="124" t="s">
        <v>19</v>
      </c>
      <c r="I889" s="577">
        <f t="shared" ref="I889:AH889" si="1516">I798*$D$14</f>
        <v>0</v>
      </c>
      <c r="J889" s="577">
        <f t="shared" si="1516"/>
        <v>54612.525547445264</v>
      </c>
      <c r="K889" s="577">
        <f t="shared" si="1516"/>
        <v>157847.00268613137</v>
      </c>
      <c r="L889" s="577">
        <f t="shared" si="1516"/>
        <v>354830.18137227854</v>
      </c>
      <c r="M889" s="577">
        <f t="shared" si="1516"/>
        <v>551922.58511152794</v>
      </c>
      <c r="N889" s="577">
        <f t="shared" si="1516"/>
        <v>749023.39083236014</v>
      </c>
      <c r="O889" s="577">
        <f t="shared" si="1516"/>
        <v>946006.57022468525</v>
      </c>
      <c r="P889" s="577">
        <f t="shared" si="1516"/>
        <v>1143216.6063148393</v>
      </c>
      <c r="Q889" s="577">
        <f t="shared" si="1516"/>
        <v>1295291.5032607673</v>
      </c>
      <c r="R889" s="577">
        <f t="shared" si="1516"/>
        <v>1447391.6458783983</v>
      </c>
      <c r="S889" s="577">
        <f t="shared" si="1516"/>
        <v>1599466.6893168292</v>
      </c>
      <c r="T889" s="577">
        <f t="shared" si="1516"/>
        <v>1751541.9917190487</v>
      </c>
      <c r="U889" s="577">
        <f t="shared" si="1516"/>
        <v>1903819.5236680603</v>
      </c>
      <c r="V889" s="577">
        <f t="shared" si="1516"/>
        <v>1979294.9290996143</v>
      </c>
      <c r="W889" s="577">
        <f t="shared" si="1516"/>
        <v>1999837.9500536809</v>
      </c>
      <c r="X889" s="577">
        <f t="shared" si="1516"/>
        <v>2020381.0044698741</v>
      </c>
      <c r="Y889" s="577">
        <f t="shared" si="1516"/>
        <v>2040924.0955810104</v>
      </c>
      <c r="Z889" s="577">
        <f t="shared" si="1516"/>
        <v>2061526.0416364931</v>
      </c>
      <c r="AA889" s="577">
        <f t="shared" si="1516"/>
        <v>2082069.2170543356</v>
      </c>
      <c r="AB889" s="577">
        <f t="shared" si="1516"/>
        <v>2102671.2556002517</v>
      </c>
      <c r="AC889" s="577">
        <f t="shared" si="1516"/>
        <v>2123214.5318184248</v>
      </c>
      <c r="AD889" s="577">
        <f t="shared" si="1516"/>
        <v>2143757.8653983022</v>
      </c>
      <c r="AE889" s="577">
        <f t="shared" si="1516"/>
        <v>2164360.0770760053</v>
      </c>
      <c r="AF889" s="577">
        <f t="shared" si="1516"/>
        <v>2184903.5415725806</v>
      </c>
      <c r="AG889" s="577">
        <f t="shared" si="1516"/>
        <v>2205447.080294224</v>
      </c>
      <c r="AH889" s="752">
        <f t="shared" si="1516"/>
        <v>2226049.515973466</v>
      </c>
      <c r="AI889" s="18"/>
      <c r="AJ889" s="18"/>
      <c r="AK889" s="18"/>
      <c r="AL889" s="18"/>
      <c r="AM889" s="18"/>
      <c r="AN889" s="18"/>
    </row>
    <row r="890" spans="2:40" ht="21.95" customHeight="1" x14ac:dyDescent="0.2">
      <c r="B890" s="232"/>
      <c r="C890" s="715"/>
      <c r="D890" s="715"/>
      <c r="E890" s="1340"/>
      <c r="F890" s="116"/>
      <c r="G890" s="116"/>
      <c r="H890" s="720" t="s">
        <v>25</v>
      </c>
      <c r="I890" s="577">
        <f t="shared" ref="I890:AH890" si="1517">SUM(I888:I889)</f>
        <v>0</v>
      </c>
      <c r="J890" s="577">
        <f t="shared" si="1517"/>
        <v>67842.578418491496</v>
      </c>
      <c r="K890" s="577">
        <f t="shared" si="1517"/>
        <v>196085.92626895374</v>
      </c>
      <c r="L890" s="577">
        <f t="shared" si="1517"/>
        <v>440788.88796459383</v>
      </c>
      <c r="M890" s="577">
        <f t="shared" si="1517"/>
        <v>685627.53481956443</v>
      </c>
      <c r="N890" s="577">
        <f t="shared" si="1517"/>
        <v>930476.61906208843</v>
      </c>
      <c r="O890" s="577">
        <f t="shared" si="1517"/>
        <v>1175179.5816349802</v>
      </c>
      <c r="P890" s="577">
        <f t="shared" si="1517"/>
        <v>1420164.3576409249</v>
      </c>
      <c r="Q890" s="577">
        <f t="shared" si="1517"/>
        <v>1609079.8677389699</v>
      </c>
      <c r="R890" s="577">
        <f t="shared" si="1517"/>
        <v>1798026.7393506067</v>
      </c>
      <c r="S890" s="577">
        <f t="shared" si="1517"/>
        <v>1986942.4314294155</v>
      </c>
      <c r="T890" s="577">
        <f t="shared" si="1517"/>
        <v>2175858.4452067898</v>
      </c>
      <c r="U890" s="577">
        <f t="shared" si="1517"/>
        <v>2365025.6792628323</v>
      </c>
      <c r="V890" s="577">
        <f t="shared" si="1517"/>
        <v>2458785.2346089622</v>
      </c>
      <c r="W890" s="577">
        <f t="shared" si="1517"/>
        <v>2484304.8657935373</v>
      </c>
      <c r="X890" s="577">
        <f t="shared" si="1517"/>
        <v>2509824.5385465422</v>
      </c>
      <c r="Y890" s="577">
        <f t="shared" si="1517"/>
        <v>2535344.2568839532</v>
      </c>
      <c r="Z890" s="577">
        <f t="shared" si="1517"/>
        <v>2560937.0879576299</v>
      </c>
      <c r="AA890" s="577">
        <f t="shared" si="1517"/>
        <v>2586456.9110253071</v>
      </c>
      <c r="AB890" s="577">
        <f t="shared" si="1517"/>
        <v>2612049.8569955104</v>
      </c>
      <c r="AC890" s="577">
        <f t="shared" si="1517"/>
        <v>2637569.8052827092</v>
      </c>
      <c r="AD890" s="577">
        <f t="shared" si="1517"/>
        <v>2663089.8248276627</v>
      </c>
      <c r="AE890" s="577">
        <f t="shared" si="1517"/>
        <v>2688682.9858713625</v>
      </c>
      <c r="AF890" s="577">
        <f t="shared" si="1517"/>
        <v>2714203.1680479879</v>
      </c>
      <c r="AG890" s="577">
        <f t="shared" si="1517"/>
        <v>2739723.442430933</v>
      </c>
      <c r="AH890" s="752">
        <f t="shared" si="1517"/>
        <v>2765316.8817412355</v>
      </c>
      <c r="AI890" s="18"/>
      <c r="AJ890" s="18"/>
      <c r="AK890" s="18"/>
      <c r="AL890" s="18"/>
      <c r="AM890" s="18"/>
      <c r="AN890" s="18"/>
    </row>
    <row r="891" spans="2:40" ht="21.95" customHeight="1" x14ac:dyDescent="0.2">
      <c r="B891" s="232"/>
      <c r="C891" s="715"/>
      <c r="D891" s="715"/>
      <c r="E891" s="1340"/>
      <c r="F891" s="116" t="s">
        <v>340</v>
      </c>
      <c r="G891" s="116" t="s">
        <v>280</v>
      </c>
      <c r="H891" s="116" t="s">
        <v>20</v>
      </c>
      <c r="I891" s="577">
        <f t="shared" ref="I891:AH891" si="1518">I800*$D$13</f>
        <v>17565.718248175184</v>
      </c>
      <c r="J891" s="577">
        <f t="shared" si="1518"/>
        <v>25960.374998978099</v>
      </c>
      <c r="K891" s="577">
        <f t="shared" si="1518"/>
        <v>36418.418120000002</v>
      </c>
      <c r="L891" s="577">
        <f t="shared" si="1518"/>
        <v>58811.195742773722</v>
      </c>
      <c r="M891" s="577">
        <f t="shared" si="1518"/>
        <v>81206.900985255546</v>
      </c>
      <c r="N891" s="577">
        <f t="shared" si="1518"/>
        <v>103611.97461080371</v>
      </c>
      <c r="O891" s="577">
        <f t="shared" si="1518"/>
        <v>126004.75223358342</v>
      </c>
      <c r="P891" s="577">
        <f t="shared" si="1518"/>
        <v>148385.81937755927</v>
      </c>
      <c r="Q891" s="577">
        <f t="shared" si="1518"/>
        <v>193325.95294440223</v>
      </c>
      <c r="R891" s="577">
        <f t="shared" si="1518"/>
        <v>238240.3234638414</v>
      </c>
      <c r="S891" s="577">
        <f t="shared" si="1518"/>
        <v>283164.64792615437</v>
      </c>
      <c r="T891" s="577">
        <f t="shared" si="1518"/>
        <v>328104.78169541765</v>
      </c>
      <c r="U891" s="577">
        <f t="shared" si="1518"/>
        <v>373033.20556844224</v>
      </c>
      <c r="V891" s="577">
        <f t="shared" si="1518"/>
        <v>406037.43518597004</v>
      </c>
      <c r="W891" s="577">
        <f t="shared" si="1518"/>
        <v>414432.09260325588</v>
      </c>
      <c r="X891" s="577">
        <f t="shared" si="1518"/>
        <v>422826.75017012405</v>
      </c>
      <c r="Y891" s="577">
        <f t="shared" si="1518"/>
        <v>431221.40791616187</v>
      </c>
      <c r="Z891" s="577">
        <f t="shared" si="1518"/>
        <v>439590.88834255439</v>
      </c>
      <c r="AA891" s="577">
        <f t="shared" si="1518"/>
        <v>447985.54655591527</v>
      </c>
      <c r="AB891" s="577">
        <f t="shared" si="1518"/>
        <v>456355.02753534028</v>
      </c>
      <c r="AC891" s="577">
        <f t="shared" si="1518"/>
        <v>464749.68640501075</v>
      </c>
      <c r="AD891" s="577">
        <f t="shared" si="1518"/>
        <v>473144.34569405147</v>
      </c>
      <c r="AE891" s="577">
        <f t="shared" si="1518"/>
        <v>481513.82793634565</v>
      </c>
      <c r="AF891" s="577">
        <f t="shared" si="1518"/>
        <v>489908.48829326668</v>
      </c>
      <c r="AG891" s="577">
        <f t="shared" si="1518"/>
        <v>498303.14932405675</v>
      </c>
      <c r="AH891" s="752">
        <f t="shared" si="1518"/>
        <v>506672.63359402912</v>
      </c>
      <c r="AI891" s="18"/>
      <c r="AJ891" s="18"/>
      <c r="AK891" s="18"/>
      <c r="AL891" s="18"/>
      <c r="AM891" s="18"/>
      <c r="AN891" s="18"/>
    </row>
    <row r="892" spans="2:40" ht="21.95" customHeight="1" x14ac:dyDescent="0.2">
      <c r="B892" s="232"/>
      <c r="C892" s="715"/>
      <c r="D892" s="715"/>
      <c r="E892" s="1340"/>
      <c r="F892" s="116"/>
      <c r="G892" s="116"/>
      <c r="H892" s="116" t="s">
        <v>19</v>
      </c>
      <c r="I892" s="577">
        <f t="shared" ref="I892:AH892" si="1519">I801*$D$14</f>
        <v>72509.781021897812</v>
      </c>
      <c r="J892" s="577">
        <f t="shared" si="1519"/>
        <v>107162.20537226276</v>
      </c>
      <c r="K892" s="577">
        <f t="shared" si="1519"/>
        <v>150332.11199999999</v>
      </c>
      <c r="L892" s="577">
        <f t="shared" si="1519"/>
        <v>242767.58084671531</v>
      </c>
      <c r="M892" s="577">
        <f t="shared" si="1519"/>
        <v>335215.13465693459</v>
      </c>
      <c r="N892" s="577">
        <f t="shared" si="1519"/>
        <v>427701.3603503682</v>
      </c>
      <c r="O892" s="577">
        <f t="shared" si="1519"/>
        <v>520136.82919710822</v>
      </c>
      <c r="P892" s="577">
        <f t="shared" si="1519"/>
        <v>612523.95818995032</v>
      </c>
      <c r="Q892" s="577">
        <f t="shared" si="1519"/>
        <v>798032.98195931106</v>
      </c>
      <c r="R892" s="577">
        <f t="shared" si="1519"/>
        <v>983435.65807471785</v>
      </c>
      <c r="S892" s="577">
        <f t="shared" si="1519"/>
        <v>1168879.423214091</v>
      </c>
      <c r="T892" s="577">
        <f t="shared" si="1519"/>
        <v>1354388.4478190257</v>
      </c>
      <c r="U892" s="577">
        <f t="shared" si="1519"/>
        <v>1539849.1349748413</v>
      </c>
      <c r="V892" s="577">
        <f t="shared" si="1519"/>
        <v>1676087.7691458056</v>
      </c>
      <c r="W892" s="577">
        <f t="shared" si="1519"/>
        <v>1710740.1962473551</v>
      </c>
      <c r="X892" s="577">
        <f t="shared" si="1519"/>
        <v>1745392.6239663677</v>
      </c>
      <c r="Y892" s="577">
        <f t="shared" si="1519"/>
        <v>1780045.0524249768</v>
      </c>
      <c r="Z892" s="577">
        <f t="shared" si="1519"/>
        <v>1814593.5510636722</v>
      </c>
      <c r="AA892" s="577">
        <f t="shared" si="1519"/>
        <v>1849245.981451351</v>
      </c>
      <c r="AB892" s="577">
        <f t="shared" si="1519"/>
        <v>1883794.4823729168</v>
      </c>
      <c r="AC892" s="577">
        <f t="shared" si="1519"/>
        <v>1918446.9154697857</v>
      </c>
      <c r="AD892" s="577">
        <f t="shared" si="1519"/>
        <v>1953099.3502977791</v>
      </c>
      <c r="AE892" s="577">
        <f t="shared" si="1519"/>
        <v>1987647.8564323606</v>
      </c>
      <c r="AF892" s="577">
        <f t="shared" si="1519"/>
        <v>2022300.2956684723</v>
      </c>
      <c r="AG892" s="577">
        <f t="shared" si="1519"/>
        <v>2056952.7376862578</v>
      </c>
      <c r="AH892" s="752">
        <f t="shared" si="1519"/>
        <v>2091501.2521909217</v>
      </c>
      <c r="AI892" s="18"/>
      <c r="AJ892" s="18"/>
      <c r="AK892" s="18"/>
      <c r="AL892" s="18"/>
      <c r="AM892" s="18"/>
      <c r="AN892" s="18"/>
    </row>
    <row r="893" spans="2:40" ht="21.95" customHeight="1" x14ac:dyDescent="0.2">
      <c r="B893" s="232"/>
      <c r="C893" s="715"/>
      <c r="D893" s="715"/>
      <c r="E893" s="1340"/>
      <c r="F893" s="254"/>
      <c r="G893" s="254"/>
      <c r="H893" s="721" t="s">
        <v>25</v>
      </c>
      <c r="I893" s="587">
        <f t="shared" ref="I893:AH893" si="1520">SUM(I891:I892)</f>
        <v>90075.499270072993</v>
      </c>
      <c r="J893" s="587">
        <f t="shared" si="1520"/>
        <v>133122.58037124085</v>
      </c>
      <c r="K893" s="587">
        <f t="shared" si="1520"/>
        <v>186750.53012000001</v>
      </c>
      <c r="L893" s="587">
        <f t="shared" si="1520"/>
        <v>301578.77658948902</v>
      </c>
      <c r="M893" s="587">
        <f t="shared" si="1520"/>
        <v>416422.03564219014</v>
      </c>
      <c r="N893" s="587">
        <f t="shared" si="1520"/>
        <v>531313.33496117196</v>
      </c>
      <c r="O893" s="587">
        <f t="shared" si="1520"/>
        <v>646141.58143069164</v>
      </c>
      <c r="P893" s="587">
        <f t="shared" si="1520"/>
        <v>760909.77756750956</v>
      </c>
      <c r="Q893" s="587">
        <f t="shared" si="1520"/>
        <v>991358.93490371329</v>
      </c>
      <c r="R893" s="587">
        <f t="shared" si="1520"/>
        <v>1221675.9815385593</v>
      </c>
      <c r="S893" s="587">
        <f t="shared" si="1520"/>
        <v>1452044.0711402453</v>
      </c>
      <c r="T893" s="587">
        <f t="shared" si="1520"/>
        <v>1682493.2295144433</v>
      </c>
      <c r="U893" s="587">
        <f t="shared" si="1520"/>
        <v>1912882.3405432836</v>
      </c>
      <c r="V893" s="587">
        <f t="shared" si="1520"/>
        <v>2082125.2043317757</v>
      </c>
      <c r="W893" s="587">
        <f t="shared" si="1520"/>
        <v>2125172.2888506111</v>
      </c>
      <c r="X893" s="587">
        <f t="shared" si="1520"/>
        <v>2168219.3741364917</v>
      </c>
      <c r="Y893" s="587">
        <f t="shared" si="1520"/>
        <v>2211266.4603411388</v>
      </c>
      <c r="Z893" s="587">
        <f t="shared" si="1520"/>
        <v>2254184.4394062264</v>
      </c>
      <c r="AA893" s="587">
        <f t="shared" si="1520"/>
        <v>2297231.5280072661</v>
      </c>
      <c r="AB893" s="587">
        <f t="shared" si="1520"/>
        <v>2340149.5099082571</v>
      </c>
      <c r="AC893" s="587">
        <f t="shared" si="1520"/>
        <v>2383196.6018747967</v>
      </c>
      <c r="AD893" s="587">
        <f t="shared" si="1520"/>
        <v>2426243.6959918304</v>
      </c>
      <c r="AE893" s="587">
        <f t="shared" si="1520"/>
        <v>2469161.6843687063</v>
      </c>
      <c r="AF893" s="587">
        <f t="shared" si="1520"/>
        <v>2512208.7839617389</v>
      </c>
      <c r="AG893" s="587">
        <f t="shared" si="1520"/>
        <v>2555255.8870103145</v>
      </c>
      <c r="AH893" s="754">
        <f t="shared" si="1520"/>
        <v>2598173.885784951</v>
      </c>
      <c r="AI893" s="18"/>
      <c r="AJ893" s="18"/>
      <c r="AK893" s="18"/>
      <c r="AL893" s="18"/>
      <c r="AM893" s="18"/>
      <c r="AN893" s="18"/>
    </row>
    <row r="894" spans="2:40" ht="21.95" customHeight="1" x14ac:dyDescent="0.2">
      <c r="B894" s="232"/>
      <c r="C894" s="715"/>
      <c r="D894" s="715"/>
      <c r="E894" s="1340" t="s">
        <v>334</v>
      </c>
      <c r="F894" s="116" t="s">
        <v>336</v>
      </c>
      <c r="G894" s="116" t="s">
        <v>337</v>
      </c>
      <c r="H894" s="116" t="s">
        <v>20</v>
      </c>
      <c r="I894" s="577">
        <f t="shared" ref="I894:AH894" si="1521">I803*$D$13</f>
        <v>441273.34221684485</v>
      </c>
      <c r="J894" s="577">
        <f t="shared" si="1521"/>
        <v>453497.34156217525</v>
      </c>
      <c r="K894" s="577">
        <f t="shared" si="1521"/>
        <v>473225.55363092292</v>
      </c>
      <c r="L894" s="577">
        <f t="shared" si="1521"/>
        <v>501411.34164363495</v>
      </c>
      <c r="M894" s="577">
        <f t="shared" si="1521"/>
        <v>529612.99522180867</v>
      </c>
      <c r="N894" s="577">
        <f t="shared" si="1521"/>
        <v>557818.38954430458</v>
      </c>
      <c r="O894" s="577">
        <f t="shared" si="1521"/>
        <v>586021.20738893282</v>
      </c>
      <c r="P894" s="577">
        <f t="shared" si="1521"/>
        <v>614262.44248905138</v>
      </c>
      <c r="Q894" s="577">
        <f t="shared" si="1521"/>
        <v>639416.5887293925</v>
      </c>
      <c r="R894" s="577">
        <f t="shared" si="1521"/>
        <v>664601.41215622262</v>
      </c>
      <c r="S894" s="577">
        <f t="shared" si="1521"/>
        <v>689810.52596345451</v>
      </c>
      <c r="T894" s="577">
        <f t="shared" si="1521"/>
        <v>715064.55700627225</v>
      </c>
      <c r="U894" s="577">
        <f t="shared" si="1521"/>
        <v>740405.99167253089</v>
      </c>
      <c r="V894" s="577">
        <f t="shared" si="1521"/>
        <v>757228.66158542421</v>
      </c>
      <c r="W894" s="577">
        <f t="shared" si="1521"/>
        <v>769614.99564621039</v>
      </c>
      <c r="X894" s="577">
        <f t="shared" si="1521"/>
        <v>782029.44237065769</v>
      </c>
      <c r="Y894" s="577">
        <f t="shared" si="1521"/>
        <v>794476.29034651711</v>
      </c>
      <c r="Z894" s="577">
        <f t="shared" si="1521"/>
        <v>806968.46054819541</v>
      </c>
      <c r="AA894" s="577">
        <f t="shared" si="1521"/>
        <v>819495.35731985734</v>
      </c>
      <c r="AB894" s="577">
        <f t="shared" si="1521"/>
        <v>832079.34776526492</v>
      </c>
      <c r="AC894" s="577">
        <f t="shared" si="1521"/>
        <v>844711.2171219989</v>
      </c>
      <c r="AD894" s="577">
        <f t="shared" si="1521"/>
        <v>857406.92692543974</v>
      </c>
      <c r="AE894" s="577">
        <f t="shared" si="1521"/>
        <v>870183.57378746395</v>
      </c>
      <c r="AF894" s="577">
        <f t="shared" si="1521"/>
        <v>883034.61236922443</v>
      </c>
      <c r="AG894" s="577">
        <f t="shared" si="1521"/>
        <v>895979.34573179821</v>
      </c>
      <c r="AH894" s="752">
        <f t="shared" si="1521"/>
        <v>909038.6263748809</v>
      </c>
      <c r="AI894" s="18"/>
      <c r="AJ894" s="18"/>
      <c r="AK894" s="18"/>
      <c r="AL894" s="18"/>
      <c r="AM894" s="18"/>
      <c r="AN894" s="18"/>
    </row>
    <row r="895" spans="2:40" ht="21.95" customHeight="1" x14ac:dyDescent="0.2">
      <c r="B895" s="232"/>
      <c r="C895" s="715"/>
      <c r="D895" s="715"/>
      <c r="E895" s="1340"/>
      <c r="F895" s="116"/>
      <c r="G895" s="116"/>
      <c r="H895" s="124" t="s">
        <v>19</v>
      </c>
      <c r="I895" s="577">
        <f t="shared" ref="I895:AH895" si="1522">I804*$D$14</f>
        <v>1170989.0849647084</v>
      </c>
      <c r="J895" s="577">
        <f t="shared" si="1522"/>
        <v>1203427.4138610042</v>
      </c>
      <c r="K895" s="577">
        <f t="shared" si="1522"/>
        <v>1255779.3662411692</v>
      </c>
      <c r="L895" s="577">
        <f t="shared" si="1522"/>
        <v>1330574.8432310205</v>
      </c>
      <c r="M895" s="577">
        <f t="shared" si="1522"/>
        <v>1405412.4220253662</v>
      </c>
      <c r="N895" s="577">
        <f t="shared" si="1522"/>
        <v>1480259.9274804723</v>
      </c>
      <c r="O895" s="577">
        <f t="shared" si="1522"/>
        <v>1555100.5958412611</v>
      </c>
      <c r="P895" s="577">
        <f t="shared" si="1522"/>
        <v>1630043.21050732</v>
      </c>
      <c r="Q895" s="577">
        <f t="shared" si="1522"/>
        <v>1696793.7432747651</v>
      </c>
      <c r="R895" s="577">
        <f t="shared" si="1522"/>
        <v>1763625.6828418041</v>
      </c>
      <c r="S895" s="577">
        <f t="shared" si="1522"/>
        <v>1830522.0808014062</v>
      </c>
      <c r="T895" s="577">
        <f t="shared" si="1522"/>
        <v>1897537.6737985632</v>
      </c>
      <c r="U895" s="577">
        <f t="shared" si="1522"/>
        <v>1964785.2062292737</v>
      </c>
      <c r="V895" s="577">
        <f t="shared" si="1522"/>
        <v>2009426.8398004267</v>
      </c>
      <c r="W895" s="577">
        <f t="shared" si="1522"/>
        <v>2042295.9497154774</v>
      </c>
      <c r="X895" s="577">
        <f t="shared" si="1522"/>
        <v>2075239.6610604057</v>
      </c>
      <c r="Y895" s="577">
        <f t="shared" si="1522"/>
        <v>2108269.3542857538</v>
      </c>
      <c r="Z895" s="577">
        <f t="shared" si="1522"/>
        <v>2141419.3172547347</v>
      </c>
      <c r="AA895" s="577">
        <f t="shared" si="1522"/>
        <v>2174661.4327072632</v>
      </c>
      <c r="AB895" s="577">
        <f t="shared" si="1522"/>
        <v>2208055.0553150652</v>
      </c>
      <c r="AC895" s="577">
        <f t="shared" si="1522"/>
        <v>2241575.7322386373</v>
      </c>
      <c r="AD895" s="577">
        <f t="shared" si="1522"/>
        <v>2275265.8199539357</v>
      </c>
      <c r="AE895" s="577">
        <f t="shared" si="1522"/>
        <v>2309170.6870431574</v>
      </c>
      <c r="AF895" s="577">
        <f t="shared" si="1522"/>
        <v>2343272.9644073476</v>
      </c>
      <c r="AG895" s="577">
        <f t="shared" si="1522"/>
        <v>2377623.8757930244</v>
      </c>
      <c r="AH895" s="752">
        <f t="shared" si="1522"/>
        <v>2412278.7566288267</v>
      </c>
      <c r="AI895" s="18"/>
      <c r="AJ895" s="18"/>
      <c r="AK895" s="18"/>
      <c r="AL895" s="18"/>
      <c r="AM895" s="18"/>
      <c r="AN895" s="18"/>
    </row>
    <row r="896" spans="2:40" ht="21.95" customHeight="1" x14ac:dyDescent="0.2">
      <c r="B896" s="232"/>
      <c r="C896" s="715"/>
      <c r="D896" s="715"/>
      <c r="E896" s="1340"/>
      <c r="F896" s="116"/>
      <c r="G896" s="116"/>
      <c r="H896" s="721" t="s">
        <v>25</v>
      </c>
      <c r="I896" s="577">
        <f t="shared" ref="I896:AH896" si="1523">SUM(I894:I895)</f>
        <v>1612262.4271815533</v>
      </c>
      <c r="J896" s="577">
        <f t="shared" si="1523"/>
        <v>1656924.7554231794</v>
      </c>
      <c r="K896" s="577">
        <f t="shared" si="1523"/>
        <v>1729004.9198720921</v>
      </c>
      <c r="L896" s="577">
        <f t="shared" si="1523"/>
        <v>1831986.1848746554</v>
      </c>
      <c r="M896" s="577">
        <f t="shared" si="1523"/>
        <v>1935025.4172471748</v>
      </c>
      <c r="N896" s="577">
        <f t="shared" si="1523"/>
        <v>2038078.3170247767</v>
      </c>
      <c r="O896" s="577">
        <f t="shared" si="1523"/>
        <v>2141121.8032301939</v>
      </c>
      <c r="P896" s="577">
        <f t="shared" si="1523"/>
        <v>2244305.6529963715</v>
      </c>
      <c r="Q896" s="577">
        <f t="shared" si="1523"/>
        <v>2336210.3320041578</v>
      </c>
      <c r="R896" s="577">
        <f t="shared" si="1523"/>
        <v>2428227.0949980267</v>
      </c>
      <c r="S896" s="577">
        <f t="shared" si="1523"/>
        <v>2520332.6067648605</v>
      </c>
      <c r="T896" s="577">
        <f t="shared" si="1523"/>
        <v>2612602.2308048354</v>
      </c>
      <c r="U896" s="577">
        <f t="shared" si="1523"/>
        <v>2705191.1979018045</v>
      </c>
      <c r="V896" s="577">
        <f t="shared" si="1523"/>
        <v>2766655.5013858508</v>
      </c>
      <c r="W896" s="577">
        <f t="shared" si="1523"/>
        <v>2811910.9453616878</v>
      </c>
      <c r="X896" s="577">
        <f t="shared" si="1523"/>
        <v>2857269.1034310632</v>
      </c>
      <c r="Y896" s="577">
        <f t="shared" si="1523"/>
        <v>2902745.644632271</v>
      </c>
      <c r="Z896" s="577">
        <f t="shared" si="1523"/>
        <v>2948387.7778029302</v>
      </c>
      <c r="AA896" s="577">
        <f t="shared" si="1523"/>
        <v>2994156.7900271206</v>
      </c>
      <c r="AB896" s="577">
        <f t="shared" si="1523"/>
        <v>3040134.4030803302</v>
      </c>
      <c r="AC896" s="577">
        <f t="shared" si="1523"/>
        <v>3086286.9493606361</v>
      </c>
      <c r="AD896" s="577">
        <f t="shared" si="1523"/>
        <v>3132672.7468793755</v>
      </c>
      <c r="AE896" s="577">
        <f t="shared" si="1523"/>
        <v>3179354.2608306212</v>
      </c>
      <c r="AF896" s="577">
        <f t="shared" si="1523"/>
        <v>3226307.576776572</v>
      </c>
      <c r="AG896" s="577">
        <f t="shared" si="1523"/>
        <v>3273603.2215248225</v>
      </c>
      <c r="AH896" s="752">
        <f t="shared" si="1523"/>
        <v>3321317.3830037075</v>
      </c>
      <c r="AI896" s="18"/>
      <c r="AJ896" s="18"/>
      <c r="AK896" s="18"/>
      <c r="AL896" s="18"/>
      <c r="AM896" s="18"/>
      <c r="AN896" s="18"/>
    </row>
    <row r="897" spans="2:40" ht="21.95" customHeight="1" x14ac:dyDescent="0.2">
      <c r="B897" s="232"/>
      <c r="C897" s="715"/>
      <c r="D897" s="715"/>
      <c r="E897" s="1340"/>
      <c r="F897" s="116" t="s">
        <v>337</v>
      </c>
      <c r="G897" s="116" t="s">
        <v>386</v>
      </c>
      <c r="H897" s="116" t="s">
        <v>20</v>
      </c>
      <c r="I897" s="577">
        <f t="shared" ref="I897:AH897" si="1524">I806*$D$13</f>
        <v>729386.2565907801</v>
      </c>
      <c r="J897" s="577">
        <f t="shared" si="1524"/>
        <v>730482.49572519329</v>
      </c>
      <c r="K897" s="577">
        <f t="shared" si="1524"/>
        <v>731578.77071577997</v>
      </c>
      <c r="L897" s="577">
        <f t="shared" si="1524"/>
        <v>732675.08201616013</v>
      </c>
      <c r="M897" s="577">
        <f t="shared" si="1524"/>
        <v>733771.43011798174</v>
      </c>
      <c r="N897" s="577">
        <f t="shared" si="1524"/>
        <v>734867.81551880203</v>
      </c>
      <c r="O897" s="577">
        <f t="shared" si="1524"/>
        <v>735964.23872214812</v>
      </c>
      <c r="P897" s="577">
        <f t="shared" si="1524"/>
        <v>737060.70023758127</v>
      </c>
      <c r="Q897" s="577">
        <f t="shared" si="1524"/>
        <v>738157.20058075769</v>
      </c>
      <c r="R897" s="577">
        <f t="shared" si="1524"/>
        <v>738157.20061701909</v>
      </c>
      <c r="S897" s="577">
        <f t="shared" si="1524"/>
        <v>738157.20061701909</v>
      </c>
      <c r="T897" s="577">
        <f t="shared" si="1524"/>
        <v>738157.20061701909</v>
      </c>
      <c r="U897" s="577">
        <f t="shared" si="1524"/>
        <v>738157.20061701909</v>
      </c>
      <c r="V897" s="577">
        <f t="shared" si="1524"/>
        <v>738157.20061701909</v>
      </c>
      <c r="W897" s="577">
        <f t="shared" si="1524"/>
        <v>743015.14432763122</v>
      </c>
      <c r="X897" s="577">
        <f t="shared" si="1524"/>
        <v>754552.34931479907</v>
      </c>
      <c r="Y897" s="577">
        <f t="shared" si="1524"/>
        <v>766094.86380853446</v>
      </c>
      <c r="Z897" s="577">
        <f t="shared" si="1524"/>
        <v>777646.15809529275</v>
      </c>
      <c r="AA897" s="577">
        <f t="shared" si="1524"/>
        <v>789201.71559356188</v>
      </c>
      <c r="AB897" s="577">
        <f t="shared" si="1524"/>
        <v>800767.91355055175</v>
      </c>
      <c r="AC897" s="577">
        <f t="shared" si="1524"/>
        <v>812340.45989102661</v>
      </c>
      <c r="AD897" s="577">
        <f t="shared" si="1524"/>
        <v>823923.29177744186</v>
      </c>
      <c r="AE897" s="577">
        <f t="shared" si="1524"/>
        <v>835520.5047998603</v>
      </c>
      <c r="AF897" s="577">
        <f t="shared" si="1524"/>
        <v>847128.24001899676</v>
      </c>
      <c r="AG897" s="577">
        <f t="shared" si="1524"/>
        <v>858750.93517544493</v>
      </c>
      <c r="AH897" s="752">
        <f t="shared" si="1524"/>
        <v>870393.24113821611</v>
      </c>
      <c r="AI897" s="18"/>
      <c r="AJ897" s="18"/>
      <c r="AK897" s="18"/>
      <c r="AL897" s="18"/>
      <c r="AM897" s="18"/>
      <c r="AN897" s="18"/>
    </row>
    <row r="898" spans="2:40" ht="21.95" customHeight="1" x14ac:dyDescent="0.2">
      <c r="B898" s="232"/>
      <c r="C898" s="715"/>
      <c r="D898" s="715"/>
      <c r="E898" s="1340"/>
      <c r="F898" s="116"/>
      <c r="G898" s="116"/>
      <c r="H898" s="124" t="s">
        <v>19</v>
      </c>
      <c r="I898" s="577">
        <f t="shared" ref="I898:AH898" si="1525">I807*$D$14</f>
        <v>1935542.584331684</v>
      </c>
      <c r="J898" s="577">
        <f t="shared" si="1525"/>
        <v>1938451.6294474851</v>
      </c>
      <c r="K898" s="577">
        <f t="shared" si="1525"/>
        <v>1941360.769713352</v>
      </c>
      <c r="L898" s="577">
        <f t="shared" si="1525"/>
        <v>1944270.0063330384</v>
      </c>
      <c r="M898" s="577">
        <f t="shared" si="1525"/>
        <v>1947179.3406112103</v>
      </c>
      <c r="N898" s="577">
        <f t="shared" si="1525"/>
        <v>1950088.7738682146</v>
      </c>
      <c r="O898" s="577">
        <f t="shared" si="1525"/>
        <v>1952998.3074402413</v>
      </c>
      <c r="P898" s="577">
        <f t="shared" si="1525"/>
        <v>1955907.9426794918</v>
      </c>
      <c r="Q898" s="577">
        <f t="shared" si="1525"/>
        <v>1958817.6809543427</v>
      </c>
      <c r="R898" s="577">
        <f t="shared" si="1525"/>
        <v>1958817.6810505684</v>
      </c>
      <c r="S898" s="577">
        <f t="shared" si="1525"/>
        <v>1958817.6810505684</v>
      </c>
      <c r="T898" s="577">
        <f t="shared" si="1525"/>
        <v>1958817.6810505684</v>
      </c>
      <c r="U898" s="577">
        <f t="shared" si="1525"/>
        <v>1958817.6810505684</v>
      </c>
      <c r="V898" s="577">
        <f t="shared" si="1525"/>
        <v>1958817.6810505684</v>
      </c>
      <c r="W898" s="577">
        <f t="shared" si="1525"/>
        <v>1971709.0082989391</v>
      </c>
      <c r="X898" s="577">
        <f t="shared" si="1525"/>
        <v>2002324.8189960085</v>
      </c>
      <c r="Y898" s="577">
        <f t="shared" si="1525"/>
        <v>2032954.7193142767</v>
      </c>
      <c r="Z898" s="577">
        <f t="shared" si="1525"/>
        <v>2063607.9182114855</v>
      </c>
      <c r="AA898" s="577">
        <f t="shared" si="1525"/>
        <v>2094272.4302193418</v>
      </c>
      <c r="AB898" s="577">
        <f t="shared" si="1525"/>
        <v>2124965.178378873</v>
      </c>
      <c r="AC898" s="577">
        <f t="shared" si="1525"/>
        <v>2155674.772984942</v>
      </c>
      <c r="AD898" s="577">
        <f t="shared" si="1525"/>
        <v>2186411.6619251044</v>
      </c>
      <c r="AE898" s="577">
        <f t="shared" si="1525"/>
        <v>2217186.7134998012</v>
      </c>
      <c r="AF898" s="577">
        <f t="shared" si="1525"/>
        <v>2247989.6873991177</v>
      </c>
      <c r="AG898" s="577">
        <f t="shared" si="1525"/>
        <v>2278832.3598744124</v>
      </c>
      <c r="AH898" s="752">
        <f t="shared" si="1525"/>
        <v>2309727.072747245</v>
      </c>
      <c r="AI898" s="18"/>
      <c r="AJ898" s="18"/>
      <c r="AK898" s="18"/>
      <c r="AL898" s="18"/>
      <c r="AM898" s="18"/>
      <c r="AN898" s="18"/>
    </row>
    <row r="899" spans="2:40" ht="21.95" customHeight="1" x14ac:dyDescent="0.2">
      <c r="B899" s="232"/>
      <c r="C899" s="715"/>
      <c r="D899" s="715"/>
      <c r="E899" s="1340"/>
      <c r="F899" s="116"/>
      <c r="G899" s="116"/>
      <c r="H899" s="721" t="s">
        <v>25</v>
      </c>
      <c r="I899" s="577">
        <f t="shared" ref="I899:AH899" si="1526">SUM(I897:I898)</f>
        <v>2664928.8409224642</v>
      </c>
      <c r="J899" s="577">
        <f t="shared" si="1526"/>
        <v>2668934.1251726784</v>
      </c>
      <c r="K899" s="577">
        <f t="shared" si="1526"/>
        <v>2672939.5404291321</v>
      </c>
      <c r="L899" s="577">
        <f t="shared" si="1526"/>
        <v>2676945.0883491985</v>
      </c>
      <c r="M899" s="577">
        <f t="shared" si="1526"/>
        <v>2680950.7707291921</v>
      </c>
      <c r="N899" s="577">
        <f t="shared" si="1526"/>
        <v>2684956.5893870164</v>
      </c>
      <c r="O899" s="577">
        <f t="shared" si="1526"/>
        <v>2688962.5461623892</v>
      </c>
      <c r="P899" s="577">
        <f t="shared" si="1526"/>
        <v>2692968.6429170733</v>
      </c>
      <c r="Q899" s="577">
        <f t="shared" si="1526"/>
        <v>2696974.8815351003</v>
      </c>
      <c r="R899" s="577">
        <f t="shared" si="1526"/>
        <v>2696974.8816675874</v>
      </c>
      <c r="S899" s="577">
        <f t="shared" si="1526"/>
        <v>2696974.8816675874</v>
      </c>
      <c r="T899" s="577">
        <f t="shared" si="1526"/>
        <v>2696974.8816675874</v>
      </c>
      <c r="U899" s="577">
        <f t="shared" si="1526"/>
        <v>2696974.8816675874</v>
      </c>
      <c r="V899" s="577">
        <f t="shared" si="1526"/>
        <v>2696974.8816675874</v>
      </c>
      <c r="W899" s="577">
        <f t="shared" si="1526"/>
        <v>2714724.1526265703</v>
      </c>
      <c r="X899" s="577">
        <f t="shared" si="1526"/>
        <v>2756877.1683108076</v>
      </c>
      <c r="Y899" s="577">
        <f t="shared" si="1526"/>
        <v>2799049.5831228113</v>
      </c>
      <c r="Z899" s="577">
        <f t="shared" si="1526"/>
        <v>2841254.076306778</v>
      </c>
      <c r="AA899" s="577">
        <f t="shared" si="1526"/>
        <v>2883474.1458129035</v>
      </c>
      <c r="AB899" s="577">
        <f t="shared" si="1526"/>
        <v>2925733.0919294246</v>
      </c>
      <c r="AC899" s="577">
        <f t="shared" si="1526"/>
        <v>2968015.2328759683</v>
      </c>
      <c r="AD899" s="577">
        <f t="shared" si="1526"/>
        <v>3010334.9537025462</v>
      </c>
      <c r="AE899" s="577">
        <f t="shared" si="1526"/>
        <v>3052707.2182996618</v>
      </c>
      <c r="AF899" s="577">
        <f t="shared" si="1526"/>
        <v>3095117.9274181146</v>
      </c>
      <c r="AG899" s="577">
        <f t="shared" si="1526"/>
        <v>3137583.2950498573</v>
      </c>
      <c r="AH899" s="752">
        <f t="shared" si="1526"/>
        <v>3180120.3138854611</v>
      </c>
      <c r="AI899" s="18"/>
      <c r="AJ899" s="18"/>
      <c r="AK899" s="18"/>
      <c r="AL899" s="18"/>
      <c r="AM899" s="18"/>
      <c r="AN899" s="18"/>
    </row>
    <row r="900" spans="2:40" ht="21.95" customHeight="1" x14ac:dyDescent="0.2">
      <c r="B900" s="232"/>
      <c r="C900" s="715"/>
      <c r="D900" s="715"/>
      <c r="E900" s="1340"/>
      <c r="F900" s="116" t="s">
        <v>342</v>
      </c>
      <c r="G900" s="116" t="s">
        <v>341</v>
      </c>
      <c r="H900" s="116" t="s">
        <v>20</v>
      </c>
      <c r="I900" s="577">
        <f t="shared" ref="I900:AH900" si="1527">I809*$D$13</f>
        <v>1057505.2844368031</v>
      </c>
      <c r="J900" s="577">
        <f t="shared" si="1527"/>
        <v>1059095.6304595696</v>
      </c>
      <c r="K900" s="577">
        <f t="shared" si="1527"/>
        <v>1060686.0443529303</v>
      </c>
      <c r="L900" s="577">
        <f t="shared" si="1527"/>
        <v>1062276.5269755218</v>
      </c>
      <c r="M900" s="577">
        <f t="shared" si="1527"/>
        <v>1063867.0792579649</v>
      </c>
      <c r="N900" s="577">
        <f t="shared" si="1527"/>
        <v>1065457.7021420624</v>
      </c>
      <c r="O900" s="577">
        <f t="shared" si="1527"/>
        <v>1067048.3965809206</v>
      </c>
      <c r="P900" s="577">
        <f t="shared" si="1527"/>
        <v>1068639.1635390639</v>
      </c>
      <c r="Q900" s="577">
        <f t="shared" si="1527"/>
        <v>1070230.0039925575</v>
      </c>
      <c r="R900" s="577">
        <f t="shared" si="1527"/>
        <v>1070230.0040611955</v>
      </c>
      <c r="S900" s="577">
        <f t="shared" si="1527"/>
        <v>1070230.0040611955</v>
      </c>
      <c r="T900" s="577">
        <f t="shared" si="1527"/>
        <v>1070230.0040611955</v>
      </c>
      <c r="U900" s="577">
        <f t="shared" si="1527"/>
        <v>1070230.0040611955</v>
      </c>
      <c r="V900" s="577">
        <f t="shared" si="1527"/>
        <v>1070230.0040611955</v>
      </c>
      <c r="W900" s="577">
        <f t="shared" si="1527"/>
        <v>1077278.2884245471</v>
      </c>
      <c r="X900" s="577">
        <f t="shared" si="1527"/>
        <v>1094018.8577116055</v>
      </c>
      <c r="Y900" s="577">
        <f t="shared" si="1527"/>
        <v>1110769.4771331267</v>
      </c>
      <c r="Z900" s="577">
        <f t="shared" si="1527"/>
        <v>1127535.5257808657</v>
      </c>
      <c r="AA900" s="577">
        <f t="shared" si="1527"/>
        <v>1144310.8337393873</v>
      </c>
      <c r="AB900" s="577">
        <f t="shared" si="1527"/>
        <v>1161105.092897444</v>
      </c>
      <c r="AC900" s="577">
        <f t="shared" si="1527"/>
        <v>1177912.5582977822</v>
      </c>
      <c r="AD900" s="577">
        <f t="shared" si="1527"/>
        <v>1194739.4927614694</v>
      </c>
      <c r="AE900" s="577">
        <f t="shared" si="1527"/>
        <v>1211592.4589903122</v>
      </c>
      <c r="AF900" s="577">
        <f t="shared" si="1527"/>
        <v>1228466.5318912936</v>
      </c>
      <c r="AG900" s="577">
        <f t="shared" si="1527"/>
        <v>1245368.9218081054</v>
      </c>
      <c r="AH900" s="752">
        <f t="shared" si="1527"/>
        <v>1262307.2425059676</v>
      </c>
      <c r="AI900" s="18"/>
      <c r="AJ900" s="18"/>
      <c r="AK900" s="18"/>
      <c r="AL900" s="18"/>
      <c r="AM900" s="18"/>
      <c r="AN900" s="18"/>
    </row>
    <row r="901" spans="2:40" ht="21.95" customHeight="1" x14ac:dyDescent="0.2">
      <c r="B901" s="232"/>
      <c r="C901" s="715"/>
      <c r="D901" s="715"/>
      <c r="E901" s="1340"/>
      <c r="F901" s="116"/>
      <c r="G901" s="116"/>
      <c r="H901" s="124" t="s">
        <v>19</v>
      </c>
      <c r="I901" s="577">
        <f t="shared" ref="I901:AH901" si="1528">I810*$D$14</f>
        <v>2806258.6766446293</v>
      </c>
      <c r="J901" s="577">
        <f t="shared" si="1528"/>
        <v>2810478.913073644</v>
      </c>
      <c r="K901" s="577">
        <f t="shared" si="1528"/>
        <v>2814699.3296080884</v>
      </c>
      <c r="L901" s="577">
        <f t="shared" si="1528"/>
        <v>2818919.9285264919</v>
      </c>
      <c r="M901" s="577">
        <f t="shared" si="1528"/>
        <v>2823140.7122984044</v>
      </c>
      <c r="N901" s="577">
        <f t="shared" si="1528"/>
        <v>2827361.6834230511</v>
      </c>
      <c r="O901" s="577">
        <f t="shared" si="1528"/>
        <v>2831582.8444296485</v>
      </c>
      <c r="P901" s="577">
        <f t="shared" si="1528"/>
        <v>2835804.1978777186</v>
      </c>
      <c r="Q901" s="577">
        <f t="shared" si="1528"/>
        <v>2840025.7463574042</v>
      </c>
      <c r="R901" s="577">
        <f t="shared" si="1528"/>
        <v>2840025.7465395462</v>
      </c>
      <c r="S901" s="577">
        <f t="shared" si="1528"/>
        <v>2840025.7465395462</v>
      </c>
      <c r="T901" s="577">
        <f t="shared" si="1528"/>
        <v>2840025.7465395462</v>
      </c>
      <c r="U901" s="577">
        <f t="shared" si="1528"/>
        <v>2840025.7465395462</v>
      </c>
      <c r="V901" s="577">
        <f t="shared" si="1528"/>
        <v>2840025.7465395462</v>
      </c>
      <c r="W901" s="577">
        <f t="shared" si="1528"/>
        <v>2858729.4915148234</v>
      </c>
      <c r="X901" s="577">
        <f t="shared" si="1528"/>
        <v>2903153.258001057</v>
      </c>
      <c r="Y901" s="577">
        <f t="shared" si="1528"/>
        <v>2947603.6941195391</v>
      </c>
      <c r="Z901" s="577">
        <f t="shared" si="1528"/>
        <v>2992095.0741468458</v>
      </c>
      <c r="AA901" s="577">
        <f t="shared" si="1528"/>
        <v>3036611.0252298312</v>
      </c>
      <c r="AB901" s="577">
        <f t="shared" si="1528"/>
        <v>3081177.2663387018</v>
      </c>
      <c r="AC901" s="577">
        <f t="shared" si="1528"/>
        <v>3125778.552314519</v>
      </c>
      <c r="AD901" s="577">
        <f t="shared" si="1528"/>
        <v>3170431.5025503193</v>
      </c>
      <c r="AE901" s="577">
        <f t="shared" si="1528"/>
        <v>3215153.5322204372</v>
      </c>
      <c r="AF901" s="577">
        <f t="shared" si="1528"/>
        <v>3259931.5718062459</v>
      </c>
      <c r="AG901" s="577">
        <f t="shared" si="1528"/>
        <v>3304784.7551029562</v>
      </c>
      <c r="AH901" s="752">
        <f t="shared" si="1528"/>
        <v>3349733.2864490473</v>
      </c>
      <c r="AI901" s="18"/>
      <c r="AJ901" s="18"/>
      <c r="AK901" s="18"/>
      <c r="AL901" s="18"/>
      <c r="AM901" s="18"/>
      <c r="AN901" s="18"/>
    </row>
    <row r="902" spans="2:40" ht="21.95" customHeight="1" x14ac:dyDescent="0.2">
      <c r="B902" s="232"/>
      <c r="C902" s="715"/>
      <c r="D902" s="715"/>
      <c r="E902" s="1340"/>
      <c r="F902" s="116"/>
      <c r="G902" s="116"/>
      <c r="H902" s="721" t="s">
        <v>25</v>
      </c>
      <c r="I902" s="577">
        <f t="shared" ref="I902:AH902" si="1529">SUM(I900:I901)</f>
        <v>3863763.9610814322</v>
      </c>
      <c r="J902" s="577">
        <f t="shared" si="1529"/>
        <v>3869574.5435332134</v>
      </c>
      <c r="K902" s="577">
        <f t="shared" si="1529"/>
        <v>3875385.3739610184</v>
      </c>
      <c r="L902" s="577">
        <f t="shared" si="1529"/>
        <v>3881196.4555020137</v>
      </c>
      <c r="M902" s="577">
        <f t="shared" si="1529"/>
        <v>3887007.7915563695</v>
      </c>
      <c r="N902" s="577">
        <f t="shared" si="1529"/>
        <v>3892819.3855651133</v>
      </c>
      <c r="O902" s="577">
        <f t="shared" si="1529"/>
        <v>3898631.241010569</v>
      </c>
      <c r="P902" s="577">
        <f t="shared" si="1529"/>
        <v>3904443.3614167823</v>
      </c>
      <c r="Q902" s="577">
        <f t="shared" si="1529"/>
        <v>3910255.7503499617</v>
      </c>
      <c r="R902" s="577">
        <f t="shared" si="1529"/>
        <v>3910255.7506007417</v>
      </c>
      <c r="S902" s="577">
        <f t="shared" si="1529"/>
        <v>3910255.7506007417</v>
      </c>
      <c r="T902" s="577">
        <f t="shared" si="1529"/>
        <v>3910255.7506007417</v>
      </c>
      <c r="U902" s="577">
        <f t="shared" si="1529"/>
        <v>3910255.7506007417</v>
      </c>
      <c r="V902" s="577">
        <f t="shared" si="1529"/>
        <v>3910255.7506007417</v>
      </c>
      <c r="W902" s="577">
        <f t="shared" si="1529"/>
        <v>3936007.7799393702</v>
      </c>
      <c r="X902" s="577">
        <f t="shared" si="1529"/>
        <v>3997172.1157126622</v>
      </c>
      <c r="Y902" s="577">
        <f t="shared" si="1529"/>
        <v>4058373.171252666</v>
      </c>
      <c r="Z902" s="577">
        <f t="shared" si="1529"/>
        <v>4119630.5999277113</v>
      </c>
      <c r="AA902" s="577">
        <f t="shared" si="1529"/>
        <v>4180921.8589692186</v>
      </c>
      <c r="AB902" s="577">
        <f t="shared" si="1529"/>
        <v>4242282.3592361454</v>
      </c>
      <c r="AC902" s="577">
        <f t="shared" si="1529"/>
        <v>4303691.1106123012</v>
      </c>
      <c r="AD902" s="577">
        <f t="shared" si="1529"/>
        <v>4365170.9953117892</v>
      </c>
      <c r="AE902" s="577">
        <f t="shared" si="1529"/>
        <v>4426745.9912107494</v>
      </c>
      <c r="AF902" s="577">
        <f t="shared" si="1529"/>
        <v>4488398.1036975393</v>
      </c>
      <c r="AG902" s="577">
        <f t="shared" si="1529"/>
        <v>4550153.6769110616</v>
      </c>
      <c r="AH902" s="752">
        <f t="shared" si="1529"/>
        <v>4612040.5289550144</v>
      </c>
      <c r="AI902" s="18"/>
      <c r="AJ902" s="18"/>
      <c r="AK902" s="18"/>
      <c r="AL902" s="18"/>
      <c r="AM902" s="18"/>
      <c r="AN902" s="18"/>
    </row>
    <row r="903" spans="2:40" ht="21.95" customHeight="1" x14ac:dyDescent="0.2">
      <c r="B903" s="232"/>
      <c r="C903" s="715"/>
      <c r="D903" s="715"/>
      <c r="E903" s="1340"/>
      <c r="F903" s="116" t="s">
        <v>341</v>
      </c>
      <c r="G903" s="116" t="s">
        <v>344</v>
      </c>
      <c r="H903" s="116" t="s">
        <v>20</v>
      </c>
      <c r="I903" s="577">
        <f t="shared" ref="I903:AH903" si="1530">I812*$D$13</f>
        <v>1093186.5065553952</v>
      </c>
      <c r="J903" s="577">
        <f t="shared" si="1530"/>
        <v>1094843.4764785087</v>
      </c>
      <c r="K903" s="577">
        <f t="shared" si="1530"/>
        <v>1096500.7317928071</v>
      </c>
      <c r="L903" s="577">
        <f t="shared" si="1530"/>
        <v>1098158.2761088018</v>
      </c>
      <c r="M903" s="577">
        <f t="shared" si="1530"/>
        <v>1099816.1133396837</v>
      </c>
      <c r="N903" s="577">
        <f t="shared" si="1530"/>
        <v>1101474.2474456741</v>
      </c>
      <c r="O903" s="577">
        <f t="shared" si="1530"/>
        <v>1103132.6824345149</v>
      </c>
      <c r="P903" s="577">
        <f t="shared" si="1530"/>
        <v>1104791.422361969</v>
      </c>
      <c r="Q903" s="577">
        <f t="shared" si="1530"/>
        <v>1106450.4713323219</v>
      </c>
      <c r="R903" s="577">
        <f t="shared" si="1530"/>
        <v>1106450.4716209394</v>
      </c>
      <c r="S903" s="577">
        <f t="shared" si="1530"/>
        <v>1106450.4716209394</v>
      </c>
      <c r="T903" s="577">
        <f t="shared" si="1530"/>
        <v>1106450.4716209394</v>
      </c>
      <c r="U903" s="577">
        <f t="shared" si="1530"/>
        <v>1106450.4716209394</v>
      </c>
      <c r="V903" s="577">
        <f t="shared" si="1530"/>
        <v>1106450.4716209394</v>
      </c>
      <c r="W903" s="577">
        <f t="shared" si="1530"/>
        <v>1106450.4716209394</v>
      </c>
      <c r="X903" s="577">
        <f t="shared" si="1530"/>
        <v>1106450.4716209394</v>
      </c>
      <c r="Y903" s="577">
        <f t="shared" si="1530"/>
        <v>1106450.4716209394</v>
      </c>
      <c r="Z903" s="577">
        <f t="shared" si="1530"/>
        <v>1106450.4716209394</v>
      </c>
      <c r="AA903" s="577">
        <f t="shared" si="1530"/>
        <v>1121031.8319766391</v>
      </c>
      <c r="AB903" s="577">
        <f t="shared" si="1530"/>
        <v>1137621.2848683638</v>
      </c>
      <c r="AC903" s="577">
        <f t="shared" si="1530"/>
        <v>1154246.7443844995</v>
      </c>
      <c r="AD903" s="577">
        <f t="shared" si="1530"/>
        <v>1170917.5400753496</v>
      </c>
      <c r="AE903" s="577">
        <f t="shared" si="1530"/>
        <v>1187643.700148029</v>
      </c>
      <c r="AF903" s="577">
        <f t="shared" si="1530"/>
        <v>1204424.2636479763</v>
      </c>
      <c r="AG903" s="577">
        <f t="shared" si="1530"/>
        <v>1221270.7668982875</v>
      </c>
      <c r="AH903" s="752">
        <f t="shared" si="1530"/>
        <v>1238195.685640082</v>
      </c>
      <c r="AI903" s="18"/>
      <c r="AJ903" s="18"/>
      <c r="AK903" s="18"/>
      <c r="AL903" s="18"/>
      <c r="AM903" s="18"/>
      <c r="AN903" s="18"/>
    </row>
    <row r="904" spans="2:40" ht="21.95" customHeight="1" x14ac:dyDescent="0.2">
      <c r="B904" s="232"/>
      <c r="C904" s="715"/>
      <c r="D904" s="715"/>
      <c r="E904" s="1340"/>
      <c r="F904" s="116"/>
      <c r="G904" s="116"/>
      <c r="H904" s="124" t="s">
        <v>19</v>
      </c>
      <c r="I904" s="577">
        <f t="shared" ref="I904:AH904" si="1531">I813*$D$14</f>
        <v>2900944.4816587484</v>
      </c>
      <c r="J904" s="577">
        <f t="shared" si="1531"/>
        <v>2905341.5152169801</v>
      </c>
      <c r="K904" s="577">
        <f t="shared" si="1531"/>
        <v>2909739.3061061692</v>
      </c>
      <c r="L904" s="577">
        <f t="shared" si="1531"/>
        <v>2914137.8639073819</v>
      </c>
      <c r="M904" s="577">
        <f t="shared" si="1531"/>
        <v>2918537.1990048937</v>
      </c>
      <c r="N904" s="577">
        <f t="shared" si="1531"/>
        <v>2922937.3219077815</v>
      </c>
      <c r="O904" s="577">
        <f t="shared" si="1531"/>
        <v>2927338.2432512282</v>
      </c>
      <c r="P904" s="577">
        <f t="shared" si="1531"/>
        <v>2931739.9737978461</v>
      </c>
      <c r="Q904" s="577">
        <f t="shared" si="1531"/>
        <v>2936142.5244390094</v>
      </c>
      <c r="R904" s="577">
        <f t="shared" si="1531"/>
        <v>2936142.525204902</v>
      </c>
      <c r="S904" s="577">
        <f t="shared" si="1531"/>
        <v>2936142.525204902</v>
      </c>
      <c r="T904" s="577">
        <f t="shared" si="1531"/>
        <v>2936142.525204902</v>
      </c>
      <c r="U904" s="577">
        <f t="shared" si="1531"/>
        <v>2936142.525204902</v>
      </c>
      <c r="V904" s="577">
        <f t="shared" si="1531"/>
        <v>2936142.525204902</v>
      </c>
      <c r="W904" s="577">
        <f t="shared" si="1531"/>
        <v>2936142.525204902</v>
      </c>
      <c r="X904" s="577">
        <f t="shared" si="1531"/>
        <v>2936142.525204902</v>
      </c>
      <c r="Y904" s="577">
        <f t="shared" si="1531"/>
        <v>2936142.525204902</v>
      </c>
      <c r="Z904" s="577">
        <f t="shared" si="1531"/>
        <v>2936142.525204902</v>
      </c>
      <c r="AA904" s="577">
        <f t="shared" si="1531"/>
        <v>2974836.4869445423</v>
      </c>
      <c r="AB904" s="577">
        <f t="shared" si="1531"/>
        <v>3018859.2420109459</v>
      </c>
      <c r="AC904" s="577">
        <f t="shared" si="1531"/>
        <v>3062977.5463891667</v>
      </c>
      <c r="AD904" s="577">
        <f t="shared" si="1531"/>
        <v>3107216.1575266356</v>
      </c>
      <c r="AE904" s="577">
        <f t="shared" si="1531"/>
        <v>3151601.6868678923</v>
      </c>
      <c r="AF904" s="577">
        <f t="shared" si="1531"/>
        <v>3196131.5843669786</v>
      </c>
      <c r="AG904" s="577">
        <f t="shared" si="1531"/>
        <v>3240836.4634943539</v>
      </c>
      <c r="AH904" s="752">
        <f t="shared" si="1531"/>
        <v>3285749.4306158</v>
      </c>
      <c r="AI904" s="18"/>
      <c r="AJ904" s="18"/>
      <c r="AK904" s="18"/>
      <c r="AL904" s="18"/>
      <c r="AM904" s="18"/>
      <c r="AN904" s="18"/>
    </row>
    <row r="905" spans="2:40" ht="21.95" customHeight="1" x14ac:dyDescent="0.2">
      <c r="B905" s="232"/>
      <c r="C905" s="715"/>
      <c r="D905" s="715"/>
      <c r="E905" s="1340"/>
      <c r="F905" s="116"/>
      <c r="G905" s="116"/>
      <c r="H905" s="721" t="s">
        <v>25</v>
      </c>
      <c r="I905" s="577">
        <f t="shared" ref="I905:AH905" si="1532">SUM(I903:I904)</f>
        <v>3994130.9882141436</v>
      </c>
      <c r="J905" s="577">
        <f t="shared" si="1532"/>
        <v>4000184.9916954888</v>
      </c>
      <c r="K905" s="577">
        <f t="shared" si="1532"/>
        <v>4006240.0378989764</v>
      </c>
      <c r="L905" s="577">
        <f t="shared" si="1532"/>
        <v>4012296.1400161837</v>
      </c>
      <c r="M905" s="577">
        <f t="shared" si="1532"/>
        <v>4018353.3123445772</v>
      </c>
      <c r="N905" s="577">
        <f t="shared" si="1532"/>
        <v>4024411.5693534557</v>
      </c>
      <c r="O905" s="577">
        <f t="shared" si="1532"/>
        <v>4030470.9256857429</v>
      </c>
      <c r="P905" s="577">
        <f t="shared" si="1532"/>
        <v>4036531.3961598151</v>
      </c>
      <c r="Q905" s="577">
        <f t="shared" si="1532"/>
        <v>4042592.9957713312</v>
      </c>
      <c r="R905" s="577">
        <f t="shared" si="1532"/>
        <v>4042592.9968258413</v>
      </c>
      <c r="S905" s="577">
        <f t="shared" si="1532"/>
        <v>4042592.9968258413</v>
      </c>
      <c r="T905" s="577">
        <f t="shared" si="1532"/>
        <v>4042592.9968258413</v>
      </c>
      <c r="U905" s="577">
        <f t="shared" si="1532"/>
        <v>4042592.9968258413</v>
      </c>
      <c r="V905" s="577">
        <f t="shared" si="1532"/>
        <v>4042592.9968258413</v>
      </c>
      <c r="W905" s="577">
        <f t="shared" si="1532"/>
        <v>4042592.9968258413</v>
      </c>
      <c r="X905" s="577">
        <f t="shared" si="1532"/>
        <v>4042592.9968258413</v>
      </c>
      <c r="Y905" s="577">
        <f t="shared" si="1532"/>
        <v>4042592.9968258413</v>
      </c>
      <c r="Z905" s="577">
        <f t="shared" si="1532"/>
        <v>4042592.9968258413</v>
      </c>
      <c r="AA905" s="577">
        <f t="shared" si="1532"/>
        <v>4095868.3189211814</v>
      </c>
      <c r="AB905" s="577">
        <f t="shared" si="1532"/>
        <v>4156480.5268793097</v>
      </c>
      <c r="AC905" s="577">
        <f t="shared" si="1532"/>
        <v>4217224.2907736665</v>
      </c>
      <c r="AD905" s="577">
        <f t="shared" si="1532"/>
        <v>4278133.6976019852</v>
      </c>
      <c r="AE905" s="577">
        <f t="shared" si="1532"/>
        <v>4339245.3870159211</v>
      </c>
      <c r="AF905" s="577">
        <f t="shared" si="1532"/>
        <v>4400555.8480149545</v>
      </c>
      <c r="AG905" s="577">
        <f t="shared" si="1532"/>
        <v>4462107.2303926414</v>
      </c>
      <c r="AH905" s="752">
        <f t="shared" si="1532"/>
        <v>4523945.1162558822</v>
      </c>
      <c r="AI905" s="18"/>
      <c r="AJ905" s="18"/>
      <c r="AK905" s="18"/>
      <c r="AL905" s="18"/>
      <c r="AM905" s="18"/>
      <c r="AN905" s="18"/>
    </row>
    <row r="906" spans="2:40" ht="21.95" customHeight="1" x14ac:dyDescent="0.2">
      <c r="B906" s="232"/>
      <c r="C906" s="715"/>
      <c r="D906" s="715"/>
      <c r="E906" s="1340"/>
      <c r="F906" s="116" t="s">
        <v>344</v>
      </c>
      <c r="G906" s="116" t="s">
        <v>345</v>
      </c>
      <c r="H906" s="116" t="s">
        <v>20</v>
      </c>
      <c r="I906" s="577">
        <f t="shared" ref="I906:AH906" si="1533">I815*$D$13</f>
        <v>368627.94755787193</v>
      </c>
      <c r="J906" s="577">
        <f t="shared" si="1533"/>
        <v>369183.02155541343</v>
      </c>
      <c r="K906" s="577">
        <f t="shared" si="1533"/>
        <v>369738.13094969583</v>
      </c>
      <c r="L906" s="577">
        <f t="shared" si="1533"/>
        <v>370293.27618852665</v>
      </c>
      <c r="M906" s="577">
        <f t="shared" si="1533"/>
        <v>370848.45775725436</v>
      </c>
      <c r="N906" s="577">
        <f t="shared" si="1533"/>
        <v>371403.67614706076</v>
      </c>
      <c r="O906" s="577">
        <f t="shared" si="1533"/>
        <v>371958.93185502139</v>
      </c>
      <c r="P906" s="577">
        <f t="shared" si="1533"/>
        <v>372514.22538416815</v>
      </c>
      <c r="Q906" s="577">
        <f t="shared" si="1533"/>
        <v>373069.55724355037</v>
      </c>
      <c r="R906" s="577">
        <f t="shared" si="1533"/>
        <v>373069.55727934738</v>
      </c>
      <c r="S906" s="577">
        <f t="shared" si="1533"/>
        <v>373069.55727934738</v>
      </c>
      <c r="T906" s="577">
        <f t="shared" si="1533"/>
        <v>373069.55727934738</v>
      </c>
      <c r="U906" s="577">
        <f t="shared" si="1533"/>
        <v>373069.55727934738</v>
      </c>
      <c r="V906" s="577">
        <f t="shared" si="1533"/>
        <v>373069.55727934738</v>
      </c>
      <c r="W906" s="577">
        <f t="shared" si="1533"/>
        <v>373069.55727934738</v>
      </c>
      <c r="X906" s="577">
        <f t="shared" si="1533"/>
        <v>373069.55727934738</v>
      </c>
      <c r="Y906" s="577">
        <f t="shared" si="1533"/>
        <v>373069.55727934738</v>
      </c>
      <c r="Z906" s="577">
        <f t="shared" si="1533"/>
        <v>373069.55727934738</v>
      </c>
      <c r="AA906" s="577">
        <f t="shared" si="1533"/>
        <v>377947.42826853995</v>
      </c>
      <c r="AB906" s="577">
        <f t="shared" si="1533"/>
        <v>383490.09484058962</v>
      </c>
      <c r="AC906" s="577">
        <f t="shared" si="1533"/>
        <v>389036.41413809493</v>
      </c>
      <c r="AD906" s="577">
        <f t="shared" si="1533"/>
        <v>394588.35642927099</v>
      </c>
      <c r="AE906" s="577">
        <f t="shared" si="1533"/>
        <v>400147.97863593407</v>
      </c>
      <c r="AF906" s="577">
        <f t="shared" si="1533"/>
        <v>405713.53530237806</v>
      </c>
      <c r="AG906" s="577">
        <f t="shared" si="1533"/>
        <v>411287.27040031255</v>
      </c>
      <c r="AH906" s="752">
        <f t="shared" si="1533"/>
        <v>416871.54441638495</v>
      </c>
      <c r="AI906" s="18"/>
      <c r="AJ906" s="18"/>
      <c r="AK906" s="18"/>
      <c r="AL906" s="18"/>
      <c r="AM906" s="18"/>
      <c r="AN906" s="18"/>
    </row>
    <row r="907" spans="2:40" ht="21.95" customHeight="1" x14ac:dyDescent="0.2">
      <c r="B907" s="232"/>
      <c r="C907" s="715"/>
      <c r="D907" s="715"/>
      <c r="E907" s="1340"/>
      <c r="F907" s="116"/>
      <c r="G907" s="116"/>
      <c r="H907" s="124" t="s">
        <v>19</v>
      </c>
      <c r="I907" s="577">
        <f t="shared" ref="I907:AH907" si="1534">I816*$D$14</f>
        <v>978212.96168643341</v>
      </c>
      <c r="J907" s="577">
        <f t="shared" si="1534"/>
        <v>979685.9389326988</v>
      </c>
      <c r="K907" s="577">
        <f t="shared" si="1534"/>
        <v>981159.01010985265</v>
      </c>
      <c r="L907" s="577">
        <f t="shared" si="1534"/>
        <v>982632.17640622414</v>
      </c>
      <c r="M907" s="577">
        <f t="shared" si="1534"/>
        <v>984105.43910976255</v>
      </c>
      <c r="N907" s="577">
        <f t="shared" si="1534"/>
        <v>985578.79952389654</v>
      </c>
      <c r="O907" s="577">
        <f t="shared" si="1534"/>
        <v>987052.25896769587</v>
      </c>
      <c r="P907" s="577">
        <f t="shared" si="1534"/>
        <v>988525.81877603522</v>
      </c>
      <c r="Q907" s="577">
        <f t="shared" si="1534"/>
        <v>989999.48029975849</v>
      </c>
      <c r="R907" s="577">
        <f t="shared" si="1534"/>
        <v>989999.48039475165</v>
      </c>
      <c r="S907" s="577">
        <f t="shared" si="1534"/>
        <v>989999.48039475165</v>
      </c>
      <c r="T907" s="577">
        <f t="shared" si="1534"/>
        <v>989999.48039475165</v>
      </c>
      <c r="U907" s="577">
        <f t="shared" si="1534"/>
        <v>989999.48039475165</v>
      </c>
      <c r="V907" s="577">
        <f t="shared" si="1534"/>
        <v>989999.48039475165</v>
      </c>
      <c r="W907" s="577">
        <f t="shared" si="1534"/>
        <v>989999.48039475165</v>
      </c>
      <c r="X907" s="577">
        <f t="shared" si="1534"/>
        <v>989999.48039475165</v>
      </c>
      <c r="Y907" s="577">
        <f t="shared" si="1534"/>
        <v>989999.48039475165</v>
      </c>
      <c r="Z907" s="577">
        <f t="shared" si="1534"/>
        <v>989999.48039475165</v>
      </c>
      <c r="AA907" s="577">
        <f t="shared" si="1534"/>
        <v>1002943.6878501923</v>
      </c>
      <c r="AB907" s="577">
        <f t="shared" si="1534"/>
        <v>1017652.0362513507</v>
      </c>
      <c r="AC907" s="577">
        <f t="shared" si="1534"/>
        <v>1032370.0777411906</v>
      </c>
      <c r="AD907" s="577">
        <f t="shared" si="1534"/>
        <v>1047103.0407401798</v>
      </c>
      <c r="AE907" s="577">
        <f t="shared" si="1534"/>
        <v>1061856.3836179164</v>
      </c>
      <c r="AF907" s="577">
        <f t="shared" si="1534"/>
        <v>1076625.4745297257</v>
      </c>
      <c r="AG907" s="577">
        <f t="shared" si="1534"/>
        <v>1091416.2682118844</v>
      </c>
      <c r="AH907" s="752">
        <f t="shared" si="1534"/>
        <v>1106235.0285916117</v>
      </c>
      <c r="AI907" s="18"/>
      <c r="AJ907" s="18"/>
      <c r="AK907" s="18"/>
      <c r="AL907" s="18"/>
      <c r="AM907" s="18"/>
      <c r="AN907" s="18"/>
    </row>
    <row r="908" spans="2:40" ht="21.95" customHeight="1" x14ac:dyDescent="0.2">
      <c r="B908" s="232"/>
      <c r="C908" s="715"/>
      <c r="D908" s="715"/>
      <c r="E908" s="1340"/>
      <c r="F908" s="116"/>
      <c r="G908" s="116"/>
      <c r="H908" s="721" t="s">
        <v>25</v>
      </c>
      <c r="I908" s="577">
        <f t="shared" ref="I908:AH908" si="1535">SUM(I906:I907)</f>
        <v>1346840.9092443055</v>
      </c>
      <c r="J908" s="577">
        <f t="shared" si="1535"/>
        <v>1348868.9604881122</v>
      </c>
      <c r="K908" s="577">
        <f t="shared" si="1535"/>
        <v>1350897.1410595486</v>
      </c>
      <c r="L908" s="577">
        <f t="shared" si="1535"/>
        <v>1352925.4525947508</v>
      </c>
      <c r="M908" s="577">
        <f t="shared" si="1535"/>
        <v>1354953.8968670168</v>
      </c>
      <c r="N908" s="577">
        <f t="shared" si="1535"/>
        <v>1356982.4756709572</v>
      </c>
      <c r="O908" s="577">
        <f t="shared" si="1535"/>
        <v>1359011.1908227173</v>
      </c>
      <c r="P908" s="577">
        <f t="shared" si="1535"/>
        <v>1361040.0441602033</v>
      </c>
      <c r="Q908" s="577">
        <f t="shared" si="1535"/>
        <v>1363069.0375433089</v>
      </c>
      <c r="R908" s="577">
        <f t="shared" si="1535"/>
        <v>1363069.037674099</v>
      </c>
      <c r="S908" s="577">
        <f t="shared" si="1535"/>
        <v>1363069.037674099</v>
      </c>
      <c r="T908" s="577">
        <f t="shared" si="1535"/>
        <v>1363069.037674099</v>
      </c>
      <c r="U908" s="577">
        <f t="shared" si="1535"/>
        <v>1363069.037674099</v>
      </c>
      <c r="V908" s="577">
        <f t="shared" si="1535"/>
        <v>1363069.037674099</v>
      </c>
      <c r="W908" s="577">
        <f t="shared" si="1535"/>
        <v>1363069.037674099</v>
      </c>
      <c r="X908" s="577">
        <f t="shared" si="1535"/>
        <v>1363069.037674099</v>
      </c>
      <c r="Y908" s="577">
        <f t="shared" si="1535"/>
        <v>1363069.037674099</v>
      </c>
      <c r="Z908" s="577">
        <f t="shared" si="1535"/>
        <v>1363069.037674099</v>
      </c>
      <c r="AA908" s="577">
        <f t="shared" si="1535"/>
        <v>1380891.1161187324</v>
      </c>
      <c r="AB908" s="577">
        <f t="shared" si="1535"/>
        <v>1401142.1310919402</v>
      </c>
      <c r="AC908" s="577">
        <f t="shared" si="1535"/>
        <v>1421406.4918792855</v>
      </c>
      <c r="AD908" s="577">
        <f t="shared" si="1535"/>
        <v>1441691.3971694508</v>
      </c>
      <c r="AE908" s="577">
        <f t="shared" si="1535"/>
        <v>1462004.3622538503</v>
      </c>
      <c r="AF908" s="577">
        <f t="shared" si="1535"/>
        <v>1482339.0098321037</v>
      </c>
      <c r="AG908" s="577">
        <f t="shared" si="1535"/>
        <v>1502703.5386121969</v>
      </c>
      <c r="AH908" s="752">
        <f t="shared" si="1535"/>
        <v>1523106.5730079967</v>
      </c>
      <c r="AI908" s="18"/>
      <c r="AJ908" s="18"/>
      <c r="AK908" s="18"/>
      <c r="AL908" s="18"/>
      <c r="AM908" s="18"/>
      <c r="AN908" s="18"/>
    </row>
    <row r="909" spans="2:40" ht="21.95" customHeight="1" x14ac:dyDescent="0.2">
      <c r="B909" s="232"/>
      <c r="C909" s="715"/>
      <c r="D909" s="715"/>
      <c r="E909" s="1340"/>
      <c r="F909" s="116" t="s">
        <v>345</v>
      </c>
      <c r="G909" s="116" t="s">
        <v>323</v>
      </c>
      <c r="H909" s="116" t="s">
        <v>20</v>
      </c>
      <c r="I909" s="577">
        <f t="shared" ref="I909:AH909" si="1536">I818*$D$13</f>
        <v>3641695.0293918885</v>
      </c>
      <c r="J909" s="577">
        <f t="shared" si="1536"/>
        <v>3725598.0928725279</v>
      </c>
      <c r="K909" s="577">
        <f t="shared" si="1536"/>
        <v>3848479.2052239333</v>
      </c>
      <c r="L909" s="577">
        <f t="shared" si="1536"/>
        <v>3996171.7343661161</v>
      </c>
      <c r="M909" s="577">
        <f t="shared" si="1536"/>
        <v>4144389.72658853</v>
      </c>
      <c r="N909" s="577">
        <f t="shared" si="1536"/>
        <v>4293293.2412645696</v>
      </c>
      <c r="O909" s="577">
        <f t="shared" si="1536"/>
        <v>4443062.7782224901</v>
      </c>
      <c r="P909" s="577">
        <f t="shared" si="1536"/>
        <v>4594155.938965044</v>
      </c>
      <c r="Q909" s="577">
        <f t="shared" si="1536"/>
        <v>4725455.9019171875</v>
      </c>
      <c r="R909" s="577">
        <f t="shared" si="1536"/>
        <v>4858321.8123884974</v>
      </c>
      <c r="S909" s="577">
        <f t="shared" si="1536"/>
        <v>4993189.8589423299</v>
      </c>
      <c r="T909" s="577">
        <f t="shared" si="1536"/>
        <v>5130573.7896380424</v>
      </c>
      <c r="U909" s="577">
        <f t="shared" si="1536"/>
        <v>5271199.5738227805</v>
      </c>
      <c r="V909" s="577">
        <f t="shared" si="1536"/>
        <v>5387389.1272446383</v>
      </c>
      <c r="W909" s="577">
        <f t="shared" si="1536"/>
        <v>5485034.7083956348</v>
      </c>
      <c r="X909" s="577">
        <f t="shared" si="1536"/>
        <v>5585037.8265445717</v>
      </c>
      <c r="Y909" s="577">
        <f t="shared" si="1536"/>
        <v>5687748.1314903172</v>
      </c>
      <c r="Z909" s="577">
        <f t="shared" si="1536"/>
        <v>5793585.6796640921</v>
      </c>
      <c r="AA909" s="577">
        <f t="shared" si="1536"/>
        <v>5902946.5608709604</v>
      </c>
      <c r="AB909" s="577">
        <f t="shared" si="1536"/>
        <v>6016383.4313629828</v>
      </c>
      <c r="AC909" s="577">
        <f t="shared" si="1536"/>
        <v>6134406.8558041155</v>
      </c>
      <c r="AD909" s="577">
        <f t="shared" si="1536"/>
        <v>6257674.8393103648</v>
      </c>
      <c r="AE909" s="577">
        <f t="shared" si="1536"/>
        <v>6386926.1686061239</v>
      </c>
      <c r="AF909" s="577">
        <f t="shared" si="1536"/>
        <v>6522892.2626584535</v>
      </c>
      <c r="AG909" s="577">
        <f t="shared" si="1536"/>
        <v>6666486.3693894539</v>
      </c>
      <c r="AH909" s="752">
        <f t="shared" si="1536"/>
        <v>6818730.4100563964</v>
      </c>
      <c r="AI909" s="18"/>
      <c r="AJ909" s="18"/>
      <c r="AK909" s="18"/>
      <c r="AL909" s="18"/>
      <c r="AM909" s="18"/>
      <c r="AN909" s="18"/>
    </row>
    <row r="910" spans="2:40" ht="21.95" customHeight="1" x14ac:dyDescent="0.2">
      <c r="B910" s="232"/>
      <c r="C910" s="715"/>
      <c r="D910" s="715"/>
      <c r="E910" s="1340"/>
      <c r="F910" s="116"/>
      <c r="G910" s="116"/>
      <c r="H910" s="124" t="s">
        <v>19</v>
      </c>
      <c r="I910" s="577">
        <f t="shared" ref="I910:AH910" si="1537">I819*$D$14</f>
        <v>9663817.6889747046</v>
      </c>
      <c r="J910" s="577">
        <f t="shared" si="1537"/>
        <v>9886467.8292196374</v>
      </c>
      <c r="K910" s="577">
        <f t="shared" si="1537"/>
        <v>10212552.429274872</v>
      </c>
      <c r="L910" s="577">
        <f t="shared" si="1537"/>
        <v>10604478.074924551</v>
      </c>
      <c r="M910" s="577">
        <f t="shared" si="1537"/>
        <v>10997798.120535966</v>
      </c>
      <c r="N910" s="577">
        <f t="shared" si="1537"/>
        <v>11392937.30914537</v>
      </c>
      <c r="O910" s="577">
        <f t="shared" si="1537"/>
        <v>11790374.625791075</v>
      </c>
      <c r="P910" s="577">
        <f t="shared" si="1537"/>
        <v>12191324.388932226</v>
      </c>
      <c r="Q910" s="577">
        <f t="shared" si="1537"/>
        <v>12539749.749732012</v>
      </c>
      <c r="R910" s="577">
        <f t="shared" si="1537"/>
        <v>12892330.601646122</v>
      </c>
      <c r="S910" s="577">
        <f t="shared" si="1537"/>
        <v>13250224.44048908</v>
      </c>
      <c r="T910" s="577">
        <f t="shared" si="1537"/>
        <v>13614794.57854916</v>
      </c>
      <c r="U910" s="577">
        <f t="shared" si="1537"/>
        <v>13987967.491097342</v>
      </c>
      <c r="V910" s="577">
        <f t="shared" si="1537"/>
        <v>14296294.973923305</v>
      </c>
      <c r="W910" s="577">
        <f t="shared" si="1537"/>
        <v>14555413.073259257</v>
      </c>
      <c r="X910" s="577">
        <f t="shared" si="1537"/>
        <v>14820787.272449601</v>
      </c>
      <c r="Y910" s="577">
        <f t="shared" si="1537"/>
        <v>15093345.422916261</v>
      </c>
      <c r="Z910" s="577">
        <f t="shared" si="1537"/>
        <v>15374202.211292149</v>
      </c>
      <c r="AA910" s="577">
        <f t="shared" si="1537"/>
        <v>15664408.724951057</v>
      </c>
      <c r="AB910" s="577">
        <f t="shared" si="1537"/>
        <v>15965431.525266601</v>
      </c>
      <c r="AC910" s="577">
        <f t="shared" si="1537"/>
        <v>16278625.476880403</v>
      </c>
      <c r="AD910" s="577">
        <f t="shared" si="1537"/>
        <v>16605736.701153032</v>
      </c>
      <c r="AE910" s="577">
        <f t="shared" si="1537"/>
        <v>16948725.686307132</v>
      </c>
      <c r="AF910" s="577">
        <f t="shared" si="1537"/>
        <v>17309533.369047966</v>
      </c>
      <c r="AG910" s="577">
        <f t="shared" si="1537"/>
        <v>17690583.198168688</v>
      </c>
      <c r="AH910" s="752">
        <f t="shared" si="1537"/>
        <v>18094587.004463214</v>
      </c>
      <c r="AI910" s="18"/>
      <c r="AJ910" s="18"/>
      <c r="AK910" s="18"/>
      <c r="AL910" s="18"/>
      <c r="AM910" s="18"/>
      <c r="AN910" s="18"/>
    </row>
    <row r="911" spans="2:40" ht="21.95" customHeight="1" x14ac:dyDescent="0.2">
      <c r="B911" s="232"/>
      <c r="C911" s="715"/>
      <c r="D911" s="715"/>
      <c r="E911" s="1340"/>
      <c r="F911" s="116"/>
      <c r="G911" s="116"/>
      <c r="H911" s="721" t="s">
        <v>25</v>
      </c>
      <c r="I911" s="577">
        <f t="shared" ref="I911:AH911" si="1538">SUM(I909:I910)</f>
        <v>13305512.718366593</v>
      </c>
      <c r="J911" s="577">
        <f t="shared" si="1538"/>
        <v>13612065.922092166</v>
      </c>
      <c r="K911" s="577">
        <f t="shared" si="1538"/>
        <v>14061031.634498805</v>
      </c>
      <c r="L911" s="577">
        <f t="shared" si="1538"/>
        <v>14600649.809290666</v>
      </c>
      <c r="M911" s="577">
        <f t="shared" si="1538"/>
        <v>15142187.847124496</v>
      </c>
      <c r="N911" s="577">
        <f t="shared" si="1538"/>
        <v>15686230.550409939</v>
      </c>
      <c r="O911" s="577">
        <f t="shared" si="1538"/>
        <v>16233437.404013565</v>
      </c>
      <c r="P911" s="577">
        <f t="shared" si="1538"/>
        <v>16785480.327897269</v>
      </c>
      <c r="Q911" s="577">
        <f t="shared" si="1538"/>
        <v>17265205.651649199</v>
      </c>
      <c r="R911" s="577">
        <f t="shared" si="1538"/>
        <v>17750652.41403462</v>
      </c>
      <c r="S911" s="577">
        <f t="shared" si="1538"/>
        <v>18243414.29943141</v>
      </c>
      <c r="T911" s="577">
        <f t="shared" si="1538"/>
        <v>18745368.368187204</v>
      </c>
      <c r="U911" s="577">
        <f t="shared" si="1538"/>
        <v>19259167.064920124</v>
      </c>
      <c r="V911" s="577">
        <f t="shared" si="1538"/>
        <v>19683684.101167943</v>
      </c>
      <c r="W911" s="577">
        <f t="shared" si="1538"/>
        <v>20040447.781654891</v>
      </c>
      <c r="X911" s="577">
        <f t="shared" si="1538"/>
        <v>20405825.098994173</v>
      </c>
      <c r="Y911" s="577">
        <f t="shared" si="1538"/>
        <v>20781093.55440658</v>
      </c>
      <c r="Z911" s="577">
        <f t="shared" si="1538"/>
        <v>21167787.890956242</v>
      </c>
      <c r="AA911" s="577">
        <f t="shared" si="1538"/>
        <v>21567355.285822019</v>
      </c>
      <c r="AB911" s="577">
        <f t="shared" si="1538"/>
        <v>21981814.956629582</v>
      </c>
      <c r="AC911" s="577">
        <f t="shared" si="1538"/>
        <v>22413032.332684517</v>
      </c>
      <c r="AD911" s="577">
        <f t="shared" si="1538"/>
        <v>22863411.540463395</v>
      </c>
      <c r="AE911" s="577">
        <f t="shared" si="1538"/>
        <v>23335651.854913257</v>
      </c>
      <c r="AF911" s="577">
        <f t="shared" si="1538"/>
        <v>23832425.63170642</v>
      </c>
      <c r="AG911" s="577">
        <f t="shared" si="1538"/>
        <v>24357069.56755814</v>
      </c>
      <c r="AH911" s="752">
        <f t="shared" si="1538"/>
        <v>24913317.414519612</v>
      </c>
      <c r="AI911" s="18"/>
      <c r="AJ911" s="18"/>
      <c r="AK911" s="18"/>
      <c r="AL911" s="18"/>
      <c r="AM911" s="18"/>
      <c r="AN911" s="18"/>
    </row>
    <row r="912" spans="2:40" ht="21.95" customHeight="1" x14ac:dyDescent="0.2">
      <c r="B912" s="232"/>
      <c r="C912" s="715"/>
      <c r="D912" s="715"/>
      <c r="E912" s="1340"/>
      <c r="F912" s="116" t="s">
        <v>323</v>
      </c>
      <c r="G912" s="116" t="s">
        <v>347</v>
      </c>
      <c r="H912" s="116" t="s">
        <v>20</v>
      </c>
      <c r="I912" s="577">
        <f t="shared" ref="I912:AH912" si="1539">I821*$D$13</f>
        <v>650302.68381998036</v>
      </c>
      <c r="J912" s="577">
        <f t="shared" si="1539"/>
        <v>664724.51015956001</v>
      </c>
      <c r="K912" s="577">
        <f t="shared" si="1539"/>
        <v>686103.67009094043</v>
      </c>
      <c r="L912" s="577">
        <f t="shared" si="1539"/>
        <v>713295.22657741327</v>
      </c>
      <c r="M912" s="577">
        <f t="shared" si="1539"/>
        <v>740586.96524929453</v>
      </c>
      <c r="N912" s="577">
        <f t="shared" si="1539"/>
        <v>768005.54361416551</v>
      </c>
      <c r="O912" s="577">
        <f t="shared" si="1539"/>
        <v>795594.75156716164</v>
      </c>
      <c r="P912" s="577">
        <f t="shared" si="1539"/>
        <v>823440.95612863498</v>
      </c>
      <c r="Q912" s="577">
        <f t="shared" si="1539"/>
        <v>848456.26936401671</v>
      </c>
      <c r="R912" s="577">
        <f t="shared" si="1539"/>
        <v>873808.18994246423</v>
      </c>
      <c r="S912" s="577">
        <f t="shared" si="1539"/>
        <v>899587.5234080276</v>
      </c>
      <c r="T912" s="577">
        <f t="shared" si="1539"/>
        <v>925916.04312960885</v>
      </c>
      <c r="U912" s="577">
        <f t="shared" si="1539"/>
        <v>952954.42145981593</v>
      </c>
      <c r="V912" s="577">
        <f t="shared" si="1539"/>
        <v>974106.21889011341</v>
      </c>
      <c r="W912" s="577">
        <f t="shared" si="1539"/>
        <v>991158.05987963686</v>
      </c>
      <c r="X912" s="577">
        <f t="shared" si="1539"/>
        <v>1008637.1482623217</v>
      </c>
      <c r="Y912" s="577">
        <f t="shared" si="1539"/>
        <v>1026603.6907627053</v>
      </c>
      <c r="Z912" s="577">
        <f t="shared" si="1539"/>
        <v>1045128.3535048183</v>
      </c>
      <c r="AA912" s="577">
        <f t="shared" si="1539"/>
        <v>1064280.9980655401</v>
      </c>
      <c r="AB912" s="577">
        <f t="shared" si="1539"/>
        <v>1084152.7593174661</v>
      </c>
      <c r="AC912" s="577">
        <f t="shared" si="1539"/>
        <v>1104832.1530590826</v>
      </c>
      <c r="AD912" s="577">
        <f t="shared" si="1539"/>
        <v>1126428.2857789181</v>
      </c>
      <c r="AE912" s="577">
        <f t="shared" si="1539"/>
        <v>1149062.9956558133</v>
      </c>
      <c r="AF912" s="577">
        <f t="shared" si="1539"/>
        <v>1172860.4091484761</v>
      </c>
      <c r="AG912" s="577">
        <f t="shared" si="1539"/>
        <v>1197970.1553753968</v>
      </c>
      <c r="AH912" s="752">
        <f t="shared" si="1539"/>
        <v>1224558.7571104823</v>
      </c>
      <c r="AI912" s="18"/>
      <c r="AJ912" s="18"/>
      <c r="AK912" s="18"/>
      <c r="AL912" s="18"/>
      <c r="AM912" s="18"/>
      <c r="AN912" s="18"/>
    </row>
    <row r="913" spans="2:40" ht="21.95" customHeight="1" x14ac:dyDescent="0.2">
      <c r="B913" s="232"/>
      <c r="C913" s="715"/>
      <c r="D913" s="715"/>
      <c r="E913" s="1340"/>
      <c r="F913" s="116"/>
      <c r="G913" s="116"/>
      <c r="H913" s="124" t="s">
        <v>19</v>
      </c>
      <c r="I913" s="577">
        <f t="shared" ref="I913:AH913" si="1540">I822*$D$14</f>
        <v>1725681.7301740551</v>
      </c>
      <c r="J913" s="577">
        <f t="shared" si="1540"/>
        <v>1763952.3429966301</v>
      </c>
      <c r="K913" s="577">
        <f t="shared" si="1540"/>
        <v>1820685.3484385472</v>
      </c>
      <c r="L913" s="577">
        <f t="shared" si="1540"/>
        <v>1892842.4737452785</v>
      </c>
      <c r="M913" s="577">
        <f t="shared" si="1540"/>
        <v>1965265.4484346893</v>
      </c>
      <c r="N913" s="577">
        <f t="shared" si="1540"/>
        <v>2038025.0124482706</v>
      </c>
      <c r="O913" s="577">
        <f t="shared" si="1540"/>
        <v>2111237.3692461667</v>
      </c>
      <c r="P913" s="577">
        <f t="shared" si="1540"/>
        <v>2185131.7074705595</v>
      </c>
      <c r="Q913" s="577">
        <f t="shared" si="1540"/>
        <v>2251513.8247506255</v>
      </c>
      <c r="R913" s="577">
        <f t="shared" si="1540"/>
        <v>2318789.1832191776</v>
      </c>
      <c r="S913" s="577">
        <f t="shared" si="1540"/>
        <v>2387198.7498478498</v>
      </c>
      <c r="T913" s="577">
        <f t="shared" si="1540"/>
        <v>2457065.6696630497</v>
      </c>
      <c r="U913" s="577">
        <f t="shared" si="1540"/>
        <v>2528816.3123389902</v>
      </c>
      <c r="V913" s="577">
        <f t="shared" si="1540"/>
        <v>2584945.9751775204</v>
      </c>
      <c r="W913" s="577">
        <f t="shared" si="1540"/>
        <v>2630195.7506952849</v>
      </c>
      <c r="X913" s="577">
        <f t="shared" si="1540"/>
        <v>2676579.2952086069</v>
      </c>
      <c r="Y913" s="577">
        <f t="shared" si="1540"/>
        <v>2724256.3768487782</v>
      </c>
      <c r="Z913" s="577">
        <f t="shared" si="1540"/>
        <v>2773414.5194292716</v>
      </c>
      <c r="AA913" s="577">
        <f t="shared" si="1540"/>
        <v>2824239.1117695738</v>
      </c>
      <c r="AB913" s="577">
        <f t="shared" si="1540"/>
        <v>2876971.9947670586</v>
      </c>
      <c r="AC913" s="577">
        <f t="shared" si="1540"/>
        <v>2931848.0591888721</v>
      </c>
      <c r="AD913" s="577">
        <f t="shared" si="1540"/>
        <v>2989156.8364771898</v>
      </c>
      <c r="AE913" s="577">
        <f t="shared" si="1540"/>
        <v>3049221.6436419114</v>
      </c>
      <c r="AF913" s="577">
        <f t="shared" si="1540"/>
        <v>3112371.870007968</v>
      </c>
      <c r="AG913" s="577">
        <f t="shared" si="1540"/>
        <v>3179004.5802692398</v>
      </c>
      <c r="AH913" s="752">
        <f t="shared" si="1540"/>
        <v>3249561.6691245157</v>
      </c>
      <c r="AI913" s="18"/>
      <c r="AJ913" s="18"/>
      <c r="AK913" s="18"/>
      <c r="AL913" s="18"/>
      <c r="AM913" s="18"/>
      <c r="AN913" s="18"/>
    </row>
    <row r="914" spans="2:40" ht="21.95" customHeight="1" x14ac:dyDescent="0.2">
      <c r="B914" s="232"/>
      <c r="C914" s="715"/>
      <c r="D914" s="715"/>
      <c r="E914" s="1340"/>
      <c r="F914" s="116"/>
      <c r="G914" s="116"/>
      <c r="H914" s="721" t="s">
        <v>25</v>
      </c>
      <c r="I914" s="577">
        <f t="shared" ref="I914:AH914" si="1541">SUM(I912:I913)</f>
        <v>2375984.4139940357</v>
      </c>
      <c r="J914" s="577">
        <f t="shared" si="1541"/>
        <v>2428676.8531561904</v>
      </c>
      <c r="K914" s="577">
        <f t="shared" si="1541"/>
        <v>2506789.0185294878</v>
      </c>
      <c r="L914" s="577">
        <f t="shared" si="1541"/>
        <v>2606137.7003226918</v>
      </c>
      <c r="M914" s="577">
        <f t="shared" si="1541"/>
        <v>2705852.413683984</v>
      </c>
      <c r="N914" s="577">
        <f t="shared" si="1541"/>
        <v>2806030.5560624362</v>
      </c>
      <c r="O914" s="577">
        <f t="shared" si="1541"/>
        <v>2906832.1208133283</v>
      </c>
      <c r="P914" s="577">
        <f t="shared" si="1541"/>
        <v>3008572.6635991945</v>
      </c>
      <c r="Q914" s="577">
        <f t="shared" si="1541"/>
        <v>3099970.0941146421</v>
      </c>
      <c r="R914" s="577">
        <f t="shared" si="1541"/>
        <v>3192597.3731616419</v>
      </c>
      <c r="S914" s="577">
        <f t="shared" si="1541"/>
        <v>3286786.2732558772</v>
      </c>
      <c r="T914" s="577">
        <f t="shared" si="1541"/>
        <v>3382981.7127926587</v>
      </c>
      <c r="U914" s="577">
        <f t="shared" si="1541"/>
        <v>3481770.7337988061</v>
      </c>
      <c r="V914" s="577">
        <f t="shared" si="1541"/>
        <v>3559052.1940676337</v>
      </c>
      <c r="W914" s="577">
        <f t="shared" si="1541"/>
        <v>3621353.8105749218</v>
      </c>
      <c r="X914" s="577">
        <f t="shared" si="1541"/>
        <v>3685216.4434709288</v>
      </c>
      <c r="Y914" s="577">
        <f t="shared" si="1541"/>
        <v>3750860.0676114834</v>
      </c>
      <c r="Z914" s="577">
        <f t="shared" si="1541"/>
        <v>3818542.87293409</v>
      </c>
      <c r="AA914" s="577">
        <f t="shared" si="1541"/>
        <v>3888520.1098351139</v>
      </c>
      <c r="AB914" s="577">
        <f t="shared" si="1541"/>
        <v>3961124.7540845247</v>
      </c>
      <c r="AC914" s="577">
        <f t="shared" si="1541"/>
        <v>4036680.2122479547</v>
      </c>
      <c r="AD914" s="577">
        <f t="shared" si="1541"/>
        <v>4115585.1222561076</v>
      </c>
      <c r="AE914" s="577">
        <f t="shared" si="1541"/>
        <v>4198284.6392977247</v>
      </c>
      <c r="AF914" s="577">
        <f t="shared" si="1541"/>
        <v>4285232.2791564446</v>
      </c>
      <c r="AG914" s="577">
        <f t="shared" si="1541"/>
        <v>4376974.7356446367</v>
      </c>
      <c r="AH914" s="752">
        <f t="shared" si="1541"/>
        <v>4474120.4262349978</v>
      </c>
      <c r="AI914" s="18"/>
      <c r="AJ914" s="18"/>
      <c r="AK914" s="18"/>
      <c r="AL914" s="18"/>
      <c r="AM914" s="18"/>
      <c r="AN914" s="18"/>
    </row>
    <row r="915" spans="2:40" ht="21.95" customHeight="1" x14ac:dyDescent="0.2">
      <c r="B915" s="232"/>
      <c r="C915" s="715"/>
      <c r="D915" s="715"/>
      <c r="E915" s="1340"/>
      <c r="F915" s="116" t="s">
        <v>347</v>
      </c>
      <c r="G915" s="116" t="s">
        <v>348</v>
      </c>
      <c r="H915" s="116" t="s">
        <v>20</v>
      </c>
      <c r="I915" s="577">
        <f t="shared" ref="I915:AH915" si="1542">I824*$D$13</f>
        <v>532332.13978901971</v>
      </c>
      <c r="J915" s="577">
        <f t="shared" si="1542"/>
        <v>544161.74647282518</v>
      </c>
      <c r="K915" s="577">
        <f t="shared" si="1542"/>
        <v>561710.08326786733</v>
      </c>
      <c r="L915" s="577">
        <f t="shared" si="1542"/>
        <v>584056.4284592598</v>
      </c>
      <c r="M915" s="577">
        <f t="shared" si="1542"/>
        <v>606526.93920259178</v>
      </c>
      <c r="N915" s="577">
        <f t="shared" si="1542"/>
        <v>629160.11256465199</v>
      </c>
      <c r="O915" s="577">
        <f t="shared" si="1542"/>
        <v>652014.08245730493</v>
      </c>
      <c r="P915" s="577">
        <f t="shared" si="1542"/>
        <v>675189.42226493941</v>
      </c>
      <c r="Q915" s="577">
        <f t="shared" si="1542"/>
        <v>696129.2192129771</v>
      </c>
      <c r="R915" s="577">
        <f t="shared" si="1542"/>
        <v>717497.65093937481</v>
      </c>
      <c r="S915" s="577">
        <f t="shared" si="1542"/>
        <v>739412.7631414819</v>
      </c>
      <c r="T915" s="577">
        <f t="shared" si="1542"/>
        <v>762028.94281753828</v>
      </c>
      <c r="U915" s="577">
        <f t="shared" si="1542"/>
        <v>785546.19193835673</v>
      </c>
      <c r="V915" s="577">
        <f t="shared" si="1542"/>
        <v>804178.81571233319</v>
      </c>
      <c r="W915" s="577">
        <f t="shared" si="1542"/>
        <v>819365.78559829632</v>
      </c>
      <c r="X915" s="577">
        <f t="shared" si="1542"/>
        <v>835098.16106823541</v>
      </c>
      <c r="Y915" s="577">
        <f t="shared" si="1542"/>
        <v>851452.79942843446</v>
      </c>
      <c r="Z915" s="577">
        <f t="shared" si="1542"/>
        <v>868518.84637389728</v>
      </c>
      <c r="AA915" s="577">
        <f t="shared" si="1542"/>
        <v>886387.61143733293</v>
      </c>
      <c r="AB915" s="577">
        <f t="shared" si="1542"/>
        <v>905173.30620552669</v>
      </c>
      <c r="AC915" s="577">
        <f t="shared" si="1542"/>
        <v>924991.05338545749</v>
      </c>
      <c r="AD915" s="577">
        <f t="shared" si="1542"/>
        <v>945979.06998252764</v>
      </c>
      <c r="AE915" s="577">
        <f t="shared" si="1542"/>
        <v>968291.82572854578</v>
      </c>
      <c r="AF915" s="577">
        <f t="shared" si="1542"/>
        <v>992089.90236252989</v>
      </c>
      <c r="AG915" s="577">
        <f t="shared" si="1542"/>
        <v>1017563.2463305115</v>
      </c>
      <c r="AH915" s="752">
        <f t="shared" si="1542"/>
        <v>1044923.3697899688</v>
      </c>
      <c r="AI915" s="18"/>
      <c r="AJ915" s="18"/>
      <c r="AK915" s="18"/>
      <c r="AL915" s="18"/>
      <c r="AM915" s="18"/>
      <c r="AN915" s="18"/>
    </row>
    <row r="916" spans="2:40" ht="21.95" customHeight="1" x14ac:dyDescent="0.2">
      <c r="B916" s="232"/>
      <c r="C916" s="715"/>
      <c r="D916" s="715"/>
      <c r="E916" s="1340"/>
      <c r="F916" s="116"/>
      <c r="G916" s="116"/>
      <c r="H916" s="124" t="s">
        <v>19</v>
      </c>
      <c r="I916" s="577">
        <f t="shared" ref="I916:AH916" si="1543">I825*$D$14</f>
        <v>1412628.1051496835</v>
      </c>
      <c r="J916" s="577">
        <f t="shared" si="1543"/>
        <v>1444019.8503128313</v>
      </c>
      <c r="K916" s="577">
        <f t="shared" si="1543"/>
        <v>1490587.1565159357</v>
      </c>
      <c r="L916" s="577">
        <f t="shared" si="1543"/>
        <v>1549886.7420665065</v>
      </c>
      <c r="M916" s="577">
        <f t="shared" si="1543"/>
        <v>1609515.8206821228</v>
      </c>
      <c r="N916" s="577">
        <f t="shared" si="1543"/>
        <v>1669576.5504600448</v>
      </c>
      <c r="O916" s="577">
        <f t="shared" si="1543"/>
        <v>1730223.1989930479</v>
      </c>
      <c r="P916" s="577">
        <f t="shared" si="1543"/>
        <v>1791722.6537726033</v>
      </c>
      <c r="Q916" s="577">
        <f t="shared" si="1543"/>
        <v>1847289.7395710472</v>
      </c>
      <c r="R916" s="577">
        <f t="shared" si="1543"/>
        <v>1903994.2760126097</v>
      </c>
      <c r="S916" s="577">
        <f t="shared" si="1543"/>
        <v>1962149.5161536147</v>
      </c>
      <c r="T916" s="577">
        <f t="shared" si="1543"/>
        <v>2022165.1504795344</v>
      </c>
      <c r="U916" s="577">
        <f t="shared" si="1543"/>
        <v>2084571.9160696066</v>
      </c>
      <c r="V916" s="577">
        <f t="shared" si="1543"/>
        <v>2134016.5504406048</v>
      </c>
      <c r="W916" s="577">
        <f t="shared" si="1543"/>
        <v>2174317.5935102119</v>
      </c>
      <c r="X916" s="577">
        <f t="shared" si="1543"/>
        <v>2216065.9571510237</v>
      </c>
      <c r="Y916" s="577">
        <f t="shared" si="1543"/>
        <v>2259465.5944645493</v>
      </c>
      <c r="Z916" s="577">
        <f t="shared" si="1543"/>
        <v>2304753.0677486523</v>
      </c>
      <c r="AA916" s="577">
        <f t="shared" si="1543"/>
        <v>2352170.6813891325</v>
      </c>
      <c r="AB916" s="577">
        <f t="shared" si="1543"/>
        <v>2402021.5140193617</v>
      </c>
      <c r="AC916" s="577">
        <f t="shared" si="1543"/>
        <v>2454611.0620752359</v>
      </c>
      <c r="AD916" s="577">
        <f t="shared" si="1543"/>
        <v>2510306.1063912148</v>
      </c>
      <c r="AE916" s="577">
        <f t="shared" si="1543"/>
        <v>2569516.5569994715</v>
      </c>
      <c r="AF916" s="577">
        <f t="shared" si="1543"/>
        <v>2632668.5431166268</v>
      </c>
      <c r="AG916" s="577">
        <f t="shared" si="1543"/>
        <v>2700266.1178856008</v>
      </c>
      <c r="AH916" s="752">
        <f t="shared" si="1543"/>
        <v>2772870.5624989066</v>
      </c>
      <c r="AI916" s="18"/>
      <c r="AJ916" s="18"/>
      <c r="AK916" s="18"/>
      <c r="AL916" s="18"/>
      <c r="AM916" s="18"/>
      <c r="AN916" s="18"/>
    </row>
    <row r="917" spans="2:40" ht="21.95" customHeight="1" x14ac:dyDescent="0.2">
      <c r="B917" s="232"/>
      <c r="C917" s="715"/>
      <c r="D917" s="715"/>
      <c r="E917" s="1340"/>
      <c r="F917" s="116"/>
      <c r="G917" s="116"/>
      <c r="H917" s="721" t="s">
        <v>25</v>
      </c>
      <c r="I917" s="577">
        <f t="shared" ref="I917:AH917" si="1544">SUM(I915:I916)</f>
        <v>1944960.2449387033</v>
      </c>
      <c r="J917" s="577">
        <f t="shared" si="1544"/>
        <v>1988181.5967856566</v>
      </c>
      <c r="K917" s="577">
        <f t="shared" si="1544"/>
        <v>2052297.239783803</v>
      </c>
      <c r="L917" s="577">
        <f t="shared" si="1544"/>
        <v>2133943.1705257664</v>
      </c>
      <c r="M917" s="577">
        <f t="shared" si="1544"/>
        <v>2216042.7598847146</v>
      </c>
      <c r="N917" s="577">
        <f t="shared" si="1544"/>
        <v>2298736.6630246965</v>
      </c>
      <c r="O917" s="577">
        <f t="shared" si="1544"/>
        <v>2382237.2814503526</v>
      </c>
      <c r="P917" s="577">
        <f t="shared" si="1544"/>
        <v>2466912.0760375429</v>
      </c>
      <c r="Q917" s="577">
        <f t="shared" si="1544"/>
        <v>2543418.9587840242</v>
      </c>
      <c r="R917" s="577">
        <f t="shared" si="1544"/>
        <v>2621491.9269519844</v>
      </c>
      <c r="S917" s="577">
        <f t="shared" si="1544"/>
        <v>2701562.2792950966</v>
      </c>
      <c r="T917" s="577">
        <f t="shared" si="1544"/>
        <v>2784194.0932970727</v>
      </c>
      <c r="U917" s="577">
        <f t="shared" si="1544"/>
        <v>2870118.1080079633</v>
      </c>
      <c r="V917" s="577">
        <f t="shared" si="1544"/>
        <v>2938195.366152938</v>
      </c>
      <c r="W917" s="577">
        <f t="shared" si="1544"/>
        <v>2993683.3791085081</v>
      </c>
      <c r="X917" s="577">
        <f t="shared" si="1544"/>
        <v>3051164.1182192592</v>
      </c>
      <c r="Y917" s="577">
        <f t="shared" si="1544"/>
        <v>3110918.3938929839</v>
      </c>
      <c r="Z917" s="577">
        <f t="shared" si="1544"/>
        <v>3173271.9141225498</v>
      </c>
      <c r="AA917" s="577">
        <f t="shared" si="1544"/>
        <v>3238558.2928264653</v>
      </c>
      <c r="AB917" s="577">
        <f t="shared" si="1544"/>
        <v>3307194.8202248886</v>
      </c>
      <c r="AC917" s="577">
        <f t="shared" si="1544"/>
        <v>3379602.1154606934</v>
      </c>
      <c r="AD917" s="577">
        <f t="shared" si="1544"/>
        <v>3456285.1763737425</v>
      </c>
      <c r="AE917" s="577">
        <f t="shared" si="1544"/>
        <v>3537808.3827280174</v>
      </c>
      <c r="AF917" s="577">
        <f t="shared" si="1544"/>
        <v>3624758.4454791564</v>
      </c>
      <c r="AG917" s="577">
        <f t="shared" si="1544"/>
        <v>3717829.3642161125</v>
      </c>
      <c r="AH917" s="752">
        <f t="shared" si="1544"/>
        <v>3817793.9322888753</v>
      </c>
      <c r="AI917" s="18"/>
      <c r="AJ917" s="18"/>
      <c r="AK917" s="18"/>
      <c r="AL917" s="18"/>
      <c r="AM917" s="18"/>
      <c r="AN917" s="18"/>
    </row>
    <row r="918" spans="2:40" ht="21.95" customHeight="1" x14ac:dyDescent="0.2">
      <c r="B918" s="232"/>
      <c r="C918" s="715"/>
      <c r="D918" s="715"/>
      <c r="E918" s="1340"/>
      <c r="F918" s="116" t="s">
        <v>348</v>
      </c>
      <c r="G918" s="116" t="s">
        <v>349</v>
      </c>
      <c r="H918" s="116" t="s">
        <v>20</v>
      </c>
      <c r="I918" s="577">
        <f t="shared" ref="I918:AH918" si="1545">I827*$D$13</f>
        <v>870340.35910957446</v>
      </c>
      <c r="J918" s="577">
        <f t="shared" si="1545"/>
        <v>891583.00692116166</v>
      </c>
      <c r="K918" s="577">
        <f t="shared" si="1545"/>
        <v>921312.25328438648</v>
      </c>
      <c r="L918" s="577">
        <f t="shared" si="1545"/>
        <v>961329.24628082686</v>
      </c>
      <c r="M918" s="577">
        <f t="shared" si="1545"/>
        <v>1002212.2818767527</v>
      </c>
      <c r="N918" s="577">
        <f t="shared" si="1545"/>
        <v>1044314.4133136481</v>
      </c>
      <c r="O918" s="577">
        <f t="shared" si="1545"/>
        <v>1088108.1562948399</v>
      </c>
      <c r="P918" s="577">
        <f t="shared" si="1545"/>
        <v>1134294.8817095768</v>
      </c>
      <c r="Q918" s="577">
        <f t="shared" si="1545"/>
        <v>1181390.5017821253</v>
      </c>
      <c r="R918" s="577">
        <f t="shared" si="1545"/>
        <v>1232444.3535136138</v>
      </c>
      <c r="S918" s="577">
        <f t="shared" si="1545"/>
        <v>1288742.4425825626</v>
      </c>
      <c r="T918" s="577">
        <f t="shared" si="1545"/>
        <v>1351937.4609417482</v>
      </c>
      <c r="U918" s="577">
        <f t="shared" si="1545"/>
        <v>1424173.0342396884</v>
      </c>
      <c r="V918" s="577">
        <f t="shared" si="1545"/>
        <v>1485009.8084238137</v>
      </c>
      <c r="W918" s="577">
        <f t="shared" si="1545"/>
        <v>1536733.2106876133</v>
      </c>
      <c r="X918" s="577">
        <f t="shared" si="1545"/>
        <v>1593641.7074939227</v>
      </c>
      <c r="Y918" s="577">
        <f t="shared" si="1545"/>
        <v>1656503.9660658161</v>
      </c>
      <c r="Z918" s="577">
        <f t="shared" si="1545"/>
        <v>1726202.6051837062</v>
      </c>
      <c r="AA918" s="577">
        <f t="shared" si="1545"/>
        <v>1803689.4323030862</v>
      </c>
      <c r="AB918" s="577">
        <f t="shared" si="1545"/>
        <v>1890097.2896390036</v>
      </c>
      <c r="AC918" s="577">
        <f t="shared" si="1545"/>
        <v>1986630.7055643001</v>
      </c>
      <c r="AD918" s="577">
        <f t="shared" si="1545"/>
        <v>2094694.7499464157</v>
      </c>
      <c r="AE918" s="577">
        <f t="shared" si="1545"/>
        <v>2215870.2312539974</v>
      </c>
      <c r="AF918" s="577">
        <f t="shared" si="1545"/>
        <v>2351849.3835072769</v>
      </c>
      <c r="AG918" s="577">
        <f t="shared" si="1545"/>
        <v>2504596.7449644888</v>
      </c>
      <c r="AH918" s="752">
        <f t="shared" si="1545"/>
        <v>2676313.054872856</v>
      </c>
      <c r="AI918" s="18"/>
      <c r="AJ918" s="18"/>
      <c r="AK918" s="18"/>
      <c r="AL918" s="18"/>
      <c r="AM918" s="18"/>
      <c r="AN918" s="18"/>
    </row>
    <row r="919" spans="2:40" ht="21.95" customHeight="1" x14ac:dyDescent="0.2">
      <c r="B919" s="232"/>
      <c r="C919" s="715"/>
      <c r="D919" s="715"/>
      <c r="E919" s="1340"/>
      <c r="F919" s="116"/>
      <c r="G919" s="116"/>
      <c r="H919" s="124" t="s">
        <v>19</v>
      </c>
      <c r="I919" s="577">
        <f t="shared" ref="I919:AH919" si="1546">I828*$D$14</f>
        <v>2309586.7418629476</v>
      </c>
      <c r="J919" s="577">
        <f t="shared" si="1546"/>
        <v>2365957.4906558678</v>
      </c>
      <c r="K919" s="577">
        <f t="shared" si="1546"/>
        <v>2444848.7801696942</v>
      </c>
      <c r="L919" s="577">
        <f t="shared" si="1546"/>
        <v>2551040.2436660635</v>
      </c>
      <c r="M919" s="577">
        <f t="shared" si="1546"/>
        <v>2659529.8891147282</v>
      </c>
      <c r="N919" s="577">
        <f t="shared" si="1546"/>
        <v>2771254.599514585</v>
      </c>
      <c r="O919" s="577">
        <f t="shared" si="1546"/>
        <v>2887468.2705310537</v>
      </c>
      <c r="P919" s="577">
        <f t="shared" si="1546"/>
        <v>3010032.1015098607</v>
      </c>
      <c r="Q919" s="577">
        <f t="shared" si="1546"/>
        <v>3135007.8292017882</v>
      </c>
      <c r="R919" s="577">
        <f t="shared" si="1546"/>
        <v>3270487.3549366589</v>
      </c>
      <c r="S919" s="577">
        <f t="shared" si="1546"/>
        <v>3419883.2995747887</v>
      </c>
      <c r="T919" s="577">
        <f t="shared" si="1546"/>
        <v>3587581.3443988659</v>
      </c>
      <c r="U919" s="577">
        <f t="shared" si="1546"/>
        <v>3779269.9414328765</v>
      </c>
      <c r="V919" s="577">
        <f t="shared" si="1546"/>
        <v>3940710.0097954604</v>
      </c>
      <c r="W919" s="577">
        <f t="shared" si="1546"/>
        <v>4077966.2944916366</v>
      </c>
      <c r="X919" s="577">
        <f t="shared" si="1546"/>
        <v>4228982.0532663641</v>
      </c>
      <c r="Y919" s="577">
        <f t="shared" si="1546"/>
        <v>4395797.0670039123</v>
      </c>
      <c r="Z919" s="577">
        <f t="shared" si="1546"/>
        <v>4580753.5051923692</v>
      </c>
      <c r="AA919" s="577">
        <f t="shared" si="1546"/>
        <v>4786377.1404872304</v>
      </c>
      <c r="AB919" s="577">
        <f t="shared" si="1546"/>
        <v>5015674.1501076873</v>
      </c>
      <c r="AC919" s="577">
        <f t="shared" si="1546"/>
        <v>5271840.9419084303</v>
      </c>
      <c r="AD919" s="577">
        <f t="shared" si="1546"/>
        <v>5558606.0925356699</v>
      </c>
      <c r="AE919" s="577">
        <f t="shared" si="1546"/>
        <v>5880164.5289997412</v>
      </c>
      <c r="AF919" s="577">
        <f t="shared" si="1546"/>
        <v>6241006.8637562729</v>
      </c>
      <c r="AG919" s="577">
        <f t="shared" si="1546"/>
        <v>6646346.3119200328</v>
      </c>
      <c r="AH919" s="752">
        <f t="shared" si="1546"/>
        <v>7102022.8855443336</v>
      </c>
      <c r="AI919" s="18"/>
      <c r="AJ919" s="18"/>
      <c r="AK919" s="18"/>
      <c r="AL919" s="18"/>
      <c r="AM919" s="18"/>
      <c r="AN919" s="18"/>
    </row>
    <row r="920" spans="2:40" ht="21.95" customHeight="1" x14ac:dyDescent="0.2">
      <c r="B920" s="232"/>
      <c r="C920" s="715"/>
      <c r="D920" s="715"/>
      <c r="E920" s="1333"/>
      <c r="F920" s="254"/>
      <c r="G920" s="254"/>
      <c r="H920" s="721" t="s">
        <v>25</v>
      </c>
      <c r="I920" s="577">
        <f t="shared" ref="I920:AH920" si="1547">SUM(I918:I919)</f>
        <v>3179927.1009725221</v>
      </c>
      <c r="J920" s="577">
        <f t="shared" si="1547"/>
        <v>3257540.4975770293</v>
      </c>
      <c r="K920" s="577">
        <f t="shared" si="1547"/>
        <v>3366161.0334540806</v>
      </c>
      <c r="L920" s="577">
        <f t="shared" si="1547"/>
        <v>3512369.4899468906</v>
      </c>
      <c r="M920" s="577">
        <f t="shared" si="1547"/>
        <v>3661742.1709914808</v>
      </c>
      <c r="N920" s="577">
        <f t="shared" si="1547"/>
        <v>3815569.0128282332</v>
      </c>
      <c r="O920" s="577">
        <f t="shared" si="1547"/>
        <v>3975576.4268258936</v>
      </c>
      <c r="P920" s="577">
        <f t="shared" si="1547"/>
        <v>4144326.9832194373</v>
      </c>
      <c r="Q920" s="577">
        <f t="shared" si="1547"/>
        <v>4316398.3309839135</v>
      </c>
      <c r="R920" s="577">
        <f t="shared" si="1547"/>
        <v>4502931.7084502727</v>
      </c>
      <c r="S920" s="577">
        <f t="shared" si="1547"/>
        <v>4708625.7421573512</v>
      </c>
      <c r="T920" s="577">
        <f t="shared" si="1547"/>
        <v>4939518.8053406142</v>
      </c>
      <c r="U920" s="577">
        <f t="shared" si="1547"/>
        <v>5203442.9756725654</v>
      </c>
      <c r="V920" s="577">
        <f t="shared" si="1547"/>
        <v>5425719.8182192743</v>
      </c>
      <c r="W920" s="577">
        <f t="shared" si="1547"/>
        <v>5614699.5051792497</v>
      </c>
      <c r="X920" s="577">
        <f t="shared" si="1547"/>
        <v>5822623.7607602868</v>
      </c>
      <c r="Y920" s="577">
        <f t="shared" si="1547"/>
        <v>6052301.0330697279</v>
      </c>
      <c r="Z920" s="577">
        <f t="shared" si="1547"/>
        <v>6306956.1103760749</v>
      </c>
      <c r="AA920" s="577">
        <f t="shared" si="1547"/>
        <v>6590066.5727903163</v>
      </c>
      <c r="AB920" s="577">
        <f t="shared" si="1547"/>
        <v>6905771.4397466909</v>
      </c>
      <c r="AC920" s="577">
        <f t="shared" si="1547"/>
        <v>7258471.6474727299</v>
      </c>
      <c r="AD920" s="577">
        <f t="shared" si="1547"/>
        <v>7653300.8424820853</v>
      </c>
      <c r="AE920" s="577">
        <f t="shared" si="1547"/>
        <v>8096034.7602537386</v>
      </c>
      <c r="AF920" s="577">
        <f t="shared" si="1547"/>
        <v>8592856.2472635508</v>
      </c>
      <c r="AG920" s="577">
        <f t="shared" si="1547"/>
        <v>9150943.0568845216</v>
      </c>
      <c r="AH920" s="752">
        <f t="shared" si="1547"/>
        <v>9778335.9404171892</v>
      </c>
      <c r="AI920" s="18"/>
      <c r="AJ920" s="18"/>
      <c r="AK920" s="18"/>
      <c r="AL920" s="18"/>
      <c r="AM920" s="18"/>
      <c r="AN920" s="18"/>
    </row>
    <row r="921" spans="2:40" ht="21.95" customHeight="1" x14ac:dyDescent="0.2">
      <c r="B921" s="232"/>
      <c r="C921" s="715"/>
      <c r="D921" s="715"/>
      <c r="E921" s="116" t="s">
        <v>288</v>
      </c>
      <c r="F921" s="116" t="s">
        <v>323</v>
      </c>
      <c r="G921" s="116" t="s">
        <v>348</v>
      </c>
      <c r="H921" s="116" t="s">
        <v>20</v>
      </c>
      <c r="I921" s="577">
        <f t="shared" ref="I921:AH921" si="1548">I830*$D$13</f>
        <v>153934.1194029859</v>
      </c>
      <c r="J921" s="577">
        <f t="shared" si="1548"/>
        <v>163399.35736716579</v>
      </c>
      <c r="K921" s="577">
        <f t="shared" si="1548"/>
        <v>175925.3187388095</v>
      </c>
      <c r="L921" s="577">
        <f t="shared" si="1548"/>
        <v>192571.58337314383</v>
      </c>
      <c r="M921" s="577">
        <f t="shared" si="1548"/>
        <v>209222.97914479981</v>
      </c>
      <c r="N921" s="577">
        <f t="shared" si="1548"/>
        <v>225910.29287766697</v>
      </c>
      <c r="O921" s="577">
        <f t="shared" si="1548"/>
        <v>242556.55751206059</v>
      </c>
      <c r="P921" s="577">
        <f t="shared" si="1548"/>
        <v>259220.78112711548</v>
      </c>
      <c r="Q921" s="577">
        <f t="shared" si="1548"/>
        <v>274415.78909151233</v>
      </c>
      <c r="R921" s="577">
        <f t="shared" si="1548"/>
        <v>289597.96921278589</v>
      </c>
      <c r="S921" s="577">
        <f t="shared" si="1548"/>
        <v>304793.8323671557</v>
      </c>
      <c r="T921" s="577">
        <f t="shared" si="1548"/>
        <v>319988.84033238504</v>
      </c>
      <c r="U921" s="577">
        <f t="shared" si="1548"/>
        <v>335237.72524005006</v>
      </c>
      <c r="V921" s="577">
        <f t="shared" si="1548"/>
        <v>346300.45728962647</v>
      </c>
      <c r="W921" s="577">
        <f t="shared" si="1548"/>
        <v>355765.69525589276</v>
      </c>
      <c r="X921" s="577">
        <f t="shared" si="1548"/>
        <v>365230.93322279473</v>
      </c>
      <c r="Y921" s="577">
        <f t="shared" si="1548"/>
        <v>374696.17119050206</v>
      </c>
      <c r="Z921" s="577">
        <f t="shared" si="1548"/>
        <v>384171.6714338552</v>
      </c>
      <c r="AA921" s="577">
        <f t="shared" si="1548"/>
        <v>393636.90940384567</v>
      </c>
      <c r="AB921" s="577">
        <f t="shared" si="1548"/>
        <v>403125.23749334604</v>
      </c>
      <c r="AC921" s="577">
        <f t="shared" si="1548"/>
        <v>412590.47546687606</v>
      </c>
      <c r="AD921" s="577">
        <f t="shared" si="1548"/>
        <v>422055.71344281646</v>
      </c>
      <c r="AE921" s="577">
        <f t="shared" si="1548"/>
        <v>431531.21369635704</v>
      </c>
      <c r="AF921" s="577">
        <f t="shared" si="1548"/>
        <v>440996.45167886582</v>
      </c>
      <c r="AG921" s="577">
        <f t="shared" si="1548"/>
        <v>450461.68966576108</v>
      </c>
      <c r="AH921" s="752">
        <f t="shared" si="1548"/>
        <v>459950.01777595252</v>
      </c>
      <c r="AI921" s="18"/>
      <c r="AJ921" s="18"/>
      <c r="AK921" s="18"/>
      <c r="AL921" s="18"/>
      <c r="AM921" s="18"/>
      <c r="AN921" s="18"/>
    </row>
    <row r="922" spans="2:40" ht="21.95" customHeight="1" x14ac:dyDescent="0.2">
      <c r="B922" s="232"/>
      <c r="C922" s="715"/>
      <c r="D922" s="715"/>
      <c r="E922" s="116"/>
      <c r="F922" s="116"/>
      <c r="G922" s="116"/>
      <c r="H922" s="124" t="s">
        <v>19</v>
      </c>
      <c r="I922" s="577">
        <f t="shared" ref="I922:AH922" si="1549">I831*$D$14</f>
        <v>635426.86567164515</v>
      </c>
      <c r="J922" s="577">
        <f t="shared" si="1549"/>
        <v>674498.55761194695</v>
      </c>
      <c r="K922" s="577">
        <f t="shared" si="1549"/>
        <v>726204.65373135777</v>
      </c>
      <c r="L922" s="577">
        <f t="shared" si="1549"/>
        <v>794919.00895526307</v>
      </c>
      <c r="M922" s="577">
        <f t="shared" si="1549"/>
        <v>863654.54507472459</v>
      </c>
      <c r="N922" s="577">
        <f t="shared" si="1549"/>
        <v>932538.34746291372</v>
      </c>
      <c r="O922" s="577">
        <f t="shared" si="1549"/>
        <v>1001252.7026870636</v>
      </c>
      <c r="P922" s="577">
        <f t="shared" si="1549"/>
        <v>1070041.1910458072</v>
      </c>
      <c r="Q922" s="577">
        <f t="shared" si="1549"/>
        <v>1132764.8829870047</v>
      </c>
      <c r="R922" s="577">
        <f t="shared" si="1549"/>
        <v>1195435.6226900576</v>
      </c>
      <c r="S922" s="577">
        <f t="shared" si="1549"/>
        <v>1258162.8447822453</v>
      </c>
      <c r="T922" s="577">
        <f t="shared" si="1549"/>
        <v>1320886.5367268792</v>
      </c>
      <c r="U922" s="577">
        <f t="shared" si="1549"/>
        <v>1383832.6280771592</v>
      </c>
      <c r="V922" s="577">
        <f t="shared" si="1549"/>
        <v>1429498.6388309207</v>
      </c>
      <c r="W922" s="577">
        <f t="shared" si="1549"/>
        <v>1468570.3307798349</v>
      </c>
      <c r="X922" s="577">
        <f t="shared" si="1549"/>
        <v>1507642.0227313733</v>
      </c>
      <c r="Y922" s="577">
        <f t="shared" si="1549"/>
        <v>1546713.7146862361</v>
      </c>
      <c r="Z922" s="577">
        <f t="shared" si="1549"/>
        <v>1585827.7684363495</v>
      </c>
      <c r="AA922" s="577">
        <f t="shared" si="1549"/>
        <v>1624899.460400637</v>
      </c>
      <c r="AB922" s="577">
        <f t="shared" si="1549"/>
        <v>1664066.4664013775</v>
      </c>
      <c r="AC922" s="577">
        <f t="shared" si="1549"/>
        <v>1703138.1583802756</v>
      </c>
      <c r="AD922" s="577">
        <f t="shared" si="1549"/>
        <v>1742209.850369124</v>
      </c>
      <c r="AE922" s="577">
        <f t="shared" si="1549"/>
        <v>1781323.9041612903</v>
      </c>
      <c r="AF922" s="577">
        <f t="shared" si="1549"/>
        <v>1820395.596177252</v>
      </c>
      <c r="AG922" s="577">
        <f t="shared" si="1549"/>
        <v>1859467.2882113208</v>
      </c>
      <c r="AH922" s="752">
        <f t="shared" si="1549"/>
        <v>1898634.2942974726</v>
      </c>
      <c r="AI922" s="18"/>
      <c r="AJ922" s="18"/>
      <c r="AK922" s="18"/>
      <c r="AL922" s="18"/>
      <c r="AM922" s="18"/>
      <c r="AN922" s="18"/>
    </row>
    <row r="923" spans="2:40" ht="21.95" customHeight="1" x14ac:dyDescent="0.2">
      <c r="B923" s="232"/>
      <c r="C923" s="715"/>
      <c r="D923" s="715"/>
      <c r="E923" s="116"/>
      <c r="F923" s="116"/>
      <c r="G923" s="116"/>
      <c r="H923" s="721" t="s">
        <v>25</v>
      </c>
      <c r="I923" s="577">
        <f t="shared" ref="I923:AH923" si="1550">SUM(I921:I922)</f>
        <v>789360.98507463105</v>
      </c>
      <c r="J923" s="577">
        <f t="shared" si="1550"/>
        <v>837897.9149791128</v>
      </c>
      <c r="K923" s="577">
        <f t="shared" si="1550"/>
        <v>902129.97247016733</v>
      </c>
      <c r="L923" s="577">
        <f t="shared" si="1550"/>
        <v>987490.59232840687</v>
      </c>
      <c r="M923" s="577">
        <f t="shared" si="1550"/>
        <v>1072877.5242195243</v>
      </c>
      <c r="N923" s="577">
        <f t="shared" si="1550"/>
        <v>1158448.6403405806</v>
      </c>
      <c r="O923" s="577">
        <f t="shared" si="1550"/>
        <v>1243809.2601991242</v>
      </c>
      <c r="P923" s="577">
        <f t="shared" si="1550"/>
        <v>1329261.9721729227</v>
      </c>
      <c r="Q923" s="577">
        <f t="shared" si="1550"/>
        <v>1407180.672078517</v>
      </c>
      <c r="R923" s="577">
        <f t="shared" si="1550"/>
        <v>1485033.5919028434</v>
      </c>
      <c r="S923" s="577">
        <f t="shared" si="1550"/>
        <v>1562956.677149401</v>
      </c>
      <c r="T923" s="577">
        <f t="shared" si="1550"/>
        <v>1640875.3770592641</v>
      </c>
      <c r="U923" s="577">
        <f t="shared" si="1550"/>
        <v>1719070.3533172093</v>
      </c>
      <c r="V923" s="577">
        <f t="shared" si="1550"/>
        <v>1775799.096120547</v>
      </c>
      <c r="W923" s="577">
        <f t="shared" si="1550"/>
        <v>1824336.0260357277</v>
      </c>
      <c r="X923" s="577">
        <f t="shared" si="1550"/>
        <v>1872872.955954168</v>
      </c>
      <c r="Y923" s="577">
        <f t="shared" si="1550"/>
        <v>1921409.8858767382</v>
      </c>
      <c r="Z923" s="577">
        <f t="shared" si="1550"/>
        <v>1969999.4398702048</v>
      </c>
      <c r="AA923" s="577">
        <f t="shared" si="1550"/>
        <v>2018536.3698044827</v>
      </c>
      <c r="AB923" s="577">
        <f t="shared" si="1550"/>
        <v>2067191.7038947234</v>
      </c>
      <c r="AC923" s="577">
        <f t="shared" si="1550"/>
        <v>2115728.6338471519</v>
      </c>
      <c r="AD923" s="577">
        <f t="shared" si="1550"/>
        <v>2164265.5638119406</v>
      </c>
      <c r="AE923" s="577">
        <f t="shared" si="1550"/>
        <v>2212855.1178576471</v>
      </c>
      <c r="AF923" s="577">
        <f t="shared" si="1550"/>
        <v>2261392.0478561176</v>
      </c>
      <c r="AG923" s="577">
        <f t="shared" si="1550"/>
        <v>2309928.9778770818</v>
      </c>
      <c r="AH923" s="752">
        <f t="shared" si="1550"/>
        <v>2358584.3120734249</v>
      </c>
      <c r="AI923" s="18"/>
      <c r="AJ923" s="18"/>
      <c r="AK923" s="18"/>
      <c r="AL923" s="18"/>
      <c r="AM923" s="18"/>
      <c r="AN923" s="18"/>
    </row>
    <row r="924" spans="2:40" ht="21.95" customHeight="1" x14ac:dyDescent="0.2">
      <c r="B924" s="232"/>
      <c r="C924" s="715"/>
      <c r="D924" s="715"/>
      <c r="E924" s="220" t="s">
        <v>340</v>
      </c>
      <c r="F924" s="220" t="s">
        <v>335</v>
      </c>
      <c r="G924" s="220" t="s">
        <v>323</v>
      </c>
      <c r="H924" s="116" t="s">
        <v>20</v>
      </c>
      <c r="I924" s="577">
        <f t="shared" ref="I924:AH924" si="1551">I833*$D$13</f>
        <v>0</v>
      </c>
      <c r="J924" s="577">
        <f t="shared" si="1551"/>
        <v>160161.64111916616</v>
      </c>
      <c r="K924" s="577">
        <f t="shared" si="1551"/>
        <v>172439.417626093</v>
      </c>
      <c r="L924" s="577">
        <f t="shared" si="1551"/>
        <v>188755.88474691557</v>
      </c>
      <c r="M924" s="577">
        <f t="shared" si="1551"/>
        <v>205077.44292976722</v>
      </c>
      <c r="N924" s="577">
        <f t="shared" si="1551"/>
        <v>221434.33713638564</v>
      </c>
      <c r="O924" s="577">
        <f t="shared" si="1551"/>
        <v>237751.25115744828</v>
      </c>
      <c r="P924" s="577">
        <f t="shared" si="1551"/>
        <v>254086.25296425453</v>
      </c>
      <c r="Q924" s="577">
        <f t="shared" si="1551"/>
        <v>268981.81576106005</v>
      </c>
      <c r="R924" s="577">
        <f t="shared" si="1551"/>
        <v>283866.01252961595</v>
      </c>
      <c r="S924" s="577">
        <f t="shared" si="1551"/>
        <v>298765.58545979258</v>
      </c>
      <c r="T924" s="577">
        <f t="shared" si="1551"/>
        <v>313667.42396331159</v>
      </c>
      <c r="U924" s="577">
        <f t="shared" si="1551"/>
        <v>328626.93087755417</v>
      </c>
      <c r="V924" s="577">
        <f t="shared" si="1551"/>
        <v>339484.14044894796</v>
      </c>
      <c r="W924" s="577">
        <f t="shared" si="1551"/>
        <v>348777.55954640126</v>
      </c>
      <c r="X924" s="577">
        <f t="shared" si="1551"/>
        <v>358075.77153798379</v>
      </c>
      <c r="Y924" s="577">
        <f t="shared" si="1551"/>
        <v>367380.05281085486</v>
      </c>
      <c r="Z924" s="577">
        <f t="shared" si="1551"/>
        <v>376702.07427022443</v>
      </c>
      <c r="AA924" s="577">
        <f t="shared" si="1551"/>
        <v>386023.56702908542</v>
      </c>
      <c r="AB924" s="577">
        <f t="shared" si="1551"/>
        <v>395379.74782354716</v>
      </c>
      <c r="AC924" s="577">
        <f t="shared" si="1551"/>
        <v>404727.92172844277</v>
      </c>
      <c r="AD924" s="577">
        <f t="shared" si="1551"/>
        <v>414094.26434675558</v>
      </c>
      <c r="AE924" s="577">
        <f t="shared" si="1551"/>
        <v>423493.08014803263</v>
      </c>
      <c r="AF924" s="577">
        <f t="shared" si="1551"/>
        <v>432908.93431543786</v>
      </c>
      <c r="AG924" s="577">
        <f t="shared" si="1551"/>
        <v>442357.85562200524</v>
      </c>
      <c r="AH924" s="752">
        <f t="shared" si="1551"/>
        <v>451870.00713590282</v>
      </c>
      <c r="AI924" s="18"/>
      <c r="AJ924" s="18"/>
      <c r="AK924" s="18"/>
      <c r="AL924" s="18"/>
      <c r="AM924" s="18"/>
      <c r="AN924" s="18"/>
    </row>
    <row r="925" spans="2:40" ht="21.95" customHeight="1" x14ac:dyDescent="0.2">
      <c r="B925" s="232"/>
      <c r="C925" s="715"/>
      <c r="D925" s="715"/>
      <c r="E925" s="116"/>
      <c r="F925" s="116"/>
      <c r="G925" s="116"/>
      <c r="H925" s="124" t="s">
        <v>19</v>
      </c>
      <c r="I925" s="577">
        <f t="shared" ref="I925:AH925" si="1552">I834*$D$14</f>
        <v>0</v>
      </c>
      <c r="J925" s="577">
        <f t="shared" si="1552"/>
        <v>661133.5421405253</v>
      </c>
      <c r="K925" s="577">
        <f t="shared" si="1552"/>
        <v>711815.15238698095</v>
      </c>
      <c r="L925" s="577">
        <f t="shared" si="1552"/>
        <v>779168.13171105413</v>
      </c>
      <c r="M925" s="577">
        <f t="shared" si="1552"/>
        <v>846542.12650330714</v>
      </c>
      <c r="N925" s="577">
        <f t="shared" si="1552"/>
        <v>914061.98537634022</v>
      </c>
      <c r="O925" s="577">
        <f t="shared" si="1552"/>
        <v>981416.80946634267</v>
      </c>
      <c r="P925" s="577">
        <f t="shared" si="1552"/>
        <v>1048846.2983872909</v>
      </c>
      <c r="Q925" s="577">
        <f t="shared" si="1552"/>
        <v>1110333.9063139693</v>
      </c>
      <c r="R925" s="577">
        <f t="shared" si="1552"/>
        <v>1171774.5962491473</v>
      </c>
      <c r="S925" s="577">
        <f t="shared" si="1552"/>
        <v>1233278.75766305</v>
      </c>
      <c r="T925" s="577">
        <f t="shared" si="1552"/>
        <v>1294792.2711697407</v>
      </c>
      <c r="U925" s="577">
        <f t="shared" si="1552"/>
        <v>1356543.8349385597</v>
      </c>
      <c r="V925" s="577">
        <f t="shared" si="1552"/>
        <v>1401361.4664983966</v>
      </c>
      <c r="W925" s="577">
        <f t="shared" si="1552"/>
        <v>1439723.9048672952</v>
      </c>
      <c r="X925" s="577">
        <f t="shared" si="1552"/>
        <v>1478106.1278928113</v>
      </c>
      <c r="Y925" s="577">
        <f t="shared" si="1552"/>
        <v>1516513.4043918585</v>
      </c>
      <c r="Z925" s="577">
        <f t="shared" si="1552"/>
        <v>1554993.9108619276</v>
      </c>
      <c r="AA925" s="577">
        <f t="shared" si="1552"/>
        <v>1593472.2349015628</v>
      </c>
      <c r="AB925" s="577">
        <f t="shared" si="1552"/>
        <v>1632093.748182307</v>
      </c>
      <c r="AC925" s="577">
        <f t="shared" si="1552"/>
        <v>1670682.2097084401</v>
      </c>
      <c r="AD925" s="577">
        <f t="shared" si="1552"/>
        <v>1709345.6701280265</v>
      </c>
      <c r="AE925" s="577">
        <f t="shared" si="1552"/>
        <v>1748143.1770666654</v>
      </c>
      <c r="AF925" s="577">
        <f t="shared" si="1552"/>
        <v>1787011.0169219247</v>
      </c>
      <c r="AG925" s="577">
        <f t="shared" si="1552"/>
        <v>1826015.3550965688</v>
      </c>
      <c r="AH925" s="752">
        <f t="shared" si="1552"/>
        <v>1865280.7021535547</v>
      </c>
      <c r="AI925" s="18"/>
      <c r="AJ925" s="18"/>
      <c r="AK925" s="18"/>
      <c r="AL925" s="18"/>
      <c r="AM925" s="18"/>
      <c r="AN925" s="18"/>
    </row>
    <row r="926" spans="2:40" ht="21.95" customHeight="1" x14ac:dyDescent="0.2">
      <c r="B926" s="232"/>
      <c r="C926" s="715"/>
      <c r="D926" s="715"/>
      <c r="E926" s="254"/>
      <c r="F926" s="254"/>
      <c r="G926" s="254"/>
      <c r="H926" s="721" t="s">
        <v>25</v>
      </c>
      <c r="I926" s="577">
        <f t="shared" ref="I926:AH926" si="1553">SUM(I924:I925)</f>
        <v>0</v>
      </c>
      <c r="J926" s="577">
        <f t="shared" si="1553"/>
        <v>821295.18325969146</v>
      </c>
      <c r="K926" s="577">
        <f t="shared" si="1553"/>
        <v>884254.57001307397</v>
      </c>
      <c r="L926" s="577">
        <f t="shared" si="1553"/>
        <v>967924.01645796967</v>
      </c>
      <c r="M926" s="577">
        <f t="shared" si="1553"/>
        <v>1051619.5694330744</v>
      </c>
      <c r="N926" s="577">
        <f t="shared" si="1553"/>
        <v>1135496.3225127258</v>
      </c>
      <c r="O926" s="577">
        <f t="shared" si="1553"/>
        <v>1219168.0606237911</v>
      </c>
      <c r="P926" s="577">
        <f t="shared" si="1553"/>
        <v>1302932.5513515454</v>
      </c>
      <c r="Q926" s="577">
        <f t="shared" si="1553"/>
        <v>1379315.7220750293</v>
      </c>
      <c r="R926" s="577">
        <f t="shared" si="1553"/>
        <v>1455640.6087787633</v>
      </c>
      <c r="S926" s="577">
        <f t="shared" si="1553"/>
        <v>1532044.3431228425</v>
      </c>
      <c r="T926" s="577">
        <f t="shared" si="1553"/>
        <v>1608459.6951330523</v>
      </c>
      <c r="U926" s="577">
        <f t="shared" si="1553"/>
        <v>1685170.7658161139</v>
      </c>
      <c r="V926" s="577">
        <f t="shared" si="1553"/>
        <v>1740845.6069473445</v>
      </c>
      <c r="W926" s="577">
        <f t="shared" si="1553"/>
        <v>1788501.4644136964</v>
      </c>
      <c r="X926" s="577">
        <f t="shared" si="1553"/>
        <v>1836181.8994307951</v>
      </c>
      <c r="Y926" s="577">
        <f t="shared" si="1553"/>
        <v>1883893.4572027135</v>
      </c>
      <c r="Z926" s="577">
        <f t="shared" si="1553"/>
        <v>1931695.985132152</v>
      </c>
      <c r="AA926" s="577">
        <f t="shared" si="1553"/>
        <v>1979495.8019306483</v>
      </c>
      <c r="AB926" s="577">
        <f t="shared" si="1553"/>
        <v>2027473.4960058541</v>
      </c>
      <c r="AC926" s="577">
        <f t="shared" si="1553"/>
        <v>2075410.131436883</v>
      </c>
      <c r="AD926" s="577">
        <f t="shared" si="1553"/>
        <v>2123439.9344747821</v>
      </c>
      <c r="AE926" s="577">
        <f t="shared" si="1553"/>
        <v>2171636.257214698</v>
      </c>
      <c r="AF926" s="577">
        <f t="shared" si="1553"/>
        <v>2219919.9512373623</v>
      </c>
      <c r="AG926" s="577">
        <f t="shared" si="1553"/>
        <v>2268373.210718574</v>
      </c>
      <c r="AH926" s="752">
        <f t="shared" si="1553"/>
        <v>2317150.7092894576</v>
      </c>
      <c r="AI926" s="18"/>
      <c r="AJ926" s="18"/>
      <c r="AK926" s="18"/>
      <c r="AL926" s="18"/>
      <c r="AM926" s="18"/>
      <c r="AN926" s="18"/>
    </row>
    <row r="927" spans="2:40" ht="21.95" customHeight="1" x14ac:dyDescent="0.2">
      <c r="B927" s="232"/>
      <c r="C927" s="715"/>
      <c r="D927" s="715"/>
      <c r="E927" s="220" t="s">
        <v>357</v>
      </c>
      <c r="F927" s="220" t="s">
        <v>338</v>
      </c>
      <c r="G927" s="220" t="s">
        <v>323</v>
      </c>
      <c r="H927" s="116" t="s">
        <v>20</v>
      </c>
      <c r="I927" s="577">
        <f t="shared" ref="I927:AH927" si="1554">I836*$D$13</f>
        <v>239847.09510375321</v>
      </c>
      <c r="J927" s="577">
        <f t="shared" si="1554"/>
        <v>243141.79949287605</v>
      </c>
      <c r="K927" s="577">
        <f t="shared" si="1554"/>
        <v>248837.27895771438</v>
      </c>
      <c r="L927" s="577">
        <f t="shared" si="1554"/>
        <v>256658.00199963083</v>
      </c>
      <c r="M927" s="577">
        <f t="shared" si="1554"/>
        <v>264484.20455443003</v>
      </c>
      <c r="N927" s="577">
        <f t="shared" si="1554"/>
        <v>272324.56189214514</v>
      </c>
      <c r="O927" s="577">
        <f t="shared" si="1554"/>
        <v>280153.89540272794</v>
      </c>
      <c r="P927" s="577">
        <f t="shared" si="1554"/>
        <v>288015.32918986556</v>
      </c>
      <c r="Q927" s="577">
        <f t="shared" si="1554"/>
        <v>293470.5837275557</v>
      </c>
      <c r="R927" s="577">
        <f t="shared" si="1554"/>
        <v>298929.95765609021</v>
      </c>
      <c r="S927" s="577">
        <f t="shared" si="1554"/>
        <v>304394.07260531973</v>
      </c>
      <c r="T927" s="577">
        <f t="shared" si="1554"/>
        <v>309861.637425469</v>
      </c>
      <c r="U927" s="577">
        <f t="shared" si="1554"/>
        <v>315373.7277458171</v>
      </c>
      <c r="V927" s="577">
        <f t="shared" si="1554"/>
        <v>318691.09713864798</v>
      </c>
      <c r="W927" s="577">
        <f t="shared" si="1554"/>
        <v>322011.11031039793</v>
      </c>
      <c r="X927" s="577">
        <f t="shared" si="1554"/>
        <v>325334.02389409143</v>
      </c>
      <c r="Y927" s="577">
        <f t="shared" si="1554"/>
        <v>328660.11621441267</v>
      </c>
      <c r="Z927" s="577">
        <f t="shared" si="1554"/>
        <v>332012.604060994</v>
      </c>
      <c r="AA927" s="577">
        <f t="shared" si="1554"/>
        <v>335346.0119041357</v>
      </c>
      <c r="AB927" s="577">
        <f t="shared" si="1554"/>
        <v>338696.42145997018</v>
      </c>
      <c r="AC927" s="577">
        <f t="shared" si="1554"/>
        <v>342038.55914763524</v>
      </c>
      <c r="AD927" s="577">
        <f t="shared" si="1554"/>
        <v>345385.66017297388</v>
      </c>
      <c r="AE927" s="577">
        <f t="shared" si="1554"/>
        <v>348761.25195278763</v>
      </c>
      <c r="AF927" s="577">
        <f t="shared" si="1554"/>
        <v>352119.70035427826</v>
      </c>
      <c r="AG927" s="577">
        <f t="shared" si="1554"/>
        <v>355484.56770656252</v>
      </c>
      <c r="AH927" s="752">
        <f t="shared" si="1554"/>
        <v>358869.39099513419</v>
      </c>
      <c r="AI927" s="18"/>
      <c r="AJ927" s="18"/>
      <c r="AK927" s="18"/>
      <c r="AL927" s="18"/>
      <c r="AM927" s="18"/>
      <c r="AN927" s="18"/>
    </row>
    <row r="928" spans="2:40" ht="21.95" customHeight="1" x14ac:dyDescent="0.2">
      <c r="B928" s="232"/>
      <c r="C928" s="715"/>
      <c r="D928" s="715"/>
      <c r="E928" s="116"/>
      <c r="F928" s="116"/>
      <c r="G928" s="116"/>
      <c r="H928" s="124" t="s">
        <v>19</v>
      </c>
      <c r="I928" s="577">
        <f t="shared" ref="I928:AH928" si="1555">I837*$D$14</f>
        <v>990068.27383890992</v>
      </c>
      <c r="J928" s="577">
        <f t="shared" si="1555"/>
        <v>1003668.5314777914</v>
      </c>
      <c r="K928" s="577">
        <f t="shared" si="1555"/>
        <v>1027178.9830844625</v>
      </c>
      <c r="L928" s="577">
        <f t="shared" si="1555"/>
        <v>1059462.2582224538</v>
      </c>
      <c r="M928" s="577">
        <f t="shared" si="1555"/>
        <v>1091768.1523204909</v>
      </c>
      <c r="N928" s="577">
        <f t="shared" si="1555"/>
        <v>1124132.476150529</v>
      </c>
      <c r="O928" s="577">
        <f t="shared" si="1555"/>
        <v>1156451.294565981</v>
      </c>
      <c r="P928" s="577">
        <f t="shared" si="1555"/>
        <v>1188902.6201747539</v>
      </c>
      <c r="Q928" s="577">
        <f t="shared" si="1555"/>
        <v>1211421.4438492551</v>
      </c>
      <c r="R928" s="577">
        <f t="shared" si="1555"/>
        <v>1233957.2720164761</v>
      </c>
      <c r="S928" s="577">
        <f t="shared" si="1555"/>
        <v>1256512.6707112193</v>
      </c>
      <c r="T928" s="577">
        <f t="shared" si="1555"/>
        <v>1279082.3101777544</v>
      </c>
      <c r="U928" s="577">
        <f t="shared" si="1555"/>
        <v>1301835.7470970154</v>
      </c>
      <c r="V928" s="577">
        <f t="shared" si="1555"/>
        <v>1315529.5639307166</v>
      </c>
      <c r="W928" s="577">
        <f t="shared" si="1555"/>
        <v>1329234.2940574458</v>
      </c>
      <c r="X928" s="577">
        <f t="shared" si="1555"/>
        <v>1342950.9968363564</v>
      </c>
      <c r="Y928" s="577">
        <f t="shared" si="1555"/>
        <v>1356680.8211679158</v>
      </c>
      <c r="Z928" s="577">
        <f t="shared" si="1555"/>
        <v>1370519.603971997</v>
      </c>
      <c r="AA928" s="577">
        <f t="shared" si="1555"/>
        <v>1384279.6261554332</v>
      </c>
      <c r="AB928" s="577">
        <f t="shared" si="1555"/>
        <v>1398109.8299532465</v>
      </c>
      <c r="AC928" s="577">
        <f t="shared" si="1555"/>
        <v>1411905.8881874611</v>
      </c>
      <c r="AD928" s="577">
        <f t="shared" si="1555"/>
        <v>1425722.4346546507</v>
      </c>
      <c r="AE928" s="577">
        <f t="shared" si="1555"/>
        <v>1439656.5885170493</v>
      </c>
      <c r="AF928" s="577">
        <f t="shared" si="1555"/>
        <v>1453519.9759814774</v>
      </c>
      <c r="AG928" s="577">
        <f t="shared" si="1555"/>
        <v>1467409.8603252165</v>
      </c>
      <c r="AH928" s="752">
        <f t="shared" si="1555"/>
        <v>1481382.1210654029</v>
      </c>
      <c r="AI928" s="18"/>
      <c r="AJ928" s="18"/>
      <c r="AK928" s="18"/>
      <c r="AL928" s="18"/>
      <c r="AM928" s="18"/>
      <c r="AN928" s="18"/>
    </row>
    <row r="929" spans="2:40" ht="21.95" customHeight="1" x14ac:dyDescent="0.2">
      <c r="B929" s="232"/>
      <c r="C929" s="715"/>
      <c r="D929" s="715"/>
      <c r="E929" s="254"/>
      <c r="F929" s="254"/>
      <c r="G929" s="254"/>
      <c r="H929" s="721" t="s">
        <v>25</v>
      </c>
      <c r="I929" s="577">
        <f t="shared" ref="I929:AH929" si="1556">SUM(I927:I928)</f>
        <v>1229915.3689426631</v>
      </c>
      <c r="J929" s="577">
        <f t="shared" si="1556"/>
        <v>1246810.3309706673</v>
      </c>
      <c r="K929" s="577">
        <f t="shared" si="1556"/>
        <v>1276016.2620421769</v>
      </c>
      <c r="L929" s="577">
        <f t="shared" si="1556"/>
        <v>1316120.2602220846</v>
      </c>
      <c r="M929" s="577">
        <f t="shared" si="1556"/>
        <v>1356252.3568749209</v>
      </c>
      <c r="N929" s="577">
        <f t="shared" si="1556"/>
        <v>1396457.0380426741</v>
      </c>
      <c r="O929" s="577">
        <f t="shared" si="1556"/>
        <v>1436605.1899687089</v>
      </c>
      <c r="P929" s="577">
        <f t="shared" si="1556"/>
        <v>1476917.9493646196</v>
      </c>
      <c r="Q929" s="577">
        <f t="shared" si="1556"/>
        <v>1504892.0275768107</v>
      </c>
      <c r="R929" s="577">
        <f t="shared" si="1556"/>
        <v>1532887.2296725663</v>
      </c>
      <c r="S929" s="577">
        <f t="shared" si="1556"/>
        <v>1560906.7433165391</v>
      </c>
      <c r="T929" s="577">
        <f t="shared" si="1556"/>
        <v>1588943.9476032234</v>
      </c>
      <c r="U929" s="577">
        <f t="shared" si="1556"/>
        <v>1617209.4748428324</v>
      </c>
      <c r="V929" s="577">
        <f t="shared" si="1556"/>
        <v>1634220.6610693645</v>
      </c>
      <c r="W929" s="577">
        <f t="shared" si="1556"/>
        <v>1651245.4043678436</v>
      </c>
      <c r="X929" s="577">
        <f t="shared" si="1556"/>
        <v>1668285.0207304477</v>
      </c>
      <c r="Y929" s="577">
        <f t="shared" si="1556"/>
        <v>1685340.9373823286</v>
      </c>
      <c r="Z929" s="577">
        <f t="shared" si="1556"/>
        <v>1702532.208032991</v>
      </c>
      <c r="AA929" s="577">
        <f t="shared" si="1556"/>
        <v>1719625.6380595691</v>
      </c>
      <c r="AB929" s="577">
        <f t="shared" si="1556"/>
        <v>1736806.2514132168</v>
      </c>
      <c r="AC929" s="577">
        <f t="shared" si="1556"/>
        <v>1753944.4473350963</v>
      </c>
      <c r="AD929" s="577">
        <f t="shared" si="1556"/>
        <v>1771108.0948276245</v>
      </c>
      <c r="AE929" s="577">
        <f t="shared" si="1556"/>
        <v>1788417.840469837</v>
      </c>
      <c r="AF929" s="577">
        <f t="shared" si="1556"/>
        <v>1805639.6763357557</v>
      </c>
      <c r="AG929" s="577">
        <f t="shared" si="1556"/>
        <v>1822894.4280317791</v>
      </c>
      <c r="AH929" s="752">
        <f t="shared" si="1556"/>
        <v>1840251.512060537</v>
      </c>
      <c r="AI929" s="18"/>
      <c r="AJ929" s="18"/>
      <c r="AK929" s="18"/>
      <c r="AL929" s="18"/>
      <c r="AM929" s="18"/>
      <c r="AN929" s="18"/>
    </row>
    <row r="930" spans="2:40" ht="21.95" customHeight="1" x14ac:dyDescent="0.2">
      <c r="B930" s="232"/>
      <c r="C930" s="715"/>
      <c r="D930" s="715"/>
      <c r="E930" s="116" t="s">
        <v>338</v>
      </c>
      <c r="F930" s="116" t="s">
        <v>282</v>
      </c>
      <c r="G930" s="116" t="s">
        <v>357</v>
      </c>
      <c r="H930" s="116" t="s">
        <v>20</v>
      </c>
      <c r="I930" s="577">
        <f t="shared" ref="I930:AH930" si="1557">I839*$D$13</f>
        <v>491535.83458035038</v>
      </c>
      <c r="J930" s="577">
        <f t="shared" si="1557"/>
        <v>505705.34753371071</v>
      </c>
      <c r="K930" s="577">
        <f t="shared" si="1557"/>
        <v>521042.26263568125</v>
      </c>
      <c r="L930" s="577">
        <f t="shared" si="1557"/>
        <v>541389.41516045295</v>
      </c>
      <c r="M930" s="577">
        <f t="shared" si="1557"/>
        <v>561740.02111641783</v>
      </c>
      <c r="N930" s="577">
        <f t="shared" si="1557"/>
        <v>582099.00086874317</v>
      </c>
      <c r="O930" s="577">
        <f t="shared" si="1557"/>
        <v>602446.20804140775</v>
      </c>
      <c r="P930" s="577">
        <f t="shared" si="1557"/>
        <v>622798.85524386656</v>
      </c>
      <c r="Q930" s="577">
        <f t="shared" si="1557"/>
        <v>645194.38899175054</v>
      </c>
      <c r="R930" s="577">
        <f t="shared" si="1557"/>
        <v>667582.6239491771</v>
      </c>
      <c r="S930" s="577">
        <f t="shared" si="1557"/>
        <v>689978.33302594337</v>
      </c>
      <c r="T930" s="577">
        <f t="shared" si="1557"/>
        <v>712374.17798392603</v>
      </c>
      <c r="U930" s="577">
        <f t="shared" si="1557"/>
        <v>734782.98438633909</v>
      </c>
      <c r="V930" s="577">
        <f t="shared" si="1557"/>
        <v>752166.83093222335</v>
      </c>
      <c r="W930" s="577">
        <f t="shared" si="1557"/>
        <v>766337.01967636321</v>
      </c>
      <c r="X930" s="577">
        <f t="shared" si="1557"/>
        <v>780507.34771854978</v>
      </c>
      <c r="Y930" s="577">
        <f t="shared" si="1557"/>
        <v>794677.84001965355</v>
      </c>
      <c r="Z930" s="577">
        <f t="shared" si="1557"/>
        <v>808847.05069637904</v>
      </c>
      <c r="AA930" s="577">
        <f t="shared" si="1557"/>
        <v>823017.96248702006</v>
      </c>
      <c r="AB930" s="577">
        <f t="shared" si="1557"/>
        <v>837187.66415872111</v>
      </c>
      <c r="AC930" s="577">
        <f t="shared" si="1557"/>
        <v>851359.14920484752</v>
      </c>
      <c r="AD930" s="577">
        <f t="shared" si="1557"/>
        <v>865530.99315897608</v>
      </c>
      <c r="AE930" s="577">
        <f t="shared" si="1557"/>
        <v>879701.77856384777</v>
      </c>
      <c r="AF930" s="577">
        <f t="shared" si="1557"/>
        <v>893874.52069996309</v>
      </c>
      <c r="AG930" s="577">
        <f t="shared" si="1557"/>
        <v>908047.81919631211</v>
      </c>
      <c r="AH930" s="752">
        <f t="shared" si="1557"/>
        <v>922220.28351653437</v>
      </c>
      <c r="AI930" s="18"/>
      <c r="AJ930" s="18"/>
      <c r="AK930" s="18"/>
      <c r="AL930" s="18"/>
      <c r="AM930" s="18"/>
      <c r="AN930" s="18"/>
    </row>
    <row r="931" spans="2:40" ht="21.95" customHeight="1" x14ac:dyDescent="0.2">
      <c r="B931" s="232"/>
      <c r="C931" s="715"/>
      <c r="D931" s="715"/>
      <c r="E931" s="116"/>
      <c r="F931" s="116"/>
      <c r="G931" s="116"/>
      <c r="H931" s="124" t="s">
        <v>19</v>
      </c>
      <c r="I931" s="577">
        <f t="shared" ref="I931:AH931" si="1558">I840*$D$14</f>
        <v>2029017.8418146709</v>
      </c>
      <c r="J931" s="577">
        <f t="shared" si="1558"/>
        <v>2087508.3781490924</v>
      </c>
      <c r="K931" s="577">
        <f t="shared" si="1558"/>
        <v>2150817.850604672</v>
      </c>
      <c r="L931" s="577">
        <f t="shared" si="1558"/>
        <v>2234809.1541850776</v>
      </c>
      <c r="M931" s="577">
        <f t="shared" si="1558"/>
        <v>2318814.7132337797</v>
      </c>
      <c r="N931" s="577">
        <f t="shared" si="1558"/>
        <v>2402854.8385969265</v>
      </c>
      <c r="O931" s="577">
        <f t="shared" si="1558"/>
        <v>2486846.3677591556</v>
      </c>
      <c r="P931" s="577">
        <f t="shared" si="1558"/>
        <v>2570860.3528986215</v>
      </c>
      <c r="Q931" s="577">
        <f t="shared" si="1558"/>
        <v>2663307.1987938229</v>
      </c>
      <c r="R931" s="577">
        <f t="shared" si="1558"/>
        <v>2755723.9159069103</v>
      </c>
      <c r="S931" s="577">
        <f t="shared" si="1558"/>
        <v>2848171.4855447276</v>
      </c>
      <c r="T931" s="577">
        <f t="shared" si="1558"/>
        <v>2940619.6160885724</v>
      </c>
      <c r="U931" s="577">
        <f t="shared" si="1558"/>
        <v>3033121.2503653183</v>
      </c>
      <c r="V931" s="577">
        <f t="shared" si="1558"/>
        <v>3104880.2805712875</v>
      </c>
      <c r="W931" s="577">
        <f t="shared" si="1558"/>
        <v>3163373.6065121884</v>
      </c>
      <c r="X931" s="577">
        <f t="shared" si="1558"/>
        <v>3221867.5074635004</v>
      </c>
      <c r="Y931" s="577">
        <f t="shared" si="1558"/>
        <v>3280362.0864615589</v>
      </c>
      <c r="Z931" s="577">
        <f t="shared" si="1558"/>
        <v>3338851.3750239112</v>
      </c>
      <c r="AA931" s="577">
        <f t="shared" si="1558"/>
        <v>3397347.685638865</v>
      </c>
      <c r="AB931" s="577">
        <f t="shared" si="1558"/>
        <v>3455839.0009864392</v>
      </c>
      <c r="AC931" s="577">
        <f t="shared" si="1558"/>
        <v>3514337.6779509564</v>
      </c>
      <c r="AD931" s="577">
        <f t="shared" si="1558"/>
        <v>3572837.8364569787</v>
      </c>
      <c r="AE931" s="577">
        <f t="shared" si="1558"/>
        <v>3631333.6253622966</v>
      </c>
      <c r="AF931" s="577">
        <f t="shared" si="1558"/>
        <v>3689837.4914866611</v>
      </c>
      <c r="AG931" s="577">
        <f t="shared" si="1558"/>
        <v>3748343.6542184367</v>
      </c>
      <c r="AH931" s="752">
        <f t="shared" si="1558"/>
        <v>3806846.3735425803</v>
      </c>
      <c r="AI931" s="18"/>
      <c r="AJ931" s="18"/>
      <c r="AK931" s="18"/>
      <c r="AL931" s="18"/>
      <c r="AM931" s="18"/>
      <c r="AN931" s="18"/>
    </row>
    <row r="932" spans="2:40" ht="21.95" customHeight="1" x14ac:dyDescent="0.2">
      <c r="B932" s="232"/>
      <c r="C932" s="715"/>
      <c r="D932" s="715"/>
      <c r="E932" s="116"/>
      <c r="F932" s="116"/>
      <c r="G932" s="116"/>
      <c r="H932" s="721" t="s">
        <v>25</v>
      </c>
      <c r="I932" s="577">
        <f t="shared" ref="I932:AH932" si="1559">SUM(I930:I931)</f>
        <v>2520553.6763950214</v>
      </c>
      <c r="J932" s="577">
        <f t="shared" si="1559"/>
        <v>2593213.725682803</v>
      </c>
      <c r="K932" s="577">
        <f t="shared" si="1559"/>
        <v>2671860.1132403533</v>
      </c>
      <c r="L932" s="577">
        <f t="shared" si="1559"/>
        <v>2776198.5693455306</v>
      </c>
      <c r="M932" s="577">
        <f t="shared" si="1559"/>
        <v>2880554.7343501975</v>
      </c>
      <c r="N932" s="577">
        <f t="shared" si="1559"/>
        <v>2984953.8394656698</v>
      </c>
      <c r="O932" s="577">
        <f t="shared" si="1559"/>
        <v>3089292.5758005632</v>
      </c>
      <c r="P932" s="577">
        <f t="shared" si="1559"/>
        <v>3193659.2081424883</v>
      </c>
      <c r="Q932" s="577">
        <f t="shared" si="1559"/>
        <v>3308501.5877855737</v>
      </c>
      <c r="R932" s="577">
        <f t="shared" si="1559"/>
        <v>3423306.5398560874</v>
      </c>
      <c r="S932" s="577">
        <f t="shared" si="1559"/>
        <v>3538149.8185706711</v>
      </c>
      <c r="T932" s="577">
        <f t="shared" si="1559"/>
        <v>3652993.7940724986</v>
      </c>
      <c r="U932" s="577">
        <f t="shared" si="1559"/>
        <v>3767904.2347516576</v>
      </c>
      <c r="V932" s="577">
        <f t="shared" si="1559"/>
        <v>3857047.1115035107</v>
      </c>
      <c r="W932" s="577">
        <f t="shared" si="1559"/>
        <v>3929710.6261885515</v>
      </c>
      <c r="X932" s="577">
        <f t="shared" si="1559"/>
        <v>4002374.8551820503</v>
      </c>
      <c r="Y932" s="577">
        <f t="shared" si="1559"/>
        <v>4075039.9264812125</v>
      </c>
      <c r="Z932" s="577">
        <f t="shared" si="1559"/>
        <v>4147698.4257202903</v>
      </c>
      <c r="AA932" s="577">
        <f t="shared" si="1559"/>
        <v>4220365.6481258851</v>
      </c>
      <c r="AB932" s="577">
        <f t="shared" si="1559"/>
        <v>4293026.6651451606</v>
      </c>
      <c r="AC932" s="577">
        <f t="shared" si="1559"/>
        <v>4365696.8271558043</v>
      </c>
      <c r="AD932" s="577">
        <f t="shared" si="1559"/>
        <v>4438368.8296159543</v>
      </c>
      <c r="AE932" s="577">
        <f t="shared" si="1559"/>
        <v>4511035.4039261444</v>
      </c>
      <c r="AF932" s="577">
        <f t="shared" si="1559"/>
        <v>4583712.0121866241</v>
      </c>
      <c r="AG932" s="577">
        <f t="shared" si="1559"/>
        <v>4656391.4734147489</v>
      </c>
      <c r="AH932" s="752">
        <f t="shared" si="1559"/>
        <v>4729066.6570591144</v>
      </c>
      <c r="AI932" s="18"/>
      <c r="AJ932" s="18"/>
      <c r="AK932" s="18"/>
      <c r="AL932" s="18"/>
      <c r="AM932" s="18"/>
      <c r="AN932" s="18"/>
    </row>
    <row r="933" spans="2:40" ht="21.95" customHeight="1" x14ac:dyDescent="0.2">
      <c r="B933" s="232"/>
      <c r="C933" s="715"/>
      <c r="D933" s="715"/>
      <c r="E933" s="116"/>
      <c r="F933" s="116" t="s">
        <v>357</v>
      </c>
      <c r="G933" s="116" t="s">
        <v>346</v>
      </c>
      <c r="H933" s="116" t="s">
        <v>20</v>
      </c>
      <c r="I933" s="577">
        <f t="shared" ref="I933:AH933" si="1560">I842*$D$13</f>
        <v>71585.628922131946</v>
      </c>
      <c r="J933" s="577">
        <f t="shared" si="1560"/>
        <v>73617.342187777162</v>
      </c>
      <c r="K933" s="577">
        <f t="shared" si="1560"/>
        <v>75872.007055815033</v>
      </c>
      <c r="L933" s="577">
        <f t="shared" si="1560"/>
        <v>79036.657273831734</v>
      </c>
      <c r="M933" s="577">
        <f t="shared" si="1560"/>
        <v>82201.87278009014</v>
      </c>
      <c r="N933" s="577">
        <f t="shared" si="1560"/>
        <v>85367.747824887003</v>
      </c>
      <c r="O933" s="577">
        <f t="shared" si="1560"/>
        <v>88532.398655093988</v>
      </c>
      <c r="P933" s="577">
        <f t="shared" si="1560"/>
        <v>91697.238252255091</v>
      </c>
      <c r="Q933" s="577">
        <f t="shared" si="1560"/>
        <v>95254.386727733974</v>
      </c>
      <c r="R933" s="577">
        <f t="shared" si="1560"/>
        <v>98810.311648120929</v>
      </c>
      <c r="S933" s="577">
        <f t="shared" si="1560"/>
        <v>102367.46236298673</v>
      </c>
      <c r="T933" s="577">
        <f t="shared" si="1560"/>
        <v>105924.61486771717</v>
      </c>
      <c r="U933" s="577">
        <f t="shared" si="1560"/>
        <v>109482.33495665723</v>
      </c>
      <c r="V933" s="577">
        <f t="shared" si="1560"/>
        <v>112129.881339948</v>
      </c>
      <c r="W933" s="577">
        <f t="shared" si="1560"/>
        <v>114161.60246900553</v>
      </c>
      <c r="X933" s="577">
        <f t="shared" si="1560"/>
        <v>116193.32514774241</v>
      </c>
      <c r="Y933" s="577">
        <f t="shared" si="1560"/>
        <v>118225.04964270614</v>
      </c>
      <c r="Z933" s="577">
        <f t="shared" si="1560"/>
        <v>120255.74014517467</v>
      </c>
      <c r="AA933" s="577">
        <f t="shared" si="1560"/>
        <v>122287.46923593366</v>
      </c>
      <c r="AB933" s="577">
        <f t="shared" si="1560"/>
        <v>124318.16508524213</v>
      </c>
      <c r="AC933" s="577">
        <f t="shared" si="1560"/>
        <v>126349.90038732081</v>
      </c>
      <c r="AD933" s="577">
        <f t="shared" si="1560"/>
        <v>128381.63954941016</v>
      </c>
      <c r="AE933" s="577">
        <f t="shared" si="1560"/>
        <v>130412.34704267178</v>
      </c>
      <c r="AF933" s="577">
        <f t="shared" si="1560"/>
        <v>132444.09578950031</v>
      </c>
      <c r="AG933" s="577">
        <f t="shared" si="1560"/>
        <v>134475.85043351405</v>
      </c>
      <c r="AH933" s="752">
        <f t="shared" si="1560"/>
        <v>136506.57570612439</v>
      </c>
      <c r="AI933" s="18"/>
      <c r="AJ933" s="18"/>
      <c r="AK933" s="18"/>
      <c r="AL933" s="18"/>
      <c r="AM933" s="18"/>
      <c r="AN933" s="18"/>
    </row>
    <row r="934" spans="2:40" ht="21.95" customHeight="1" x14ac:dyDescent="0.2">
      <c r="B934" s="232"/>
      <c r="C934" s="715"/>
      <c r="D934" s="715"/>
      <c r="E934" s="116"/>
      <c r="F934" s="116"/>
      <c r="G934" s="116"/>
      <c r="H934" s="124" t="s">
        <v>19</v>
      </c>
      <c r="I934" s="577">
        <f t="shared" ref="I934:AH934" si="1561">I843*$D$14</f>
        <v>295499.34731520893</v>
      </c>
      <c r="J934" s="577">
        <f t="shared" si="1561"/>
        <v>303886.0857286253</v>
      </c>
      <c r="K934" s="577">
        <f t="shared" si="1561"/>
        <v>313193.1492684937</v>
      </c>
      <c r="L934" s="577">
        <f t="shared" si="1561"/>
        <v>326256.55442376714</v>
      </c>
      <c r="M934" s="577">
        <f t="shared" si="1561"/>
        <v>339322.29304050456</v>
      </c>
      <c r="N934" s="577">
        <f t="shared" si="1561"/>
        <v>352390.75417586172</v>
      </c>
      <c r="O934" s="577">
        <f t="shared" si="1561"/>
        <v>365454.16185820429</v>
      </c>
      <c r="P934" s="577">
        <f t="shared" si="1561"/>
        <v>378518.34875437187</v>
      </c>
      <c r="Q934" s="577">
        <f t="shared" si="1561"/>
        <v>393201.9531123176</v>
      </c>
      <c r="R934" s="577">
        <f t="shared" si="1561"/>
        <v>407880.50673959969</v>
      </c>
      <c r="S934" s="577">
        <f t="shared" si="1561"/>
        <v>422564.12034154288</v>
      </c>
      <c r="T934" s="577">
        <f t="shared" si="1561"/>
        <v>437247.74133189407</v>
      </c>
      <c r="U934" s="577">
        <f t="shared" si="1561"/>
        <v>451933.70526126819</v>
      </c>
      <c r="V934" s="577">
        <f t="shared" si="1561"/>
        <v>462862.55005915597</v>
      </c>
      <c r="W934" s="577">
        <f t="shared" si="1561"/>
        <v>471249.32093206514</v>
      </c>
      <c r="X934" s="577">
        <f t="shared" si="1561"/>
        <v>479636.09820191789</v>
      </c>
      <c r="Y934" s="577">
        <f t="shared" si="1561"/>
        <v>488022.88296899974</v>
      </c>
      <c r="Z934" s="577">
        <f t="shared" si="1561"/>
        <v>496405.39950358763</v>
      </c>
      <c r="AA934" s="577">
        <f t="shared" si="1561"/>
        <v>504792.20324171876</v>
      </c>
      <c r="AB934" s="577">
        <f t="shared" si="1561"/>
        <v>513174.74184760411</v>
      </c>
      <c r="AC934" s="577">
        <f t="shared" si="1561"/>
        <v>521561.57122553117</v>
      </c>
      <c r="AD934" s="577">
        <f t="shared" si="1561"/>
        <v>529948.41653725179</v>
      </c>
      <c r="AE934" s="577">
        <f t="shared" si="1561"/>
        <v>538331.00320837891</v>
      </c>
      <c r="AF934" s="577">
        <f t="shared" si="1561"/>
        <v>546717.88808508206</v>
      </c>
      <c r="AG934" s="577">
        <f t="shared" si="1561"/>
        <v>555104.79730486113</v>
      </c>
      <c r="AH934" s="752">
        <f t="shared" si="1561"/>
        <v>563487.45736761752</v>
      </c>
      <c r="AI934" s="18"/>
      <c r="AJ934" s="18"/>
      <c r="AK934" s="18"/>
      <c r="AL934" s="18"/>
      <c r="AM934" s="18"/>
      <c r="AN934" s="18"/>
    </row>
    <row r="935" spans="2:40" ht="21.95" customHeight="1" x14ac:dyDescent="0.2">
      <c r="B935" s="232"/>
      <c r="C935" s="715"/>
      <c r="D935" s="715"/>
      <c r="E935" s="116"/>
      <c r="F935" s="116"/>
      <c r="G935" s="116"/>
      <c r="H935" s="721" t="s">
        <v>25</v>
      </c>
      <c r="I935" s="577">
        <f t="shared" ref="I935:AH935" si="1562">SUM(I933:I934)</f>
        <v>367084.97623734089</v>
      </c>
      <c r="J935" s="577">
        <f t="shared" si="1562"/>
        <v>377503.42791640246</v>
      </c>
      <c r="K935" s="577">
        <f t="shared" si="1562"/>
        <v>389065.15632430871</v>
      </c>
      <c r="L935" s="577">
        <f t="shared" si="1562"/>
        <v>405293.21169759886</v>
      </c>
      <c r="M935" s="577">
        <f t="shared" si="1562"/>
        <v>421524.1658205947</v>
      </c>
      <c r="N935" s="577">
        <f t="shared" si="1562"/>
        <v>437758.5020007487</v>
      </c>
      <c r="O935" s="577">
        <f t="shared" si="1562"/>
        <v>453986.56051329826</v>
      </c>
      <c r="P935" s="577">
        <f t="shared" si="1562"/>
        <v>470215.58700662694</v>
      </c>
      <c r="Q935" s="577">
        <f t="shared" si="1562"/>
        <v>488456.3398400516</v>
      </c>
      <c r="R935" s="577">
        <f t="shared" si="1562"/>
        <v>506690.81838772062</v>
      </c>
      <c r="S935" s="577">
        <f t="shared" si="1562"/>
        <v>524931.58270452963</v>
      </c>
      <c r="T935" s="577">
        <f t="shared" si="1562"/>
        <v>543172.35619961121</v>
      </c>
      <c r="U935" s="577">
        <f t="shared" si="1562"/>
        <v>561416.04021792545</v>
      </c>
      <c r="V935" s="577">
        <f t="shared" si="1562"/>
        <v>574992.43139910395</v>
      </c>
      <c r="W935" s="577">
        <f t="shared" si="1562"/>
        <v>585410.92340107064</v>
      </c>
      <c r="X935" s="577">
        <f t="shared" si="1562"/>
        <v>595829.42334966036</v>
      </c>
      <c r="Y935" s="577">
        <f t="shared" si="1562"/>
        <v>606247.93261170585</v>
      </c>
      <c r="Z935" s="577">
        <f t="shared" si="1562"/>
        <v>616661.1396487623</v>
      </c>
      <c r="AA935" s="577">
        <f t="shared" si="1562"/>
        <v>627079.67247765244</v>
      </c>
      <c r="AB935" s="577">
        <f t="shared" si="1562"/>
        <v>637492.90693284618</v>
      </c>
      <c r="AC935" s="577">
        <f t="shared" si="1562"/>
        <v>647911.47161285195</v>
      </c>
      <c r="AD935" s="577">
        <f t="shared" si="1562"/>
        <v>658330.05608666199</v>
      </c>
      <c r="AE935" s="577">
        <f t="shared" si="1562"/>
        <v>668743.35025105067</v>
      </c>
      <c r="AF935" s="577">
        <f t="shared" si="1562"/>
        <v>679161.98387458234</v>
      </c>
      <c r="AG935" s="577">
        <f t="shared" si="1562"/>
        <v>689580.64773837524</v>
      </c>
      <c r="AH935" s="752">
        <f t="shared" si="1562"/>
        <v>699994.03307374194</v>
      </c>
      <c r="AI935" s="18"/>
      <c r="AJ935" s="18"/>
      <c r="AK935" s="18"/>
      <c r="AL935" s="18"/>
      <c r="AM935" s="18"/>
      <c r="AN935" s="18"/>
    </row>
    <row r="936" spans="2:40" ht="21.95" customHeight="1" x14ac:dyDescent="0.2">
      <c r="B936" s="232"/>
      <c r="C936" s="715"/>
      <c r="D936" s="715"/>
      <c r="E936" s="116"/>
      <c r="F936" s="116" t="s">
        <v>346</v>
      </c>
      <c r="G936" s="116" t="s">
        <v>343</v>
      </c>
      <c r="H936" s="116" t="s">
        <v>20</v>
      </c>
      <c r="I936" s="577">
        <f t="shared" ref="I936:AH936" si="1563">I845*$D$13</f>
        <v>21561.82037681057</v>
      </c>
      <c r="J936" s="577">
        <f t="shared" si="1563"/>
        <v>22173.778955288908</v>
      </c>
      <c r="K936" s="577">
        <f t="shared" si="1563"/>
        <v>22852.8912927458</v>
      </c>
      <c r="L936" s="577">
        <f t="shared" si="1563"/>
        <v>23806.094199511324</v>
      </c>
      <c r="M936" s="577">
        <f t="shared" si="1563"/>
        <v>24759.467444699345</v>
      </c>
      <c r="N936" s="577">
        <f t="shared" si="1563"/>
        <v>25713.039447210635</v>
      </c>
      <c r="O936" s="577">
        <f t="shared" si="1563"/>
        <v>26666.24285562861</v>
      </c>
      <c r="P936" s="577">
        <f t="shared" si="1563"/>
        <v>27619.50332011432</v>
      </c>
      <c r="Q936" s="577">
        <f t="shared" si="1563"/>
        <v>28690.928884653753</v>
      </c>
      <c r="R936" s="577">
        <f t="shared" si="1563"/>
        <v>29761.986395518114</v>
      </c>
      <c r="S936" s="577">
        <f t="shared" si="1563"/>
        <v>30833.413795098066</v>
      </c>
      <c r="T936" s="577">
        <f t="shared" si="1563"/>
        <v>31904.842661362505</v>
      </c>
      <c r="U936" s="577">
        <f t="shared" si="1563"/>
        <v>32976.443747454563</v>
      </c>
      <c r="V936" s="577">
        <f t="shared" si="1563"/>
        <v>33773.897545192114</v>
      </c>
      <c r="W936" s="577">
        <f t="shared" si="1563"/>
        <v>34385.862567255448</v>
      </c>
      <c r="X936" s="577">
        <f t="shared" si="1563"/>
        <v>34997.828859186106</v>
      </c>
      <c r="Y936" s="577">
        <f t="shared" si="1563"/>
        <v>35609.796639403539</v>
      </c>
      <c r="Z936" s="577">
        <f t="shared" si="1563"/>
        <v>36221.454073993948</v>
      </c>
      <c r="AA936" s="577">
        <f t="shared" si="1563"/>
        <v>36833.425620184236</v>
      </c>
      <c r="AB936" s="577">
        <f t="shared" si="1563"/>
        <v>37445.087436182628</v>
      </c>
      <c r="AC936" s="577">
        <f t="shared" si="1563"/>
        <v>38057.064072169174</v>
      </c>
      <c r="AD936" s="577">
        <f t="shared" si="1563"/>
        <v>38669.043871198104</v>
      </c>
      <c r="AE936" s="577">
        <f t="shared" si="1563"/>
        <v>39280.715228703368</v>
      </c>
      <c r="AF936" s="577">
        <f t="shared" si="1563"/>
        <v>39892.702881839272</v>
      </c>
      <c r="AG936" s="577">
        <f t="shared" si="1563"/>
        <v>40504.695367357497</v>
      </c>
      <c r="AH936" s="752">
        <f t="shared" si="1563"/>
        <v>41116.381293950573</v>
      </c>
      <c r="AI936" s="18"/>
      <c r="AJ936" s="18"/>
      <c r="AK936" s="18"/>
      <c r="AL936" s="18"/>
      <c r="AM936" s="18"/>
      <c r="AN936" s="18"/>
    </row>
    <row r="937" spans="2:40" ht="21.95" customHeight="1" x14ac:dyDescent="0.2">
      <c r="B937" s="232"/>
      <c r="C937" s="715"/>
      <c r="D937" s="715"/>
      <c r="E937" s="116"/>
      <c r="F937" s="116"/>
      <c r="G937" s="116"/>
      <c r="H937" s="124" t="s">
        <v>19</v>
      </c>
      <c r="I937" s="577">
        <f t="shared" ref="I937:AH937" si="1564">I846*$D$14</f>
        <v>89005.348478616696</v>
      </c>
      <c r="J937" s="577">
        <f t="shared" si="1564"/>
        <v>91531.461097128369</v>
      </c>
      <c r="K937" s="577">
        <f t="shared" si="1564"/>
        <v>94334.778683267155</v>
      </c>
      <c r="L937" s="577">
        <f t="shared" si="1564"/>
        <v>98269.518672973238</v>
      </c>
      <c r="M937" s="577">
        <f t="shared" si="1564"/>
        <v>102204.96180510367</v>
      </c>
      <c r="N937" s="577">
        <f t="shared" si="1564"/>
        <v>106141.22539044777</v>
      </c>
      <c r="O937" s="577">
        <f t="shared" si="1564"/>
        <v>110075.96745093221</v>
      </c>
      <c r="P937" s="577">
        <f t="shared" si="1564"/>
        <v>114010.94503397935</v>
      </c>
      <c r="Q937" s="577">
        <f t="shared" si="1564"/>
        <v>118433.69803322482</v>
      </c>
      <c r="R937" s="577">
        <f t="shared" si="1564"/>
        <v>122854.93173841086</v>
      </c>
      <c r="S937" s="577">
        <f t="shared" si="1564"/>
        <v>127277.69231254648</v>
      </c>
      <c r="T937" s="577">
        <f t="shared" si="1564"/>
        <v>131700.45894103008</v>
      </c>
      <c r="U937" s="577">
        <f t="shared" si="1564"/>
        <v>136123.93647821734</v>
      </c>
      <c r="V937" s="577">
        <f t="shared" si="1564"/>
        <v>139415.75748047198</v>
      </c>
      <c r="W937" s="577">
        <f t="shared" si="1564"/>
        <v>141941.89669755084</v>
      </c>
      <c r="X937" s="577">
        <f t="shared" si="1564"/>
        <v>144468.04115653326</v>
      </c>
      <c r="Y937" s="577">
        <f t="shared" si="1564"/>
        <v>146994.19175903613</v>
      </c>
      <c r="Z937" s="577">
        <f t="shared" si="1564"/>
        <v>149519.06128136118</v>
      </c>
      <c r="AA937" s="577">
        <f t="shared" si="1564"/>
        <v>152045.22742947756</v>
      </c>
      <c r="AB937" s="577">
        <f t="shared" si="1564"/>
        <v>154570.11503787962</v>
      </c>
      <c r="AC937" s="577">
        <f t="shared" si="1564"/>
        <v>157096.30219623918</v>
      </c>
      <c r="AD937" s="577">
        <f t="shared" si="1564"/>
        <v>159622.50241136688</v>
      </c>
      <c r="AE937" s="577">
        <f t="shared" si="1564"/>
        <v>162147.42940629239</v>
      </c>
      <c r="AF937" s="577">
        <f t="shared" si="1564"/>
        <v>164673.66204250127</v>
      </c>
      <c r="AG937" s="577">
        <f t="shared" si="1564"/>
        <v>167199.91462637059</v>
      </c>
      <c r="AH937" s="752">
        <f t="shared" si="1564"/>
        <v>169724.90176124327</v>
      </c>
      <c r="AI937" s="18"/>
      <c r="AJ937" s="18"/>
      <c r="AK937" s="18"/>
      <c r="AL937" s="18"/>
      <c r="AM937" s="18"/>
      <c r="AN937" s="18"/>
    </row>
    <row r="938" spans="2:40" ht="21.95" customHeight="1" x14ac:dyDescent="0.2">
      <c r="B938" s="232"/>
      <c r="C938" s="715"/>
      <c r="D938" s="715"/>
      <c r="E938" s="116"/>
      <c r="F938" s="116"/>
      <c r="G938" s="116"/>
      <c r="H938" s="721" t="s">
        <v>25</v>
      </c>
      <c r="I938" s="577">
        <f t="shared" ref="I938:AH938" si="1565">SUM(I936:I937)</f>
        <v>110567.16885542727</v>
      </c>
      <c r="J938" s="577">
        <f t="shared" si="1565"/>
        <v>113705.24005241727</v>
      </c>
      <c r="K938" s="577">
        <f t="shared" si="1565"/>
        <v>117187.66997601296</v>
      </c>
      <c r="L938" s="577">
        <f t="shared" si="1565"/>
        <v>122075.61287248456</v>
      </c>
      <c r="M938" s="577">
        <f t="shared" si="1565"/>
        <v>126964.42924980301</v>
      </c>
      <c r="N938" s="577">
        <f t="shared" si="1565"/>
        <v>131854.26483765841</v>
      </c>
      <c r="O938" s="577">
        <f t="shared" si="1565"/>
        <v>136742.21030656082</v>
      </c>
      <c r="P938" s="577">
        <f t="shared" si="1565"/>
        <v>141630.44835409368</v>
      </c>
      <c r="Q938" s="577">
        <f t="shared" si="1565"/>
        <v>147124.62691787857</v>
      </c>
      <c r="R938" s="577">
        <f t="shared" si="1565"/>
        <v>152616.91813392896</v>
      </c>
      <c r="S938" s="577">
        <f t="shared" si="1565"/>
        <v>158111.10610764456</v>
      </c>
      <c r="T938" s="577">
        <f t="shared" si="1565"/>
        <v>163605.30160239257</v>
      </c>
      <c r="U938" s="577">
        <f t="shared" si="1565"/>
        <v>169100.38022567189</v>
      </c>
      <c r="V938" s="577">
        <f t="shared" si="1565"/>
        <v>173189.65502566408</v>
      </c>
      <c r="W938" s="577">
        <f t="shared" si="1565"/>
        <v>176327.75926480629</v>
      </c>
      <c r="X938" s="577">
        <f t="shared" si="1565"/>
        <v>179465.87001571938</v>
      </c>
      <c r="Y938" s="577">
        <f t="shared" si="1565"/>
        <v>182603.98839843966</v>
      </c>
      <c r="Z938" s="577">
        <f t="shared" si="1565"/>
        <v>185740.51535535514</v>
      </c>
      <c r="AA938" s="577">
        <f t="shared" si="1565"/>
        <v>188878.65304966178</v>
      </c>
      <c r="AB938" s="577">
        <f t="shared" si="1565"/>
        <v>192015.20247406224</v>
      </c>
      <c r="AC938" s="577">
        <f t="shared" si="1565"/>
        <v>195153.36626840837</v>
      </c>
      <c r="AD938" s="577">
        <f t="shared" si="1565"/>
        <v>198291.54628256499</v>
      </c>
      <c r="AE938" s="577">
        <f t="shared" si="1565"/>
        <v>201428.14463499576</v>
      </c>
      <c r="AF938" s="577">
        <f t="shared" si="1565"/>
        <v>204566.36492434054</v>
      </c>
      <c r="AG938" s="577">
        <f t="shared" si="1565"/>
        <v>207704.60999372808</v>
      </c>
      <c r="AH938" s="752">
        <f t="shared" si="1565"/>
        <v>210841.28305519384</v>
      </c>
      <c r="AI938" s="18"/>
      <c r="AJ938" s="18"/>
      <c r="AK938" s="18"/>
      <c r="AL938" s="18"/>
      <c r="AM938" s="18"/>
      <c r="AN938" s="18"/>
    </row>
    <row r="939" spans="2:40" ht="21.95" customHeight="1" x14ac:dyDescent="0.2">
      <c r="B939" s="232"/>
      <c r="C939" s="715"/>
      <c r="D939" s="715"/>
      <c r="E939" s="116"/>
      <c r="F939" s="116" t="s">
        <v>343</v>
      </c>
      <c r="G939" s="116" t="s">
        <v>350</v>
      </c>
      <c r="H939" s="116" t="s">
        <v>20</v>
      </c>
      <c r="I939" s="577">
        <f t="shared" ref="I939:AH939" si="1566">I848*$D$13</f>
        <v>55323.091257919485</v>
      </c>
      <c r="J939" s="577">
        <f t="shared" si="1566"/>
        <v>56891.869732855761</v>
      </c>
      <c r="K939" s="577">
        <f t="shared" si="1566"/>
        <v>58679.451043407324</v>
      </c>
      <c r="L939" s="577">
        <f t="shared" si="1566"/>
        <v>60963.557120636899</v>
      </c>
      <c r="M939" s="577">
        <f t="shared" si="1566"/>
        <v>63248.400862551774</v>
      </c>
      <c r="N939" s="577">
        <f t="shared" si="1566"/>
        <v>65532.875816481719</v>
      </c>
      <c r="O939" s="577">
        <f t="shared" si="1566"/>
        <v>67816.981994660746</v>
      </c>
      <c r="P939" s="577">
        <f t="shared" si="1566"/>
        <v>70101.549259699095</v>
      </c>
      <c r="Q939" s="577">
        <f t="shared" si="1566"/>
        <v>72683.662678481283</v>
      </c>
      <c r="R939" s="577">
        <f t="shared" si="1566"/>
        <v>75265.684037774787</v>
      </c>
      <c r="S939" s="577">
        <f t="shared" si="1566"/>
        <v>77847.428980868382</v>
      </c>
      <c r="T939" s="577">
        <f t="shared" si="1566"/>
        <v>80429.54301458651</v>
      </c>
      <c r="U939" s="577">
        <f t="shared" si="1566"/>
        <v>83012.118436264485</v>
      </c>
      <c r="V939" s="577">
        <f t="shared" si="1566"/>
        <v>85097.615974007465</v>
      </c>
      <c r="W939" s="577">
        <f t="shared" si="1566"/>
        <v>86666.39574364532</v>
      </c>
      <c r="X939" s="577">
        <f t="shared" si="1566"/>
        <v>88235.175773822397</v>
      </c>
      <c r="Y939" s="577">
        <f t="shared" si="1566"/>
        <v>89803.956110174433</v>
      </c>
      <c r="Z939" s="577">
        <f t="shared" si="1566"/>
        <v>91372.275778827054</v>
      </c>
      <c r="AA939" s="577">
        <f t="shared" si="1566"/>
        <v>92941.056893087385</v>
      </c>
      <c r="AB939" s="577">
        <f t="shared" si="1566"/>
        <v>94509.377469214582</v>
      </c>
      <c r="AC939" s="577">
        <f t="shared" si="1566"/>
        <v>96078.159639969002</v>
      </c>
      <c r="AD939" s="577">
        <f t="shared" si="1566"/>
        <v>97646.942469421905</v>
      </c>
      <c r="AE939" s="577">
        <f t="shared" si="1566"/>
        <v>99215.265033509117</v>
      </c>
      <c r="AF939" s="577">
        <f t="shared" si="1566"/>
        <v>100784.04950423123</v>
      </c>
      <c r="AG939" s="577">
        <f t="shared" si="1566"/>
        <v>102352.83498776094</v>
      </c>
      <c r="AH939" s="752">
        <f t="shared" si="1566"/>
        <v>103921.16060674128</v>
      </c>
      <c r="AI939" s="18"/>
      <c r="AJ939" s="18"/>
      <c r="AK939" s="18"/>
      <c r="AL939" s="18"/>
      <c r="AM939" s="18"/>
      <c r="AN939" s="18"/>
    </row>
    <row r="940" spans="2:40" ht="21.95" customHeight="1" x14ac:dyDescent="0.2">
      <c r="B940" s="232"/>
      <c r="C940" s="715"/>
      <c r="D940" s="715"/>
      <c r="E940" s="116"/>
      <c r="F940" s="116"/>
      <c r="G940" s="116"/>
      <c r="H940" s="124" t="s">
        <v>19</v>
      </c>
      <c r="I940" s="577">
        <f t="shared" ref="I940:AH940" si="1567">I849*$D$14</f>
        <v>228368.98417079769</v>
      </c>
      <c r="J940" s="577">
        <f t="shared" si="1567"/>
        <v>234844.76740279354</v>
      </c>
      <c r="K940" s="577">
        <f t="shared" si="1567"/>
        <v>242223.75000718527</v>
      </c>
      <c r="L940" s="577">
        <f t="shared" si="1567"/>
        <v>251652.34433795841</v>
      </c>
      <c r="M940" s="577">
        <f t="shared" si="1567"/>
        <v>261083.98368539652</v>
      </c>
      <c r="N940" s="577">
        <f t="shared" si="1567"/>
        <v>270514.10070760699</v>
      </c>
      <c r="O940" s="577">
        <f t="shared" si="1567"/>
        <v>279942.69545509084</v>
      </c>
      <c r="P940" s="577">
        <f t="shared" si="1567"/>
        <v>289373.19352965354</v>
      </c>
      <c r="Q940" s="577">
        <f t="shared" si="1567"/>
        <v>300031.93665215874</v>
      </c>
      <c r="R940" s="577">
        <f t="shared" si="1567"/>
        <v>310690.29976097634</v>
      </c>
      <c r="S940" s="577">
        <f t="shared" si="1567"/>
        <v>321347.52184738638</v>
      </c>
      <c r="T940" s="577">
        <f t="shared" si="1567"/>
        <v>332006.26750829438</v>
      </c>
      <c r="U940" s="577">
        <f t="shared" si="1567"/>
        <v>342666.9177391986</v>
      </c>
      <c r="V940" s="577">
        <f t="shared" si="1567"/>
        <v>351275.67302304012</v>
      </c>
      <c r="W940" s="577">
        <f t="shared" si="1567"/>
        <v>357751.46159945318</v>
      </c>
      <c r="X940" s="577">
        <f t="shared" si="1567"/>
        <v>364227.25125134987</v>
      </c>
      <c r="Y940" s="577">
        <f t="shared" si="1567"/>
        <v>370703.04216711066</v>
      </c>
      <c r="Z940" s="577">
        <f t="shared" si="1567"/>
        <v>377176.93148604874</v>
      </c>
      <c r="AA940" s="577">
        <f t="shared" si="1567"/>
        <v>383652.7256129483</v>
      </c>
      <c r="AB940" s="577">
        <f t="shared" si="1567"/>
        <v>390126.61867786373</v>
      </c>
      <c r="AC940" s="577">
        <f t="shared" si="1567"/>
        <v>396602.41716588038</v>
      </c>
      <c r="AD940" s="577">
        <f t="shared" si="1567"/>
        <v>403078.21837294806</v>
      </c>
      <c r="AE940" s="577">
        <f t="shared" si="1567"/>
        <v>409552.11964399228</v>
      </c>
      <c r="AF940" s="577">
        <f t="shared" si="1567"/>
        <v>416027.92762607866</v>
      </c>
      <c r="AG940" s="577">
        <f t="shared" si="1567"/>
        <v>422503.73978894815</v>
      </c>
      <c r="AH940" s="752">
        <f t="shared" si="1567"/>
        <v>428977.6536703296</v>
      </c>
      <c r="AI940" s="18"/>
      <c r="AJ940" s="18"/>
      <c r="AK940" s="18"/>
      <c r="AL940" s="18"/>
      <c r="AM940" s="18"/>
      <c r="AN940" s="18"/>
    </row>
    <row r="941" spans="2:40" ht="21.95" customHeight="1" x14ac:dyDescent="0.2">
      <c r="B941" s="232"/>
      <c r="C941" s="715"/>
      <c r="D941" s="715"/>
      <c r="E941" s="116"/>
      <c r="F941" s="116"/>
      <c r="G941" s="116"/>
      <c r="H941" s="721" t="s">
        <v>25</v>
      </c>
      <c r="I941" s="577">
        <f t="shared" ref="I941:AH941" si="1568">SUM(I939:I940)</f>
        <v>283692.07542871719</v>
      </c>
      <c r="J941" s="577">
        <f t="shared" si="1568"/>
        <v>291736.63713564933</v>
      </c>
      <c r="K941" s="577">
        <f t="shared" si="1568"/>
        <v>300903.20105059259</v>
      </c>
      <c r="L941" s="577">
        <f t="shared" si="1568"/>
        <v>312615.9014585953</v>
      </c>
      <c r="M941" s="577">
        <f t="shared" si="1568"/>
        <v>324332.38454794831</v>
      </c>
      <c r="N941" s="577">
        <f t="shared" si="1568"/>
        <v>336046.97652408871</v>
      </c>
      <c r="O941" s="577">
        <f t="shared" si="1568"/>
        <v>347759.67744975159</v>
      </c>
      <c r="P941" s="577">
        <f t="shared" si="1568"/>
        <v>359474.74278935266</v>
      </c>
      <c r="Q941" s="577">
        <f t="shared" si="1568"/>
        <v>372715.59933064005</v>
      </c>
      <c r="R941" s="577">
        <f t="shared" si="1568"/>
        <v>385955.98379875114</v>
      </c>
      <c r="S941" s="577">
        <f t="shared" si="1568"/>
        <v>399194.95082825475</v>
      </c>
      <c r="T941" s="577">
        <f t="shared" si="1568"/>
        <v>412435.81052288087</v>
      </c>
      <c r="U941" s="577">
        <f t="shared" si="1568"/>
        <v>425679.03617546312</v>
      </c>
      <c r="V941" s="577">
        <f t="shared" si="1568"/>
        <v>436373.28899704758</v>
      </c>
      <c r="W941" s="577">
        <f t="shared" si="1568"/>
        <v>444417.8573430985</v>
      </c>
      <c r="X941" s="577">
        <f t="shared" si="1568"/>
        <v>452462.42702517228</v>
      </c>
      <c r="Y941" s="577">
        <f t="shared" si="1568"/>
        <v>460506.99827728508</v>
      </c>
      <c r="Z941" s="577">
        <f t="shared" si="1568"/>
        <v>468549.20726487576</v>
      </c>
      <c r="AA941" s="577">
        <f t="shared" si="1568"/>
        <v>476593.7825060357</v>
      </c>
      <c r="AB941" s="577">
        <f t="shared" si="1568"/>
        <v>484635.99614707835</v>
      </c>
      <c r="AC941" s="577">
        <f t="shared" si="1568"/>
        <v>492680.57680584938</v>
      </c>
      <c r="AD941" s="577">
        <f t="shared" si="1568"/>
        <v>500725.16084236995</v>
      </c>
      <c r="AE941" s="577">
        <f t="shared" si="1568"/>
        <v>508767.3846775014</v>
      </c>
      <c r="AF941" s="577">
        <f t="shared" si="1568"/>
        <v>516811.97713030991</v>
      </c>
      <c r="AG941" s="577">
        <f t="shared" si="1568"/>
        <v>524856.57477670908</v>
      </c>
      <c r="AH941" s="752">
        <f t="shared" si="1568"/>
        <v>532898.81427707092</v>
      </c>
      <c r="AI941" s="18"/>
      <c r="AJ941" s="18"/>
      <c r="AK941" s="18"/>
      <c r="AL941" s="18"/>
      <c r="AM941" s="18"/>
      <c r="AN941" s="18"/>
    </row>
    <row r="942" spans="2:40" ht="21.95" customHeight="1" x14ac:dyDescent="0.2">
      <c r="B942" s="232"/>
      <c r="C942" s="715"/>
      <c r="D942" s="715"/>
      <c r="E942" s="116"/>
      <c r="F942" s="116" t="s">
        <v>350</v>
      </c>
      <c r="G942" s="116" t="s">
        <v>280</v>
      </c>
      <c r="H942" s="116" t="s">
        <v>20</v>
      </c>
      <c r="I942" s="577">
        <f t="shared" ref="I942:AH942" si="1569">I851*$D$13</f>
        <v>377154.72569478565</v>
      </c>
      <c r="J942" s="577">
        <f t="shared" si="1569"/>
        <v>387849.57657608611</v>
      </c>
      <c r="K942" s="577">
        <f t="shared" si="1569"/>
        <v>400036.07442179148</v>
      </c>
      <c r="L942" s="577">
        <f t="shared" si="1569"/>
        <v>415607.53598733578</v>
      </c>
      <c r="M942" s="577">
        <f t="shared" si="1569"/>
        <v>431184.02634136466</v>
      </c>
      <c r="N942" s="577">
        <f t="shared" si="1569"/>
        <v>446758.0024123055</v>
      </c>
      <c r="O942" s="577">
        <f t="shared" si="1569"/>
        <v>462329.4642308146</v>
      </c>
      <c r="P942" s="577">
        <f t="shared" si="1569"/>
        <v>477904.06915847602</v>
      </c>
      <c r="Q942" s="577">
        <f t="shared" si="1569"/>
        <v>495507.13823973585</v>
      </c>
      <c r="R942" s="577">
        <f t="shared" si="1569"/>
        <v>513109.57909479801</v>
      </c>
      <c r="S942" s="577">
        <f t="shared" si="1569"/>
        <v>530710.13467553933</v>
      </c>
      <c r="T942" s="577">
        <f t="shared" si="1569"/>
        <v>548313.20529774064</v>
      </c>
      <c r="U942" s="577">
        <f t="shared" si="1569"/>
        <v>565919.41978360852</v>
      </c>
      <c r="V942" s="577">
        <f t="shared" si="1569"/>
        <v>580136.89928718563</v>
      </c>
      <c r="W942" s="577">
        <f t="shared" si="1569"/>
        <v>590831.75341282226</v>
      </c>
      <c r="X942" s="577">
        <f t="shared" si="1569"/>
        <v>601526.60819133278</v>
      </c>
      <c r="Y942" s="577">
        <f t="shared" si="1569"/>
        <v>612221.46373707347</v>
      </c>
      <c r="Z942" s="577">
        <f t="shared" si="1569"/>
        <v>622913.17722401675</v>
      </c>
      <c r="AA942" s="577">
        <f t="shared" si="1569"/>
        <v>633608.03471908381</v>
      </c>
      <c r="AB942" s="577">
        <f t="shared" si="1569"/>
        <v>644299.75048002799</v>
      </c>
      <c r="AC942" s="577">
        <f t="shared" si="1569"/>
        <v>654994.61062251788</v>
      </c>
      <c r="AD942" s="577">
        <f t="shared" si="1569"/>
        <v>665689.4724156115</v>
      </c>
      <c r="AE942" s="577">
        <f t="shared" si="1569"/>
        <v>676381.1931580978</v>
      </c>
      <c r="AF942" s="577">
        <f t="shared" si="1569"/>
        <v>687076.05906397651</v>
      </c>
      <c r="AG942" s="577">
        <f t="shared" si="1569"/>
        <v>697770.92750780552</v>
      </c>
      <c r="AH942" s="752">
        <f t="shared" si="1569"/>
        <v>708462.65590541519</v>
      </c>
      <c r="AI942" s="18"/>
      <c r="AJ942" s="18"/>
      <c r="AK942" s="18"/>
      <c r="AL942" s="18"/>
      <c r="AM942" s="18"/>
      <c r="AN942" s="18"/>
    </row>
    <row r="943" spans="2:40" ht="21.95" customHeight="1" x14ac:dyDescent="0.2">
      <c r="B943" s="232"/>
      <c r="C943" s="715"/>
      <c r="D943" s="715"/>
      <c r="E943" s="116"/>
      <c r="F943" s="116"/>
      <c r="G943" s="116"/>
      <c r="H943" s="124" t="s">
        <v>19</v>
      </c>
      <c r="I943" s="577">
        <f t="shared" ref="I943:AH943" si="1570">I852*$D$14</f>
        <v>1556862.4171883112</v>
      </c>
      <c r="J943" s="577">
        <f t="shared" si="1570"/>
        <v>1601009.8459759445</v>
      </c>
      <c r="K943" s="577">
        <f t="shared" si="1570"/>
        <v>1651314.6657237923</v>
      </c>
      <c r="L943" s="577">
        <f t="shared" si="1570"/>
        <v>1715592.3259000736</v>
      </c>
      <c r="M943" s="577">
        <f t="shared" si="1570"/>
        <v>1779890.7444846753</v>
      </c>
      <c r="N943" s="577">
        <f t="shared" si="1570"/>
        <v>1844178.7843239517</v>
      </c>
      <c r="O943" s="577">
        <f t="shared" si="1570"/>
        <v>1908456.4455444505</v>
      </c>
      <c r="P943" s="577">
        <f t="shared" si="1570"/>
        <v>1972747.0812504299</v>
      </c>
      <c r="Q943" s="577">
        <f t="shared" si="1570"/>
        <v>2045411.0433134718</v>
      </c>
      <c r="R943" s="577">
        <f t="shared" si="1570"/>
        <v>2118072.4121125564</v>
      </c>
      <c r="S943" s="577">
        <f t="shared" si="1570"/>
        <v>2190725.9986606543</v>
      </c>
      <c r="T943" s="577">
        <f t="shared" si="1570"/>
        <v>2263389.9670845708</v>
      </c>
      <c r="U943" s="577">
        <f t="shared" si="1570"/>
        <v>2336066.9131085384</v>
      </c>
      <c r="V943" s="577">
        <f t="shared" si="1570"/>
        <v>2394755.4512555506</v>
      </c>
      <c r="W943" s="577">
        <f t="shared" si="1570"/>
        <v>2438902.8934355252</v>
      </c>
      <c r="X943" s="577">
        <f t="shared" si="1570"/>
        <v>2483050.3383105085</v>
      </c>
      <c r="Y943" s="577">
        <f t="shared" si="1570"/>
        <v>2527197.786352552</v>
      </c>
      <c r="Z943" s="577">
        <f t="shared" si="1570"/>
        <v>2571332.2642448898</v>
      </c>
      <c r="AA943" s="577">
        <f t="shared" si="1570"/>
        <v>2615479.720333586</v>
      </c>
      <c r="AB943" s="577">
        <f t="shared" si="1570"/>
        <v>2659614.2076128046</v>
      </c>
      <c r="AC943" s="577">
        <f t="shared" si="1570"/>
        <v>2703761.6746298354</v>
      </c>
      <c r="AD943" s="577">
        <f t="shared" si="1570"/>
        <v>2747909.1484604171</v>
      </c>
      <c r="AE943" s="577">
        <f t="shared" si="1570"/>
        <v>2792043.6563030155</v>
      </c>
      <c r="AF943" s="577">
        <f t="shared" si="1570"/>
        <v>2836191.1471108212</v>
      </c>
      <c r="AG943" s="577">
        <f t="shared" si="1570"/>
        <v>2880338.6483950689</v>
      </c>
      <c r="AH943" s="752">
        <f t="shared" si="1570"/>
        <v>2924473.1878373614</v>
      </c>
      <c r="AI943" s="18"/>
      <c r="AJ943" s="18"/>
      <c r="AK943" s="18"/>
      <c r="AL943" s="18"/>
      <c r="AM943" s="18"/>
      <c r="AN943" s="18"/>
    </row>
    <row r="944" spans="2:40" ht="21.95" customHeight="1" x14ac:dyDescent="0.2">
      <c r="B944" s="232"/>
      <c r="C944" s="715"/>
      <c r="D944" s="715"/>
      <c r="E944" s="116"/>
      <c r="F944" s="116"/>
      <c r="G944" s="116"/>
      <c r="H944" s="721" t="s">
        <v>25</v>
      </c>
      <c r="I944" s="577">
        <f t="shared" ref="I944:AH944" si="1571">SUM(I942:I943)</f>
        <v>1934017.1428830968</v>
      </c>
      <c r="J944" s="577">
        <f t="shared" si="1571"/>
        <v>1988859.4225520305</v>
      </c>
      <c r="K944" s="577">
        <f t="shared" si="1571"/>
        <v>2051350.7401455836</v>
      </c>
      <c r="L944" s="577">
        <f t="shared" si="1571"/>
        <v>2131199.8618874094</v>
      </c>
      <c r="M944" s="577">
        <f t="shared" si="1571"/>
        <v>2211074.7708260398</v>
      </c>
      <c r="N944" s="577">
        <f t="shared" si="1571"/>
        <v>2290936.7867362574</v>
      </c>
      <c r="O944" s="577">
        <f t="shared" si="1571"/>
        <v>2370785.909775265</v>
      </c>
      <c r="P944" s="577">
        <f t="shared" si="1571"/>
        <v>2450651.1504089059</v>
      </c>
      <c r="Q944" s="577">
        <f t="shared" si="1571"/>
        <v>2540918.1815532078</v>
      </c>
      <c r="R944" s="577">
        <f t="shared" si="1571"/>
        <v>2631181.9912073542</v>
      </c>
      <c r="S944" s="577">
        <f t="shared" si="1571"/>
        <v>2721436.1333361939</v>
      </c>
      <c r="T944" s="577">
        <f t="shared" si="1571"/>
        <v>2811703.1723823114</v>
      </c>
      <c r="U944" s="577">
        <f t="shared" si="1571"/>
        <v>2901986.3328921469</v>
      </c>
      <c r="V944" s="577">
        <f t="shared" si="1571"/>
        <v>2974892.3505427362</v>
      </c>
      <c r="W944" s="577">
        <f t="shared" si="1571"/>
        <v>3029734.6468483475</v>
      </c>
      <c r="X944" s="577">
        <f t="shared" si="1571"/>
        <v>3084576.9465018413</v>
      </c>
      <c r="Y944" s="577">
        <f t="shared" si="1571"/>
        <v>3139419.2500896254</v>
      </c>
      <c r="Z944" s="577">
        <f t="shared" si="1571"/>
        <v>3194245.4414689066</v>
      </c>
      <c r="AA944" s="577">
        <f t="shared" si="1571"/>
        <v>3249087.7550526699</v>
      </c>
      <c r="AB944" s="577">
        <f t="shared" si="1571"/>
        <v>3303913.9580928325</v>
      </c>
      <c r="AC944" s="577">
        <f t="shared" si="1571"/>
        <v>3358756.2852523532</v>
      </c>
      <c r="AD944" s="577">
        <f t="shared" si="1571"/>
        <v>3413598.6208760287</v>
      </c>
      <c r="AE944" s="577">
        <f t="shared" si="1571"/>
        <v>3468424.8494611131</v>
      </c>
      <c r="AF944" s="577">
        <f t="shared" si="1571"/>
        <v>3523267.2061747978</v>
      </c>
      <c r="AG944" s="577">
        <f t="shared" si="1571"/>
        <v>3578109.5759028746</v>
      </c>
      <c r="AH944" s="752">
        <f t="shared" si="1571"/>
        <v>3632935.8437427767</v>
      </c>
      <c r="AI944" s="18"/>
      <c r="AJ944" s="18"/>
      <c r="AK944" s="18"/>
      <c r="AL944" s="18"/>
      <c r="AM944" s="18"/>
      <c r="AN944" s="18"/>
    </row>
    <row r="945" spans="1:41" ht="21.95" customHeight="1" x14ac:dyDescent="0.2">
      <c r="B945" s="232"/>
      <c r="C945" s="715"/>
      <c r="D945" s="715"/>
      <c r="E945" s="116"/>
      <c r="F945" s="116" t="s">
        <v>280</v>
      </c>
      <c r="G945" s="116" t="s">
        <v>333</v>
      </c>
      <c r="H945" s="116" t="s">
        <v>20</v>
      </c>
      <c r="I945" s="577">
        <f t="shared" ref="I945:AH945" si="1572">I854*$D$13</f>
        <v>9419.3215279302658</v>
      </c>
      <c r="J945" s="577">
        <f t="shared" si="1572"/>
        <v>9686.4238806283502</v>
      </c>
      <c r="K945" s="577">
        <f t="shared" si="1572"/>
        <v>9990.7806615088321</v>
      </c>
      <c r="L945" s="577">
        <f t="shared" si="1572"/>
        <v>10379.678216244769</v>
      </c>
      <c r="M945" s="577">
        <f t="shared" si="1572"/>
        <v>10768.703811762321</v>
      </c>
      <c r="N945" s="577">
        <f t="shared" si="1572"/>
        <v>11157.670017282029</v>
      </c>
      <c r="O945" s="577">
        <f t="shared" si="1572"/>
        <v>11546.578109893237</v>
      </c>
      <c r="P945" s="577">
        <f t="shared" si="1572"/>
        <v>11935.571074813191</v>
      </c>
      <c r="Q945" s="577">
        <f t="shared" si="1572"/>
        <v>12375.237644814897</v>
      </c>
      <c r="R945" s="577">
        <f t="shared" si="1572"/>
        <v>12814.903721401422</v>
      </c>
      <c r="S945" s="577">
        <f t="shared" si="1572"/>
        <v>13254.543501277534</v>
      </c>
      <c r="T945" s="577">
        <f t="shared" si="1572"/>
        <v>13694.274262968866</v>
      </c>
      <c r="U945" s="577">
        <f t="shared" si="1572"/>
        <v>14134.121328137599</v>
      </c>
      <c r="V945" s="577">
        <f t="shared" si="1572"/>
        <v>14489.345290459871</v>
      </c>
      <c r="W945" s="577">
        <f t="shared" si="1572"/>
        <v>14756.582793954427</v>
      </c>
      <c r="X945" s="577">
        <f t="shared" si="1572"/>
        <v>15023.84749451921</v>
      </c>
      <c r="Y945" s="577">
        <f t="shared" si="1572"/>
        <v>15291.14415595619</v>
      </c>
      <c r="Z945" s="577">
        <f t="shared" si="1572"/>
        <v>15558.399700182768</v>
      </c>
      <c r="AA945" s="577">
        <f t="shared" si="1572"/>
        <v>15825.777565608658</v>
      </c>
      <c r="AB945" s="577">
        <f t="shared" si="1572"/>
        <v>16093.127838937928</v>
      </c>
      <c r="AC945" s="577">
        <f t="shared" si="1572"/>
        <v>16360.615989249211</v>
      </c>
      <c r="AD945" s="577">
        <f t="shared" si="1572"/>
        <v>16628.172899516201</v>
      </c>
      <c r="AE945" s="577">
        <f t="shared" si="1572"/>
        <v>16895.730691237928</v>
      </c>
      <c r="AF945" s="577">
        <f t="shared" si="1572"/>
        <v>17163.458929671433</v>
      </c>
      <c r="AG945" s="577">
        <f t="shared" si="1572"/>
        <v>17431.292892671543</v>
      </c>
      <c r="AH945" s="752">
        <f t="shared" si="1572"/>
        <v>17699.169577370896</v>
      </c>
      <c r="AI945" s="18"/>
      <c r="AJ945" s="18"/>
      <c r="AK945" s="18"/>
      <c r="AL945" s="18"/>
      <c r="AM945" s="18"/>
      <c r="AN945" s="18"/>
    </row>
    <row r="946" spans="1:41" ht="21.95" customHeight="1" x14ac:dyDescent="0.2">
      <c r="B946" s="232"/>
      <c r="C946" s="715"/>
      <c r="D946" s="715"/>
      <c r="E946" s="116"/>
      <c r="F946" s="116"/>
      <c r="G946" s="116"/>
      <c r="H946" s="124" t="s">
        <v>19</v>
      </c>
      <c r="I946" s="577">
        <f t="shared" ref="I946:AH946" si="1573">I855*$D$14</f>
        <v>38882.152822645003</v>
      </c>
      <c r="J946" s="577">
        <f t="shared" si="1573"/>
        <v>39984.728466347115</v>
      </c>
      <c r="K946" s="577">
        <f t="shared" si="1573"/>
        <v>41241.087200010981</v>
      </c>
      <c r="L946" s="577">
        <f t="shared" si="1573"/>
        <v>42846.423010107086</v>
      </c>
      <c r="M946" s="577">
        <f t="shared" si="1573"/>
        <v>44452.287361587361</v>
      </c>
      <c r="N946" s="577">
        <f t="shared" si="1573"/>
        <v>46057.906556241272</v>
      </c>
      <c r="O946" s="577">
        <f t="shared" si="1573"/>
        <v>47663.285865784281</v>
      </c>
      <c r="P946" s="577">
        <f t="shared" si="1573"/>
        <v>49269.015520951383</v>
      </c>
      <c r="Q946" s="577">
        <f t="shared" si="1573"/>
        <v>51083.921479424462</v>
      </c>
      <c r="R946" s="577">
        <f t="shared" si="1573"/>
        <v>52898.82540112194</v>
      </c>
      <c r="S946" s="577">
        <f t="shared" si="1573"/>
        <v>54713.620772250237</v>
      </c>
      <c r="T946" s="577">
        <f t="shared" si="1573"/>
        <v>56528.791708522258</v>
      </c>
      <c r="U946" s="577">
        <f t="shared" si="1573"/>
        <v>58344.442735591569</v>
      </c>
      <c r="V946" s="577">
        <f t="shared" si="1573"/>
        <v>59810.776839202415</v>
      </c>
      <c r="W946" s="577">
        <f t="shared" si="1573"/>
        <v>60913.910373821309</v>
      </c>
      <c r="X946" s="577">
        <f t="shared" si="1573"/>
        <v>62017.15617561758</v>
      </c>
      <c r="Y946" s="577">
        <f t="shared" si="1573"/>
        <v>63120.533909157923</v>
      </c>
      <c r="Z946" s="577">
        <f t="shared" si="1573"/>
        <v>64223.741914374019</v>
      </c>
      <c r="AA946" s="577">
        <f t="shared" si="1573"/>
        <v>65327.454851028218</v>
      </c>
      <c r="AB946" s="577">
        <f t="shared" si="1573"/>
        <v>66431.053889869901</v>
      </c>
      <c r="AC946" s="577">
        <f t="shared" si="1573"/>
        <v>67535.222073088851</v>
      </c>
      <c r="AD946" s="577">
        <f t="shared" si="1573"/>
        <v>68639.674091518013</v>
      </c>
      <c r="AE946" s="577">
        <f t="shared" si="1573"/>
        <v>69744.129748516862</v>
      </c>
      <c r="AF946" s="577">
        <f t="shared" si="1573"/>
        <v>70849.288994948962</v>
      </c>
      <c r="AG946" s="577">
        <f t="shared" si="1573"/>
        <v>71954.884663340301</v>
      </c>
      <c r="AH946" s="752">
        <f t="shared" si="1573"/>
        <v>73060.656683248439</v>
      </c>
      <c r="AI946" s="18"/>
      <c r="AJ946" s="18"/>
      <c r="AK946" s="18"/>
      <c r="AL946" s="18"/>
      <c r="AM946" s="18"/>
      <c r="AN946" s="18"/>
    </row>
    <row r="947" spans="1:41" ht="21.95" customHeight="1" thickBot="1" x14ac:dyDescent="0.25">
      <c r="B947" s="487"/>
      <c r="C947" s="764"/>
      <c r="D947" s="764"/>
      <c r="E947" s="278"/>
      <c r="F947" s="278"/>
      <c r="G947" s="278"/>
      <c r="H947" s="765" t="s">
        <v>25</v>
      </c>
      <c r="I947" s="735">
        <f t="shared" ref="I947:AH947" si="1574">SUM(I945:I946)</f>
        <v>48301.47435057527</v>
      </c>
      <c r="J947" s="735">
        <f t="shared" si="1574"/>
        <v>49671.152346975461</v>
      </c>
      <c r="K947" s="735">
        <f t="shared" si="1574"/>
        <v>51231.867861519815</v>
      </c>
      <c r="L947" s="735">
        <f t="shared" si="1574"/>
        <v>53226.101226351857</v>
      </c>
      <c r="M947" s="735">
        <f t="shared" si="1574"/>
        <v>55220.991173349685</v>
      </c>
      <c r="N947" s="735">
        <f t="shared" si="1574"/>
        <v>57215.5765735233</v>
      </c>
      <c r="O947" s="735">
        <f t="shared" si="1574"/>
        <v>59209.863975677516</v>
      </c>
      <c r="P947" s="735">
        <f t="shared" si="1574"/>
        <v>61204.586595764573</v>
      </c>
      <c r="Q947" s="735">
        <f t="shared" si="1574"/>
        <v>63459.159124239362</v>
      </c>
      <c r="R947" s="735">
        <f t="shared" si="1574"/>
        <v>65713.729122523364</v>
      </c>
      <c r="S947" s="735">
        <f t="shared" si="1574"/>
        <v>67968.164273527771</v>
      </c>
      <c r="T947" s="735">
        <f t="shared" si="1574"/>
        <v>70223.065971491131</v>
      </c>
      <c r="U947" s="735">
        <f t="shared" si="1574"/>
        <v>72478.564063729165</v>
      </c>
      <c r="V947" s="735">
        <f t="shared" si="1574"/>
        <v>74300.122129662283</v>
      </c>
      <c r="W947" s="735">
        <f t="shared" si="1574"/>
        <v>75670.493167775741</v>
      </c>
      <c r="X947" s="735">
        <f t="shared" si="1574"/>
        <v>77041.003670136794</v>
      </c>
      <c r="Y947" s="735">
        <f t="shared" si="1574"/>
        <v>78411.678065114116</v>
      </c>
      <c r="Z947" s="735">
        <f t="shared" si="1574"/>
        <v>79782.141614556793</v>
      </c>
      <c r="AA947" s="735">
        <f t="shared" si="1574"/>
        <v>81153.232416636878</v>
      </c>
      <c r="AB947" s="735">
        <f t="shared" si="1574"/>
        <v>82524.181728807831</v>
      </c>
      <c r="AC947" s="735">
        <f t="shared" si="1574"/>
        <v>83895.838062338065</v>
      </c>
      <c r="AD947" s="735">
        <f t="shared" si="1574"/>
        <v>85267.84699103421</v>
      </c>
      <c r="AE947" s="735">
        <f t="shared" si="1574"/>
        <v>86639.86043975479</v>
      </c>
      <c r="AF947" s="735">
        <f t="shared" si="1574"/>
        <v>88012.747924620402</v>
      </c>
      <c r="AG947" s="735">
        <f t="shared" si="1574"/>
        <v>89386.17755601184</v>
      </c>
      <c r="AH947" s="766">
        <f t="shared" si="1574"/>
        <v>90759.826260619331</v>
      </c>
      <c r="AI947" s="18"/>
      <c r="AJ947" s="18"/>
      <c r="AK947" s="18"/>
      <c r="AL947" s="18"/>
      <c r="AM947" s="18"/>
      <c r="AN947" s="18"/>
    </row>
    <row r="948" spans="1:41" ht="21.95" customHeight="1" thickBot="1" x14ac:dyDescent="0.25">
      <c r="B948" s="487"/>
      <c r="C948" s="764"/>
      <c r="D948" s="764"/>
      <c r="E948" s="278"/>
      <c r="F948" s="278"/>
      <c r="G948" s="278"/>
      <c r="H948" s="767" t="s">
        <v>514</v>
      </c>
      <c r="I948" s="767">
        <f>SUM(I863,I866,I869,I872,I875,I878,I881,I884,I887,I890,I893,I896,I899,I902,I905,I908,I911,I914,I917,I920,I923,I926,I929,I932,I935,I938,I941,I944,I947)</f>
        <v>56591524.951044172</v>
      </c>
      <c r="J948" s="767">
        <f t="shared" ref="J948:AH948" si="1575">SUM(J863,J866,J869,J872,J875,J878,J881,J884,J887,J890,J893,J896,J899,J902,J905,J908,J911,J914,J917,J920,J923,J926,J929,J932,J935,J938,J941,J944,J947)</f>
        <v>59198716.029759981</v>
      </c>
      <c r="K948" s="767">
        <f t="shared" si="1575"/>
        <v>62592934.964725204</v>
      </c>
      <c r="L948" s="767">
        <f t="shared" si="1575"/>
        <v>67928852.718662396</v>
      </c>
      <c r="M948" s="767">
        <f t="shared" si="1575"/>
        <v>73295166.878027916</v>
      </c>
      <c r="N948" s="767">
        <f t="shared" si="1575"/>
        <v>78704185.246912032</v>
      </c>
      <c r="O948" s="767">
        <f t="shared" si="1575"/>
        <v>84175897.343881235</v>
      </c>
      <c r="P948" s="767">
        <f t="shared" si="1575"/>
        <v>89760605.715888217</v>
      </c>
      <c r="Q948" s="767">
        <f t="shared" si="1575"/>
        <v>94924783.827466652</v>
      </c>
      <c r="R948" s="767">
        <f t="shared" si="1575"/>
        <v>100290119.74941725</v>
      </c>
      <c r="S948" s="767">
        <f t="shared" si="1575"/>
        <v>105975464.08525002</v>
      </c>
      <c r="T948" s="767">
        <f t="shared" si="1575"/>
        <v>112131847.20019251</v>
      </c>
      <c r="U948" s="767">
        <f t="shared" si="1575"/>
        <v>118984049.00352809</v>
      </c>
      <c r="V948" s="767">
        <f t="shared" si="1575"/>
        <v>123696544.361076</v>
      </c>
      <c r="W948" s="767">
        <f t="shared" si="1575"/>
        <v>127111067.3628099</v>
      </c>
      <c r="X948" s="767">
        <f t="shared" si="1575"/>
        <v>130320388.54578139</v>
      </c>
      <c r="Y948" s="767">
        <f t="shared" si="1575"/>
        <v>132831680.25221974</v>
      </c>
      <c r="Z948" s="767">
        <f t="shared" si="1575"/>
        <v>135445121.97364023</v>
      </c>
      <c r="AA948" s="767">
        <f t="shared" si="1575"/>
        <v>138245711.875402</v>
      </c>
      <c r="AB948" s="767">
        <f t="shared" si="1575"/>
        <v>141198127.98669222</v>
      </c>
      <c r="AC948" s="767">
        <f t="shared" si="1575"/>
        <v>143950564.81228137</v>
      </c>
      <c r="AD948" s="767">
        <f t="shared" si="1575"/>
        <v>146770235.89847594</v>
      </c>
      <c r="AE948" s="767">
        <f t="shared" si="1575"/>
        <v>149698084.68027887</v>
      </c>
      <c r="AF948" s="767">
        <f t="shared" si="1575"/>
        <v>152743710.00996512</v>
      </c>
      <c r="AG948" s="767">
        <f t="shared" si="1575"/>
        <v>155925660.5277237</v>
      </c>
      <c r="AH948" s="768">
        <f t="shared" si="1575"/>
        <v>159264246.77894837</v>
      </c>
      <c r="AI948" s="18"/>
      <c r="AJ948" s="18"/>
      <c r="AK948" s="18"/>
      <c r="AL948" s="18"/>
      <c r="AM948" s="18"/>
      <c r="AN948" s="18"/>
    </row>
    <row r="949" spans="1:41" ht="21.95" customHeight="1" x14ac:dyDescent="0.2">
      <c r="C949" s="116"/>
      <c r="D949" s="116"/>
      <c r="E949" s="116"/>
      <c r="F949" s="116"/>
      <c r="G949" s="116"/>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116"/>
      <c r="AF949" s="116"/>
      <c r="AG949" s="116"/>
      <c r="AH949" s="116"/>
    </row>
    <row r="950" spans="1:41" ht="21.95" customHeight="1" x14ac:dyDescent="0.2">
      <c r="A950" s="226"/>
      <c r="B950" s="227" t="s">
        <v>38</v>
      </c>
      <c r="C950" s="116"/>
      <c r="D950" s="116"/>
      <c r="E950" s="116"/>
      <c r="F950" s="116"/>
      <c r="G950" s="116"/>
      <c r="H950" s="228"/>
      <c r="I950" s="228"/>
      <c r="J950" s="228"/>
      <c r="K950" s="228"/>
      <c r="L950" s="228"/>
      <c r="M950" s="228"/>
      <c r="N950" s="228"/>
      <c r="O950" s="228"/>
      <c r="P950" s="228"/>
      <c r="Q950" s="228"/>
      <c r="R950" s="228"/>
      <c r="S950" s="228"/>
      <c r="T950" s="228"/>
      <c r="U950" s="228"/>
      <c r="V950" s="228"/>
      <c r="W950" s="228"/>
      <c r="X950" s="228"/>
      <c r="Y950" s="228"/>
      <c r="Z950" s="228"/>
      <c r="AA950" s="228"/>
      <c r="AB950" s="228"/>
      <c r="AC950" s="228"/>
      <c r="AD950" s="228"/>
      <c r="AE950" s="116"/>
      <c r="AF950" s="116"/>
      <c r="AG950" s="116"/>
      <c r="AH950" s="116"/>
    </row>
    <row r="951" spans="1:41" ht="21.95" customHeight="1" thickBot="1" x14ac:dyDescent="0.25">
      <c r="C951" s="116"/>
      <c r="D951" s="116"/>
      <c r="E951" s="116"/>
      <c r="F951" s="116"/>
      <c r="G951" s="116"/>
      <c r="H951" s="228"/>
      <c r="I951" s="444"/>
      <c r="J951" s="444"/>
      <c r="K951" s="444"/>
      <c r="L951" s="444"/>
      <c r="M951" s="444"/>
      <c r="N951" s="444"/>
      <c r="O951" s="444"/>
      <c r="P951" s="444"/>
      <c r="Q951" s="444"/>
      <c r="R951" s="444"/>
      <c r="S951" s="444"/>
      <c r="T951" s="444"/>
      <c r="U951" s="444"/>
      <c r="V951" s="444"/>
      <c r="W951" s="444"/>
      <c r="X951" s="444"/>
      <c r="Y951" s="444"/>
      <c r="Z951" s="444"/>
      <c r="AA951" s="444"/>
      <c r="AB951" s="444"/>
      <c r="AC951" s="444"/>
      <c r="AD951" s="444"/>
      <c r="AE951" s="444"/>
      <c r="AF951" s="444"/>
      <c r="AG951" s="444"/>
      <c r="AH951" s="444"/>
    </row>
    <row r="952" spans="1:41" s="7" customFormat="1" ht="21.95" customHeight="1" thickBot="1" x14ac:dyDescent="0.25">
      <c r="B952" s="234"/>
      <c r="C952" s="485" t="s">
        <v>27</v>
      </c>
      <c r="D952" s="485"/>
      <c r="E952" s="485" t="s">
        <v>514</v>
      </c>
      <c r="F952" s="485" t="s">
        <v>133</v>
      </c>
      <c r="G952" s="763">
        <v>2021</v>
      </c>
      <c r="H952" s="763">
        <v>2022</v>
      </c>
      <c r="I952" s="763">
        <v>2023</v>
      </c>
      <c r="J952" s="763">
        <v>2024</v>
      </c>
      <c r="K952" s="763">
        <v>2025</v>
      </c>
      <c r="L952" s="763">
        <v>2026</v>
      </c>
      <c r="M952" s="763">
        <v>2027</v>
      </c>
      <c r="N952" s="763">
        <v>2028</v>
      </c>
      <c r="O952" s="763">
        <v>2029</v>
      </c>
      <c r="P952" s="763">
        <v>2030</v>
      </c>
      <c r="Q952" s="763">
        <v>2031</v>
      </c>
      <c r="R952" s="763">
        <v>2032</v>
      </c>
      <c r="S952" s="763">
        <v>2033</v>
      </c>
      <c r="T952" s="763">
        <v>2034</v>
      </c>
      <c r="U952" s="763">
        <v>2035</v>
      </c>
      <c r="V952" s="763">
        <v>2036</v>
      </c>
      <c r="W952" s="763">
        <v>2037</v>
      </c>
      <c r="X952" s="763">
        <v>2038</v>
      </c>
      <c r="Y952" s="763">
        <v>2039</v>
      </c>
      <c r="Z952" s="763">
        <v>2040</v>
      </c>
      <c r="AA952" s="763">
        <v>2041</v>
      </c>
      <c r="AB952" s="763">
        <v>2042</v>
      </c>
      <c r="AC952" s="763">
        <v>2043</v>
      </c>
      <c r="AD952" s="763">
        <v>2044</v>
      </c>
      <c r="AE952" s="763">
        <v>2045</v>
      </c>
      <c r="AF952" s="763">
        <v>2046</v>
      </c>
      <c r="AG952" s="763">
        <v>2047</v>
      </c>
      <c r="AH952" s="762">
        <v>2048</v>
      </c>
      <c r="AJ952" s="484"/>
      <c r="AK952" s="484"/>
      <c r="AL952" s="484"/>
      <c r="AM952" s="484"/>
      <c r="AN952" s="484"/>
      <c r="AO952" s="484"/>
    </row>
    <row r="953" spans="1:41" ht="21.95" customHeight="1" x14ac:dyDescent="0.2">
      <c r="B953" s="233" t="s">
        <v>26</v>
      </c>
      <c r="C953" s="770" t="s">
        <v>485</v>
      </c>
      <c r="D953" s="771"/>
      <c r="E953" s="989">
        <f>SUM(I953:AH953)</f>
        <v>-20854419.098985188</v>
      </c>
      <c r="F953" s="770" t="s">
        <v>114</v>
      </c>
      <c r="G953" s="770">
        <v>0</v>
      </c>
      <c r="H953" s="770">
        <v>0</v>
      </c>
      <c r="I953" s="726">
        <f>I548-I239</f>
        <v>-2313.8918808335438</v>
      </c>
      <c r="J953" s="726">
        <f t="shared" ref="J953:AH953" si="1576">J548-J239</f>
        <v>-10141.19635119848</v>
      </c>
      <c r="K953" s="726">
        <f t="shared" si="1576"/>
        <v>-29771.612022781279</v>
      </c>
      <c r="L953" s="726">
        <f t="shared" si="1576"/>
        <v>-60308.683268407825</v>
      </c>
      <c r="M953" s="726">
        <f t="shared" si="1576"/>
        <v>-99809.233151001856</v>
      </c>
      <c r="N953" s="726">
        <f t="shared" si="1576"/>
        <v>-186205.99351081671</v>
      </c>
      <c r="O953" s="726">
        <f t="shared" si="1576"/>
        <v>-469922.76468917821</v>
      </c>
      <c r="P953" s="726">
        <f t="shared" si="1576"/>
        <v>-557822.60376576986</v>
      </c>
      <c r="Q953" s="726">
        <f t="shared" si="1576"/>
        <v>-708944.23766990658</v>
      </c>
      <c r="R953" s="726">
        <f t="shared" si="1576"/>
        <v>-874385.37912567146</v>
      </c>
      <c r="S953" s="726">
        <f t="shared" si="1576"/>
        <v>-1034620.8786426177</v>
      </c>
      <c r="T953" s="726">
        <f t="shared" si="1576"/>
        <v>-1041380.6018799897</v>
      </c>
      <c r="U953" s="726">
        <f t="shared" si="1576"/>
        <v>-1008272.3783594528</v>
      </c>
      <c r="V953" s="726">
        <f t="shared" si="1576"/>
        <v>-995893.32892576512</v>
      </c>
      <c r="W953" s="726">
        <f t="shared" si="1576"/>
        <v>-986178.07398990169</v>
      </c>
      <c r="X953" s="726">
        <f t="shared" si="1576"/>
        <v>-984508.57874540146</v>
      </c>
      <c r="Y953" s="726">
        <f t="shared" si="1576"/>
        <v>-1012046.4381037178</v>
      </c>
      <c r="Z953" s="726">
        <f t="shared" si="1576"/>
        <v>-1041523.7998049734</v>
      </c>
      <c r="AA953" s="726">
        <f t="shared" si="1576"/>
        <v>-1073260.7522252472</v>
      </c>
      <c r="AB953" s="726">
        <f t="shared" si="1576"/>
        <v>-1107581.102897062</v>
      </c>
      <c r="AC953" s="726">
        <f t="shared" si="1576"/>
        <v>-1144913.5638814121</v>
      </c>
      <c r="AD953" s="726">
        <f t="shared" si="1576"/>
        <v>-1185677.1573736686</v>
      </c>
      <c r="AE953" s="726">
        <f t="shared" si="1576"/>
        <v>-1230393.1991603626</v>
      </c>
      <c r="AF953" s="726">
        <f t="shared" si="1576"/>
        <v>-1279720.1612694422</v>
      </c>
      <c r="AG953" s="726">
        <f t="shared" si="1576"/>
        <v>-1334188.7072019223</v>
      </c>
      <c r="AH953" s="751">
        <f t="shared" si="1576"/>
        <v>-1394634.7810886875</v>
      </c>
      <c r="AJ953" s="18"/>
      <c r="AK953" s="18"/>
      <c r="AL953" s="18"/>
      <c r="AM953" s="18"/>
      <c r="AN953" s="18"/>
    </row>
    <row r="954" spans="1:41" ht="21.95" customHeight="1" x14ac:dyDescent="0.2">
      <c r="B954" s="517"/>
      <c r="C954" s="254" t="s">
        <v>486</v>
      </c>
      <c r="D954" s="240"/>
      <c r="E954" s="724">
        <f>SUM(I954:AH954)</f>
        <v>-25408627.619984478</v>
      </c>
      <c r="F954" s="116" t="s">
        <v>114</v>
      </c>
      <c r="G954" s="254">
        <v>0</v>
      </c>
      <c r="H954" s="254">
        <v>0</v>
      </c>
      <c r="I954" s="577">
        <f t="shared" ref="I954:AH954" si="1577">I857-I239</f>
        <v>-1296.8632481072564</v>
      </c>
      <c r="J954" s="577">
        <f t="shared" si="1577"/>
        <v>17933.830918264575</v>
      </c>
      <c r="K954" s="577">
        <f t="shared" si="1577"/>
        <v>-1265.6247952561826</v>
      </c>
      <c r="L954" s="577">
        <f t="shared" si="1577"/>
        <v>-33240.055063392967</v>
      </c>
      <c r="M954" s="577">
        <f t="shared" si="1577"/>
        <v>-74177.409946878906</v>
      </c>
      <c r="N954" s="577">
        <f t="shared" si="1577"/>
        <v>-162036.24446130311</v>
      </c>
      <c r="O954" s="577">
        <f t="shared" si="1577"/>
        <v>-447438.67691031005</v>
      </c>
      <c r="P954" s="577">
        <f t="shared" si="1577"/>
        <v>-538615.72625206504</v>
      </c>
      <c r="Q954" s="577">
        <f t="shared" si="1577"/>
        <v>-702374.20038193418</v>
      </c>
      <c r="R954" s="577">
        <f t="shared" si="1577"/>
        <v>-887746.1488716621</v>
      </c>
      <c r="S954" s="577">
        <f t="shared" si="1577"/>
        <v>-1092282.2799929222</v>
      </c>
      <c r="T954" s="577">
        <f t="shared" si="1577"/>
        <v>-1185147.3711524941</v>
      </c>
      <c r="U954" s="577">
        <f t="shared" si="1577"/>
        <v>-1294326.536207688</v>
      </c>
      <c r="V954" s="577">
        <f t="shared" si="1577"/>
        <v>-1329301.6120520597</v>
      </c>
      <c r="W954" s="577">
        <f t="shared" si="1577"/>
        <v>-1322484.7263192786</v>
      </c>
      <c r="X954" s="577">
        <f t="shared" si="1577"/>
        <v>-1322180.133406939</v>
      </c>
      <c r="Y954" s="577">
        <f t="shared" si="1577"/>
        <v>-1349595.1438712766</v>
      </c>
      <c r="Z954" s="577">
        <f t="shared" si="1577"/>
        <v>-1377119.711879692</v>
      </c>
      <c r="AA954" s="577">
        <f t="shared" si="1577"/>
        <v>-1402073.4078089921</v>
      </c>
      <c r="AB954" s="577">
        <f t="shared" si="1577"/>
        <v>-1426557.0069320146</v>
      </c>
      <c r="AC954" s="577">
        <f t="shared" si="1577"/>
        <v>-1463592.0686974293</v>
      </c>
      <c r="AD954" s="577">
        <f t="shared" si="1577"/>
        <v>-1504622.7717280164</v>
      </c>
      <c r="AE954" s="577">
        <f t="shared" si="1577"/>
        <v>-1549213.6146742096</v>
      </c>
      <c r="AF954" s="577">
        <f t="shared" si="1577"/>
        <v>-1598006.9314677836</v>
      </c>
      <c r="AG954" s="577">
        <f t="shared" si="1577"/>
        <v>-1651473.0626680069</v>
      </c>
      <c r="AH954" s="752">
        <f t="shared" si="1577"/>
        <v>-1710394.1221130323</v>
      </c>
      <c r="AJ954" s="18"/>
      <c r="AK954" s="18"/>
      <c r="AL954" s="18"/>
      <c r="AM954" s="18"/>
      <c r="AN954" s="18"/>
    </row>
    <row r="955" spans="1:41" ht="21.95" customHeight="1" x14ac:dyDescent="0.2">
      <c r="B955" s="199" t="s">
        <v>132</v>
      </c>
      <c r="C955" s="116" t="s">
        <v>485</v>
      </c>
      <c r="D955" s="990"/>
      <c r="E955" s="991">
        <f>SUM(I955:AH955)</f>
        <v>584929779.40857196</v>
      </c>
      <c r="F955" s="991" cm="1">
        <f t="array" ref="F955">SUM(G955:AH955*discountAnnual)</f>
        <v>181458605.45613492</v>
      </c>
      <c r="G955" s="1128">
        <f>G953</f>
        <v>0</v>
      </c>
      <c r="H955" s="1128">
        <f>H953</f>
        <v>0</v>
      </c>
      <c r="I955" s="992">
        <f>ABS(I639-I330)</f>
        <v>65679.493994906545</v>
      </c>
      <c r="J955" s="992">
        <f>ABS(J639-J330)</f>
        <v>277214.51189100742</v>
      </c>
      <c r="K955" s="992">
        <f t="shared" ref="K955:AH955" si="1578">ABS(K639-K330)</f>
        <v>797491.78074697405</v>
      </c>
      <c r="L955" s="992">
        <f t="shared" si="1578"/>
        <v>1626128.8045228124</v>
      </c>
      <c r="M955" s="992">
        <f t="shared" si="1578"/>
        <v>2708835.8183579147</v>
      </c>
      <c r="N955" s="992">
        <f t="shared" si="1578"/>
        <v>5122555.5031184703</v>
      </c>
      <c r="O955" s="992">
        <f t="shared" si="1578"/>
        <v>13138129.63410145</v>
      </c>
      <c r="P955" s="992">
        <f t="shared" si="1578"/>
        <v>15592172.696176469</v>
      </c>
      <c r="Q955" s="992">
        <f t="shared" si="1578"/>
        <v>19867981.841639891</v>
      </c>
      <c r="R955" s="992">
        <f t="shared" si="1578"/>
        <v>24548667.227752998</v>
      </c>
      <c r="S955" s="992">
        <f t="shared" si="1578"/>
        <v>29090056.577333391</v>
      </c>
      <c r="T955" s="992">
        <f t="shared" si="1578"/>
        <v>29276979.875622779</v>
      </c>
      <c r="U955" s="992">
        <f t="shared" si="1578"/>
        <v>28330967.593526989</v>
      </c>
      <c r="V955" s="992">
        <f t="shared" si="1578"/>
        <v>27971370.55532071</v>
      </c>
      <c r="W955" s="992">
        <f t="shared" si="1578"/>
        <v>27685495.533635467</v>
      </c>
      <c r="X955" s="992">
        <f t="shared" si="1578"/>
        <v>27629800.482162178</v>
      </c>
      <c r="Y955" s="992">
        <f t="shared" si="1578"/>
        <v>28402553.771053314</v>
      </c>
      <c r="Z955" s="992">
        <f t="shared" si="1578"/>
        <v>29229377.716250956</v>
      </c>
      <c r="AA955" s="992">
        <f t="shared" si="1578"/>
        <v>30119225.475928098</v>
      </c>
      <c r="AB955" s="992">
        <f t="shared" si="1578"/>
        <v>31081163.798840433</v>
      </c>
      <c r="AC955" s="992">
        <f t="shared" si="1578"/>
        <v>32127201.192332685</v>
      </c>
      <c r="AD955" s="992">
        <f t="shared" si="1578"/>
        <v>33269071.365215838</v>
      </c>
      <c r="AE955" s="992">
        <f t="shared" si="1578"/>
        <v>34521395.414126575</v>
      </c>
      <c r="AF955" s="992">
        <f t="shared" si="1578"/>
        <v>35902617.062663198</v>
      </c>
      <c r="AG955" s="992">
        <f t="shared" si="1578"/>
        <v>37427672.485093564</v>
      </c>
      <c r="AH955" s="825">
        <f t="shared" si="1578"/>
        <v>39119973.197163045</v>
      </c>
      <c r="AJ955" s="18"/>
      <c r="AK955" s="18"/>
      <c r="AL955" s="18"/>
      <c r="AM955" s="18"/>
      <c r="AN955" s="18"/>
    </row>
    <row r="956" spans="1:41" ht="21.95" customHeight="1" thickBot="1" x14ac:dyDescent="0.25">
      <c r="B956" s="487"/>
      <c r="C956" s="278" t="s">
        <v>486</v>
      </c>
      <c r="D956" s="764"/>
      <c r="E956" s="993">
        <f>SUM(I956:AH956)</f>
        <v>714347622.59334195</v>
      </c>
      <c r="F956" s="993" cm="1">
        <f t="array" ref="F956">SUM(G956:AH956*discountAnnual)</f>
        <v>214481432.36424521</v>
      </c>
      <c r="G956" s="886">
        <f>G954</f>
        <v>0</v>
      </c>
      <c r="H956" s="886">
        <f>H954</f>
        <v>0</v>
      </c>
      <c r="I956" s="886">
        <f>ABS(I948-I330)</f>
        <v>36823.856609240174</v>
      </c>
      <c r="J956" s="886">
        <f>ABS(J948-J330)</f>
        <v>520232.57372887433</v>
      </c>
      <c r="K956" s="886">
        <f t="shared" ref="K956:AH956" si="1579">ABS(K948-K330)</f>
        <v>12489.042807511985</v>
      </c>
      <c r="L956" s="886">
        <f t="shared" si="1579"/>
        <v>856664.29263730347</v>
      </c>
      <c r="M956" s="886">
        <f t="shared" si="1579"/>
        <v>1979872.3838904351</v>
      </c>
      <c r="N956" s="886">
        <f t="shared" si="1579"/>
        <v>4434811.5183933228</v>
      </c>
      <c r="O956" s="886">
        <f t="shared" si="1579"/>
        <v>12497955.169000953</v>
      </c>
      <c r="P956" s="886">
        <f t="shared" si="1579"/>
        <v>15044761.122851953</v>
      </c>
      <c r="Q956" s="886">
        <f t="shared" si="1579"/>
        <v>19679097.158527032</v>
      </c>
      <c r="R956" s="886">
        <f t="shared" si="1579"/>
        <v>24925719.792737409</v>
      </c>
      <c r="S956" s="886">
        <f t="shared" si="1579"/>
        <v>30715896.96085009</v>
      </c>
      <c r="T956" s="886">
        <f t="shared" si="1579"/>
        <v>33334544.87699452</v>
      </c>
      <c r="U956" s="886">
        <f t="shared" si="1579"/>
        <v>36415619.991918713</v>
      </c>
      <c r="V956" s="886">
        <f t="shared" si="1579"/>
        <v>37390655.320682973</v>
      </c>
      <c r="W956" s="886">
        <f t="shared" si="1579"/>
        <v>37181614.664041013</v>
      </c>
      <c r="X956" s="886">
        <f t="shared" si="1579"/>
        <v>37159637.776831821</v>
      </c>
      <c r="Y956" s="886">
        <f t="shared" si="1579"/>
        <v>37923863.737386405</v>
      </c>
      <c r="Z956" s="886">
        <f t="shared" si="1579"/>
        <v>38690198.252785176</v>
      </c>
      <c r="AA956" s="886">
        <f t="shared" si="1579"/>
        <v>39385946.975865334</v>
      </c>
      <c r="AB956" s="886">
        <f t="shared" si="1579"/>
        <v>40067572.311239809</v>
      </c>
      <c r="AC956" s="886">
        <f t="shared" si="1579"/>
        <v>41104173.046203792</v>
      </c>
      <c r="AD956" s="886">
        <f t="shared" si="1579"/>
        <v>42252651.595585942</v>
      </c>
      <c r="AE956" s="886">
        <f t="shared" si="1579"/>
        <v>43500465.322826773</v>
      </c>
      <c r="AF956" s="886">
        <f t="shared" si="1579"/>
        <v>44865605.664712757</v>
      </c>
      <c r="AG956" s="886">
        <f t="shared" si="1579"/>
        <v>46361302.483748585</v>
      </c>
      <c r="AH956" s="829">
        <f t="shared" si="1579"/>
        <v>48009446.700484157</v>
      </c>
      <c r="AJ956" s="18"/>
      <c r="AK956" s="18"/>
      <c r="AL956" s="18"/>
      <c r="AM956" s="18"/>
      <c r="AN956" s="18"/>
    </row>
    <row r="957" spans="1:41" ht="21.95" customHeight="1" x14ac:dyDescent="0.2">
      <c r="B957" s="9"/>
      <c r="C957" s="9"/>
      <c r="D957" s="9"/>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c r="AG957" s="38"/>
      <c r="AH957" s="38"/>
      <c r="AI957" s="18"/>
      <c r="AJ957" s="18"/>
      <c r="AK957" s="18"/>
      <c r="AL957" s="18"/>
      <c r="AM957" s="18"/>
      <c r="AN957" s="18"/>
    </row>
    <row r="958" spans="1:41" ht="21.95" customHeight="1" x14ac:dyDescent="0.2">
      <c r="B958" s="9"/>
      <c r="C958" s="9"/>
      <c r="D958" s="9"/>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c r="AG958" s="38"/>
      <c r="AH958" s="38"/>
      <c r="AI958" s="18"/>
      <c r="AJ958" s="18"/>
      <c r="AK958" s="18"/>
      <c r="AL958" s="18"/>
      <c r="AM958" s="18"/>
      <c r="AN958" s="18"/>
    </row>
  </sheetData>
  <mergeCells count="61">
    <mergeCell ref="B18:K18"/>
    <mergeCell ref="F151:G151"/>
    <mergeCell ref="E152:E160"/>
    <mergeCell ref="E161:E169"/>
    <mergeCell ref="E173:E184"/>
    <mergeCell ref="E185:E211"/>
    <mergeCell ref="F28:G28"/>
    <mergeCell ref="E29:E31"/>
    <mergeCell ref="E32:E34"/>
    <mergeCell ref="E36:E39"/>
    <mergeCell ref="E40:E48"/>
    <mergeCell ref="F60:G60"/>
    <mergeCell ref="E61:E69"/>
    <mergeCell ref="E70:E78"/>
    <mergeCell ref="E82:E93"/>
    <mergeCell ref="E94:E120"/>
    <mergeCell ref="F242:G242"/>
    <mergeCell ref="E243:E251"/>
    <mergeCell ref="E252:E260"/>
    <mergeCell ref="E264:E275"/>
    <mergeCell ref="E276:E302"/>
    <mergeCell ref="F337:G337"/>
    <mergeCell ref="E338:E340"/>
    <mergeCell ref="E341:E343"/>
    <mergeCell ref="E345:E348"/>
    <mergeCell ref="E349:E357"/>
    <mergeCell ref="F369:G369"/>
    <mergeCell ref="E370:E378"/>
    <mergeCell ref="E379:E387"/>
    <mergeCell ref="E391:E402"/>
    <mergeCell ref="E403:E429"/>
    <mergeCell ref="F460:G460"/>
    <mergeCell ref="E461:E469"/>
    <mergeCell ref="E470:E478"/>
    <mergeCell ref="E482:E493"/>
    <mergeCell ref="E494:E520"/>
    <mergeCell ref="F551:G551"/>
    <mergeCell ref="E552:E560"/>
    <mergeCell ref="E561:E569"/>
    <mergeCell ref="E573:E584"/>
    <mergeCell ref="E585:E611"/>
    <mergeCell ref="F646:G646"/>
    <mergeCell ref="E647:E649"/>
    <mergeCell ref="E650:E652"/>
    <mergeCell ref="E654:E657"/>
    <mergeCell ref="E658:E666"/>
    <mergeCell ref="F678:G678"/>
    <mergeCell ref="E679:E687"/>
    <mergeCell ref="E688:E696"/>
    <mergeCell ref="E700:E711"/>
    <mergeCell ref="E712:E738"/>
    <mergeCell ref="F769:G769"/>
    <mergeCell ref="E770:E778"/>
    <mergeCell ref="E779:E787"/>
    <mergeCell ref="E791:E802"/>
    <mergeCell ref="E894:E920"/>
    <mergeCell ref="E803:E829"/>
    <mergeCell ref="F860:G860"/>
    <mergeCell ref="E861:E869"/>
    <mergeCell ref="E870:E878"/>
    <mergeCell ref="E882:E893"/>
  </mergeCell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E0DF3-0CDB-4AFC-AD9C-DD6151571F08}">
  <sheetPr codeName="Sheet5">
    <tabColor theme="9" tint="-0.249977111117893"/>
  </sheetPr>
  <dimension ref="A2:AM960"/>
  <sheetViews>
    <sheetView showGridLines="0" zoomScale="85" zoomScaleNormal="85" workbookViewId="0">
      <selection activeCell="H83" sqref="H83"/>
    </sheetView>
  </sheetViews>
  <sheetFormatPr defaultColWidth="11.625" defaultRowHeight="21.95" customHeight="1" x14ac:dyDescent="0.2"/>
  <cols>
    <col min="1" max="1" width="3.375" customWidth="1"/>
    <col min="2" max="2" width="25" customWidth="1"/>
    <col min="3" max="3" width="18.625" customWidth="1"/>
    <col min="4" max="5" width="18.75" customWidth="1"/>
    <col min="6" max="10" width="18.75" style="2" customWidth="1"/>
    <col min="11" max="34" width="18.75" customWidth="1"/>
  </cols>
  <sheetData>
    <row r="2" spans="1:39" ht="23.25" x14ac:dyDescent="0.2">
      <c r="B2" s="797" t="s">
        <v>39</v>
      </c>
    </row>
    <row r="4" spans="1:39" ht="21.95" customHeight="1" x14ac:dyDescent="0.2">
      <c r="A4" s="226" t="s">
        <v>87</v>
      </c>
      <c r="B4" s="798" t="s">
        <v>0</v>
      </c>
    </row>
    <row r="6" spans="1:39" ht="21.95" customHeight="1" thickBot="1" x14ac:dyDescent="0.25">
      <c r="B6" s="796" t="s">
        <v>178</v>
      </c>
      <c r="C6" s="12"/>
      <c r="D6" s="12"/>
      <c r="E6" s="2"/>
      <c r="F6" s="12"/>
      <c r="G6" s="12"/>
    </row>
    <row r="7" spans="1:39" ht="21.95" customHeight="1" thickBot="1" x14ac:dyDescent="0.25">
      <c r="B7" s="234" t="s">
        <v>47</v>
      </c>
      <c r="C7" s="434"/>
      <c r="D7" s="434"/>
      <c r="E7" s="435" t="str">
        <f>Inputs!D34</f>
        <v>US 412</v>
      </c>
      <c r="F7" s="435" t="str">
        <f>Inputs!E34</f>
        <v>SH 412B</v>
      </c>
      <c r="G7" s="435" t="str">
        <f>Inputs!F34</f>
        <v>Patrol Rd</v>
      </c>
      <c r="H7" s="435" t="str">
        <f>Inputs!G34</f>
        <v>Williams St</v>
      </c>
      <c r="I7" s="435" t="str">
        <f>Inputs!H34</f>
        <v>US 69</v>
      </c>
      <c r="J7" s="435" t="str">
        <f>Inputs!I34</f>
        <v>Zarrow Rd</v>
      </c>
      <c r="K7" s="435" t="str">
        <f>Inputs!J34</f>
        <v>Rocket Rd</v>
      </c>
      <c r="L7" s="435" t="str">
        <f>Inputs!K34</f>
        <v>Armin Rd</v>
      </c>
      <c r="M7" s="436" t="str">
        <f>Inputs!L34</f>
        <v>SH 69A</v>
      </c>
    </row>
    <row r="8" spans="1:39" ht="21.95" customHeight="1" x14ac:dyDescent="0.2">
      <c r="B8" s="197" t="s">
        <v>19</v>
      </c>
      <c r="C8" s="48"/>
      <c r="D8" s="48"/>
      <c r="E8" s="1090">
        <f>Inputs!D35</f>
        <v>0.22</v>
      </c>
      <c r="F8" s="1090">
        <f>Inputs!E35</f>
        <v>0.2</v>
      </c>
      <c r="G8" s="1090">
        <f>Inputs!F35</f>
        <v>0.2</v>
      </c>
      <c r="H8" s="1090">
        <f>Inputs!G35</f>
        <v>0.2</v>
      </c>
      <c r="I8" s="1090">
        <f>Inputs!H35</f>
        <v>0.28000000000000003</v>
      </c>
      <c r="J8" s="1090">
        <f>Inputs!I35</f>
        <v>0.2</v>
      </c>
      <c r="K8" s="1090">
        <f>Inputs!J35</f>
        <v>0.2</v>
      </c>
      <c r="L8" s="1090">
        <f>Inputs!K35</f>
        <v>0.2</v>
      </c>
      <c r="M8" s="1091">
        <f>Inputs!L35</f>
        <v>0.2</v>
      </c>
    </row>
    <row r="9" spans="1:39" ht="21.95" customHeight="1" thickBot="1" x14ac:dyDescent="0.25">
      <c r="B9" s="201" t="s">
        <v>467</v>
      </c>
      <c r="C9" s="203"/>
      <c r="D9" s="203"/>
      <c r="E9" s="1092">
        <f>Inputs!D36</f>
        <v>0.78</v>
      </c>
      <c r="F9" s="1092">
        <f>Inputs!E36</f>
        <v>0.8</v>
      </c>
      <c r="G9" s="1092">
        <f>Inputs!F36</f>
        <v>0.8</v>
      </c>
      <c r="H9" s="1092">
        <f>Inputs!G36</f>
        <v>0.8</v>
      </c>
      <c r="I9" s="1092">
        <f>Inputs!H36</f>
        <v>0.72</v>
      </c>
      <c r="J9" s="1092">
        <f>Inputs!I36</f>
        <v>0.8</v>
      </c>
      <c r="K9" s="1092">
        <f>Inputs!J36</f>
        <v>0.8</v>
      </c>
      <c r="L9" s="1092">
        <f>Inputs!K36</f>
        <v>0.8</v>
      </c>
      <c r="M9" s="1093">
        <f>Inputs!L36</f>
        <v>0.8</v>
      </c>
    </row>
    <row r="11" spans="1:39" ht="21.95" customHeight="1" thickBot="1" x14ac:dyDescent="0.25">
      <c r="B11" s="796" t="str">
        <f>"Emission Costs " &amp; 'Emissions Data'!$B$10</f>
        <v>Emission Costs (2021$/metric ton)</v>
      </c>
      <c r="F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row>
    <row r="12" spans="1:39" ht="21.95" customHeight="1" thickBot="1" x14ac:dyDescent="0.25">
      <c r="B12" s="234" t="s">
        <v>42</v>
      </c>
      <c r="C12" s="235"/>
      <c r="D12" s="235"/>
      <c r="E12" s="235"/>
      <c r="F12" s="235"/>
      <c r="G12" s="237" cm="1">
        <f t="array" ref="G12:AH12">year</f>
        <v>2021</v>
      </c>
      <c r="H12" s="237">
        <v>2022</v>
      </c>
      <c r="I12" s="237">
        <v>2023</v>
      </c>
      <c r="J12" s="237">
        <v>2024</v>
      </c>
      <c r="K12" s="237">
        <v>2025</v>
      </c>
      <c r="L12" s="237">
        <v>2026</v>
      </c>
      <c r="M12" s="237">
        <v>2027</v>
      </c>
      <c r="N12" s="237">
        <v>2028</v>
      </c>
      <c r="O12" s="237">
        <v>2029</v>
      </c>
      <c r="P12" s="237">
        <v>2030</v>
      </c>
      <c r="Q12" s="237">
        <v>2031</v>
      </c>
      <c r="R12" s="237">
        <v>2032</v>
      </c>
      <c r="S12" s="237">
        <v>2033</v>
      </c>
      <c r="T12" s="237">
        <v>2034</v>
      </c>
      <c r="U12" s="237">
        <v>2035</v>
      </c>
      <c r="V12" s="237">
        <v>2036</v>
      </c>
      <c r="W12" s="237">
        <v>2037</v>
      </c>
      <c r="X12" s="237">
        <v>2038</v>
      </c>
      <c r="Y12" s="237">
        <v>2039</v>
      </c>
      <c r="Z12" s="237">
        <v>2040</v>
      </c>
      <c r="AA12" s="237">
        <v>2041</v>
      </c>
      <c r="AB12" s="237">
        <v>2042</v>
      </c>
      <c r="AC12" s="237">
        <v>2043</v>
      </c>
      <c r="AD12" s="237">
        <v>2044</v>
      </c>
      <c r="AE12" s="237">
        <v>2045</v>
      </c>
      <c r="AF12" s="237">
        <v>2046</v>
      </c>
      <c r="AG12" s="237">
        <v>2047</v>
      </c>
      <c r="AH12" s="236">
        <v>2048</v>
      </c>
      <c r="AI12" s="251"/>
      <c r="AJ12" s="251"/>
      <c r="AK12" s="251"/>
      <c r="AL12" s="251"/>
      <c r="AM12" s="251"/>
    </row>
    <row r="13" spans="1:39" ht="21.95" customHeight="1" x14ac:dyDescent="0.2">
      <c r="B13" s="197" t="str" cm="1">
        <f t="array" ref="B13:B16">TRANSPOSE(EmissionCost[[#Headers], [NOx]:[CO2]])</f>
        <v>NOx</v>
      </c>
      <c r="F13"/>
      <c r="G13" s="22" cm="1">
        <f t="array" ref="G13:AH13">_xlfn.XLOOKUP(year, EmissionCost[Year], EmissionCost[NOx])</f>
        <v>0</v>
      </c>
      <c r="H13" s="22">
        <v>16600</v>
      </c>
      <c r="I13" s="22">
        <v>16800</v>
      </c>
      <c r="J13" s="22">
        <v>17000</v>
      </c>
      <c r="K13" s="22">
        <v>17200</v>
      </c>
      <c r="L13" s="22">
        <v>17500</v>
      </c>
      <c r="M13" s="22">
        <v>17900</v>
      </c>
      <c r="N13" s="22">
        <v>18200</v>
      </c>
      <c r="O13" s="22">
        <v>18600</v>
      </c>
      <c r="P13" s="22">
        <v>18900</v>
      </c>
      <c r="Q13" s="22">
        <v>18900</v>
      </c>
      <c r="R13" s="22">
        <v>18900</v>
      </c>
      <c r="S13" s="22">
        <v>18900</v>
      </c>
      <c r="T13" s="22">
        <v>18900</v>
      </c>
      <c r="U13" s="22">
        <v>18900</v>
      </c>
      <c r="V13" s="22">
        <v>18900</v>
      </c>
      <c r="W13" s="22">
        <v>18900</v>
      </c>
      <c r="X13" s="22">
        <v>18900</v>
      </c>
      <c r="Y13" s="22">
        <v>18900</v>
      </c>
      <c r="Z13" s="22">
        <v>18900</v>
      </c>
      <c r="AA13" s="22">
        <v>18900</v>
      </c>
      <c r="AB13" s="22">
        <v>18900</v>
      </c>
      <c r="AC13" s="22">
        <v>18900</v>
      </c>
      <c r="AD13" s="22">
        <v>18900</v>
      </c>
      <c r="AE13" s="22">
        <v>18900</v>
      </c>
      <c r="AF13" s="22">
        <v>18900</v>
      </c>
      <c r="AG13" s="22">
        <v>18900</v>
      </c>
      <c r="AH13" s="198">
        <v>18900</v>
      </c>
      <c r="AI13" s="21"/>
      <c r="AJ13" s="21"/>
      <c r="AK13" s="21"/>
      <c r="AL13" s="21"/>
      <c r="AM13" s="21"/>
    </row>
    <row r="14" spans="1:39" ht="21.95" customHeight="1" x14ac:dyDescent="0.2">
      <c r="B14" s="197" t="str">
        <v>SOx</v>
      </c>
      <c r="F14"/>
      <c r="G14" s="22" cm="1">
        <f t="array" ref="G14:AH14">_xlfn.XLOOKUP(year, EmissionCost[Year], EmissionCost[SOx])</f>
        <v>0</v>
      </c>
      <c r="H14" s="22">
        <v>44300</v>
      </c>
      <c r="I14" s="22">
        <v>45100</v>
      </c>
      <c r="J14" s="22">
        <v>46000</v>
      </c>
      <c r="K14" s="22">
        <v>46900</v>
      </c>
      <c r="L14" s="22">
        <v>47800</v>
      </c>
      <c r="M14" s="22">
        <v>48700</v>
      </c>
      <c r="N14" s="22">
        <v>49500</v>
      </c>
      <c r="O14" s="22">
        <v>50400</v>
      </c>
      <c r="P14" s="22">
        <v>51300</v>
      </c>
      <c r="Q14" s="22">
        <v>51300</v>
      </c>
      <c r="R14" s="22">
        <v>51300</v>
      </c>
      <c r="S14" s="22">
        <v>51300</v>
      </c>
      <c r="T14" s="22">
        <v>51300</v>
      </c>
      <c r="U14" s="22">
        <v>51300</v>
      </c>
      <c r="V14" s="22">
        <v>51300</v>
      </c>
      <c r="W14" s="22">
        <v>51300</v>
      </c>
      <c r="X14" s="22">
        <v>51300</v>
      </c>
      <c r="Y14" s="22">
        <v>51300</v>
      </c>
      <c r="Z14" s="22">
        <v>51300</v>
      </c>
      <c r="AA14" s="22">
        <v>51300</v>
      </c>
      <c r="AB14" s="22">
        <v>51300</v>
      </c>
      <c r="AC14" s="22">
        <v>51300</v>
      </c>
      <c r="AD14" s="22">
        <v>51300</v>
      </c>
      <c r="AE14" s="22">
        <v>51300</v>
      </c>
      <c r="AF14" s="22">
        <v>51300</v>
      </c>
      <c r="AG14" s="22">
        <v>51300</v>
      </c>
      <c r="AH14" s="198">
        <v>51300</v>
      </c>
      <c r="AI14" s="21"/>
      <c r="AJ14" s="21"/>
      <c r="AK14" s="21"/>
      <c r="AL14" s="21"/>
      <c r="AM14" s="21"/>
    </row>
    <row r="15" spans="1:39" ht="21.95" customHeight="1" x14ac:dyDescent="0.2">
      <c r="B15" s="197" t="str">
        <v>PM2.5</v>
      </c>
      <c r="F15"/>
      <c r="G15" s="22" cm="1">
        <f t="array" ref="G15:AH15">_xlfn.XLOOKUP(year, EmissionCost[Year], EmissionCost[PM2.5])</f>
        <v>0</v>
      </c>
      <c r="H15" s="22">
        <v>796700</v>
      </c>
      <c r="I15" s="22">
        <v>810500</v>
      </c>
      <c r="J15" s="22">
        <v>824500</v>
      </c>
      <c r="K15" s="22">
        <v>838800</v>
      </c>
      <c r="L15" s="22">
        <v>852100</v>
      </c>
      <c r="M15" s="22">
        <v>865600</v>
      </c>
      <c r="N15" s="22">
        <v>879400</v>
      </c>
      <c r="O15" s="22">
        <v>893400</v>
      </c>
      <c r="P15" s="22">
        <v>907600</v>
      </c>
      <c r="Q15" s="22">
        <v>907600</v>
      </c>
      <c r="R15" s="22">
        <v>907600</v>
      </c>
      <c r="S15" s="22">
        <v>907600</v>
      </c>
      <c r="T15" s="22">
        <v>907600</v>
      </c>
      <c r="U15" s="22">
        <v>907600</v>
      </c>
      <c r="V15" s="22">
        <v>907600</v>
      </c>
      <c r="W15" s="22">
        <v>907600</v>
      </c>
      <c r="X15" s="22">
        <v>907600</v>
      </c>
      <c r="Y15" s="22">
        <v>907600</v>
      </c>
      <c r="Z15" s="22">
        <v>907600</v>
      </c>
      <c r="AA15" s="22">
        <v>907600</v>
      </c>
      <c r="AB15" s="22">
        <v>907600</v>
      </c>
      <c r="AC15" s="22">
        <v>907600</v>
      </c>
      <c r="AD15" s="22">
        <v>907600</v>
      </c>
      <c r="AE15" s="22">
        <v>907600</v>
      </c>
      <c r="AF15" s="22">
        <v>907600</v>
      </c>
      <c r="AG15" s="22">
        <v>907600</v>
      </c>
      <c r="AH15" s="198">
        <v>907600</v>
      </c>
      <c r="AI15" s="21"/>
      <c r="AJ15" s="21"/>
      <c r="AK15" s="21"/>
      <c r="AL15" s="21"/>
      <c r="AM15" s="21"/>
    </row>
    <row r="16" spans="1:39" ht="21.95" customHeight="1" thickBot="1" x14ac:dyDescent="0.25">
      <c r="B16" s="201" t="str">
        <v>CO2</v>
      </c>
      <c r="C16" s="202"/>
      <c r="D16" s="202"/>
      <c r="E16" s="202"/>
      <c r="F16" s="202"/>
      <c r="G16" s="441" cm="1">
        <f t="array" ref="G16:AH16">_xlfn.XLOOKUP(year, EmissionCost[Year], EmissionCost[CO2])</f>
        <v>0</v>
      </c>
      <c r="H16" s="441">
        <v>56</v>
      </c>
      <c r="I16" s="441">
        <v>57</v>
      </c>
      <c r="J16" s="441">
        <v>58</v>
      </c>
      <c r="K16" s="441">
        <v>59</v>
      </c>
      <c r="L16" s="441">
        <v>60</v>
      </c>
      <c r="M16" s="441">
        <v>61</v>
      </c>
      <c r="N16" s="441">
        <v>62</v>
      </c>
      <c r="O16" s="441">
        <v>63</v>
      </c>
      <c r="P16" s="441">
        <v>65</v>
      </c>
      <c r="Q16" s="441">
        <v>66</v>
      </c>
      <c r="R16" s="441">
        <v>67</v>
      </c>
      <c r="S16" s="441">
        <v>68</v>
      </c>
      <c r="T16" s="441">
        <v>69</v>
      </c>
      <c r="U16" s="441">
        <v>70</v>
      </c>
      <c r="V16" s="441">
        <v>72</v>
      </c>
      <c r="W16" s="441">
        <v>73</v>
      </c>
      <c r="X16" s="441">
        <v>74</v>
      </c>
      <c r="Y16" s="441">
        <v>75</v>
      </c>
      <c r="Z16" s="441">
        <v>76</v>
      </c>
      <c r="AA16" s="441">
        <v>78</v>
      </c>
      <c r="AB16" s="441">
        <v>79</v>
      </c>
      <c r="AC16" s="441">
        <v>80</v>
      </c>
      <c r="AD16" s="441">
        <v>81</v>
      </c>
      <c r="AE16" s="441">
        <v>82</v>
      </c>
      <c r="AF16" s="441">
        <v>84</v>
      </c>
      <c r="AG16" s="441">
        <v>85</v>
      </c>
      <c r="AH16" s="442">
        <v>86</v>
      </c>
      <c r="AI16" s="22"/>
      <c r="AJ16" s="22"/>
      <c r="AK16" s="22"/>
      <c r="AL16" s="22"/>
      <c r="AM16" s="22"/>
    </row>
    <row r="17" spans="1:39" ht="21.95" customHeight="1" x14ac:dyDescent="0.2">
      <c r="B17" s="113" t="s">
        <v>67</v>
      </c>
    </row>
    <row r="18" spans="1:39" ht="21.95" customHeight="1" x14ac:dyDescent="0.2">
      <c r="B18" s="9"/>
      <c r="G18" s="5"/>
    </row>
    <row r="19" spans="1:39" ht="21.95" customHeight="1" thickBot="1" x14ac:dyDescent="0.25">
      <c r="B19" s="796" t="s">
        <v>468</v>
      </c>
      <c r="C19" s="12"/>
      <c r="D19" s="12"/>
      <c r="E19" s="2"/>
      <c r="F19" s="12"/>
      <c r="G19" s="12"/>
    </row>
    <row r="20" spans="1:39" ht="21.95" customHeight="1" thickBot="1" x14ac:dyDescent="0.25">
      <c r="B20" s="234" t="s">
        <v>47</v>
      </c>
      <c r="C20" s="434"/>
      <c r="D20" s="434"/>
      <c r="E20" s="435" t="s">
        <v>43</v>
      </c>
      <c r="F20" s="435" t="s">
        <v>438</v>
      </c>
      <c r="G20" s="435" t="s">
        <v>41</v>
      </c>
      <c r="H20" s="436" t="s">
        <v>40</v>
      </c>
      <c r="I20" s="443"/>
      <c r="J20" s="443"/>
      <c r="K20" s="443"/>
      <c r="L20" s="443"/>
      <c r="M20" s="443"/>
    </row>
    <row r="21" spans="1:39" ht="21.95" customHeight="1" x14ac:dyDescent="0.2">
      <c r="B21" s="197" t="s">
        <v>469</v>
      </c>
      <c r="C21" s="48"/>
      <c r="D21" s="48"/>
      <c r="E21" s="445">
        <f>'Emissions Data'!L10*'Emissions Data'!$L$19</f>
        <v>4.1689999999999994E-6</v>
      </c>
      <c r="F21" s="445">
        <f>'Emissions Data'!L12*'Emissions Data'!$L$18*'Emissions Data'!L8</f>
        <v>8.9259929999999998E-10</v>
      </c>
      <c r="G21" s="445">
        <f>'Emissions Data'!L14*'Emissions Data'!$L$19</f>
        <v>1.1899999999999999E-7</v>
      </c>
      <c r="H21" s="446">
        <f>'Emissions Data'!L16*'Emissions Data'!$L$19</f>
        <v>1.018E-2</v>
      </c>
      <c r="I21" s="444"/>
      <c r="J21" s="518"/>
      <c r="K21" s="444"/>
      <c r="L21" s="444"/>
      <c r="M21" s="444"/>
    </row>
    <row r="22" spans="1:39" ht="21.95" customHeight="1" thickBot="1" x14ac:dyDescent="0.25">
      <c r="B22" s="201" t="s">
        <v>470</v>
      </c>
      <c r="C22" s="203"/>
      <c r="D22" s="203"/>
      <c r="E22" s="447">
        <f>'Emissions Data'!L9*'Emissions Data'!$L$19</f>
        <v>1.92E-7</v>
      </c>
      <c r="F22" s="447">
        <f>'Emissions Data'!L11*'Emissions Data'!$L$18*'Emissions Data'!L7</f>
        <v>2.2116627100000001E-9</v>
      </c>
      <c r="G22" s="447">
        <f>'Emissions Data'!L13*'Emissions Data'!$L$19</f>
        <v>1E-8</v>
      </c>
      <c r="H22" s="448">
        <f>'Emissions Data'!L15*'Emissions Data'!$L$19</f>
        <v>8.8869999999999991E-3</v>
      </c>
      <c r="I22" s="444"/>
      <c r="J22" s="444"/>
      <c r="K22" s="444"/>
      <c r="L22" s="444"/>
      <c r="M22" s="444"/>
    </row>
    <row r="23" spans="1:39" ht="21.95" customHeight="1" x14ac:dyDescent="0.2">
      <c r="B23" s="244" t="s">
        <v>471</v>
      </c>
      <c r="G23" s="5"/>
    </row>
    <row r="24" spans="1:39" ht="21.95" customHeight="1" x14ac:dyDescent="0.2">
      <c r="B24" s="9"/>
      <c r="G24" s="5"/>
    </row>
    <row r="25" spans="1:39" ht="21.95" customHeight="1" x14ac:dyDescent="0.2">
      <c r="B25" s="9"/>
      <c r="G25" s="5"/>
    </row>
    <row r="26" spans="1:39" ht="21.95" customHeight="1" x14ac:dyDescent="0.2">
      <c r="B26" s="9"/>
      <c r="G26" s="5"/>
    </row>
    <row r="27" spans="1:39" ht="21.95" customHeight="1" x14ac:dyDescent="0.2">
      <c r="A27" s="226"/>
      <c r="B27" s="798" t="s">
        <v>9</v>
      </c>
      <c r="G27" s="42"/>
      <c r="K27" s="2"/>
      <c r="L27" s="2"/>
      <c r="M27" s="2"/>
      <c r="N27" s="2"/>
      <c r="O27" s="2"/>
    </row>
    <row r="28" spans="1:39" ht="21.95" customHeight="1" x14ac:dyDescent="0.2">
      <c r="K28" s="2"/>
      <c r="L28" s="2"/>
      <c r="M28" s="2"/>
      <c r="N28" s="2"/>
      <c r="O28" s="2"/>
    </row>
    <row r="29" spans="1:39" ht="21.95" customHeight="1" thickBot="1" x14ac:dyDescent="0.25">
      <c r="B29" s="796" t="s">
        <v>498</v>
      </c>
      <c r="K29" s="2"/>
      <c r="L29" s="2"/>
      <c r="M29" s="2"/>
      <c r="N29" s="2"/>
      <c r="O29" s="2"/>
    </row>
    <row r="30" spans="1:39" ht="21.95" customHeight="1" x14ac:dyDescent="0.2">
      <c r="B30" s="573" t="s">
        <v>328</v>
      </c>
      <c r="C30" s="1345" t="s">
        <v>18</v>
      </c>
      <c r="D30" s="1345"/>
      <c r="E30" s="200" t="s">
        <v>24</v>
      </c>
      <c r="F30" s="200" t="s">
        <v>42</v>
      </c>
      <c r="G30" s="482" cm="1">
        <f t="array" ref="G30:AH30">year</f>
        <v>2021</v>
      </c>
      <c r="H30" s="482">
        <v>2022</v>
      </c>
      <c r="I30" s="482">
        <v>2023</v>
      </c>
      <c r="J30" s="482">
        <v>2024</v>
      </c>
      <c r="K30" s="482">
        <v>2025</v>
      </c>
      <c r="L30" s="482">
        <v>2026</v>
      </c>
      <c r="M30" s="482">
        <v>2027</v>
      </c>
      <c r="N30" s="482">
        <v>2028</v>
      </c>
      <c r="O30" s="482">
        <v>2029</v>
      </c>
      <c r="P30" s="482">
        <v>2030</v>
      </c>
      <c r="Q30" s="482">
        <v>2031</v>
      </c>
      <c r="R30" s="482">
        <v>2032</v>
      </c>
      <c r="S30" s="482">
        <v>2033</v>
      </c>
      <c r="T30" s="482">
        <v>2034</v>
      </c>
      <c r="U30" s="482">
        <v>2035</v>
      </c>
      <c r="V30" s="482">
        <v>2036</v>
      </c>
      <c r="W30" s="482">
        <v>2037</v>
      </c>
      <c r="X30" s="482">
        <v>2038</v>
      </c>
      <c r="Y30" s="482">
        <v>2039</v>
      </c>
      <c r="Z30" s="482">
        <v>2040</v>
      </c>
      <c r="AA30" s="482">
        <v>2041</v>
      </c>
      <c r="AB30" s="482">
        <v>2042</v>
      </c>
      <c r="AC30" s="482">
        <v>2043</v>
      </c>
      <c r="AD30" s="482">
        <v>2044</v>
      </c>
      <c r="AE30" s="482">
        <v>2045</v>
      </c>
      <c r="AF30" s="482">
        <v>2046</v>
      </c>
      <c r="AG30" s="482">
        <v>2047</v>
      </c>
      <c r="AH30" s="494">
        <v>2048</v>
      </c>
      <c r="AI30" s="251"/>
      <c r="AJ30" s="251"/>
      <c r="AK30" s="251"/>
      <c r="AL30" s="251"/>
      <c r="AM30" s="251"/>
    </row>
    <row r="31" spans="1:39" ht="21.95" customHeight="1" x14ac:dyDescent="0.2">
      <c r="B31" s="1346" t="s">
        <v>331</v>
      </c>
      <c r="C31" s="220" t="s">
        <v>332</v>
      </c>
      <c r="D31" s="220" t="s">
        <v>282</v>
      </c>
      <c r="E31" s="220" t="s">
        <v>19</v>
      </c>
      <c r="F31" s="220" t="s">
        <v>43</v>
      </c>
      <c r="G31" s="775"/>
      <c r="H31" s="775"/>
      <c r="I31" s="775">
        <f>$E$21*$E$8*'Traffic Data'!AK7*annualizationFactor</f>
        <v>0.50885146399999992</v>
      </c>
      <c r="J31" s="775">
        <f>$E$21*$E$8*'Traffic Data'!AL7*annualizationFactor</f>
        <v>0.5322618116656499</v>
      </c>
      <c r="K31" s="775">
        <f>$E$21*$E$8*'Traffic Data'!AM7*annualizationFactor</f>
        <v>0.565135206400875</v>
      </c>
      <c r="L31" s="775">
        <f>$E$21*$E$8*'Traffic Data'!AN7*annualizationFactor</f>
        <v>0.61336001374064997</v>
      </c>
      <c r="M31" s="775">
        <f>$E$21*$E$8*'Traffic Data'!AO7*annualizationFactor</f>
        <v>0.66160231284949989</v>
      </c>
      <c r="N31" s="775">
        <f>$E$21*$E$8*'Traffic Data'!AP7*annualizationFactor</f>
        <v>0.70984620211917471</v>
      </c>
      <c r="O31" s="775">
        <f>$E$21*$E$8*'Traffic Data'!AQ7*annualizationFactor</f>
        <v>0.75807100945894967</v>
      </c>
      <c r="P31" s="775">
        <f>$E$21*$E$8*'Traffic Data'!AR7*annualizationFactor</f>
        <v>0.80633239049769967</v>
      </c>
      <c r="Q31" s="775">
        <f>$E$21*$E$8*'Traffic Data'!AS7*annualizationFactor</f>
        <v>0.85402449396109992</v>
      </c>
      <c r="R31" s="775">
        <f>$E$21*$E$8*'Traffic Data'!AT7*annualizationFactor</f>
        <v>0.90172613838944982</v>
      </c>
      <c r="S31" s="775">
        <f>$E$21*$E$8*'Traffic Data'!AU7*annualizationFactor</f>
        <v>0.94941824185284984</v>
      </c>
      <c r="T31" s="775">
        <f>$E$21*$E$8*'Traffic Data'!AV7*annualizationFactor</f>
        <v>0.99711034531624998</v>
      </c>
      <c r="U31" s="775">
        <f>$E$21*$E$8*'Traffic Data'!AW7*annualizationFactor</f>
        <v>1.0448406126394498</v>
      </c>
      <c r="V31" s="775">
        <f>$E$21*$E$8*'Traffic Data'!AX7*annualizationFactor</f>
        <v>1.0771622215683998</v>
      </c>
      <c r="W31" s="775">
        <f>$E$21*$E$8*'Traffic Data'!AY7*annualizationFactor</f>
        <v>1.1005725692340498</v>
      </c>
      <c r="X31" s="775">
        <f>$E$21*$E$8*'Traffic Data'!AZ7*annualizationFactor</f>
        <v>1.1239829168996998</v>
      </c>
      <c r="Y31" s="775">
        <f>$E$21*$E$8*'Traffic Data'!BA7*annualizationFactor</f>
        <v>1.1473932645653497</v>
      </c>
      <c r="Z31" s="775">
        <f>$E$21*$E$8*'Traffic Data'!BB7*annualizationFactor</f>
        <v>1.17081315319595</v>
      </c>
      <c r="AA31" s="775">
        <f>$E$21*$E$8*'Traffic Data'!BC7*annualizationFactor</f>
        <v>1.1942235008615998</v>
      </c>
      <c r="AB31" s="775">
        <f>$E$21*$E$8*'Traffic Data'!BD7*annualizationFactor</f>
        <v>1.2176433894921996</v>
      </c>
      <c r="AC31" s="775">
        <f>$E$21*$E$8*'Traffic Data'!BE7*annualizationFactor</f>
        <v>1.2410537371578498</v>
      </c>
      <c r="AD31" s="775">
        <f>$E$21*$E$8*'Traffic Data'!BF7*annualizationFactor</f>
        <v>1.2644640848234998</v>
      </c>
      <c r="AE31" s="775">
        <f>$E$21*$E$8*'Traffic Data'!BG7*annualizationFactor</f>
        <v>1.2878839734540997</v>
      </c>
      <c r="AF31" s="775">
        <f>$E$21*$E$8*'Traffic Data'!BH7*annualizationFactor</f>
        <v>1.3112943211197499</v>
      </c>
      <c r="AG31" s="775">
        <f>$E$21*$E$8*'Traffic Data'!BI7*annualizationFactor</f>
        <v>1.3347046687853998</v>
      </c>
      <c r="AH31" s="776">
        <f>$E$21*$E$8*'Traffic Data'!BJ7*annualizationFactor</f>
        <v>1.3581245574159995</v>
      </c>
      <c r="AI31" s="27"/>
      <c r="AJ31" s="27"/>
      <c r="AK31" s="27"/>
      <c r="AL31" s="27"/>
      <c r="AM31" s="27"/>
    </row>
    <row r="32" spans="1:39" ht="21.95" customHeight="1" x14ac:dyDescent="0.2">
      <c r="B32" s="1346"/>
      <c r="C32" s="116" t="s">
        <v>282</v>
      </c>
      <c r="D32" s="116" t="s">
        <v>280</v>
      </c>
      <c r="E32" s="116" t="s">
        <v>19</v>
      </c>
      <c r="F32" s="116" t="s">
        <v>43</v>
      </c>
      <c r="G32" s="970"/>
      <c r="H32" s="970"/>
      <c r="I32" s="777">
        <f>$E$21*$E$8*'Traffic Data'!AK8*annualizationFactor</f>
        <v>16.362298383749998</v>
      </c>
      <c r="J32" s="777">
        <f>$E$21*$E$8*'Traffic Data'!AL8*annualizationFactor</f>
        <v>17.26870911310462</v>
      </c>
      <c r="K32" s="777">
        <f>$E$21*$E$8*'Traffic Data'!AM8*annualizationFactor</f>
        <v>18.319835281497749</v>
      </c>
      <c r="L32" s="777">
        <f>$E$21*$E$8*'Traffic Data'!AN8*annualizationFactor</f>
        <v>20.281190048868371</v>
      </c>
      <c r="M32" s="777">
        <f>$E$21*$E$8*'Traffic Data'!AO8*annualizationFactor</f>
        <v>22.243272029500499</v>
      </c>
      <c r="N32" s="777">
        <f>$E$21*$E$8*'Traffic Data'!AP8*annualizationFactor</f>
        <v>24.205717616763376</v>
      </c>
      <c r="O32" s="777">
        <f>$E$21*$E$8*'Traffic Data'!AQ8*annualizationFactor</f>
        <v>26.167072384133998</v>
      </c>
      <c r="P32" s="777">
        <f>$E$21*$E$8*'Traffic Data'!AR8*annualizationFactor</f>
        <v>28.130305785763504</v>
      </c>
      <c r="Q32" s="777">
        <f>$E$21*$E$8*'Traffic Data'!AS8*annualizationFactor</f>
        <v>30.457509424773747</v>
      </c>
      <c r="R32" s="777">
        <f>$E$21*$E$8*'Traffic Data'!AT8*annualizationFactor</f>
        <v>32.785379675940369</v>
      </c>
      <c r="S32" s="777">
        <f>$E$21*$E$8*'Traffic Data'!AU8*annualizationFactor</f>
        <v>35.112583314950619</v>
      </c>
      <c r="T32" s="777">
        <f>$E$21*$E$8*'Traffic Data'!AV8*annualizationFactor</f>
        <v>37.439786953960862</v>
      </c>
      <c r="U32" s="777">
        <f>$E$21*$E$8*'Traffic Data'!AW8*annualizationFactor</f>
        <v>39.769293434965867</v>
      </c>
      <c r="V32" s="777">
        <f>$E$21*$E$8*'Traffic Data'!AX8*annualizationFactor</f>
        <v>41.185117054001246</v>
      </c>
      <c r="W32" s="777">
        <f>$E$21*$E$8*'Traffic Data'!AY8*annualizationFactor</f>
        <v>42.091527783355872</v>
      </c>
      <c r="X32" s="777">
        <f>$E$21*$E$8*'Traffic Data'!AZ8*annualizationFactor</f>
        <v>42.99793851271049</v>
      </c>
      <c r="Y32" s="777">
        <f>$E$21*$E$8*'Traffic Data'!BA8*annualizationFactor</f>
        <v>43.904349242065116</v>
      </c>
      <c r="Z32" s="777">
        <f>$E$21*$E$8*'Traffic Data'!BB8*annualizationFactor</f>
        <v>44.811365982470996</v>
      </c>
      <c r="AA32" s="777">
        <f>$E$21*$E$8*'Traffic Data'!BC8*annualizationFactor</f>
        <v>45.717776711825614</v>
      </c>
      <c r="AB32" s="777">
        <f>$E$21*$E$8*'Traffic Data'!BD8*annualizationFactor</f>
        <v>46.624793452231479</v>
      </c>
      <c r="AC32" s="777">
        <f>$E$21*$E$8*'Traffic Data'!BE8*annualizationFactor</f>
        <v>47.531204181586119</v>
      </c>
      <c r="AD32" s="777">
        <f>$E$21*$E$8*'Traffic Data'!BF8*annualizationFactor</f>
        <v>48.437614910940738</v>
      </c>
      <c r="AE32" s="777">
        <f>$E$21*$E$8*'Traffic Data'!BG8*annualizationFactor</f>
        <v>49.344631651346624</v>
      </c>
      <c r="AF32" s="777">
        <f>$E$21*$E$8*'Traffic Data'!BH8*annualizationFactor</f>
        <v>50.251042380701236</v>
      </c>
      <c r="AG32" s="777">
        <f>$E$21*$E$8*'Traffic Data'!BI8*annualizationFactor</f>
        <v>51.157453110055869</v>
      </c>
      <c r="AH32" s="778">
        <f>$E$21*$E$8*'Traffic Data'!BJ8*annualizationFactor</f>
        <v>52.064469850461748</v>
      </c>
      <c r="AI32" s="27"/>
      <c r="AJ32" s="27"/>
      <c r="AK32" s="27"/>
      <c r="AL32" s="27"/>
      <c r="AM32" s="27"/>
    </row>
    <row r="33" spans="2:39" ht="21.95" customHeight="1" x14ac:dyDescent="0.2">
      <c r="B33" s="1346"/>
      <c r="C33" s="116" t="s">
        <v>280</v>
      </c>
      <c r="D33" s="116" t="s">
        <v>333</v>
      </c>
      <c r="E33" s="254" t="s">
        <v>19</v>
      </c>
      <c r="F33" s="254" t="s">
        <v>43</v>
      </c>
      <c r="G33" s="779"/>
      <c r="H33" s="779"/>
      <c r="I33" s="777">
        <f>$E$21*$E$8*'Traffic Data'!AK9*annualizationFactor</f>
        <v>0.38163859799999994</v>
      </c>
      <c r="J33" s="777">
        <f>$E$21*$E$8*'Traffic Data'!AL9*annualizationFactor</f>
        <v>0.39757518978814987</v>
      </c>
      <c r="K33" s="777">
        <f>$E$21*$E$8*'Traffic Data'!AM9*annualizationFactor</f>
        <v>0.41729954466144981</v>
      </c>
      <c r="L33" s="777">
        <f>$E$21*$E$8*'Traffic Data'!AN9*annualizationFactor</f>
        <v>0.44385523043894998</v>
      </c>
      <c r="M33" s="777">
        <f>$E$21*$E$8*'Traffic Data'!AO9*annualizationFactor</f>
        <v>0.47042045718139996</v>
      </c>
      <c r="N33" s="777">
        <f>$E$21*$E$8*'Traffic Data'!AP9*annualizationFactor</f>
        <v>0.49698250360220003</v>
      </c>
      <c r="O33" s="777">
        <f>$E$21*$E$8*'Traffic Data'!AQ9*annualizationFactor</f>
        <v>0.52353818937969998</v>
      </c>
      <c r="P33" s="777">
        <f>$E$21*$E$8*'Traffic Data'!AR9*annualizationFactor</f>
        <v>0.55011295708710006</v>
      </c>
      <c r="Q33" s="777">
        <f>$E$21*$E$8*'Traffic Data'!AS9*annualizationFactor</f>
        <v>0.57586084116549985</v>
      </c>
      <c r="R33" s="777">
        <f>$E$21*$E$8*'Traffic Data'!AT9*annualizationFactor</f>
        <v>0.60161826620884973</v>
      </c>
      <c r="S33" s="777">
        <f>$E$21*$E$8*'Traffic Data'!AU9*annualizationFactor</f>
        <v>0.62736615028724985</v>
      </c>
      <c r="T33" s="777">
        <f>$E$21*$E$8*'Traffic Data'!AV9*annualizationFactor</f>
        <v>0.65311403436564996</v>
      </c>
      <c r="U33" s="777">
        <f>$E$21*$E$8*'Traffic Data'!AW9*annualizationFactor</f>
        <v>0.67888100037395005</v>
      </c>
      <c r="V33" s="777">
        <f>$E$21*$E$8*'Traffic Data'!AX9*annualizationFactor</f>
        <v>0.69778801258319989</v>
      </c>
      <c r="W33" s="777">
        <f>$E$21*$E$8*'Traffic Data'!AY9*annualizationFactor</f>
        <v>0.71372460437134988</v>
      </c>
      <c r="X33" s="777">
        <f>$E$21*$E$8*'Traffic Data'!AZ9*annualizationFactor</f>
        <v>0.72966119615949976</v>
      </c>
      <c r="Y33" s="777">
        <f>$E$21*$E$8*'Traffic Data'!BA9*annualizationFactor</f>
        <v>0.74559778794764986</v>
      </c>
      <c r="Z33" s="777">
        <f>$E$21*$E$8*'Traffic Data'!BB9*annualizationFactor</f>
        <v>0.76154074037909991</v>
      </c>
      <c r="AA33" s="777">
        <f>$E$21*$E$8*'Traffic Data'!BC9*annualizationFactor</f>
        <v>0.77747733216724979</v>
      </c>
      <c r="AB33" s="777">
        <f>$E$21*$E$8*'Traffic Data'!BD9*annualizationFactor</f>
        <v>0.79342028459869995</v>
      </c>
      <c r="AC33" s="777">
        <f>$E$21*$E$8*'Traffic Data'!BE9*annualizationFactor</f>
        <v>0.80935687638685005</v>
      </c>
      <c r="AD33" s="777">
        <f>$E$21*$E$8*'Traffic Data'!BF9*annualizationFactor</f>
        <v>0.82529346817499971</v>
      </c>
      <c r="AE33" s="777">
        <f>$E$21*$E$8*'Traffic Data'!BG9*annualizationFactor</f>
        <v>0.84123642060644988</v>
      </c>
      <c r="AF33" s="777">
        <f>$E$21*$E$8*'Traffic Data'!BH9*annualizationFactor</f>
        <v>0.85717301239459986</v>
      </c>
      <c r="AG33" s="777">
        <f>$E$21*$E$8*'Traffic Data'!BI9*annualizationFactor</f>
        <v>0.87310960418274963</v>
      </c>
      <c r="AH33" s="778">
        <f>$E$21*$E$8*'Traffic Data'!BJ9*annualizationFactor</f>
        <v>0.88905255661419991</v>
      </c>
      <c r="AI33" s="27"/>
      <c r="AJ33" s="27"/>
      <c r="AK33" s="27"/>
      <c r="AL33" s="27"/>
      <c r="AM33" s="27"/>
    </row>
    <row r="34" spans="2:39" ht="21.95" customHeight="1" x14ac:dyDescent="0.2">
      <c r="B34" s="1346" t="s">
        <v>280</v>
      </c>
      <c r="C34" s="220" t="s">
        <v>281</v>
      </c>
      <c r="D34" s="220" t="s">
        <v>335</v>
      </c>
      <c r="E34" s="116" t="s">
        <v>19</v>
      </c>
      <c r="F34" s="116" t="s">
        <v>43</v>
      </c>
      <c r="G34" s="970"/>
      <c r="H34" s="970"/>
      <c r="I34" s="775">
        <f>$E$21*$F$8*'Traffic Data'!AK10*annualizationFactor</f>
        <v>3.15293132</v>
      </c>
      <c r="J34" s="775">
        <f>$E$21*$F$8*'Traffic Data'!AL10*annualizationFactor</f>
        <v>3.4969555386534998</v>
      </c>
      <c r="K34" s="775">
        <f>$E$21*$F$8*'Traffic Data'!AM10*annualizationFactor</f>
        <v>3.8602756969853989</v>
      </c>
      <c r="L34" s="775">
        <f>$E$21*$F$8*'Traffic Data'!AN10*annualizationFactor</f>
        <v>4.9848711225312998</v>
      </c>
      <c r="M34" s="775">
        <f>$E$21*$F$8*'Traffic Data'!AO10*annualizationFactor</f>
        <v>6.1100340757147986</v>
      </c>
      <c r="N34" s="775">
        <f>$E$21*$F$8*'Traffic Data'!AP10*annualizationFactor</f>
        <v>7.2354965573736996</v>
      </c>
      <c r="O34" s="775">
        <f>$E$21*$F$8*'Traffic Data'!AQ10*annualizationFactor</f>
        <v>8.3600919829195988</v>
      </c>
      <c r="P34" s="775">
        <f>$E$21*$F$8*'Traffic Data'!AR10*annualizationFactor</f>
        <v>9.4862402271406001</v>
      </c>
      <c r="Q34" s="775">
        <f>$E$21*$F$8*'Traffic Data'!AS10*annualizationFactor</f>
        <v>10.997440208816597</v>
      </c>
      <c r="R34" s="775">
        <f>$E$21*$F$8*'Traffic Data'!AT10*annualizationFactor</f>
        <v>12.509310188398098</v>
      </c>
      <c r="S34" s="775">
        <f>$E$21*$F$8*'Traffic Data'!AU10*annualizationFactor</f>
        <v>14.020510170074099</v>
      </c>
      <c r="T34" s="775">
        <f>$E$21*$F$8*'Traffic Data'!AV10*annualizationFactor</f>
        <v>15.531710151750097</v>
      </c>
      <c r="U34" s="775">
        <f>$E$21*$F$8*'Traffic Data'!AW10*annualizationFactor</f>
        <v>17.044880715501105</v>
      </c>
      <c r="V34" s="775">
        <f>$E$21*$F$8*'Traffic Data'!AX10*annualizationFactor</f>
        <v>17.7938201389256</v>
      </c>
      <c r="W34" s="775">
        <f>$E$21*$F$8*'Traffic Data'!AY10*annualizationFactor</f>
        <v>18.137844357579098</v>
      </c>
      <c r="X34" s="775">
        <f>$E$21*$F$8*'Traffic Data'!AZ10*annualizationFactor</f>
        <v>18.4818685762326</v>
      </c>
      <c r="Y34" s="775">
        <f>$E$21*$F$8*'Traffic Data'!BA10*annualizationFactor</f>
        <v>18.825892794886098</v>
      </c>
      <c r="Z34" s="775">
        <f>$E$21*$F$8*'Traffic Data'!BB10*annualizationFactor</f>
        <v>19.170468776520597</v>
      </c>
      <c r="AA34" s="775">
        <f>$E$21*$F$8*'Traffic Data'!BC10*annualizationFactor</f>
        <v>19.514492995174095</v>
      </c>
      <c r="AB34" s="775">
        <f>$E$21*$F$8*'Traffic Data'!BD10*annualizationFactor</f>
        <v>19.859068976808597</v>
      </c>
      <c r="AC34" s="775">
        <f>$E$21*$F$8*'Traffic Data'!BE10*annualizationFactor</f>
        <v>20.203093195462102</v>
      </c>
      <c r="AD34" s="775">
        <f>$E$21*$F$8*'Traffic Data'!BF10*annualizationFactor</f>
        <v>20.547117414115601</v>
      </c>
      <c r="AE34" s="775">
        <f>$E$21*$F$8*'Traffic Data'!BG10*annualizationFactor</f>
        <v>20.891693395750103</v>
      </c>
      <c r="AF34" s="775">
        <f>$E$21*$F$8*'Traffic Data'!BH10*annualizationFactor</f>
        <v>21.235717614403598</v>
      </c>
      <c r="AG34" s="775">
        <f>$E$21*$F$8*'Traffic Data'!BI10*annualizationFactor</f>
        <v>21.579741833057096</v>
      </c>
      <c r="AH34" s="776">
        <f>$E$21*$F$8*'Traffic Data'!BJ10*annualizationFactor</f>
        <v>21.924317814691598</v>
      </c>
      <c r="AI34" s="40"/>
      <c r="AJ34" s="40"/>
      <c r="AK34" s="40"/>
      <c r="AL34" s="40"/>
      <c r="AM34" s="40"/>
    </row>
    <row r="35" spans="2:39" ht="21.95" customHeight="1" x14ac:dyDescent="0.2">
      <c r="B35" s="1346"/>
      <c r="C35" s="116" t="s">
        <v>335</v>
      </c>
      <c r="D35" s="116" t="s">
        <v>323</v>
      </c>
      <c r="E35" s="116" t="s">
        <v>19</v>
      </c>
      <c r="F35" s="116" t="s">
        <v>43</v>
      </c>
      <c r="G35" s="970"/>
      <c r="H35" s="970"/>
      <c r="I35" s="777">
        <f>$E$21*$F$8*'Traffic Data'!AK11*annualizationFactor</f>
        <v>0.36520439999999998</v>
      </c>
      <c r="J35" s="777">
        <f>$E$21*$F$8*'Traffic Data'!AL11*annualizationFactor</f>
        <v>0.41373397802</v>
      </c>
      <c r="K35" s="777">
        <f>$E$21*$F$8*'Traffic Data'!AM11*annualizationFactor</f>
        <v>0.46229398974000002</v>
      </c>
      <c r="L35" s="777">
        <f>$E$21*$F$8*'Traffic Data'!AN11*annualizationFactor</f>
        <v>0.62659336255999998</v>
      </c>
      <c r="M35" s="777">
        <f>$E$21*$F$8*'Traffic Data'!AO11*annualizationFactor</f>
        <v>0.79092621244999994</v>
      </c>
      <c r="N35" s="777">
        <f>$E$21*$F$8*'Traffic Data'!AP11*annualizationFactor</f>
        <v>0.95540818747000011</v>
      </c>
      <c r="O35" s="777">
        <f>$E$21*$F$8*'Traffic Data'!AQ11*annualizationFactor</f>
        <v>1.11970756029</v>
      </c>
      <c r="P35" s="777">
        <f>$E$21*$F$8*'Traffic Data'!AR11*annualizationFactor</f>
        <v>1.28416214498</v>
      </c>
      <c r="Q35" s="777">
        <f>$E$21*$F$8*'Traffic Data'!AS11*annualizationFactor</f>
        <v>1.5366735972499999</v>
      </c>
      <c r="R35" s="777">
        <f>$E$21*$F$8*'Traffic Data'!AT11*annualizationFactor</f>
        <v>1.78915765919</v>
      </c>
      <c r="S35" s="777">
        <f>$E$21*$F$8*'Traffic Data'!AU11*annualizationFactor</f>
        <v>2.0416660680900001</v>
      </c>
      <c r="T35" s="777">
        <f>$E$21*$F$8*'Traffic Data'!AV11*annualizationFactor</f>
        <v>2.2941775203599999</v>
      </c>
      <c r="U35" s="777">
        <f>$E$21*$F$8*'Traffic Data'!AW11*annualizationFactor</f>
        <v>2.5469354856000002</v>
      </c>
      <c r="V35" s="777">
        <f>$E$21*$F$8*'Traffic Data'!AX11*annualizationFactor</f>
        <v>2.6835827986000003</v>
      </c>
      <c r="W35" s="777">
        <f>$E$21*$F$8*'Traffic Data'!AY11*annualizationFactor</f>
        <v>2.7321123766199999</v>
      </c>
      <c r="X35" s="777">
        <f>$E$21*$F$8*'Traffic Data'!AZ11*annualizationFactor</f>
        <v>2.7806419546400001</v>
      </c>
      <c r="Y35" s="777">
        <f>$E$21*$F$8*'Traffic Data'!BA11*annualizationFactor</f>
        <v>2.8291715326600007</v>
      </c>
      <c r="Z35" s="777">
        <f>$E$21*$F$8*'Traffic Data'!BB11*annualizationFactor</f>
        <v>2.8777315443800005</v>
      </c>
      <c r="AA35" s="777">
        <f>$E$21*$F$8*'Traffic Data'!BC11*annualizationFactor</f>
        <v>2.9262611223999997</v>
      </c>
      <c r="AB35" s="777">
        <f>$E$21*$F$8*'Traffic Data'!BD11*annualizationFactor</f>
        <v>2.9748211341199999</v>
      </c>
      <c r="AC35" s="777">
        <f>$E$21*$F$8*'Traffic Data'!BE11*annualizationFactor</f>
        <v>3.0233507121399996</v>
      </c>
      <c r="AD35" s="777">
        <f>$E$21*$F$8*'Traffic Data'!BF11*annualizationFactor</f>
        <v>3.0718802901599997</v>
      </c>
      <c r="AE35" s="777">
        <f>$E$21*$F$8*'Traffic Data'!BG11*annualizationFactor</f>
        <v>3.1204403018800004</v>
      </c>
      <c r="AF35" s="777">
        <f>$E$21*$F$8*'Traffic Data'!BH11*annualizationFactor</f>
        <v>3.1689698799000006</v>
      </c>
      <c r="AG35" s="777">
        <f>$E$21*$F$8*'Traffic Data'!BI11*annualizationFactor</f>
        <v>3.2174994579199998</v>
      </c>
      <c r="AH35" s="778">
        <f>$E$21*$F$8*'Traffic Data'!BJ11*annualizationFactor</f>
        <v>3.2660594696399996</v>
      </c>
      <c r="AI35" s="40"/>
      <c r="AJ35" s="40"/>
      <c r="AK35" s="40"/>
      <c r="AL35" s="40"/>
      <c r="AM35" s="40"/>
    </row>
    <row r="36" spans="2:39" ht="21.95" customHeight="1" x14ac:dyDescent="0.2">
      <c r="B36" s="1346"/>
      <c r="C36" s="254" t="s">
        <v>323</v>
      </c>
      <c r="D36" s="254" t="s">
        <v>338</v>
      </c>
      <c r="E36" s="116" t="s">
        <v>19</v>
      </c>
      <c r="F36" s="116" t="s">
        <v>43</v>
      </c>
      <c r="G36" s="970"/>
      <c r="H36" s="970"/>
      <c r="I36" s="777">
        <f>$E$21*$F$8*'Traffic Data'!AK12*annualizationFactor</f>
        <v>4.8937389600000003</v>
      </c>
      <c r="J36" s="777">
        <f>$E$21*$F$8*'Traffic Data'!AL12*annualizationFactor</f>
        <v>5.0752395817947997</v>
      </c>
      <c r="K36" s="777">
        <f>$E$21*$F$8*'Traffic Data'!AM12*annualizationFactor</f>
        <v>5.2568543908319993</v>
      </c>
      <c r="L36" s="777">
        <f>$E$21*$F$8*'Traffic Data'!AN12*annualizationFactor</f>
        <v>5.6095543139107997</v>
      </c>
      <c r="M36" s="777">
        <f>$E$21*$F$8*'Traffic Data'!AO12*annualizationFactor</f>
        <v>5.9624581427796004</v>
      </c>
      <c r="N36" s="777">
        <f>$E$21*$F$8*'Traffic Data'!AP12*annualizationFactor</f>
        <v>6.315272253100801</v>
      </c>
      <c r="O36" s="777">
        <f>$E$21*$F$8*'Traffic Data'!AQ12*annualizationFactor</f>
        <v>6.6679721761796005</v>
      </c>
      <c r="P36" s="777">
        <f>$E$21*$F$8*'Traffic Data'!AR12*annualizationFactor</f>
        <v>7.021047285912001</v>
      </c>
      <c r="Q36" s="777">
        <f>$E$21*$F$8*'Traffic Data'!AS12*annualizationFactor</f>
        <v>7.5110165868188004</v>
      </c>
      <c r="R36" s="777">
        <f>$E$21*$F$8*'Traffic Data'!AT12*annualizationFactor</f>
        <v>8.0012468871367997</v>
      </c>
      <c r="S36" s="777">
        <f>$E$21*$F$8*'Traffic Data'!AU12*annualizationFactor</f>
        <v>8.4911264694959989</v>
      </c>
      <c r="T36" s="777">
        <f>$E$21*$F$8*'Traffic Data'!AV12*annualizationFactor</f>
        <v>8.9810957704028009</v>
      </c>
      <c r="U36" s="777">
        <f>$E$21*$F$8*'Traffic Data'!AW12*annualizationFactor</f>
        <v>9.4714973515844019</v>
      </c>
      <c r="V36" s="777">
        <f>$E$21*$F$8*'Traffic Data'!AX12*annualizationFactor</f>
        <v>9.7901205390384014</v>
      </c>
      <c r="W36" s="777">
        <f>$E$21*$F$8*'Traffic Data'!AY12*annualizationFactor</f>
        <v>9.9716211608332017</v>
      </c>
      <c r="X36" s="777">
        <f>$E$21*$F$8*'Traffic Data'!AZ12*annualizationFactor</f>
        <v>10.153121782628</v>
      </c>
      <c r="Y36" s="777">
        <f>$E$21*$F$8*'Traffic Data'!BA12*annualizationFactor</f>
        <v>10.334622404422801</v>
      </c>
      <c r="Z36" s="777">
        <f>$E$21*$F$8*'Traffic Data'!BB12*annualizationFactor</f>
        <v>10.516237213460004</v>
      </c>
      <c r="AA36" s="777">
        <f>$E$21*$F$8*'Traffic Data'!BC12*annualizationFactor</f>
        <v>10.697737835254799</v>
      </c>
      <c r="AB36" s="777">
        <f>$E$21*$F$8*'Traffic Data'!BD12*annualizationFactor</f>
        <v>10.879352644292002</v>
      </c>
      <c r="AC36" s="777">
        <f>$E$21*$F$8*'Traffic Data'!BE12*annualizationFactor</f>
        <v>11.060853266086802</v>
      </c>
      <c r="AD36" s="777">
        <f>$E$21*$F$8*'Traffic Data'!BF12*annualizationFactor</f>
        <v>11.242353887881603</v>
      </c>
      <c r="AE36" s="777">
        <f>$E$21*$F$8*'Traffic Data'!BG12*annualizationFactor</f>
        <v>11.4239686969188</v>
      </c>
      <c r="AF36" s="777">
        <f>$E$21*$F$8*'Traffic Data'!BH12*annualizationFactor</f>
        <v>11.605469318713601</v>
      </c>
      <c r="AG36" s="777">
        <f>$E$21*$F$8*'Traffic Data'!BI12*annualizationFactor</f>
        <v>11.786969940508401</v>
      </c>
      <c r="AH36" s="778">
        <f>$E$21*$F$8*'Traffic Data'!BJ12*annualizationFactor</f>
        <v>11.968584749545601</v>
      </c>
      <c r="AI36" s="40"/>
      <c r="AJ36" s="40"/>
      <c r="AK36" s="40"/>
      <c r="AL36" s="40"/>
      <c r="AM36" s="40"/>
    </row>
    <row r="37" spans="2:39" ht="21.95" customHeight="1" x14ac:dyDescent="0.2">
      <c r="B37" s="492" t="s">
        <v>339</v>
      </c>
      <c r="C37" s="116" t="s">
        <v>335</v>
      </c>
      <c r="D37" s="116" t="s">
        <v>323</v>
      </c>
      <c r="E37" s="277" t="s">
        <v>19</v>
      </c>
      <c r="F37" s="277" t="s">
        <v>43</v>
      </c>
      <c r="G37" s="780"/>
      <c r="H37" s="780"/>
      <c r="I37" s="780">
        <f>$E$21*$G$8*'Traffic Data'!AK13*annualizationFactor</f>
        <v>1.4303839E-2</v>
      </c>
      <c r="J37" s="780">
        <f>$E$21*$G$8*'Traffic Data'!AL13*annualizationFactor</f>
        <v>2.3157915340999997E-2</v>
      </c>
      <c r="K37" s="780">
        <f>$E$21*$G$8*'Traffic Data'!AM13*annualizationFactor</f>
        <v>6.606943234099999E-2</v>
      </c>
      <c r="L37" s="780">
        <f>$E$21*$G$8*'Traffic Data'!AN13*annualizationFactor</f>
        <v>0.13969129167399999</v>
      </c>
      <c r="M37" s="780">
        <f>$E$21*$G$8*'Traffic Data'!AO13*annualizationFactor</f>
        <v>0.21337036636300002</v>
      </c>
      <c r="N37" s="780">
        <f>$E$21*$G$8*'Traffic Data'!AP13*annualizationFactor</f>
        <v>0.28702083337400008</v>
      </c>
      <c r="O37" s="780">
        <f>$E$21*$G$8*'Traffic Data'!AQ13*annualizationFactor</f>
        <v>0.360642692707</v>
      </c>
      <c r="P37" s="780">
        <f>$E$21*$G$8*'Traffic Data'!AR13*annualizationFactor</f>
        <v>0.43437898275200004</v>
      </c>
      <c r="Q37" s="780">
        <f>$E$21*$G$8*'Traffic Data'!AS13*annualizationFactor</f>
        <v>0.47398631294300003</v>
      </c>
      <c r="R37" s="780">
        <f>$E$21*$G$8*'Traffic Data'!AT13*annualizationFactor</f>
        <v>0.51365085849000003</v>
      </c>
      <c r="S37" s="780">
        <f>$E$21*$G$8*'Traffic Data'!AU13*annualizationFactor</f>
        <v>0.55327249251999999</v>
      </c>
      <c r="T37" s="780">
        <f>$E$21*$G$8*'Traffic Data'!AV13*annualizationFactor</f>
        <v>0.59287982271100004</v>
      </c>
      <c r="U37" s="780">
        <f>$E$21*$G$8*'Traffic Data'!AW13*annualizationFactor</f>
        <v>0.63258727977500007</v>
      </c>
      <c r="V37" s="780">
        <f>$E$21*$G$8*'Traffic Data'!AX13*annualizationFactor</f>
        <v>0.64144135611599984</v>
      </c>
      <c r="W37" s="780">
        <f>$E$21*$G$8*'Traffic Data'!AY13*annualizationFactor</f>
        <v>0.65029543245699994</v>
      </c>
      <c r="X37" s="780">
        <f>$E$21*$G$8*'Traffic Data'!AZ13*annualizationFactor</f>
        <v>0.65914950879799983</v>
      </c>
      <c r="Y37" s="780">
        <f>$E$21*$G$8*'Traffic Data'!BA13*annualizationFactor</f>
        <v>0.66800358513900004</v>
      </c>
      <c r="Z37" s="780">
        <f>$E$21*$G$8*'Traffic Data'!BB13*annualizationFactor</f>
        <v>0.67690057299700002</v>
      </c>
      <c r="AA37" s="780">
        <f>$E$21*$G$8*'Traffic Data'!BC13*annualizationFactor</f>
        <v>0.68575464933800001</v>
      </c>
      <c r="AB37" s="780">
        <f>$E$21*$G$8*'Traffic Data'!BD13*annualizationFactor</f>
        <v>0.69465163719599987</v>
      </c>
      <c r="AC37" s="780">
        <f>$E$21*$G$8*'Traffic Data'!BE13*annualizationFactor</f>
        <v>0.70350571353699987</v>
      </c>
      <c r="AD37" s="780">
        <f>$E$21*$G$8*'Traffic Data'!BF13*annualizationFactor</f>
        <v>0.71235978987799997</v>
      </c>
      <c r="AE37" s="780">
        <f>$E$21*$G$8*'Traffic Data'!BG13*annualizationFactor</f>
        <v>0.72125677773600005</v>
      </c>
      <c r="AF37" s="780">
        <f>$E$21*$G$8*'Traffic Data'!BH13*annualizationFactor</f>
        <v>0.73011085407699994</v>
      </c>
      <c r="AG37" s="780">
        <f>$E$21*$G$8*'Traffic Data'!BI13*annualizationFactor</f>
        <v>0.73896493041799993</v>
      </c>
      <c r="AH37" s="781">
        <f>$E$21*$G$8*'Traffic Data'!BJ13*annualizationFactor</f>
        <v>0.74786191827600013</v>
      </c>
      <c r="AI37" s="40"/>
      <c r="AJ37" s="40"/>
      <c r="AK37" s="40"/>
      <c r="AL37" s="40"/>
      <c r="AM37" s="40"/>
    </row>
    <row r="38" spans="2:39" ht="21.95" customHeight="1" x14ac:dyDescent="0.2">
      <c r="B38" s="1346" t="s">
        <v>323</v>
      </c>
      <c r="C38" s="220" t="s">
        <v>282</v>
      </c>
      <c r="D38" s="220" t="s">
        <v>339</v>
      </c>
      <c r="E38" s="116" t="s">
        <v>19</v>
      </c>
      <c r="F38" s="116" t="s">
        <v>43</v>
      </c>
      <c r="G38" s="970"/>
      <c r="H38" s="970"/>
      <c r="I38" s="777">
        <f>$E$21*$H$8*'Traffic Data'!AK14*annualizationFactor</f>
        <v>4.1085495E-2</v>
      </c>
      <c r="J38" s="777">
        <f>$E$21*$H$8*'Traffic Data'!AL14*annualizationFactor</f>
        <v>4.1085495E-2</v>
      </c>
      <c r="K38" s="777">
        <f>$E$21*$H$8*'Traffic Data'!AM14*annualizationFactor</f>
        <v>0.48074137699500002</v>
      </c>
      <c r="L38" s="777">
        <f>$E$21*$H$8*'Traffic Data'!AN14*annualizationFactor</f>
        <v>0.92039725899000013</v>
      </c>
      <c r="M38" s="777">
        <f>$E$21*$H$8*'Traffic Data'!AO14*annualizationFactor</f>
        <v>1.3604229104400003</v>
      </c>
      <c r="N38" s="777">
        <f>$E$21*$H$8*'Traffic Data'!AP14*annualizationFactor</f>
        <v>1.8000787924350001</v>
      </c>
      <c r="O38" s="777">
        <f>$E$21*$H$8*'Traffic Data'!AQ14*annualizationFactor</f>
        <v>2.2397346744300002</v>
      </c>
      <c r="P38" s="777">
        <f>$E$21*$H$8*'Traffic Data'!AR14*annualizationFactor</f>
        <v>2.6797603258800002</v>
      </c>
      <c r="Q38" s="777">
        <f>$E$21*$H$8*'Traffic Data'!AS14*annualizationFactor</f>
        <v>2.6797603258800002</v>
      </c>
      <c r="R38" s="777">
        <f>$E$21*$H$8*'Traffic Data'!AT14*annualizationFactor</f>
        <v>2.6797603258800002</v>
      </c>
      <c r="S38" s="777">
        <f>$E$21*$H$8*'Traffic Data'!AU14*annualizationFactor</f>
        <v>2.6797603258800002</v>
      </c>
      <c r="T38" s="777">
        <f>$E$21*$H$8*'Traffic Data'!AV14*annualizationFactor</f>
        <v>2.6797603258800002</v>
      </c>
      <c r="U38" s="777">
        <f>$E$21*$H$8*'Traffic Data'!AW14*annualizationFactor</f>
        <v>2.6797603258800002</v>
      </c>
      <c r="V38" s="777">
        <f>$E$21*$H$8*'Traffic Data'!AX14*annualizationFactor</f>
        <v>2.6797603258800002</v>
      </c>
      <c r="W38" s="777">
        <f>$E$21*$H$8*'Traffic Data'!AY14*annualizationFactor</f>
        <v>2.6797603258800002</v>
      </c>
      <c r="X38" s="777">
        <f>$E$21*$H$8*'Traffic Data'!AZ14*annualizationFactor</f>
        <v>2.6797603258800002</v>
      </c>
      <c r="Y38" s="777">
        <f>$E$21*$H$8*'Traffic Data'!BA14*annualizationFactor</f>
        <v>2.6797603258800002</v>
      </c>
      <c r="Z38" s="777">
        <f>$E$21*$H$8*'Traffic Data'!BB14*annualizationFactor</f>
        <v>2.6797603258800002</v>
      </c>
      <c r="AA38" s="777">
        <f>$E$21*$H$8*'Traffic Data'!BC14*annualizationFactor</f>
        <v>2.6797603258800002</v>
      </c>
      <c r="AB38" s="777">
        <f>$E$21*$H$8*'Traffic Data'!BD14*annualizationFactor</f>
        <v>2.6797603258800002</v>
      </c>
      <c r="AC38" s="777">
        <f>$E$21*$H$8*'Traffic Data'!BE14*annualizationFactor</f>
        <v>2.6797603258800002</v>
      </c>
      <c r="AD38" s="777">
        <f>$E$21*$H$8*'Traffic Data'!BF14*annualizationFactor</f>
        <v>2.6797603258800002</v>
      </c>
      <c r="AE38" s="777">
        <f>$E$21*$H$8*'Traffic Data'!BG14*annualizationFactor</f>
        <v>2.6797603258800002</v>
      </c>
      <c r="AF38" s="777">
        <f>$E$21*$H$8*'Traffic Data'!BH14*annualizationFactor</f>
        <v>2.6797603258800002</v>
      </c>
      <c r="AG38" s="777">
        <f>$E$21*$H$8*'Traffic Data'!BI14*annualizationFactor</f>
        <v>2.6797603258800002</v>
      </c>
      <c r="AH38" s="778">
        <f>$E$21*$H$8*'Traffic Data'!BJ14*annualizationFactor</f>
        <v>2.6797603258800002</v>
      </c>
      <c r="AI38" s="40"/>
      <c r="AJ38" s="40"/>
      <c r="AK38" s="40"/>
      <c r="AL38" s="40"/>
      <c r="AM38" s="40"/>
    </row>
    <row r="39" spans="2:39" ht="21.95" customHeight="1" x14ac:dyDescent="0.2">
      <c r="B39" s="1346"/>
      <c r="C39" s="116" t="s">
        <v>339</v>
      </c>
      <c r="D39" s="116" t="s">
        <v>288</v>
      </c>
      <c r="E39" s="116" t="s">
        <v>19</v>
      </c>
      <c r="F39" s="116" t="s">
        <v>43</v>
      </c>
      <c r="G39" s="970"/>
      <c r="H39" s="970"/>
      <c r="I39" s="777">
        <f>$E$21*$H$8*'Traffic Data'!AK15*annualizationFactor</f>
        <v>1.8747159200000002E-2</v>
      </c>
      <c r="J39" s="777">
        <f>$E$21*$H$8*'Traffic Data'!AL15*annualizationFactor</f>
        <v>3.5619602479999998E-2</v>
      </c>
      <c r="K39" s="777">
        <f>$E$21*$H$8*'Traffic Data'!AM15*annualizationFactor</f>
        <v>5.2492045760000001E-2</v>
      </c>
      <c r="L39" s="777">
        <f>$E$21*$H$8*'Traffic Data'!AN15*annualizationFactor</f>
        <v>0.1141872424</v>
      </c>
      <c r="M39" s="777">
        <f>$E$21*$H$8*'Traffic Data'!AO15*annualizationFactor</f>
        <v>0.17579722468000003</v>
      </c>
      <c r="N39" s="777">
        <f>$E$21*$H$8*'Traffic Data'!AP15*annualizationFactor</f>
        <v>0.23757763568000004</v>
      </c>
      <c r="O39" s="777">
        <f>$E$21*$H$8*'Traffic Data'!AQ15*annualizationFactor</f>
        <v>0.29927283232000002</v>
      </c>
      <c r="P39" s="777">
        <f>$E$21*$H$8*'Traffic Data'!AR15*annualizationFactor</f>
        <v>0.36096802896000002</v>
      </c>
      <c r="Q39" s="777">
        <f>$E$21*$H$8*'Traffic Data'!AS15*annualizationFactor</f>
        <v>0.46825290820000004</v>
      </c>
      <c r="R39" s="777">
        <f>$E$21*$H$8*'Traffic Data'!AT15*annualizationFactor</f>
        <v>0.57545257308000008</v>
      </c>
      <c r="S39" s="777">
        <f>$E$21*$H$8*'Traffic Data'!AU15*annualizationFactor</f>
        <v>0.68265223796000007</v>
      </c>
      <c r="T39" s="777">
        <f>$E$21*$H$8*'Traffic Data'!AV15*annualizationFactor</f>
        <v>0.78993711720000015</v>
      </c>
      <c r="U39" s="777">
        <f>$E$21*$H$8*'Traffic Data'!AW15*annualizationFactor</f>
        <v>0.89722199644000011</v>
      </c>
      <c r="V39" s="777">
        <f>$E$21*$H$8*'Traffic Data'!AX15*annualizationFactor</f>
        <v>0.95968412232000011</v>
      </c>
      <c r="W39" s="777">
        <f>$E$21*$H$8*'Traffic Data'!AY15*annualizationFactor</f>
        <v>0.97647135124000006</v>
      </c>
      <c r="X39" s="777">
        <f>$E$21*$H$8*'Traffic Data'!AZ15*annualizationFactor</f>
        <v>0.9933437945200001</v>
      </c>
      <c r="Y39" s="777">
        <f>$E$21*$H$8*'Traffic Data'!BA15*annualizationFactor</f>
        <v>1.0102162377999999</v>
      </c>
      <c r="Z39" s="777">
        <f>$E$21*$H$8*'Traffic Data'!BB15*annualizationFactor</f>
        <v>1.02708868108</v>
      </c>
      <c r="AA39" s="777">
        <f>$E$21*$H$8*'Traffic Data'!BC15*annualizationFactor</f>
        <v>1.04396112436</v>
      </c>
      <c r="AB39" s="777">
        <f>$E$21*$H$8*'Traffic Data'!BD15*annualizationFactor</f>
        <v>1.06083356764</v>
      </c>
      <c r="AC39" s="777">
        <f>$E$21*$H$8*'Traffic Data'!BE15*annualizationFactor</f>
        <v>1.0777060109200001</v>
      </c>
      <c r="AD39" s="777">
        <f>$E$21*$H$8*'Traffic Data'!BF15*annualizationFactor</f>
        <v>1.0945784542000001</v>
      </c>
      <c r="AE39" s="777">
        <f>$E$21*$H$8*'Traffic Data'!BG15*annualizationFactor</f>
        <v>1.1113656831200001</v>
      </c>
      <c r="AF39" s="777">
        <f>$E$21*$H$8*'Traffic Data'!BH15*annualizationFactor</f>
        <v>1.1282381264000001</v>
      </c>
      <c r="AG39" s="777">
        <f>$E$21*$H$8*'Traffic Data'!BI15*annualizationFactor</f>
        <v>1.1451105696800001</v>
      </c>
      <c r="AH39" s="778">
        <f>$E$21*$H$8*'Traffic Data'!BJ15*annualizationFactor</f>
        <v>1.16198301296</v>
      </c>
      <c r="AI39" s="40"/>
      <c r="AJ39" s="40"/>
      <c r="AK39" s="40"/>
      <c r="AL39" s="40"/>
      <c r="AM39" s="40"/>
    </row>
    <row r="40" spans="2:39" ht="21.95" customHeight="1" x14ac:dyDescent="0.2">
      <c r="B40" s="1346"/>
      <c r="C40" s="116" t="s">
        <v>288</v>
      </c>
      <c r="D40" s="116" t="s">
        <v>340</v>
      </c>
      <c r="E40" s="116" t="s">
        <v>19</v>
      </c>
      <c r="F40" s="116" t="s">
        <v>43</v>
      </c>
      <c r="G40" s="970"/>
      <c r="H40" s="970"/>
      <c r="I40" s="777">
        <f>$E$21*$H$8*'Traffic Data'!AK16*annualizationFactor</f>
        <v>6.6649802999999994E-2</v>
      </c>
      <c r="J40" s="777">
        <f>$E$21*$H$8*'Traffic Data'!AL16*annualizationFactor</f>
        <v>0.12660574411869999</v>
      </c>
      <c r="K40" s="777">
        <f>$E$21*$H$8*'Traffic Data'!AM16*annualizationFactor</f>
        <v>0.18654169029650003</v>
      </c>
      <c r="L40" s="777">
        <f>$E$21*$H$8*'Traffic Data'!AN16*annualizationFactor</f>
        <v>0.40581287718619996</v>
      </c>
      <c r="M40" s="777">
        <f>$E$21*$H$8*'Traffic Data'!AO16*annualizationFactor</f>
        <v>0.6250929507163</v>
      </c>
      <c r="N40" s="777">
        <f>$E$21*$H$8*'Traffic Data'!AP16*annualizationFactor</f>
        <v>0.84465295341900004</v>
      </c>
      <c r="O40" s="777">
        <f>$E$21*$H$8*'Traffic Data'!AQ16*annualizationFactor</f>
        <v>1.0639241403086999</v>
      </c>
      <c r="P40" s="777">
        <f>$E$21*$H$8*'Traffic Data'!AR16*annualizationFactor</f>
        <v>1.2833286268044</v>
      </c>
      <c r="Q40" s="777">
        <f>$E$21*$H$8*'Traffic Data'!AS16*annualizationFactor</f>
        <v>1.6646254847871</v>
      </c>
      <c r="R40" s="777">
        <f>$E$21*$H$8*'Traffic Data'!AT16*annualizationFactor</f>
        <v>2.0457668265628</v>
      </c>
      <c r="S40" s="777">
        <f>$E$21*$H$8*'Traffic Data'!AU16*annualizationFactor</f>
        <v>2.4270348029641995</v>
      </c>
      <c r="T40" s="777">
        <f>$E$21*$H$8*'Traffic Data'!AV16*annualizationFactor</f>
        <v>2.8083316609468998</v>
      </c>
      <c r="U40" s="777">
        <f>$E$21*$H$8*'Traffic Data'!AW16*annualizationFactor</f>
        <v>3.1899062264420994</v>
      </c>
      <c r="V40" s="777">
        <f>$E$21*$H$8*'Traffic Data'!AX16*annualizationFactor</f>
        <v>3.4117145491659997</v>
      </c>
      <c r="W40" s="777">
        <f>$E$21*$H$8*'Traffic Data'!AY16*annualizationFactor</f>
        <v>3.4716704902846995</v>
      </c>
      <c r="X40" s="777">
        <f>$E$21*$H$8*'Traffic Data'!AZ16*annualizationFactor</f>
        <v>3.5316264314033998</v>
      </c>
      <c r="Y40" s="777">
        <f>$E$21*$H$8*'Traffic Data'!BA16*annualizationFactor</f>
        <v>3.5915823725220992</v>
      </c>
      <c r="Z40" s="777">
        <f>$E$21*$H$8*'Traffic Data'!BB16*annualizationFactor</f>
        <v>3.6515183186998992</v>
      </c>
      <c r="AA40" s="777">
        <f>$E$21*$H$8*'Traffic Data'!BC16*annualizationFactor</f>
        <v>3.7114742598185999</v>
      </c>
      <c r="AB40" s="777">
        <f>$E$21*$H$8*'Traffic Data'!BD16*annualizationFactor</f>
        <v>3.7714102059963994</v>
      </c>
      <c r="AC40" s="777">
        <f>$E$21*$H$8*'Traffic Data'!BE16*annualizationFactor</f>
        <v>3.8313661471150988</v>
      </c>
      <c r="AD40" s="777">
        <f>$E$21*$H$8*'Traffic Data'!BF16*annualizationFactor</f>
        <v>3.8913220882337995</v>
      </c>
      <c r="AE40" s="777">
        <f>$E$21*$H$8*'Traffic Data'!BG16*annualizationFactor</f>
        <v>3.9512580344115995</v>
      </c>
      <c r="AF40" s="777">
        <f>$E$21*$H$8*'Traffic Data'!BH16*annualizationFactor</f>
        <v>4.0112139755303007</v>
      </c>
      <c r="AG40" s="777">
        <f>$E$21*$H$8*'Traffic Data'!BI16*annualizationFactor</f>
        <v>4.0711699166490005</v>
      </c>
      <c r="AH40" s="778">
        <f>$E$21*$H$8*'Traffic Data'!BJ16*annualizationFactor</f>
        <v>4.1311058628268</v>
      </c>
      <c r="AI40" s="40"/>
      <c r="AJ40" s="40"/>
      <c r="AK40" s="40"/>
      <c r="AL40" s="40"/>
      <c r="AM40" s="40"/>
    </row>
    <row r="41" spans="2:39" ht="21.95" customHeight="1" x14ac:dyDescent="0.2">
      <c r="B41" s="1346"/>
      <c r="C41" s="254" t="s">
        <v>340</v>
      </c>
      <c r="D41" s="254" t="s">
        <v>280</v>
      </c>
      <c r="E41" s="116" t="s">
        <v>19</v>
      </c>
      <c r="F41" s="116" t="s">
        <v>43</v>
      </c>
      <c r="G41" s="970"/>
      <c r="H41" s="970"/>
      <c r="I41" s="777">
        <f>$E$21*$H$8*'Traffic Data'!AK17*annualizationFactor</f>
        <v>9.5866154999999995E-2</v>
      </c>
      <c r="J41" s="777">
        <f>$E$21*$H$8*'Traffic Data'!AL17*annualizationFactor</f>
        <v>0.18210415249949999</v>
      </c>
      <c r="K41" s="777">
        <f>$E$21*$H$8*'Traffic Data'!AM17*annualizationFactor</f>
        <v>0.2683133901525</v>
      </c>
      <c r="L41" s="777">
        <f>$E$21*$H$8*'Traffic Data'!AN17*annualizationFactor</f>
        <v>0.58370345348700003</v>
      </c>
      <c r="M41" s="777">
        <f>$E$21*$H$8*'Traffic Data'!AO17*annualizationFactor</f>
        <v>0.89910629897549998</v>
      </c>
      <c r="N41" s="777">
        <f>$E$21*$H$8*'Traffic Data'!AP17*annualizationFactor</f>
        <v>1.2149117823150002</v>
      </c>
      <c r="O41" s="777">
        <f>$E$21*$H$8*'Traffic Data'!AQ17*annualizationFactor</f>
        <v>1.5303018456494999</v>
      </c>
      <c r="P41" s="777">
        <f>$E$21*$H$8*'Traffic Data'!AR17*annualizationFactor</f>
        <v>1.8458836412940001</v>
      </c>
      <c r="Q41" s="777">
        <f>$E$21*$H$8*'Traffic Data'!AS17*annualizationFactor</f>
        <v>2.3943243274335004</v>
      </c>
      <c r="R41" s="777">
        <f>$E$21*$H$8*'Traffic Data'!AT17*annualizationFactor</f>
        <v>2.9425413258780004</v>
      </c>
      <c r="S41" s="777">
        <f>$E$21*$H$8*'Traffic Data'!AU17*annualizationFactor</f>
        <v>3.4909404700169993</v>
      </c>
      <c r="T41" s="777">
        <f>$E$21*$H$8*'Traffic Data'!AV17*annualizationFactor</f>
        <v>4.0393811561564998</v>
      </c>
      <c r="U41" s="777">
        <f>$E$21*$H$8*'Traffic Data'!AW17*annualizationFactor</f>
        <v>4.5882212846084993</v>
      </c>
      <c r="V41" s="777">
        <f>$E$21*$H$8*'Traffic Data'!AX17*annualizationFactor</f>
        <v>4.9072606529099989</v>
      </c>
      <c r="W41" s="777">
        <f>$E$21*$H$8*'Traffic Data'!AY17*annualizationFactor</f>
        <v>4.9934986504095003</v>
      </c>
      <c r="X41" s="777">
        <f>$E$21*$H$8*'Traffic Data'!AZ17*annualizationFactor</f>
        <v>5.0797366479089998</v>
      </c>
      <c r="Y41" s="777">
        <f>$E$21*$H$8*'Traffic Data'!BA17*annualizationFactor</f>
        <v>5.1659746454084994</v>
      </c>
      <c r="Z41" s="777">
        <f>$E$21*$H$8*'Traffic Data'!BB17*annualizationFactor</f>
        <v>5.2521838830615</v>
      </c>
      <c r="AA41" s="777">
        <f>$E$21*$H$8*'Traffic Data'!BC17*annualizationFactor</f>
        <v>5.3384218805610004</v>
      </c>
      <c r="AB41" s="777">
        <f>$E$21*$H$8*'Traffic Data'!BD17*annualizationFactor</f>
        <v>5.4246311182139992</v>
      </c>
      <c r="AC41" s="777">
        <f>$E$21*$H$8*'Traffic Data'!BE17*annualizationFactor</f>
        <v>5.5108691157134988</v>
      </c>
      <c r="AD41" s="777">
        <f>$E$21*$H$8*'Traffic Data'!BF17*annualizationFactor</f>
        <v>5.5971071132130001</v>
      </c>
      <c r="AE41" s="777">
        <f>$E$21*$H$8*'Traffic Data'!BG17*annualizationFactor</f>
        <v>5.6833163508659998</v>
      </c>
      <c r="AF41" s="777">
        <f>$E$21*$H$8*'Traffic Data'!BH17*annualizationFactor</f>
        <v>5.7695543483655012</v>
      </c>
      <c r="AG41" s="777">
        <f>$E$21*$H$8*'Traffic Data'!BI17*annualizationFactor</f>
        <v>5.8557923458650007</v>
      </c>
      <c r="AH41" s="778">
        <f>$E$21*$H$8*'Traffic Data'!BJ17*annualizationFactor</f>
        <v>5.9420015835180005</v>
      </c>
      <c r="AI41" s="40"/>
      <c r="AJ41" s="40"/>
      <c r="AK41" s="40"/>
      <c r="AL41" s="40"/>
      <c r="AM41" s="40"/>
    </row>
    <row r="42" spans="2:39" ht="21.95" customHeight="1" x14ac:dyDescent="0.2">
      <c r="B42" s="1346" t="s">
        <v>334</v>
      </c>
      <c r="C42" s="116" t="s">
        <v>336</v>
      </c>
      <c r="D42" s="116" t="s">
        <v>337</v>
      </c>
      <c r="E42" s="220" t="s">
        <v>19</v>
      </c>
      <c r="F42" s="220" t="s">
        <v>43</v>
      </c>
      <c r="G42" s="775"/>
      <c r="H42" s="775"/>
      <c r="I42" s="775">
        <f>$E$21*$I$8*'Traffic Data'!AK18*annualizationFactor</f>
        <v>2.9825026000000001</v>
      </c>
      <c r="J42" s="775">
        <f>$E$21*$I$8*'Traffic Data'!AL18*annualizationFactor</f>
        <v>3.0632964650749992</v>
      </c>
      <c r="K42" s="775">
        <f>$E$21*$I$8*'Traffic Data'!AM18*annualizationFactor</f>
        <v>3.1947928743499996</v>
      </c>
      <c r="L42" s="775">
        <f>$E$21*$I$8*'Traffic Data'!AN18*annualizationFactor</f>
        <v>3.3834468155950002</v>
      </c>
      <c r="M42" s="775">
        <f>$E$21*$I$8*'Traffic Data'!AO18*annualizationFactor</f>
        <v>3.5721859712000006</v>
      </c>
      <c r="N42" s="775">
        <f>$E$21*$I$8*'Traffic Data'!AP18*annualizationFactor</f>
        <v>3.7609038232150009</v>
      </c>
      <c r="O42" s="775">
        <f>$E$21*$I$8*'Traffic Data'!AQ18*annualizationFactor</f>
        <v>3.9495577644600006</v>
      </c>
      <c r="P42" s="775">
        <f>$E$21*$I$8*'Traffic Data'!AR18*annualizationFactor</f>
        <v>4.1383714826300002</v>
      </c>
      <c r="Q42" s="775">
        <f>$E$21*$I$8*'Traffic Data'!AS18*annualizationFactor</f>
        <v>4.3062437718299993</v>
      </c>
      <c r="R42" s="775">
        <f>$E$21*$I$8*'Traffic Data'!AT18*annualizationFactor</f>
        <v>4.4741693200049992</v>
      </c>
      <c r="S42" s="775">
        <f>$E$21*$I$8*'Traffic Data'!AU18*annualizationFactor</f>
        <v>4.6420416092049992</v>
      </c>
      <c r="T42" s="775">
        <f>$E$21*$I$8*'Traffic Data'!AV18*annualizationFactor</f>
        <v>4.8099138984050001</v>
      </c>
      <c r="U42" s="775">
        <f>$E$21*$I$8*'Traffic Data'!AW18*annualizationFactor</f>
        <v>4.9779353127349992</v>
      </c>
      <c r="V42" s="775">
        <f>$E$21*$I$8*'Traffic Data'!AX18*annualizationFactor</f>
        <v>5.0885755073999999</v>
      </c>
      <c r="W42" s="775">
        <f>$E$21*$I$8*'Traffic Data'!AY18*annualizationFactor</f>
        <v>5.1693693724749989</v>
      </c>
      <c r="X42" s="775">
        <f>$E$21*$I$8*'Traffic Data'!AZ18*annualizationFactor</f>
        <v>5.2501632375499998</v>
      </c>
      <c r="Y42" s="775">
        <f>$E$21*$I$8*'Traffic Data'!BA18*annualizationFactor</f>
        <v>5.3309571026249989</v>
      </c>
      <c r="Z42" s="775">
        <f>$E$21*$I$8*'Traffic Data'!BB18*annualizationFactor</f>
        <v>5.411793574879999</v>
      </c>
      <c r="AA42" s="775">
        <f>$E$21*$I$8*'Traffic Data'!BC18*annualizationFactor</f>
        <v>5.4925874399549999</v>
      </c>
      <c r="AB42" s="775">
        <f>$E$21*$I$8*'Traffic Data'!BD18*annualizationFactor</f>
        <v>5.57342391221</v>
      </c>
      <c r="AC42" s="775">
        <f>$E$21*$I$8*'Traffic Data'!BE18*annualizationFactor</f>
        <v>5.6542177772849991</v>
      </c>
      <c r="AD42" s="775">
        <f>$E$21*$I$8*'Traffic Data'!BF18*annualizationFactor</f>
        <v>5.7350116423599999</v>
      </c>
      <c r="AE42" s="775">
        <f>$E$21*$I$8*'Traffic Data'!BG18*annualizationFactor</f>
        <v>5.8158481146149992</v>
      </c>
      <c r="AF42" s="775">
        <f>$E$21*$I$8*'Traffic Data'!BH18*annualizationFactor</f>
        <v>5.89664197969</v>
      </c>
      <c r="AG42" s="775">
        <f>$E$21*$I$8*'Traffic Data'!BI18*annualizationFactor</f>
        <v>5.9774358447649991</v>
      </c>
      <c r="AH42" s="776">
        <f>$E$21*$I$8*'Traffic Data'!BJ18*annualizationFactor</f>
        <v>6.0582723170199984</v>
      </c>
      <c r="AI42" s="40"/>
      <c r="AJ42" s="40"/>
      <c r="AK42" s="40"/>
      <c r="AL42" s="40"/>
      <c r="AM42" s="40"/>
    </row>
    <row r="43" spans="2:39" ht="21.95" customHeight="1" x14ac:dyDescent="0.2">
      <c r="B43" s="1346"/>
      <c r="C43" s="116" t="s">
        <v>337</v>
      </c>
      <c r="D43" s="116" t="s">
        <v>386</v>
      </c>
      <c r="E43" s="116" t="s">
        <v>19</v>
      </c>
      <c r="F43" s="116" t="s">
        <v>43</v>
      </c>
      <c r="G43" s="970"/>
      <c r="H43" s="970"/>
      <c r="I43" s="777">
        <f>$E$21*$I$8*'Traffic Data'!AK19*annualizationFactor</f>
        <v>4.6867897999999997</v>
      </c>
      <c r="J43" s="777">
        <f>$E$21*$I$8*'Traffic Data'!AL19*annualizationFactor</f>
        <v>4.7841472062999992</v>
      </c>
      <c r="K43" s="777">
        <f>$E$21*$I$8*'Traffic Data'!AM19*annualizationFactor</f>
        <v>5.0150781218999994</v>
      </c>
      <c r="L43" s="777">
        <f>$E$21*$I$8*'Traffic Data'!AN19*annualizationFactor</f>
        <v>5.2681647711000004</v>
      </c>
      <c r="M43" s="777">
        <f>$E$21*$I$8*'Traffic Data'!AO19*annualizationFactor</f>
        <v>5.5216774921000003</v>
      </c>
      <c r="N43" s="777">
        <f>$E$21*$I$8*'Traffic Data'!AP19*annualizationFactor</f>
        <v>5.7749771771999994</v>
      </c>
      <c r="O43" s="777">
        <f>$E$21*$I$8*'Traffic Data'!AQ19*annualizationFactor</f>
        <v>6.0280638264000004</v>
      </c>
      <c r="P43" s="777">
        <f>$E$21*$I$8*'Traffic Data'!AR19*annualizationFactor</f>
        <v>6.2815765473999994</v>
      </c>
      <c r="Q43" s="777">
        <f>$E$21*$I$8*'Traffic Data'!AS19*annualizationFactor</f>
        <v>6.4211150619000001</v>
      </c>
      <c r="R43" s="777">
        <f>$E$21*$I$8*'Traffic Data'!AT19*annualizationFactor</f>
        <v>6.560866612299999</v>
      </c>
      <c r="S43" s="777">
        <f>$E$21*$I$8*'Traffic Data'!AU19*annualizationFactor</f>
        <v>6.7004051267999998</v>
      </c>
      <c r="T43" s="777">
        <f>$E$21*$I$8*'Traffic Data'!AV19*annualizationFactor</f>
        <v>6.8401566772000004</v>
      </c>
      <c r="U43" s="777">
        <f>$E$21*$I$8*'Traffic Data'!AW19*annualizationFactor</f>
        <v>6.9796951916999994</v>
      </c>
      <c r="V43" s="777">
        <f>$E$21*$I$8*'Traffic Data'!AX19*annualizationFactor</f>
        <v>7.0970779726000002</v>
      </c>
      <c r="W43" s="777">
        <f>$E$21*$I$8*'Traffic Data'!AY19*annualizationFactor</f>
        <v>7.1984830610000001</v>
      </c>
      <c r="X43" s="777">
        <f>$E$21*$I$8*'Traffic Data'!AZ19*annualizationFactor</f>
        <v>7.3001011852999991</v>
      </c>
      <c r="Y43" s="777">
        <f>$E$21*$I$8*'Traffic Data'!BA19*annualizationFactor</f>
        <v>7.4017193095999998</v>
      </c>
      <c r="Z43" s="777">
        <f>$E$21*$I$8*'Traffic Data'!BB19*annualizationFactor</f>
        <v>7.5033374338999996</v>
      </c>
      <c r="AA43" s="777">
        <f>$E$21*$I$8*'Traffic Data'!BC19*annualizationFactor</f>
        <v>7.6049555582000004</v>
      </c>
      <c r="AB43" s="777">
        <f>$E$21*$I$8*'Traffic Data'!BD19*annualizationFactor</f>
        <v>7.7065736824999993</v>
      </c>
      <c r="AC43" s="777">
        <f>$E$21*$I$8*'Traffic Data'!BE19*annualizationFactor</f>
        <v>7.8081918067999991</v>
      </c>
      <c r="AD43" s="777">
        <f>$E$21*$I$8*'Traffic Data'!BF19*annualizationFactor</f>
        <v>7.9098099310999999</v>
      </c>
      <c r="AE43" s="777">
        <f>$E$21*$I$8*'Traffic Data'!BG19*annualizationFactor</f>
        <v>8.0114280553999997</v>
      </c>
      <c r="AF43" s="777">
        <f>$E$21*$I$8*'Traffic Data'!BH19*annualizationFactor</f>
        <v>8.1130461796999995</v>
      </c>
      <c r="AG43" s="777">
        <f>$E$21*$I$8*'Traffic Data'!BI19*annualizationFactor</f>
        <v>8.2144512680999995</v>
      </c>
      <c r="AH43" s="778">
        <f>$E$21*$I$8*'Traffic Data'!BJ19*annualizationFactor</f>
        <v>8.3160693923999993</v>
      </c>
      <c r="AI43" s="40"/>
      <c r="AJ43" s="40"/>
      <c r="AK43" s="40"/>
      <c r="AL43" s="40"/>
      <c r="AM43" s="40"/>
    </row>
    <row r="44" spans="2:39" ht="21.95" customHeight="1" x14ac:dyDescent="0.2">
      <c r="B44" s="1346"/>
      <c r="C44" s="116" t="s">
        <v>342</v>
      </c>
      <c r="D44" s="116" t="s">
        <v>341</v>
      </c>
      <c r="E44" s="116" t="s">
        <v>19</v>
      </c>
      <c r="F44" s="116" t="s">
        <v>43</v>
      </c>
      <c r="G44" s="970"/>
      <c r="H44" s="970"/>
      <c r="I44" s="777">
        <f>$E$21*$I$8*'Traffic Data'!AK20*annualizationFactor</f>
        <v>6.0928267399999996</v>
      </c>
      <c r="J44" s="777">
        <f>$E$21*$I$8*'Traffic Data'!AL20*annualizationFactor</f>
        <v>6.2193913681900002</v>
      </c>
      <c r="K44" s="777">
        <f>$E$21*$I$8*'Traffic Data'!AM20*annualizationFactor</f>
        <v>6.5196015584699989</v>
      </c>
      <c r="L44" s="777">
        <f>$E$21*$I$8*'Traffic Data'!AN20*annualizationFactor</f>
        <v>6.8486142024300003</v>
      </c>
      <c r="M44" s="777">
        <f>$E$21*$I$8*'Traffic Data'!AO20*annualizationFactor</f>
        <v>7.178180739730001</v>
      </c>
      <c r="N44" s="777">
        <f>$E$21*$I$8*'Traffic Data'!AP20*annualizationFactor</f>
        <v>7.5074703303599994</v>
      </c>
      <c r="O44" s="777">
        <f>$E$21*$I$8*'Traffic Data'!AQ20*annualizationFactor</f>
        <v>7.8364829743200008</v>
      </c>
      <c r="P44" s="777">
        <f>$E$21*$I$8*'Traffic Data'!AR20*annualizationFactor</f>
        <v>8.1660495116200007</v>
      </c>
      <c r="Q44" s="777">
        <f>$E$21*$I$8*'Traffic Data'!AS20*annualizationFactor</f>
        <v>8.3474495804700002</v>
      </c>
      <c r="R44" s="777">
        <f>$E$21*$I$8*'Traffic Data'!AT20*annualizationFactor</f>
        <v>8.5291265959899984</v>
      </c>
      <c r="S44" s="777">
        <f>$E$21*$I$8*'Traffic Data'!AU20*annualizationFactor</f>
        <v>8.7105266648399979</v>
      </c>
      <c r="T44" s="777">
        <f>$E$21*$I$8*'Traffic Data'!AV20*annualizationFactor</f>
        <v>8.8922036803599998</v>
      </c>
      <c r="U44" s="777">
        <f>$E$21*$I$8*'Traffic Data'!AW20*annualizationFactor</f>
        <v>9.0736037492099992</v>
      </c>
      <c r="V44" s="777">
        <f>$E$21*$I$8*'Traffic Data'!AX20*annualizationFactor</f>
        <v>9.2262013643800014</v>
      </c>
      <c r="W44" s="777">
        <f>$E$21*$I$8*'Traffic Data'!AY20*annualizationFactor</f>
        <v>9.3580279792999992</v>
      </c>
      <c r="X44" s="777">
        <f>$E$21*$I$8*'Traffic Data'!AZ20*annualizationFactor</f>
        <v>9.4901315408899993</v>
      </c>
      <c r="Y44" s="777">
        <f>$E$21*$I$8*'Traffic Data'!BA20*annualizationFactor</f>
        <v>9.6222351024800012</v>
      </c>
      <c r="Z44" s="777">
        <f>$E$21*$I$8*'Traffic Data'!BB20*annualizationFactor</f>
        <v>9.7543386640699996</v>
      </c>
      <c r="AA44" s="777">
        <f>$E$21*$I$8*'Traffic Data'!BC20*annualizationFactor</f>
        <v>9.8864422256599997</v>
      </c>
      <c r="AB44" s="777">
        <f>$E$21*$I$8*'Traffic Data'!BD20*annualizationFactor</f>
        <v>10.01854578725</v>
      </c>
      <c r="AC44" s="777">
        <f>$E$21*$I$8*'Traffic Data'!BE20*annualizationFactor</f>
        <v>10.15064934884</v>
      </c>
      <c r="AD44" s="777">
        <f>$E$21*$I$8*'Traffic Data'!BF20*annualizationFactor</f>
        <v>10.28275291043</v>
      </c>
      <c r="AE44" s="777">
        <f>$E$21*$I$8*'Traffic Data'!BG20*annualizationFactor</f>
        <v>10.41485647202</v>
      </c>
      <c r="AF44" s="777">
        <f>$E$21*$I$8*'Traffic Data'!BH20*annualizationFactor</f>
        <v>10.54696003361</v>
      </c>
      <c r="AG44" s="777">
        <f>$E$21*$I$8*'Traffic Data'!BI20*annualizationFactor</f>
        <v>10.67878664853</v>
      </c>
      <c r="AH44" s="778">
        <f>$E$21*$I$8*'Traffic Data'!BJ20*annualizationFactor</f>
        <v>10.81089021012</v>
      </c>
      <c r="AI44" s="40"/>
      <c r="AJ44" s="40"/>
      <c r="AK44" s="40"/>
      <c r="AL44" s="40"/>
      <c r="AM44" s="40"/>
    </row>
    <row r="45" spans="2:39" ht="21.95" customHeight="1" x14ac:dyDescent="0.2">
      <c r="B45" s="1346"/>
      <c r="C45" s="116" t="s">
        <v>341</v>
      </c>
      <c r="D45" s="116" t="s">
        <v>344</v>
      </c>
      <c r="E45" s="116" t="s">
        <v>19</v>
      </c>
      <c r="F45" s="116" t="s">
        <v>43</v>
      </c>
      <c r="G45" s="970"/>
      <c r="H45" s="970"/>
      <c r="I45" s="777">
        <f>$E$21*$I$8*'Traffic Data'!AK21*annualizationFactor</f>
        <v>6.7574987479999997</v>
      </c>
      <c r="J45" s="777">
        <f>$E$21*$I$8*'Traffic Data'!AL21*annualizationFactor</f>
        <v>6.9040844900719991</v>
      </c>
      <c r="K45" s="777">
        <f>$E$21*$I$8*'Traffic Data'!AM21*annualizationFactor</f>
        <v>7.237281159108</v>
      </c>
      <c r="L45" s="777">
        <f>$E$21*$I$8*'Traffic Data'!AN21*annualizationFactor</f>
        <v>7.6027058990960006</v>
      </c>
      <c r="M45" s="777">
        <f>$E$21*$I$8*'Traffic Data'!AO21*annualizationFactor</f>
        <v>7.9683905428819983</v>
      </c>
      <c r="N45" s="777">
        <f>$E$21*$I$8*'Traffic Data'!AP21*annualizationFactor</f>
        <v>8.333815282869999</v>
      </c>
      <c r="O45" s="777">
        <f>$E$21*$I$8*'Traffic Data'!AQ21*annualizationFactor</f>
        <v>8.6992400228579996</v>
      </c>
      <c r="P45" s="777">
        <f>$E$21*$I$8*'Traffic Data'!AR21*annualizationFactor</f>
        <v>9.064924666644</v>
      </c>
      <c r="Q45" s="777">
        <f>$E$21*$I$8*'Traffic Data'!AS21*annualizationFactor</f>
        <v>9.2666100138919987</v>
      </c>
      <c r="R45" s="777">
        <f>$E$21*$I$8*'Traffic Data'!AT21*annualizationFactor</f>
        <v>9.4680354573419994</v>
      </c>
      <c r="S45" s="777">
        <f>$E$21*$I$8*'Traffic Data'!AU21*annualizationFactor</f>
        <v>9.6697208045899981</v>
      </c>
      <c r="T45" s="777">
        <f>$E$21*$I$8*'Traffic Data'!AV21*annualizationFactor</f>
        <v>9.8711462480399987</v>
      </c>
      <c r="U45" s="777">
        <f>$E$21*$I$8*'Traffic Data'!AW21*annualizationFactor</f>
        <v>10.072831595287999</v>
      </c>
      <c r="V45" s="777">
        <f>$E$21*$I$8*'Traffic Data'!AX21*annualizationFactor</f>
        <v>10.241769063988</v>
      </c>
      <c r="W45" s="777">
        <f>$E$21*$I$8*'Traffic Data'!AY21*annualizationFactor</f>
        <v>10.388354806060001</v>
      </c>
      <c r="X45" s="777">
        <f>$E$21*$I$8*'Traffic Data'!AZ21*annualizationFactor</f>
        <v>10.535200451929999</v>
      </c>
      <c r="Y45" s="777">
        <f>$E$21*$I$8*'Traffic Data'!BA21*annualizationFactor</f>
        <v>10.681786194001999</v>
      </c>
      <c r="Z45" s="777">
        <f>$E$21*$I$8*'Traffic Data'!BB21*annualizationFactor</f>
        <v>10.828371936073999</v>
      </c>
      <c r="AA45" s="777">
        <f>$E$21*$I$8*'Traffic Data'!BC21*annualizationFactor</f>
        <v>10.974957678146</v>
      </c>
      <c r="AB45" s="777">
        <f>$E$21*$I$8*'Traffic Data'!BD21*annualizationFactor</f>
        <v>11.121543420217998</v>
      </c>
      <c r="AC45" s="777">
        <f>$E$21*$I$8*'Traffic Data'!BE21*annualizationFactor</f>
        <v>11.268129162289998</v>
      </c>
      <c r="AD45" s="777">
        <f>$E$21*$I$8*'Traffic Data'!BF21*annualizationFactor</f>
        <v>11.414714904362</v>
      </c>
      <c r="AE45" s="777">
        <f>$E$21*$I$8*'Traffic Data'!BG21*annualizationFactor</f>
        <v>11.561300646433999</v>
      </c>
      <c r="AF45" s="777">
        <f>$E$21*$I$8*'Traffic Data'!BH21*annualizationFactor</f>
        <v>11.708146292303999</v>
      </c>
      <c r="AG45" s="777">
        <f>$E$21*$I$8*'Traffic Data'!BI21*annualizationFactor</f>
        <v>11.854732034375999</v>
      </c>
      <c r="AH45" s="778">
        <f>$E$21*$I$8*'Traffic Data'!BJ21*annualizationFactor</f>
        <v>12.001317776447999</v>
      </c>
      <c r="AI45" s="40"/>
      <c r="AJ45" s="40"/>
      <c r="AK45" s="40"/>
      <c r="AL45" s="40"/>
      <c r="AM45" s="40"/>
    </row>
    <row r="46" spans="2:39" ht="21.95" customHeight="1" x14ac:dyDescent="0.2">
      <c r="B46" s="1346"/>
      <c r="C46" s="116" t="s">
        <v>344</v>
      </c>
      <c r="D46" s="116" t="s">
        <v>345</v>
      </c>
      <c r="E46" s="116" t="s">
        <v>19</v>
      </c>
      <c r="F46" s="116" t="s">
        <v>43</v>
      </c>
      <c r="G46" s="970"/>
      <c r="H46" s="970"/>
      <c r="I46" s="777">
        <f>$E$21*$I$8*'Traffic Data'!AK22*annualizationFactor</f>
        <v>2.7694667000000002</v>
      </c>
      <c r="J46" s="777">
        <f>$E$21*$I$8*'Traffic Data'!AL22*annualizationFactor</f>
        <v>2.8295428237999998</v>
      </c>
      <c r="K46" s="777">
        <f>$E$21*$I$8*'Traffic Data'!AM22*annualizationFactor</f>
        <v>2.9660988357</v>
      </c>
      <c r="L46" s="777">
        <f>$E$21*$I$8*'Traffic Data'!AN22*annualizationFactor</f>
        <v>3.1158630733999995</v>
      </c>
      <c r="M46" s="777">
        <f>$E$21*$I$8*'Traffic Data'!AO22*annualizationFactor</f>
        <v>3.2657338290500002</v>
      </c>
      <c r="N46" s="777">
        <f>$E$21*$I$8*'Traffic Data'!AP22*annualizationFactor</f>
        <v>3.4154980667499997</v>
      </c>
      <c r="O46" s="777">
        <f>$E$21*$I$8*'Traffic Data'!AQ22*annualizationFactor</f>
        <v>3.56526230445</v>
      </c>
      <c r="P46" s="777">
        <f>$E$21*$I$8*'Traffic Data'!AR22*annualizationFactor</f>
        <v>3.7151330600999999</v>
      </c>
      <c r="Q46" s="777">
        <f>$E$21*$I$8*'Traffic Data'!AS22*annualizationFactor</f>
        <v>3.7977909892999997</v>
      </c>
      <c r="R46" s="777">
        <f>$E$21*$I$8*'Traffic Data'!AT22*annualizationFactor</f>
        <v>3.8803424005499996</v>
      </c>
      <c r="S46" s="777">
        <f>$E$21*$I$8*'Traffic Data'!AU22*annualizationFactor</f>
        <v>3.9630003297499998</v>
      </c>
      <c r="T46" s="777">
        <f>$E$21*$I$8*'Traffic Data'!AV22*annualizationFactor</f>
        <v>4.0455517409999997</v>
      </c>
      <c r="U46" s="777">
        <f>$E$21*$I$8*'Traffic Data'!AW22*annualizationFactor</f>
        <v>4.1282096701999995</v>
      </c>
      <c r="V46" s="777">
        <f>$E$21*$I$8*'Traffic Data'!AX22*annualizationFactor</f>
        <v>4.1974463376999998</v>
      </c>
      <c r="W46" s="777">
        <f>$E$21*$I$8*'Traffic Data'!AY22*annualizationFactor</f>
        <v>4.2575224614999998</v>
      </c>
      <c r="X46" s="777">
        <f>$E$21*$I$8*'Traffic Data'!AZ22*annualizationFactor</f>
        <v>4.3177051032499998</v>
      </c>
      <c r="Y46" s="777">
        <f>$E$21*$I$8*'Traffic Data'!BA22*annualizationFactor</f>
        <v>4.3777812270499998</v>
      </c>
      <c r="Z46" s="777">
        <f>$E$21*$I$8*'Traffic Data'!BB22*annualizationFactor</f>
        <v>4.4378573508499999</v>
      </c>
      <c r="AA46" s="777">
        <f>$E$21*$I$8*'Traffic Data'!BC22*annualizationFactor</f>
        <v>4.4979334746499999</v>
      </c>
      <c r="AB46" s="777">
        <f>$E$21*$I$8*'Traffic Data'!BD22*annualizationFactor</f>
        <v>4.55800959845</v>
      </c>
      <c r="AC46" s="777">
        <f>$E$21*$I$8*'Traffic Data'!BE22*annualizationFactor</f>
        <v>4.61808572225</v>
      </c>
      <c r="AD46" s="777">
        <f>$E$21*$I$8*'Traffic Data'!BF22*annualizationFactor</f>
        <v>4.6781618460500001</v>
      </c>
      <c r="AE46" s="777">
        <f>$E$21*$I$8*'Traffic Data'!BG22*annualizationFactor</f>
        <v>4.7382379698500001</v>
      </c>
      <c r="AF46" s="777">
        <f>$E$21*$I$8*'Traffic Data'!BH22*annualizationFactor</f>
        <v>4.7984206116000001</v>
      </c>
      <c r="AG46" s="777">
        <f>$E$21*$I$8*'Traffic Data'!BI22*annualizationFactor</f>
        <v>4.8584967353999993</v>
      </c>
      <c r="AH46" s="778">
        <f>$E$21*$I$8*'Traffic Data'!BJ22*annualizationFactor</f>
        <v>4.9185728592000002</v>
      </c>
      <c r="AI46" s="40"/>
      <c r="AJ46" s="40"/>
      <c r="AK46" s="40"/>
      <c r="AL46" s="40"/>
      <c r="AM46" s="40"/>
    </row>
    <row r="47" spans="2:39" ht="21.95" customHeight="1" x14ac:dyDescent="0.2">
      <c r="B47" s="1346"/>
      <c r="C47" s="116" t="s">
        <v>345</v>
      </c>
      <c r="D47" s="116" t="s">
        <v>323</v>
      </c>
      <c r="E47" s="116" t="s">
        <v>19</v>
      </c>
      <c r="F47" s="116" t="s">
        <v>43</v>
      </c>
      <c r="G47" s="970"/>
      <c r="H47" s="970"/>
      <c r="I47" s="777">
        <f>$E$21*$I$8*'Traffic Data'!AK23*annualizationFactor</f>
        <v>33.404029119999997</v>
      </c>
      <c r="J47" s="777">
        <f>$E$21*$I$8*'Traffic Data'!AL23*annualizationFactor</f>
        <v>34.128777251800003</v>
      </c>
      <c r="K47" s="777">
        <f>$E$21*$I$8*'Traffic Data'!AM23*annualizationFactor</f>
        <v>35.775595887415996</v>
      </c>
      <c r="L47" s="777">
        <f>$E$21*$I$8*'Traffic Data'!AN23*annualizationFactor</f>
        <v>37.582217012340003</v>
      </c>
      <c r="M47" s="777">
        <f>$E$21*$I$8*'Traffic Data'!AO23*annualizationFactor</f>
        <v>39.389673237992</v>
      </c>
      <c r="N47" s="777">
        <f>$E$21*$I$8*'Traffic Data'!AP23*annualizationFactor</f>
        <v>41.196532963124</v>
      </c>
      <c r="O47" s="777">
        <f>$E$21*$I$8*'Traffic Data'!AQ23*annualizationFactor</f>
        <v>43.003154088047992</v>
      </c>
      <c r="P47" s="777">
        <f>$E$21*$I$8*'Traffic Data'!AR23*annualizationFactor</f>
        <v>44.810789263855987</v>
      </c>
      <c r="Q47" s="777">
        <f>$E$21*$I$8*'Traffic Data'!AS23*annualizationFactor</f>
        <v>45.806945132255976</v>
      </c>
      <c r="R47" s="777">
        <f>$E$21*$I$8*'Traffic Data'!AT23*annualizationFactor</f>
        <v>46.803101000655985</v>
      </c>
      <c r="S47" s="777">
        <f>$E$21*$I$8*'Traffic Data'!AU23*annualizationFactor</f>
        <v>47.799256869055995</v>
      </c>
      <c r="T47" s="777">
        <f>$E$21*$I$8*'Traffic Data'!AV23*annualizationFactor</f>
        <v>48.795412737455997</v>
      </c>
      <c r="U47" s="777">
        <f>$E$21*$I$8*'Traffic Data'!AW23*annualizationFactor</f>
        <v>49.791926506167989</v>
      </c>
      <c r="V47" s="777">
        <f>$E$21*$I$8*'Traffic Data'!AX23*annualizationFactor</f>
        <v>50.628100935103994</v>
      </c>
      <c r="W47" s="777">
        <f>$E$21*$I$8*'Traffic Data'!AY23*annualizationFactor</f>
        <v>51.352849066903993</v>
      </c>
      <c r="X47" s="777">
        <f>$E$21*$I$8*'Traffic Data'!AZ23*annualizationFactor</f>
        <v>52.077597198703991</v>
      </c>
      <c r="Y47" s="777">
        <f>$E$21*$I$8*'Traffic Data'!BA23*annualizationFactor</f>
        <v>52.802345330504004</v>
      </c>
      <c r="Z47" s="777">
        <f>$E$21*$I$8*'Traffic Data'!BB23*annualizationFactor</f>
        <v>53.527153112356004</v>
      </c>
      <c r="AA47" s="777">
        <f>$E$21*$I$8*'Traffic Data'!BC23*annualizationFactor</f>
        <v>54.251901244155981</v>
      </c>
      <c r="AB47" s="777">
        <f>$E$21*$I$8*'Traffic Data'!BD23*annualizationFactor</f>
        <v>54.976709026007995</v>
      </c>
      <c r="AC47" s="777">
        <f>$E$21*$I$8*'Traffic Data'!BE23*annualizationFactor</f>
        <v>55.701457157808008</v>
      </c>
      <c r="AD47" s="777">
        <f>$E$21*$I$8*'Traffic Data'!BF23*annualizationFactor</f>
        <v>56.426205289607992</v>
      </c>
      <c r="AE47" s="777">
        <f>$E$21*$I$8*'Traffic Data'!BG23*annualizationFactor</f>
        <v>57.151013071459992</v>
      </c>
      <c r="AF47" s="777">
        <f>$E$21*$I$8*'Traffic Data'!BH23*annualizationFactor</f>
        <v>57.875761203260005</v>
      </c>
      <c r="AG47" s="777">
        <f>$E$21*$I$8*'Traffic Data'!BI23*annualizationFactor</f>
        <v>58.600509335060003</v>
      </c>
      <c r="AH47" s="778">
        <f>$E$21*$I$8*'Traffic Data'!BJ23*annualizationFactor</f>
        <v>59.325317116911997</v>
      </c>
      <c r="AI47" s="40"/>
      <c r="AJ47" s="40"/>
      <c r="AK47" s="40"/>
      <c r="AL47" s="40"/>
      <c r="AM47" s="40"/>
    </row>
    <row r="48" spans="2:39" ht="21.95" customHeight="1" x14ac:dyDescent="0.2">
      <c r="B48" s="1346"/>
      <c r="C48" s="116" t="s">
        <v>323</v>
      </c>
      <c r="D48" s="116" t="s">
        <v>347</v>
      </c>
      <c r="E48" s="116" t="s">
        <v>19</v>
      </c>
      <c r="F48" s="116" t="s">
        <v>43</v>
      </c>
      <c r="G48" s="970"/>
      <c r="H48" s="970"/>
      <c r="I48" s="777">
        <f>$E$21*$I$8*'Traffic Data'!AK24*annualizationFactor</f>
        <v>5.9650052000000002</v>
      </c>
      <c r="J48" s="777">
        <f>$E$21*$I$8*'Traffic Data'!AL24*annualizationFactor</f>
        <v>6.0944245092499996</v>
      </c>
      <c r="K48" s="777">
        <f>$E$21*$I$8*'Traffic Data'!AM24*annualizationFactor</f>
        <v>6.2871793915699996</v>
      </c>
      <c r="L48" s="777">
        <f>$E$21*$I$8*'Traffic Data'!AN24*annualizationFactor</f>
        <v>6.5084704326950007</v>
      </c>
      <c r="M48" s="777">
        <f>$E$21*$I$8*'Traffic Data'!AO24*annualizationFactor</f>
        <v>6.7298253845900007</v>
      </c>
      <c r="N48" s="777">
        <f>$E$21*$I$8*'Traffic Data'!AP24*annualizationFactor</f>
        <v>6.9511590328950001</v>
      </c>
      <c r="O48" s="777">
        <f>$E$21*$I$8*'Traffic Data'!AQ24*annualizationFactor</f>
        <v>7.1724500740199995</v>
      </c>
      <c r="P48" s="777">
        <f>$E$21*$I$8*'Traffic Data'!AR24*annualizationFactor</f>
        <v>7.3938369812999989</v>
      </c>
      <c r="Q48" s="777">
        <f>$E$21*$I$8*'Traffic Data'!AS24*annualizationFactor</f>
        <v>7.5717219577999986</v>
      </c>
      <c r="R48" s="777">
        <f>$E$21*$I$8*'Traffic Data'!AT24*annualizationFactor</f>
        <v>7.7496069342999983</v>
      </c>
      <c r="S48" s="777">
        <f>$E$21*$I$8*'Traffic Data'!AU24*annualizationFactor</f>
        <v>7.9274919107999997</v>
      </c>
      <c r="T48" s="777">
        <f>$E$21*$I$8*'Traffic Data'!AV24*annualizationFactor</f>
        <v>8.1053768873000003</v>
      </c>
      <c r="U48" s="777">
        <f>$E$21*$I$8*'Traffic Data'!AW24*annualizationFactor</f>
        <v>8.2833257745699989</v>
      </c>
      <c r="V48" s="777">
        <f>$E$21*$I$8*'Traffic Data'!AX24*annualizationFactor</f>
        <v>8.4326426368799989</v>
      </c>
      <c r="W48" s="777">
        <f>$E$21*$I$8*'Traffic Data'!AY24*annualizationFactor</f>
        <v>8.5620619461299992</v>
      </c>
      <c r="X48" s="777">
        <f>$E$21*$I$8*'Traffic Data'!AZ24*annualizationFactor</f>
        <v>8.6914812553799994</v>
      </c>
      <c r="Y48" s="777">
        <f>$E$21*$I$8*'Traffic Data'!BA24*annualizationFactor</f>
        <v>8.8209005646300014</v>
      </c>
      <c r="Z48" s="777">
        <f>$E$21*$I$8*'Traffic Data'!BB24*annualizationFactor</f>
        <v>8.9503305256749996</v>
      </c>
      <c r="AA48" s="777">
        <f>$E$21*$I$8*'Traffic Data'!BC24*annualizationFactor</f>
        <v>9.0797498349249981</v>
      </c>
      <c r="AB48" s="777">
        <f>$E$21*$I$8*'Traffic Data'!BD24*annualizationFactor</f>
        <v>9.2091797959699999</v>
      </c>
      <c r="AC48" s="777">
        <f>$E$21*$I$8*'Traffic Data'!BE24*annualizationFactor</f>
        <v>9.3385991052200019</v>
      </c>
      <c r="AD48" s="777">
        <f>$E$21*$I$8*'Traffic Data'!BF24*annualizationFactor</f>
        <v>9.4680184144700004</v>
      </c>
      <c r="AE48" s="777">
        <f>$E$21*$I$8*'Traffic Data'!BG24*annualizationFactor</f>
        <v>9.5974483755149986</v>
      </c>
      <c r="AF48" s="777">
        <f>$E$21*$I$8*'Traffic Data'!BH24*annualizationFactor</f>
        <v>9.7268676847650006</v>
      </c>
      <c r="AG48" s="777">
        <f>$E$21*$I$8*'Traffic Data'!BI24*annualizationFactor</f>
        <v>9.8562869940150009</v>
      </c>
      <c r="AH48" s="778">
        <f>$E$21*$I$8*'Traffic Data'!BJ24*annualizationFactor</f>
        <v>9.9857169550599991</v>
      </c>
      <c r="AI48" s="40"/>
      <c r="AJ48" s="40"/>
      <c r="AK48" s="40"/>
      <c r="AL48" s="40"/>
      <c r="AM48" s="40"/>
    </row>
    <row r="49" spans="2:39" ht="21.95" customHeight="1" x14ac:dyDescent="0.2">
      <c r="B49" s="1346"/>
      <c r="C49" s="116" t="s">
        <v>347</v>
      </c>
      <c r="D49" s="116" t="s">
        <v>348</v>
      </c>
      <c r="E49" s="116" t="s">
        <v>19</v>
      </c>
      <c r="F49" s="116" t="s">
        <v>43</v>
      </c>
      <c r="G49" s="970"/>
      <c r="H49" s="970"/>
      <c r="I49" s="777">
        <f>$E$21*$I$8*'Traffic Data'!AK25*annualizationFactor</f>
        <v>4.1755036399999996</v>
      </c>
      <c r="J49" s="777">
        <f>$E$21*$I$8*'Traffic Data'!AL25*annualizationFactor</f>
        <v>4.2660971564750003</v>
      </c>
      <c r="K49" s="777">
        <f>$E$21*$I$8*'Traffic Data'!AM25*annualizationFactor</f>
        <v>4.4010255740989992</v>
      </c>
      <c r="L49" s="777">
        <f>$E$21*$I$8*'Traffic Data'!AN25*annualizationFactor</f>
        <v>4.5559293028864998</v>
      </c>
      <c r="M49" s="777">
        <f>$E$21*$I$8*'Traffic Data'!AO25*annualizationFactor</f>
        <v>4.7108777692129999</v>
      </c>
      <c r="N49" s="777">
        <f>$E$21*$I$8*'Traffic Data'!AP25*annualizationFactor</f>
        <v>4.8658113230264997</v>
      </c>
      <c r="O49" s="777">
        <f>$E$21*$I$8*'Traffic Data'!AQ25*annualizationFactor</f>
        <v>5.0207150518139994</v>
      </c>
      <c r="P49" s="777">
        <f>$E$21*$I$8*'Traffic Data'!AR25*annualizationFactor</f>
        <v>5.1756858869099984</v>
      </c>
      <c r="Q49" s="777">
        <f>$E$21*$I$8*'Traffic Data'!AS25*annualizationFactor</f>
        <v>5.3002053704599987</v>
      </c>
      <c r="R49" s="777">
        <f>$E$21*$I$8*'Traffic Data'!AT25*annualizationFactor</f>
        <v>5.424724854009999</v>
      </c>
      <c r="S49" s="777">
        <f>$E$21*$I$8*'Traffic Data'!AU25*annualizationFactor</f>
        <v>5.5492443375599994</v>
      </c>
      <c r="T49" s="777">
        <f>$E$21*$I$8*'Traffic Data'!AV25*annualizationFactor</f>
        <v>5.6737638211100005</v>
      </c>
      <c r="U49" s="777">
        <f>$E$21*$I$8*'Traffic Data'!AW25*annualizationFactor</f>
        <v>5.7983280421989987</v>
      </c>
      <c r="V49" s="777">
        <f>$E$21*$I$8*'Traffic Data'!AX25*annualizationFactor</f>
        <v>5.9028498458160001</v>
      </c>
      <c r="W49" s="777">
        <f>$E$21*$I$8*'Traffic Data'!AY25*annualizationFactor</f>
        <v>5.9934433622909999</v>
      </c>
      <c r="X49" s="777">
        <f>$E$21*$I$8*'Traffic Data'!AZ25*annualizationFactor</f>
        <v>6.0840368787659997</v>
      </c>
      <c r="Y49" s="777">
        <f>$E$21*$I$8*'Traffic Data'!BA25*annualizationFactor</f>
        <v>6.1746303952409995</v>
      </c>
      <c r="Z49" s="777">
        <f>$E$21*$I$8*'Traffic Data'!BB25*annualizationFactor</f>
        <v>6.2652313679724996</v>
      </c>
      <c r="AA49" s="777">
        <f>$E$21*$I$8*'Traffic Data'!BC25*annualizationFactor</f>
        <v>6.3558248844474994</v>
      </c>
      <c r="AB49" s="777">
        <f>$E$21*$I$8*'Traffic Data'!BD25*annualizationFactor</f>
        <v>6.4464258571790003</v>
      </c>
      <c r="AC49" s="777">
        <f>$E$21*$I$8*'Traffic Data'!BE25*annualizationFactor</f>
        <v>6.537019373654001</v>
      </c>
      <c r="AD49" s="777">
        <f>$E$21*$I$8*'Traffic Data'!BF25*annualizationFactor</f>
        <v>6.6276128901289999</v>
      </c>
      <c r="AE49" s="777">
        <f>$E$21*$I$8*'Traffic Data'!BG25*annualizationFactor</f>
        <v>6.7182138628604999</v>
      </c>
      <c r="AF49" s="777">
        <f>$E$21*$I$8*'Traffic Data'!BH25*annualizationFactor</f>
        <v>6.8088073793354997</v>
      </c>
      <c r="AG49" s="777">
        <f>$E$21*$I$8*'Traffic Data'!BI25*annualizationFactor</f>
        <v>6.8994008958104995</v>
      </c>
      <c r="AH49" s="778">
        <f>$E$21*$I$8*'Traffic Data'!BJ25*annualizationFactor</f>
        <v>6.9900018685419996</v>
      </c>
      <c r="AI49" s="40"/>
      <c r="AJ49" s="40"/>
      <c r="AK49" s="40"/>
      <c r="AL49" s="40"/>
      <c r="AM49" s="40"/>
    </row>
    <row r="50" spans="2:39" ht="21.95" customHeight="1" x14ac:dyDescent="0.2">
      <c r="B50" s="1346"/>
      <c r="C50" s="254" t="s">
        <v>348</v>
      </c>
      <c r="D50" s="254" t="s">
        <v>349</v>
      </c>
      <c r="E50" s="254" t="s">
        <v>19</v>
      </c>
      <c r="F50" s="254" t="s">
        <v>43</v>
      </c>
      <c r="G50" s="779"/>
      <c r="H50" s="779"/>
      <c r="I50" s="777">
        <f>$E$21*$I$8*'Traffic Data'!AK26*annualizationFactor</f>
        <v>6.8171487999999991</v>
      </c>
      <c r="J50" s="777">
        <f>$E$21*$I$8*'Traffic Data'!AL26*annualizationFactor</f>
        <v>6.9799827901649998</v>
      </c>
      <c r="K50" s="777">
        <f>$E$21*$I$8*'Traffic Data'!AM26*annualizationFactor</f>
        <v>7.206173656989999</v>
      </c>
      <c r="L50" s="777">
        <f>$E$21*$I$8*'Traffic Data'!AN26*annualizationFactor</f>
        <v>7.5065755795799989</v>
      </c>
      <c r="M50" s="777">
        <f>$E$21*$I$8*'Traffic Data'!AO26*annualizationFactor</f>
        <v>7.8070627165300008</v>
      </c>
      <c r="N50" s="777">
        <f>$E$21*$I$8*'Traffic Data'!AP26*annualizationFactor</f>
        <v>8.1075711570699998</v>
      </c>
      <c r="O50" s="777">
        <f>$E$21*$I$8*'Traffic Data'!AQ26*annualizationFactor</f>
        <v>8.4079730796599996</v>
      </c>
      <c r="P50" s="777">
        <f>$E$21*$I$8*'Traffic Data'!AR26*annualizationFactor</f>
        <v>8.7085454309700019</v>
      </c>
      <c r="Q50" s="777">
        <f>$E$21*$I$8*'Traffic Data'!AS26*annualizationFactor</f>
        <v>8.9954195739100005</v>
      </c>
      <c r="R50" s="777">
        <f>$E$21*$I$8*'Traffic Data'!AT26*annualizationFactor</f>
        <v>9.2823043686449989</v>
      </c>
      <c r="S50" s="777">
        <f>$E$21*$I$8*'Traffic Data'!AU26*annualizationFactor</f>
        <v>9.5691785115849992</v>
      </c>
      <c r="T50" s="777">
        <f>$E$21*$I$8*'Traffic Data'!AV26*annualizationFactor</f>
        <v>9.8560526545249996</v>
      </c>
      <c r="U50" s="777">
        <f>$E$21*$I$8*'Traffic Data'!AW26*annualizationFactor</f>
        <v>10.143097226185001</v>
      </c>
      <c r="V50" s="777">
        <f>$E$21*$I$8*'Traffic Data'!AX26*annualizationFactor</f>
        <v>10.355675098999999</v>
      </c>
      <c r="W50" s="777">
        <f>$E$21*$I$8*'Traffic Data'!AY26*annualizationFactor</f>
        <v>10.518509089165001</v>
      </c>
      <c r="X50" s="777">
        <f>$E$21*$I$8*'Traffic Data'!AZ26*annualizationFactor</f>
        <v>10.681343079329999</v>
      </c>
      <c r="Y50" s="777">
        <f>$E$21*$I$8*'Traffic Data'!BA26*annualizationFactor</f>
        <v>10.844177069494998</v>
      </c>
      <c r="Z50" s="777">
        <f>$E$21*$I$8*'Traffic Data'!BB26*annualizationFactor</f>
        <v>11.007043015044999</v>
      </c>
      <c r="AA50" s="777">
        <f>$E$21*$I$8*'Traffic Data'!BC26*annualizationFactor</f>
        <v>11.169877005209997</v>
      </c>
      <c r="AB50" s="777">
        <f>$E$21*$I$8*'Traffic Data'!BD26*annualizationFactor</f>
        <v>11.33274295076</v>
      </c>
      <c r="AC50" s="777">
        <f>$E$21*$I$8*'Traffic Data'!BE26*annualizationFactor</f>
        <v>11.495576940925</v>
      </c>
      <c r="AD50" s="777">
        <f>$E$21*$I$8*'Traffic Data'!BF26*annualizationFactor</f>
        <v>11.65841093109</v>
      </c>
      <c r="AE50" s="777">
        <f>$E$21*$I$8*'Traffic Data'!BG26*annualizationFactor</f>
        <v>11.821276876639999</v>
      </c>
      <c r="AF50" s="777">
        <f>$E$21*$I$8*'Traffic Data'!BH26*annualizationFactor</f>
        <v>11.984110866804999</v>
      </c>
      <c r="AG50" s="777">
        <f>$E$21*$I$8*'Traffic Data'!BI26*annualizationFactor</f>
        <v>12.146944856969998</v>
      </c>
      <c r="AH50" s="778">
        <f>$E$21*$I$8*'Traffic Data'!BJ26*annualizationFactor</f>
        <v>12.309810802519998</v>
      </c>
      <c r="AI50" s="40"/>
      <c r="AJ50" s="40"/>
      <c r="AK50" s="40"/>
      <c r="AL50" s="40"/>
      <c r="AM50" s="40"/>
    </row>
    <row r="51" spans="2:39" ht="21.95" customHeight="1" x14ac:dyDescent="0.2">
      <c r="B51" s="492" t="s">
        <v>288</v>
      </c>
      <c r="C51" s="116" t="s">
        <v>323</v>
      </c>
      <c r="D51" s="116" t="s">
        <v>348</v>
      </c>
      <c r="E51" s="116" t="s">
        <v>19</v>
      </c>
      <c r="F51" s="116" t="s">
        <v>43</v>
      </c>
      <c r="G51" s="970"/>
      <c r="H51" s="970"/>
      <c r="I51" s="780">
        <f>$E$21*$J$8*'Traffic Data'!AK27*annualizationFactor</f>
        <v>0.54780660000000003</v>
      </c>
      <c r="J51" s="780">
        <f>$E$21*$J$8*'Traffic Data'!AL27*annualizationFactor</f>
        <v>0.56834326075999997</v>
      </c>
      <c r="K51" s="780">
        <f>$E$21*$J$8*'Traffic Data'!AM27*annualizationFactor</f>
        <v>0.59975692590000007</v>
      </c>
      <c r="L51" s="780">
        <f>$E$21*$J$8*'Traffic Data'!AN27*annualizationFactor</f>
        <v>0.69956424505000014</v>
      </c>
      <c r="M51" s="780">
        <f>$E$21*$J$8*'Traffic Data'!AO27*annualizationFactor</f>
        <v>0.79938678104999994</v>
      </c>
      <c r="N51" s="780">
        <f>$E$21*$J$8*'Traffic Data'!AP27*annualizationFactor</f>
        <v>0.89931583499999979</v>
      </c>
      <c r="O51" s="780">
        <f>$E$21*$J$8*'Traffic Data'!AQ27*annualizationFactor</f>
        <v>0.99912315414999986</v>
      </c>
      <c r="P51" s="780">
        <f>$E$21*$J$8*'Traffic Data'!AR27*annualizationFactor</f>
        <v>1.09902786114</v>
      </c>
      <c r="Q51" s="780">
        <f>$E$21*$J$8*'Traffic Data'!AS27*annualizationFactor</f>
        <v>1.23066274375</v>
      </c>
      <c r="R51" s="780">
        <f>$E$21*$J$8*'Traffic Data'!AT27*annualizationFactor</f>
        <v>1.3622641492900001</v>
      </c>
      <c r="S51" s="780">
        <f>$E$21*$J$8*'Traffic Data'!AU27*annualizationFactor</f>
        <v>1.4939142487499999</v>
      </c>
      <c r="T51" s="780">
        <f>$E$21*$J$8*'Traffic Data'!AV27*annualizationFactor</f>
        <v>1.6255491313600003</v>
      </c>
      <c r="U51" s="780">
        <f>$E$21*$J$8*'Traffic Data'!AW27*annualizationFactor</f>
        <v>1.7573331391</v>
      </c>
      <c r="V51" s="780">
        <f>$E$21*$J$8*'Traffic Data'!AX27*annualizationFactor</f>
        <v>1.8205074135599997</v>
      </c>
      <c r="W51" s="780">
        <f>$E$21*$J$8*'Traffic Data'!AY27*annualizationFactor</f>
        <v>1.8410440743200001</v>
      </c>
      <c r="X51" s="780">
        <f>$E$21*$J$8*'Traffic Data'!AZ27*annualizationFactor</f>
        <v>1.8615807350799998</v>
      </c>
      <c r="Y51" s="780">
        <f>$E$21*$J$8*'Traffic Data'!BA27*annualizationFactor</f>
        <v>1.8821173958399997</v>
      </c>
      <c r="Z51" s="780">
        <f>$E$21*$J$8*'Traffic Data'!BB27*annualizationFactor</f>
        <v>1.9026753601899999</v>
      </c>
      <c r="AA51" s="780">
        <f>$E$21*$J$8*'Traffic Data'!BC27*annualizationFactor</f>
        <v>1.9232120209499994</v>
      </c>
      <c r="AB51" s="780">
        <f>$E$21*$J$8*'Traffic Data'!BD27*annualizationFactor</f>
        <v>1.9437699852999999</v>
      </c>
      <c r="AC51" s="780">
        <f>$E$21*$J$8*'Traffic Data'!BE27*annualizationFactor</f>
        <v>1.9643066460600001</v>
      </c>
      <c r="AD51" s="780">
        <f>$E$21*$J$8*'Traffic Data'!BF27*annualizationFactor</f>
        <v>1.9848433068199998</v>
      </c>
      <c r="AE51" s="780">
        <f>$E$21*$J$8*'Traffic Data'!BG27*annualizationFactor</f>
        <v>2.0054012711699998</v>
      </c>
      <c r="AF51" s="780">
        <f>$E$21*$J$8*'Traffic Data'!BH27*annualizationFactor</f>
        <v>2.0259379319300006</v>
      </c>
      <c r="AG51" s="780">
        <f>$E$21*$J$8*'Traffic Data'!BI27*annualizationFactor</f>
        <v>2.0464745926900001</v>
      </c>
      <c r="AH51" s="781">
        <f>$E$21*$J$8*'Traffic Data'!BJ27*annualizationFactor</f>
        <v>2.0670325570399997</v>
      </c>
      <c r="AI51" s="40"/>
      <c r="AJ51" s="40"/>
      <c r="AK51" s="40"/>
      <c r="AL51" s="40"/>
      <c r="AM51" s="40"/>
    </row>
    <row r="52" spans="2:39" ht="21.95" customHeight="1" x14ac:dyDescent="0.2">
      <c r="B52" s="782" t="s">
        <v>340</v>
      </c>
      <c r="C52" s="277" t="s">
        <v>335</v>
      </c>
      <c r="D52" s="277" t="s">
        <v>323</v>
      </c>
      <c r="E52" s="277" t="s">
        <v>19</v>
      </c>
      <c r="F52" s="277" t="s">
        <v>43</v>
      </c>
      <c r="G52" s="780"/>
      <c r="H52" s="780"/>
      <c r="I52" s="779">
        <f>$E$21*$K$8*'Traffic Data'!AK28*annualizationFactor</f>
        <v>0</v>
      </c>
      <c r="J52" s="780">
        <f>$E$21*$K$8*'Traffic Data'!AL28*annualizationFactor</f>
        <v>0</v>
      </c>
      <c r="K52" s="780">
        <f>$E$21*$K$8*'Traffic Data'!AM28*annualizationFactor</f>
        <v>0</v>
      </c>
      <c r="L52" s="780">
        <f>$E$21*$K$8*'Traffic Data'!AN28*annualizationFactor</f>
        <v>0</v>
      </c>
      <c r="M52" s="780">
        <f>$E$21*$K$8*'Traffic Data'!AO28*annualizationFactor</f>
        <v>0</v>
      </c>
      <c r="N52" s="780">
        <f>$E$21*$K$8*'Traffic Data'!AP28*annualizationFactor</f>
        <v>0</v>
      </c>
      <c r="O52" s="780">
        <f>$E$21*$K$8*'Traffic Data'!AQ28*annualizationFactor</f>
        <v>0</v>
      </c>
      <c r="P52" s="780">
        <f>$E$21*$K$8*'Traffic Data'!AR28*annualizationFactor</f>
        <v>0</v>
      </c>
      <c r="Q52" s="780">
        <f>$E$21*$K$8*'Traffic Data'!AS28*annualizationFactor</f>
        <v>0</v>
      </c>
      <c r="R52" s="780">
        <f>$E$21*$K$8*'Traffic Data'!AT28*annualizationFactor</f>
        <v>0</v>
      </c>
      <c r="S52" s="780">
        <f>$E$21*$K$8*'Traffic Data'!AU28*annualizationFactor</f>
        <v>0</v>
      </c>
      <c r="T52" s="780">
        <f>$E$21*$K$8*'Traffic Data'!AV28*annualizationFactor</f>
        <v>0</v>
      </c>
      <c r="U52" s="780">
        <f>$E$21*$K$8*'Traffic Data'!AW28*annualizationFactor</f>
        <v>0</v>
      </c>
      <c r="V52" s="780">
        <f>$E$21*$K$8*'Traffic Data'!AX28*annualizationFactor</f>
        <v>0</v>
      </c>
      <c r="W52" s="780">
        <f>$E$21*$K$8*'Traffic Data'!AY28*annualizationFactor</f>
        <v>0</v>
      </c>
      <c r="X52" s="780">
        <f>$E$21*$K$8*'Traffic Data'!AZ28*annualizationFactor</f>
        <v>0</v>
      </c>
      <c r="Y52" s="780">
        <f>$E$21*$K$8*'Traffic Data'!BA28*annualizationFactor</f>
        <v>0</v>
      </c>
      <c r="Z52" s="780">
        <f>$E$21*$K$8*'Traffic Data'!BB28*annualizationFactor</f>
        <v>0</v>
      </c>
      <c r="AA52" s="780">
        <f>$E$21*$K$8*'Traffic Data'!BC28*annualizationFactor</f>
        <v>0</v>
      </c>
      <c r="AB52" s="780">
        <f>$E$21*$K$8*'Traffic Data'!BD28*annualizationFactor</f>
        <v>0</v>
      </c>
      <c r="AC52" s="780">
        <f>$E$21*$K$8*'Traffic Data'!BE28*annualizationFactor</f>
        <v>0</v>
      </c>
      <c r="AD52" s="780">
        <f>$E$21*$K$8*'Traffic Data'!BF28*annualizationFactor</f>
        <v>0</v>
      </c>
      <c r="AE52" s="780">
        <f>$E$21*$K$8*'Traffic Data'!BG28*annualizationFactor</f>
        <v>0</v>
      </c>
      <c r="AF52" s="780">
        <f>$E$21*$K$8*'Traffic Data'!BH28*annualizationFactor</f>
        <v>0</v>
      </c>
      <c r="AG52" s="780">
        <f>$E$21*$K$8*'Traffic Data'!BI28*annualizationFactor</f>
        <v>0</v>
      </c>
      <c r="AH52" s="781">
        <f>$E$21*$K$8*'Traffic Data'!BJ28*annualizationFactor</f>
        <v>0</v>
      </c>
      <c r="AI52" s="40"/>
      <c r="AJ52" s="40"/>
      <c r="AK52" s="40"/>
      <c r="AL52" s="40"/>
      <c r="AM52" s="40"/>
    </row>
    <row r="53" spans="2:39" ht="21.95" customHeight="1" x14ac:dyDescent="0.2">
      <c r="B53" s="782" t="s">
        <v>357</v>
      </c>
      <c r="C53" s="277" t="s">
        <v>338</v>
      </c>
      <c r="D53" s="277" t="s">
        <v>323</v>
      </c>
      <c r="E53" s="116" t="s">
        <v>19</v>
      </c>
      <c r="F53" s="116" t="s">
        <v>43</v>
      </c>
      <c r="G53" s="970"/>
      <c r="H53" s="970"/>
      <c r="I53" s="777">
        <f>$E$21*$L$8*'Traffic Data'!AK29*annualizationFactor</f>
        <v>1.0159322399999999</v>
      </c>
      <c r="J53" s="777">
        <f>$E$21*$L$8*'Traffic Data'!AL29*annualizationFactor</f>
        <v>1.0316340371759998</v>
      </c>
      <c r="K53" s="777">
        <f>$E$21*$L$8*'Traffic Data'!AM29*annualizationFactor</f>
        <v>1.0574330720039999</v>
      </c>
      <c r="L53" s="777">
        <f>$E$21*$L$8*'Traffic Data'!AN29*annualizationFactor</f>
        <v>1.145116490418</v>
      </c>
      <c r="M53" s="777">
        <f>$E$21*$L$8*'Traffic Data'!AO29*annualizationFactor</f>
        <v>1.232811196968</v>
      </c>
      <c r="N53" s="777">
        <f>$E$21*$L$8*'Traffic Data'!AP29*annualizationFactor</f>
        <v>1.3206074967419998</v>
      </c>
      <c r="O53" s="777">
        <f>$E$21*$L$8*'Traffic Data'!AQ29*annualizationFactor</f>
        <v>1.4082909151559995</v>
      </c>
      <c r="P53" s="777">
        <f>$E$21*$L$8*'Traffic Data'!AR29*annualizationFactor</f>
        <v>1.4960731047599998</v>
      </c>
      <c r="Q53" s="777">
        <f>$E$21*$L$8*'Traffic Data'!AS29*annualizationFactor</f>
        <v>1.6000763457959997</v>
      </c>
      <c r="R53" s="777">
        <f>$E$21*$L$8*'Traffic Data'!AT29*annualizationFactor</f>
        <v>1.7040570105599997</v>
      </c>
      <c r="S53" s="777">
        <f>$E$21*$L$8*'Traffic Data'!AU29*annualizationFactor</f>
        <v>1.8080884719359995</v>
      </c>
      <c r="T53" s="777">
        <f>$E$21*$L$8*'Traffic Data'!AV29*annualizationFactor</f>
        <v>1.9120917129719996</v>
      </c>
      <c r="U53" s="777">
        <f>$E$21*$L$8*'Traffic Data'!AW29*annualizationFactor</f>
        <v>2.0162416997759998</v>
      </c>
      <c r="V53" s="777">
        <f>$E$21*$L$8*'Traffic Data'!AX29*annualizationFactor</f>
        <v>2.0583012945119998</v>
      </c>
      <c r="W53" s="777">
        <f>$E$21*$L$8*'Traffic Data'!AY29*annualizationFactor</f>
        <v>2.0740030916879992</v>
      </c>
      <c r="X53" s="777">
        <f>$E$21*$L$8*'Traffic Data'!AZ29*annualizationFactor</f>
        <v>2.089704888864</v>
      </c>
      <c r="Y53" s="777">
        <f>$E$21*$L$8*'Traffic Data'!BA29*annualizationFactor</f>
        <v>2.1054066860399998</v>
      </c>
      <c r="Z53" s="777">
        <f>$E$21*$L$8*'Traffic Data'!BB29*annualizationFactor</f>
        <v>2.1211395255899994</v>
      </c>
      <c r="AA53" s="777">
        <f>$E$21*$L$8*'Traffic Data'!BC29*annualizationFactor</f>
        <v>2.1368413227659997</v>
      </c>
      <c r="AB53" s="777">
        <f>$E$21*$L$8*'Traffic Data'!BD29*annualizationFactor</f>
        <v>2.1525741623159997</v>
      </c>
      <c r="AC53" s="777">
        <f>$E$21*$L$8*'Traffic Data'!BE29*annualizationFactor</f>
        <v>2.1682759594919996</v>
      </c>
      <c r="AD53" s="777">
        <f>$E$21*$L$8*'Traffic Data'!BF29*annualizationFactor</f>
        <v>2.1839777566679999</v>
      </c>
      <c r="AE53" s="777">
        <f>$E$21*$L$8*'Traffic Data'!BG29*annualizationFactor</f>
        <v>2.1997105962179999</v>
      </c>
      <c r="AF53" s="777">
        <f>$E$21*$L$8*'Traffic Data'!BH29*annualizationFactor</f>
        <v>2.2154123933940002</v>
      </c>
      <c r="AG53" s="777">
        <f>$E$21*$L$8*'Traffic Data'!BI29*annualizationFactor</f>
        <v>2.23111419057</v>
      </c>
      <c r="AH53" s="778">
        <f>$E$21*$L$8*'Traffic Data'!BJ29*annualizationFactor</f>
        <v>2.2468470301199996</v>
      </c>
      <c r="AI53" s="40"/>
      <c r="AJ53" s="40"/>
      <c r="AK53" s="40"/>
      <c r="AL53" s="40"/>
      <c r="AM53" s="40"/>
    </row>
    <row r="54" spans="2:39" ht="21.95" customHeight="1" x14ac:dyDescent="0.2">
      <c r="B54" s="492" t="s">
        <v>338</v>
      </c>
      <c r="C54" s="116" t="s">
        <v>282</v>
      </c>
      <c r="D54" s="116" t="s">
        <v>357</v>
      </c>
      <c r="E54" s="220" t="s">
        <v>19</v>
      </c>
      <c r="F54" s="220" t="s">
        <v>43</v>
      </c>
      <c r="G54" s="775"/>
      <c r="H54" s="775"/>
      <c r="I54" s="775">
        <f>$E$21*$M$8*'Traffic Data'!AK30*annualizationFactor</f>
        <v>3.6485856249999999</v>
      </c>
      <c r="J54" s="775">
        <f>$E$21*$M$8*'Traffic Data'!AL30*annualizationFactor</f>
        <v>3.7842582814656258</v>
      </c>
      <c r="K54" s="775">
        <f>$E$21*$M$8*'Traffic Data'!AM30*annualizationFactor</f>
        <v>3.9286802462599999</v>
      </c>
      <c r="L54" s="775">
        <f>$E$21*$M$8*'Traffic Data'!AN30*annualizationFactor</f>
        <v>4.2490734957481244</v>
      </c>
      <c r="M54" s="775">
        <f>$E$21*$M$8*'Traffic Data'!AO30*annualizationFactor</f>
        <v>4.5695470141200012</v>
      </c>
      <c r="N54" s="775">
        <f>$E$21*$M$8*'Traffic Data'!AP30*annualizationFactor</f>
        <v>4.8901956646018752</v>
      </c>
      <c r="O54" s="775">
        <f>$E$21*$M$8*'Traffic Data'!AQ30*annualizationFactor</f>
        <v>5.2105889140900024</v>
      </c>
      <c r="P54" s="775">
        <f>$E$21*$M$8*'Traffic Data'!AR30*annualizationFactor</f>
        <v>5.5312631046712504</v>
      </c>
      <c r="Q54" s="775">
        <f>$E$21*$M$8*'Traffic Data'!AS30*annualizationFactor</f>
        <v>5.9623799821212478</v>
      </c>
      <c r="R54" s="775">
        <f>$E$21*$M$8*'Traffic Data'!AT30*annualizationFactor</f>
        <v>6.3935151024993742</v>
      </c>
      <c r="S54" s="775">
        <f>$E$21*$M$8*'Traffic Data'!AU30*annualizationFactor</f>
        <v>6.8246319799493742</v>
      </c>
      <c r="T54" s="775">
        <f>$E$21*$M$8*'Traffic Data'!AV30*annualizationFactor</f>
        <v>7.2557488573993743</v>
      </c>
      <c r="U54" s="775">
        <f>$E$21*$M$8*'Traffic Data'!AW30*annualizationFactor</f>
        <v>7.6872670792681266</v>
      </c>
      <c r="V54" s="775">
        <f>$E$21*$M$8*'Traffic Data'!AX30*annualizationFactor</f>
        <v>7.9422119998149991</v>
      </c>
      <c r="W54" s="775">
        <f>$E$21*$M$8*'Traffic Data'!AY30*annualizationFactor</f>
        <v>8.0778846562806255</v>
      </c>
      <c r="X54" s="775">
        <f>$E$21*$M$8*'Traffic Data'!AZ30*annualizationFactor</f>
        <v>8.2135573127462482</v>
      </c>
      <c r="Y54" s="775">
        <f>$E$21*$M$8*'Traffic Data'!BA30*annualizationFactor</f>
        <v>8.3492299692118745</v>
      </c>
      <c r="Z54" s="775">
        <f>$E$21*$M$8*'Traffic Data'!BB30*annualizationFactor</f>
        <v>8.4849755973899992</v>
      </c>
      <c r="AA54" s="775">
        <f>$E$21*$M$8*'Traffic Data'!BC30*annualizationFactor</f>
        <v>8.6206482538556237</v>
      </c>
      <c r="AB54" s="775">
        <f>$E$21*$M$8*'Traffic Data'!BD30*annualizationFactor</f>
        <v>8.7563938820337484</v>
      </c>
      <c r="AC54" s="775">
        <f>$E$21*$M$8*'Traffic Data'!BE30*annualizationFactor</f>
        <v>8.8920665384993747</v>
      </c>
      <c r="AD54" s="775">
        <f>$E$21*$M$8*'Traffic Data'!BF30*annualizationFactor</f>
        <v>9.0277391949649992</v>
      </c>
      <c r="AE54" s="775">
        <f>$E$21*$M$8*'Traffic Data'!BG30*annualizationFactor</f>
        <v>9.1634848231431238</v>
      </c>
      <c r="AF54" s="775">
        <f>$E$21*$M$8*'Traffic Data'!BH30*annualizationFactor</f>
        <v>9.2991574796087484</v>
      </c>
      <c r="AG54" s="775">
        <f>$E$21*$M$8*'Traffic Data'!BI30*annualizationFactor</f>
        <v>9.4348301360743729</v>
      </c>
      <c r="AH54" s="776">
        <f>$E$21*$M$8*'Traffic Data'!BJ30*annualizationFactor</f>
        <v>9.5705757642525011</v>
      </c>
      <c r="AI54" s="40"/>
      <c r="AJ54" s="40"/>
      <c r="AK54" s="40"/>
      <c r="AL54" s="40"/>
      <c r="AM54" s="40"/>
    </row>
    <row r="55" spans="2:39" ht="21.95" customHeight="1" x14ac:dyDescent="0.2">
      <c r="B55" s="492"/>
      <c r="C55" s="116" t="s">
        <v>357</v>
      </c>
      <c r="D55" s="116" t="s">
        <v>346</v>
      </c>
      <c r="E55" s="116" t="s">
        <v>19</v>
      </c>
      <c r="F55" s="116" t="s">
        <v>43</v>
      </c>
      <c r="G55" s="970"/>
      <c r="H55" s="970"/>
      <c r="I55" s="777">
        <f>$E$21*$M$8*'Traffic Data'!AK31*annualizationFactor</f>
        <v>0.5313677908333333</v>
      </c>
      <c r="J55" s="777">
        <f>$E$21*$M$8*'Traffic Data'!AL31*annualizationFactor</f>
        <v>0.55027679333739576</v>
      </c>
      <c r="K55" s="777">
        <f>$E$21*$M$8*'Traffic Data'!AM31*annualizationFactor</f>
        <v>0.57085540937370838</v>
      </c>
      <c r="L55" s="777">
        <f>$E$21*$M$8*'Traffic Data'!AN31*annualizationFactor</f>
        <v>0.61019969844418753</v>
      </c>
      <c r="M55" s="777">
        <f>$E$21*$M$8*'Traffic Data'!AO31*annualizationFactor</f>
        <v>0.64955936921387514</v>
      </c>
      <c r="N55" s="777">
        <f>$E$21*$M$8*'Traffic Data'!AP31*annualizationFactor</f>
        <v>0.68892463332872911</v>
      </c>
      <c r="O55" s="777">
        <f>$E$21*$M$8*'Traffic Data'!AQ31*annualizationFactor</f>
        <v>0.72826892239920837</v>
      </c>
      <c r="P55" s="777">
        <f>$E$21*$M$8*'Traffic Data'!AR31*annualizationFactor</f>
        <v>0.76764607237254168</v>
      </c>
      <c r="Q55" s="777">
        <f>$E$21*$M$8*'Traffic Data'!AS31*annualizationFactor</f>
        <v>0.82167079500108309</v>
      </c>
      <c r="R55" s="777">
        <f>$E$21*$M$8*'Traffic Data'!AT31*annualizationFactor</f>
        <v>0.87570600515181218</v>
      </c>
      <c r="S55" s="777">
        <f>$E$21*$M$8*'Traffic Data'!AU31*annualizationFactor</f>
        <v>0.9297237360988958</v>
      </c>
      <c r="T55" s="777">
        <f>$E$21*$M$8*'Traffic Data'!AV31*annualizationFactor</f>
        <v>0.98374845872743732</v>
      </c>
      <c r="U55" s="777">
        <f>$E$21*$M$8*'Traffic Data'!AW31*annualizationFactor</f>
        <v>1.037815131444729</v>
      </c>
      <c r="V55" s="777">
        <f>$E$21*$M$8*'Traffic Data'!AX31*annualizationFactor</f>
        <v>1.073049710154</v>
      </c>
      <c r="W55" s="777">
        <f>$E$21*$M$8*'Traffic Data'!AY31*annualizationFactor</f>
        <v>1.0919587126580623</v>
      </c>
      <c r="X55" s="777">
        <f>$E$21*$M$8*'Traffic Data'!AZ31*annualizationFactor</f>
        <v>1.1108677151621249</v>
      </c>
      <c r="Y55" s="777">
        <f>$E$21*$M$8*'Traffic Data'!BA31*annualizationFactor</f>
        <v>1.1297767176661873</v>
      </c>
      <c r="Z55" s="777">
        <f>$E$21*$M$8*'Traffic Data'!BB31*annualizationFactor</f>
        <v>1.1486927118517083</v>
      </c>
      <c r="AA55" s="777">
        <f>$E$21*$M$8*'Traffic Data'!BC31*annualizationFactor</f>
        <v>1.1676017143557704</v>
      </c>
      <c r="AB55" s="777">
        <f>$E$21*$M$8*'Traffic Data'!BD31*annualizationFactor</f>
        <v>1.1865177085412917</v>
      </c>
      <c r="AC55" s="777">
        <f>$E$21*$M$8*'Traffic Data'!BE31*annualizationFactor</f>
        <v>1.205426711045354</v>
      </c>
      <c r="AD55" s="777">
        <f>$E$21*$M$8*'Traffic Data'!BF31*annualizationFactor</f>
        <v>1.2243357135494166</v>
      </c>
      <c r="AE55" s="777">
        <f>$E$21*$M$8*'Traffic Data'!BG31*annualizationFactor</f>
        <v>1.2432517077349374</v>
      </c>
      <c r="AF55" s="777">
        <f>$E$21*$M$8*'Traffic Data'!BH31*annualizationFactor</f>
        <v>1.262160710239</v>
      </c>
      <c r="AG55" s="777">
        <f>$E$21*$M$8*'Traffic Data'!BI31*annualizationFactor</f>
        <v>1.2810697127430624</v>
      </c>
      <c r="AH55" s="778">
        <f>$E$21*$M$8*'Traffic Data'!BJ31*annualizationFactor</f>
        <v>1.299985706928583</v>
      </c>
      <c r="AI55" s="40"/>
      <c r="AJ55" s="40"/>
      <c r="AK55" s="40"/>
      <c r="AL55" s="40"/>
      <c r="AM55" s="40"/>
    </row>
    <row r="56" spans="2:39" ht="21.95" customHeight="1" x14ac:dyDescent="0.2">
      <c r="B56" s="492"/>
      <c r="C56" s="116" t="s">
        <v>346</v>
      </c>
      <c r="D56" s="116" t="s">
        <v>343</v>
      </c>
      <c r="E56" s="116" t="s">
        <v>19</v>
      </c>
      <c r="F56" s="116" t="s">
        <v>43</v>
      </c>
      <c r="G56" s="970"/>
      <c r="H56" s="970"/>
      <c r="I56" s="777">
        <f>$E$21*$M$8*'Traffic Data'!AK32*annualizationFactor</f>
        <v>0.13141824999999999</v>
      </c>
      <c r="J56" s="777">
        <f>$E$21*$M$8*'Traffic Data'!AL32*annualizationFactor</f>
        <v>0.13609483759374999</v>
      </c>
      <c r="K56" s="777">
        <f>$E$21*$M$8*'Traffic Data'!AM32*annualizationFactor</f>
        <v>0.14118435516249997</v>
      </c>
      <c r="L56" s="777">
        <f>$E$21*$M$8*'Traffic Data'!AN32*annualizationFactor</f>
        <v>0.15091501198125001</v>
      </c>
      <c r="M56" s="777">
        <f>$E$21*$M$8*'Traffic Data'!AO32*annualizationFactor</f>
        <v>0.16064947301250002</v>
      </c>
      <c r="N56" s="777">
        <f>$E$21*$M$8*'Traffic Data'!AP32*annualizationFactor</f>
        <v>0.17038531739374999</v>
      </c>
      <c r="O56" s="777">
        <f>$E$21*$M$8*'Traffic Data'!AQ32*annualizationFactor</f>
        <v>0.1801159742125</v>
      </c>
      <c r="P56" s="777">
        <f>$E$21*$M$8*'Traffic Data'!AR32*annualizationFactor</f>
        <v>0.18985475821249997</v>
      </c>
      <c r="Q56" s="777">
        <f>$E$21*$M$8*'Traffic Data'!AS32*annualizationFactor</f>
        <v>0.20321619002499994</v>
      </c>
      <c r="R56" s="777">
        <f>$E$21*$M$8*'Traffic Data'!AT32*annualizationFactor</f>
        <v>0.21658021561874996</v>
      </c>
      <c r="S56" s="777">
        <f>$E$21*$M$8*'Traffic Data'!AU32*annualizationFactor</f>
        <v>0.22993991824374996</v>
      </c>
      <c r="T56" s="777">
        <f>$E$21*$M$8*'Traffic Data'!AV32*annualizationFactor</f>
        <v>0.24330135005625</v>
      </c>
      <c r="U56" s="777">
        <f>$E$21*$M$8*'Traffic Data'!AW32*annualizationFactor</f>
        <v>0.25667315699374998</v>
      </c>
      <c r="V56" s="777">
        <f>$E$21*$M$8*'Traffic Data'!AX32*annualizationFactor</f>
        <v>0.26538739739999995</v>
      </c>
      <c r="W56" s="777">
        <f>$E$21*$M$8*'Traffic Data'!AY32*annualizationFactor</f>
        <v>0.27006398499374995</v>
      </c>
      <c r="X56" s="777">
        <f>$E$21*$M$8*'Traffic Data'!AZ32*annualizationFactor</f>
        <v>0.2747405725874999</v>
      </c>
      <c r="Y56" s="777">
        <f>$E$21*$M$8*'Traffic Data'!BA32*annualizationFactor</f>
        <v>0.27941716018124996</v>
      </c>
      <c r="Z56" s="777">
        <f>$E$21*$M$8*'Traffic Data'!BB32*annualizationFactor</f>
        <v>0.28409547696249993</v>
      </c>
      <c r="AA56" s="777">
        <f>$E$21*$M$8*'Traffic Data'!BC32*annualizationFactor</f>
        <v>0.28877206455624987</v>
      </c>
      <c r="AB56" s="777">
        <f>$E$21*$M$8*'Traffic Data'!BD32*annualizationFactor</f>
        <v>0.29345038133750001</v>
      </c>
      <c r="AC56" s="777">
        <f>$E$21*$M$8*'Traffic Data'!BE32*annualizationFactor</f>
        <v>0.29812696893124996</v>
      </c>
      <c r="AD56" s="777">
        <f>$E$21*$M$8*'Traffic Data'!BF32*annualizationFactor</f>
        <v>0.30280355652499996</v>
      </c>
      <c r="AE56" s="777">
        <f>$E$21*$M$8*'Traffic Data'!BG32*annualizationFactor</f>
        <v>0.30748187330624993</v>
      </c>
      <c r="AF56" s="777">
        <f>$E$21*$M$8*'Traffic Data'!BH32*annualizationFactor</f>
        <v>0.31215846090000005</v>
      </c>
      <c r="AG56" s="777">
        <f>$E$21*$M$8*'Traffic Data'!BI32*annualizationFactor</f>
        <v>0.31683504849374999</v>
      </c>
      <c r="AH56" s="778">
        <f>$E$21*$M$8*'Traffic Data'!BJ32*annualizationFactor</f>
        <v>0.32151336527499991</v>
      </c>
      <c r="AI56" s="40"/>
      <c r="AJ56" s="40"/>
      <c r="AK56" s="40"/>
      <c r="AL56" s="40"/>
      <c r="AM56" s="40"/>
    </row>
    <row r="57" spans="2:39" ht="21.95" customHeight="1" x14ac:dyDescent="0.2">
      <c r="B57" s="492"/>
      <c r="C57" s="116" t="s">
        <v>343</v>
      </c>
      <c r="D57" s="116" t="s">
        <v>350</v>
      </c>
      <c r="E57" s="116" t="s">
        <v>19</v>
      </c>
      <c r="F57" s="116" t="s">
        <v>43</v>
      </c>
      <c r="G57" s="970"/>
      <c r="H57" s="970"/>
      <c r="I57" s="777">
        <f>$E$21*$M$8*'Traffic Data'!AK33*annualizationFactor</f>
        <v>0.33719156250000004</v>
      </c>
      <c r="J57" s="777">
        <f>$E$21*$M$8*'Traffic Data'!AL33*annualizationFactor</f>
        <v>0.34880387792656248</v>
      </c>
      <c r="K57" s="777">
        <f>$E$21*$M$8*'Traffic Data'!AM33*annualizationFactor</f>
        <v>0.36175933974374996</v>
      </c>
      <c r="L57" s="777">
        <f>$E$21*$M$8*'Traffic Data'!AN33*annualizationFactor</f>
        <v>0.38439107543281259</v>
      </c>
      <c r="M57" s="777">
        <f>$E$21*$M$8*'Traffic Data'!AO33*annualizationFactor</f>
        <v>0.40703629878437497</v>
      </c>
      <c r="N57" s="777">
        <f>$E$21*$M$8*'Traffic Data'!AP33*annualizationFactor</f>
        <v>0.42967365433281257</v>
      </c>
      <c r="O57" s="777">
        <f>$E$21*$M$8*'Traffic Data'!AQ33*annualizationFactor</f>
        <v>0.45230539002187503</v>
      </c>
      <c r="P57" s="777">
        <f>$E$21*$M$8*'Traffic Data'!AR33*annualizationFactor</f>
        <v>0.47496016713437506</v>
      </c>
      <c r="Q57" s="777">
        <f>$E$21*$M$8*'Traffic Data'!AS33*annualizationFactor</f>
        <v>0.50413735303750007</v>
      </c>
      <c r="R57" s="777">
        <f>$E$21*$M$8*'Traffic Data'!AT33*annualizationFactor</f>
        <v>0.53333083653281266</v>
      </c>
      <c r="S57" s="777">
        <f>$E$21*$M$8*'Traffic Data'!AU33*annualizationFactor</f>
        <v>0.56250240257656225</v>
      </c>
      <c r="T57" s="777">
        <f>$E$21*$M$8*'Traffic Data'!AV33*annualizationFactor</f>
        <v>0.59167958847968738</v>
      </c>
      <c r="U57" s="777">
        <f>$E$21*$M$8*'Traffic Data'!AW33*annualizationFactor</f>
        <v>0.62088150176406243</v>
      </c>
      <c r="V57" s="777">
        <f>$E$21*$M$8*'Traffic Data'!AX33*annualizationFactor</f>
        <v>0.64036724017500002</v>
      </c>
      <c r="W57" s="777">
        <f>$E$21*$M$8*'Traffic Data'!AY33*annualizationFactor</f>
        <v>0.65197955560156262</v>
      </c>
      <c r="X57" s="777">
        <f>$E$21*$M$8*'Traffic Data'!AZ33*annualizationFactor</f>
        <v>0.663591871028125</v>
      </c>
      <c r="Y57" s="777">
        <f>$E$21*$M$8*'Traffic Data'!BA33*annualizationFactor</f>
        <v>0.67520418645468783</v>
      </c>
      <c r="Z57" s="777">
        <f>$E$21*$M$8*'Traffic Data'!BB33*annualizationFactor</f>
        <v>0.68682324571250031</v>
      </c>
      <c r="AA57" s="777">
        <f>$E$21*$M$8*'Traffic Data'!BC33*annualizationFactor</f>
        <v>0.69843556113906258</v>
      </c>
      <c r="AB57" s="777">
        <f>$E$21*$M$8*'Traffic Data'!BD33*annualizationFactor</f>
        <v>0.71005462039687484</v>
      </c>
      <c r="AC57" s="777">
        <f>$E$21*$M$8*'Traffic Data'!BE33*annualizationFactor</f>
        <v>0.72166693582343755</v>
      </c>
      <c r="AD57" s="777">
        <f>$E$21*$M$8*'Traffic Data'!BF33*annualizationFactor</f>
        <v>0.73327925125000004</v>
      </c>
      <c r="AE57" s="777">
        <f>$E$21*$M$8*'Traffic Data'!BG33*annualizationFactor</f>
        <v>0.74489831050781252</v>
      </c>
      <c r="AF57" s="777">
        <f>$E$21*$M$8*'Traffic Data'!BH33*annualizationFactor</f>
        <v>0.75651062593437501</v>
      </c>
      <c r="AG57" s="777">
        <f>$E$21*$M$8*'Traffic Data'!BI33*annualizationFactor</f>
        <v>0.76812294136093751</v>
      </c>
      <c r="AH57" s="778">
        <f>$E$21*$M$8*'Traffic Data'!BJ33*annualizationFactor</f>
        <v>0.77974200061874999</v>
      </c>
      <c r="AI57" s="40"/>
      <c r="AJ57" s="40"/>
      <c r="AK57" s="40"/>
      <c r="AL57" s="40"/>
      <c r="AM57" s="40"/>
    </row>
    <row r="58" spans="2:39" ht="21.95" customHeight="1" x14ac:dyDescent="0.2">
      <c r="B58" s="492"/>
      <c r="C58" s="116" t="s">
        <v>350</v>
      </c>
      <c r="D58" s="116" t="s">
        <v>280</v>
      </c>
      <c r="E58" s="116" t="s">
        <v>19</v>
      </c>
      <c r="F58" s="116" t="s">
        <v>43</v>
      </c>
      <c r="G58" s="970"/>
      <c r="H58" s="970"/>
      <c r="I58" s="777">
        <f>$E$21*$M$8*'Traffic Data'!AK34*annualizationFactor</f>
        <v>2.7995545624999996</v>
      </c>
      <c r="J58" s="777">
        <f>$E$21*$M$8*'Traffic Data'!AL34*annualizationFactor</f>
        <v>2.8959665557082288</v>
      </c>
      <c r="K58" s="777">
        <f>$E$21*$M$8*'Traffic Data'!AM34*annualizationFactor</f>
        <v>3.0035301079237495</v>
      </c>
      <c r="L58" s="777">
        <f>$E$21*$M$8*'Traffic Data'!AN34*annualizationFactor</f>
        <v>3.1914315442344789</v>
      </c>
      <c r="M58" s="777">
        <f>$E$21*$M$8*'Traffic Data'!AO34*annualizationFactor</f>
        <v>3.3794449627277086</v>
      </c>
      <c r="N58" s="777">
        <f>$E$21*$M$8*'Traffic Data'!AP34*annualizationFactor</f>
        <v>3.5673930582811471</v>
      </c>
      <c r="O58" s="777">
        <f>$E$21*$M$8*'Traffic Data'!AQ34*annualizationFactor</f>
        <v>3.7552944945918756</v>
      </c>
      <c r="P58" s="777">
        <f>$E$21*$M$8*'Traffic Data'!AR34*annualizationFactor</f>
        <v>3.9433872337977087</v>
      </c>
      <c r="Q58" s="777">
        <f>$E$21*$M$8*'Traffic Data'!AS34*annualizationFactor</f>
        <v>4.1856326900908334</v>
      </c>
      <c r="R58" s="777">
        <f>$E$21*$M$8*'Traffic Data'!AT34*annualizationFactor</f>
        <v>4.4280134581878139</v>
      </c>
      <c r="S58" s="777">
        <f>$E$21*$M$8*'Traffic Data'!AU34*annualizationFactor</f>
        <v>4.6702122552382273</v>
      </c>
      <c r="T58" s="777">
        <f>$E$21*$M$8*'Traffic Data'!AV34*annualizationFactor</f>
        <v>4.9124577115313537</v>
      </c>
      <c r="U58" s="777">
        <f>$E$21*$M$8*'Traffic Data'!AW34*annualizationFactor</f>
        <v>5.1549084684923967</v>
      </c>
      <c r="V58" s="777">
        <f>$E$21*$M$8*'Traffic Data'!AX34*annualizationFactor</f>
        <v>5.3166900607350005</v>
      </c>
      <c r="W58" s="777">
        <f>$E$21*$M$8*'Traffic Data'!AY34*annualizationFactor</f>
        <v>5.4131020539432297</v>
      </c>
      <c r="X58" s="777">
        <f>$E$21*$M$8*'Traffic Data'!AZ34*annualizationFactor</f>
        <v>5.509514047151459</v>
      </c>
      <c r="Y58" s="777">
        <f>$E$21*$M$8*'Traffic Data'!BA34*annualizationFactor</f>
        <v>5.60592604035969</v>
      </c>
      <c r="Z58" s="777">
        <f>$E$21*$M$8*'Traffic Data'!BB34*annualizationFactor</f>
        <v>5.702394024659168</v>
      </c>
      <c r="AA58" s="777">
        <f>$E$21*$M$8*'Traffic Data'!BC34*annualizationFactor</f>
        <v>5.7988060178673964</v>
      </c>
      <c r="AB58" s="777">
        <f>$E$21*$M$8*'Traffic Data'!BD34*annualizationFactor</f>
        <v>5.8952740021668744</v>
      </c>
      <c r="AC58" s="777">
        <f>$E$21*$M$8*'Traffic Data'!BE34*annualizationFactor</f>
        <v>5.9916859953751045</v>
      </c>
      <c r="AD58" s="777">
        <f>$E$21*$M$8*'Traffic Data'!BF34*annualizationFactor</f>
        <v>6.0880979885833328</v>
      </c>
      <c r="AE58" s="777">
        <f>$E$21*$M$8*'Traffic Data'!BG34*annualizationFactor</f>
        <v>6.1845659728828135</v>
      </c>
      <c r="AF58" s="777">
        <f>$E$21*$M$8*'Traffic Data'!BH34*annualizationFactor</f>
        <v>6.2809779660910419</v>
      </c>
      <c r="AG58" s="777">
        <f>$E$21*$M$8*'Traffic Data'!BI34*annualizationFactor</f>
        <v>6.3773899592992711</v>
      </c>
      <c r="AH58" s="778">
        <f>$E$21*$M$8*'Traffic Data'!BJ34*annualizationFactor</f>
        <v>6.47385794359875</v>
      </c>
      <c r="AI58" s="40"/>
      <c r="AJ58" s="40"/>
      <c r="AK58" s="40"/>
      <c r="AL58" s="40"/>
      <c r="AM58" s="40"/>
    </row>
    <row r="59" spans="2:39" ht="21.95" customHeight="1" x14ac:dyDescent="0.2">
      <c r="B59" s="493"/>
      <c r="C59" s="254" t="s">
        <v>280</v>
      </c>
      <c r="D59" s="254" t="s">
        <v>333</v>
      </c>
      <c r="E59" s="254" t="s">
        <v>19</v>
      </c>
      <c r="F59" s="254" t="s">
        <v>43</v>
      </c>
      <c r="G59" s="779"/>
      <c r="H59" s="779"/>
      <c r="I59" s="779">
        <f>$E$21*$M$8*'Traffic Data'!AK35*annualizationFactor</f>
        <v>6.9167499999999993E-2</v>
      </c>
      <c r="J59" s="779">
        <f>$E$21*$M$8*'Traffic Data'!AL35*annualizationFactor</f>
        <v>7.1549513420833336E-2</v>
      </c>
      <c r="K59" s="779">
        <f>$E$21*$M$8*'Traffic Data'!AM35*annualizationFactor</f>
        <v>7.4207044049999976E-2</v>
      </c>
      <c r="L59" s="779">
        <f>$E$21*$M$8*'Traffic Data'!AN35*annualizationFactor</f>
        <v>7.8849451370833337E-2</v>
      </c>
      <c r="M59" s="779">
        <f>$E$21*$M$8*'Traffic Data'!AO35*annualizationFactor</f>
        <v>8.3494625391666674E-2</v>
      </c>
      <c r="N59" s="779">
        <f>$E$21*$M$8*'Traffic Data'!AP35*annualizationFactor</f>
        <v>8.8138185504166688E-2</v>
      </c>
      <c r="O59" s="779">
        <f>$E$21*$M$8*'Traffic Data'!AQ35*annualizationFactor</f>
        <v>9.2780592825000022E-2</v>
      </c>
      <c r="P59" s="779">
        <f>$E$21*$M$8*'Traffic Data'!AR35*annualizationFactor</f>
        <v>9.742772659166668E-2</v>
      </c>
      <c r="Q59" s="779">
        <f>$E$21*$M$8*'Traffic Data'!AS35*annualizationFactor</f>
        <v>0.10341279036666669</v>
      </c>
      <c r="R59" s="779">
        <f>$E$21*$M$8*'Traffic Data'!AT35*annualizationFactor</f>
        <v>0.10940119723750004</v>
      </c>
      <c r="S59" s="779">
        <f>$E$21*$M$8*'Traffic Data'!AU35*annualizationFactor</f>
        <v>0.1153851082208333</v>
      </c>
      <c r="T59" s="779">
        <f>$E$21*$M$8*'Traffic Data'!AV35*annualizationFactor</f>
        <v>0.12137017199583332</v>
      </c>
      <c r="U59" s="779">
        <f>$E$21*$M$8*'Traffic Data'!AW35*annualizationFactor</f>
        <v>0.12736030805416668</v>
      </c>
      <c r="V59" s="779">
        <f>$E$21*$M$8*'Traffic Data'!AX35*annualizationFactor</f>
        <v>0.13135738260000002</v>
      </c>
      <c r="W59" s="779">
        <f>$E$21*$M$8*'Traffic Data'!AY35*annualizationFactor</f>
        <v>0.13373939602083335</v>
      </c>
      <c r="X59" s="779">
        <f>$E$21*$M$8*'Traffic Data'!AZ35*annualizationFactor</f>
        <v>0.1361214094416667</v>
      </c>
      <c r="Y59" s="779">
        <f>$E$21*$M$8*'Traffic Data'!BA35*annualizationFactor</f>
        <v>0.13850342286250006</v>
      </c>
      <c r="Z59" s="779">
        <f>$E$21*$M$8*'Traffic Data'!BB35*annualizationFactor</f>
        <v>0.14088681963333338</v>
      </c>
      <c r="AA59" s="779">
        <f>$E$21*$M$8*'Traffic Data'!BC35*annualizationFactor</f>
        <v>0.14326883305416668</v>
      </c>
      <c r="AB59" s="779">
        <f>$E$21*$M$8*'Traffic Data'!BD35*annualizationFactor</f>
        <v>0.14565222982499998</v>
      </c>
      <c r="AC59" s="779">
        <f>$E$21*$M$8*'Traffic Data'!BE35*annualizationFactor</f>
        <v>0.14803424324583336</v>
      </c>
      <c r="AD59" s="779">
        <f>$E$21*$M$8*'Traffic Data'!BF35*annualizationFactor</f>
        <v>0.15041625666666666</v>
      </c>
      <c r="AE59" s="779">
        <f>$E$21*$M$8*'Traffic Data'!BG35*annualizationFactor</f>
        <v>0.15279965343750002</v>
      </c>
      <c r="AF59" s="779">
        <f>$E$21*$M$8*'Traffic Data'!BH35*annualizationFactor</f>
        <v>0.15518166685833332</v>
      </c>
      <c r="AG59" s="779">
        <f>$E$21*$M$8*'Traffic Data'!BI35*annualizationFactor</f>
        <v>0.1575636802791667</v>
      </c>
      <c r="AH59" s="783">
        <f>$E$21*$M$8*'Traffic Data'!BJ35*annualizationFactor</f>
        <v>0.15994707705</v>
      </c>
      <c r="AI59" s="40"/>
      <c r="AJ59" s="40"/>
      <c r="AK59" s="40"/>
      <c r="AL59" s="40"/>
      <c r="AM59" s="40"/>
    </row>
    <row r="60" spans="2:39" ht="21.95" customHeight="1" x14ac:dyDescent="0.2">
      <c r="B60" s="808" t="s">
        <v>490</v>
      </c>
      <c r="C60" s="809"/>
      <c r="D60" s="809"/>
      <c r="E60" s="240"/>
      <c r="F60" s="240"/>
      <c r="G60" s="969">
        <f>SUM(G31:G59)</f>
        <v>0</v>
      </c>
      <c r="H60" s="969">
        <f>SUM(H31:H59)</f>
        <v>0</v>
      </c>
      <c r="I60" s="785">
        <f t="shared" ref="I60:AH60" si="0">SUM(I31:I59)</f>
        <v>108.63311105578333</v>
      </c>
      <c r="J60" s="785">
        <f t="shared" si="0"/>
        <v>112.2497193409813</v>
      </c>
      <c r="K60" s="785">
        <f t="shared" si="0"/>
        <v>118.27608560568316</v>
      </c>
      <c r="L60" s="785">
        <f t="shared" si="0"/>
        <v>127.60474431758948</v>
      </c>
      <c r="M60" s="785">
        <f t="shared" si="0"/>
        <v>136.93804038620573</v>
      </c>
      <c r="N60" s="785">
        <f t="shared" si="0"/>
        <v>146.27133831934725</v>
      </c>
      <c r="O60" s="785">
        <f t="shared" si="0"/>
        <v>155.59999703125348</v>
      </c>
      <c r="P60" s="785">
        <f t="shared" si="0"/>
        <v>164.93707325718137</v>
      </c>
      <c r="Q60" s="785">
        <f t="shared" si="0"/>
        <v>174.03816485403561</v>
      </c>
      <c r="R60" s="785">
        <f t="shared" si="0"/>
        <v>183.14075624403048</v>
      </c>
      <c r="S60" s="785">
        <f t="shared" si="0"/>
        <v>192.24159502929169</v>
      </c>
      <c r="T60" s="785">
        <f t="shared" si="0"/>
        <v>201.34281018696797</v>
      </c>
      <c r="U60" s="785">
        <f t="shared" si="0"/>
        <v>210.45145926695858</v>
      </c>
      <c r="V60" s="785">
        <f t="shared" si="0"/>
        <v>216.24566303292784</v>
      </c>
      <c r="W60" s="785">
        <f t="shared" si="0"/>
        <v>219.87149577259584</v>
      </c>
      <c r="X60" s="785">
        <f t="shared" si="0"/>
        <v>223.49827013094179</v>
      </c>
      <c r="Y60" s="785">
        <f t="shared" si="0"/>
        <v>227.1246780675398</v>
      </c>
      <c r="Z60" s="785">
        <f t="shared" si="0"/>
        <v>230.7527489349367</v>
      </c>
      <c r="AA60" s="785">
        <f t="shared" si="0"/>
        <v>234.37915687153475</v>
      </c>
      <c r="AB60" s="785">
        <f t="shared" si="0"/>
        <v>238.00722773893168</v>
      </c>
      <c r="AC60" s="785">
        <f t="shared" si="0"/>
        <v>241.63363567552969</v>
      </c>
      <c r="AD60" s="785">
        <f t="shared" si="0"/>
        <v>245.26004361212765</v>
      </c>
      <c r="AE60" s="785">
        <f t="shared" si="0"/>
        <v>248.88802926516459</v>
      </c>
      <c r="AF60" s="785">
        <f t="shared" si="0"/>
        <v>252.51480362351055</v>
      </c>
      <c r="AG60" s="785">
        <f t="shared" si="0"/>
        <v>256.14072157753856</v>
      </c>
      <c r="AH60" s="786">
        <f t="shared" si="0"/>
        <v>259.76879244493551</v>
      </c>
      <c r="AI60" s="40"/>
      <c r="AJ60" s="40"/>
      <c r="AK60" s="40"/>
      <c r="AL60" s="40"/>
      <c r="AM60" s="40"/>
    </row>
    <row r="61" spans="2:39" ht="21.95" customHeight="1" x14ac:dyDescent="0.2">
      <c r="B61" s="787" t="s">
        <v>328</v>
      </c>
      <c r="C61" s="1344" t="s">
        <v>18</v>
      </c>
      <c r="D61" s="1344"/>
      <c r="E61" s="46" t="s">
        <v>24</v>
      </c>
      <c r="F61" s="46" t="s">
        <v>42</v>
      </c>
      <c r="G61" s="123" cm="1">
        <f t="array" ref="G61:AH61">year</f>
        <v>2021</v>
      </c>
      <c r="H61" s="123">
        <v>2022</v>
      </c>
      <c r="I61" s="46">
        <v>2023</v>
      </c>
      <c r="J61" s="46">
        <v>2024</v>
      </c>
      <c r="K61" s="46">
        <v>2025</v>
      </c>
      <c r="L61" s="46">
        <v>2026</v>
      </c>
      <c r="M61" s="46">
        <v>2027</v>
      </c>
      <c r="N61" s="46">
        <v>2028</v>
      </c>
      <c r="O61" s="46">
        <v>2029</v>
      </c>
      <c r="P61" s="46">
        <v>2030</v>
      </c>
      <c r="Q61" s="46">
        <v>2031</v>
      </c>
      <c r="R61" s="46">
        <v>2032</v>
      </c>
      <c r="S61" s="46">
        <v>2033</v>
      </c>
      <c r="T61" s="46">
        <v>2034</v>
      </c>
      <c r="U61" s="46">
        <v>2035</v>
      </c>
      <c r="V61" s="46">
        <v>2036</v>
      </c>
      <c r="W61" s="46">
        <v>2037</v>
      </c>
      <c r="X61" s="46">
        <v>2038</v>
      </c>
      <c r="Y61" s="46">
        <v>2039</v>
      </c>
      <c r="Z61" s="46">
        <v>2040</v>
      </c>
      <c r="AA61" s="46">
        <v>2041</v>
      </c>
      <c r="AB61" s="46">
        <v>2042</v>
      </c>
      <c r="AC61" s="46">
        <v>2043</v>
      </c>
      <c r="AD61" s="46">
        <v>2044</v>
      </c>
      <c r="AE61" s="46">
        <v>2045</v>
      </c>
      <c r="AF61" s="46">
        <v>2046</v>
      </c>
      <c r="AG61" s="46">
        <v>2047</v>
      </c>
      <c r="AH61" s="495">
        <v>2048</v>
      </c>
      <c r="AI61" s="40"/>
      <c r="AJ61" s="40"/>
      <c r="AK61" s="40"/>
      <c r="AL61" s="40"/>
      <c r="AM61" s="40"/>
    </row>
    <row r="62" spans="2:39" ht="21.95" customHeight="1" x14ac:dyDescent="0.2">
      <c r="B62" s="1346" t="s">
        <v>331</v>
      </c>
      <c r="C62" s="220" t="s">
        <v>332</v>
      </c>
      <c r="D62" s="220" t="s">
        <v>282</v>
      </c>
      <c r="E62" s="220" t="s">
        <v>467</v>
      </c>
      <c r="F62" s="220" t="s">
        <v>43</v>
      </c>
      <c r="G62" s="775"/>
      <c r="H62" s="775"/>
      <c r="I62" s="775">
        <f>$E$22*$E$9*'Traffic Data'!AK7*annualizationFactor</f>
        <v>8.3086848000000005E-2</v>
      </c>
      <c r="J62" s="775">
        <f>$E$22*$E$9*'Traffic Data'!AL7*annualizationFactor</f>
        <v>8.69093623008E-2</v>
      </c>
      <c r="K62" s="775">
        <f>$E$22*$E$9*'Traffic Data'!AM7*annualizationFactor</f>
        <v>9.2277032328000025E-2</v>
      </c>
      <c r="L62" s="775">
        <f>$E$22*$E$9*'Traffic Data'!AN7*annualizationFactor</f>
        <v>0.10015132870080001</v>
      </c>
      <c r="M62" s="775">
        <f>$E$22*$E$9*'Traffic Data'!AO7*annualizationFactor</f>
        <v>0.10802848118400001</v>
      </c>
      <c r="N62" s="775">
        <f>$E$22*$E$9*'Traffic Data'!AP7*annualizationFactor</f>
        <v>0.11590589331359999</v>
      </c>
      <c r="O62" s="775">
        <f>$E$22*$E$9*'Traffic Data'!AQ7*annualizationFactor</f>
        <v>0.12378018968639999</v>
      </c>
      <c r="P62" s="775">
        <f>$E$22*$E$9*'Traffic Data'!AR7*annualizationFactor</f>
        <v>0.13166045792639997</v>
      </c>
      <c r="Q62" s="775">
        <f>$E$22*$E$9*'Traffic Data'!AS7*annualizationFactor</f>
        <v>0.13944777275520001</v>
      </c>
      <c r="R62" s="775">
        <f>$E$22*$E$9*'Traffic Data'!AT7*annualizationFactor</f>
        <v>0.14723664546240001</v>
      </c>
      <c r="S62" s="775">
        <f>$E$22*$E$9*'Traffic Data'!AU7*annualizationFactor</f>
        <v>0.15502396029120002</v>
      </c>
      <c r="T62" s="775">
        <f>$E$22*$E$9*'Traffic Data'!AV7*annualizationFactor</f>
        <v>0.16281127512000004</v>
      </c>
      <c r="U62" s="775">
        <f>$E$22*$E$9*'Traffic Data'!AW7*annualizationFactor</f>
        <v>0.17060482146240002</v>
      </c>
      <c r="V62" s="775">
        <f>$E$22*$E$9*'Traffic Data'!AX7*annualizationFactor</f>
        <v>0.1758823941888</v>
      </c>
      <c r="W62" s="775">
        <f>$E$22*$E$9*'Traffic Data'!AY7*annualizationFactor</f>
        <v>0.1797049084896</v>
      </c>
      <c r="X62" s="775">
        <f>$E$22*$E$9*'Traffic Data'!AZ7*annualizationFactor</f>
        <v>0.18352742279039999</v>
      </c>
      <c r="Y62" s="775">
        <f>$E$22*$E$9*'Traffic Data'!BA7*annualizationFactor</f>
        <v>0.18734993709120004</v>
      </c>
      <c r="Z62" s="775">
        <f>$E$22*$E$9*'Traffic Data'!BB7*annualizationFactor</f>
        <v>0.19117400927040004</v>
      </c>
      <c r="AA62" s="775">
        <f>$E$22*$E$9*'Traffic Data'!BC7*annualizationFactor</f>
        <v>0.19499652357120004</v>
      </c>
      <c r="AB62" s="775">
        <f>$E$22*$E$9*'Traffic Data'!BD7*annualizationFactor</f>
        <v>0.19882059575040001</v>
      </c>
      <c r="AC62" s="775">
        <f>$E$22*$E$9*'Traffic Data'!BE7*annualizationFactor</f>
        <v>0.20264311005120003</v>
      </c>
      <c r="AD62" s="775">
        <f>$E$22*$E$9*'Traffic Data'!BF7*annualizationFactor</f>
        <v>0.20646562435200003</v>
      </c>
      <c r="AE62" s="775">
        <f>$E$22*$E$9*'Traffic Data'!BG7*annualizationFactor</f>
        <v>0.2102896965312</v>
      </c>
      <c r="AF62" s="775">
        <f>$E$22*$E$9*'Traffic Data'!BH7*annualizationFactor</f>
        <v>0.21411221083200002</v>
      </c>
      <c r="AG62" s="775">
        <f>$E$22*$E$9*'Traffic Data'!BI7*annualizationFactor</f>
        <v>0.21793472513280002</v>
      </c>
      <c r="AH62" s="776">
        <f>$E$22*$E$9*'Traffic Data'!BJ7*annualizationFactor</f>
        <v>0.22175879731199999</v>
      </c>
      <c r="AI62" s="40"/>
      <c r="AJ62" s="40"/>
      <c r="AK62" s="40"/>
      <c r="AL62" s="40"/>
      <c r="AM62" s="40"/>
    </row>
    <row r="63" spans="2:39" ht="21.95" customHeight="1" x14ac:dyDescent="0.2">
      <c r="B63" s="1346"/>
      <c r="C63" s="116" t="s">
        <v>282</v>
      </c>
      <c r="D63" s="116" t="s">
        <v>280</v>
      </c>
      <c r="E63" s="116" t="s">
        <v>467</v>
      </c>
      <c r="F63" s="116" t="s">
        <v>43</v>
      </c>
      <c r="G63" s="970"/>
      <c r="H63" s="970"/>
      <c r="I63" s="777">
        <f>$E$22*$E$9*'Traffic Data'!AK8*annualizationFactor</f>
        <v>2.6716869163636368</v>
      </c>
      <c r="J63" s="777">
        <f>$E$22*$E$9*'Traffic Data'!AL8*annualizationFactor</f>
        <v>2.8196884763934547</v>
      </c>
      <c r="K63" s="777">
        <f>$E$22*$E$9*'Traffic Data'!AM8*annualizationFactor</f>
        <v>2.9913196229280001</v>
      </c>
      <c r="L63" s="777">
        <f>$E$22*$E$9*'Traffic Data'!AN8*annualizationFactor</f>
        <v>3.311575723106182</v>
      </c>
      <c r="M63" s="777">
        <f>$E$22*$E$9*'Traffic Data'!AO8*annualizationFactor</f>
        <v>3.6319505649250923</v>
      </c>
      <c r="N63" s="777">
        <f>$E$22*$E$9*'Traffic Data'!AP8*annualizationFactor</f>
        <v>3.9523847775643648</v>
      </c>
      <c r="O63" s="777">
        <f>$E$22*$E$9*'Traffic Data'!AQ8*annualizationFactor</f>
        <v>4.2726408777425462</v>
      </c>
      <c r="P63" s="777">
        <f>$E$22*$E$9*'Traffic Data'!AR8*annualizationFactor</f>
        <v>4.5932037271592741</v>
      </c>
      <c r="Q63" s="777">
        <f>$E$22*$E$9*'Traffic Data'!AS8*annualizationFactor</f>
        <v>4.9731967677600011</v>
      </c>
      <c r="R63" s="777">
        <f>$E$22*$E$9*'Traffic Data'!AT8*annualizationFactor</f>
        <v>5.3532986548647283</v>
      </c>
      <c r="S63" s="777">
        <f>$E$22*$E$9*'Traffic Data'!AU8*annualizationFactor</f>
        <v>5.7332916954654554</v>
      </c>
      <c r="T63" s="777">
        <f>$E$22*$E$9*'Traffic Data'!AV8*annualizationFactor</f>
        <v>6.1132847360661815</v>
      </c>
      <c r="U63" s="777">
        <f>$E$22*$E$9*'Traffic Data'!AW8*annualizationFactor</f>
        <v>6.4936537918625463</v>
      </c>
      <c r="V63" s="777">
        <f>$E$22*$E$9*'Traffic Data'!AX8*annualizationFactor</f>
        <v>6.7248338712218185</v>
      </c>
      <c r="W63" s="777">
        <f>$E$22*$E$9*'Traffic Data'!AY8*annualizationFactor</f>
        <v>6.8728354312516373</v>
      </c>
      <c r="X63" s="777">
        <f>$E$22*$E$9*'Traffic Data'!AZ8*annualizationFactor</f>
        <v>7.0208369912814552</v>
      </c>
      <c r="Y63" s="777">
        <f>$E$22*$E$9*'Traffic Data'!BA8*annualizationFactor</f>
        <v>7.1688385513112722</v>
      </c>
      <c r="Z63" s="777">
        <f>$E$22*$E$9*'Traffic Data'!BB8*annualizationFactor</f>
        <v>7.3169390627083652</v>
      </c>
      <c r="AA63" s="777">
        <f>$E$22*$E$9*'Traffic Data'!BC8*annualizationFactor</f>
        <v>7.4649406227381823</v>
      </c>
      <c r="AB63" s="777">
        <f>$E$22*$E$9*'Traffic Data'!BD8*annualizationFactor</f>
        <v>7.6130411341352708</v>
      </c>
      <c r="AC63" s="777">
        <f>$E$22*$E$9*'Traffic Data'!BE8*annualizationFactor</f>
        <v>7.7610426941650914</v>
      </c>
      <c r="AD63" s="777">
        <f>$E$22*$E$9*'Traffic Data'!BF8*annualizationFactor</f>
        <v>7.9090442541949102</v>
      </c>
      <c r="AE63" s="777">
        <f>$E$22*$E$9*'Traffic Data'!BG8*annualizationFactor</f>
        <v>8.0571447655920014</v>
      </c>
      <c r="AF63" s="777">
        <f>$E$22*$E$9*'Traffic Data'!BH8*annualizationFactor</f>
        <v>8.2051463256218202</v>
      </c>
      <c r="AG63" s="777">
        <f>$E$22*$E$9*'Traffic Data'!BI8*annualizationFactor</f>
        <v>8.3531478856516372</v>
      </c>
      <c r="AH63" s="778">
        <f>$E$22*$E$9*'Traffic Data'!BJ8*annualizationFactor</f>
        <v>8.5012483970487285</v>
      </c>
      <c r="AI63" s="40"/>
      <c r="AJ63" s="40"/>
      <c r="AK63" s="40"/>
      <c r="AL63" s="40"/>
      <c r="AM63" s="40"/>
    </row>
    <row r="64" spans="2:39" ht="21.95" customHeight="1" x14ac:dyDescent="0.2">
      <c r="B64" s="1346"/>
      <c r="C64" s="116" t="s">
        <v>280</v>
      </c>
      <c r="D64" s="116" t="s">
        <v>333</v>
      </c>
      <c r="E64" s="254" t="s">
        <v>467</v>
      </c>
      <c r="F64" s="254" t="s">
        <v>43</v>
      </c>
      <c r="G64" s="779"/>
      <c r="H64" s="779"/>
      <c r="I64" s="777">
        <f>$E$22*$E$9*'Traffic Data'!AK9*annualizationFactor</f>
        <v>6.2315136E-2</v>
      </c>
      <c r="J64" s="777">
        <f>$E$22*$E$9*'Traffic Data'!AL9*annualizationFactor</f>
        <v>6.4917312220799994E-2</v>
      </c>
      <c r="K64" s="777">
        <f>$E$22*$E$9*'Traffic Data'!AM9*annualizationFactor</f>
        <v>6.8137966166399999E-2</v>
      </c>
      <c r="L64" s="777">
        <f>$E$22*$E$9*'Traffic Data'!AN9*annualizationFactor</f>
        <v>7.2474061046400015E-2</v>
      </c>
      <c r="M64" s="777">
        <f>$E$22*$E$9*'Traffic Data'!AO9*annualizationFactor</f>
        <v>7.6811713804800022E-2</v>
      </c>
      <c r="N64" s="777">
        <f>$E$22*$E$9*'Traffic Data'!AP9*annualizationFactor</f>
        <v>8.1148847270400032E-2</v>
      </c>
      <c r="O64" s="777">
        <f>$E$22*$E$9*'Traffic Data'!AQ9*annualizationFactor</f>
        <v>8.548494215040002E-2</v>
      </c>
      <c r="P64" s="777">
        <f>$E$22*$E$9*'Traffic Data'!AR9*annualizationFactor</f>
        <v>8.9824152787200046E-2</v>
      </c>
      <c r="Q64" s="777">
        <f>$E$22*$E$9*'Traffic Data'!AS9*annualizationFactor</f>
        <v>9.4028347296000001E-2</v>
      </c>
      <c r="R64" s="777">
        <f>$E$22*$E$9*'Traffic Data'!AT9*annualizationFactor</f>
        <v>9.8234099683199988E-2</v>
      </c>
      <c r="S64" s="777">
        <f>$E$22*$E$9*'Traffic Data'!AU9*annualizationFactor</f>
        <v>0.10243829419200001</v>
      </c>
      <c r="T64" s="777">
        <f>$E$22*$E$9*'Traffic Data'!AV9*annualizationFactor</f>
        <v>0.10664248870080001</v>
      </c>
      <c r="U64" s="777">
        <f>$E$22*$E$9*'Traffic Data'!AW9*annualizationFactor</f>
        <v>0.11084979896640001</v>
      </c>
      <c r="V64" s="777">
        <f>$E$22*$E$9*'Traffic Data'!AX9*annualizationFactor</f>
        <v>0.1139369946624</v>
      </c>
      <c r="W64" s="777">
        <f>$E$22*$E$9*'Traffic Data'!AY9*annualizationFactor</f>
        <v>0.11653917088320001</v>
      </c>
      <c r="X64" s="777">
        <f>$E$22*$E$9*'Traffic Data'!AZ9*annualizationFactor</f>
        <v>0.11914134710399998</v>
      </c>
      <c r="Y64" s="777">
        <f>$E$22*$E$9*'Traffic Data'!BA9*annualizationFactor</f>
        <v>0.12174352332480001</v>
      </c>
      <c r="Z64" s="777">
        <f>$E$22*$E$9*'Traffic Data'!BB9*annualizationFactor</f>
        <v>0.12434673813120001</v>
      </c>
      <c r="AA64" s="777">
        <f>$E$22*$E$9*'Traffic Data'!BC9*annualizationFactor</f>
        <v>0.12694891435200001</v>
      </c>
      <c r="AB64" s="777">
        <f>$E$22*$E$9*'Traffic Data'!BD9*annualizationFactor</f>
        <v>0.1295521291584</v>
      </c>
      <c r="AC64" s="777">
        <f>$E$22*$E$9*'Traffic Data'!BE9*annualizationFactor</f>
        <v>0.13215430537920006</v>
      </c>
      <c r="AD64" s="777">
        <f>$E$22*$E$9*'Traffic Data'!BF9*annualizationFactor</f>
        <v>0.13475648159999998</v>
      </c>
      <c r="AE64" s="777">
        <f>$E$22*$E$9*'Traffic Data'!BG9*annualizationFactor</f>
        <v>0.13735969640640003</v>
      </c>
      <c r="AF64" s="777">
        <f>$E$22*$E$9*'Traffic Data'!BH9*annualizationFactor</f>
        <v>0.1399618726272</v>
      </c>
      <c r="AG64" s="777">
        <f>$E$22*$E$9*'Traffic Data'!BI9*annualizationFactor</f>
        <v>0.14256404884799997</v>
      </c>
      <c r="AH64" s="778">
        <f>$E$22*$E$9*'Traffic Data'!BJ9*annualizationFactor</f>
        <v>0.14516726365440002</v>
      </c>
      <c r="AI64" s="40"/>
      <c r="AJ64" s="40"/>
      <c r="AK64" s="40"/>
      <c r="AL64" s="40"/>
      <c r="AM64" s="40"/>
    </row>
    <row r="65" spans="2:39" ht="21.95" customHeight="1" x14ac:dyDescent="0.2">
      <c r="B65" s="1346" t="s">
        <v>280</v>
      </c>
      <c r="C65" s="220" t="s">
        <v>281</v>
      </c>
      <c r="D65" s="220" t="s">
        <v>335</v>
      </c>
      <c r="E65" s="116" t="s">
        <v>467</v>
      </c>
      <c r="F65" s="116" t="s">
        <v>43</v>
      </c>
      <c r="G65" s="970"/>
      <c r="H65" s="970"/>
      <c r="I65" s="775">
        <f>$E$22*$F$9*'Traffic Data'!AK10*annualizationFactor</f>
        <v>0.58082304000000007</v>
      </c>
      <c r="J65" s="775">
        <f>$E$22*$F$9*'Traffic Data'!AL10*annualizationFactor</f>
        <v>0.64419809395200012</v>
      </c>
      <c r="K65" s="775">
        <f>$E$22*$F$9*'Traffic Data'!AM10*annualizationFactor</f>
        <v>0.7111277849087998</v>
      </c>
      <c r="L65" s="775">
        <f>$E$22*$F$9*'Traffic Data'!AN10*annualizationFactor</f>
        <v>0.91829719887359995</v>
      </c>
      <c r="M65" s="775">
        <f>$E$22*$F$9*'Traffic Data'!AO10*annualizationFactor</f>
        <v>1.1255711609855998</v>
      </c>
      <c r="N65" s="775">
        <f>$E$22*$F$9*'Traffic Data'!AP10*annualizationFactor</f>
        <v>1.3329003012864</v>
      </c>
      <c r="O65" s="775">
        <f>$E$22*$F$9*'Traffic Data'!AQ10*annualizationFactor</f>
        <v>1.5400697152512002</v>
      </c>
      <c r="P65" s="775">
        <f>$E$22*$F$9*'Traffic Data'!AR10*annualizationFactor</f>
        <v>1.7475251845632001</v>
      </c>
      <c r="Q65" s="775">
        <f>$E$22*$F$9*'Traffic Data'!AS10*annualizationFactor</f>
        <v>2.0259136676351996</v>
      </c>
      <c r="R65" s="775">
        <f>$E$22*$F$9*'Traffic Data'!AT10*annualizationFactor</f>
        <v>2.3044255756031995</v>
      </c>
      <c r="S65" s="775">
        <f>$E$22*$F$9*'Traffic Data'!AU10*annualizationFactor</f>
        <v>2.5828140586752002</v>
      </c>
      <c r="T65" s="775">
        <f>$E$22*$F$9*'Traffic Data'!AV10*annualizationFactor</f>
        <v>2.8612025417471996</v>
      </c>
      <c r="U65" s="775">
        <f>$E$22*$F$9*'Traffic Data'!AW10*annualizationFactor</f>
        <v>3.1399540392192007</v>
      </c>
      <c r="V65" s="775">
        <f>$E$22*$F$9*'Traffic Data'!AX10*annualizationFactor</f>
        <v>3.2779212920831999</v>
      </c>
      <c r="W65" s="775">
        <f>$E$22*$F$9*'Traffic Data'!AY10*annualizationFactor</f>
        <v>3.3412963460352003</v>
      </c>
      <c r="X65" s="775">
        <f>$E$22*$F$9*'Traffic Data'!AZ10*annualizationFactor</f>
        <v>3.4046713999871998</v>
      </c>
      <c r="Y65" s="775">
        <f>$E$22*$F$9*'Traffic Data'!BA10*annualizationFactor</f>
        <v>3.4680464539392002</v>
      </c>
      <c r="Z65" s="775">
        <f>$E$22*$F$9*'Traffic Data'!BB10*annualizationFactor</f>
        <v>3.5315231519231993</v>
      </c>
      <c r="AA65" s="775">
        <f>$E$22*$F$9*'Traffic Data'!BC10*annualizationFactor</f>
        <v>3.5948982058751997</v>
      </c>
      <c r="AB65" s="775">
        <f>$E$22*$F$9*'Traffic Data'!BD10*annualizationFactor</f>
        <v>3.6583749038591997</v>
      </c>
      <c r="AC65" s="775">
        <f>$E$22*$F$9*'Traffic Data'!BE10*annualizationFactor</f>
        <v>3.7217499578112005</v>
      </c>
      <c r="AD65" s="775">
        <f>$E$22*$F$9*'Traffic Data'!BF10*annualizationFactor</f>
        <v>3.7851250117632005</v>
      </c>
      <c r="AE65" s="775">
        <f>$E$22*$F$9*'Traffic Data'!BG10*annualizationFactor</f>
        <v>3.8486017097472005</v>
      </c>
      <c r="AF65" s="775">
        <f>$E$22*$F$9*'Traffic Data'!BH10*annualizationFactor</f>
        <v>3.9119767636992</v>
      </c>
      <c r="AG65" s="775">
        <f>$E$22*$F$9*'Traffic Data'!BI10*annualizationFactor</f>
        <v>3.9753518176511995</v>
      </c>
      <c r="AH65" s="776">
        <f>$E$22*$F$9*'Traffic Data'!BJ10*annualizationFactor</f>
        <v>4.0388285156352</v>
      </c>
      <c r="AI65" s="40"/>
      <c r="AJ65" s="40"/>
      <c r="AK65" s="40"/>
      <c r="AL65" s="40"/>
      <c r="AM65" s="40"/>
    </row>
    <row r="66" spans="2:39" ht="21.95" customHeight="1" x14ac:dyDescent="0.2">
      <c r="B66" s="1346"/>
      <c r="C66" s="116" t="s">
        <v>335</v>
      </c>
      <c r="D66" s="116" t="s">
        <v>323</v>
      </c>
      <c r="E66" s="116" t="s">
        <v>467</v>
      </c>
      <c r="F66" s="116" t="s">
        <v>43</v>
      </c>
      <c r="G66" s="970"/>
      <c r="H66" s="970"/>
      <c r="I66" s="777">
        <f>$E$22*$F$9*'Traffic Data'!AK11*annualizationFactor</f>
        <v>6.7276799999999998E-2</v>
      </c>
      <c r="J66" s="777">
        <f>$E$22*$F$9*'Traffic Data'!AL11*annualizationFactor</f>
        <v>7.6216765440000001E-2</v>
      </c>
      <c r="K66" s="777">
        <f>$E$22*$F$9*'Traffic Data'!AM11*annualizationFactor</f>
        <v>8.5162337280000014E-2</v>
      </c>
      <c r="L66" s="777">
        <f>$E$22*$F$9*'Traffic Data'!AN11*annualizationFactor</f>
        <v>0.11542904832000001</v>
      </c>
      <c r="M66" s="777">
        <f>$E$22*$F$9*'Traffic Data'!AO11*annualizationFactor</f>
        <v>0.14570192639999999</v>
      </c>
      <c r="N66" s="777">
        <f>$E$22*$F$9*'Traffic Data'!AP11*annualizationFactor</f>
        <v>0.17600227584000003</v>
      </c>
      <c r="O66" s="777">
        <f>$E$22*$F$9*'Traffic Data'!AQ11*annualizationFactor</f>
        <v>0.20626898688</v>
      </c>
      <c r="P66" s="777">
        <f>$E$22*$F$9*'Traffic Data'!AR11*annualizationFactor</f>
        <v>0.23656429056</v>
      </c>
      <c r="Q66" s="777">
        <f>$E$22*$F$9*'Traffic Data'!AS11*annualizationFactor</f>
        <v>0.283081152</v>
      </c>
      <c r="R66" s="777">
        <f>$E$22*$F$9*'Traffic Data'!AT11*annualizationFactor</f>
        <v>0.32959296768000002</v>
      </c>
      <c r="S66" s="777">
        <f>$E$22*$F$9*'Traffic Data'!AU11*annualizationFactor</f>
        <v>0.37610926848000004</v>
      </c>
      <c r="T66" s="777">
        <f>$E$22*$F$9*'Traffic Data'!AV11*annualizationFactor</f>
        <v>0.42262612991999998</v>
      </c>
      <c r="U66" s="777">
        <f>$E$22*$F$9*'Traffic Data'!AW11*annualizationFactor</f>
        <v>0.4691884032000001</v>
      </c>
      <c r="V66" s="777">
        <f>$E$22*$F$9*'Traffic Data'!AX11*annualizationFactor</f>
        <v>0.49436113920000002</v>
      </c>
      <c r="W66" s="777">
        <f>$E$22*$F$9*'Traffic Data'!AY11*annualizationFactor</f>
        <v>0.50330110464</v>
      </c>
      <c r="X66" s="777">
        <f>$E$22*$F$9*'Traffic Data'!AZ11*annualizationFactor</f>
        <v>0.51224107008000008</v>
      </c>
      <c r="Y66" s="777">
        <f>$E$22*$F$9*'Traffic Data'!BA11*annualizationFactor</f>
        <v>0.52118103552000006</v>
      </c>
      <c r="Z66" s="777">
        <f>$E$22*$F$9*'Traffic Data'!BB11*annualizationFactor</f>
        <v>0.53012660736000006</v>
      </c>
      <c r="AA66" s="777">
        <f>$E$22*$F$9*'Traffic Data'!BC11*annualizationFactor</f>
        <v>0.53906657280000003</v>
      </c>
      <c r="AB66" s="777">
        <f>$E$22*$F$9*'Traffic Data'!BD11*annualizationFactor</f>
        <v>0.54801214464000003</v>
      </c>
      <c r="AC66" s="777">
        <f>$E$22*$F$9*'Traffic Data'!BE11*annualizationFactor</f>
        <v>0.55695211008000001</v>
      </c>
      <c r="AD66" s="777">
        <f>$E$22*$F$9*'Traffic Data'!BF11*annualizationFactor</f>
        <v>0.56589207551999998</v>
      </c>
      <c r="AE66" s="777">
        <f>$E$22*$F$9*'Traffic Data'!BG11*annualizationFactor</f>
        <v>0.57483764736000009</v>
      </c>
      <c r="AF66" s="777">
        <f>$E$22*$F$9*'Traffic Data'!BH11*annualizationFactor</f>
        <v>0.58377761280000007</v>
      </c>
      <c r="AG66" s="777">
        <f>$E$22*$F$9*'Traffic Data'!BI11*annualizationFactor</f>
        <v>0.59271757823999993</v>
      </c>
      <c r="AH66" s="778">
        <f>$E$22*$F$9*'Traffic Data'!BJ11*annualizationFactor</f>
        <v>0.60166315007999993</v>
      </c>
      <c r="AI66" s="40"/>
      <c r="AJ66" s="40"/>
      <c r="AK66" s="40"/>
      <c r="AL66" s="40"/>
      <c r="AM66" s="40"/>
    </row>
    <row r="67" spans="2:39" ht="21.95" customHeight="1" x14ac:dyDescent="0.2">
      <c r="B67" s="1346"/>
      <c r="C67" s="254" t="s">
        <v>323</v>
      </c>
      <c r="D67" s="254" t="s">
        <v>338</v>
      </c>
      <c r="E67" s="116" t="s">
        <v>467</v>
      </c>
      <c r="F67" s="116" t="s">
        <v>43</v>
      </c>
      <c r="G67" s="970"/>
      <c r="H67" s="970"/>
      <c r="I67" s="777">
        <f>$E$22*$F$9*'Traffic Data'!AK12*annualizationFactor</f>
        <v>0.90150912000000016</v>
      </c>
      <c r="J67" s="777">
        <f>$E$22*$F$9*'Traffic Data'!AL12*annualizationFactor</f>
        <v>0.9349445907456001</v>
      </c>
      <c r="K67" s="777">
        <f>$E$22*$F$9*'Traffic Data'!AM12*annualizationFactor</f>
        <v>0.96840109670399988</v>
      </c>
      <c r="L67" s="777">
        <f>$E$22*$F$9*'Traffic Data'!AN12*annualizationFactor</f>
        <v>1.0333743614975999</v>
      </c>
      <c r="M67" s="777">
        <f>$E$22*$F$9*'Traffic Data'!AO12*annualizationFactor</f>
        <v>1.0983851891712002</v>
      </c>
      <c r="N67" s="777">
        <f>$E$22*$F$9*'Traffic Data'!AP12*annualizationFactor</f>
        <v>1.1633794891776001</v>
      </c>
      <c r="O67" s="777">
        <f>$E$22*$F$9*'Traffic Data'!AQ12*annualizationFactor</f>
        <v>1.2283527539712003</v>
      </c>
      <c r="P67" s="777">
        <f>$E$22*$F$9*'Traffic Data'!AR12*annualizationFactor</f>
        <v>1.293395134464</v>
      </c>
      <c r="Q67" s="777">
        <f>$E$22*$F$9*'Traffic Data'!AS12*annualizationFactor</f>
        <v>1.3836557300736001</v>
      </c>
      <c r="R67" s="777">
        <f>$E$22*$F$9*'Traffic Data'!AT12*annualizationFactor</f>
        <v>1.4739644061696</v>
      </c>
      <c r="S67" s="777">
        <f>$E$22*$F$9*'Traffic Data'!AU12*annualizationFactor</f>
        <v>1.5642084741119999</v>
      </c>
      <c r="T67" s="777">
        <f>$E$22*$F$9*'Traffic Data'!AV12*annualizationFactor</f>
        <v>1.6544690697216005</v>
      </c>
      <c r="U67" s="777">
        <f>$E$22*$F$9*'Traffic Data'!AW12*annualizationFactor</f>
        <v>1.7448092986368002</v>
      </c>
      <c r="V67" s="777">
        <f>$E$22*$F$9*'Traffic Data'!AX12*annualizationFactor</f>
        <v>1.8035050549248002</v>
      </c>
      <c r="W67" s="777">
        <f>$E$22*$F$9*'Traffic Data'!AY12*annualizationFactor</f>
        <v>1.8369405256704003</v>
      </c>
      <c r="X67" s="777">
        <f>$E$22*$F$9*'Traffic Data'!AZ12*annualizationFactor</f>
        <v>1.8703759964160001</v>
      </c>
      <c r="Y67" s="777">
        <f>$E$22*$F$9*'Traffic Data'!BA12*annualizationFactor</f>
        <v>1.9038114671616002</v>
      </c>
      <c r="Z67" s="777">
        <f>$E$22*$F$9*'Traffic Data'!BB12*annualizationFactor</f>
        <v>1.9372679731200004</v>
      </c>
      <c r="AA67" s="777">
        <f>$E$22*$F$9*'Traffic Data'!BC12*annualizationFactor</f>
        <v>1.9707034438655997</v>
      </c>
      <c r="AB67" s="777">
        <f>$E$22*$F$9*'Traffic Data'!BD12*annualizationFactor</f>
        <v>2.0041599498240004</v>
      </c>
      <c r="AC67" s="777">
        <f>$E$22*$F$9*'Traffic Data'!BE12*annualizationFactor</f>
        <v>2.0375954205696005</v>
      </c>
      <c r="AD67" s="777">
        <f>$E$22*$F$9*'Traffic Data'!BF12*annualizationFactor</f>
        <v>2.0710308913152007</v>
      </c>
      <c r="AE67" s="777">
        <f>$E$22*$F$9*'Traffic Data'!BG12*annualizationFactor</f>
        <v>2.1044873972736005</v>
      </c>
      <c r="AF67" s="777">
        <f>$E$22*$F$9*'Traffic Data'!BH12*annualizationFactor</f>
        <v>2.1379228680192002</v>
      </c>
      <c r="AG67" s="777">
        <f>$E$22*$F$9*'Traffic Data'!BI12*annualizationFactor</f>
        <v>2.1713583387648003</v>
      </c>
      <c r="AH67" s="778">
        <f>$E$22*$F$9*'Traffic Data'!BJ12*annualizationFactor</f>
        <v>2.2048148447232006</v>
      </c>
      <c r="AI67" s="40"/>
      <c r="AJ67" s="40"/>
      <c r="AK67" s="40"/>
      <c r="AL67" s="40"/>
      <c r="AM67" s="40"/>
    </row>
    <row r="68" spans="2:39" ht="21.95" customHeight="1" x14ac:dyDescent="0.2">
      <c r="B68" s="492" t="s">
        <v>339</v>
      </c>
      <c r="C68" s="116" t="s">
        <v>335</v>
      </c>
      <c r="D68" s="116" t="s">
        <v>323</v>
      </c>
      <c r="E68" s="277" t="s">
        <v>467</v>
      </c>
      <c r="F68" s="277" t="s">
        <v>43</v>
      </c>
      <c r="G68" s="780"/>
      <c r="H68" s="780"/>
      <c r="I68" s="775">
        <f>$E$22*$G$9*'Traffic Data'!AK13*annualizationFactor</f>
        <v>2.6350080000000003E-3</v>
      </c>
      <c r="J68" s="775">
        <f>$E$22*$G$9*'Traffic Data'!AL13*annualizationFactor</f>
        <v>4.2660779519999989E-3</v>
      </c>
      <c r="K68" s="775">
        <f>$E$22*$G$9*'Traffic Data'!AM13*annualizationFactor</f>
        <v>1.2171101951999998E-2</v>
      </c>
      <c r="L68" s="775">
        <f>$E$22*$G$9*'Traffic Data'!AN13*annualizationFactor</f>
        <v>2.5733488128000002E-2</v>
      </c>
      <c r="M68" s="775">
        <f>$E$22*$G$9*'Traffic Data'!AO13*annualizationFactor</f>
        <v>3.9306414336000003E-2</v>
      </c>
      <c r="N68" s="775">
        <f>$E$22*$G$9*'Traffic Data'!AP13*annualizationFactor</f>
        <v>5.2874070528000014E-2</v>
      </c>
      <c r="O68" s="775">
        <f>$E$22*$G$9*'Traffic Data'!AQ13*annualizationFactor</f>
        <v>6.6436456704000002E-2</v>
      </c>
      <c r="P68" s="775">
        <f>$E$22*$G$9*'Traffic Data'!AR13*annualizationFactor</f>
        <v>8.0019922943999997E-2</v>
      </c>
      <c r="Q68" s="775">
        <f>$E$22*$G$9*'Traffic Data'!AS13*annualizationFactor</f>
        <v>8.7316260096000006E-2</v>
      </c>
      <c r="R68" s="775">
        <f>$E$22*$G$9*'Traffic Data'!AT13*annualizationFactor</f>
        <v>9.4623137280000005E-2</v>
      </c>
      <c r="S68" s="775">
        <f>$E$22*$G$9*'Traffic Data'!AU13*annualizationFactor</f>
        <v>0.10192210943999999</v>
      </c>
      <c r="T68" s="775">
        <f>$E$22*$G$9*'Traffic Data'!AV13*annualizationFactor</f>
        <v>0.109218446592</v>
      </c>
      <c r="U68" s="775">
        <f>$E$22*$G$9*'Traffic Data'!AW13*annualizationFactor</f>
        <v>0.1165332288</v>
      </c>
      <c r="V68" s="775">
        <f>$E$22*$G$9*'Traffic Data'!AX13*annualizationFactor</f>
        <v>0.11816429875199999</v>
      </c>
      <c r="W68" s="775">
        <f>$E$22*$G$9*'Traffic Data'!AY13*annualizationFactor</f>
        <v>0.11979536870399998</v>
      </c>
      <c r="X68" s="775">
        <f>$E$22*$G$9*'Traffic Data'!AZ13*annualizationFactor</f>
        <v>0.12142643865599999</v>
      </c>
      <c r="Y68" s="775">
        <f>$E$22*$G$9*'Traffic Data'!BA13*annualizationFactor</f>
        <v>0.12305750860800001</v>
      </c>
      <c r="Z68" s="775">
        <f>$E$22*$G$9*'Traffic Data'!BB13*annualizationFactor</f>
        <v>0.124696483584</v>
      </c>
      <c r="AA68" s="775">
        <f>$E$22*$G$9*'Traffic Data'!BC13*annualizationFactor</f>
        <v>0.126327553536</v>
      </c>
      <c r="AB68" s="775">
        <f>$E$22*$G$9*'Traffic Data'!BD13*annualizationFactor</f>
        <v>0.12796652851199999</v>
      </c>
      <c r="AC68" s="775">
        <f>$E$22*$G$9*'Traffic Data'!BE13*annualizationFactor</f>
        <v>0.12959759846399999</v>
      </c>
      <c r="AD68" s="775">
        <f>$E$22*$G$9*'Traffic Data'!BF13*annualizationFactor</f>
        <v>0.131228668416</v>
      </c>
      <c r="AE68" s="775">
        <f>$E$22*$G$9*'Traffic Data'!BG13*annualizationFactor</f>
        <v>0.13286764339200002</v>
      </c>
      <c r="AF68" s="775">
        <f>$E$22*$G$9*'Traffic Data'!BH13*annualizationFactor</f>
        <v>0.13449871334399999</v>
      </c>
      <c r="AG68" s="775">
        <f>$E$22*$G$9*'Traffic Data'!BI13*annualizationFactor</f>
        <v>0.13612978329599998</v>
      </c>
      <c r="AH68" s="776">
        <f>$E$22*$G$9*'Traffic Data'!BJ13*annualizationFactor</f>
        <v>0.13776875827200002</v>
      </c>
      <c r="AI68" s="40"/>
      <c r="AJ68" s="40"/>
      <c r="AK68" s="40"/>
      <c r="AL68" s="40"/>
      <c r="AM68" s="40"/>
    </row>
    <row r="69" spans="2:39" ht="21.95" customHeight="1" x14ac:dyDescent="0.2">
      <c r="B69" s="1346" t="s">
        <v>323</v>
      </c>
      <c r="C69" s="220" t="s">
        <v>282</v>
      </c>
      <c r="D69" s="220" t="s">
        <v>339</v>
      </c>
      <c r="E69" s="116" t="s">
        <v>467</v>
      </c>
      <c r="F69" s="116" t="s">
        <v>43</v>
      </c>
      <c r="G69" s="970"/>
      <c r="H69" s="970"/>
      <c r="I69" s="775">
        <f>$E$22*$H$9*'Traffic Data'!AK14*annualizationFactor</f>
        <v>7.5686399999999997E-3</v>
      </c>
      <c r="J69" s="775">
        <f>$E$22*$H$9*'Traffic Data'!AL14*annualizationFactor</f>
        <v>7.5686399999999997E-3</v>
      </c>
      <c r="K69" s="775">
        <f>$E$22*$H$9*'Traffic Data'!AM14*annualizationFactor</f>
        <v>8.8560656640000013E-2</v>
      </c>
      <c r="L69" s="775">
        <f>$E$22*$H$9*'Traffic Data'!AN14*annualizationFactor</f>
        <v>0.16955267328000001</v>
      </c>
      <c r="M69" s="775">
        <f>$E$22*$H$9*'Traffic Data'!AO14*annualizationFactor</f>
        <v>0.25061280768000005</v>
      </c>
      <c r="N69" s="775">
        <f>$E$22*$H$9*'Traffic Data'!AP14*annualizationFactor</f>
        <v>0.33160482432000005</v>
      </c>
      <c r="O69" s="775">
        <f>$E$22*$H$9*'Traffic Data'!AQ14*annualizationFactor</f>
        <v>0.4125968409600001</v>
      </c>
      <c r="P69" s="775">
        <f>$E$22*$H$9*'Traffic Data'!AR14*annualizationFactor</f>
        <v>0.49365697536000008</v>
      </c>
      <c r="Q69" s="775">
        <f>$E$22*$H$9*'Traffic Data'!AS14*annualizationFactor</f>
        <v>0.49365697536000008</v>
      </c>
      <c r="R69" s="775">
        <f>$E$22*$H$9*'Traffic Data'!AT14*annualizationFactor</f>
        <v>0.49365697536000008</v>
      </c>
      <c r="S69" s="775">
        <f>$E$22*$H$9*'Traffic Data'!AU14*annualizationFactor</f>
        <v>0.49365697536000008</v>
      </c>
      <c r="T69" s="775">
        <f>$E$22*$H$9*'Traffic Data'!AV14*annualizationFactor</f>
        <v>0.49365697536000008</v>
      </c>
      <c r="U69" s="775">
        <f>$E$22*$H$9*'Traffic Data'!AW14*annualizationFactor</f>
        <v>0.49365697536000008</v>
      </c>
      <c r="V69" s="775">
        <f>$E$22*$H$9*'Traffic Data'!AX14*annualizationFactor</f>
        <v>0.49365697536000008</v>
      </c>
      <c r="W69" s="775">
        <f>$E$22*$H$9*'Traffic Data'!AY14*annualizationFactor</f>
        <v>0.49365697536000008</v>
      </c>
      <c r="X69" s="775">
        <f>$E$22*$H$9*'Traffic Data'!AZ14*annualizationFactor</f>
        <v>0.49365697536000008</v>
      </c>
      <c r="Y69" s="775">
        <f>$E$22*$H$9*'Traffic Data'!BA14*annualizationFactor</f>
        <v>0.49365697536000008</v>
      </c>
      <c r="Z69" s="775">
        <f>$E$22*$H$9*'Traffic Data'!BB14*annualizationFactor</f>
        <v>0.49365697536000008</v>
      </c>
      <c r="AA69" s="775">
        <f>$E$22*$H$9*'Traffic Data'!BC14*annualizationFactor</f>
        <v>0.49365697536000008</v>
      </c>
      <c r="AB69" s="775">
        <f>$E$22*$H$9*'Traffic Data'!BD14*annualizationFactor</f>
        <v>0.49365697536000008</v>
      </c>
      <c r="AC69" s="775">
        <f>$E$22*$H$9*'Traffic Data'!BE14*annualizationFactor</f>
        <v>0.49365697536000008</v>
      </c>
      <c r="AD69" s="775">
        <f>$E$22*$H$9*'Traffic Data'!BF14*annualizationFactor</f>
        <v>0.49365697536000008</v>
      </c>
      <c r="AE69" s="775">
        <f>$E$22*$H$9*'Traffic Data'!BG14*annualizationFactor</f>
        <v>0.49365697536000008</v>
      </c>
      <c r="AF69" s="775">
        <f>$E$22*$H$9*'Traffic Data'!BH14*annualizationFactor</f>
        <v>0.49365697536000008</v>
      </c>
      <c r="AG69" s="775">
        <f>$E$22*$H$9*'Traffic Data'!BI14*annualizationFactor</f>
        <v>0.49365697536000008</v>
      </c>
      <c r="AH69" s="776">
        <f>$E$22*$H$9*'Traffic Data'!BJ14*annualizationFactor</f>
        <v>0.49365697536000008</v>
      </c>
      <c r="AI69" s="40"/>
      <c r="AJ69" s="40"/>
      <c r="AK69" s="40"/>
      <c r="AL69" s="40"/>
      <c r="AM69" s="40"/>
    </row>
    <row r="70" spans="2:39" ht="21.95" customHeight="1" x14ac:dyDescent="0.2">
      <c r="B70" s="1346"/>
      <c r="C70" s="116" t="s">
        <v>339</v>
      </c>
      <c r="D70" s="116" t="s">
        <v>288</v>
      </c>
      <c r="E70" s="116" t="s">
        <v>467</v>
      </c>
      <c r="F70" s="116" t="s">
        <v>43</v>
      </c>
      <c r="G70" s="970"/>
      <c r="H70" s="970"/>
      <c r="I70" s="777">
        <f>$E$22*$H$9*'Traffic Data'!AK15*annualizationFactor</f>
        <v>3.4535424000000006E-3</v>
      </c>
      <c r="J70" s="777">
        <f>$E$22*$H$9*'Traffic Data'!AL15*annualizationFactor</f>
        <v>6.5617305600000004E-3</v>
      </c>
      <c r="K70" s="777">
        <f>$E$22*$H$9*'Traffic Data'!AM15*annualizationFactor</f>
        <v>9.6699187200000002E-3</v>
      </c>
      <c r="L70" s="777">
        <f>$E$22*$H$9*'Traffic Data'!AN15*annualizationFactor</f>
        <v>2.1035212800000001E-2</v>
      </c>
      <c r="M70" s="777">
        <f>$E$22*$H$9*'Traffic Data'!AO15*annualizationFactor</f>
        <v>3.2384808960000004E-2</v>
      </c>
      <c r="N70" s="777">
        <f>$E$22*$H$9*'Traffic Data'!AP15*annualizationFactor</f>
        <v>4.3765800960000004E-2</v>
      </c>
      <c r="O70" s="777">
        <f>$E$22*$H$9*'Traffic Data'!AQ15*annualizationFactor</f>
        <v>5.5131095040000008E-2</v>
      </c>
      <c r="P70" s="777">
        <f>$E$22*$H$9*'Traffic Data'!AR15*annualizationFactor</f>
        <v>6.6496389119999999E-2</v>
      </c>
      <c r="Q70" s="777">
        <f>$E$22*$H$9*'Traffic Data'!AS15*annualizationFactor</f>
        <v>8.62600704E-2</v>
      </c>
      <c r="R70" s="777">
        <f>$E$22*$H$9*'Traffic Data'!AT15*annualizationFactor</f>
        <v>0.10600805376</v>
      </c>
      <c r="S70" s="777">
        <f>$E$22*$H$9*'Traffic Data'!AU15*annualizationFactor</f>
        <v>0.12575603712000002</v>
      </c>
      <c r="T70" s="777">
        <f>$E$22*$H$9*'Traffic Data'!AV15*annualizationFactor</f>
        <v>0.14551971840000003</v>
      </c>
      <c r="U70" s="777">
        <f>$E$22*$H$9*'Traffic Data'!AW15*annualizationFactor</f>
        <v>0.16528339968000003</v>
      </c>
      <c r="V70" s="777">
        <f>$E$22*$H$9*'Traffic Data'!AX15*annualizationFactor</f>
        <v>0.17678997504000002</v>
      </c>
      <c r="W70" s="777">
        <f>$E$22*$H$9*'Traffic Data'!AY15*annualizationFactor</f>
        <v>0.17988246528000004</v>
      </c>
      <c r="X70" s="777">
        <f>$E$22*$H$9*'Traffic Data'!AZ15*annualizationFactor</f>
        <v>0.18299065344000004</v>
      </c>
      <c r="Y70" s="777">
        <f>$E$22*$H$9*'Traffic Data'!BA15*annualizationFactor</f>
        <v>0.18609884160000001</v>
      </c>
      <c r="Z70" s="777">
        <f>$E$22*$H$9*'Traffic Data'!BB15*annualizationFactor</f>
        <v>0.18920702976000001</v>
      </c>
      <c r="AA70" s="777">
        <f>$E$22*$H$9*'Traffic Data'!BC15*annualizationFactor</f>
        <v>0.19231521792</v>
      </c>
      <c r="AB70" s="777">
        <f>$E$22*$H$9*'Traffic Data'!BD15*annualizationFactor</f>
        <v>0.19542340608</v>
      </c>
      <c r="AC70" s="777">
        <f>$E$22*$H$9*'Traffic Data'!BE15*annualizationFactor</f>
        <v>0.19853159424</v>
      </c>
      <c r="AD70" s="777">
        <f>$E$22*$H$9*'Traffic Data'!BF15*annualizationFactor</f>
        <v>0.20163978239999999</v>
      </c>
      <c r="AE70" s="777">
        <f>$E$22*$H$9*'Traffic Data'!BG15*annualizationFactor</f>
        <v>0.20473227264000002</v>
      </c>
      <c r="AF70" s="777">
        <f>$E$22*$H$9*'Traffic Data'!BH15*annualizationFactor</f>
        <v>0.20784046080000002</v>
      </c>
      <c r="AG70" s="777">
        <f>$E$22*$H$9*'Traffic Data'!BI15*annualizationFactor</f>
        <v>0.21094864896000001</v>
      </c>
      <c r="AH70" s="778">
        <f>$E$22*$H$9*'Traffic Data'!BJ15*annualizationFactor</f>
        <v>0.21405683712000001</v>
      </c>
      <c r="AI70" s="40"/>
      <c r="AJ70" s="40"/>
      <c r="AK70" s="40"/>
      <c r="AL70" s="40"/>
      <c r="AM70" s="40"/>
    </row>
    <row r="71" spans="2:39" ht="21.95" customHeight="1" x14ac:dyDescent="0.2">
      <c r="B71" s="1346"/>
      <c r="C71" s="116" t="s">
        <v>288</v>
      </c>
      <c r="D71" s="116" t="s">
        <v>340</v>
      </c>
      <c r="E71" s="116" t="s">
        <v>467</v>
      </c>
      <c r="F71" s="116" t="s">
        <v>43</v>
      </c>
      <c r="G71" s="970"/>
      <c r="H71" s="970"/>
      <c r="I71" s="777">
        <f>$E$22*$H$9*'Traffic Data'!AK16*annualizationFactor</f>
        <v>1.2278015999999999E-2</v>
      </c>
      <c r="J71" s="777">
        <f>$E$22*$H$9*'Traffic Data'!AL16*annualizationFactor</f>
        <v>2.3322909926400001E-2</v>
      </c>
      <c r="K71" s="777">
        <f>$E$22*$H$9*'Traffic Data'!AM16*annualizationFactor</f>
        <v>3.4364120448000003E-2</v>
      </c>
      <c r="L71" s="777">
        <f>$E$22*$H$9*'Traffic Data'!AN16*annualizationFactor</f>
        <v>7.4757565286399999E-2</v>
      </c>
      <c r="M71" s="777">
        <f>$E$22*$H$9*'Traffic Data'!AO16*annualizationFactor</f>
        <v>0.11515264719360001</v>
      </c>
      <c r="N71" s="777">
        <f>$E$22*$H$9*'Traffic Data'!AP16*annualizationFactor</f>
        <v>0.15559929676799999</v>
      </c>
      <c r="O71" s="777">
        <f>$E$22*$H$9*'Traffic Data'!AQ16*annualizationFactor</f>
        <v>0.19599274160639996</v>
      </c>
      <c r="P71" s="777">
        <f>$E$22*$H$9*'Traffic Data'!AR16*annualizationFactor</f>
        <v>0.2364107424768</v>
      </c>
      <c r="Q71" s="777">
        <f>$E$22*$H$9*'Traffic Data'!AS16*annualizationFactor</f>
        <v>0.30665204421120001</v>
      </c>
      <c r="R71" s="777">
        <f>$E$22*$H$9*'Traffic Data'!AT16*annualizationFactor</f>
        <v>0.37686469724160004</v>
      </c>
      <c r="S71" s="777">
        <f>$E$22*$H$9*'Traffic Data'!AU16*annualizationFactor</f>
        <v>0.44710067850239993</v>
      </c>
      <c r="T71" s="777">
        <f>$E$22*$H$9*'Traffic Data'!AV16*annualizationFactor</f>
        <v>0.5173419802368</v>
      </c>
      <c r="U71" s="777">
        <f>$E$22*$H$9*'Traffic Data'!AW16*annualizationFactor</f>
        <v>0.58763444037119983</v>
      </c>
      <c r="V71" s="777">
        <f>$E$22*$H$9*'Traffic Data'!AX16*annualizationFactor</f>
        <v>0.62849526835199998</v>
      </c>
      <c r="W71" s="777">
        <f>$E$22*$H$9*'Traffic Data'!AY16*annualizationFactor</f>
        <v>0.63954016227839994</v>
      </c>
      <c r="X71" s="777">
        <f>$E$22*$H$9*'Traffic Data'!AZ16*annualizationFactor</f>
        <v>0.65058505620480001</v>
      </c>
      <c r="Y71" s="777">
        <f>$E$22*$H$9*'Traffic Data'!BA16*annualizationFactor</f>
        <v>0.66162995013119985</v>
      </c>
      <c r="Z71" s="777">
        <f>$E$22*$H$9*'Traffic Data'!BB16*annualizationFactor</f>
        <v>0.67267116065279986</v>
      </c>
      <c r="AA71" s="777">
        <f>$E$22*$H$9*'Traffic Data'!BC16*annualizationFactor</f>
        <v>0.68371605457920004</v>
      </c>
      <c r="AB71" s="777">
        <f>$E$22*$H$9*'Traffic Data'!BD16*annualizationFactor</f>
        <v>0.69475726510079994</v>
      </c>
      <c r="AC71" s="777">
        <f>$E$22*$H$9*'Traffic Data'!BE16*annualizationFactor</f>
        <v>0.70580215902719989</v>
      </c>
      <c r="AD71" s="777">
        <f>$E$22*$H$9*'Traffic Data'!BF16*annualizationFactor</f>
        <v>0.71684705295360007</v>
      </c>
      <c r="AE71" s="777">
        <f>$E$22*$H$9*'Traffic Data'!BG16*annualizationFactor</f>
        <v>0.72788826347519997</v>
      </c>
      <c r="AF71" s="777">
        <f>$E$22*$H$9*'Traffic Data'!BH16*annualizationFactor</f>
        <v>0.73893315740160004</v>
      </c>
      <c r="AG71" s="777">
        <f>$E$22*$H$9*'Traffic Data'!BI16*annualizationFactor</f>
        <v>0.74997805132800011</v>
      </c>
      <c r="AH71" s="778">
        <f>$E$22*$H$9*'Traffic Data'!BJ16*annualizationFactor</f>
        <v>0.76101926184959989</v>
      </c>
      <c r="AI71" s="40"/>
      <c r="AJ71" s="40"/>
      <c r="AK71" s="40"/>
      <c r="AL71" s="40"/>
      <c r="AM71" s="40"/>
    </row>
    <row r="72" spans="2:39" ht="21.95" customHeight="1" x14ac:dyDescent="0.2">
      <c r="B72" s="1346"/>
      <c r="C72" s="254" t="s">
        <v>340</v>
      </c>
      <c r="D72" s="254" t="s">
        <v>280</v>
      </c>
      <c r="E72" s="116" t="s">
        <v>467</v>
      </c>
      <c r="F72" s="116" t="s">
        <v>43</v>
      </c>
      <c r="G72" s="970"/>
      <c r="H72" s="970"/>
      <c r="I72" s="777">
        <f>$E$22*$H$9*'Traffic Data'!AK17*annualizationFactor</f>
        <v>1.7660160000000001E-2</v>
      </c>
      <c r="J72" s="777">
        <f>$E$22*$H$9*'Traffic Data'!AL17*annualizationFactor</f>
        <v>3.3546651264000006E-2</v>
      </c>
      <c r="K72" s="777">
        <f>$E$22*$H$9*'Traffic Data'!AM17*annualizationFactor</f>
        <v>4.9427844480000011E-2</v>
      </c>
      <c r="L72" s="777">
        <f>$E$22*$H$9*'Traffic Data'!AN17*annualizationFactor</f>
        <v>0.10752800486399999</v>
      </c>
      <c r="M72" s="777">
        <f>$E$22*$H$9*'Traffic Data'!AO17*annualizationFactor</f>
        <v>0.165630519936</v>
      </c>
      <c r="N72" s="777">
        <f>$E$22*$H$9*'Traffic Data'!AP17*annualizationFactor</f>
        <v>0.22380720768000004</v>
      </c>
      <c r="O72" s="777">
        <f>$E$22*$H$9*'Traffic Data'!AQ17*annualizationFactor</f>
        <v>0.28190736806400002</v>
      </c>
      <c r="P72" s="777">
        <f>$E$22*$H$9*'Traffic Data'!AR17*annualizationFactor</f>
        <v>0.34004284876800006</v>
      </c>
      <c r="Q72" s="777">
        <f>$E$22*$H$9*'Traffic Data'!AS17*annualizationFactor</f>
        <v>0.44107485811200003</v>
      </c>
      <c r="R72" s="777">
        <f>$E$22*$H$9*'Traffic Data'!AT17*annualizationFactor</f>
        <v>0.54206566041600002</v>
      </c>
      <c r="S72" s="777">
        <f>$E$22*$H$9*'Traffic Data'!AU17*annualizationFactor</f>
        <v>0.64309001702399993</v>
      </c>
      <c r="T72" s="777">
        <f>$E$22*$H$9*'Traffic Data'!AV17*annualizationFactor</f>
        <v>0.74412202636800007</v>
      </c>
      <c r="U72" s="777">
        <f>$E$22*$H$9*'Traffic Data'!AW17*annualizationFactor</f>
        <v>0.84522761971199989</v>
      </c>
      <c r="V72" s="777">
        <f>$E$22*$H$9*'Traffic Data'!AX17*annualizationFactor</f>
        <v>0.90400004351999996</v>
      </c>
      <c r="W72" s="777">
        <f>$E$22*$H$9*'Traffic Data'!AY17*annualizationFactor</f>
        <v>0.91988653478399995</v>
      </c>
      <c r="X72" s="777">
        <f>$E$22*$H$9*'Traffic Data'!AZ17*annualizationFactor</f>
        <v>0.93577302604799995</v>
      </c>
      <c r="Y72" s="777">
        <f>$E$22*$H$9*'Traffic Data'!BA17*annualizationFactor</f>
        <v>0.95165951731199983</v>
      </c>
      <c r="Z72" s="777">
        <f>$E$22*$H$9*'Traffic Data'!BB17*annualizationFactor</f>
        <v>0.96754071052800006</v>
      </c>
      <c r="AA72" s="777">
        <f>$E$22*$H$9*'Traffic Data'!BC17*annualizationFactor</f>
        <v>0.98342720179200005</v>
      </c>
      <c r="AB72" s="777">
        <f>$E$22*$H$9*'Traffic Data'!BD17*annualizationFactor</f>
        <v>0.99930839500799995</v>
      </c>
      <c r="AC72" s="777">
        <f>$E$22*$H$9*'Traffic Data'!BE17*annualizationFactor</f>
        <v>1.0151948862719999</v>
      </c>
      <c r="AD72" s="777">
        <f>$E$22*$H$9*'Traffic Data'!BF17*annualizationFactor</f>
        <v>1.0310813775360002</v>
      </c>
      <c r="AE72" s="777">
        <f>$E$22*$H$9*'Traffic Data'!BG17*annualizationFactor</f>
        <v>1.0469625707520001</v>
      </c>
      <c r="AF72" s="777">
        <f>$E$22*$H$9*'Traffic Data'!BH17*annualizationFactor</f>
        <v>1.0628490620160003</v>
      </c>
      <c r="AG72" s="777">
        <f>$E$22*$H$9*'Traffic Data'!BI17*annualizationFactor</f>
        <v>1.0787355532800003</v>
      </c>
      <c r="AH72" s="778">
        <f>$E$22*$H$9*'Traffic Data'!BJ17*annualizationFactor</f>
        <v>1.0946167464960002</v>
      </c>
      <c r="AI72" s="40"/>
      <c r="AJ72" s="40"/>
      <c r="AK72" s="40"/>
      <c r="AL72" s="40"/>
      <c r="AM72" s="40"/>
    </row>
    <row r="73" spans="2:39" ht="21.95" customHeight="1" x14ac:dyDescent="0.2">
      <c r="B73" s="1346" t="s">
        <v>334</v>
      </c>
      <c r="C73" s="116" t="s">
        <v>336</v>
      </c>
      <c r="D73" s="116" t="s">
        <v>337</v>
      </c>
      <c r="E73" s="220" t="s">
        <v>467</v>
      </c>
      <c r="F73" s="220" t="s">
        <v>43</v>
      </c>
      <c r="G73" s="775"/>
      <c r="H73" s="775"/>
      <c r="I73" s="775">
        <f>$E$22*$I$9*'Traffic Data'!AK18*annualizationFactor</f>
        <v>0.35320319999999999</v>
      </c>
      <c r="J73" s="775">
        <f>$E$22*$I$9*'Traffic Data'!AL18*annualizationFactor</f>
        <v>0.36277122239999993</v>
      </c>
      <c r="K73" s="775">
        <f>$E$22*$I$9*'Traffic Data'!AM18*annualizationFactor</f>
        <v>0.37834369919999999</v>
      </c>
      <c r="L73" s="775">
        <f>$E$22*$I$9*'Traffic Data'!AN18*annualizationFactor</f>
        <v>0.40068506304000001</v>
      </c>
      <c r="M73" s="775">
        <f>$E$22*$I$9*'Traffic Data'!AO18*annualizationFactor</f>
        <v>0.42303651840000006</v>
      </c>
      <c r="N73" s="775">
        <f>$E$22*$I$9*'Traffic Data'!AP18*annualizationFactor</f>
        <v>0.44538545088000014</v>
      </c>
      <c r="O73" s="775">
        <f>$E$22*$I$9*'Traffic Data'!AQ18*annualizationFactor</f>
        <v>0.46772681472000016</v>
      </c>
      <c r="P73" s="775">
        <f>$E$22*$I$9*'Traffic Data'!AR18*annualizationFactor</f>
        <v>0.49008710016000001</v>
      </c>
      <c r="Q73" s="775">
        <f>$E$22*$I$9*'Traffic Data'!AS18*annualizationFactor</f>
        <v>0.50996739455999995</v>
      </c>
      <c r="R73" s="775">
        <f>$E$22*$I$9*'Traffic Data'!AT18*annualizationFactor</f>
        <v>0.52985399616000006</v>
      </c>
      <c r="S73" s="775">
        <f>$E$22*$I$9*'Traffic Data'!AU18*annualizationFactor</f>
        <v>0.54973429055999989</v>
      </c>
      <c r="T73" s="775">
        <f>$E$22*$I$9*'Traffic Data'!AV18*annualizationFactor</f>
        <v>0.56961458496000006</v>
      </c>
      <c r="U73" s="775">
        <f>$E$22*$I$9*'Traffic Data'!AW18*annualizationFactor</f>
        <v>0.58951253951999993</v>
      </c>
      <c r="V73" s="775">
        <f>$E$22*$I$9*'Traffic Data'!AX18*annualizationFactor</f>
        <v>0.60261511680000002</v>
      </c>
      <c r="W73" s="775">
        <f>$E$22*$I$9*'Traffic Data'!AY18*annualizationFactor</f>
        <v>0.61218313919999989</v>
      </c>
      <c r="X73" s="775">
        <f>$E$22*$I$9*'Traffic Data'!AZ18*annualizationFactor</f>
        <v>0.62175116159999999</v>
      </c>
      <c r="Y73" s="775">
        <f>$E$22*$I$9*'Traffic Data'!BA18*annualizationFactor</f>
        <v>0.63131918399999987</v>
      </c>
      <c r="Z73" s="775">
        <f>$E$22*$I$9*'Traffic Data'!BB18*annualizationFactor</f>
        <v>0.64089225216000001</v>
      </c>
      <c r="AA73" s="775">
        <f>$E$22*$I$9*'Traffic Data'!BC18*annualizationFactor</f>
        <v>0.65046027456</v>
      </c>
      <c r="AB73" s="775">
        <f>$E$22*$I$9*'Traffic Data'!BD18*annualizationFactor</f>
        <v>0.66003334272000003</v>
      </c>
      <c r="AC73" s="775">
        <f>$E$22*$I$9*'Traffic Data'!BE18*annualizationFactor</f>
        <v>0.6696013651199999</v>
      </c>
      <c r="AD73" s="775">
        <f>$E$22*$I$9*'Traffic Data'!BF18*annualizationFactor</f>
        <v>0.67916938752</v>
      </c>
      <c r="AE73" s="775">
        <f>$E$22*$I$9*'Traffic Data'!BG18*annualizationFactor</f>
        <v>0.68874245567999992</v>
      </c>
      <c r="AF73" s="775">
        <f>$E$22*$I$9*'Traffic Data'!BH18*annualizationFactor</f>
        <v>0.69831047807999991</v>
      </c>
      <c r="AG73" s="775">
        <f>$E$22*$I$9*'Traffic Data'!BI18*annualizationFactor</f>
        <v>0.70787850047999989</v>
      </c>
      <c r="AH73" s="776">
        <f>$E$22*$I$9*'Traffic Data'!BJ18*annualizationFactor</f>
        <v>0.71745156863999981</v>
      </c>
      <c r="AI73" s="40"/>
      <c r="AJ73" s="40"/>
      <c r="AK73" s="40"/>
      <c r="AL73" s="40"/>
      <c r="AM73" s="40"/>
    </row>
    <row r="74" spans="2:39" ht="21.95" customHeight="1" x14ac:dyDescent="0.2">
      <c r="B74" s="1346"/>
      <c r="C74" s="116" t="s">
        <v>337</v>
      </c>
      <c r="D74" s="116" t="s">
        <v>386</v>
      </c>
      <c r="E74" s="116" t="s">
        <v>467</v>
      </c>
      <c r="F74" s="116" t="s">
        <v>43</v>
      </c>
      <c r="G74" s="970"/>
      <c r="H74" s="970"/>
      <c r="I74" s="777">
        <f>$E$22*$I$9*'Traffic Data'!AK19*annualizationFactor</f>
        <v>0.55503360000000002</v>
      </c>
      <c r="J74" s="777">
        <f>$E$22*$I$9*'Traffic Data'!AL19*annualizationFactor</f>
        <v>0.56656316159999998</v>
      </c>
      <c r="K74" s="777">
        <f>$E$22*$I$9*'Traffic Data'!AM19*annualizationFactor</f>
        <v>0.59391118079999994</v>
      </c>
      <c r="L74" s="777">
        <f>$E$22*$I$9*'Traffic Data'!AN19*annualizationFactor</f>
        <v>0.62388299520000001</v>
      </c>
      <c r="M74" s="777">
        <f>$E$22*$I$9*'Traffic Data'!AO19*annualizationFactor</f>
        <v>0.65390526720000008</v>
      </c>
      <c r="N74" s="777">
        <f>$E$22*$I$9*'Traffic Data'!AP19*annualizationFactor</f>
        <v>0.68390231039999994</v>
      </c>
      <c r="O74" s="777">
        <f>$E$22*$I$9*'Traffic Data'!AQ19*annualizationFactor</f>
        <v>0.7138741247999999</v>
      </c>
      <c r="P74" s="777">
        <f>$E$22*$I$9*'Traffic Data'!AR19*annualizationFactor</f>
        <v>0.74389639680000008</v>
      </c>
      <c r="Q74" s="777">
        <f>$E$22*$I$9*'Traffic Data'!AS19*annualizationFactor</f>
        <v>0.76042126080000005</v>
      </c>
      <c r="R74" s="777">
        <f>$E$22*$I$9*'Traffic Data'!AT19*annualizationFactor</f>
        <v>0.77697135360000003</v>
      </c>
      <c r="S74" s="777">
        <f>$E$22*$I$9*'Traffic Data'!AU19*annualizationFactor</f>
        <v>0.7934962176</v>
      </c>
      <c r="T74" s="777">
        <f>$E$22*$I$9*'Traffic Data'!AV19*annualizationFactor</f>
        <v>0.81004631040000008</v>
      </c>
      <c r="U74" s="777">
        <f>$E$22*$I$9*'Traffic Data'!AW19*annualizationFactor</f>
        <v>0.82657117440000005</v>
      </c>
      <c r="V74" s="777">
        <f>$E$22*$I$9*'Traffic Data'!AX19*annualizationFactor</f>
        <v>0.84047224319999991</v>
      </c>
      <c r="W74" s="777">
        <f>$E$22*$I$9*'Traffic Data'!AY19*annualizationFactor</f>
        <v>0.85248115199999996</v>
      </c>
      <c r="X74" s="777">
        <f>$E$22*$I$9*'Traffic Data'!AZ19*annualizationFactor</f>
        <v>0.86451528960000001</v>
      </c>
      <c r="Y74" s="777">
        <f>$E$22*$I$9*'Traffic Data'!BA19*annualizationFactor</f>
        <v>0.87654942720000006</v>
      </c>
      <c r="Z74" s="777">
        <f>$E$22*$I$9*'Traffic Data'!BB19*annualizationFactor</f>
        <v>0.88858356479999989</v>
      </c>
      <c r="AA74" s="777">
        <f>$E$22*$I$9*'Traffic Data'!BC19*annualizationFactor</f>
        <v>0.90061770239999994</v>
      </c>
      <c r="AB74" s="777">
        <f>$E$22*$I$9*'Traffic Data'!BD19*annualizationFactor</f>
        <v>0.91265183999999999</v>
      </c>
      <c r="AC74" s="777">
        <f>$E$22*$I$9*'Traffic Data'!BE19*annualizationFactor</f>
        <v>0.92468597759999993</v>
      </c>
      <c r="AD74" s="777">
        <f>$E$22*$I$9*'Traffic Data'!BF19*annualizationFactor</f>
        <v>0.93672011519999998</v>
      </c>
      <c r="AE74" s="777">
        <f>$E$22*$I$9*'Traffic Data'!BG19*annualizationFactor</f>
        <v>0.94875425280000003</v>
      </c>
      <c r="AF74" s="777">
        <f>$E$22*$I$9*'Traffic Data'!BH19*annualizationFactor</f>
        <v>0.96078839040000008</v>
      </c>
      <c r="AG74" s="777">
        <f>$E$22*$I$9*'Traffic Data'!BI19*annualizationFactor</f>
        <v>0.97279729919999991</v>
      </c>
      <c r="AH74" s="778">
        <f>$E$22*$I$9*'Traffic Data'!BJ19*annualizationFactor</f>
        <v>0.98483143679999996</v>
      </c>
      <c r="AI74" s="40"/>
      <c r="AJ74" s="40"/>
      <c r="AK74" s="40"/>
      <c r="AL74" s="40"/>
      <c r="AM74" s="40"/>
    </row>
    <row r="75" spans="2:39" ht="21.95" customHeight="1" x14ac:dyDescent="0.2">
      <c r="B75" s="1346"/>
      <c r="C75" s="116" t="s">
        <v>342</v>
      </c>
      <c r="D75" s="116" t="s">
        <v>341</v>
      </c>
      <c r="E75" s="116" t="s">
        <v>467</v>
      </c>
      <c r="F75" s="116" t="s">
        <v>43</v>
      </c>
      <c r="G75" s="970"/>
      <c r="H75" s="970"/>
      <c r="I75" s="777">
        <f>$E$22*$I$9*'Traffic Data'!AK20*annualizationFactor</f>
        <v>0.72154368000000002</v>
      </c>
      <c r="J75" s="777">
        <f>$E$22*$I$9*'Traffic Data'!AL20*annualizationFactor</f>
        <v>0.73653211007999997</v>
      </c>
      <c r="K75" s="777">
        <f>$E$22*$I$9*'Traffic Data'!AM20*annualizationFactor</f>
        <v>0.77208453504000008</v>
      </c>
      <c r="L75" s="777">
        <f>$E$22*$I$9*'Traffic Data'!AN20*annualizationFactor</f>
        <v>0.81104789376000008</v>
      </c>
      <c r="M75" s="777">
        <f>$E$22*$I$9*'Traffic Data'!AO20*annualizationFactor</f>
        <v>0.85007684736000011</v>
      </c>
      <c r="N75" s="777">
        <f>$E$22*$I$9*'Traffic Data'!AP20*annualizationFactor</f>
        <v>0.88907300351999996</v>
      </c>
      <c r="O75" s="777">
        <f>$E$22*$I$9*'Traffic Data'!AQ20*annualizationFactor</f>
        <v>0.92803636224000008</v>
      </c>
      <c r="P75" s="777">
        <f>$E$22*$I$9*'Traffic Data'!AR20*annualizationFactor</f>
        <v>0.96706531583999999</v>
      </c>
      <c r="Q75" s="777">
        <f>$E$22*$I$9*'Traffic Data'!AS20*annualizationFactor</f>
        <v>0.98854763904000009</v>
      </c>
      <c r="R75" s="777">
        <f>$E$22*$I$9*'Traffic Data'!AT20*annualizationFactor</f>
        <v>1.01006275968</v>
      </c>
      <c r="S75" s="777">
        <f>$E$22*$I$9*'Traffic Data'!AU20*annualizationFactor</f>
        <v>1.0315450828799999</v>
      </c>
      <c r="T75" s="777">
        <f>$E$22*$I$9*'Traffic Data'!AV20*annualizationFactor</f>
        <v>1.0530602035200001</v>
      </c>
      <c r="U75" s="777">
        <f>$E$22*$I$9*'Traffic Data'!AW20*annualizationFactor</f>
        <v>1.0745425267199999</v>
      </c>
      <c r="V75" s="777">
        <f>$E$22*$I$9*'Traffic Data'!AX20*annualizationFactor</f>
        <v>1.0926139161600001</v>
      </c>
      <c r="W75" s="777">
        <f>$E$22*$I$9*'Traffic Data'!AY20*annualizationFactor</f>
        <v>1.1082254975999999</v>
      </c>
      <c r="X75" s="777">
        <f>$E$22*$I$9*'Traffic Data'!AZ20*annualizationFactor</f>
        <v>1.1238698764799999</v>
      </c>
      <c r="Y75" s="777">
        <f>$E$22*$I$9*'Traffic Data'!BA20*annualizationFactor</f>
        <v>1.1395142553600002</v>
      </c>
      <c r="Z75" s="777">
        <f>$E$22*$I$9*'Traffic Data'!BB20*annualizationFactor</f>
        <v>1.1551586342400002</v>
      </c>
      <c r="AA75" s="777">
        <f>$E$22*$I$9*'Traffic Data'!BC20*annualizationFactor</f>
        <v>1.17080301312</v>
      </c>
      <c r="AB75" s="777">
        <f>$E$22*$I$9*'Traffic Data'!BD20*annualizationFactor</f>
        <v>1.186447392</v>
      </c>
      <c r="AC75" s="777">
        <f>$E$22*$I$9*'Traffic Data'!BE20*annualizationFactor</f>
        <v>1.2020917708800001</v>
      </c>
      <c r="AD75" s="777">
        <f>$E$22*$I$9*'Traffic Data'!BF20*annualizationFactor</f>
        <v>1.2177361497600001</v>
      </c>
      <c r="AE75" s="777">
        <f>$E$22*$I$9*'Traffic Data'!BG20*annualizationFactor</f>
        <v>1.2333805286400001</v>
      </c>
      <c r="AF75" s="777">
        <f>$E$22*$I$9*'Traffic Data'!BH20*annualizationFactor</f>
        <v>1.2490249075199999</v>
      </c>
      <c r="AG75" s="777">
        <f>$E$22*$I$9*'Traffic Data'!BI20*annualizationFactor</f>
        <v>1.2646364889600001</v>
      </c>
      <c r="AH75" s="778">
        <f>$E$22*$I$9*'Traffic Data'!BJ20*annualizationFactor</f>
        <v>1.2802808678400002</v>
      </c>
      <c r="AI75" s="40"/>
      <c r="AJ75" s="40"/>
      <c r="AK75" s="40"/>
      <c r="AL75" s="40"/>
      <c r="AM75" s="40"/>
    </row>
    <row r="76" spans="2:39" ht="21.95" customHeight="1" x14ac:dyDescent="0.2">
      <c r="B76" s="1346"/>
      <c r="C76" s="116" t="s">
        <v>341</v>
      </c>
      <c r="D76" s="116" t="s">
        <v>344</v>
      </c>
      <c r="E76" s="116" t="s">
        <v>467</v>
      </c>
      <c r="F76" s="116" t="s">
        <v>43</v>
      </c>
      <c r="G76" s="970"/>
      <c r="H76" s="970"/>
      <c r="I76" s="777">
        <f>$E$22*$I$9*'Traffic Data'!AK21*annualizationFactor</f>
        <v>0.80025753600000005</v>
      </c>
      <c r="J76" s="777">
        <f>$E$22*$I$9*'Traffic Data'!AL21*annualizationFactor</f>
        <v>0.81761696870399991</v>
      </c>
      <c r="K76" s="777">
        <f>$E$22*$I$9*'Traffic Data'!AM21*annualizationFactor</f>
        <v>0.857075821056</v>
      </c>
      <c r="L76" s="777">
        <f>$E$22*$I$9*'Traffic Data'!AN21*annualizationFactor</f>
        <v>0.90035128627200012</v>
      </c>
      <c r="M76" s="777">
        <f>$E$22*$I$9*'Traffic Data'!AO21*annualizationFactor</f>
        <v>0.94365753062399982</v>
      </c>
      <c r="N76" s="777">
        <f>$E$22*$I$9*'Traffic Data'!AP21*annualizationFactor</f>
        <v>0.98693299583999983</v>
      </c>
      <c r="O76" s="777">
        <f>$E$22*$I$9*'Traffic Data'!AQ21*annualizationFactor</f>
        <v>1.0302084610560001</v>
      </c>
      <c r="P76" s="777">
        <f>$E$22*$I$9*'Traffic Data'!AR21*annualizationFactor</f>
        <v>1.0735147054079999</v>
      </c>
      <c r="Q76" s="777">
        <f>$E$22*$I$9*'Traffic Data'!AS21*annualizationFactor</f>
        <v>1.097399314944</v>
      </c>
      <c r="R76" s="777">
        <f>$E$22*$I$9*'Traffic Data'!AT21*annualizationFactor</f>
        <v>1.1212531453439998</v>
      </c>
      <c r="S76" s="777">
        <f>$E$22*$I$9*'Traffic Data'!AU21*annualizationFactor</f>
        <v>1.1451377548799999</v>
      </c>
      <c r="T76" s="777">
        <f>$E$22*$I$9*'Traffic Data'!AV21*annualizationFactor</f>
        <v>1.1689915852799999</v>
      </c>
      <c r="U76" s="777">
        <f>$E$22*$I$9*'Traffic Data'!AW21*annualizationFactor</f>
        <v>1.1928761948159998</v>
      </c>
      <c r="V76" s="777">
        <f>$E$22*$I$9*'Traffic Data'!AX21*annualizationFactor</f>
        <v>1.2128826332160001</v>
      </c>
      <c r="W76" s="777">
        <f>$E$22*$I$9*'Traffic Data'!AY21*annualizationFactor</f>
        <v>1.23024206592</v>
      </c>
      <c r="X76" s="777">
        <f>$E$22*$I$9*'Traffic Data'!AZ21*annualizationFactor</f>
        <v>1.2476322777599997</v>
      </c>
      <c r="Y76" s="777">
        <f>$E$22*$I$9*'Traffic Data'!BA21*annualizationFactor</f>
        <v>1.2649917104640001</v>
      </c>
      <c r="Z76" s="777">
        <f>$E$22*$I$9*'Traffic Data'!BB21*annualizationFactor</f>
        <v>1.2823511431679999</v>
      </c>
      <c r="AA76" s="777">
        <f>$E$22*$I$9*'Traffic Data'!BC21*annualizationFactor</f>
        <v>1.299710575872</v>
      </c>
      <c r="AB76" s="777">
        <f>$E$22*$I$9*'Traffic Data'!BD21*annualizationFactor</f>
        <v>1.3170700085759999</v>
      </c>
      <c r="AC76" s="777">
        <f>$E$22*$I$9*'Traffic Data'!BE21*annualizationFactor</f>
        <v>1.33442944128</v>
      </c>
      <c r="AD76" s="777">
        <f>$E$22*$I$9*'Traffic Data'!BF21*annualizationFactor</f>
        <v>1.3517888739839998</v>
      </c>
      <c r="AE76" s="777">
        <f>$E$22*$I$9*'Traffic Data'!BG21*annualizationFactor</f>
        <v>1.3691483066880001</v>
      </c>
      <c r="AF76" s="777">
        <f>$E$22*$I$9*'Traffic Data'!BH21*annualizationFactor</f>
        <v>1.3865385185279999</v>
      </c>
      <c r="AG76" s="777">
        <f>$E$22*$I$9*'Traffic Data'!BI21*annualizationFactor</f>
        <v>1.403897951232</v>
      </c>
      <c r="AH76" s="778">
        <f>$E$22*$I$9*'Traffic Data'!BJ21*annualizationFactor</f>
        <v>1.4212573839359999</v>
      </c>
      <c r="AI76" s="40"/>
      <c r="AJ76" s="40"/>
      <c r="AK76" s="40"/>
      <c r="AL76" s="40"/>
      <c r="AM76" s="40"/>
    </row>
    <row r="77" spans="2:39" ht="21.95" customHeight="1" x14ac:dyDescent="0.2">
      <c r="B77" s="1346"/>
      <c r="C77" s="116" t="s">
        <v>344</v>
      </c>
      <c r="D77" s="116" t="s">
        <v>345</v>
      </c>
      <c r="E77" s="116" t="s">
        <v>467</v>
      </c>
      <c r="F77" s="116" t="s">
        <v>43</v>
      </c>
      <c r="G77" s="970"/>
      <c r="H77" s="970"/>
      <c r="I77" s="777">
        <f>$E$22*$I$9*'Traffic Data'!AK22*annualizationFactor</f>
        <v>0.3279744</v>
      </c>
      <c r="J77" s="777">
        <f>$E$22*$I$9*'Traffic Data'!AL22*annualizationFactor</f>
        <v>0.33508892160000003</v>
      </c>
      <c r="K77" s="777">
        <f>$E$22*$I$9*'Traffic Data'!AM22*annualizationFactor</f>
        <v>0.35126058239999997</v>
      </c>
      <c r="L77" s="777">
        <f>$E$22*$I$9*'Traffic Data'!AN22*annualizationFactor</f>
        <v>0.36899642880000005</v>
      </c>
      <c r="M77" s="777">
        <f>$E$22*$I$9*'Traffic Data'!AO22*annualizationFactor</f>
        <v>0.38674488959999997</v>
      </c>
      <c r="N77" s="777">
        <f>$E$22*$I$9*'Traffic Data'!AP22*annualizationFactor</f>
        <v>0.40448073600000001</v>
      </c>
      <c r="O77" s="777">
        <f>$E$22*$I$9*'Traffic Data'!AQ22*annualizationFactor</f>
        <v>0.42221658239999998</v>
      </c>
      <c r="P77" s="777">
        <f>$E$22*$I$9*'Traffic Data'!AR22*annualizationFactor</f>
        <v>0.43996504320000002</v>
      </c>
      <c r="Q77" s="777">
        <f>$E$22*$I$9*'Traffic Data'!AS22*annualizationFactor</f>
        <v>0.44975381760000005</v>
      </c>
      <c r="R77" s="777">
        <f>$E$22*$I$9*'Traffic Data'!AT22*annualizationFactor</f>
        <v>0.45952997760000003</v>
      </c>
      <c r="S77" s="777">
        <f>$E$22*$I$9*'Traffic Data'!AU22*annualizationFactor</f>
        <v>0.46931875200000001</v>
      </c>
      <c r="T77" s="777">
        <f>$E$22*$I$9*'Traffic Data'!AV22*annualizationFactor</f>
        <v>0.47909491199999998</v>
      </c>
      <c r="U77" s="777">
        <f>$E$22*$I$9*'Traffic Data'!AW22*annualizationFactor</f>
        <v>0.48888368640000002</v>
      </c>
      <c r="V77" s="777">
        <f>$E$22*$I$9*'Traffic Data'!AX22*annualizationFactor</f>
        <v>0.49708304640000001</v>
      </c>
      <c r="W77" s="777">
        <f>$E$22*$I$9*'Traffic Data'!AY22*annualizationFactor</f>
        <v>0.50419756799999993</v>
      </c>
      <c r="X77" s="777">
        <f>$E$22*$I$9*'Traffic Data'!AZ22*annualizationFactor</f>
        <v>0.51132470399999996</v>
      </c>
      <c r="Y77" s="777">
        <f>$E$22*$I$9*'Traffic Data'!BA22*annualizationFactor</f>
        <v>0.5184392256</v>
      </c>
      <c r="Z77" s="777">
        <f>$E$22*$I$9*'Traffic Data'!BB22*annualizationFactor</f>
        <v>0.52555374719999992</v>
      </c>
      <c r="AA77" s="777">
        <f>$E$22*$I$9*'Traffic Data'!BC22*annualizationFactor</f>
        <v>0.53266826879999996</v>
      </c>
      <c r="AB77" s="777">
        <f>$E$22*$I$9*'Traffic Data'!BD22*annualizationFactor</f>
        <v>0.53978279039999999</v>
      </c>
      <c r="AC77" s="777">
        <f>$E$22*$I$9*'Traffic Data'!BE22*annualizationFactor</f>
        <v>0.54689731200000002</v>
      </c>
      <c r="AD77" s="777">
        <f>$E$22*$I$9*'Traffic Data'!BF22*annualizationFactor</f>
        <v>0.55401183359999995</v>
      </c>
      <c r="AE77" s="777">
        <f>$E$22*$I$9*'Traffic Data'!BG22*annualizationFactor</f>
        <v>0.56112635519999998</v>
      </c>
      <c r="AF77" s="777">
        <f>$E$22*$I$9*'Traffic Data'!BH22*annualizationFactor</f>
        <v>0.56825349120000002</v>
      </c>
      <c r="AG77" s="777">
        <f>$E$22*$I$9*'Traffic Data'!BI22*annualizationFactor</f>
        <v>0.57536801279999994</v>
      </c>
      <c r="AH77" s="778">
        <f>$E$22*$I$9*'Traffic Data'!BJ22*annualizationFactor</f>
        <v>0.58248253439999997</v>
      </c>
      <c r="AI77" s="40"/>
      <c r="AJ77" s="40"/>
      <c r="AK77" s="40"/>
      <c r="AL77" s="40"/>
      <c r="AM77" s="40"/>
    </row>
    <row r="78" spans="2:39" ht="21.95" customHeight="1" x14ac:dyDescent="0.2">
      <c r="B78" s="1346"/>
      <c r="C78" s="116" t="s">
        <v>345</v>
      </c>
      <c r="D78" s="116" t="s">
        <v>323</v>
      </c>
      <c r="E78" s="116" t="s">
        <v>467</v>
      </c>
      <c r="F78" s="116" t="s">
        <v>43</v>
      </c>
      <c r="G78" s="970"/>
      <c r="H78" s="970"/>
      <c r="I78" s="777">
        <f>$E$22*$I$9*'Traffic Data'!AK23*annualizationFactor</f>
        <v>3.95587584</v>
      </c>
      <c r="J78" s="777">
        <f>$E$22*$I$9*'Traffic Data'!AL23*annualizationFactor</f>
        <v>4.0417042176000004</v>
      </c>
      <c r="K78" s="777">
        <f>$E$22*$I$9*'Traffic Data'!AM23*annualizationFactor</f>
        <v>4.236728896512</v>
      </c>
      <c r="L78" s="777">
        <f>$E$22*$I$9*'Traffic Data'!AN23*annualizationFactor</f>
        <v>4.4506782028799998</v>
      </c>
      <c r="M78" s="777">
        <f>$E$22*$I$9*'Traffic Data'!AO23*annualizationFactor</f>
        <v>4.6647264061440001</v>
      </c>
      <c r="N78" s="777">
        <f>$E$22*$I$9*'Traffic Data'!AP23*annualizationFactor</f>
        <v>4.8787039687680007</v>
      </c>
      <c r="O78" s="777">
        <f>$E$22*$I$9*'Traffic Data'!AQ23*annualizationFactor</f>
        <v>5.0926532751359996</v>
      </c>
      <c r="P78" s="777">
        <f>$E$22*$I$9*'Traffic Data'!AR23*annualizationFactor</f>
        <v>5.3067226705919994</v>
      </c>
      <c r="Q78" s="777">
        <f>$E$22*$I$9*'Traffic Data'!AS23*annualizationFactor</f>
        <v>5.4246925393919971</v>
      </c>
      <c r="R78" s="777">
        <f>$E$22*$I$9*'Traffic Data'!AT23*annualizationFactor</f>
        <v>5.5426624081919993</v>
      </c>
      <c r="S78" s="777">
        <f>$E$22*$I$9*'Traffic Data'!AU23*annualizationFactor</f>
        <v>5.6606322769919997</v>
      </c>
      <c r="T78" s="777">
        <f>$E$22*$I$9*'Traffic Data'!AV23*annualizationFactor</f>
        <v>5.7786021457920009</v>
      </c>
      <c r="U78" s="777">
        <f>$E$22*$I$9*'Traffic Data'!AW23*annualizationFactor</f>
        <v>5.8966143989759985</v>
      </c>
      <c r="V78" s="777">
        <f>$E$22*$I$9*'Traffic Data'!AX23*annualizationFactor</f>
        <v>5.9956384481279992</v>
      </c>
      <c r="W78" s="777">
        <f>$E$22*$I$9*'Traffic Data'!AY23*annualizationFactor</f>
        <v>6.0814668257279996</v>
      </c>
      <c r="X78" s="777">
        <f>$E$22*$I$9*'Traffic Data'!AZ23*annualizationFactor</f>
        <v>6.1672952033279982</v>
      </c>
      <c r="Y78" s="777">
        <f>$E$22*$I$9*'Traffic Data'!BA23*annualizationFactor</f>
        <v>6.2531235809280004</v>
      </c>
      <c r="Z78" s="777">
        <f>$E$22*$I$9*'Traffic Data'!BB23*annualizationFactor</f>
        <v>6.3389590225919994</v>
      </c>
      <c r="AA78" s="777">
        <f>$E$22*$I$9*'Traffic Data'!BC23*annualizationFactor</f>
        <v>6.4247874001919989</v>
      </c>
      <c r="AB78" s="777">
        <f>$E$22*$I$9*'Traffic Data'!BD23*annualizationFactor</f>
        <v>6.5106228418559988</v>
      </c>
      <c r="AC78" s="777">
        <f>$E$22*$I$9*'Traffic Data'!BE23*annualizationFactor</f>
        <v>6.596451219456001</v>
      </c>
      <c r="AD78" s="777">
        <f>$E$22*$I$9*'Traffic Data'!BF23*annualizationFactor</f>
        <v>6.6822795970559996</v>
      </c>
      <c r="AE78" s="777">
        <f>$E$22*$I$9*'Traffic Data'!BG23*annualizationFactor</f>
        <v>6.7681150387199995</v>
      </c>
      <c r="AF78" s="777">
        <f>$E$22*$I$9*'Traffic Data'!BH23*annualizationFactor</f>
        <v>6.8539434163200008</v>
      </c>
      <c r="AG78" s="777">
        <f>$E$22*$I$9*'Traffic Data'!BI23*annualizationFactor</f>
        <v>6.9397717939200003</v>
      </c>
      <c r="AH78" s="778">
        <f>$E$22*$I$9*'Traffic Data'!BJ23*annualizationFactor</f>
        <v>7.0256072355839994</v>
      </c>
      <c r="AI78" s="40"/>
      <c r="AJ78" s="40"/>
      <c r="AK78" s="40"/>
      <c r="AL78" s="40"/>
      <c r="AM78" s="40"/>
    </row>
    <row r="79" spans="2:39" ht="21.95" customHeight="1" x14ac:dyDescent="0.2">
      <c r="B79" s="1346"/>
      <c r="C79" s="116" t="s">
        <v>323</v>
      </c>
      <c r="D79" s="116" t="s">
        <v>347</v>
      </c>
      <c r="E79" s="116" t="s">
        <v>467</v>
      </c>
      <c r="F79" s="116" t="s">
        <v>43</v>
      </c>
      <c r="G79" s="970"/>
      <c r="H79" s="970"/>
      <c r="I79" s="777">
        <f>$E$22*$I$9*'Traffic Data'!AK24*annualizationFactor</f>
        <v>0.70640639999999999</v>
      </c>
      <c r="J79" s="777">
        <f>$E$22*$I$9*'Traffic Data'!AL24*annualizationFactor</f>
        <v>0.7217328959999999</v>
      </c>
      <c r="K79" s="777">
        <f>$E$22*$I$9*'Traffic Data'!AM24*annualizationFactor</f>
        <v>0.74455991424000001</v>
      </c>
      <c r="L79" s="777">
        <f>$E$22*$I$9*'Traffic Data'!AN24*annualizationFactor</f>
        <v>0.77076633024000007</v>
      </c>
      <c r="M79" s="777">
        <f>$E$22*$I$9*'Traffic Data'!AO24*annualizationFactor</f>
        <v>0.79698031487999998</v>
      </c>
      <c r="N79" s="777">
        <f>$E$22*$I$9*'Traffic Data'!AP24*annualizationFactor</f>
        <v>0.82319177664000009</v>
      </c>
      <c r="O79" s="777">
        <f>$E$22*$I$9*'Traffic Data'!AQ24*annualizationFactor</f>
        <v>0.84939819263999983</v>
      </c>
      <c r="P79" s="777">
        <f>$E$22*$I$9*'Traffic Data'!AR24*annualizationFactor</f>
        <v>0.87561596159999977</v>
      </c>
      <c r="Q79" s="777">
        <f>$E$22*$I$9*'Traffic Data'!AS24*annualizationFactor</f>
        <v>0.89668200959999977</v>
      </c>
      <c r="R79" s="777">
        <f>$E$22*$I$9*'Traffic Data'!AT24*annualizationFactor</f>
        <v>0.91774805759999978</v>
      </c>
      <c r="S79" s="777">
        <f>$E$22*$I$9*'Traffic Data'!AU24*annualizationFactor</f>
        <v>0.9388141056</v>
      </c>
      <c r="T79" s="777">
        <f>$E$22*$I$9*'Traffic Data'!AV24*annualizationFactor</f>
        <v>0.95988015360000012</v>
      </c>
      <c r="U79" s="777">
        <f>$E$22*$I$9*'Traffic Data'!AW24*annualizationFactor</f>
        <v>0.98095377023999986</v>
      </c>
      <c r="V79" s="777">
        <f>$E$22*$I$9*'Traffic Data'!AX24*annualizationFactor</f>
        <v>0.99863663615999987</v>
      </c>
      <c r="W79" s="777">
        <f>$E$22*$I$9*'Traffic Data'!AY24*annualizationFactor</f>
        <v>1.01396313216</v>
      </c>
      <c r="X79" s="777">
        <f>$E$22*$I$9*'Traffic Data'!AZ24*annualizationFactor</f>
        <v>1.0292896281599999</v>
      </c>
      <c r="Y79" s="777">
        <f>$E$22*$I$9*'Traffic Data'!BA24*annualizationFactor</f>
        <v>1.04461612416</v>
      </c>
      <c r="Z79" s="777">
        <f>$E$22*$I$9*'Traffic Data'!BB24*annualizationFactor</f>
        <v>1.0599438816</v>
      </c>
      <c r="AA79" s="777">
        <f>$E$22*$I$9*'Traffic Data'!BC24*annualizationFactor</f>
        <v>1.0752703775999999</v>
      </c>
      <c r="AB79" s="777">
        <f>$E$22*$I$9*'Traffic Data'!BD24*annualizationFactor</f>
        <v>1.09059813504</v>
      </c>
      <c r="AC79" s="777">
        <f>$E$22*$I$9*'Traffic Data'!BE24*annualizationFactor</f>
        <v>1.1059246310400002</v>
      </c>
      <c r="AD79" s="777">
        <f>$E$22*$I$9*'Traffic Data'!BF24*annualizationFactor</f>
        <v>1.1212511270400001</v>
      </c>
      <c r="AE79" s="777">
        <f>$E$22*$I$9*'Traffic Data'!BG24*annualizationFactor</f>
        <v>1.13657888448</v>
      </c>
      <c r="AF79" s="777">
        <f>$E$22*$I$9*'Traffic Data'!BH24*annualizationFactor</f>
        <v>1.1519053804800001</v>
      </c>
      <c r="AG79" s="777">
        <f>$E$22*$I$9*'Traffic Data'!BI24*annualizationFactor</f>
        <v>1.1672318764800003</v>
      </c>
      <c r="AH79" s="778">
        <f>$E$22*$I$9*'Traffic Data'!BJ24*annualizationFactor</f>
        <v>1.1825596339200002</v>
      </c>
      <c r="AI79" s="40"/>
      <c r="AJ79" s="40"/>
      <c r="AK79" s="40"/>
      <c r="AL79" s="40"/>
      <c r="AM79" s="40"/>
    </row>
    <row r="80" spans="2:39" ht="21.95" customHeight="1" x14ac:dyDescent="0.2">
      <c r="B80" s="1346"/>
      <c r="C80" s="116" t="s">
        <v>347</v>
      </c>
      <c r="D80" s="116" t="s">
        <v>348</v>
      </c>
      <c r="E80" s="116" t="s">
        <v>467</v>
      </c>
      <c r="F80" s="116" t="s">
        <v>43</v>
      </c>
      <c r="G80" s="970"/>
      <c r="H80" s="970"/>
      <c r="I80" s="777">
        <f>$E$22*$I$9*'Traffic Data'!AK25*annualizationFactor</f>
        <v>0.49448448</v>
      </c>
      <c r="J80" s="777">
        <f>$E$22*$I$9*'Traffic Data'!AL25*annualizationFactor</f>
        <v>0.50521302720000005</v>
      </c>
      <c r="K80" s="777">
        <f>$E$22*$I$9*'Traffic Data'!AM25*annualizationFactor</f>
        <v>0.52119193996799984</v>
      </c>
      <c r="L80" s="777">
        <f>$E$22*$I$9*'Traffic Data'!AN25*annualizationFactor</f>
        <v>0.5395364311680001</v>
      </c>
      <c r="M80" s="777">
        <f>$E$22*$I$9*'Traffic Data'!AO25*annualizationFactor</f>
        <v>0.557886220416</v>
      </c>
      <c r="N80" s="777">
        <f>$E$22*$I$9*'Traffic Data'!AP25*annualizationFactor</f>
        <v>0.57623424364800002</v>
      </c>
      <c r="O80" s="777">
        <f>$E$22*$I$9*'Traffic Data'!AQ25*annualizationFactor</f>
        <v>0.59457873484799983</v>
      </c>
      <c r="P80" s="777">
        <f>$E$22*$I$9*'Traffic Data'!AR25*annualizationFactor</f>
        <v>0.61293117311999989</v>
      </c>
      <c r="Q80" s="777">
        <f>$E$22*$I$9*'Traffic Data'!AS25*annualizationFactor</f>
        <v>0.62767740671999983</v>
      </c>
      <c r="R80" s="777">
        <f>$E$22*$I$9*'Traffic Data'!AT25*annualizationFactor</f>
        <v>0.64242364031999988</v>
      </c>
      <c r="S80" s="777">
        <f>$E$22*$I$9*'Traffic Data'!AU25*annualizationFactor</f>
        <v>0.65716987391999993</v>
      </c>
      <c r="T80" s="777">
        <f>$E$22*$I$9*'Traffic Data'!AV25*annualizationFactor</f>
        <v>0.67191610752000008</v>
      </c>
      <c r="U80" s="777">
        <f>$E$22*$I$9*'Traffic Data'!AW25*annualizationFactor</f>
        <v>0.686667639168</v>
      </c>
      <c r="V80" s="777">
        <f>$E$22*$I$9*'Traffic Data'!AX25*annualizationFactor</f>
        <v>0.69904564531199997</v>
      </c>
      <c r="W80" s="777">
        <f>$E$22*$I$9*'Traffic Data'!AY25*annualizationFactor</f>
        <v>0.70977419251199991</v>
      </c>
      <c r="X80" s="777">
        <f>$E$22*$I$9*'Traffic Data'!AZ25*annualizationFactor</f>
        <v>0.72050273971199996</v>
      </c>
      <c r="Y80" s="777">
        <f>$E$22*$I$9*'Traffic Data'!BA25*annualizationFactor</f>
        <v>0.73123128691200001</v>
      </c>
      <c r="Z80" s="777">
        <f>$E$22*$I$9*'Traffic Data'!BB25*annualizationFactor</f>
        <v>0.74196071712</v>
      </c>
      <c r="AA80" s="777">
        <f>$E$22*$I$9*'Traffic Data'!BC25*annualizationFactor</f>
        <v>0.75268926431999983</v>
      </c>
      <c r="AB80" s="777">
        <f>$E$22*$I$9*'Traffic Data'!BD25*annualizationFactor</f>
        <v>0.76341869452800004</v>
      </c>
      <c r="AC80" s="777">
        <f>$E$22*$I$9*'Traffic Data'!BE25*annualizationFactor</f>
        <v>0.77414724172800009</v>
      </c>
      <c r="AD80" s="777">
        <f>$E$22*$I$9*'Traffic Data'!BF25*annualizationFactor</f>
        <v>0.78487578892800003</v>
      </c>
      <c r="AE80" s="777">
        <f>$E$22*$I$9*'Traffic Data'!BG25*annualizationFactor</f>
        <v>0.79560521913599991</v>
      </c>
      <c r="AF80" s="777">
        <f>$E$22*$I$9*'Traffic Data'!BH25*annualizationFactor</f>
        <v>0.80633376633599996</v>
      </c>
      <c r="AG80" s="777">
        <f>$E$22*$I$9*'Traffic Data'!BI25*annualizationFactor</f>
        <v>0.81706231353600001</v>
      </c>
      <c r="AH80" s="778">
        <f>$E$22*$I$9*'Traffic Data'!BJ25*annualizationFactor</f>
        <v>0.82779174374399989</v>
      </c>
      <c r="AI80" s="40"/>
      <c r="AJ80" s="40"/>
      <c r="AK80" s="40"/>
      <c r="AL80" s="40"/>
      <c r="AM80" s="40"/>
    </row>
    <row r="81" spans="2:39" ht="21.95" customHeight="1" x14ac:dyDescent="0.2">
      <c r="B81" s="1346"/>
      <c r="C81" s="254" t="s">
        <v>348</v>
      </c>
      <c r="D81" s="254" t="s">
        <v>349</v>
      </c>
      <c r="E81" s="254" t="s">
        <v>467</v>
      </c>
      <c r="F81" s="254" t="s">
        <v>43</v>
      </c>
      <c r="G81" s="779"/>
      <c r="H81" s="779"/>
      <c r="I81" s="777">
        <f>$E$22*$I$9*'Traffic Data'!AK26*annualizationFactor</f>
        <v>0.80732159999999997</v>
      </c>
      <c r="J81" s="777">
        <f>$E$22*$I$9*'Traffic Data'!AL26*annualizationFactor</f>
        <v>0.82660523327999991</v>
      </c>
      <c r="K81" s="777">
        <f>$E$22*$I$9*'Traffic Data'!AM26*annualizationFactor</f>
        <v>0.85339191167999995</v>
      </c>
      <c r="L81" s="777">
        <f>$E$22*$I$9*'Traffic Data'!AN26*annualizationFactor</f>
        <v>0.88896704255999992</v>
      </c>
      <c r="M81" s="777">
        <f>$E$22*$I$9*'Traffic Data'!AO26*annualizationFactor</f>
        <v>0.92455226496000009</v>
      </c>
      <c r="N81" s="777">
        <f>$E$22*$I$9*'Traffic Data'!AP26*annualizationFactor</f>
        <v>0.96014001024000006</v>
      </c>
      <c r="O81" s="777">
        <f>$E$22*$I$9*'Traffic Data'!AQ26*annualizationFactor</f>
        <v>0.99571514112000004</v>
      </c>
      <c r="P81" s="777">
        <f>$E$22*$I$9*'Traffic Data'!AR26*annualizationFactor</f>
        <v>1.0313104550400001</v>
      </c>
      <c r="Q81" s="777">
        <f>$E$22*$I$9*'Traffic Data'!AS26*annualizationFactor</f>
        <v>1.0652835571200001</v>
      </c>
      <c r="R81" s="777">
        <f>$E$22*$I$9*'Traffic Data'!AT26*annualizationFactor</f>
        <v>1.0992579206399999</v>
      </c>
      <c r="S81" s="777">
        <f>$E$22*$I$9*'Traffic Data'!AU26*annualizationFactor</f>
        <v>1.1332310227199998</v>
      </c>
      <c r="T81" s="777">
        <f>$E$22*$I$9*'Traffic Data'!AV26*annualizationFactor</f>
        <v>1.1672041248</v>
      </c>
      <c r="U81" s="777">
        <f>$E$22*$I$9*'Traffic Data'!AW26*annualizationFactor</f>
        <v>1.20119740992</v>
      </c>
      <c r="V81" s="777">
        <f>$E$22*$I$9*'Traffic Data'!AX26*annualizationFactor</f>
        <v>1.226371968</v>
      </c>
      <c r="W81" s="777">
        <f>$E$22*$I$9*'Traffic Data'!AY26*annualizationFactor</f>
        <v>1.24565560128</v>
      </c>
      <c r="X81" s="777">
        <f>$E$22*$I$9*'Traffic Data'!AZ26*annualizationFactor</f>
        <v>1.2649392345599999</v>
      </c>
      <c r="Y81" s="777">
        <f>$E$22*$I$9*'Traffic Data'!BA26*annualizationFactor</f>
        <v>1.2842228678399998</v>
      </c>
      <c r="Z81" s="777">
        <f>$E$22*$I$9*'Traffic Data'!BB26*annualizationFactor</f>
        <v>1.30351028544</v>
      </c>
      <c r="AA81" s="777">
        <f>$E$22*$I$9*'Traffic Data'!BC26*annualizationFactor</f>
        <v>1.3227939187199997</v>
      </c>
      <c r="AB81" s="777">
        <f>$E$22*$I$9*'Traffic Data'!BD26*annualizationFactor</f>
        <v>1.3420813363199999</v>
      </c>
      <c r="AC81" s="777">
        <f>$E$22*$I$9*'Traffic Data'!BE26*annualizationFactor</f>
        <v>1.3613649696000001</v>
      </c>
      <c r="AD81" s="777">
        <f>$E$22*$I$9*'Traffic Data'!BF26*annualizationFactor</f>
        <v>1.3806486028799998</v>
      </c>
      <c r="AE81" s="777">
        <f>$E$22*$I$9*'Traffic Data'!BG26*annualizationFactor</f>
        <v>1.39993602048</v>
      </c>
      <c r="AF81" s="777">
        <f>$E$22*$I$9*'Traffic Data'!BH26*annualizationFactor</f>
        <v>1.4192196537599999</v>
      </c>
      <c r="AG81" s="777">
        <f>$E$22*$I$9*'Traffic Data'!BI26*annualizationFactor</f>
        <v>1.4385032870399999</v>
      </c>
      <c r="AH81" s="778">
        <f>$E$22*$I$9*'Traffic Data'!BJ26*annualizationFactor</f>
        <v>1.4577907046399998</v>
      </c>
      <c r="AI81" s="40"/>
      <c r="AJ81" s="40"/>
      <c r="AK81" s="40"/>
      <c r="AL81" s="40"/>
      <c r="AM81" s="40"/>
    </row>
    <row r="82" spans="2:39" ht="21.95" customHeight="1" x14ac:dyDescent="0.2">
      <c r="B82" s="492" t="s">
        <v>288</v>
      </c>
      <c r="C82" s="116" t="s">
        <v>323</v>
      </c>
      <c r="D82" s="116" t="s">
        <v>348</v>
      </c>
      <c r="E82" s="116" t="s">
        <v>467</v>
      </c>
      <c r="F82" s="116" t="s">
        <v>43</v>
      </c>
      <c r="G82" s="970"/>
      <c r="H82" s="970"/>
      <c r="I82" s="775">
        <f>$E$22*$J$9*'Traffic Data'!AK27*annualizationFactor</f>
        <v>0.1009152</v>
      </c>
      <c r="J82" s="775">
        <f>$E$22*$J$9*'Traffic Data'!AL27*annualizationFactor</f>
        <v>0.10469839872</v>
      </c>
      <c r="K82" s="775">
        <f>$E$22*$J$9*'Traffic Data'!AM27*annualizationFactor</f>
        <v>0.11048532480000001</v>
      </c>
      <c r="L82" s="775">
        <f>$E$22*$J$9*'Traffic Data'!AN27*annualizationFactor</f>
        <v>0.12887151360000001</v>
      </c>
      <c r="M82" s="775">
        <f>$E$22*$J$9*'Traffic Data'!AO27*annualizationFactor</f>
        <v>0.14726050560000001</v>
      </c>
      <c r="N82" s="775">
        <f>$E$22*$J$9*'Traffic Data'!AP27*annualizationFactor</f>
        <v>0.16566911999999998</v>
      </c>
      <c r="O82" s="775">
        <f>$E$22*$J$9*'Traffic Data'!AQ27*annualizationFactor</f>
        <v>0.18405530879999998</v>
      </c>
      <c r="P82" s="775">
        <f>$E$22*$J$9*'Traffic Data'!AR27*annualizationFactor</f>
        <v>0.20245943808</v>
      </c>
      <c r="Q82" s="775">
        <f>$E$22*$J$9*'Traffic Data'!AS27*annualizationFactor</f>
        <v>0.22670879999999999</v>
      </c>
      <c r="R82" s="775">
        <f>$E$22*$J$9*'Traffic Data'!AT27*annualizationFactor</f>
        <v>0.25095199488000003</v>
      </c>
      <c r="S82" s="775">
        <f>$E$22*$J$9*'Traffic Data'!AU27*annualizationFactor</f>
        <v>0.27520415999999998</v>
      </c>
      <c r="T82" s="775">
        <f>$E$22*$J$9*'Traffic Data'!AV27*annualizationFactor</f>
        <v>0.29945352192000008</v>
      </c>
      <c r="U82" s="775">
        <f>$E$22*$J$9*'Traffic Data'!AW27*annualizationFactor</f>
        <v>0.32373035519999999</v>
      </c>
      <c r="V82" s="775">
        <f>$E$22*$J$9*'Traffic Data'!AX27*annualizationFactor</f>
        <v>0.33536812031999996</v>
      </c>
      <c r="W82" s="775">
        <f>$E$22*$J$9*'Traffic Data'!AY27*annualizationFactor</f>
        <v>0.33915131904000001</v>
      </c>
      <c r="X82" s="775">
        <f>$E$22*$J$9*'Traffic Data'!AZ27*annualizationFactor</f>
        <v>0.34293451775999995</v>
      </c>
      <c r="Y82" s="775">
        <f>$E$22*$J$9*'Traffic Data'!BA27*annualizationFactor</f>
        <v>0.34671771647999999</v>
      </c>
      <c r="Z82" s="775">
        <f>$E$22*$J$9*'Traffic Data'!BB27*annualizationFactor</f>
        <v>0.35050483967999996</v>
      </c>
      <c r="AA82" s="775">
        <f>$E$22*$J$9*'Traffic Data'!BC27*annualizationFactor</f>
        <v>0.35428803839999995</v>
      </c>
      <c r="AB82" s="775">
        <f>$E$22*$J$9*'Traffic Data'!BD27*annualizationFactor</f>
        <v>0.35807516160000002</v>
      </c>
      <c r="AC82" s="775">
        <f>$E$22*$J$9*'Traffic Data'!BE27*annualizationFactor</f>
        <v>0.36185836032000007</v>
      </c>
      <c r="AD82" s="775">
        <f>$E$22*$J$9*'Traffic Data'!BF27*annualizationFactor</f>
        <v>0.36564155903999995</v>
      </c>
      <c r="AE82" s="775">
        <f>$E$22*$J$9*'Traffic Data'!BG27*annualizationFactor</f>
        <v>0.36942868223999997</v>
      </c>
      <c r="AF82" s="775">
        <f>$E$22*$J$9*'Traffic Data'!BH27*annualizationFactor</f>
        <v>0.37321188096000008</v>
      </c>
      <c r="AG82" s="775">
        <f>$E$22*$J$9*'Traffic Data'!BI27*annualizationFactor</f>
        <v>0.37699507967999996</v>
      </c>
      <c r="AH82" s="776">
        <f>$E$22*$J$9*'Traffic Data'!BJ27*annualizationFactor</f>
        <v>0.38078220287999998</v>
      </c>
      <c r="AI82" s="40"/>
      <c r="AJ82" s="40"/>
      <c r="AK82" s="40"/>
      <c r="AL82" s="40"/>
      <c r="AM82" s="40"/>
    </row>
    <row r="83" spans="2:39" ht="21.95" customHeight="1" x14ac:dyDescent="0.2">
      <c r="B83" s="782" t="s">
        <v>340</v>
      </c>
      <c r="C83" s="277" t="s">
        <v>335</v>
      </c>
      <c r="D83" s="277" t="s">
        <v>323</v>
      </c>
      <c r="E83" s="277" t="s">
        <v>467</v>
      </c>
      <c r="F83" s="277" t="s">
        <v>43</v>
      </c>
      <c r="G83" s="780"/>
      <c r="H83" s="780"/>
      <c r="I83" s="775">
        <f>$E$22*$K$9*'Traffic Data'!AK28*annualizationFactor</f>
        <v>0</v>
      </c>
      <c r="J83" s="775">
        <f>$E$22*$K$9*'Traffic Data'!AL28*annualizationFactor</f>
        <v>0</v>
      </c>
      <c r="K83" s="775">
        <f>$E$22*$K$9*'Traffic Data'!AM28*annualizationFactor</f>
        <v>0</v>
      </c>
      <c r="L83" s="775">
        <f>$E$22*$K$9*'Traffic Data'!AN28*annualizationFactor</f>
        <v>0</v>
      </c>
      <c r="M83" s="775">
        <f>$E$22*$K$9*'Traffic Data'!AO28*annualizationFactor</f>
        <v>0</v>
      </c>
      <c r="N83" s="775">
        <f>$E$22*$K$9*'Traffic Data'!AP28*annualizationFactor</f>
        <v>0</v>
      </c>
      <c r="O83" s="775">
        <f>$E$22*$K$9*'Traffic Data'!AQ28*annualizationFactor</f>
        <v>0</v>
      </c>
      <c r="P83" s="775">
        <f>$E$22*$K$9*'Traffic Data'!AR28*annualizationFactor</f>
        <v>0</v>
      </c>
      <c r="Q83" s="775">
        <f>$E$22*$K$9*'Traffic Data'!AS28*annualizationFactor</f>
        <v>0</v>
      </c>
      <c r="R83" s="775">
        <f>$E$22*$K$9*'Traffic Data'!AT28*annualizationFactor</f>
        <v>0</v>
      </c>
      <c r="S83" s="775">
        <f>$E$22*$K$9*'Traffic Data'!AU28*annualizationFactor</f>
        <v>0</v>
      </c>
      <c r="T83" s="775">
        <f>$E$22*$K$9*'Traffic Data'!AV28*annualizationFactor</f>
        <v>0</v>
      </c>
      <c r="U83" s="775">
        <f>$E$22*$K$9*'Traffic Data'!AW28*annualizationFactor</f>
        <v>0</v>
      </c>
      <c r="V83" s="775">
        <f>$E$22*$K$9*'Traffic Data'!AX28*annualizationFactor</f>
        <v>0</v>
      </c>
      <c r="W83" s="775">
        <f>$E$22*$K$9*'Traffic Data'!AY28*annualizationFactor</f>
        <v>0</v>
      </c>
      <c r="X83" s="775">
        <f>$E$22*$K$9*'Traffic Data'!AZ28*annualizationFactor</f>
        <v>0</v>
      </c>
      <c r="Y83" s="775">
        <f>$E$22*$K$9*'Traffic Data'!BA28*annualizationFactor</f>
        <v>0</v>
      </c>
      <c r="Z83" s="775">
        <f>$E$22*$K$9*'Traffic Data'!BB28*annualizationFactor</f>
        <v>0</v>
      </c>
      <c r="AA83" s="775">
        <f>$E$22*$K$9*'Traffic Data'!BC28*annualizationFactor</f>
        <v>0</v>
      </c>
      <c r="AB83" s="775">
        <f>$E$22*$K$9*'Traffic Data'!BD28*annualizationFactor</f>
        <v>0</v>
      </c>
      <c r="AC83" s="775">
        <f>$E$22*$K$9*'Traffic Data'!BE28*annualizationFactor</f>
        <v>0</v>
      </c>
      <c r="AD83" s="775">
        <f>$E$22*$K$9*'Traffic Data'!BF28*annualizationFactor</f>
        <v>0</v>
      </c>
      <c r="AE83" s="775">
        <f>$E$22*$K$9*'Traffic Data'!BG28*annualizationFactor</f>
        <v>0</v>
      </c>
      <c r="AF83" s="775">
        <f>$E$22*$K$9*'Traffic Data'!BH28*annualizationFactor</f>
        <v>0</v>
      </c>
      <c r="AG83" s="775">
        <f>$E$22*$K$9*'Traffic Data'!BI28*annualizationFactor</f>
        <v>0</v>
      </c>
      <c r="AH83" s="776">
        <f>$E$22*$K$9*'Traffic Data'!BJ28*annualizationFactor</f>
        <v>0</v>
      </c>
      <c r="AI83" s="40"/>
      <c r="AJ83" s="40"/>
      <c r="AK83" s="40"/>
      <c r="AL83" s="40"/>
      <c r="AM83" s="40"/>
    </row>
    <row r="84" spans="2:39" ht="21.95" customHeight="1" x14ac:dyDescent="0.2">
      <c r="B84" s="782" t="s">
        <v>357</v>
      </c>
      <c r="C84" s="277" t="s">
        <v>338</v>
      </c>
      <c r="D84" s="277" t="s">
        <v>323</v>
      </c>
      <c r="E84" s="116" t="s">
        <v>467</v>
      </c>
      <c r="F84" s="116" t="s">
        <v>43</v>
      </c>
      <c r="G84" s="970"/>
      <c r="H84" s="970"/>
      <c r="I84" s="775">
        <f>$E$22*$L$9*'Traffic Data'!AK29*annualizationFactor</f>
        <v>0.18715182545454545</v>
      </c>
      <c r="J84" s="775">
        <f>$E$22*$L$9*'Traffic Data'!AL29*annualizationFactor</f>
        <v>0.19004436089018178</v>
      </c>
      <c r="K84" s="775">
        <f>$E$22*$L$9*'Traffic Data'!AM29*annualizationFactor</f>
        <v>0.19479697752436362</v>
      </c>
      <c r="L84" s="775">
        <f>$E$22*$L$9*'Traffic Data'!AN29*annualizationFactor</f>
        <v>0.21094973965963637</v>
      </c>
      <c r="M84" s="775">
        <f>$E$22*$L$9*'Traffic Data'!AO29*annualizationFactor</f>
        <v>0.22710458125963637</v>
      </c>
      <c r="N84" s="775">
        <f>$E$22*$L$9*'Traffic Data'!AP29*annualizationFactor</f>
        <v>0.24327813804218179</v>
      </c>
      <c r="O84" s="775">
        <f>$E$22*$L$9*'Traffic Data'!AQ29*annualizationFactor</f>
        <v>0.25943090017745452</v>
      </c>
      <c r="P84" s="775">
        <f>$E$22*$L$9*'Traffic Data'!AR29*annualizationFactor</f>
        <v>0.2756018576290909</v>
      </c>
      <c r="Q84" s="775">
        <f>$E$22*$L$9*'Traffic Data'!AS29*annualizationFactor</f>
        <v>0.2947610058938181</v>
      </c>
      <c r="R84" s="775">
        <f>$E$22*$L$9*'Traffic Data'!AT29*annualizationFactor</f>
        <v>0.31391599522909086</v>
      </c>
      <c r="S84" s="775">
        <f>$E$22*$L$9*'Traffic Data'!AU29*annualizationFactor</f>
        <v>0.33308034215563631</v>
      </c>
      <c r="T84" s="775">
        <f>$E$22*$L$9*'Traffic Data'!AV29*annualizationFactor</f>
        <v>0.35223949042036362</v>
      </c>
      <c r="U84" s="775">
        <f>$E$22*$L$9*'Traffic Data'!AW29*annualizationFactor</f>
        <v>0.37142567172654539</v>
      </c>
      <c r="V84" s="775">
        <f>$E$22*$L$9*'Traffic Data'!AX29*annualizationFactor</f>
        <v>0.37917375730036362</v>
      </c>
      <c r="W84" s="775">
        <f>$E$22*$L$9*'Traffic Data'!AY29*annualizationFactor</f>
        <v>0.3820662927359999</v>
      </c>
      <c r="X84" s="775">
        <f>$E$22*$L$9*'Traffic Data'!AZ29*annualizationFactor</f>
        <v>0.38495882817163635</v>
      </c>
      <c r="Y84" s="775">
        <f>$E$22*$L$9*'Traffic Data'!BA29*annualizationFactor</f>
        <v>0.38785136360727274</v>
      </c>
      <c r="Z84" s="775">
        <f>$E$22*$L$9*'Traffic Data'!BB29*annualizationFactor</f>
        <v>0.39074961757090904</v>
      </c>
      <c r="AA84" s="775">
        <f>$E$22*$L$9*'Traffic Data'!BC29*annualizationFactor</f>
        <v>0.39364215300654537</v>
      </c>
      <c r="AB84" s="775">
        <f>$E$22*$L$9*'Traffic Data'!BD29*annualizationFactor</f>
        <v>0.39654040697018184</v>
      </c>
      <c r="AC84" s="775">
        <f>$E$22*$L$9*'Traffic Data'!BE29*annualizationFactor</f>
        <v>0.39943294240581811</v>
      </c>
      <c r="AD84" s="775">
        <f>$E$22*$L$9*'Traffic Data'!BF29*annualizationFactor</f>
        <v>0.40232547784145456</v>
      </c>
      <c r="AE84" s="775">
        <f>$E$22*$L$9*'Traffic Data'!BG29*annualizationFactor</f>
        <v>0.40522373180509086</v>
      </c>
      <c r="AF84" s="775">
        <f>$E$22*$L$9*'Traffic Data'!BH29*annualizationFactor</f>
        <v>0.4081162672407273</v>
      </c>
      <c r="AG84" s="775">
        <f>$E$22*$L$9*'Traffic Data'!BI29*annualizationFactor</f>
        <v>0.41100880267636369</v>
      </c>
      <c r="AH84" s="776">
        <f>$E$22*$L$9*'Traffic Data'!BJ29*annualizationFactor</f>
        <v>0.41390705663999999</v>
      </c>
      <c r="AI84" s="40"/>
      <c r="AJ84" s="40"/>
      <c r="AK84" s="40"/>
      <c r="AL84" s="40"/>
      <c r="AM84" s="40"/>
    </row>
    <row r="85" spans="2:39" ht="21.95" customHeight="1" x14ac:dyDescent="0.2">
      <c r="B85" s="492" t="s">
        <v>338</v>
      </c>
      <c r="C85" s="116" t="s">
        <v>282</v>
      </c>
      <c r="D85" s="116" t="s">
        <v>357</v>
      </c>
      <c r="E85" s="220" t="s">
        <v>467</v>
      </c>
      <c r="F85" s="220" t="s">
        <v>43</v>
      </c>
      <c r="G85" s="775"/>
      <c r="H85" s="775"/>
      <c r="I85" s="775">
        <f>$E$22*$M$9*'Traffic Data'!AK30*annualizationFactor</f>
        <v>0.67213090909090911</v>
      </c>
      <c r="J85" s="775">
        <f>$E$22*$M$9*'Traffic Data'!AL30*annualizationFactor</f>
        <v>0.69712409694545463</v>
      </c>
      <c r="K85" s="775">
        <f>$E$22*$M$9*'Traffic Data'!AM30*annualizationFactor</f>
        <v>0.72372905471999993</v>
      </c>
      <c r="L85" s="775">
        <f>$E$22*$M$9*'Traffic Data'!AN30*annualizationFactor</f>
        <v>0.78275088623999989</v>
      </c>
      <c r="M85" s="775">
        <f>$E$22*$M$9*'Traffic Data'!AO30*annualizationFactor</f>
        <v>0.84178750464000018</v>
      </c>
      <c r="N85" s="775">
        <f>$E$22*$M$9*'Traffic Data'!AP30*annualizationFactor</f>
        <v>0.90085638532363654</v>
      </c>
      <c r="O85" s="775">
        <f>$E$22*$M$9*'Traffic Data'!AQ30*annualizationFactor</f>
        <v>0.95987821684363683</v>
      </c>
      <c r="P85" s="775">
        <f>$E$22*$M$9*'Traffic Data'!AR30*annualizationFactor</f>
        <v>1.0189518024436366</v>
      </c>
      <c r="Q85" s="775">
        <f>$E$22*$M$9*'Traffic Data'!AS30*annualizationFactor</f>
        <v>1.0983707906618179</v>
      </c>
      <c r="R85" s="775">
        <f>$E$22*$M$9*'Traffic Data'!AT30*annualizationFactor</f>
        <v>1.1777931395345453</v>
      </c>
      <c r="S85" s="775">
        <f>$E$22*$M$9*'Traffic Data'!AU30*annualizationFactor</f>
        <v>1.2572121277527271</v>
      </c>
      <c r="T85" s="775">
        <f>$E$22*$M$9*'Traffic Data'!AV30*annualizationFactor</f>
        <v>1.336631115970909</v>
      </c>
      <c r="U85" s="775">
        <f>$E$22*$M$9*'Traffic Data'!AW30*annualizationFactor</f>
        <v>1.4161240385890912</v>
      </c>
      <c r="V85" s="775">
        <f>$E$22*$M$9*'Traffic Data'!AX30*annualizationFactor</f>
        <v>1.463089185861818</v>
      </c>
      <c r="W85" s="775">
        <f>$E$22*$M$9*'Traffic Data'!AY30*annualizationFactor</f>
        <v>1.4880823737163638</v>
      </c>
      <c r="X85" s="775">
        <f>$E$22*$M$9*'Traffic Data'!AZ30*annualizationFactor</f>
        <v>1.5130755615709088</v>
      </c>
      <c r="Y85" s="775">
        <f>$E$22*$M$9*'Traffic Data'!BA30*annualizationFactor</f>
        <v>1.5380687494254546</v>
      </c>
      <c r="Z85" s="775">
        <f>$E$22*$M$9*'Traffic Data'!BB30*annualizationFactor</f>
        <v>1.5630753798981818</v>
      </c>
      <c r="AA85" s="775">
        <f>$E$22*$M$9*'Traffic Data'!BC30*annualizationFactor</f>
        <v>1.5880685677527271</v>
      </c>
      <c r="AB85" s="775">
        <f>$E$22*$M$9*'Traffic Data'!BD30*annualizationFactor</f>
        <v>1.6130751982254543</v>
      </c>
      <c r="AC85" s="775">
        <f>$E$22*$M$9*'Traffic Data'!BE30*annualizationFactor</f>
        <v>1.63806838608</v>
      </c>
      <c r="AD85" s="775">
        <f>$E$22*$M$9*'Traffic Data'!BF30*annualizationFactor</f>
        <v>1.6630615739345451</v>
      </c>
      <c r="AE85" s="775">
        <f>$E$22*$M$9*'Traffic Data'!BG30*annualizationFactor</f>
        <v>1.6880682044072726</v>
      </c>
      <c r="AF85" s="775">
        <f>$E$22*$M$9*'Traffic Data'!BH30*annualizationFactor</f>
        <v>1.7130613922618181</v>
      </c>
      <c r="AG85" s="775">
        <f>$E$22*$M$9*'Traffic Data'!BI30*annualizationFactor</f>
        <v>1.7380545801163634</v>
      </c>
      <c r="AH85" s="776">
        <f>$E$22*$M$9*'Traffic Data'!BJ30*annualizationFactor</f>
        <v>1.763061210589091</v>
      </c>
      <c r="AI85" s="40"/>
      <c r="AJ85" s="40"/>
      <c r="AK85" s="40"/>
      <c r="AL85" s="40"/>
      <c r="AM85" s="40"/>
    </row>
    <row r="86" spans="2:39" ht="21.95" customHeight="1" x14ac:dyDescent="0.2">
      <c r="B86" s="492"/>
      <c r="C86" s="116" t="s">
        <v>357</v>
      </c>
      <c r="D86" s="116" t="s">
        <v>346</v>
      </c>
      <c r="E86" s="116" t="s">
        <v>467</v>
      </c>
      <c r="F86" s="116" t="s">
        <v>43</v>
      </c>
      <c r="G86" s="970"/>
      <c r="H86" s="970"/>
      <c r="I86" s="777">
        <f>$E$22*$M$9*'Traffic Data'!AK31*annualizationFactor</f>
        <v>9.7886894545454559E-2</v>
      </c>
      <c r="J86" s="777">
        <f>$E$22*$M$9*'Traffic Data'!AL31*annualizationFactor</f>
        <v>0.10137025120727274</v>
      </c>
      <c r="K86" s="777">
        <f>$E$22*$M$9*'Traffic Data'!AM31*annualizationFactor</f>
        <v>0.10516117879563637</v>
      </c>
      <c r="L86" s="777">
        <f>$E$22*$M$9*'Traffic Data'!AN31*annualizationFactor</f>
        <v>0.11240905934400003</v>
      </c>
      <c r="M86" s="777">
        <f>$E$22*$M$9*'Traffic Data'!AO31*annualizationFactor</f>
        <v>0.11965977346036365</v>
      </c>
      <c r="N86" s="777">
        <f>$E$22*$M$9*'Traffic Data'!AP31*annualizationFactor</f>
        <v>0.12691151796509093</v>
      </c>
      <c r="O86" s="777">
        <f>$E$22*$M$9*'Traffic Data'!AQ31*annualizationFactor</f>
        <v>0.13415939851345454</v>
      </c>
      <c r="P86" s="777">
        <f>$E$22*$M$9*'Traffic Data'!AR31*annualizationFactor</f>
        <v>0.14141333259345454</v>
      </c>
      <c r="Q86" s="777">
        <f>$E$22*$M$9*'Traffic Data'!AS31*annualizationFactor</f>
        <v>0.15136559620072723</v>
      </c>
      <c r="R86" s="777">
        <f>$E$22*$M$9*'Traffic Data'!AT31*annualizationFactor</f>
        <v>0.16131979178618178</v>
      </c>
      <c r="S86" s="777">
        <f>$E$22*$M$9*'Traffic Data'!AU31*annualizationFactor</f>
        <v>0.17127076740799999</v>
      </c>
      <c r="T86" s="777">
        <f>$E$22*$M$9*'Traffic Data'!AV31*annualizationFactor</f>
        <v>0.18122303101527273</v>
      </c>
      <c r="U86" s="777">
        <f>$E$22*$M$9*'Traffic Data'!AW31*annualizationFactor</f>
        <v>0.1911830225352727</v>
      </c>
      <c r="V86" s="777">
        <f>$E$22*$M$9*'Traffic Data'!AX31*annualizationFactor</f>
        <v>0.19767382523345453</v>
      </c>
      <c r="W86" s="777">
        <f>$E$22*$M$9*'Traffic Data'!AY31*annualizationFactor</f>
        <v>0.20115718189527271</v>
      </c>
      <c r="X86" s="777">
        <f>$E$22*$M$9*'Traffic Data'!AZ31*annualizationFactor</f>
        <v>0.20464053855709088</v>
      </c>
      <c r="Y86" s="777">
        <f>$E$22*$M$9*'Traffic Data'!BA31*annualizationFactor</f>
        <v>0.20812389521890906</v>
      </c>
      <c r="Z86" s="777">
        <f>$E$22*$M$9*'Traffic Data'!BB31*annualizationFactor</f>
        <v>0.21160853986618178</v>
      </c>
      <c r="AA86" s="777">
        <f>$E$22*$M$9*'Traffic Data'!BC31*annualizationFactor</f>
        <v>0.21509189652799993</v>
      </c>
      <c r="AB86" s="777">
        <f>$E$22*$M$9*'Traffic Data'!BD31*annualizationFactor</f>
        <v>0.21857654117527278</v>
      </c>
      <c r="AC86" s="777">
        <f>$E$22*$M$9*'Traffic Data'!BE31*annualizationFactor</f>
        <v>0.22205989783709087</v>
      </c>
      <c r="AD86" s="777">
        <f>$E$22*$M$9*'Traffic Data'!BF31*annualizationFactor</f>
        <v>0.22554325449890908</v>
      </c>
      <c r="AE86" s="777">
        <f>$E$22*$M$9*'Traffic Data'!BG31*annualizationFactor</f>
        <v>0.22902789914618182</v>
      </c>
      <c r="AF86" s="777">
        <f>$E$22*$M$9*'Traffic Data'!BH31*annualizationFactor</f>
        <v>0.23251125580800003</v>
      </c>
      <c r="AG86" s="777">
        <f>$E$22*$M$9*'Traffic Data'!BI31*annualizationFactor</f>
        <v>0.23599461246981818</v>
      </c>
      <c r="AH86" s="778">
        <f>$E$22*$M$9*'Traffic Data'!BJ31*annualizationFactor</f>
        <v>0.23947925711709087</v>
      </c>
      <c r="AI86" s="40"/>
      <c r="AJ86" s="40"/>
      <c r="AK86" s="40"/>
      <c r="AL86" s="40"/>
      <c r="AM86" s="40"/>
    </row>
    <row r="87" spans="2:39" ht="21.95" customHeight="1" x14ac:dyDescent="0.2">
      <c r="B87" s="492"/>
      <c r="C87" s="116" t="s">
        <v>346</v>
      </c>
      <c r="D87" s="116" t="s">
        <v>343</v>
      </c>
      <c r="E87" s="116" t="s">
        <v>467</v>
      </c>
      <c r="F87" s="116" t="s">
        <v>43</v>
      </c>
      <c r="G87" s="970"/>
      <c r="H87" s="970"/>
      <c r="I87" s="777">
        <f>$E$22*$M$9*'Traffic Data'!AK32*annualizationFactor</f>
        <v>2.4209454545454544E-2</v>
      </c>
      <c r="J87" s="777">
        <f>$E$22*$M$9*'Traffic Data'!AL32*annualizationFactor</f>
        <v>2.5070960727272724E-2</v>
      </c>
      <c r="K87" s="777">
        <f>$E$22*$M$9*'Traffic Data'!AM32*annualizationFactor</f>
        <v>2.6008535563636359E-2</v>
      </c>
      <c r="L87" s="777">
        <f>$E$22*$M$9*'Traffic Data'!AN32*annualizationFactor</f>
        <v>2.7801086400000005E-2</v>
      </c>
      <c r="M87" s="777">
        <f>$E$22*$M$9*'Traffic Data'!AO32*annualizationFactor</f>
        <v>2.9594338036363639E-2</v>
      </c>
      <c r="N87" s="777">
        <f>$E$22*$M$9*'Traffic Data'!AP32*annualizationFactor</f>
        <v>3.1387844509090906E-2</v>
      </c>
      <c r="O87" s="777">
        <f>$E$22*$M$9*'Traffic Data'!AQ32*annualizationFactor</f>
        <v>3.3180395345454541E-2</v>
      </c>
      <c r="P87" s="777">
        <f>$E$22*$M$9*'Traffic Data'!AR32*annualizationFactor</f>
        <v>3.4974443345454548E-2</v>
      </c>
      <c r="Q87" s="777">
        <f>$E$22*$M$9*'Traffic Data'!AS32*annualizationFactor</f>
        <v>3.7435844072727258E-2</v>
      </c>
      <c r="R87" s="777">
        <f>$E$22*$M$9*'Traffic Data'!AT32*annualizationFactor</f>
        <v>3.9897722618181808E-2</v>
      </c>
      <c r="S87" s="777">
        <f>$E$22*$M$9*'Traffic Data'!AU32*annualizationFactor</f>
        <v>4.2358804799999997E-2</v>
      </c>
      <c r="T87" s="777">
        <f>$E$22*$M$9*'Traffic Data'!AV32*annualizationFactor</f>
        <v>4.4820205527272727E-2</v>
      </c>
      <c r="U87" s="777">
        <f>$E$22*$M$9*'Traffic Data'!AW32*annualizationFactor</f>
        <v>4.7283517527272716E-2</v>
      </c>
      <c r="V87" s="777">
        <f>$E$22*$M$9*'Traffic Data'!AX32*annualizationFactor</f>
        <v>4.8888827345454536E-2</v>
      </c>
      <c r="W87" s="777">
        <f>$E$22*$M$9*'Traffic Data'!AY32*annualizationFactor</f>
        <v>4.9750333527272719E-2</v>
      </c>
      <c r="X87" s="777">
        <f>$E$22*$M$9*'Traffic Data'!AZ32*annualizationFactor</f>
        <v>5.0611839709090896E-2</v>
      </c>
      <c r="Y87" s="777">
        <f>$E$22*$M$9*'Traffic Data'!BA32*annualizationFactor</f>
        <v>5.1473345890909086E-2</v>
      </c>
      <c r="Z87" s="777">
        <f>$E$22*$M$9*'Traffic Data'!BB32*annualizationFactor</f>
        <v>5.2335170618181805E-2</v>
      </c>
      <c r="AA87" s="777">
        <f>$E$22*$M$9*'Traffic Data'!BC32*annualizationFactor</f>
        <v>5.3196676799999981E-2</v>
      </c>
      <c r="AB87" s="777">
        <f>$E$22*$M$9*'Traffic Data'!BD32*annualizationFactor</f>
        <v>5.4058501527272727E-2</v>
      </c>
      <c r="AC87" s="777">
        <f>$E$22*$M$9*'Traffic Data'!BE32*annualizationFactor</f>
        <v>5.4920007709090904E-2</v>
      </c>
      <c r="AD87" s="777">
        <f>$E$22*$M$9*'Traffic Data'!BF32*annualizationFactor</f>
        <v>5.578151389090908E-2</v>
      </c>
      <c r="AE87" s="777">
        <f>$E$22*$M$9*'Traffic Data'!BG32*annualizationFactor</f>
        <v>5.6643338618181813E-2</v>
      </c>
      <c r="AF87" s="777">
        <f>$E$22*$M$9*'Traffic Data'!BH32*annualizationFactor</f>
        <v>5.7504844799999996E-2</v>
      </c>
      <c r="AG87" s="777">
        <f>$E$22*$M$9*'Traffic Data'!BI32*annualizationFactor</f>
        <v>5.8366350981818187E-2</v>
      </c>
      <c r="AH87" s="778">
        <f>$E$22*$M$9*'Traffic Data'!BJ32*annualizationFactor</f>
        <v>5.9228175709090898E-2</v>
      </c>
      <c r="AI87" s="40"/>
      <c r="AJ87" s="40"/>
      <c r="AK87" s="40"/>
      <c r="AL87" s="40"/>
      <c r="AM87" s="40"/>
    </row>
    <row r="88" spans="2:39" ht="21.95" customHeight="1" x14ac:dyDescent="0.2">
      <c r="B88" s="492"/>
      <c r="C88" s="116" t="s">
        <v>343</v>
      </c>
      <c r="D88" s="116" t="s">
        <v>350</v>
      </c>
      <c r="E88" s="116" t="s">
        <v>467</v>
      </c>
      <c r="F88" s="116" t="s">
        <v>43</v>
      </c>
      <c r="G88" s="970"/>
      <c r="H88" s="970"/>
      <c r="I88" s="777">
        <f>$E$22*$M$9*'Traffic Data'!AK33*annualizationFactor</f>
        <v>6.2116363636363636E-2</v>
      </c>
      <c r="J88" s="777">
        <f>$E$22*$M$9*'Traffic Data'!AL33*annualizationFactor</f>
        <v>6.4255547672727273E-2</v>
      </c>
      <c r="K88" s="777">
        <f>$E$22*$M$9*'Traffic Data'!AM33*annualizationFactor</f>
        <v>6.6642161890909088E-2</v>
      </c>
      <c r="L88" s="777">
        <f>$E$22*$M$9*'Traffic Data'!AN33*annualizationFactor</f>
        <v>7.0811308690909097E-2</v>
      </c>
      <c r="M88" s="777">
        <f>$E$22*$M$9*'Traffic Data'!AO33*annualizationFactor</f>
        <v>7.4982940145454549E-2</v>
      </c>
      <c r="N88" s="777">
        <f>$E$22*$M$9*'Traffic Data'!AP33*annualizationFactor</f>
        <v>7.915312221818184E-2</v>
      </c>
      <c r="O88" s="777">
        <f>$E$22*$M$9*'Traffic Data'!AQ33*annualizationFactor</f>
        <v>8.3322269018181822E-2</v>
      </c>
      <c r="P88" s="777">
        <f>$E$22*$M$9*'Traffic Data'!AR33*annualizationFactor</f>
        <v>8.7495660436363643E-2</v>
      </c>
      <c r="Q88" s="777">
        <f>$E$22*$M$9*'Traffic Data'!AS33*annualizationFactor</f>
        <v>9.2870589381818192E-2</v>
      </c>
      <c r="R88" s="777">
        <f>$E$22*$M$9*'Traffic Data'!AT33*annualizationFactor</f>
        <v>9.8248520618181845E-2</v>
      </c>
      <c r="S88" s="777">
        <f>$E$22*$M$9*'Traffic Data'!AU33*annualizationFactor</f>
        <v>0.10362241429090904</v>
      </c>
      <c r="T88" s="777">
        <f>$E$22*$M$9*'Traffic Data'!AV33*annualizationFactor</f>
        <v>0.10899734323636363</v>
      </c>
      <c r="U88" s="777">
        <f>$E$22*$M$9*'Traffic Data'!AW33*annualizationFactor</f>
        <v>0.11437682738181817</v>
      </c>
      <c r="V88" s="777">
        <f>$E$22*$M$9*'Traffic Data'!AX33*annualizationFactor</f>
        <v>0.11796642850909092</v>
      </c>
      <c r="W88" s="777">
        <f>$E$22*$M$9*'Traffic Data'!AY33*annualizationFactor</f>
        <v>0.12010561254545458</v>
      </c>
      <c r="X88" s="777">
        <f>$E$22*$M$9*'Traffic Data'!AZ33*annualizationFactor</f>
        <v>0.12224479658181819</v>
      </c>
      <c r="Y88" s="777">
        <f>$E$22*$M$9*'Traffic Data'!BA33*annualizationFactor</f>
        <v>0.12438398061818187</v>
      </c>
      <c r="Z88" s="777">
        <f>$E$22*$M$9*'Traffic Data'!BB33*annualizationFactor</f>
        <v>0.12652440698181824</v>
      </c>
      <c r="AA88" s="777">
        <f>$E$22*$M$9*'Traffic Data'!BC33*annualizationFactor</f>
        <v>0.12866359101818184</v>
      </c>
      <c r="AB88" s="777">
        <f>$E$22*$M$9*'Traffic Data'!BD33*annualizationFactor</f>
        <v>0.13080401738181816</v>
      </c>
      <c r="AC88" s="777">
        <f>$E$22*$M$9*'Traffic Data'!BE33*annualizationFactor</f>
        <v>0.13294320141818183</v>
      </c>
      <c r="AD88" s="777">
        <f>$E$22*$M$9*'Traffic Data'!BF33*annualizationFactor</f>
        <v>0.13508238545454546</v>
      </c>
      <c r="AE88" s="777">
        <f>$E$22*$M$9*'Traffic Data'!BG33*annualizationFactor</f>
        <v>0.13722281181818183</v>
      </c>
      <c r="AF88" s="777">
        <f>$E$22*$M$9*'Traffic Data'!BH33*annualizationFactor</f>
        <v>0.13936199585454545</v>
      </c>
      <c r="AG88" s="777">
        <f>$E$22*$M$9*'Traffic Data'!BI33*annualizationFactor</f>
        <v>0.1415011798909091</v>
      </c>
      <c r="AH88" s="778">
        <f>$E$22*$M$9*'Traffic Data'!BJ33*annualizationFactor</f>
        <v>0.14364160625454547</v>
      </c>
      <c r="AI88" s="40"/>
      <c r="AJ88" s="40"/>
      <c r="AK88" s="40"/>
      <c r="AL88" s="40"/>
      <c r="AM88" s="40"/>
    </row>
    <row r="89" spans="2:39" ht="21.95" customHeight="1" x14ac:dyDescent="0.2">
      <c r="B89" s="492"/>
      <c r="C89" s="116" t="s">
        <v>350</v>
      </c>
      <c r="D89" s="116" t="s">
        <v>280</v>
      </c>
      <c r="E89" s="116" t="s">
        <v>467</v>
      </c>
      <c r="F89" s="116" t="s">
        <v>43</v>
      </c>
      <c r="G89" s="970"/>
      <c r="H89" s="970"/>
      <c r="I89" s="777">
        <f>$E$22*$M$9*'Traffic Data'!AK34*annualizationFactor</f>
        <v>0.51572509090909091</v>
      </c>
      <c r="J89" s="777">
        <f>$E$22*$M$9*'Traffic Data'!AL34*annualizationFactor</f>
        <v>0.53348580349818187</v>
      </c>
      <c r="K89" s="777">
        <f>$E$22*$M$9*'Traffic Data'!AM34*annualizationFactor</f>
        <v>0.55330082103272726</v>
      </c>
      <c r="L89" s="777">
        <f>$E$22*$M$9*'Traffic Data'!AN34*annualizationFactor</f>
        <v>0.58791542959272725</v>
      </c>
      <c r="M89" s="777">
        <f>$E$22*$M$9*'Traffic Data'!AO34*annualizationFactor</f>
        <v>0.62255066715636365</v>
      </c>
      <c r="N89" s="777">
        <f>$E$22*$M$9*'Traffic Data'!AP34*annualizationFactor</f>
        <v>0.65717387113454562</v>
      </c>
      <c r="O89" s="777">
        <f>$E$22*$M$9*'Traffic Data'!AQ34*annualizationFactor</f>
        <v>0.6917884796945456</v>
      </c>
      <c r="P89" s="777">
        <f>$E$22*$M$9*'Traffic Data'!AR34*annualizationFactor</f>
        <v>0.72643832946909104</v>
      </c>
      <c r="Q89" s="777">
        <f>$E$22*$M$9*'Traffic Data'!AS34*annualizationFactor</f>
        <v>0.77106402158545462</v>
      </c>
      <c r="R89" s="777">
        <f>$E$22*$M$9*'Traffic Data'!AT34*annualizationFactor</f>
        <v>0.81571464041454567</v>
      </c>
      <c r="S89" s="777">
        <f>$E$22*$M$9*'Traffic Data'!AU34*annualizationFactor</f>
        <v>0.86033173711272692</v>
      </c>
      <c r="T89" s="777">
        <f>$E$22*$M$9*'Traffic Data'!AV34*annualizationFactor</f>
        <v>0.90495742922909084</v>
      </c>
      <c r="U89" s="777">
        <f>$E$22*$M$9*'Traffic Data'!AW34*annualizationFactor</f>
        <v>0.94962094118545459</v>
      </c>
      <c r="V89" s="777">
        <f>$E$22*$M$9*'Traffic Data'!AX34*annualizationFactor</f>
        <v>0.97942383464727278</v>
      </c>
      <c r="W89" s="777">
        <f>$E$22*$M$9*'Traffic Data'!AY34*annualizationFactor</f>
        <v>0.99718454723636385</v>
      </c>
      <c r="X89" s="777">
        <f>$E$22*$M$9*'Traffic Data'!AZ34*annualizationFactor</f>
        <v>1.0149452598254547</v>
      </c>
      <c r="Y89" s="777">
        <f>$E$22*$M$9*'Traffic Data'!BA34*annualizationFactor</f>
        <v>1.032705972414546</v>
      </c>
      <c r="Z89" s="777">
        <f>$E$22*$M$9*'Traffic Data'!BB34*annualizationFactor</f>
        <v>1.050476999505455</v>
      </c>
      <c r="AA89" s="777">
        <f>$E$22*$M$9*'Traffic Data'!BC34*annualizationFactor</f>
        <v>1.0682377120945457</v>
      </c>
      <c r="AB89" s="777">
        <f>$E$22*$M$9*'Traffic Data'!BD34*annualizationFactor</f>
        <v>1.0860087391854543</v>
      </c>
      <c r="AC89" s="777">
        <f>$E$22*$M$9*'Traffic Data'!BE34*annualizationFactor</f>
        <v>1.1037694517745456</v>
      </c>
      <c r="AD89" s="777">
        <f>$E$22*$M$9*'Traffic Data'!BF34*annualizationFactor</f>
        <v>1.1215301643636362</v>
      </c>
      <c r="AE89" s="777">
        <f>$E$22*$M$9*'Traffic Data'!BG34*annualizationFactor</f>
        <v>1.1393011914545457</v>
      </c>
      <c r="AF89" s="777">
        <f>$E$22*$M$9*'Traffic Data'!BH34*annualizationFactor</f>
        <v>1.1570619040436365</v>
      </c>
      <c r="AG89" s="777">
        <f>$E$22*$M$9*'Traffic Data'!BI34*annualizationFactor</f>
        <v>1.1748226166327271</v>
      </c>
      <c r="AH89" s="778">
        <f>$E$22*$M$9*'Traffic Data'!BJ34*annualizationFactor</f>
        <v>1.1925936437236362</v>
      </c>
      <c r="AI89" s="40"/>
      <c r="AJ89" s="40"/>
      <c r="AK89" s="40"/>
      <c r="AL89" s="40"/>
      <c r="AM89" s="40"/>
    </row>
    <row r="90" spans="2:39" ht="21.95" customHeight="1" x14ac:dyDescent="0.2">
      <c r="B90" s="493"/>
      <c r="C90" s="254" t="s">
        <v>280</v>
      </c>
      <c r="D90" s="254" t="s">
        <v>333</v>
      </c>
      <c r="E90" s="254" t="s">
        <v>467</v>
      </c>
      <c r="F90" s="254" t="s">
        <v>43</v>
      </c>
      <c r="G90" s="779"/>
      <c r="H90" s="779"/>
      <c r="I90" s="779">
        <f>$E$22*$M$9*'Traffic Data'!AK35*annualizationFactor</f>
        <v>1.2741818181818182E-2</v>
      </c>
      <c r="J90" s="779">
        <f>$E$22*$M$9*'Traffic Data'!AL35*annualizationFactor</f>
        <v>1.3180625163636363E-2</v>
      </c>
      <c r="K90" s="779">
        <f>$E$22*$M$9*'Traffic Data'!AM35*annualizationFactor</f>
        <v>1.3670187054545452E-2</v>
      </c>
      <c r="L90" s="779">
        <f>$E$22*$M$9*'Traffic Data'!AN35*annualizationFactor</f>
        <v>1.4525396654545455E-2</v>
      </c>
      <c r="M90" s="779">
        <f>$E$22*$M$9*'Traffic Data'!AO35*annualizationFactor</f>
        <v>1.5381115927272728E-2</v>
      </c>
      <c r="N90" s="779">
        <f>$E$22*$M$9*'Traffic Data'!AP35*annualizationFactor</f>
        <v>1.6236537890909095E-2</v>
      </c>
      <c r="O90" s="779">
        <f>$E$22*$M$9*'Traffic Data'!AQ35*annualizationFactor</f>
        <v>1.7091747490909096E-2</v>
      </c>
      <c r="P90" s="779">
        <f>$E$22*$M$9*'Traffic Data'!AR35*annualizationFactor</f>
        <v>1.7947827781818186E-2</v>
      </c>
      <c r="Q90" s="779">
        <f>$E$22*$M$9*'Traffic Data'!AS35*annualizationFactor</f>
        <v>1.9050377309090913E-2</v>
      </c>
      <c r="R90" s="779">
        <f>$E$22*$M$9*'Traffic Data'!AT35*annualizationFactor</f>
        <v>2.0153542690909101E-2</v>
      </c>
      <c r="S90" s="779">
        <f>$E$22*$M$9*'Traffic Data'!AU35*annualizationFactor</f>
        <v>2.1255879854545447E-2</v>
      </c>
      <c r="T90" s="779">
        <f>$E$22*$M$9*'Traffic Data'!AV35*annualizationFactor</f>
        <v>2.2358429381818184E-2</v>
      </c>
      <c r="U90" s="779">
        <f>$E$22*$M$9*'Traffic Data'!AW35*annualizationFactor</f>
        <v>2.346191330909091E-2</v>
      </c>
      <c r="V90" s="779">
        <f>$E$22*$M$9*'Traffic Data'!AX35*annualizationFactor</f>
        <v>2.4198241745454551E-2</v>
      </c>
      <c r="W90" s="779">
        <f>$E$22*$M$9*'Traffic Data'!AY35*annualizationFactor</f>
        <v>2.4637048727272733E-2</v>
      </c>
      <c r="X90" s="779">
        <f>$E$22*$M$9*'Traffic Data'!AZ35*annualizationFactor</f>
        <v>2.5075855709090916E-2</v>
      </c>
      <c r="Y90" s="779">
        <f>$E$22*$M$9*'Traffic Data'!BA35*annualizationFactor</f>
        <v>2.5514662690909105E-2</v>
      </c>
      <c r="Z90" s="779">
        <f>$E$22*$M$9*'Traffic Data'!BB35*annualizationFactor</f>
        <v>2.595372450909092E-2</v>
      </c>
      <c r="AA90" s="779">
        <f>$E$22*$M$9*'Traffic Data'!BC35*annualizationFactor</f>
        <v>2.6392531490909091E-2</v>
      </c>
      <c r="AB90" s="779">
        <f>$E$22*$M$9*'Traffic Data'!BD35*annualizationFactor</f>
        <v>2.683159330909091E-2</v>
      </c>
      <c r="AC90" s="779">
        <f>$E$22*$M$9*'Traffic Data'!BE35*annualizationFactor</f>
        <v>2.7270400290909096E-2</v>
      </c>
      <c r="AD90" s="779">
        <f>$E$22*$M$9*'Traffic Data'!BF35*annualizationFactor</f>
        <v>2.7709207272727274E-2</v>
      </c>
      <c r="AE90" s="779">
        <f>$E$22*$M$9*'Traffic Data'!BG35*annualizationFactor</f>
        <v>2.8148269090909096E-2</v>
      </c>
      <c r="AF90" s="779">
        <f>$E$22*$M$9*'Traffic Data'!BH35*annualizationFactor</f>
        <v>2.8587076072727272E-2</v>
      </c>
      <c r="AG90" s="779">
        <f>$E$22*$M$9*'Traffic Data'!BI35*annualizationFactor</f>
        <v>2.9025883054545461E-2</v>
      </c>
      <c r="AH90" s="783">
        <f>$E$22*$M$9*'Traffic Data'!BJ35*annualizationFactor</f>
        <v>2.9464944872727276E-2</v>
      </c>
      <c r="AI90" s="40"/>
      <c r="AJ90" s="40"/>
      <c r="AK90" s="40"/>
      <c r="AL90" s="40"/>
      <c r="AM90" s="40"/>
    </row>
    <row r="91" spans="2:39" ht="21.95" customHeight="1" x14ac:dyDescent="0.2">
      <c r="B91" s="808" t="s">
        <v>491</v>
      </c>
      <c r="C91" s="809"/>
      <c r="D91" s="809"/>
      <c r="E91" s="240"/>
      <c r="F91" s="240"/>
      <c r="G91" s="969">
        <f>SUM(G62:G90)</f>
        <v>0</v>
      </c>
      <c r="H91" s="969">
        <f>SUM(H62:H90)</f>
        <v>0</v>
      </c>
      <c r="I91" s="785">
        <f t="shared" ref="I91:AH91" si="1">SUM(I62:I90)</f>
        <v>14.805271519127276</v>
      </c>
      <c r="J91" s="785">
        <f t="shared" si="1"/>
        <v>15.345198414043784</v>
      </c>
      <c r="K91" s="785">
        <f t="shared" si="1"/>
        <v>16.212962204833019</v>
      </c>
      <c r="L91" s="785">
        <f t="shared" si="1"/>
        <v>17.6408547600048</v>
      </c>
      <c r="M91" s="785">
        <f t="shared" si="1"/>
        <v>19.069423920385741</v>
      </c>
      <c r="N91" s="785">
        <f t="shared" si="1"/>
        <v>20.498083817728002</v>
      </c>
      <c r="O91" s="785">
        <f t="shared" si="1"/>
        <v>21.925976372899786</v>
      </c>
      <c r="P91" s="785">
        <f t="shared" si="1"/>
        <v>23.355191339667783</v>
      </c>
      <c r="Q91" s="785">
        <f t="shared" si="1"/>
        <v>24.826335610580653</v>
      </c>
      <c r="R91" s="785">
        <f t="shared" si="1"/>
        <v>26.297729480428369</v>
      </c>
      <c r="S91" s="785">
        <f t="shared" si="1"/>
        <v>27.768827179188804</v>
      </c>
      <c r="T91" s="785">
        <f t="shared" si="1"/>
        <v>29.239986082805672</v>
      </c>
      <c r="U91" s="785">
        <f t="shared" si="1"/>
        <v>30.712421444885091</v>
      </c>
      <c r="V91" s="785">
        <f t="shared" si="1"/>
        <v>31.622689181643931</v>
      </c>
      <c r="W91" s="785">
        <f t="shared" si="1"/>
        <v>32.163702877200436</v>
      </c>
      <c r="X91" s="785">
        <f t="shared" si="1"/>
        <v>32.704833690452944</v>
      </c>
      <c r="Y91" s="785">
        <f t="shared" si="1"/>
        <v>33.245921110169469</v>
      </c>
      <c r="Z91" s="785">
        <f t="shared" si="1"/>
        <v>33.787291829347787</v>
      </c>
      <c r="AA91" s="785">
        <f t="shared" si="1"/>
        <v>34.328379249064284</v>
      </c>
      <c r="AB91" s="785">
        <f t="shared" si="1"/>
        <v>34.869749968242608</v>
      </c>
      <c r="AC91" s="785">
        <f t="shared" si="1"/>
        <v>35.410837387959127</v>
      </c>
      <c r="AD91" s="785">
        <f t="shared" si="1"/>
        <v>35.951924807675631</v>
      </c>
      <c r="AE91" s="785">
        <f t="shared" si="1"/>
        <v>36.493279828933964</v>
      </c>
      <c r="AF91" s="785">
        <f t="shared" si="1"/>
        <v>37.034410642186479</v>
      </c>
      <c r="AG91" s="785">
        <f t="shared" si="1"/>
        <v>37.575440035662979</v>
      </c>
      <c r="AH91" s="786">
        <f t="shared" si="1"/>
        <v>38.116810754841318</v>
      </c>
      <c r="AI91" s="40"/>
      <c r="AJ91" s="40"/>
      <c r="AK91" s="40"/>
      <c r="AL91" s="40"/>
      <c r="AM91" s="40"/>
    </row>
    <row r="92" spans="2:39" ht="21.95" customHeight="1" x14ac:dyDescent="0.2">
      <c r="B92" s="787" t="s">
        <v>328</v>
      </c>
      <c r="C92" s="1344" t="s">
        <v>18</v>
      </c>
      <c r="D92" s="1344"/>
      <c r="E92" s="46" t="s">
        <v>24</v>
      </c>
      <c r="F92" s="46" t="s">
        <v>42</v>
      </c>
      <c r="G92" s="123" cm="1">
        <f t="array" ref="G92:AH92">year</f>
        <v>2021</v>
      </c>
      <c r="H92" s="123">
        <v>2022</v>
      </c>
      <c r="I92" s="46">
        <v>2023</v>
      </c>
      <c r="J92" s="46">
        <v>2024</v>
      </c>
      <c r="K92" s="46">
        <v>2025</v>
      </c>
      <c r="L92" s="46">
        <v>2026</v>
      </c>
      <c r="M92" s="46">
        <v>2027</v>
      </c>
      <c r="N92" s="46">
        <v>2028</v>
      </c>
      <c r="O92" s="46">
        <v>2029</v>
      </c>
      <c r="P92" s="46">
        <v>2030</v>
      </c>
      <c r="Q92" s="46">
        <v>2031</v>
      </c>
      <c r="R92" s="46">
        <v>2032</v>
      </c>
      <c r="S92" s="46">
        <v>2033</v>
      </c>
      <c r="T92" s="46">
        <v>2034</v>
      </c>
      <c r="U92" s="46">
        <v>2035</v>
      </c>
      <c r="V92" s="46">
        <v>2036</v>
      </c>
      <c r="W92" s="46">
        <v>2037</v>
      </c>
      <c r="X92" s="46">
        <v>2038</v>
      </c>
      <c r="Y92" s="46">
        <v>2039</v>
      </c>
      <c r="Z92" s="46">
        <v>2040</v>
      </c>
      <c r="AA92" s="46">
        <v>2041</v>
      </c>
      <c r="AB92" s="46">
        <v>2042</v>
      </c>
      <c r="AC92" s="46">
        <v>2043</v>
      </c>
      <c r="AD92" s="46">
        <v>2044</v>
      </c>
      <c r="AE92" s="46">
        <v>2045</v>
      </c>
      <c r="AF92" s="46">
        <v>2046</v>
      </c>
      <c r="AG92" s="46">
        <v>2047</v>
      </c>
      <c r="AH92" s="495">
        <v>2048</v>
      </c>
      <c r="AI92" s="40"/>
      <c r="AJ92" s="40"/>
      <c r="AK92" s="40"/>
      <c r="AL92" s="40"/>
      <c r="AM92" s="40"/>
    </row>
    <row r="93" spans="2:39" ht="21.95" customHeight="1" x14ac:dyDescent="0.2">
      <c r="B93" s="1346" t="s">
        <v>331</v>
      </c>
      <c r="C93" s="220" t="s">
        <v>332</v>
      </c>
      <c r="D93" s="220" t="s">
        <v>282</v>
      </c>
      <c r="E93" s="220" t="s">
        <v>19</v>
      </c>
      <c r="F93" s="220" t="s">
        <v>438</v>
      </c>
      <c r="G93" s="775"/>
      <c r="H93" s="775"/>
      <c r="I93" s="775">
        <f>$F$21*$E$8*'Traffic Data'!AK7*annualizationFactor</f>
        <v>1.0894710016080001E-4</v>
      </c>
      <c r="J93" s="775">
        <f>$F$21*$E$8*'Traffic Data'!AL7*annualizationFactor</f>
        <v>1.1395934768757281E-4</v>
      </c>
      <c r="K93" s="775">
        <f>$F$21*$E$8*'Traffic Data'!AM7*annualizationFactor</f>
        <v>1.2099767081764851E-4</v>
      </c>
      <c r="L93" s="775">
        <f>$F$21*$E$8*'Traffic Data'!AN7*annualizationFactor</f>
        <v>1.3132279177570033E-4</v>
      </c>
      <c r="M93" s="775">
        <f>$F$21*$E$8*'Traffic Data'!AO7*annualizationFactor</f>
        <v>1.4165165779032017E-4</v>
      </c>
      <c r="N93" s="775">
        <f>$F$21*$E$8*'Traffic Data'!AP7*annualizationFactor</f>
        <v>1.5198086426462798E-4</v>
      </c>
      <c r="O93" s="775">
        <f>$F$21*$E$8*'Traffic Data'!AQ7*annualizationFactor</f>
        <v>1.6230598522267979E-4</v>
      </c>
      <c r="P93" s="775">
        <f>$F$21*$E$8*'Traffic Data'!AR7*annualizationFactor</f>
        <v>1.7263893675355566E-4</v>
      </c>
      <c r="Q93" s="775">
        <f>$F$21*$E$8*'Traffic Data'!AS7*annualizationFactor</f>
        <v>1.8285000371612669E-4</v>
      </c>
      <c r="R93" s="775">
        <f>$F$21*$E$8*'Traffic Data'!AT7*annualizationFactor</f>
        <v>1.9306311343682565E-4</v>
      </c>
      <c r="S93" s="775">
        <f>$F$21*$E$8*'Traffic Data'!AU7*annualizationFactor</f>
        <v>2.0327418039939668E-4</v>
      </c>
      <c r="T93" s="775">
        <f>$F$21*$E$8*'Traffic Data'!AV7*annualizationFactor</f>
        <v>2.1348524736196763E-4</v>
      </c>
      <c r="U93" s="775">
        <f>$F$21*$E$8*'Traffic Data'!AW7*annualizationFactor</f>
        <v>2.2370448535705069E-4</v>
      </c>
      <c r="V93" s="775">
        <f>$F$21*$E$8*'Traffic Data'!AX7*annualizationFactor</f>
        <v>2.3062466897538951E-4</v>
      </c>
      <c r="W93" s="775">
        <f>$F$21*$E$8*'Traffic Data'!AY7*annualizationFactor</f>
        <v>2.3563691650216228E-4</v>
      </c>
      <c r="X93" s="775">
        <f>$F$21*$E$8*'Traffic Data'!AZ7*annualizationFactor</f>
        <v>2.4064916402893505E-4</v>
      </c>
      <c r="Y93" s="775">
        <f>$F$21*$E$8*'Traffic Data'!BA7*annualizationFactor</f>
        <v>2.4566141155570791E-4</v>
      </c>
      <c r="Z93" s="775">
        <f>$F$21*$E$8*'Traffic Data'!BB7*annualizationFactor</f>
        <v>2.5067570184060875E-4</v>
      </c>
      <c r="AA93" s="775">
        <f>$F$21*$E$8*'Traffic Data'!BC7*annualizationFactor</f>
        <v>2.5568794936738152E-4</v>
      </c>
      <c r="AB93" s="775">
        <f>$F$21*$E$8*'Traffic Data'!BD7*annualizationFactor</f>
        <v>2.6070223965228231E-4</v>
      </c>
      <c r="AC93" s="775">
        <f>$F$21*$E$8*'Traffic Data'!BE7*annualizationFactor</f>
        <v>2.6571448717905519E-4</v>
      </c>
      <c r="AD93" s="775">
        <f>$F$21*$E$8*'Traffic Data'!BF7*annualizationFactor</f>
        <v>2.7072673470582796E-4</v>
      </c>
      <c r="AE93" s="775">
        <f>$F$21*$E$8*'Traffic Data'!BG7*annualizationFactor</f>
        <v>2.7574102499072875E-4</v>
      </c>
      <c r="AF93" s="775">
        <f>$F$21*$E$8*'Traffic Data'!BH7*annualizationFactor</f>
        <v>2.8075327251750158E-4</v>
      </c>
      <c r="AG93" s="775">
        <f>$F$21*$E$8*'Traffic Data'!BI7*annualizationFactor</f>
        <v>2.8576552004427441E-4</v>
      </c>
      <c r="AH93" s="776">
        <f>$F$21*$E$8*'Traffic Data'!BJ7*annualizationFactor</f>
        <v>2.907798103291752E-4</v>
      </c>
      <c r="AI93" s="40"/>
      <c r="AJ93" s="40"/>
      <c r="AK93" s="40"/>
      <c r="AL93" s="40"/>
      <c r="AM93" s="40"/>
    </row>
    <row r="94" spans="2:39" ht="21.95" customHeight="1" x14ac:dyDescent="0.2">
      <c r="B94" s="1346"/>
      <c r="C94" s="116" t="s">
        <v>282</v>
      </c>
      <c r="D94" s="116" t="s">
        <v>280</v>
      </c>
      <c r="E94" s="116" t="s">
        <v>19</v>
      </c>
      <c r="F94" s="116" t="s">
        <v>438</v>
      </c>
      <c r="G94" s="970"/>
      <c r="H94" s="970"/>
      <c r="I94" s="777">
        <f>$F$21*$E$8*'Traffic Data'!AK8*annualizationFactor</f>
        <v>3.5032324499223752E-3</v>
      </c>
      <c r="J94" s="777">
        <f>$F$21*$E$8*'Traffic Data'!AL8*annualizationFactor</f>
        <v>3.6972985527130749E-3</v>
      </c>
      <c r="K94" s="777">
        <f>$F$21*$E$8*'Traffic Data'!AM8*annualizationFactor</f>
        <v>3.922348800283088E-3</v>
      </c>
      <c r="L94" s="777">
        <f>$F$21*$E$8*'Traffic Data'!AN8*annualizationFactor</f>
        <v>4.3422825715487834E-3</v>
      </c>
      <c r="M94" s="777">
        <f>$F$21*$E$8*'Traffic Data'!AO8*annualizationFactor</f>
        <v>4.7623720420344766E-3</v>
      </c>
      <c r="N94" s="777">
        <f>$F$21*$E$8*'Traffic Data'!AP8*annualizationFactor</f>
        <v>5.182539362130166E-3</v>
      </c>
      <c r="O94" s="777">
        <f>$F$21*$E$8*'Traffic Data'!AQ8*annualizationFactor</f>
        <v>5.6024731333958605E-3</v>
      </c>
      <c r="P94" s="777">
        <f>$F$21*$E$8*'Traffic Data'!AR8*annualizationFactor</f>
        <v>6.0228091276465466E-3</v>
      </c>
      <c r="Q94" s="777">
        <f>$F$21*$E$8*'Traffic Data'!AS8*annualizationFactor</f>
        <v>6.5210725815055062E-3</v>
      </c>
      <c r="R94" s="777">
        <f>$F$21*$E$8*'Traffic Data'!AT8*annualizationFactor</f>
        <v>7.0194787596494631E-3</v>
      </c>
      <c r="S94" s="777">
        <f>$F$21*$E$8*'Traffic Data'!AU8*annualizationFactor</f>
        <v>7.517742213508421E-3</v>
      </c>
      <c r="T94" s="777">
        <f>$F$21*$E$8*'Traffic Data'!AV8*annualizationFactor</f>
        <v>8.0160056673673798E-3</v>
      </c>
      <c r="U94" s="777">
        <f>$F$21*$E$8*'Traffic Data'!AW8*annualizationFactor</f>
        <v>8.5147621687563287E-3</v>
      </c>
      <c r="V94" s="777">
        <f>$F$21*$E$8*'Traffic Data'!AX8*annualizationFactor</f>
        <v>8.8178955751546124E-3</v>
      </c>
      <c r="W94" s="777">
        <f>$F$21*$E$8*'Traffic Data'!AY8*annualizationFactor</f>
        <v>9.0119616779453134E-3</v>
      </c>
      <c r="X94" s="777">
        <f>$F$21*$E$8*'Traffic Data'!AZ8*annualizationFactor</f>
        <v>9.2060277807360109E-3</v>
      </c>
      <c r="Y94" s="777">
        <f>$F$21*$E$8*'Traffic Data'!BA8*annualizationFactor</f>
        <v>9.4000938835267101E-3</v>
      </c>
      <c r="Z94" s="777">
        <f>$F$21*$E$8*'Traffic Data'!BB8*annualizationFactor</f>
        <v>9.5942897356674096E-3</v>
      </c>
      <c r="AA94" s="777">
        <f>$F$21*$E$8*'Traffic Data'!BC8*annualizationFactor</f>
        <v>9.7883558384581088E-3</v>
      </c>
      <c r="AB94" s="777">
        <f>$F$21*$E$8*'Traffic Data'!BD8*annualizationFactor</f>
        <v>9.9825516905988031E-3</v>
      </c>
      <c r="AC94" s="777">
        <f>$F$21*$E$8*'Traffic Data'!BE8*annualizationFactor</f>
        <v>1.0176617793389506E-2</v>
      </c>
      <c r="AD94" s="777">
        <f>$F$21*$E$8*'Traffic Data'!BF8*annualizationFactor</f>
        <v>1.0370683896180205E-2</v>
      </c>
      <c r="AE94" s="777">
        <f>$F$21*$E$8*'Traffic Data'!BG8*annualizationFactor</f>
        <v>1.0564879748320904E-2</v>
      </c>
      <c r="AF94" s="777">
        <f>$F$21*$E$8*'Traffic Data'!BH8*annualizationFactor</f>
        <v>1.0758945851111602E-2</v>
      </c>
      <c r="AG94" s="777">
        <f>$F$21*$E$8*'Traffic Data'!BI8*annualizationFactor</f>
        <v>1.0953011953902305E-2</v>
      </c>
      <c r="AH94" s="778">
        <f>$F$21*$E$8*'Traffic Data'!BJ8*annualizationFactor</f>
        <v>1.1147207806042999E-2</v>
      </c>
      <c r="AI94" s="40"/>
      <c r="AJ94" s="40"/>
      <c r="AK94" s="40"/>
      <c r="AL94" s="40"/>
      <c r="AM94" s="40"/>
    </row>
    <row r="95" spans="2:39" ht="21.95" customHeight="1" x14ac:dyDescent="0.2">
      <c r="B95" s="1346"/>
      <c r="C95" s="116" t="s">
        <v>280</v>
      </c>
      <c r="D95" s="116" t="s">
        <v>333</v>
      </c>
      <c r="E95" s="254" t="s">
        <v>19</v>
      </c>
      <c r="F95" s="254" t="s">
        <v>438</v>
      </c>
      <c r="G95" s="779"/>
      <c r="H95" s="779"/>
      <c r="I95" s="777">
        <f>$F$21*$E$8*'Traffic Data'!AK9*annualizationFactor</f>
        <v>8.1710325120600013E-5</v>
      </c>
      <c r="J95" s="777">
        <f>$F$21*$E$8*'Traffic Data'!AL9*annualizationFactor</f>
        <v>8.5122412113761048E-5</v>
      </c>
      <c r="K95" s="777">
        <f>$F$21*$E$8*'Traffic Data'!AM9*annualizationFactor</f>
        <v>8.9345474083744056E-5</v>
      </c>
      <c r="L95" s="777">
        <f>$F$21*$E$8*'Traffic Data'!AN9*annualizationFactor</f>
        <v>9.5031150873385825E-5</v>
      </c>
      <c r="M95" s="777">
        <f>$F$21*$E$8*'Traffic Data'!AO9*annualizationFactor</f>
        <v>1.007188704211556E-4</v>
      </c>
      <c r="N95" s="777">
        <f>$F$21*$E$8*'Traffic Data'!AP9*annualizationFactor</f>
        <v>1.0640590904954938E-4</v>
      </c>
      <c r="O95" s="777">
        <f>$F$21*$E$8*'Traffic Data'!AQ9*annualizationFactor</f>
        <v>1.1209158583919112E-4</v>
      </c>
      <c r="P95" s="777">
        <f>$F$21*$E$8*'Traffic Data'!AR9*annualizationFactor</f>
        <v>1.1778134814508891E-4</v>
      </c>
      <c r="Q95" s="777">
        <f>$F$21*$E$8*'Traffic Data'!AS9*annualizationFactor</f>
        <v>1.2329407141322535E-4</v>
      </c>
      <c r="R95" s="777">
        <f>$F$21*$E$8*'Traffic Data'!AT9*annualizationFactor</f>
        <v>1.2880883743948983E-4</v>
      </c>
      <c r="S95" s="777">
        <f>$F$21*$E$8*'Traffic Data'!AU9*annualizationFactor</f>
        <v>1.3432156070762634E-4</v>
      </c>
      <c r="T95" s="777">
        <f>$F$21*$E$8*'Traffic Data'!AV9*annualizationFactor</f>
        <v>1.398342839757628E-4</v>
      </c>
      <c r="U95" s="777">
        <f>$F$21*$E$8*'Traffic Data'!AW9*annualizationFactor</f>
        <v>1.4535109276015532E-4</v>
      </c>
      <c r="V95" s="777">
        <f>$F$21*$E$8*'Traffic Data'!AX9*annualizationFactor</f>
        <v>1.4939915845050503E-4</v>
      </c>
      <c r="W95" s="777">
        <f>$F$21*$E$8*'Traffic Data'!AY9*annualizationFactor</f>
        <v>1.5281124544366611E-4</v>
      </c>
      <c r="X95" s="777">
        <f>$F$21*$E$8*'Traffic Data'!AZ9*annualizationFactor</f>
        <v>1.5622333243682713E-4</v>
      </c>
      <c r="Y95" s="777">
        <f>$F$21*$E$8*'Traffic Data'!BA9*annualizationFactor</f>
        <v>1.596354194299882E-4</v>
      </c>
      <c r="Z95" s="777">
        <f>$F$21*$E$8*'Traffic Data'!BB9*annualizationFactor</f>
        <v>1.6304886826190129E-4</v>
      </c>
      <c r="AA95" s="777">
        <f>$F$21*$E$8*'Traffic Data'!BC9*annualizationFactor</f>
        <v>1.6646095525506234E-4</v>
      </c>
      <c r="AB95" s="777">
        <f>$F$21*$E$8*'Traffic Data'!BD9*annualizationFactor</f>
        <v>1.6987440408697539E-4</v>
      </c>
      <c r="AC95" s="777">
        <f>$F$21*$E$8*'Traffic Data'!BE9*annualizationFactor</f>
        <v>1.732864910801365E-4</v>
      </c>
      <c r="AD95" s="777">
        <f>$F$21*$E$8*'Traffic Data'!BF9*annualizationFactor</f>
        <v>1.7669857807329746E-4</v>
      </c>
      <c r="AE95" s="777">
        <f>$F$21*$E$8*'Traffic Data'!BG9*annualizationFactor</f>
        <v>1.801120269052106E-4</v>
      </c>
      <c r="AF95" s="777">
        <f>$F$21*$E$8*'Traffic Data'!BH9*annualizationFactor</f>
        <v>1.8352411389837165E-4</v>
      </c>
      <c r="AG95" s="777">
        <f>$F$21*$E$8*'Traffic Data'!BI9*annualizationFactor</f>
        <v>1.8693620089153264E-4</v>
      </c>
      <c r="AH95" s="778">
        <f>$F$21*$E$8*'Traffic Data'!BJ9*annualizationFactor</f>
        <v>1.9034964972344576E-4</v>
      </c>
      <c r="AI95" s="40"/>
      <c r="AJ95" s="40"/>
      <c r="AK95" s="40"/>
      <c r="AL95" s="40"/>
      <c r="AM95" s="40"/>
    </row>
    <row r="96" spans="2:39" ht="21.95" customHeight="1" x14ac:dyDescent="0.2">
      <c r="B96" s="1346" t="s">
        <v>280</v>
      </c>
      <c r="C96" s="220" t="s">
        <v>281</v>
      </c>
      <c r="D96" s="220" t="s">
        <v>335</v>
      </c>
      <c r="E96" s="116" t="s">
        <v>19</v>
      </c>
      <c r="F96" s="220" t="s">
        <v>438</v>
      </c>
      <c r="G96" s="970"/>
      <c r="H96" s="970"/>
      <c r="I96" s="775">
        <f>$F$21*$F$8*'Traffic Data'!AK10*annualizationFactor</f>
        <v>6.7505499860400007E-4</v>
      </c>
      <c r="J96" s="775">
        <f>$F$21*$F$8*'Traffic Data'!AL10*annualizationFactor</f>
        <v>7.4871193713917908E-4</v>
      </c>
      <c r="K96" s="775">
        <f>$F$21*$F$8*'Traffic Data'!AM10*annualizationFactor</f>
        <v>8.2650021226581428E-4</v>
      </c>
      <c r="L96" s="775">
        <f>$F$21*$F$8*'Traffic Data'!AN10*annualizationFactor</f>
        <v>1.0672805168053857E-3</v>
      </c>
      <c r="M96" s="775">
        <f>$F$21*$F$8*'Traffic Data'!AO10*annualizationFactor</f>
        <v>1.3081823312447057E-3</v>
      </c>
      <c r="N96" s="775">
        <f>$F$21*$F$8*'Traffic Data'!AP10*annualizationFactor</f>
        <v>1.5491482759088929E-3</v>
      </c>
      <c r="O96" s="775">
        <f>$F$21*$F$8*'Traffic Data'!AQ10*annualizationFactor</f>
        <v>1.7899285804484641E-3</v>
      </c>
      <c r="P96" s="775">
        <f>$F$21*$F$8*'Traffic Data'!AR10*annualizationFactor</f>
        <v>2.0310413495748482E-3</v>
      </c>
      <c r="Q96" s="775">
        <f>$F$21*$F$8*'Traffic Data'!AS10*annualizationFactor</f>
        <v>2.354595210405745E-3</v>
      </c>
      <c r="R96" s="775">
        <f>$F$21*$F$8*'Traffic Data'!AT10*annualizationFactor</f>
        <v>2.6782925204238456E-3</v>
      </c>
      <c r="S96" s="775">
        <f>$F$21*$F$8*'Traffic Data'!AU10*annualizationFactor</f>
        <v>3.0018463812547433E-3</v>
      </c>
      <c r="T96" s="775">
        <f>$F$21*$F$8*'Traffic Data'!AV10*annualizationFactor</f>
        <v>3.3254002420856398E-3</v>
      </c>
      <c r="U96" s="775">
        <f>$F$21*$F$8*'Traffic Data'!AW10*annualizationFactor</f>
        <v>3.6493760122906661E-3</v>
      </c>
      <c r="V96" s="775">
        <f>$F$21*$F$8*'Traffic Data'!AX10*annualizationFactor</f>
        <v>3.8097268890215624E-3</v>
      </c>
      <c r="W96" s="775">
        <f>$F$21*$F$8*'Traffic Data'!AY10*annualizationFactor</f>
        <v>3.8833838275567421E-3</v>
      </c>
      <c r="X96" s="775">
        <f>$F$21*$F$8*'Traffic Data'!AZ10*annualizationFactor</f>
        <v>3.957040766091921E-3</v>
      </c>
      <c r="Y96" s="775">
        <f>$F$21*$F$8*'Traffic Data'!BA10*annualizationFactor</f>
        <v>4.0306977046270995E-3</v>
      </c>
      <c r="Z96" s="775">
        <f>$F$21*$F$8*'Traffic Data'!BB10*annualizationFactor</f>
        <v>4.1044727777870341E-3</v>
      </c>
      <c r="AA96" s="775">
        <f>$F$21*$F$8*'Traffic Data'!BC10*annualizationFactor</f>
        <v>4.1781297163222125E-3</v>
      </c>
      <c r="AB96" s="775">
        <f>$F$21*$F$8*'Traffic Data'!BD10*annualizationFactor</f>
        <v>4.251904789482148E-3</v>
      </c>
      <c r="AC96" s="775">
        <f>$F$21*$F$8*'Traffic Data'!BE10*annualizationFactor</f>
        <v>4.3255617280173273E-3</v>
      </c>
      <c r="AD96" s="775">
        <f>$F$21*$F$8*'Traffic Data'!BF10*annualizationFactor</f>
        <v>4.3992186665525058E-3</v>
      </c>
      <c r="AE96" s="775">
        <f>$F$21*$F$8*'Traffic Data'!BG10*annualizationFactor</f>
        <v>4.4729937397124404E-3</v>
      </c>
      <c r="AF96" s="775">
        <f>$F$21*$F$8*'Traffic Data'!BH10*annualizationFactor</f>
        <v>4.5466506782476197E-3</v>
      </c>
      <c r="AG96" s="775">
        <f>$F$21*$F$8*'Traffic Data'!BI10*annualizationFactor</f>
        <v>4.6203076167827982E-3</v>
      </c>
      <c r="AH96" s="776">
        <f>$F$21*$F$8*'Traffic Data'!BJ10*annualizationFactor</f>
        <v>4.6940826899427327E-3</v>
      </c>
      <c r="AI96" s="40"/>
      <c r="AJ96" s="40"/>
      <c r="AK96" s="40"/>
      <c r="AL96" s="40"/>
      <c r="AM96" s="40"/>
    </row>
    <row r="97" spans="2:39" ht="21.95" customHeight="1" x14ac:dyDescent="0.2">
      <c r="B97" s="1346"/>
      <c r="C97" s="116" t="s">
        <v>335</v>
      </c>
      <c r="D97" s="116" t="s">
        <v>323</v>
      </c>
      <c r="E97" s="116" t="s">
        <v>19</v>
      </c>
      <c r="F97" s="116" t="s">
        <v>438</v>
      </c>
      <c r="G97" s="970"/>
      <c r="H97" s="970"/>
      <c r="I97" s="777">
        <f>$F$21*$F$8*'Traffic Data'!AK11*annualizationFactor</f>
        <v>7.8191698680000015E-5</v>
      </c>
      <c r="J97" s="777">
        <f>$F$21*$F$8*'Traffic Data'!AL11*annualizationFactor</f>
        <v>8.8582072239594013E-5</v>
      </c>
      <c r="K97" s="777">
        <f>$F$21*$F$8*'Traffic Data'!AM11*annualizationFactor</f>
        <v>9.8978961774078022E-5</v>
      </c>
      <c r="L97" s="777">
        <f>$F$21*$F$8*'Traffic Data'!AN11*annualizationFactor</f>
        <v>1.3415610381523201E-4</v>
      </c>
      <c r="M97" s="777">
        <f>$F$21*$F$8*'Traffic Data'!AO11*annualizationFactor</f>
        <v>1.6934041342876502E-4</v>
      </c>
      <c r="N97" s="777">
        <f>$F$21*$F$8*'Traffic Data'!AP11*annualizationFactor</f>
        <v>2.0455665131925905E-4</v>
      </c>
      <c r="O97" s="777">
        <f>$F$21*$F$8*'Traffic Data'!AQ11*annualizationFactor</f>
        <v>2.3973379336041304E-4</v>
      </c>
      <c r="P97" s="777">
        <f>$F$21*$F$8*'Traffic Data'!AR11*annualizationFactor</f>
        <v>2.7494416687350601E-4</v>
      </c>
      <c r="Q97" s="777">
        <f>$F$21*$F$8*'Traffic Data'!AS11*annualizationFactor</f>
        <v>3.2900786213332505E-4</v>
      </c>
      <c r="R97" s="777">
        <f>$F$21*$F$8*'Traffic Data'!AT11*annualizationFactor</f>
        <v>3.8306569301574313E-4</v>
      </c>
      <c r="S97" s="777">
        <f>$F$21*$F$8*'Traffic Data'!AU11*annualizationFactor</f>
        <v>4.371287366780731E-4</v>
      </c>
      <c r="T97" s="777">
        <f>$F$21*$F$8*'Traffic Data'!AV11*annualizationFactor</f>
        <v>4.9119243193789202E-4</v>
      </c>
      <c r="U97" s="777">
        <f>$F$21*$F$8*'Traffic Data'!AW11*annualizationFactor</f>
        <v>5.4530890659432011E-4</v>
      </c>
      <c r="V97" s="777">
        <f>$F$21*$F$8*'Traffic Data'!AX11*annualizationFactor</f>
        <v>5.7456563385042015E-4</v>
      </c>
      <c r="W97" s="777">
        <f>$F$21*$F$8*'Traffic Data'!AY11*annualizationFactor</f>
        <v>5.8495600741001409E-4</v>
      </c>
      <c r="X97" s="777">
        <f>$F$21*$F$8*'Traffic Data'!AZ11*annualizationFactor</f>
        <v>5.9534638096960814E-4</v>
      </c>
      <c r="Y97" s="777">
        <f>$F$21*$F$8*'Traffic Data'!BA11*annualizationFactor</f>
        <v>6.057367545292022E-4</v>
      </c>
      <c r="Z97" s="777">
        <f>$F$21*$F$8*'Traffic Data'!BB11*annualizationFactor</f>
        <v>6.1613364406368622E-4</v>
      </c>
      <c r="AA97" s="777">
        <f>$F$21*$F$8*'Traffic Data'!BC11*annualizationFactor</f>
        <v>6.2652401762328005E-4</v>
      </c>
      <c r="AB97" s="777">
        <f>$F$21*$F$8*'Traffic Data'!BD11*annualizationFactor</f>
        <v>6.3692090715776408E-4</v>
      </c>
      <c r="AC97" s="777">
        <f>$F$21*$F$8*'Traffic Data'!BE11*annualizationFactor</f>
        <v>6.4731128071735802E-4</v>
      </c>
      <c r="AD97" s="777">
        <f>$F$21*$F$8*'Traffic Data'!BF11*annualizationFactor</f>
        <v>6.5770165427695207E-4</v>
      </c>
      <c r="AE97" s="777">
        <f>$F$21*$F$8*'Traffic Data'!BG11*annualizationFactor</f>
        <v>6.680985438114362E-4</v>
      </c>
      <c r="AF97" s="777">
        <f>$F$21*$F$8*'Traffic Data'!BH11*annualizationFactor</f>
        <v>6.7848891737103015E-4</v>
      </c>
      <c r="AG97" s="777">
        <f>$F$21*$F$8*'Traffic Data'!BI11*annualizationFactor</f>
        <v>6.8887929093062398E-4</v>
      </c>
      <c r="AH97" s="778">
        <f>$F$21*$F$8*'Traffic Data'!BJ11*annualizationFactor</f>
        <v>6.9927618046510811E-4</v>
      </c>
      <c r="AI97" s="40"/>
      <c r="AJ97" s="40"/>
      <c r="AK97" s="40"/>
      <c r="AL97" s="40"/>
      <c r="AM97" s="40"/>
    </row>
    <row r="98" spans="2:39" ht="21.95" customHeight="1" x14ac:dyDescent="0.2">
      <c r="B98" s="1346"/>
      <c r="C98" s="254" t="s">
        <v>323</v>
      </c>
      <c r="D98" s="254" t="s">
        <v>338</v>
      </c>
      <c r="E98" s="116" t="s">
        <v>19</v>
      </c>
      <c r="F98" s="116" t="s">
        <v>438</v>
      </c>
      <c r="G98" s="970"/>
      <c r="H98" s="970"/>
      <c r="I98" s="777">
        <f>$F$21*$F$8*'Traffic Data'!AK12*annualizationFactor</f>
        <v>1.0477687623120001E-3</v>
      </c>
      <c r="J98" s="777">
        <f>$F$21*$F$8*'Traffic Data'!AL12*annualizationFactor</f>
        <v>1.0866287594248818E-3</v>
      </c>
      <c r="K98" s="777">
        <f>$F$21*$F$8*'Traffic Data'!AM12*annualizationFactor</f>
        <v>1.1255132044755503E-3</v>
      </c>
      <c r="L98" s="777">
        <f>$F$21*$F$8*'Traffic Data'!AN12*annualizationFactor</f>
        <v>1.2010276454566468E-3</v>
      </c>
      <c r="M98" s="777">
        <f>$F$21*$F$8*'Traffic Data'!AO12*annualizationFactor</f>
        <v>1.2765857434695064E-3</v>
      </c>
      <c r="N98" s="777">
        <f>$F$21*$F$8*'Traffic Data'!AP12*annualizationFactor</f>
        <v>1.35212463238839E-3</v>
      </c>
      <c r="O98" s="777">
        <f>$F$21*$F$8*'Traffic Data'!AQ12*annualizationFactor</f>
        <v>1.4276390733694866E-3</v>
      </c>
      <c r="P98" s="777">
        <f>$F$21*$F$8*'Traffic Data'!AR12*annualizationFactor</f>
        <v>1.5032338432890266E-3</v>
      </c>
      <c r="Q98" s="777">
        <f>$F$21*$F$8*'Traffic Data'!AS12*annualizationFactor</f>
        <v>1.6081381980529745E-3</v>
      </c>
      <c r="R98" s="777">
        <f>$F$21*$F$8*'Traffic Data'!AT12*annualizationFactor</f>
        <v>1.7130984338175792E-3</v>
      </c>
      <c r="S98" s="777">
        <f>$F$21*$F$8*'Traffic Data'!AU12*annualizationFactor</f>
        <v>1.8179835794875513E-3</v>
      </c>
      <c r="T98" s="777">
        <f>$F$21*$F$8*'Traffic Data'!AV12*annualizationFactor</f>
        <v>1.9228879342514996E-3</v>
      </c>
      <c r="U98" s="777">
        <f>$F$21*$F$8*'Traffic Data'!AW12*annualizationFactor</f>
        <v>2.0278848419227856E-3</v>
      </c>
      <c r="V98" s="777">
        <f>$F$21*$F$8*'Traffic Data'!AX12*annualizationFactor</f>
        <v>2.0961033197556492E-3</v>
      </c>
      <c r="W98" s="777">
        <f>$F$21*$F$8*'Traffic Data'!AY12*annualizationFactor</f>
        <v>2.1349633168685307E-3</v>
      </c>
      <c r="X98" s="777">
        <f>$F$21*$F$8*'Traffic Data'!AZ12*annualizationFactor</f>
        <v>2.1738233139814121E-3</v>
      </c>
      <c r="Y98" s="777">
        <f>$F$21*$F$8*'Traffic Data'!BA12*annualizationFactor</f>
        <v>2.2126833110942936E-3</v>
      </c>
      <c r="Z98" s="777">
        <f>$F$21*$F$8*'Traffic Data'!BB12*annualizationFactor</f>
        <v>2.2515677561449629E-3</v>
      </c>
      <c r="AA98" s="777">
        <f>$F$21*$F$8*'Traffic Data'!BC12*annualizationFactor</f>
        <v>2.2904277532578435E-3</v>
      </c>
      <c r="AB98" s="777">
        <f>$F$21*$F$8*'Traffic Data'!BD12*annualizationFactor</f>
        <v>2.3293121983085129E-3</v>
      </c>
      <c r="AC98" s="777">
        <f>$F$21*$F$8*'Traffic Data'!BE12*annualizationFactor</f>
        <v>2.3681721954213948E-3</v>
      </c>
      <c r="AD98" s="777">
        <f>$F$21*$F$8*'Traffic Data'!BF12*annualizationFactor</f>
        <v>2.4070321925342766E-3</v>
      </c>
      <c r="AE98" s="777">
        <f>$F$21*$F$8*'Traffic Data'!BG12*annualizationFactor</f>
        <v>2.4459166375849451E-3</v>
      </c>
      <c r="AF98" s="777">
        <f>$F$21*$F$8*'Traffic Data'!BH12*annualizationFactor</f>
        <v>2.4847766346978262E-3</v>
      </c>
      <c r="AG98" s="777">
        <f>$F$21*$F$8*'Traffic Data'!BI12*annualizationFactor</f>
        <v>2.523636631810708E-3</v>
      </c>
      <c r="AH98" s="778">
        <f>$F$21*$F$8*'Traffic Data'!BJ12*annualizationFactor</f>
        <v>2.562521076861377E-3</v>
      </c>
      <c r="AI98" s="40"/>
      <c r="AJ98" s="40"/>
      <c r="AK98" s="40"/>
      <c r="AL98" s="40"/>
      <c r="AM98" s="40"/>
    </row>
    <row r="99" spans="2:39" ht="21.95" customHeight="1" x14ac:dyDescent="0.2">
      <c r="B99" s="492" t="s">
        <v>339</v>
      </c>
      <c r="C99" s="116" t="s">
        <v>335</v>
      </c>
      <c r="D99" s="116" t="s">
        <v>323</v>
      </c>
      <c r="E99" s="277" t="s">
        <v>19</v>
      </c>
      <c r="F99" s="277" t="s">
        <v>438</v>
      </c>
      <c r="G99" s="780"/>
      <c r="H99" s="780"/>
      <c r="I99" s="775">
        <f>$F$21*$G$8*'Traffic Data'!AK13*annualizationFactor</f>
        <v>3.0625081983000006E-6</v>
      </c>
      <c r="J99" s="775">
        <f>$F$21*$G$8*'Traffic Data'!AL13*annualizationFactor</f>
        <v>4.9582007730477002E-6</v>
      </c>
      <c r="K99" s="775">
        <f>$F$21*$G$8*'Traffic Data'!AM13*annualizationFactor</f>
        <v>1.41457253679477E-5</v>
      </c>
      <c r="L99" s="775">
        <f>$F$21*$G$8*'Traffic Data'!AN13*annualizationFactor</f>
        <v>2.9908455064597802E-5</v>
      </c>
      <c r="M99" s="775">
        <f>$F$21*$G$8*'Traffic Data'!AO13*annualizationFactor</f>
        <v>4.5683434794041106E-5</v>
      </c>
      <c r="N99" s="775">
        <f>$F$21*$G$8*'Traffic Data'!AP13*annualizationFactor</f>
        <v>6.1452289507087812E-5</v>
      </c>
      <c r="O99" s="775">
        <f>$F$21*$G$8*'Traffic Data'!AQ13*annualizationFactor</f>
        <v>7.7215019203737923E-5</v>
      </c>
      <c r="P99" s="775">
        <f>$F$21*$G$8*'Traffic Data'!AR13*annualizationFactor</f>
        <v>9.3002248965974411E-5</v>
      </c>
      <c r="Q99" s="775">
        <f>$F$21*$G$8*'Traffic Data'!AS13*annualizationFactor</f>
        <v>1.0148233416706712E-4</v>
      </c>
      <c r="R99" s="775">
        <f>$F$21*$G$8*'Traffic Data'!AT13*annualizationFactor</f>
        <v>1.09974669400953E-4</v>
      </c>
      <c r="S99" s="775">
        <f>$F$21*$G$8*'Traffic Data'!AU13*annualizationFactor</f>
        <v>1.1845781711024402E-4</v>
      </c>
      <c r="T99" s="775">
        <f>$F$21*$G$8*'Traffic Data'!AV13*annualizationFactor</f>
        <v>1.2693790231133671E-4</v>
      </c>
      <c r="U99" s="775">
        <f>$F$21*$G$8*'Traffic Data'!AW13*annualizationFactor</f>
        <v>1.3543942506981754E-4</v>
      </c>
      <c r="V99" s="775">
        <f>$F$21*$G$8*'Traffic Data'!AX13*annualizationFactor</f>
        <v>1.3733511764456519E-4</v>
      </c>
      <c r="W99" s="775">
        <f>$F$21*$G$8*'Traffic Data'!AY13*annualizationFactor</f>
        <v>1.3923081021931293E-4</v>
      </c>
      <c r="X99" s="775">
        <f>$F$21*$G$8*'Traffic Data'!AZ13*annualizationFactor</f>
        <v>1.4112650279406061E-4</v>
      </c>
      <c r="Y99" s="775">
        <f>$F$21*$G$8*'Traffic Data'!BA13*annualizationFactor</f>
        <v>1.4302219536880832E-4</v>
      </c>
      <c r="Z99" s="775">
        <f>$F$21*$G$8*'Traffic Data'!BB13*annualizationFactor</f>
        <v>1.449270754681509E-4</v>
      </c>
      <c r="AA99" s="775">
        <f>$F$21*$G$8*'Traffic Data'!BC13*annualizationFactor</f>
        <v>1.4682276804289861E-4</v>
      </c>
      <c r="AB99" s="775">
        <f>$F$21*$G$8*'Traffic Data'!BD13*annualizationFactor</f>
        <v>1.4872764814224119E-4</v>
      </c>
      <c r="AC99" s="775">
        <f>$F$21*$G$8*'Traffic Data'!BE13*annualizationFactor</f>
        <v>1.5062334071698889E-4</v>
      </c>
      <c r="AD99" s="775">
        <f>$F$21*$G$8*'Traffic Data'!BF13*annualizationFactor</f>
        <v>1.525190332917366E-4</v>
      </c>
      <c r="AE99" s="775">
        <f>$F$21*$G$8*'Traffic Data'!BG13*annualizationFactor</f>
        <v>1.5442391339107924E-4</v>
      </c>
      <c r="AF99" s="775">
        <f>$F$21*$G$8*'Traffic Data'!BH13*annualizationFactor</f>
        <v>1.5631960596582689E-4</v>
      </c>
      <c r="AG99" s="775">
        <f>$F$21*$G$8*'Traffic Data'!BI13*annualizationFactor</f>
        <v>1.582152985405746E-4</v>
      </c>
      <c r="AH99" s="776">
        <f>$F$21*$G$8*'Traffic Data'!BJ13*annualizationFactor</f>
        <v>1.6012017863991724E-4</v>
      </c>
      <c r="AI99" s="40"/>
      <c r="AJ99" s="40"/>
      <c r="AK99" s="40"/>
      <c r="AL99" s="40"/>
      <c r="AM99" s="40"/>
    </row>
    <row r="100" spans="2:39" ht="21.95" customHeight="1" x14ac:dyDescent="0.2">
      <c r="B100" s="1346" t="s">
        <v>323</v>
      </c>
      <c r="C100" s="220" t="s">
        <v>282</v>
      </c>
      <c r="D100" s="220" t="s">
        <v>339</v>
      </c>
      <c r="E100" s="116" t="s">
        <v>19</v>
      </c>
      <c r="F100" s="116" t="s">
        <v>438</v>
      </c>
      <c r="G100" s="970"/>
      <c r="H100" s="970"/>
      <c r="I100" s="775">
        <f>$F$21*$H$8*'Traffic Data'!AK14*annualizationFactor</f>
        <v>8.7965661015000022E-6</v>
      </c>
      <c r="J100" s="775">
        <f>$F$21*$H$8*'Traffic Data'!AL14*annualizationFactor</f>
        <v>8.7965661015000022E-6</v>
      </c>
      <c r="K100" s="775">
        <f>$F$21*$H$8*'Traffic Data'!AM14*annualizationFactor</f>
        <v>1.0292861995365153E-4</v>
      </c>
      <c r="L100" s="775">
        <f>$F$21*$H$8*'Traffic Data'!AN14*annualizationFactor</f>
        <v>1.9706067380580305E-4</v>
      </c>
      <c r="M100" s="775">
        <f>$F$21*$H$8*'Traffic Data'!AO14*annualizationFactor</f>
        <v>2.912718967528681E-4</v>
      </c>
      <c r="N100" s="775">
        <f>$F$21*$H$8*'Traffic Data'!AP14*annualizationFactor</f>
        <v>3.854039506050196E-4</v>
      </c>
      <c r="O100" s="775">
        <f>$F$21*$H$8*'Traffic Data'!AQ14*annualizationFactor</f>
        <v>4.7953600445717115E-4</v>
      </c>
      <c r="P100" s="775">
        <f>$F$21*$H$8*'Traffic Data'!AR14*annualizationFactor</f>
        <v>5.7374722740423617E-4</v>
      </c>
      <c r="Q100" s="775">
        <f>$F$21*$H$8*'Traffic Data'!AS14*annualizationFactor</f>
        <v>5.7374722740423617E-4</v>
      </c>
      <c r="R100" s="775">
        <f>$F$21*$H$8*'Traffic Data'!AT14*annualizationFactor</f>
        <v>5.7374722740423617E-4</v>
      </c>
      <c r="S100" s="775">
        <f>$F$21*$H$8*'Traffic Data'!AU14*annualizationFactor</f>
        <v>5.7374722740423617E-4</v>
      </c>
      <c r="T100" s="775">
        <f>$F$21*$H$8*'Traffic Data'!AV14*annualizationFactor</f>
        <v>5.7374722740423617E-4</v>
      </c>
      <c r="U100" s="775">
        <f>$F$21*$H$8*'Traffic Data'!AW14*annualizationFactor</f>
        <v>5.7374722740423617E-4</v>
      </c>
      <c r="V100" s="775">
        <f>$F$21*$H$8*'Traffic Data'!AX14*annualizationFactor</f>
        <v>5.7374722740423617E-4</v>
      </c>
      <c r="W100" s="775">
        <f>$F$21*$H$8*'Traffic Data'!AY14*annualizationFactor</f>
        <v>5.7374722740423617E-4</v>
      </c>
      <c r="X100" s="775">
        <f>$F$21*$H$8*'Traffic Data'!AZ14*annualizationFactor</f>
        <v>5.7374722740423617E-4</v>
      </c>
      <c r="Y100" s="775">
        <f>$F$21*$H$8*'Traffic Data'!BA14*annualizationFactor</f>
        <v>5.7374722740423617E-4</v>
      </c>
      <c r="Z100" s="775">
        <f>$F$21*$H$8*'Traffic Data'!BB14*annualizationFactor</f>
        <v>5.7374722740423617E-4</v>
      </c>
      <c r="AA100" s="775">
        <f>$F$21*$H$8*'Traffic Data'!BC14*annualizationFactor</f>
        <v>5.7374722740423617E-4</v>
      </c>
      <c r="AB100" s="775">
        <f>$F$21*$H$8*'Traffic Data'!BD14*annualizationFactor</f>
        <v>5.7374722740423617E-4</v>
      </c>
      <c r="AC100" s="775">
        <f>$F$21*$H$8*'Traffic Data'!BE14*annualizationFactor</f>
        <v>5.7374722740423617E-4</v>
      </c>
      <c r="AD100" s="775">
        <f>$F$21*$H$8*'Traffic Data'!BF14*annualizationFactor</f>
        <v>5.7374722740423617E-4</v>
      </c>
      <c r="AE100" s="775">
        <f>$F$21*$H$8*'Traffic Data'!BG14*annualizationFactor</f>
        <v>5.7374722740423617E-4</v>
      </c>
      <c r="AF100" s="775">
        <f>$F$21*$H$8*'Traffic Data'!BH14*annualizationFactor</f>
        <v>5.7374722740423617E-4</v>
      </c>
      <c r="AG100" s="775">
        <f>$F$21*$H$8*'Traffic Data'!BI14*annualizationFactor</f>
        <v>5.7374722740423617E-4</v>
      </c>
      <c r="AH100" s="776">
        <f>$F$21*$H$8*'Traffic Data'!BJ14*annualizationFactor</f>
        <v>5.7374722740423617E-4</v>
      </c>
      <c r="AI100" s="40"/>
      <c r="AJ100" s="40"/>
      <c r="AK100" s="40"/>
      <c r="AL100" s="40"/>
      <c r="AM100" s="40"/>
    </row>
    <row r="101" spans="2:39" ht="21.95" customHeight="1" x14ac:dyDescent="0.2">
      <c r="B101" s="1346"/>
      <c r="C101" s="116" t="s">
        <v>339</v>
      </c>
      <c r="D101" s="116" t="s">
        <v>288</v>
      </c>
      <c r="E101" s="116" t="s">
        <v>19</v>
      </c>
      <c r="F101" s="116" t="s">
        <v>438</v>
      </c>
      <c r="G101" s="970"/>
      <c r="H101" s="970"/>
      <c r="I101" s="777">
        <f>$F$21*$H$8*'Traffic Data'!AK15*annualizationFactor</f>
        <v>4.0138405322400005E-6</v>
      </c>
      <c r="J101" s="777">
        <f>$F$21*$H$8*'Traffic Data'!AL15*annualizationFactor</f>
        <v>7.6262970112560017E-6</v>
      </c>
      <c r="K101" s="777">
        <f>$F$21*$H$8*'Traffic Data'!AM15*annualizationFactor</f>
        <v>1.1238753490272004E-5</v>
      </c>
      <c r="L101" s="777">
        <f>$F$21*$H$8*'Traffic Data'!AN15*annualizationFactor</f>
        <v>2.4447937787280005E-5</v>
      </c>
      <c r="M101" s="777">
        <f>$F$21*$H$8*'Traffic Data'!AO15*annualizationFactor</f>
        <v>3.7638877354596012E-5</v>
      </c>
      <c r="N101" s="777">
        <f>$F$21*$H$8*'Traffic Data'!AP15*annualizationFactor</f>
        <v>5.0866306381296009E-5</v>
      </c>
      <c r="O101" s="777">
        <f>$F$21*$H$8*'Traffic Data'!AQ15*annualizationFactor</f>
        <v>6.4075490678304017E-5</v>
      </c>
      <c r="P101" s="777">
        <f>$F$21*$H$8*'Traffic Data'!AR15*annualizationFactor</f>
        <v>7.7284674975312026E-5</v>
      </c>
      <c r="Q101" s="777">
        <f>$F$21*$H$8*'Traffic Data'!AS15*annualizationFactor</f>
        <v>1.0025478965754003E-4</v>
      </c>
      <c r="R101" s="777">
        <f>$F$21*$H$8*'Traffic Data'!AT15*annualizationFactor</f>
        <v>1.23206659610076E-4</v>
      </c>
      <c r="S101" s="777">
        <f>$F$21*$H$8*'Traffic Data'!AU15*annualizationFactor</f>
        <v>1.4615852956261204E-4</v>
      </c>
      <c r="T101" s="777">
        <f>$F$21*$H$8*'Traffic Data'!AV15*annualizationFactor</f>
        <v>1.6912864424484004E-4</v>
      </c>
      <c r="U101" s="777">
        <f>$F$21*$H$8*'Traffic Data'!AW15*annualizationFactor</f>
        <v>1.9209875892706803E-4</v>
      </c>
      <c r="V101" s="777">
        <f>$F$21*$H$8*'Traffic Data'!AX15*annualizationFactor</f>
        <v>2.0547214579130405E-4</v>
      </c>
      <c r="W101" s="777">
        <f>$F$21*$H$8*'Traffic Data'!AY15*annualizationFactor</f>
        <v>2.0906635754062804E-4</v>
      </c>
      <c r="X101" s="777">
        <f>$F$21*$H$8*'Traffic Data'!AZ15*annualizationFactor</f>
        <v>2.1267881401964406E-4</v>
      </c>
      <c r="Y101" s="777">
        <f>$F$21*$H$8*'Traffic Data'!BA15*annualizationFactor</f>
        <v>2.1629127049866003E-4</v>
      </c>
      <c r="Z101" s="777">
        <f>$F$21*$H$8*'Traffic Data'!BB15*annualizationFactor</f>
        <v>2.1990372697767605E-4</v>
      </c>
      <c r="AA101" s="777">
        <f>$F$21*$H$8*'Traffic Data'!BC15*annualizationFactor</f>
        <v>2.2351618345669202E-4</v>
      </c>
      <c r="AB101" s="777">
        <f>$F$21*$H$8*'Traffic Data'!BD15*annualizationFactor</f>
        <v>2.2712863993570802E-4</v>
      </c>
      <c r="AC101" s="777">
        <f>$F$21*$H$8*'Traffic Data'!BE15*annualizationFactor</f>
        <v>2.3074109641472404E-4</v>
      </c>
      <c r="AD101" s="777">
        <f>$F$21*$H$8*'Traffic Data'!BF15*annualizationFactor</f>
        <v>2.3435355289374007E-4</v>
      </c>
      <c r="AE101" s="777">
        <f>$F$21*$H$8*'Traffic Data'!BG15*annualizationFactor</f>
        <v>2.3794776464306403E-4</v>
      </c>
      <c r="AF101" s="777">
        <f>$F$21*$H$8*'Traffic Data'!BH15*annualizationFactor</f>
        <v>2.4156022112208002E-4</v>
      </c>
      <c r="AG101" s="777">
        <f>$F$21*$H$8*'Traffic Data'!BI15*annualizationFactor</f>
        <v>2.4517267760109605E-4</v>
      </c>
      <c r="AH101" s="778">
        <f>$F$21*$H$8*'Traffic Data'!BJ15*annualizationFactor</f>
        <v>2.4878513408011204E-4</v>
      </c>
      <c r="AI101" s="40"/>
      <c r="AJ101" s="40"/>
      <c r="AK101" s="40"/>
      <c r="AL101" s="40"/>
      <c r="AM101" s="40"/>
    </row>
    <row r="102" spans="2:39" ht="21.95" customHeight="1" x14ac:dyDescent="0.2">
      <c r="B102" s="1346"/>
      <c r="C102" s="116" t="s">
        <v>288</v>
      </c>
      <c r="D102" s="116" t="s">
        <v>340</v>
      </c>
      <c r="E102" s="116" t="s">
        <v>19</v>
      </c>
      <c r="F102" s="116" t="s">
        <v>438</v>
      </c>
      <c r="G102" s="970"/>
      <c r="H102" s="970"/>
      <c r="I102" s="777">
        <f>$F$21*$H$8*'Traffic Data'!AK16*annualizationFactor</f>
        <v>1.42699850091E-5</v>
      </c>
      <c r="J102" s="777">
        <f>$F$21*$H$8*'Traffic Data'!AL16*annualizationFactor</f>
        <v>2.7106787857119389E-5</v>
      </c>
      <c r="K102" s="777">
        <f>$F$21*$H$8*'Traffic Data'!AM16*annualizationFactor</f>
        <v>3.9939309709636062E-5</v>
      </c>
      <c r="L102" s="777">
        <f>$F$21*$H$8*'Traffic Data'!AN16*annualizationFactor</f>
        <v>8.6886133391074141E-5</v>
      </c>
      <c r="M102" s="777">
        <f>$F$21*$H$8*'Traffic Data'!AO16*annualizationFactor</f>
        <v>1.3383485973718012E-4</v>
      </c>
      <c r="N102" s="777">
        <f>$F$21*$H$8*'Traffic Data'!AP16*annualizationFactor</f>
        <v>1.8084352002032433E-4</v>
      </c>
      <c r="O102" s="777">
        <f>$F$21*$H$8*'Traffic Data'!AQ16*annualizationFactor</f>
        <v>2.277903437017624E-4</v>
      </c>
      <c r="P102" s="777">
        <f>$F$21*$H$8*'Traffic Data'!AR16*annualizationFactor</f>
        <v>2.747657073532187E-4</v>
      </c>
      <c r="Q102" s="777">
        <f>$F$21*$H$8*'Traffic Data'!AS16*annualizationFactor</f>
        <v>3.5640286459177894E-4</v>
      </c>
      <c r="R102" s="777">
        <f>$F$21*$H$8*'Traffic Data'!AT16*annualizationFactor</f>
        <v>4.3800672519865125E-4</v>
      </c>
      <c r="S102" s="777">
        <f>$F$21*$H$8*'Traffic Data'!AU16*annualizationFactor</f>
        <v>5.1963769877704077E-4</v>
      </c>
      <c r="T102" s="777">
        <f>$F$21*$H$8*'Traffic Data'!AV16*annualizationFactor</f>
        <v>6.0127485601560102E-4</v>
      </c>
      <c r="U102" s="777">
        <f>$F$21*$H$8*'Traffic Data'!AW16*annualizationFactor</f>
        <v>6.8297147152503233E-4</v>
      </c>
      <c r="V102" s="777">
        <f>$F$21*$H$8*'Traffic Data'!AX16*annualizationFactor</f>
        <v>7.3046150596915022E-4</v>
      </c>
      <c r="W102" s="777">
        <f>$F$21*$H$8*'Traffic Data'!AY16*annualizationFactor</f>
        <v>7.4329830881716952E-4</v>
      </c>
      <c r="X102" s="777">
        <f>$F$21*$H$8*'Traffic Data'!AZ16*annualizationFactor</f>
        <v>7.5613511166518893E-4</v>
      </c>
      <c r="Y102" s="777">
        <f>$F$21*$H$8*'Traffic Data'!BA16*annualizationFactor</f>
        <v>7.6897191451320835E-4</v>
      </c>
      <c r="Z102" s="777">
        <f>$F$21*$H$8*'Traffic Data'!BB16*annualizationFactor</f>
        <v>7.8180443636572501E-4</v>
      </c>
      <c r="AA102" s="777">
        <f>$F$21*$H$8*'Traffic Data'!BC16*annualizationFactor</f>
        <v>7.9464123921374453E-4</v>
      </c>
      <c r="AB102" s="777">
        <f>$F$21*$H$8*'Traffic Data'!BD16*annualizationFactor</f>
        <v>8.0747376106626108E-4</v>
      </c>
      <c r="AC102" s="777">
        <f>$F$21*$H$8*'Traffic Data'!BE16*annualizationFactor</f>
        <v>8.2031056391428038E-4</v>
      </c>
      <c r="AD102" s="777">
        <f>$F$21*$H$8*'Traffic Data'!BF16*annualizationFactor</f>
        <v>8.331473667622999E-4</v>
      </c>
      <c r="AE102" s="777">
        <f>$F$21*$H$8*'Traffic Data'!BG16*annualizationFactor</f>
        <v>8.4597988861481645E-4</v>
      </c>
      <c r="AF102" s="777">
        <f>$F$21*$H$8*'Traffic Data'!BH16*annualizationFactor</f>
        <v>8.5881669146283598E-4</v>
      </c>
      <c r="AG102" s="777">
        <f>$F$21*$H$8*'Traffic Data'!BI16*annualizationFactor</f>
        <v>8.7165349431085539E-4</v>
      </c>
      <c r="AH102" s="778">
        <f>$F$21*$H$8*'Traffic Data'!BJ16*annualizationFactor</f>
        <v>8.8448601616337205E-4</v>
      </c>
      <c r="AI102" s="40"/>
      <c r="AJ102" s="40"/>
      <c r="AK102" s="40"/>
      <c r="AL102" s="40"/>
      <c r="AM102" s="40"/>
    </row>
    <row r="103" spans="2:39" ht="21.95" customHeight="1" x14ac:dyDescent="0.2">
      <c r="B103" s="1346"/>
      <c r="C103" s="254" t="s">
        <v>340</v>
      </c>
      <c r="D103" s="254" t="s">
        <v>280</v>
      </c>
      <c r="E103" s="116" t="s">
        <v>19</v>
      </c>
      <c r="F103" s="254" t="s">
        <v>438</v>
      </c>
      <c r="G103" s="970"/>
      <c r="H103" s="970"/>
      <c r="I103" s="777">
        <f>$F$21*$H$8*'Traffic Data'!AK17*annualizationFactor</f>
        <v>2.0525320903500002E-5</v>
      </c>
      <c r="J103" s="777">
        <f>$F$21*$H$8*'Traffic Data'!AL17*annualizationFactor</f>
        <v>3.8989215410925156E-5</v>
      </c>
      <c r="K103" s="777">
        <f>$F$21*$H$8*'Traffic Data'!AM17*annualizationFactor</f>
        <v>5.7446952322079267E-5</v>
      </c>
      <c r="L103" s="777">
        <f>$F$21*$H$8*'Traffic Data'!AN17*annualizationFactor</f>
        <v>1.2497320556250391E-4</v>
      </c>
      <c r="M103" s="777">
        <f>$F$21*$H$8*'Traffic Data'!AO17*annualizationFactor</f>
        <v>1.925021955123824E-4</v>
      </c>
      <c r="N103" s="777">
        <f>$F$21*$H$8*'Traffic Data'!AP17*annualizationFactor</f>
        <v>2.6011739181005557E-4</v>
      </c>
      <c r="O103" s="777">
        <f>$F$21*$H$8*'Traffic Data'!AQ17*annualizationFactor</f>
        <v>3.2764364505048017E-4</v>
      </c>
      <c r="P103" s="777">
        <f>$F$21*$H$8*'Traffic Data'!AR17*annualizationFactor</f>
        <v>3.9521094893271187E-4</v>
      </c>
      <c r="Q103" s="777">
        <f>$F$21*$H$8*'Traffic Data'!AS17*annualizationFactor</f>
        <v>5.1263425728954512E-4</v>
      </c>
      <c r="R103" s="777">
        <f>$F$21*$H$8*'Traffic Data'!AT17*annualizationFactor</f>
        <v>6.3000967323093677E-4</v>
      </c>
      <c r="S103" s="777">
        <f>$F$21*$H$8*'Traffic Data'!AU17*annualizationFactor</f>
        <v>7.4742408728204488E-4</v>
      </c>
      <c r="T103" s="777">
        <f>$F$21*$H$8*'Traffic Data'!AV17*annualizationFactor</f>
        <v>8.6484739563887807E-4</v>
      </c>
      <c r="U103" s="777">
        <f>$F$21*$H$8*'Traffic Data'!AW17*annualizationFactor</f>
        <v>9.8235622616614266E-4</v>
      </c>
      <c r="V103" s="777">
        <f>$F$21*$H$8*'Traffic Data'!AX17*annualizationFactor</f>
        <v>1.0506638099556269E-3</v>
      </c>
      <c r="W103" s="777">
        <f>$F$21*$H$8*'Traffic Data'!AY17*annualizationFactor</f>
        <v>1.0691277044630524E-3</v>
      </c>
      <c r="X103" s="777">
        <f>$F$21*$H$8*'Traffic Data'!AZ17*annualizationFactor</f>
        <v>1.0875915989704773E-3</v>
      </c>
      <c r="Y103" s="777">
        <f>$F$21*$H$8*'Traffic Data'!BA17*annualizationFactor</f>
        <v>1.1060554934779023E-3</v>
      </c>
      <c r="Z103" s="777">
        <f>$F$21*$H$8*'Traffic Data'!BB17*annualizationFactor</f>
        <v>1.1245132303890565E-3</v>
      </c>
      <c r="AA103" s="777">
        <f>$F$21*$H$8*'Traffic Data'!BC17*annualizationFactor</f>
        <v>1.1429771248964819E-3</v>
      </c>
      <c r="AB103" s="777">
        <f>$F$21*$H$8*'Traffic Data'!BD17*annualizationFactor</f>
        <v>1.1614348618076359E-3</v>
      </c>
      <c r="AC103" s="777">
        <f>$F$21*$H$8*'Traffic Data'!BE17*annualizationFactor</f>
        <v>1.1798987563150609E-3</v>
      </c>
      <c r="AD103" s="777">
        <f>$F$21*$H$8*'Traffic Data'!BF17*annualizationFactor</f>
        <v>1.1983626508224863E-3</v>
      </c>
      <c r="AE103" s="777">
        <f>$F$21*$H$8*'Traffic Data'!BG17*annualizationFactor</f>
        <v>1.2168203877336403E-3</v>
      </c>
      <c r="AF103" s="777">
        <f>$F$21*$H$8*'Traffic Data'!BH17*annualizationFactor</f>
        <v>1.2352842822410657E-3</v>
      </c>
      <c r="AG103" s="777">
        <f>$F$21*$H$8*'Traffic Data'!BI17*annualizationFactor</f>
        <v>1.2537481767484909E-3</v>
      </c>
      <c r="AH103" s="778">
        <f>$F$21*$H$8*'Traffic Data'!BJ17*annualizationFactor</f>
        <v>1.2722059136596447E-3</v>
      </c>
      <c r="AI103" s="40"/>
      <c r="AJ103" s="40"/>
      <c r="AK103" s="40"/>
      <c r="AL103" s="40"/>
      <c r="AM103" s="40"/>
    </row>
    <row r="104" spans="2:39" ht="21.95" customHeight="1" x14ac:dyDescent="0.2">
      <c r="B104" s="1346" t="s">
        <v>334</v>
      </c>
      <c r="C104" s="116" t="s">
        <v>336</v>
      </c>
      <c r="D104" s="116" t="s">
        <v>337</v>
      </c>
      <c r="E104" s="220" t="s">
        <v>19</v>
      </c>
      <c r="F104" s="116" t="s">
        <v>438</v>
      </c>
      <c r="G104" s="775"/>
      <c r="H104" s="775"/>
      <c r="I104" s="775">
        <f>$F$21*$I$8*'Traffic Data'!AK18*annualizationFactor</f>
        <v>6.3856553922000004E-4</v>
      </c>
      <c r="J104" s="775">
        <f>$F$21*$I$8*'Traffic Data'!AL18*annualizationFactor</f>
        <v>6.5586382355922745E-4</v>
      </c>
      <c r="K104" s="775">
        <f>$F$21*$I$8*'Traffic Data'!AM18*annualizationFactor</f>
        <v>6.8401772206519516E-4</v>
      </c>
      <c r="L104" s="775">
        <f>$F$21*$I$8*'Traffic Data'!AN18*annualizationFactor</f>
        <v>7.2440927301207158E-4</v>
      </c>
      <c r="M104" s="775">
        <f>$F$21*$I$8*'Traffic Data'!AO18*annualizationFactor</f>
        <v>7.6481906868864019E-4</v>
      </c>
      <c r="N104" s="775">
        <f>$F$21*$I$8*'Traffic Data'!AP18*annualizationFactor</f>
        <v>8.0522430318278584E-4</v>
      </c>
      <c r="O104" s="775">
        <f>$F$21*$I$8*'Traffic Data'!AQ18*annualizationFactor</f>
        <v>8.4561585412966226E-4</v>
      </c>
      <c r="P104" s="775">
        <f>$F$21*$I$8*'Traffic Data'!AR18*annualizationFactor</f>
        <v>8.8604161394471111E-4</v>
      </c>
      <c r="Q104" s="775">
        <f>$F$21*$I$8*'Traffic Data'!AS18*annualizationFactor</f>
        <v>9.2198373143795103E-4</v>
      </c>
      <c r="R104" s="775">
        <f>$F$21*$I$8*'Traffic Data'!AT18*annualizationFactor</f>
        <v>9.5793725188724865E-4</v>
      </c>
      <c r="S104" s="775">
        <f>$F$21*$I$8*'Traffic Data'!AU18*annualizationFactor</f>
        <v>9.9387936938048847E-4</v>
      </c>
      <c r="T104" s="775">
        <f>$F$21*$I$8*'Traffic Data'!AV18*annualizationFactor</f>
        <v>1.0298214868737288E-3</v>
      </c>
      <c r="U104" s="775">
        <f>$F$21*$I$8*'Traffic Data'!AW18*annualizationFactor</f>
        <v>1.0657955326439296E-3</v>
      </c>
      <c r="V104" s="775">
        <f>$F$21*$I$8*'Traffic Data'!AX18*annualizationFactor</f>
        <v>1.0894840335577802E-3</v>
      </c>
      <c r="W104" s="775">
        <f>$F$21*$I$8*'Traffic Data'!AY18*annualizationFactor</f>
        <v>1.1067823178970075E-3</v>
      </c>
      <c r="X104" s="775">
        <f>$F$21*$I$8*'Traffic Data'!AZ18*annualizationFactor</f>
        <v>1.1240806022362352E-3</v>
      </c>
      <c r="Y104" s="775">
        <f>$F$21*$I$8*'Traffic Data'!BA18*annualizationFactor</f>
        <v>1.1413788865754625E-3</v>
      </c>
      <c r="Z104" s="775">
        <f>$F$21*$I$8*'Traffic Data'!BB18*annualizationFactor</f>
        <v>1.158686293279536E-3</v>
      </c>
      <c r="AA104" s="775">
        <f>$F$21*$I$8*'Traffic Data'!BC18*annualizationFactor</f>
        <v>1.1759845776187637E-3</v>
      </c>
      <c r="AB104" s="775">
        <f>$F$21*$I$8*'Traffic Data'!BD18*annualizationFactor</f>
        <v>1.1932919843228372E-3</v>
      </c>
      <c r="AC104" s="775">
        <f>$F$21*$I$8*'Traffic Data'!BE18*annualizationFactor</f>
        <v>1.2105902686620645E-3</v>
      </c>
      <c r="AD104" s="775">
        <f>$F$21*$I$8*'Traffic Data'!BF18*annualizationFactor</f>
        <v>1.2278885530012922E-3</v>
      </c>
      <c r="AE104" s="775">
        <f>$F$21*$I$8*'Traffic Data'!BG18*annualizationFactor</f>
        <v>1.2451959597053657E-3</v>
      </c>
      <c r="AF104" s="775">
        <f>$F$21*$I$8*'Traffic Data'!BH18*annualizationFactor</f>
        <v>1.2624942440445932E-3</v>
      </c>
      <c r="AG104" s="775">
        <f>$F$21*$I$8*'Traffic Data'!BI18*annualizationFactor</f>
        <v>1.2797925283838205E-3</v>
      </c>
      <c r="AH104" s="776">
        <f>$F$21*$I$8*'Traffic Data'!BJ18*annualizationFactor</f>
        <v>1.297099935087894E-3</v>
      </c>
      <c r="AI104" s="40"/>
      <c r="AJ104" s="40"/>
      <c r="AK104" s="40"/>
      <c r="AL104" s="40"/>
      <c r="AM104" s="40"/>
    </row>
    <row r="105" spans="2:39" ht="21.95" customHeight="1" x14ac:dyDescent="0.2">
      <c r="B105" s="1346"/>
      <c r="C105" s="116" t="s">
        <v>337</v>
      </c>
      <c r="D105" s="116" t="s">
        <v>386</v>
      </c>
      <c r="E105" s="116" t="s">
        <v>19</v>
      </c>
      <c r="F105" s="116" t="s">
        <v>438</v>
      </c>
      <c r="G105" s="970"/>
      <c r="H105" s="970"/>
      <c r="I105" s="777">
        <f>$F$21*$I$8*'Traffic Data'!AK19*annualizationFactor</f>
        <v>1.0034601330600002E-3</v>
      </c>
      <c r="J105" s="777">
        <f>$F$21*$I$8*'Traffic Data'!AL19*annualizationFactor</f>
        <v>1.0243047367331103E-3</v>
      </c>
      <c r="K105" s="777">
        <f>$F$21*$I$8*'Traffic Data'!AM19*annualizationFactor</f>
        <v>1.07374795419843E-3</v>
      </c>
      <c r="L105" s="777">
        <f>$F$21*$I$8*'Traffic Data'!AN19*annualizationFactor</f>
        <v>1.1279348013836701E-3</v>
      </c>
      <c r="M105" s="777">
        <f>$F$21*$I$8*'Traffic Data'!AO19*annualizationFactor</f>
        <v>1.1822128722173701E-3</v>
      </c>
      <c r="N105" s="777">
        <f>$F$21*$I$8*'Traffic Data'!AP19*annualizationFactor</f>
        <v>1.2364453312268401E-3</v>
      </c>
      <c r="O105" s="777">
        <f>$F$21*$I$8*'Traffic Data'!AQ19*annualizationFactor</f>
        <v>1.2906321784120801E-3</v>
      </c>
      <c r="P105" s="777">
        <f>$F$21*$I$8*'Traffic Data'!AR19*annualizationFactor</f>
        <v>1.3449102492457802E-3</v>
      </c>
      <c r="Q105" s="777">
        <f>$F$21*$I$8*'Traffic Data'!AS19*annualizationFactor</f>
        <v>1.3747859941164301E-3</v>
      </c>
      <c r="R105" s="777">
        <f>$F$21*$I$8*'Traffic Data'!AT19*annualizationFactor</f>
        <v>1.4047073508113104E-3</v>
      </c>
      <c r="S105" s="777">
        <f>$F$21*$I$8*'Traffic Data'!AU19*annualizationFactor</f>
        <v>1.4345830956819601E-3</v>
      </c>
      <c r="T105" s="777">
        <f>$F$21*$I$8*'Traffic Data'!AV19*annualizationFactor</f>
        <v>1.4645044523768404E-3</v>
      </c>
      <c r="U105" s="777">
        <f>$F$21*$I$8*'Traffic Data'!AW19*annualizationFactor</f>
        <v>1.4943801972474901E-3</v>
      </c>
      <c r="V105" s="777">
        <f>$F$21*$I$8*'Traffic Data'!AX19*annualizationFactor</f>
        <v>1.5195123123982201E-3</v>
      </c>
      <c r="W105" s="777">
        <f>$F$21*$I$8*'Traffic Data'!AY19*annualizationFactor</f>
        <v>1.5412235407317003E-3</v>
      </c>
      <c r="X105" s="777">
        <f>$F$21*$I$8*'Traffic Data'!AZ19*annualizationFactor</f>
        <v>1.5629803808894101E-3</v>
      </c>
      <c r="Y105" s="777">
        <f>$F$21*$I$8*'Traffic Data'!BA19*annualizationFactor</f>
        <v>1.5847372210471202E-3</v>
      </c>
      <c r="Z105" s="777">
        <f>$F$21*$I$8*'Traffic Data'!BB19*annualizationFactor</f>
        <v>1.6064940612048302E-3</v>
      </c>
      <c r="AA105" s="777">
        <f>$F$21*$I$8*'Traffic Data'!BC19*annualizationFactor</f>
        <v>1.6282509013625403E-3</v>
      </c>
      <c r="AB105" s="777">
        <f>$F$21*$I$8*'Traffic Data'!BD19*annualizationFactor</f>
        <v>1.6500077415202504E-3</v>
      </c>
      <c r="AC105" s="777">
        <f>$F$21*$I$8*'Traffic Data'!BE19*annualizationFactor</f>
        <v>1.6717645816779602E-3</v>
      </c>
      <c r="AD105" s="777">
        <f>$F$21*$I$8*'Traffic Data'!BF19*annualizationFactor</f>
        <v>1.6935214218356703E-3</v>
      </c>
      <c r="AE105" s="777">
        <f>$F$21*$I$8*'Traffic Data'!BG19*annualizationFactor</f>
        <v>1.7152782619933803E-3</v>
      </c>
      <c r="AF105" s="777">
        <f>$F$21*$I$8*'Traffic Data'!BH19*annualizationFactor</f>
        <v>1.7370351021510904E-3</v>
      </c>
      <c r="AG105" s="777">
        <f>$F$21*$I$8*'Traffic Data'!BI19*annualizationFactor</f>
        <v>1.7587463304845701E-3</v>
      </c>
      <c r="AH105" s="778">
        <f>$F$21*$I$8*'Traffic Data'!BJ19*annualizationFactor</f>
        <v>1.7805031706422804E-3</v>
      </c>
      <c r="AI105" s="40"/>
      <c r="AJ105" s="40"/>
      <c r="AK105" s="40"/>
      <c r="AL105" s="40"/>
      <c r="AM105" s="40"/>
    </row>
    <row r="106" spans="2:39" ht="21.95" customHeight="1" x14ac:dyDescent="0.2">
      <c r="B106" s="1346"/>
      <c r="C106" s="116" t="s">
        <v>342</v>
      </c>
      <c r="D106" s="116" t="s">
        <v>341</v>
      </c>
      <c r="E106" s="116" t="s">
        <v>19</v>
      </c>
      <c r="F106" s="116" t="s">
        <v>438</v>
      </c>
      <c r="G106" s="970"/>
      <c r="H106" s="970"/>
      <c r="I106" s="777">
        <f>$F$21*$I$8*'Traffic Data'!AK20*annualizationFactor</f>
        <v>1.3044981729780003E-3</v>
      </c>
      <c r="J106" s="777">
        <f>$F$21*$I$8*'Traffic Data'!AL20*annualizationFactor</f>
        <v>1.3315961577530433E-3</v>
      </c>
      <c r="K106" s="777">
        <f>$F$21*$I$8*'Traffic Data'!AM20*annualizationFactor</f>
        <v>1.395872340457959E-3</v>
      </c>
      <c r="L106" s="777">
        <f>$F$21*$I$8*'Traffic Data'!AN20*annualizationFactor</f>
        <v>1.4663152417987713E-3</v>
      </c>
      <c r="M106" s="777">
        <f>$F$21*$I$8*'Traffic Data'!AO20*annualizationFactor</f>
        <v>1.5368767338825814E-3</v>
      </c>
      <c r="N106" s="777">
        <f>$F$21*$I$8*'Traffic Data'!AP20*annualizationFactor</f>
        <v>1.6073789305948922E-3</v>
      </c>
      <c r="O106" s="777">
        <f>$F$21*$I$8*'Traffic Data'!AQ20*annualizationFactor</f>
        <v>1.6778218319357045E-3</v>
      </c>
      <c r="P106" s="777">
        <f>$F$21*$I$8*'Traffic Data'!AR20*annualizationFactor</f>
        <v>1.7483833240195144E-3</v>
      </c>
      <c r="Q106" s="777">
        <f>$F$21*$I$8*'Traffic Data'!AS20*annualizationFactor</f>
        <v>1.7872217923513593E-3</v>
      </c>
      <c r="R106" s="777">
        <f>$F$21*$I$8*'Traffic Data'!AT20*annualizationFactor</f>
        <v>1.8261195560547033E-3</v>
      </c>
      <c r="S106" s="777">
        <f>$F$21*$I$8*'Traffic Data'!AU20*annualizationFactor</f>
        <v>1.8649580243865482E-3</v>
      </c>
      <c r="T106" s="777">
        <f>$F$21*$I$8*'Traffic Data'!AV20*annualizationFactor</f>
        <v>1.9038557880898925E-3</v>
      </c>
      <c r="U106" s="777">
        <f>$F$21*$I$8*'Traffic Data'!AW20*annualizationFactor</f>
        <v>1.9426942564217374E-3</v>
      </c>
      <c r="V106" s="777">
        <f>$F$21*$I$8*'Traffic Data'!AX20*annualizationFactor</f>
        <v>1.9753660061176863E-3</v>
      </c>
      <c r="W106" s="777">
        <f>$F$21*$I$8*'Traffic Data'!AY20*annualizationFactor</f>
        <v>2.0035906029512102E-3</v>
      </c>
      <c r="X106" s="777">
        <f>$F$21*$I$8*'Traffic Data'!AZ20*annualizationFactor</f>
        <v>2.0318744951562332E-3</v>
      </c>
      <c r="Y106" s="777">
        <f>$F$21*$I$8*'Traffic Data'!BA20*annualizationFactor</f>
        <v>2.0601583873612567E-3</v>
      </c>
      <c r="Z106" s="777">
        <f>$F$21*$I$8*'Traffic Data'!BB20*annualizationFactor</f>
        <v>2.0884422795662792E-3</v>
      </c>
      <c r="AA106" s="777">
        <f>$F$21*$I$8*'Traffic Data'!BC20*annualizationFactor</f>
        <v>2.1167261717713022E-3</v>
      </c>
      <c r="AB106" s="777">
        <f>$F$21*$I$8*'Traffic Data'!BD20*annualizationFactor</f>
        <v>2.1450100639763253E-3</v>
      </c>
      <c r="AC106" s="777">
        <f>$F$21*$I$8*'Traffic Data'!BE20*annualizationFactor</f>
        <v>2.1732939561813483E-3</v>
      </c>
      <c r="AD106" s="777">
        <f>$F$21*$I$8*'Traffic Data'!BF20*annualizationFactor</f>
        <v>2.2015778483863713E-3</v>
      </c>
      <c r="AE106" s="777">
        <f>$F$21*$I$8*'Traffic Data'!BG20*annualizationFactor</f>
        <v>2.2298617405913943E-3</v>
      </c>
      <c r="AF106" s="777">
        <f>$F$21*$I$8*'Traffic Data'!BH20*annualizationFactor</f>
        <v>2.2581456327964173E-3</v>
      </c>
      <c r="AG106" s="777">
        <f>$F$21*$I$8*'Traffic Data'!BI20*annualizationFactor</f>
        <v>2.2863702296299416E-3</v>
      </c>
      <c r="AH106" s="778">
        <f>$F$21*$I$8*'Traffic Data'!BJ20*annualizationFactor</f>
        <v>2.3146541218349642E-3</v>
      </c>
      <c r="AI106" s="40"/>
      <c r="AJ106" s="40"/>
      <c r="AK106" s="40"/>
      <c r="AL106" s="40"/>
      <c r="AM106" s="40"/>
    </row>
    <row r="107" spans="2:39" ht="21.95" customHeight="1" x14ac:dyDescent="0.2">
      <c r="B107" s="1346"/>
      <c r="C107" s="116" t="s">
        <v>341</v>
      </c>
      <c r="D107" s="116" t="s">
        <v>344</v>
      </c>
      <c r="E107" s="116" t="s">
        <v>19</v>
      </c>
      <c r="F107" s="116" t="s">
        <v>438</v>
      </c>
      <c r="G107" s="970"/>
      <c r="H107" s="970"/>
      <c r="I107" s="777">
        <f>$F$21*$I$8*'Traffic Data'!AK21*annualizationFactor</f>
        <v>1.4468070645756001E-3</v>
      </c>
      <c r="J107" s="777">
        <f>$F$21*$I$8*'Traffic Data'!AL21*annualizationFactor</f>
        <v>1.4781916485917786E-3</v>
      </c>
      <c r="K107" s="777">
        <f>$F$21*$I$8*'Traffic Data'!AM21*annualizationFactor</f>
        <v>1.549530366160468E-3</v>
      </c>
      <c r="L107" s="777">
        <f>$F$21*$I$8*'Traffic Data'!AN21*annualizationFactor</f>
        <v>1.6277692404986714E-3</v>
      </c>
      <c r="M107" s="777">
        <f>$F$21*$I$8*'Traffic Data'!AO21*annualizationFactor</f>
        <v>1.7060637612624353E-3</v>
      </c>
      <c r="N107" s="777">
        <f>$F$21*$I$8*'Traffic Data'!AP21*annualizationFactor</f>
        <v>1.7843026356006389E-3</v>
      </c>
      <c r="O107" s="777">
        <f>$F$21*$I$8*'Traffic Data'!AQ21*annualizationFactor</f>
        <v>1.862541509938843E-3</v>
      </c>
      <c r="P107" s="777">
        <f>$F$21*$I$8*'Traffic Data'!AR21*annualizationFactor</f>
        <v>1.9408360307026069E-3</v>
      </c>
      <c r="Q107" s="777">
        <f>$F$21*$I$8*'Traffic Data'!AS21*annualizationFactor</f>
        <v>1.9840176569376326E-3</v>
      </c>
      <c r="R107" s="777">
        <f>$F$21*$I$8*'Traffic Data'!AT21*annualizationFactor</f>
        <v>2.0271436367470977E-3</v>
      </c>
      <c r="S107" s="777">
        <f>$F$21*$I$8*'Traffic Data'!AU21*annualizationFactor</f>
        <v>2.0703252629821231E-3</v>
      </c>
      <c r="T107" s="777">
        <f>$F$21*$I$8*'Traffic Data'!AV21*annualizationFactor</f>
        <v>2.1134512427915882E-3</v>
      </c>
      <c r="U107" s="777">
        <f>$F$21*$I$8*'Traffic Data'!AW21*annualizationFactor</f>
        <v>2.156632869026614E-3</v>
      </c>
      <c r="V107" s="777">
        <f>$F$21*$I$8*'Traffic Data'!AX21*annualizationFactor</f>
        <v>2.1928030456410037E-3</v>
      </c>
      <c r="W107" s="777">
        <f>$F$21*$I$8*'Traffic Data'!AY21*annualizationFactor</f>
        <v>2.2241876296571822E-3</v>
      </c>
      <c r="X107" s="777">
        <f>$F$21*$I$8*'Traffic Data'!AZ21*annualizationFactor</f>
        <v>2.2556278600989214E-3</v>
      </c>
      <c r="Y107" s="777">
        <f>$F$21*$I$8*'Traffic Data'!BA21*annualizationFactor</f>
        <v>2.2870124441150999E-3</v>
      </c>
      <c r="Z107" s="777">
        <f>$F$21*$I$8*'Traffic Data'!BB21*annualizationFactor</f>
        <v>2.3183970281312779E-3</v>
      </c>
      <c r="AA107" s="777">
        <f>$F$21*$I$8*'Traffic Data'!BC21*annualizationFactor</f>
        <v>2.3497816121474564E-3</v>
      </c>
      <c r="AB107" s="777">
        <f>$F$21*$I$8*'Traffic Data'!BD21*annualizationFactor</f>
        <v>2.3811661961636349E-3</v>
      </c>
      <c r="AC107" s="777">
        <f>$F$21*$I$8*'Traffic Data'!BE21*annualizationFactor</f>
        <v>2.4125507801798134E-3</v>
      </c>
      <c r="AD107" s="777">
        <f>$F$21*$I$8*'Traffic Data'!BF21*annualizationFactor</f>
        <v>2.4439353641959915E-3</v>
      </c>
      <c r="AE107" s="777">
        <f>$F$21*$I$8*'Traffic Data'!BG21*annualizationFactor</f>
        <v>2.4753199482121704E-3</v>
      </c>
      <c r="AF107" s="777">
        <f>$F$21*$I$8*'Traffic Data'!BH21*annualizationFactor</f>
        <v>2.5067601786539092E-3</v>
      </c>
      <c r="AG107" s="777">
        <f>$F$21*$I$8*'Traffic Data'!BI21*annualizationFactor</f>
        <v>2.5381447626700877E-3</v>
      </c>
      <c r="AH107" s="778">
        <f>$F$21*$I$8*'Traffic Data'!BJ21*annualizationFactor</f>
        <v>2.5695293466862657E-3</v>
      </c>
      <c r="AI107" s="40"/>
      <c r="AJ107" s="40"/>
      <c r="AK107" s="40"/>
      <c r="AL107" s="40"/>
      <c r="AM107" s="40"/>
    </row>
    <row r="108" spans="2:39" ht="21.95" customHeight="1" x14ac:dyDescent="0.2">
      <c r="B108" s="1346"/>
      <c r="C108" s="116" t="s">
        <v>344</v>
      </c>
      <c r="D108" s="116" t="s">
        <v>345</v>
      </c>
      <c r="E108" s="116" t="s">
        <v>19</v>
      </c>
      <c r="F108" s="116" t="s">
        <v>438</v>
      </c>
      <c r="G108" s="970"/>
      <c r="H108" s="970"/>
      <c r="I108" s="777">
        <f>$F$21*$I$8*'Traffic Data'!AK22*annualizationFactor</f>
        <v>5.9295371499000005E-4</v>
      </c>
      <c r="J108" s="777">
        <f>$F$21*$I$8*'Traffic Data'!AL22*annualizationFactor</f>
        <v>6.0581624942286009E-4</v>
      </c>
      <c r="K108" s="777">
        <f>$F$21*$I$8*'Traffic Data'!AM22*annualizationFactor</f>
        <v>6.3505342875429011E-4</v>
      </c>
      <c r="L108" s="777">
        <f>$F$21*$I$8*'Traffic Data'!AN22*annualizationFactor</f>
        <v>6.6711854118798003E-4</v>
      </c>
      <c r="M108" s="777">
        <f>$F$21*$I$8*'Traffic Data'!AO22*annualizationFactor</f>
        <v>6.9920645953378512E-4</v>
      </c>
      <c r="N108" s="777">
        <f>$F$21*$I$8*'Traffic Data'!AP22*annualizationFactor</f>
        <v>7.3127157196747514E-4</v>
      </c>
      <c r="O108" s="777">
        <f>$F$21*$I$8*'Traffic Data'!AQ22*annualizationFactor</f>
        <v>7.6333668440116507E-4</v>
      </c>
      <c r="P108" s="777">
        <f>$F$21*$I$8*'Traffic Data'!AR22*annualizationFactor</f>
        <v>7.9542460274697004E-4</v>
      </c>
      <c r="Q108" s="777">
        <f>$F$21*$I$8*'Traffic Data'!AS22*annualizationFactor</f>
        <v>8.1312199054821006E-4</v>
      </c>
      <c r="R108" s="777">
        <f>$F$21*$I$8*'Traffic Data'!AT22*annualizationFactor</f>
        <v>8.3079657243733513E-4</v>
      </c>
      <c r="S108" s="777">
        <f>$F$21*$I$8*'Traffic Data'!AU22*annualizationFactor</f>
        <v>8.4849396023857515E-4</v>
      </c>
      <c r="T108" s="777">
        <f>$F$21*$I$8*'Traffic Data'!AV22*annualizationFactor</f>
        <v>8.661685421277E-4</v>
      </c>
      <c r="U108" s="777">
        <f>$F$21*$I$8*'Traffic Data'!AW22*annualizationFactor</f>
        <v>8.8386592992894001E-4</v>
      </c>
      <c r="V108" s="777">
        <f>$F$21*$I$8*'Traffic Data'!AX22*annualizationFactor</f>
        <v>8.9868977280369011E-4</v>
      </c>
      <c r="W108" s="777">
        <f>$F$21*$I$8*'Traffic Data'!AY22*annualizationFactor</f>
        <v>9.1155230723655005E-4</v>
      </c>
      <c r="X108" s="777">
        <f>$F$21*$I$8*'Traffic Data'!AZ22*annualizationFactor</f>
        <v>9.2443764758152504E-4</v>
      </c>
      <c r="Y108" s="777">
        <f>$F$21*$I$8*'Traffic Data'!BA22*annualizationFactor</f>
        <v>9.3730018201438519E-4</v>
      </c>
      <c r="Z108" s="777">
        <f>$F$21*$I$8*'Traffic Data'!BB22*annualizationFactor</f>
        <v>9.5016271644724512E-4</v>
      </c>
      <c r="AA108" s="777">
        <f>$F$21*$I$8*'Traffic Data'!BC22*annualizationFactor</f>
        <v>9.6302525088010505E-4</v>
      </c>
      <c r="AB108" s="777">
        <f>$F$21*$I$8*'Traffic Data'!BD22*annualizationFactor</f>
        <v>9.758877853129652E-4</v>
      </c>
      <c r="AC108" s="777">
        <f>$F$21*$I$8*'Traffic Data'!BE22*annualizationFactor</f>
        <v>9.8875031974582513E-4</v>
      </c>
      <c r="AD108" s="777">
        <f>$F$21*$I$8*'Traffic Data'!BF22*annualizationFactor</f>
        <v>1.0016128541786853E-3</v>
      </c>
      <c r="AE108" s="777">
        <f>$F$21*$I$8*'Traffic Data'!BG22*annualizationFactor</f>
        <v>1.0144753886115452E-3</v>
      </c>
      <c r="AF108" s="777">
        <f>$F$21*$I$8*'Traffic Data'!BH22*annualizationFactor</f>
        <v>1.0273607289565201E-3</v>
      </c>
      <c r="AG108" s="777">
        <f>$F$21*$I$8*'Traffic Data'!BI22*annualizationFactor</f>
        <v>1.04022326338938E-3</v>
      </c>
      <c r="AH108" s="778">
        <f>$F$21*$I$8*'Traffic Data'!BJ22*annualizationFactor</f>
        <v>1.0530857978222402E-3</v>
      </c>
      <c r="AI108" s="40"/>
      <c r="AJ108" s="40"/>
      <c r="AK108" s="40"/>
      <c r="AL108" s="40"/>
      <c r="AM108" s="40"/>
    </row>
    <row r="109" spans="2:39" ht="21.95" customHeight="1" x14ac:dyDescent="0.2">
      <c r="B109" s="1346"/>
      <c r="C109" s="116" t="s">
        <v>345</v>
      </c>
      <c r="D109" s="116" t="s">
        <v>323</v>
      </c>
      <c r="E109" s="116" t="s">
        <v>19</v>
      </c>
      <c r="F109" s="116" t="s">
        <v>438</v>
      </c>
      <c r="G109" s="970"/>
      <c r="H109" s="970"/>
      <c r="I109" s="777">
        <f>$F$21*$I$8*'Traffic Data'!AK23*annualizationFactor</f>
        <v>7.1519340392640013E-3</v>
      </c>
      <c r="J109" s="777">
        <f>$F$21*$I$8*'Traffic Data'!AL23*annualizationFactor</f>
        <v>7.3071054652944605E-3</v>
      </c>
      <c r="K109" s="777">
        <f>$F$21*$I$8*'Traffic Data'!AM23*annualizationFactor</f>
        <v>7.6596958134301759E-3</v>
      </c>
      <c r="L109" s="777">
        <f>$F$21*$I$8*'Traffic Data'!AN23*annualizationFactor</f>
        <v>8.0465005031573004E-3</v>
      </c>
      <c r="M109" s="777">
        <f>$F$21*$I$8*'Traffic Data'!AO23*annualizationFactor</f>
        <v>8.4334839912354031E-3</v>
      </c>
      <c r="N109" s="777">
        <f>$F$21*$I$8*'Traffic Data'!AP23*annualizationFactor</f>
        <v>8.8203397662056648E-3</v>
      </c>
      <c r="O109" s="777">
        <f>$F$21*$I$8*'Traffic Data'!AQ23*annualizationFactor</f>
        <v>9.207144455932785E-3</v>
      </c>
      <c r="P109" s="777">
        <f>$F$21*$I$8*'Traffic Data'!AR23*annualizationFactor</f>
        <v>9.5941662579432443E-3</v>
      </c>
      <c r="Q109" s="777">
        <f>$F$21*$I$8*'Traffic Data'!AS23*annualizationFactor</f>
        <v>9.8074471480427208E-3</v>
      </c>
      <c r="R109" s="777">
        <f>$F$21*$I$8*'Traffic Data'!AT23*annualizationFactor</f>
        <v>1.0020728038142203E-2</v>
      </c>
      <c r="S109" s="777">
        <f>$F$21*$I$8*'Traffic Data'!AU23*annualizationFactor</f>
        <v>1.0234008928241684E-2</v>
      </c>
      <c r="T109" s="777">
        <f>$F$21*$I$8*'Traffic Data'!AV23*annualizationFactor</f>
        <v>1.0447289818341166E-2</v>
      </c>
      <c r="U109" s="777">
        <f>$F$21*$I$8*'Traffic Data'!AW23*annualizationFactor</f>
        <v>1.066064733630535E-2</v>
      </c>
      <c r="V109" s="777">
        <f>$F$21*$I$8*'Traffic Data'!AX23*annualizationFactor</f>
        <v>1.0839675570881068E-2</v>
      </c>
      <c r="W109" s="777">
        <f>$F$21*$I$8*'Traffic Data'!AY23*annualizationFactor</f>
        <v>1.0994846996911528E-2</v>
      </c>
      <c r="X109" s="777">
        <f>$F$21*$I$8*'Traffic Data'!AZ23*annualizationFactor</f>
        <v>1.115001842294199E-2</v>
      </c>
      <c r="Y109" s="777">
        <f>$F$21*$I$8*'Traffic Data'!BA23*annualizationFactor</f>
        <v>1.1305189848972452E-2</v>
      </c>
      <c r="Z109" s="777">
        <f>$F$21*$I$8*'Traffic Data'!BB23*annualizationFactor</f>
        <v>1.1460374046313695E-2</v>
      </c>
      <c r="AA109" s="777">
        <f>$F$21*$I$8*'Traffic Data'!BC23*annualizationFactor</f>
        <v>1.1615545472344153E-2</v>
      </c>
      <c r="AB109" s="777">
        <f>$F$21*$I$8*'Traffic Data'!BD23*annualizationFactor</f>
        <v>1.1770729669685398E-2</v>
      </c>
      <c r="AC109" s="777">
        <f>$F$21*$I$8*'Traffic Data'!BE23*annualizationFactor</f>
        <v>1.1925901095715861E-2</v>
      </c>
      <c r="AD109" s="777">
        <f>$F$21*$I$8*'Traffic Data'!BF23*annualizationFactor</f>
        <v>1.208107252174632E-2</v>
      </c>
      <c r="AE109" s="777">
        <f>$F$21*$I$8*'Traffic Data'!BG23*annualizationFactor</f>
        <v>1.2236256719087563E-2</v>
      </c>
      <c r="AF109" s="777">
        <f>$F$21*$I$8*'Traffic Data'!BH23*annualizationFactor</f>
        <v>1.2391428145118025E-2</v>
      </c>
      <c r="AG109" s="777">
        <f>$F$21*$I$8*'Traffic Data'!BI23*annualizationFactor</f>
        <v>1.2546599571148485E-2</v>
      </c>
      <c r="AH109" s="778">
        <f>$F$21*$I$8*'Traffic Data'!BJ23*annualizationFactor</f>
        <v>1.2701783768489728E-2</v>
      </c>
      <c r="AI109" s="40"/>
      <c r="AJ109" s="40"/>
      <c r="AK109" s="40"/>
      <c r="AL109" s="40"/>
      <c r="AM109" s="40"/>
    </row>
    <row r="110" spans="2:39" ht="21.95" customHeight="1" x14ac:dyDescent="0.2">
      <c r="B110" s="1346"/>
      <c r="C110" s="116" t="s">
        <v>323</v>
      </c>
      <c r="D110" s="116" t="s">
        <v>347</v>
      </c>
      <c r="E110" s="116" t="s">
        <v>19</v>
      </c>
      <c r="F110" s="116" t="s">
        <v>438</v>
      </c>
      <c r="G110" s="970"/>
      <c r="H110" s="970"/>
      <c r="I110" s="777">
        <f>$F$21*$I$8*'Traffic Data'!AK24*annualizationFactor</f>
        <v>1.2771310784400001E-3</v>
      </c>
      <c r="J110" s="777">
        <f>$F$21*$I$8*'Traffic Data'!AL24*annualizationFactor</f>
        <v>1.3048402616597252E-3</v>
      </c>
      <c r="K110" s="777">
        <f>$F$21*$I$8*'Traffic Data'!AM24*annualizationFactor</f>
        <v>1.3461098402230292E-3</v>
      </c>
      <c r="L110" s="777">
        <f>$F$21*$I$8*'Traffic Data'!AN24*annualizationFactor</f>
        <v>1.3934891226419417E-3</v>
      </c>
      <c r="M110" s="777">
        <f>$F$21*$I$8*'Traffic Data'!AO24*annualizationFactor</f>
        <v>1.4408820886081231E-3</v>
      </c>
      <c r="N110" s="777">
        <f>$F$21*$I$8*'Traffic Data'!AP24*annualizationFactor</f>
        <v>1.4882704933918817E-3</v>
      </c>
      <c r="O110" s="777">
        <f>$F$21*$I$8*'Traffic Data'!AQ24*annualizationFactor</f>
        <v>1.5356497758107939E-3</v>
      </c>
      <c r="P110" s="777">
        <f>$F$21*$I$8*'Traffic Data'!AR24*annualizationFactor</f>
        <v>1.58304958355061E-3</v>
      </c>
      <c r="Q110" s="777">
        <f>$F$21*$I$8*'Traffic Data'!AS24*annualizationFactor</f>
        <v>1.62113545678266E-3</v>
      </c>
      <c r="R110" s="777">
        <f>$F$21*$I$8*'Traffic Data'!AT24*annualizationFactor</f>
        <v>1.6592213300147098E-3</v>
      </c>
      <c r="S110" s="777">
        <f>$F$21*$I$8*'Traffic Data'!AU24*annualizationFactor</f>
        <v>1.6973072032467602E-3</v>
      </c>
      <c r="T110" s="777">
        <f>$F$21*$I$8*'Traffic Data'!AV24*annualizationFactor</f>
        <v>1.7353930764788105E-3</v>
      </c>
      <c r="U110" s="777">
        <f>$F$21*$I$8*'Traffic Data'!AW24*annualizationFactor</f>
        <v>1.7734926332581291E-3</v>
      </c>
      <c r="V110" s="777">
        <f>$F$21*$I$8*'Traffic Data'!AX24*annualizationFactor</f>
        <v>1.8054619608609363E-3</v>
      </c>
      <c r="W110" s="777">
        <f>$F$21*$I$8*'Traffic Data'!AY24*annualizationFactor</f>
        <v>1.8331711440806612E-3</v>
      </c>
      <c r="X110" s="777">
        <f>$F$21*$I$8*'Traffic Data'!AZ24*annualizationFactor</f>
        <v>1.8608803273003861E-3</v>
      </c>
      <c r="Y110" s="777">
        <f>$F$21*$I$8*'Traffic Data'!BA24*annualizationFactor</f>
        <v>1.8885895105201114E-3</v>
      </c>
      <c r="Z110" s="777">
        <f>$F$21*$I$8*'Traffic Data'!BB24*annualizationFactor</f>
        <v>1.9163009743310478E-3</v>
      </c>
      <c r="AA110" s="777">
        <f>$F$21*$I$8*'Traffic Data'!BC24*annualizationFactor</f>
        <v>1.9440101575507725E-3</v>
      </c>
      <c r="AB110" s="777">
        <f>$F$21*$I$8*'Traffic Data'!BD24*annualizationFactor</f>
        <v>1.9717216213617095E-3</v>
      </c>
      <c r="AC110" s="777">
        <f>$F$21*$I$8*'Traffic Data'!BE24*annualizationFactor</f>
        <v>1.9994308045814349E-3</v>
      </c>
      <c r="AD110" s="777">
        <f>$F$21*$I$8*'Traffic Data'!BF24*annualizationFactor</f>
        <v>2.0271399878011593E-3</v>
      </c>
      <c r="AE110" s="777">
        <f>$F$21*$I$8*'Traffic Data'!BG24*annualizationFactor</f>
        <v>2.0548514516120957E-3</v>
      </c>
      <c r="AF110" s="777">
        <f>$F$21*$I$8*'Traffic Data'!BH24*annualizationFactor</f>
        <v>2.082560634831821E-3</v>
      </c>
      <c r="AG110" s="777">
        <f>$F$21*$I$8*'Traffic Data'!BI24*annualizationFactor</f>
        <v>2.1102698180515459E-3</v>
      </c>
      <c r="AH110" s="778">
        <f>$F$21*$I$8*'Traffic Data'!BJ24*annualizationFactor</f>
        <v>2.1379812818624823E-3</v>
      </c>
      <c r="AI110" s="40"/>
      <c r="AJ110" s="40"/>
      <c r="AK110" s="40"/>
      <c r="AL110" s="40"/>
      <c r="AM110" s="40"/>
    </row>
    <row r="111" spans="2:39" ht="21.95" customHeight="1" x14ac:dyDescent="0.2">
      <c r="B111" s="1346"/>
      <c r="C111" s="116" t="s">
        <v>347</v>
      </c>
      <c r="D111" s="116" t="s">
        <v>348</v>
      </c>
      <c r="E111" s="116" t="s">
        <v>19</v>
      </c>
      <c r="F111" s="116" t="s">
        <v>438</v>
      </c>
      <c r="G111" s="970"/>
      <c r="H111" s="970"/>
      <c r="I111" s="777">
        <f>$F$21*$I$8*'Traffic Data'!AK25*annualizationFactor</f>
        <v>8.9399175490800017E-4</v>
      </c>
      <c r="J111" s="777">
        <f>$F$21*$I$8*'Traffic Data'!AL25*annualizationFactor</f>
        <v>9.1338818316180756E-4</v>
      </c>
      <c r="K111" s="777">
        <f>$F$21*$I$8*'Traffic Data'!AM25*annualizationFactor</f>
        <v>9.4227688815612029E-4</v>
      </c>
      <c r="L111" s="777">
        <f>$F$21*$I$8*'Traffic Data'!AN25*annualizationFactor</f>
        <v>9.7544238584935928E-4</v>
      </c>
      <c r="M111" s="777">
        <f>$F$21*$I$8*'Traffic Data'!AO25*annualizationFactor</f>
        <v>1.0086174620256862E-3</v>
      </c>
      <c r="N111" s="777">
        <f>$F$21*$I$8*'Traffic Data'!AP25*annualizationFactor</f>
        <v>1.041789345374317E-3</v>
      </c>
      <c r="O111" s="777">
        <f>$F$21*$I$8*'Traffic Data'!AQ25*annualizationFactor</f>
        <v>1.0749548430675558E-3</v>
      </c>
      <c r="P111" s="777">
        <f>$F$21*$I$8*'Traffic Data'!AR25*annualizationFactor</f>
        <v>1.1081347084854268E-3</v>
      </c>
      <c r="Q111" s="777">
        <f>$F$21*$I$8*'Traffic Data'!AS25*annualizationFactor</f>
        <v>1.134794819747862E-3</v>
      </c>
      <c r="R111" s="777">
        <f>$F$21*$I$8*'Traffic Data'!AT25*annualizationFactor</f>
        <v>1.161454931010297E-3</v>
      </c>
      <c r="S111" s="777">
        <f>$F$21*$I$8*'Traffic Data'!AU25*annualizationFactor</f>
        <v>1.188115042272732E-3</v>
      </c>
      <c r="T111" s="777">
        <f>$F$21*$I$8*'Traffic Data'!AV25*annualizationFactor</f>
        <v>1.2147751535351674E-3</v>
      </c>
      <c r="U111" s="777">
        <f>$F$21*$I$8*'Traffic Data'!AW25*annualizationFactor</f>
        <v>1.2414448432806905E-3</v>
      </c>
      <c r="V111" s="777">
        <f>$F$21*$I$8*'Traffic Data'!AX25*annualizationFactor</f>
        <v>1.2638233726026552E-3</v>
      </c>
      <c r="W111" s="777">
        <f>$F$21*$I$8*'Traffic Data'!AY25*annualizationFactor</f>
        <v>1.2832198008564629E-3</v>
      </c>
      <c r="X111" s="777">
        <f>$F$21*$I$8*'Traffic Data'!AZ25*annualizationFactor</f>
        <v>1.3026162291102704E-3</v>
      </c>
      <c r="Y111" s="777">
        <f>$F$21*$I$8*'Traffic Data'!BA25*annualizationFactor</f>
        <v>1.3220126573640779E-3</v>
      </c>
      <c r="Z111" s="777">
        <f>$F$21*$I$8*'Traffic Data'!BB25*annualizationFactor</f>
        <v>1.3414106820317333E-3</v>
      </c>
      <c r="AA111" s="777">
        <f>$F$21*$I$8*'Traffic Data'!BC25*annualizationFactor</f>
        <v>1.3608071102855406E-3</v>
      </c>
      <c r="AB111" s="777">
        <f>$F$21*$I$8*'Traffic Data'!BD25*annualizationFactor</f>
        <v>1.3802051349531964E-3</v>
      </c>
      <c r="AC111" s="777">
        <f>$F$21*$I$8*'Traffic Data'!BE25*annualizationFactor</f>
        <v>1.3996015632070044E-3</v>
      </c>
      <c r="AD111" s="777">
        <f>$F$21*$I$8*'Traffic Data'!BF25*annualizationFactor</f>
        <v>1.4189979914608116E-3</v>
      </c>
      <c r="AE111" s="777">
        <f>$F$21*$I$8*'Traffic Data'!BG25*annualizationFactor</f>
        <v>1.438396016128467E-3</v>
      </c>
      <c r="AF111" s="777">
        <f>$F$21*$I$8*'Traffic Data'!BH25*annualizationFactor</f>
        <v>1.4577924443822745E-3</v>
      </c>
      <c r="AG111" s="777">
        <f>$F$21*$I$8*'Traffic Data'!BI25*annualizationFactor</f>
        <v>1.477188872636082E-3</v>
      </c>
      <c r="AH111" s="778">
        <f>$F$21*$I$8*'Traffic Data'!BJ25*annualizationFactor</f>
        <v>1.4965868973037374E-3</v>
      </c>
      <c r="AI111" s="40"/>
      <c r="AJ111" s="40"/>
      <c r="AK111" s="40"/>
      <c r="AL111" s="40"/>
      <c r="AM111" s="40"/>
    </row>
    <row r="112" spans="2:39" ht="21.95" customHeight="1" x14ac:dyDescent="0.2">
      <c r="B112" s="1346"/>
      <c r="C112" s="254" t="s">
        <v>348</v>
      </c>
      <c r="D112" s="254" t="s">
        <v>349</v>
      </c>
      <c r="E112" s="254" t="s">
        <v>19</v>
      </c>
      <c r="F112" s="254" t="s">
        <v>438</v>
      </c>
      <c r="G112" s="779"/>
      <c r="H112" s="779"/>
      <c r="I112" s="777">
        <f>$F$21*$I$8*'Traffic Data'!AK26*annualizationFactor</f>
        <v>1.4595783753600002E-3</v>
      </c>
      <c r="J112" s="777">
        <f>$F$21*$I$8*'Traffic Data'!AL26*annualizationFactor</f>
        <v>1.4944417732102007E-3</v>
      </c>
      <c r="K112" s="777">
        <f>$F$21*$I$8*'Traffic Data'!AM26*annualizationFactor</f>
        <v>1.542870127586403E-3</v>
      </c>
      <c r="L112" s="777">
        <f>$F$21*$I$8*'Traffic Data'!AN26*annualizationFactor</f>
        <v>1.607187360933126E-3</v>
      </c>
      <c r="M112" s="777">
        <f>$F$21*$I$8*'Traffic Data'!AO26*annualizationFactor</f>
        <v>1.6715228390095415E-3</v>
      </c>
      <c r="N112" s="777">
        <f>$F$21*$I$8*'Traffic Data'!AP26*annualizationFactor</f>
        <v>1.7358628782683794E-3</v>
      </c>
      <c r="O112" s="777">
        <f>$F$21*$I$8*'Traffic Data'!AQ26*annualizationFactor</f>
        <v>1.8001801116151023E-3</v>
      </c>
      <c r="P112" s="777">
        <f>$F$21*$I$8*'Traffic Data'!AR26*annualizationFactor</f>
        <v>1.8645338344212097E-3</v>
      </c>
      <c r="Q112" s="777">
        <f>$F$21*$I$8*'Traffic Data'!AS26*annualizationFactor</f>
        <v>1.9259547169293274E-3</v>
      </c>
      <c r="R112" s="777">
        <f>$F$21*$I$8*'Traffic Data'!AT26*annualizationFactor</f>
        <v>1.9873778800286565E-3</v>
      </c>
      <c r="S112" s="777">
        <f>$F$21*$I$8*'Traffic Data'!AU26*annualizationFactor</f>
        <v>2.0487987625367743E-3</v>
      </c>
      <c r="T112" s="777">
        <f>$F$21*$I$8*'Traffic Data'!AV26*annualizationFactor</f>
        <v>2.1102196450448929E-3</v>
      </c>
      <c r="U112" s="777">
        <f>$F$21*$I$8*'Traffic Data'!AW26*annualizationFactor</f>
        <v>2.1716770170123949E-3</v>
      </c>
      <c r="V112" s="777">
        <f>$F$21*$I$8*'Traffic Data'!AX26*annualizationFactor</f>
        <v>2.2171907758203003E-3</v>
      </c>
      <c r="W112" s="777">
        <f>$F$21*$I$8*'Traffic Data'!AY26*annualizationFactor</f>
        <v>2.2520541736705006E-3</v>
      </c>
      <c r="X112" s="777">
        <f>$F$21*$I$8*'Traffic Data'!AZ26*annualizationFactor</f>
        <v>2.2869175715207013E-3</v>
      </c>
      <c r="Y112" s="777">
        <f>$F$21*$I$8*'Traffic Data'!BA26*annualizationFactor</f>
        <v>2.3217809693709015E-3</v>
      </c>
      <c r="Z112" s="777">
        <f>$F$21*$I$8*'Traffic Data'!BB26*annualizationFactor</f>
        <v>2.3566512089947369E-3</v>
      </c>
      <c r="AA112" s="777">
        <f>$F$21*$I$8*'Traffic Data'!BC26*annualizationFactor</f>
        <v>2.3915146068449371E-3</v>
      </c>
      <c r="AB112" s="777">
        <f>$F$21*$I$8*'Traffic Data'!BD26*annualizationFactor</f>
        <v>2.4263848464687724E-3</v>
      </c>
      <c r="AC112" s="777">
        <f>$F$21*$I$8*'Traffic Data'!BE26*annualizationFactor</f>
        <v>2.4612482443189727E-3</v>
      </c>
      <c r="AD112" s="777">
        <f>$F$21*$I$8*'Traffic Data'!BF26*annualizationFactor</f>
        <v>2.4961116421691734E-3</v>
      </c>
      <c r="AE112" s="777">
        <f>$F$21*$I$8*'Traffic Data'!BG26*annualizationFactor</f>
        <v>2.5309818817930083E-3</v>
      </c>
      <c r="AF112" s="777">
        <f>$F$21*$I$8*'Traffic Data'!BH26*annualizationFactor</f>
        <v>2.565845279643209E-3</v>
      </c>
      <c r="AG112" s="777">
        <f>$F$21*$I$8*'Traffic Data'!BI26*annualizationFactor</f>
        <v>2.6007086774934092E-3</v>
      </c>
      <c r="AH112" s="778">
        <f>$F$21*$I$8*'Traffic Data'!BJ26*annualizationFactor</f>
        <v>2.6355789171172441E-3</v>
      </c>
      <c r="AI112" s="40"/>
      <c r="AJ112" s="40"/>
      <c r="AK112" s="40"/>
      <c r="AL112" s="40"/>
      <c r="AM112" s="40"/>
    </row>
    <row r="113" spans="2:39" ht="21.95" customHeight="1" x14ac:dyDescent="0.2">
      <c r="B113" s="492" t="s">
        <v>288</v>
      </c>
      <c r="C113" s="116" t="s">
        <v>323</v>
      </c>
      <c r="D113" s="116" t="s">
        <v>348</v>
      </c>
      <c r="E113" s="116" t="s">
        <v>19</v>
      </c>
      <c r="F113" s="116" t="s">
        <v>438</v>
      </c>
      <c r="G113" s="970"/>
      <c r="H113" s="970"/>
      <c r="I113" s="775">
        <f>$F$21*$J$8*'Traffic Data'!AK27*annualizationFactor</f>
        <v>1.1728754802E-4</v>
      </c>
      <c r="J113" s="775">
        <f>$F$21*$J$8*'Traffic Data'!AL27*annualizationFactor</f>
        <v>1.2168452787577202E-4</v>
      </c>
      <c r="K113" s="775">
        <f>$F$21*$J$8*'Traffic Data'!AM27*annualizationFactor</f>
        <v>1.2841031715723E-4</v>
      </c>
      <c r="L113" s="775">
        <f>$F$21*$J$8*'Traffic Data'!AN27*annualizationFactor</f>
        <v>1.4977945680898507E-4</v>
      </c>
      <c r="M113" s="775">
        <f>$F$21*$J$8*'Traffic Data'!AO27*annualizationFactor</f>
        <v>1.71151854448185E-4</v>
      </c>
      <c r="N113" s="775">
        <f>$F$21*$J$8*'Traffic Data'!AP27*annualizationFactor</f>
        <v>1.9254705799949998E-4</v>
      </c>
      <c r="O113" s="775">
        <f>$F$21*$J$8*'Traffic Data'!AQ27*annualizationFactor</f>
        <v>2.1391619765125501E-4</v>
      </c>
      <c r="P113" s="775">
        <f>$F$21*$J$8*'Traffic Data'!AR27*annualizationFactor</f>
        <v>2.3530618842265802E-4</v>
      </c>
      <c r="Q113" s="775">
        <f>$F$21*$J$8*'Traffic Data'!AS27*annualizationFactor</f>
        <v>2.6348973461437502E-4</v>
      </c>
      <c r="R113" s="775">
        <f>$F$21*$J$8*'Traffic Data'!AT27*annualizationFactor</f>
        <v>2.9166611323371304E-4</v>
      </c>
      <c r="S113" s="775">
        <f>$F$21*$J$8*'Traffic Data'!AU27*annualizationFactor</f>
        <v>3.1985291741287502E-4</v>
      </c>
      <c r="T113" s="775">
        <f>$F$21*$J$8*'Traffic Data'!AV27*annualizationFactor</f>
        <v>3.4803646360459213E-4</v>
      </c>
      <c r="U113" s="775">
        <f>$F$21*$J$8*'Traffic Data'!AW27*annualizationFactor</f>
        <v>3.7625193807327002E-4</v>
      </c>
      <c r="V113" s="775">
        <f>$F$21*$J$8*'Traffic Data'!AX27*annualizationFactor</f>
        <v>3.8977779874993198E-4</v>
      </c>
      <c r="W113" s="775">
        <f>$F$21*$J$8*'Traffic Data'!AY27*annualizationFactor</f>
        <v>3.9417477860570401E-4</v>
      </c>
      <c r="X113" s="775">
        <f>$F$21*$J$8*'Traffic Data'!AZ27*annualizationFactor</f>
        <v>3.9857175846147599E-4</v>
      </c>
      <c r="Y113" s="775">
        <f>$F$21*$J$8*'Traffic Data'!BA27*annualizationFactor</f>
        <v>4.0296873831724802E-4</v>
      </c>
      <c r="Z113" s="775">
        <f>$F$21*$J$8*'Traffic Data'!BB27*annualizationFactor</f>
        <v>4.0737027935544302E-4</v>
      </c>
      <c r="AA113" s="775">
        <f>$F$21*$J$8*'Traffic Data'!BC27*annualizationFactor</f>
        <v>4.1176725921121494E-4</v>
      </c>
      <c r="AB113" s="775">
        <f>$F$21*$J$8*'Traffic Data'!BD27*annualizationFactor</f>
        <v>4.161688002494101E-4</v>
      </c>
      <c r="AC113" s="775">
        <f>$F$21*$J$8*'Traffic Data'!BE27*annualizationFactor</f>
        <v>4.2056578010518214E-4</v>
      </c>
      <c r="AD113" s="775">
        <f>$F$21*$J$8*'Traffic Data'!BF27*annualizationFactor</f>
        <v>4.24962759960954E-4</v>
      </c>
      <c r="AE113" s="775">
        <f>$F$21*$J$8*'Traffic Data'!BG27*annualizationFactor</f>
        <v>4.2936430099914906E-4</v>
      </c>
      <c r="AF113" s="775">
        <f>$F$21*$J$8*'Traffic Data'!BH27*annualizationFactor</f>
        <v>4.3376128085492109E-4</v>
      </c>
      <c r="AG113" s="775">
        <f>$F$21*$J$8*'Traffic Data'!BI27*annualizationFactor</f>
        <v>4.3815826071069307E-4</v>
      </c>
      <c r="AH113" s="776">
        <f>$F$21*$J$8*'Traffic Data'!BJ27*annualizationFactor</f>
        <v>4.4255980174888807E-4</v>
      </c>
      <c r="AI113" s="40"/>
      <c r="AJ113" s="40"/>
      <c r="AK113" s="40"/>
      <c r="AL113" s="40"/>
      <c r="AM113" s="40"/>
    </row>
    <row r="114" spans="2:39" ht="21.95" customHeight="1" x14ac:dyDescent="0.2">
      <c r="B114" s="782" t="s">
        <v>340</v>
      </c>
      <c r="C114" s="277" t="s">
        <v>335</v>
      </c>
      <c r="D114" s="277" t="s">
        <v>323</v>
      </c>
      <c r="E114" s="277" t="s">
        <v>19</v>
      </c>
      <c r="F114" s="220" t="s">
        <v>438</v>
      </c>
      <c r="G114" s="780"/>
      <c r="H114" s="780"/>
      <c r="I114" s="775">
        <f>$F$21*$K$8*'Traffic Data'!AK28*annualizationFactor</f>
        <v>0</v>
      </c>
      <c r="J114" s="775">
        <f>$F$21*$K$8*'Traffic Data'!AL28*annualizationFactor</f>
        <v>0</v>
      </c>
      <c r="K114" s="775">
        <f>$F$21*$K$8*'Traffic Data'!AM28*annualizationFactor</f>
        <v>0</v>
      </c>
      <c r="L114" s="775">
        <f>$F$21*$K$8*'Traffic Data'!AN28*annualizationFactor</f>
        <v>0</v>
      </c>
      <c r="M114" s="775">
        <f>$F$21*$K$8*'Traffic Data'!AO28*annualizationFactor</f>
        <v>0</v>
      </c>
      <c r="N114" s="775">
        <f>$F$21*$K$8*'Traffic Data'!AP28*annualizationFactor</f>
        <v>0</v>
      </c>
      <c r="O114" s="775">
        <f>$F$21*$K$8*'Traffic Data'!AQ28*annualizationFactor</f>
        <v>0</v>
      </c>
      <c r="P114" s="775">
        <f>$F$21*$K$8*'Traffic Data'!AR28*annualizationFactor</f>
        <v>0</v>
      </c>
      <c r="Q114" s="775">
        <f>$F$21*$K$8*'Traffic Data'!AS28*annualizationFactor</f>
        <v>0</v>
      </c>
      <c r="R114" s="775">
        <f>$F$21*$K$8*'Traffic Data'!AT28*annualizationFactor</f>
        <v>0</v>
      </c>
      <c r="S114" s="775">
        <f>$F$21*$K$8*'Traffic Data'!AU28*annualizationFactor</f>
        <v>0</v>
      </c>
      <c r="T114" s="775">
        <f>$F$21*$K$8*'Traffic Data'!AV28*annualizationFactor</f>
        <v>0</v>
      </c>
      <c r="U114" s="775">
        <f>$F$21*$K$8*'Traffic Data'!AW28*annualizationFactor</f>
        <v>0</v>
      </c>
      <c r="V114" s="775">
        <f>$F$21*$K$8*'Traffic Data'!AX28*annualizationFactor</f>
        <v>0</v>
      </c>
      <c r="W114" s="775">
        <f>$F$21*$K$8*'Traffic Data'!AY28*annualizationFactor</f>
        <v>0</v>
      </c>
      <c r="X114" s="775">
        <f>$F$21*$K$8*'Traffic Data'!AZ28*annualizationFactor</f>
        <v>0</v>
      </c>
      <c r="Y114" s="775">
        <f>$F$21*$K$8*'Traffic Data'!BA28*annualizationFactor</f>
        <v>0</v>
      </c>
      <c r="Z114" s="775">
        <f>$F$21*$K$8*'Traffic Data'!BB28*annualizationFactor</f>
        <v>0</v>
      </c>
      <c r="AA114" s="775">
        <f>$F$21*$K$8*'Traffic Data'!BC28*annualizationFactor</f>
        <v>0</v>
      </c>
      <c r="AB114" s="775">
        <f>$F$21*$K$8*'Traffic Data'!BD28*annualizationFactor</f>
        <v>0</v>
      </c>
      <c r="AC114" s="775">
        <f>$F$21*$K$8*'Traffic Data'!BE28*annualizationFactor</f>
        <v>0</v>
      </c>
      <c r="AD114" s="775">
        <f>$F$21*$K$8*'Traffic Data'!BF28*annualizationFactor</f>
        <v>0</v>
      </c>
      <c r="AE114" s="775">
        <f>$F$21*$K$8*'Traffic Data'!BG28*annualizationFactor</f>
        <v>0</v>
      </c>
      <c r="AF114" s="775">
        <f>$F$21*$K$8*'Traffic Data'!BH28*annualizationFactor</f>
        <v>0</v>
      </c>
      <c r="AG114" s="775">
        <f>$F$21*$K$8*'Traffic Data'!BI28*annualizationFactor</f>
        <v>0</v>
      </c>
      <c r="AH114" s="776">
        <f>$F$21*$K$8*'Traffic Data'!BJ28*annualizationFactor</f>
        <v>0</v>
      </c>
      <c r="AI114" s="40"/>
      <c r="AJ114" s="40"/>
      <c r="AK114" s="40"/>
      <c r="AL114" s="40"/>
      <c r="AM114" s="40"/>
    </row>
    <row r="115" spans="2:39" ht="21.95" customHeight="1" x14ac:dyDescent="0.2">
      <c r="B115" s="782" t="s">
        <v>357</v>
      </c>
      <c r="C115" s="277" t="s">
        <v>338</v>
      </c>
      <c r="D115" s="277" t="s">
        <v>323</v>
      </c>
      <c r="E115" s="116" t="s">
        <v>19</v>
      </c>
      <c r="F115" s="277" t="s">
        <v>438</v>
      </c>
      <c r="G115" s="970"/>
      <c r="H115" s="970"/>
      <c r="I115" s="775">
        <f>$F$21*$L$8*'Traffic Data'!AK29*annualizationFactor</f>
        <v>2.1751508905527275E-4</v>
      </c>
      <c r="J115" s="775">
        <f>$F$21*$L$8*'Traffic Data'!AL29*annualizationFactor</f>
        <v>2.2087690559833808E-4</v>
      </c>
      <c r="K115" s="775">
        <f>$F$21*$L$8*'Traffic Data'!AM29*annualizationFactor</f>
        <v>2.2640058044318064E-4</v>
      </c>
      <c r="L115" s="775">
        <f>$F$21*$L$8*'Traffic Data'!AN29*annualizationFactor</f>
        <v>2.4517394525439283E-4</v>
      </c>
      <c r="M115" s="775">
        <f>$F$21*$L$8*'Traffic Data'!AO29*annualizationFactor</f>
        <v>2.6394972689992781E-4</v>
      </c>
      <c r="N115" s="775">
        <f>$F$21*$L$8*'Traffic Data'!AP29*annualizationFactor</f>
        <v>2.8274726005436825E-4</v>
      </c>
      <c r="O115" s="775">
        <f>$F$21*$L$8*'Traffic Data'!AQ29*annualizationFactor</f>
        <v>3.0152062486558039E-4</v>
      </c>
      <c r="P115" s="775">
        <f>$F$21*$L$8*'Traffic Data'!AR29*annualizationFactor</f>
        <v>3.2031513697711742E-4</v>
      </c>
      <c r="Q115" s="775">
        <f>$F$21*$L$8*'Traffic Data'!AS29*annualizationFactor</f>
        <v>3.4258264001057022E-4</v>
      </c>
      <c r="R115" s="775">
        <f>$F$21*$L$8*'Traffic Data'!AT29*annualizationFactor</f>
        <v>3.648453093753774E-4</v>
      </c>
      <c r="S115" s="775">
        <f>$F$21*$L$8*'Traffic Data'!AU29*annualizationFactor</f>
        <v>3.8711885449463736E-4</v>
      </c>
      <c r="T115" s="775">
        <f>$F$21*$L$8*'Traffic Data'!AV29*annualizationFactor</f>
        <v>4.0938635752809022E-4</v>
      </c>
      <c r="U115" s="775">
        <f>$F$21*$L$8*'Traffic Data'!AW29*annualizationFactor</f>
        <v>4.316852794077399E-4</v>
      </c>
      <c r="V115" s="775">
        <f>$F$21*$L$8*'Traffic Data'!AX29*annualizationFactor</f>
        <v>4.4069040409462819E-4</v>
      </c>
      <c r="W115" s="775">
        <f>$F$21*$L$8*'Traffic Data'!AY29*annualizationFactor</f>
        <v>4.4405222063769351E-4</v>
      </c>
      <c r="X115" s="775">
        <f>$F$21*$L$8*'Traffic Data'!AZ29*annualizationFactor</f>
        <v>4.474140371807591E-4</v>
      </c>
      <c r="Y115" s="775">
        <f>$F$21*$L$8*'Traffic Data'!BA29*annualizationFactor</f>
        <v>4.5077585372382443E-4</v>
      </c>
      <c r="Z115" s="775">
        <f>$F$21*$L$8*'Traffic Data'!BB29*annualizationFactor</f>
        <v>4.5414431656127754E-4</v>
      </c>
      <c r="AA115" s="775">
        <f>$F$21*$L$8*'Traffic Data'!BC29*annualizationFactor</f>
        <v>4.5750613310434292E-4</v>
      </c>
      <c r="AB115" s="775">
        <f>$F$21*$L$8*'Traffic Data'!BD29*annualizationFactor</f>
        <v>4.6087459594179619E-4</v>
      </c>
      <c r="AC115" s="775">
        <f>$F$21*$L$8*'Traffic Data'!BE29*annualizationFactor</f>
        <v>4.6423641248486151E-4</v>
      </c>
      <c r="AD115" s="775">
        <f>$F$21*$L$8*'Traffic Data'!BF29*annualizationFactor</f>
        <v>4.6759822902792694E-4</v>
      </c>
      <c r="AE115" s="775">
        <f>$F$21*$L$8*'Traffic Data'!BG29*annualizationFactor</f>
        <v>4.7096669186538005E-4</v>
      </c>
      <c r="AF115" s="775">
        <f>$F$21*$L$8*'Traffic Data'!BH29*annualizationFactor</f>
        <v>4.7432850840844559E-4</v>
      </c>
      <c r="AG115" s="775">
        <f>$F$21*$L$8*'Traffic Data'!BI29*annualizationFactor</f>
        <v>4.7769032495151092E-4</v>
      </c>
      <c r="AH115" s="776">
        <f>$F$21*$L$8*'Traffic Data'!BJ29*annualizationFactor</f>
        <v>4.8105878778896408E-4</v>
      </c>
      <c r="AI115" s="40"/>
      <c r="AJ115" s="40"/>
      <c r="AK115" s="40"/>
      <c r="AL115" s="40"/>
      <c r="AM115" s="40"/>
    </row>
    <row r="116" spans="2:39" ht="21.95" customHeight="1" x14ac:dyDescent="0.2">
      <c r="B116" s="492" t="s">
        <v>338</v>
      </c>
      <c r="C116" s="116" t="s">
        <v>282</v>
      </c>
      <c r="D116" s="116" t="s">
        <v>357</v>
      </c>
      <c r="E116" s="220" t="s">
        <v>19</v>
      </c>
      <c r="F116" s="116" t="s">
        <v>438</v>
      </c>
      <c r="G116" s="775"/>
      <c r="H116" s="775"/>
      <c r="I116" s="775">
        <f>$F$21*$M$8*'Traffic Data'!AK30*annualizationFactor</f>
        <v>7.8117653510795465E-4</v>
      </c>
      <c r="J116" s="775">
        <f>$F$21*$M$8*'Traffic Data'!AL30*annualizationFactor</f>
        <v>8.1022458456594406E-4</v>
      </c>
      <c r="K116" s="775">
        <f>$F$21*$M$8*'Traffic Data'!AM30*annualizationFactor</f>
        <v>8.4114589535512203E-4</v>
      </c>
      <c r="L116" s="775">
        <f>$F$21*$M$8*'Traffic Data'!AN30*annualizationFactor</f>
        <v>9.0974335043255685E-4</v>
      </c>
      <c r="M116" s="775">
        <f>$F$21*$M$8*'Traffic Data'!AO30*annualizationFactor</f>
        <v>9.783579913937644E-4</v>
      </c>
      <c r="N116" s="775">
        <f>$F$21*$M$8*'Traffic Data'!AP30*annualizationFactor</f>
        <v>1.0470101288286566E-3</v>
      </c>
      <c r="O116" s="775">
        <f>$F$21*$M$8*'Traffic Data'!AQ30*annualizationFactor</f>
        <v>1.1156075839060919E-3</v>
      </c>
      <c r="P116" s="775">
        <f>$F$21*$M$8*'Traffic Data'!AR30*annualizationFactor</f>
        <v>1.1842651895767296E-3</v>
      </c>
      <c r="Q116" s="775">
        <f>$F$21*$M$8*'Traffic Data'!AS30*annualizationFactor</f>
        <v>1.2765690089650852E-3</v>
      </c>
      <c r="R116" s="775">
        <f>$F$21*$M$8*'Traffic Data'!AT30*annualizationFactor</f>
        <v>1.3688767342361168E-3</v>
      </c>
      <c r="S116" s="775">
        <f>$F$21*$M$8*'Traffic Data'!AU30*annualizationFactor</f>
        <v>1.4611805536244725E-3</v>
      </c>
      <c r="T116" s="775">
        <f>$F$21*$M$8*'Traffic Data'!AV30*annualizationFactor</f>
        <v>1.5534843730128285E-3</v>
      </c>
      <c r="U116" s="775">
        <f>$F$21*$M$8*'Traffic Data'!AW30*annualizationFactor</f>
        <v>1.6458741218200467E-3</v>
      </c>
      <c r="V116" s="775">
        <f>$F$21*$M$8*'Traffic Data'!AX30*annualizationFactor</f>
        <v>1.7004588322107148E-3</v>
      </c>
      <c r="W116" s="775">
        <f>$F$21*$M$8*'Traffic Data'!AY30*annualizationFactor</f>
        <v>1.7295068816687044E-3</v>
      </c>
      <c r="X116" s="775">
        <f>$F$21*$M$8*'Traffic Data'!AZ30*annualizationFactor</f>
        <v>1.758554931126693E-3</v>
      </c>
      <c r="Y116" s="775">
        <f>$F$21*$M$8*'Traffic Data'!BA30*annualizationFactor</f>
        <v>1.7876029805846826E-3</v>
      </c>
      <c r="Z116" s="775">
        <f>$F$21*$M$8*'Traffic Data'!BB30*annualizationFactor</f>
        <v>1.816666653573374E-3</v>
      </c>
      <c r="AA116" s="775">
        <f>$F$21*$M$8*'Traffic Data'!BC30*annualizationFactor</f>
        <v>1.8457147030313632E-3</v>
      </c>
      <c r="AB116" s="775">
        <f>$F$21*$M$8*'Traffic Data'!BD30*annualizationFactor</f>
        <v>1.8747783760200546E-3</v>
      </c>
      <c r="AC116" s="775">
        <f>$F$21*$M$8*'Traffic Data'!BE30*annualizationFactor</f>
        <v>1.903826425478044E-3</v>
      </c>
      <c r="AD116" s="775">
        <f>$F$21*$M$8*'Traffic Data'!BF30*annualizationFactor</f>
        <v>1.9328744749360334E-3</v>
      </c>
      <c r="AE116" s="775">
        <f>$F$21*$M$8*'Traffic Data'!BG30*annualizationFactor</f>
        <v>1.9619381479247249E-3</v>
      </c>
      <c r="AF116" s="775">
        <f>$F$21*$M$8*'Traffic Data'!BH30*annualizationFactor</f>
        <v>1.9909861973827141E-3</v>
      </c>
      <c r="AG116" s="775">
        <f>$F$21*$M$8*'Traffic Data'!BI30*annualizationFactor</f>
        <v>2.0200342468407032E-3</v>
      </c>
      <c r="AH116" s="776">
        <f>$F$21*$M$8*'Traffic Data'!BJ30*annualizationFactor</f>
        <v>2.0490979198293951E-3</v>
      </c>
      <c r="AI116" s="40"/>
      <c r="AJ116" s="40"/>
      <c r="AK116" s="40"/>
      <c r="AL116" s="40"/>
      <c r="AM116" s="40"/>
    </row>
    <row r="117" spans="2:39" ht="21.95" customHeight="1" x14ac:dyDescent="0.2">
      <c r="B117" s="492"/>
      <c r="C117" s="116" t="s">
        <v>357</v>
      </c>
      <c r="D117" s="116" t="s">
        <v>346</v>
      </c>
      <c r="E117" s="116" t="s">
        <v>19</v>
      </c>
      <c r="F117" s="116" t="s">
        <v>438</v>
      </c>
      <c r="G117" s="970"/>
      <c r="H117" s="970"/>
      <c r="I117" s="777">
        <f>$F$21*$M$8*'Traffic Data'!AK31*annualizationFactor</f>
        <v>1.1376793431047729E-4</v>
      </c>
      <c r="J117" s="777">
        <f>$F$21*$M$8*'Traffic Data'!AL31*annualizationFactor</f>
        <v>1.1781642613077579E-4</v>
      </c>
      <c r="K117" s="777">
        <f>$F$21*$M$8*'Traffic Data'!AM31*annualizationFactor</f>
        <v>1.2222238877624984E-4</v>
      </c>
      <c r="L117" s="777">
        <f>$F$21*$M$8*'Traffic Data'!AN31*annualizationFactor</f>
        <v>1.3064615583868866E-4</v>
      </c>
      <c r="M117" s="777">
        <f>$F$21*$M$8*'Traffic Data'!AO31*annualizationFactor</f>
        <v>1.3907321618343644E-4</v>
      </c>
      <c r="N117" s="777">
        <f>$F$21*$M$8*'Traffic Data'!AP31*annualizationFactor</f>
        <v>1.4750147408538748E-4</v>
      </c>
      <c r="O117" s="777">
        <f>$F$21*$M$8*'Traffic Data'!AQ31*annualizationFactor</f>
        <v>1.5592524114782627E-4</v>
      </c>
      <c r="P117" s="777">
        <f>$F$21*$M$8*'Traffic Data'!AR31*annualizationFactor</f>
        <v>1.6435604385883429E-4</v>
      </c>
      <c r="Q117" s="777">
        <f>$F$21*$M$8*'Traffic Data'!AS31*annualizationFactor</f>
        <v>1.7592294949590075E-4</v>
      </c>
      <c r="R117" s="777">
        <f>$F$21*$M$8*'Traffic Data'!AT31*annualizationFactor</f>
        <v>1.8749210055272344E-4</v>
      </c>
      <c r="S117" s="777">
        <f>$F$21*$M$8*'Traffic Data'!AU31*annualizationFactor</f>
        <v>1.9905750924328598E-4</v>
      </c>
      <c r="T117" s="777">
        <f>$F$21*$M$8*'Traffic Data'!AV31*annualizationFactor</f>
        <v>2.1062441488035253E-4</v>
      </c>
      <c r="U117" s="777">
        <f>$F$21*$M$8*'Traffic Data'!AW31*annualizationFactor</f>
        <v>2.2220030219644355E-4</v>
      </c>
      <c r="V117" s="777">
        <f>$F$21*$M$8*'Traffic Data'!AX31*annualizationFactor</f>
        <v>2.2974416410378106E-4</v>
      </c>
      <c r="W117" s="777">
        <f>$F$21*$M$8*'Traffic Data'!AY31*annualizationFactor</f>
        <v>2.3379265592407956E-4</v>
      </c>
      <c r="X117" s="777">
        <f>$F$21*$M$8*'Traffic Data'!AZ31*annualizationFactor</f>
        <v>2.3784114774437804E-4</v>
      </c>
      <c r="Y117" s="777">
        <f>$F$21*$M$8*'Traffic Data'!BA31*annualizationFactor</f>
        <v>2.4188963956467657E-4</v>
      </c>
      <c r="Z117" s="777">
        <f>$F$21*$M$8*'Traffic Data'!BB31*annualizationFactor</f>
        <v>2.4593962833147916E-4</v>
      </c>
      <c r="AA117" s="777">
        <f>$F$21*$M$8*'Traffic Data'!BC31*annualizationFactor</f>
        <v>2.4998812015177756E-4</v>
      </c>
      <c r="AB117" s="777">
        <f>$F$21*$M$8*'Traffic Data'!BD31*annualizationFactor</f>
        <v>2.5403810891858031E-4</v>
      </c>
      <c r="AC117" s="777">
        <f>$F$21*$M$8*'Traffic Data'!BE31*annualizationFactor</f>
        <v>2.5808660073887871E-4</v>
      </c>
      <c r="AD117" s="777">
        <f>$F$21*$M$8*'Traffic Data'!BF31*annualizationFactor</f>
        <v>2.6213509255917727E-4</v>
      </c>
      <c r="AE117" s="777">
        <f>$F$21*$M$8*'Traffic Data'!BG31*annualizationFactor</f>
        <v>2.6618508132597986E-4</v>
      </c>
      <c r="AF117" s="777">
        <f>$F$21*$M$8*'Traffic Data'!BH31*annualizationFactor</f>
        <v>2.7023357314627836E-4</v>
      </c>
      <c r="AG117" s="777">
        <f>$F$21*$M$8*'Traffic Data'!BI31*annualizationFactor</f>
        <v>2.7428206496657681E-4</v>
      </c>
      <c r="AH117" s="778">
        <f>$F$21*$M$8*'Traffic Data'!BJ31*annualizationFactor</f>
        <v>2.7833205373337935E-4</v>
      </c>
      <c r="AI117" s="40"/>
      <c r="AJ117" s="40"/>
      <c r="AK117" s="40"/>
      <c r="AL117" s="40"/>
      <c r="AM117" s="40"/>
    </row>
    <row r="118" spans="2:39" ht="21.95" customHeight="1" x14ac:dyDescent="0.2">
      <c r="B118" s="492"/>
      <c r="C118" s="116" t="s">
        <v>346</v>
      </c>
      <c r="D118" s="116" t="s">
        <v>343</v>
      </c>
      <c r="E118" s="116" t="s">
        <v>19</v>
      </c>
      <c r="F118" s="116" t="s">
        <v>438</v>
      </c>
      <c r="G118" s="970"/>
      <c r="H118" s="970"/>
      <c r="I118" s="777">
        <f>$F$21*$M$8*'Traffic Data'!AK32*annualizationFactor</f>
        <v>2.8137164297727277E-5</v>
      </c>
      <c r="J118" s="777">
        <f>$F$21*$M$8*'Traffic Data'!AL32*annualizationFactor</f>
        <v>2.9138440098295742E-5</v>
      </c>
      <c r="K118" s="777">
        <f>$F$21*$M$8*'Traffic Data'!AM32*annualizationFactor</f>
        <v>3.0228125830894433E-5</v>
      </c>
      <c r="L118" s="777">
        <f>$F$21*$M$8*'Traffic Data'!AN32*annualizationFactor</f>
        <v>3.2311497734218136E-5</v>
      </c>
      <c r="M118" s="777">
        <f>$F$21*$M$8*'Traffic Data'!AO32*annualizationFactor</f>
        <v>3.4395684134403071E-5</v>
      </c>
      <c r="N118" s="777">
        <f>$F$21*$M$8*'Traffic Data'!AP32*annualizationFactor</f>
        <v>3.6480166715264833E-5</v>
      </c>
      <c r="O118" s="777">
        <f>$F$21*$M$8*'Traffic Data'!AQ32*annualizationFactor</f>
        <v>3.8563538618588522E-5</v>
      </c>
      <c r="P118" s="777">
        <f>$F$21*$M$8*'Traffic Data'!AR32*annualizationFactor</f>
        <v>4.0648650583388527E-5</v>
      </c>
      <c r="Q118" s="777">
        <f>$F$21*$M$8*'Traffic Data'!AS32*annualizationFactor</f>
        <v>4.3509385695606129E-5</v>
      </c>
      <c r="R118" s="777">
        <f>$F$21*$M$8*'Traffic Data'!AT32*annualizationFactor</f>
        <v>4.6370676146592781E-5</v>
      </c>
      <c r="S118" s="777">
        <f>$F$21*$M$8*'Traffic Data'!AU32*annualizationFactor</f>
        <v>4.9231041032964377E-5</v>
      </c>
      <c r="T118" s="777">
        <f>$F$21*$M$8*'Traffic Data'!AV32*annualizationFactor</f>
        <v>5.2091776145181992E-5</v>
      </c>
      <c r="U118" s="777">
        <f>$F$21*$M$8*'Traffic Data'!AW32*annualizationFactor</f>
        <v>5.4954732612475733E-5</v>
      </c>
      <c r="V118" s="777">
        <f>$F$21*$M$8*'Traffic Data'!AX32*annualizationFactor</f>
        <v>5.6820485763507274E-5</v>
      </c>
      <c r="W118" s="777">
        <f>$F$21*$M$8*'Traffic Data'!AY32*annualizationFactor</f>
        <v>5.7821761564075732E-5</v>
      </c>
      <c r="X118" s="777">
        <f>$F$21*$M$8*'Traffic Data'!AZ32*annualizationFactor</f>
        <v>5.8823037364644198E-5</v>
      </c>
      <c r="Y118" s="777">
        <f>$F$21*$M$8*'Traffic Data'!BA32*annualizationFactor</f>
        <v>5.982431316521267E-5</v>
      </c>
      <c r="Z118" s="777">
        <f>$F$21*$M$8*'Traffic Data'!BB32*annualizationFactor</f>
        <v>6.0825959191627162E-5</v>
      </c>
      <c r="AA118" s="777">
        <f>$F$21*$M$8*'Traffic Data'!BC32*annualizationFactor</f>
        <v>6.1827234992195614E-5</v>
      </c>
      <c r="AB118" s="777">
        <f>$F$21*$M$8*'Traffic Data'!BD32*annualizationFactor</f>
        <v>6.2828881018610133E-5</v>
      </c>
      <c r="AC118" s="777">
        <f>$F$21*$M$8*'Traffic Data'!BE32*annualizationFactor</f>
        <v>6.3830156819178578E-5</v>
      </c>
      <c r="AD118" s="777">
        <f>$F$21*$M$8*'Traffic Data'!BF32*annualizationFactor</f>
        <v>6.483143261974705E-5</v>
      </c>
      <c r="AE118" s="777">
        <f>$F$21*$M$8*'Traffic Data'!BG32*annualizationFactor</f>
        <v>6.5833078646161528E-5</v>
      </c>
      <c r="AF118" s="777">
        <f>$F$21*$M$8*'Traffic Data'!BH32*annualizationFactor</f>
        <v>6.6834354446730014E-5</v>
      </c>
      <c r="AG118" s="777">
        <f>$F$21*$M$8*'Traffic Data'!BI32*annualizationFactor</f>
        <v>6.7835630247298472E-5</v>
      </c>
      <c r="AH118" s="778">
        <f>$F$21*$M$8*'Traffic Data'!BJ32*annualizationFactor</f>
        <v>6.8837276273712937E-5</v>
      </c>
      <c r="AI118" s="40"/>
      <c r="AJ118" s="40"/>
      <c r="AK118" s="40"/>
      <c r="AL118" s="40"/>
      <c r="AM118" s="40"/>
    </row>
    <row r="119" spans="2:39" ht="21.95" customHeight="1" x14ac:dyDescent="0.2">
      <c r="B119" s="492"/>
      <c r="C119" s="116" t="s">
        <v>343</v>
      </c>
      <c r="D119" s="116" t="s">
        <v>350</v>
      </c>
      <c r="E119" s="116" t="s">
        <v>19</v>
      </c>
      <c r="F119" s="116" t="s">
        <v>438</v>
      </c>
      <c r="G119" s="970"/>
      <c r="H119" s="970"/>
      <c r="I119" s="777">
        <f>$F$21*$M$8*'Traffic Data'!AK33*annualizationFactor</f>
        <v>7.2194039974431826E-5</v>
      </c>
      <c r="J119" s="777">
        <f>$F$21*$M$8*'Traffic Data'!AL33*annualizationFactor</f>
        <v>7.4680282387751295E-5</v>
      </c>
      <c r="K119" s="777">
        <f>$F$21*$M$8*'Traffic Data'!AM33*annualizationFactor</f>
        <v>7.7454097726968927E-5</v>
      </c>
      <c r="L119" s="777">
        <f>$F$21*$M$8*'Traffic Data'!AN33*annualizationFactor</f>
        <v>8.2299641366652854E-5</v>
      </c>
      <c r="M119" s="777">
        <f>$F$21*$M$8*'Traffic Data'!AO33*annualizationFactor</f>
        <v>8.714807276793572E-5</v>
      </c>
      <c r="N119" s="777">
        <f>$F$21*$M$8*'Traffic Data'!AP33*annualizationFactor</f>
        <v>9.1994819641619225E-5</v>
      </c>
      <c r="O119" s="777">
        <f>$F$21*$M$8*'Traffic Data'!AQ33*annualizationFactor</f>
        <v>9.6840363281303126E-5</v>
      </c>
      <c r="P119" s="777">
        <f>$F$21*$M$8*'Traffic Data'!AR33*annualizationFactor</f>
        <v>1.0169084018038526E-4</v>
      </c>
      <c r="Q119" s="777">
        <f>$F$21*$M$8*'Traffic Data'!AS33*annualizationFactor</f>
        <v>1.0793779045937286E-4</v>
      </c>
      <c r="R119" s="777">
        <f>$F$21*$M$8*'Traffic Data'!AT33*annualizationFactor</f>
        <v>1.1418823011695925E-4</v>
      </c>
      <c r="S119" s="777">
        <f>$F$21*$M$8*'Traffic Data'!AU33*annualizationFactor</f>
        <v>1.2043397716194716E-4</v>
      </c>
      <c r="T119" s="777">
        <f>$F$21*$M$8*'Traffic Data'!AV33*annualizationFactor</f>
        <v>1.2668092744093479E-4</v>
      </c>
      <c r="U119" s="777">
        <f>$F$21*$M$8*'Traffic Data'!AW33*annualizationFactor</f>
        <v>1.3293317194952052E-4</v>
      </c>
      <c r="V119" s="777">
        <f>$F$21*$M$8*'Traffic Data'!AX33*annualizationFactor</f>
        <v>1.3710514519624296E-4</v>
      </c>
      <c r="W119" s="777">
        <f>$F$21*$M$8*'Traffic Data'!AY33*annualizationFactor</f>
        <v>1.395913876095625E-4</v>
      </c>
      <c r="X119" s="777">
        <f>$F$21*$M$8*'Traffic Data'!AZ33*annualizationFactor</f>
        <v>1.4207763002288193E-4</v>
      </c>
      <c r="Y119" s="777">
        <f>$F$21*$M$8*'Traffic Data'!BA33*annualizationFactor</f>
        <v>1.4456387243620147E-4</v>
      </c>
      <c r="Z119" s="777">
        <f>$F$21*$M$8*'Traffic Data'!BB33*annualizationFactor</f>
        <v>1.470515587303204E-4</v>
      </c>
      <c r="AA119" s="777">
        <f>$F$21*$M$8*'Traffic Data'!BC33*annualizationFactor</f>
        <v>1.4953780114363986E-4</v>
      </c>
      <c r="AB119" s="777">
        <f>$F$21*$M$8*'Traffic Data'!BD33*annualizationFactor</f>
        <v>1.5202548743775877E-4</v>
      </c>
      <c r="AC119" s="777">
        <f>$F$21*$M$8*'Traffic Data'!BE33*annualizationFactor</f>
        <v>1.5451172985107828E-4</v>
      </c>
      <c r="AD119" s="777">
        <f>$F$21*$M$8*'Traffic Data'!BF33*annualizationFactor</f>
        <v>1.5699797226439774E-4</v>
      </c>
      <c r="AE119" s="777">
        <f>$F$21*$M$8*'Traffic Data'!BG33*annualizationFactor</f>
        <v>1.5948565855851673E-4</v>
      </c>
      <c r="AF119" s="777">
        <f>$F$21*$M$8*'Traffic Data'!BH33*annualizationFactor</f>
        <v>1.6197190097183618E-4</v>
      </c>
      <c r="AG119" s="777">
        <f>$F$21*$M$8*'Traffic Data'!BI33*annualizationFactor</f>
        <v>1.6445814338515567E-4</v>
      </c>
      <c r="AH119" s="778">
        <f>$F$21*$M$8*'Traffic Data'!BJ33*annualizationFactor</f>
        <v>1.6694582967927463E-4</v>
      </c>
      <c r="AI119" s="40"/>
      <c r="AJ119" s="40"/>
      <c r="AK119" s="40"/>
      <c r="AL119" s="40"/>
      <c r="AM119" s="40"/>
    </row>
    <row r="120" spans="2:39" ht="21.95" customHeight="1" x14ac:dyDescent="0.2">
      <c r="B120" s="492"/>
      <c r="C120" s="116" t="s">
        <v>350</v>
      </c>
      <c r="D120" s="116" t="s">
        <v>280</v>
      </c>
      <c r="E120" s="116" t="s">
        <v>19</v>
      </c>
      <c r="F120" s="116" t="s">
        <v>438</v>
      </c>
      <c r="G120" s="970"/>
      <c r="H120" s="970"/>
      <c r="I120" s="777">
        <f>$F$21*$M$8*'Traffic Data'!AK34*annualizationFactor</f>
        <v>5.9939564471079545E-4</v>
      </c>
      <c r="J120" s="777">
        <f>$F$21*$M$8*'Traffic Data'!AL34*annualizationFactor</f>
        <v>6.200378317218942E-4</v>
      </c>
      <c r="K120" s="777">
        <f>$F$21*$M$8*'Traffic Data'!AM34*annualizationFactor</f>
        <v>6.4306761138442398E-4</v>
      </c>
      <c r="L120" s="777">
        <f>$F$21*$M$8*'Traffic Data'!AN34*annualizationFactor</f>
        <v>6.8329804806467154E-4</v>
      </c>
      <c r="M120" s="777">
        <f>$F$21*$M$8*'Traffic Data'!AO34*annualizationFactor</f>
        <v>7.2355246057070736E-4</v>
      </c>
      <c r="N120" s="777">
        <f>$F$21*$M$8*'Traffic Data'!AP34*annualizationFactor</f>
        <v>7.637928871783668E-4</v>
      </c>
      <c r="O120" s="777">
        <f>$F$21*$M$8*'Traffic Data'!AQ34*annualizationFactor</f>
        <v>8.0402332385861404E-4</v>
      </c>
      <c r="P120" s="777">
        <f>$F$21*$M$8*'Traffic Data'!AR34*annualizationFactor</f>
        <v>8.442947192412501E-4</v>
      </c>
      <c r="Q120" s="777">
        <f>$F$21*$M$8*'Traffic Data'!AS34*annualizationFactor</f>
        <v>8.9616042437807534E-4</v>
      </c>
      <c r="R120" s="777">
        <f>$F$21*$M$8*'Traffic Data'!AT34*annualizationFactor</f>
        <v>9.4805510030439495E-4</v>
      </c>
      <c r="S120" s="777">
        <f>$F$21*$M$8*'Traffic Data'!AU34*annualizationFactor</f>
        <v>9.9991081551380765E-4</v>
      </c>
      <c r="T120" s="777">
        <f>$F$21*$M$8*'Traffic Data'!AV34*annualizationFactor</f>
        <v>1.051776520650633E-3</v>
      </c>
      <c r="U120" s="777">
        <f>$F$21*$M$8*'Traffic Data'!AW34*annualizationFactor</f>
        <v>1.1036861814680704E-3</v>
      </c>
      <c r="V120" s="777">
        <f>$F$21*$M$8*'Traffic Data'!AX34*annualizationFactor</f>
        <v>1.1383242567831659E-3</v>
      </c>
      <c r="W120" s="777">
        <f>$F$21*$M$8*'Traffic Data'!AY34*annualizationFactor</f>
        <v>1.1589664437942648E-3</v>
      </c>
      <c r="X120" s="777">
        <f>$F$21*$M$8*'Traffic Data'!AZ34*annualizationFactor</f>
        <v>1.1796086308053634E-3</v>
      </c>
      <c r="Y120" s="777">
        <f>$F$21*$M$8*'Traffic Data'!BA34*annualizationFactor</f>
        <v>1.2002508178164623E-3</v>
      </c>
      <c r="Z120" s="777">
        <f>$F$21*$M$8*'Traffic Data'!BB34*annualizationFactor</f>
        <v>1.2209049927404552E-3</v>
      </c>
      <c r="AA120" s="777">
        <f>$F$21*$M$8*'Traffic Data'!BC34*annualizationFactor</f>
        <v>1.2415471797515534E-3</v>
      </c>
      <c r="AB120" s="777">
        <f>$F$21*$M$8*'Traffic Data'!BD34*annualizationFactor</f>
        <v>1.2622013546755458E-3</v>
      </c>
      <c r="AC120" s="777">
        <f>$F$21*$M$8*'Traffic Data'!BE34*annualizationFactor</f>
        <v>1.2828435416866448E-3</v>
      </c>
      <c r="AD120" s="777">
        <f>$F$21*$M$8*'Traffic Data'!BF34*annualizationFactor</f>
        <v>1.3034857286977433E-3</v>
      </c>
      <c r="AE120" s="777">
        <f>$F$21*$M$8*'Traffic Data'!BG34*annualizationFactor</f>
        <v>1.3241399036217362E-3</v>
      </c>
      <c r="AF120" s="777">
        <f>$F$21*$M$8*'Traffic Data'!BH34*annualizationFactor</f>
        <v>1.3447820906328351E-3</v>
      </c>
      <c r="AG120" s="777">
        <f>$F$21*$M$8*'Traffic Data'!BI34*annualizationFactor</f>
        <v>1.3654242776439333E-3</v>
      </c>
      <c r="AH120" s="778">
        <f>$F$21*$M$8*'Traffic Data'!BJ34*annualizationFactor</f>
        <v>1.3860784525679261E-3</v>
      </c>
      <c r="AI120" s="40"/>
      <c r="AJ120" s="40"/>
      <c r="AK120" s="40"/>
      <c r="AL120" s="40"/>
      <c r="AM120" s="40"/>
    </row>
    <row r="121" spans="2:39" ht="21.95" customHeight="1" x14ac:dyDescent="0.2">
      <c r="B121" s="493"/>
      <c r="C121" s="254" t="s">
        <v>280</v>
      </c>
      <c r="D121" s="254" t="s">
        <v>333</v>
      </c>
      <c r="E121" s="254" t="s">
        <v>19</v>
      </c>
      <c r="F121" s="254" t="s">
        <v>438</v>
      </c>
      <c r="G121" s="779"/>
      <c r="H121" s="779"/>
      <c r="I121" s="779">
        <f>$F$21*$M$8*'Traffic Data'!AK35*annualizationFactor</f>
        <v>1.4809033840909094E-5</v>
      </c>
      <c r="J121" s="779">
        <f>$F$21*$M$8*'Traffic Data'!AL35*annualizationFactor</f>
        <v>1.5319032284666934E-5</v>
      </c>
      <c r="K121" s="779">
        <f>$F$21*$M$8*'Traffic Data'!AM35*annualizationFactor</f>
        <v>1.5888020046557724E-5</v>
      </c>
      <c r="L121" s="779">
        <f>$F$21*$M$8*'Traffic Data'!AN35*annualizationFactor</f>
        <v>1.688197771623648E-5</v>
      </c>
      <c r="M121" s="779">
        <f>$F$21*$M$8*'Traffic Data'!AO35*annualizationFactor</f>
        <v>1.7876527747268866E-5</v>
      </c>
      <c r="N121" s="779">
        <f>$F$21*$M$8*'Traffic Data'!AP35*annualizationFactor</f>
        <v>1.8870732234178301E-5</v>
      </c>
      <c r="O121" s="779">
        <f>$F$21*$M$8*'Traffic Data'!AQ35*annualizationFactor</f>
        <v>1.9864689903857053E-5</v>
      </c>
      <c r="P121" s="779">
        <f>$F$21*$M$8*'Traffic Data'!AR35*annualizationFactor</f>
        <v>2.0859659524181597E-5</v>
      </c>
      <c r="Q121" s="779">
        <f>$F$21*$M$8*'Traffic Data'!AS35*annualizationFactor</f>
        <v>2.2141085222435463E-5</v>
      </c>
      <c r="R121" s="779">
        <f>$F$21*$M$8*'Traffic Data'!AT35*annualizationFactor</f>
        <v>2.3423226690658306E-5</v>
      </c>
      <c r="S121" s="779">
        <f>$F$21*$M$8*'Traffic Data'!AU35*annualizationFactor</f>
        <v>2.4704405571681473E-5</v>
      </c>
      <c r="T121" s="779">
        <f>$F$21*$M$8*'Traffic Data'!AV35*annualizationFactor</f>
        <v>2.5985831269935346E-5</v>
      </c>
      <c r="U121" s="779">
        <f>$F$21*$M$8*'Traffic Data'!AW35*annualizationFactor</f>
        <v>2.7268342964004205E-5</v>
      </c>
      <c r="V121" s="779">
        <f>$F$21*$M$8*'Traffic Data'!AX35*annualizationFactor</f>
        <v>2.8124132347947282E-5</v>
      </c>
      <c r="W121" s="779">
        <f>$F$21*$M$8*'Traffic Data'!AY35*annualizationFactor</f>
        <v>2.8634130791705124E-5</v>
      </c>
      <c r="X121" s="779">
        <f>$F$21*$M$8*'Traffic Data'!AZ35*annualizationFactor</f>
        <v>2.9144129235462962E-5</v>
      </c>
      <c r="Y121" s="779">
        <f>$F$21*$M$8*'Traffic Data'!BA35*annualizationFactor</f>
        <v>2.9654127679220808E-5</v>
      </c>
      <c r="Z121" s="779">
        <f>$F$21*$M$8*'Traffic Data'!BB35*annualizationFactor</f>
        <v>3.0164422303655469E-5</v>
      </c>
      <c r="AA121" s="779">
        <f>$F$21*$M$8*'Traffic Data'!BC35*annualizationFactor</f>
        <v>3.0674420747413301E-5</v>
      </c>
      <c r="AB121" s="779">
        <f>$F$21*$M$8*'Traffic Data'!BD35*annualizationFactor</f>
        <v>3.1184715371847959E-5</v>
      </c>
      <c r="AC121" s="779">
        <f>$F$21*$M$8*'Traffic Data'!BE35*annualizationFactor</f>
        <v>3.1694713815605805E-5</v>
      </c>
      <c r="AD121" s="779">
        <f>$F$21*$M$8*'Traffic Data'!BF35*annualizationFactor</f>
        <v>3.2204712259363643E-5</v>
      </c>
      <c r="AE121" s="779">
        <f>$F$21*$M$8*'Traffic Data'!BG35*annualizationFactor</f>
        <v>3.2715006883798301E-5</v>
      </c>
      <c r="AF121" s="779">
        <f>$F$21*$M$8*'Traffic Data'!BH35*annualizationFactor</f>
        <v>3.322500532755614E-5</v>
      </c>
      <c r="AG121" s="779">
        <f>$F$21*$M$8*'Traffic Data'!BI35*annualizationFactor</f>
        <v>3.3735003771313985E-5</v>
      </c>
      <c r="AH121" s="783">
        <f>$F$21*$M$8*'Traffic Data'!BJ35*annualizationFactor</f>
        <v>3.4245298395748643E-5</v>
      </c>
      <c r="AI121" s="40"/>
      <c r="AJ121" s="40"/>
      <c r="AK121" s="40"/>
      <c r="AL121" s="40"/>
      <c r="AM121" s="40"/>
    </row>
    <row r="122" spans="2:39" ht="21.95" customHeight="1" x14ac:dyDescent="0.2">
      <c r="B122" s="1108" t="s">
        <v>492</v>
      </c>
      <c r="C122" s="809"/>
      <c r="D122" s="809"/>
      <c r="E122" s="240"/>
      <c r="F122" s="240"/>
      <c r="G122" s="969">
        <f>SUM(G93:G121)</f>
        <v>0</v>
      </c>
      <c r="H122" s="969">
        <f>SUM(H93:H121)</f>
        <v>0</v>
      </c>
      <c r="I122" s="785">
        <f t="shared" ref="I122:AH122" si="2">SUM(I93:I121)</f>
        <v>2.3258776417657584E-2</v>
      </c>
      <c r="J122" s="785">
        <f t="shared" si="2"/>
        <v>2.4033106478521561E-2</v>
      </c>
      <c r="K122" s="785">
        <f t="shared" si="2"/>
        <v>2.5323375202296203E-2</v>
      </c>
      <c r="L122" s="785">
        <f t="shared" si="2"/>
        <v>2.7320677729565687E-2</v>
      </c>
      <c r="M122" s="785">
        <f t="shared" si="2"/>
        <v>2.9318973133149191E-2</v>
      </c>
      <c r="N122" s="785">
        <f t="shared" si="2"/>
        <v>3.1317268935934887E-2</v>
      </c>
      <c r="O122" s="785">
        <f t="shared" si="2"/>
        <v>3.3314571463204351E-2</v>
      </c>
      <c r="P122" s="785">
        <f t="shared" si="2"/>
        <v>3.5313676213338654E-2</v>
      </c>
      <c r="Q122" s="785">
        <f t="shared" si="2"/>
        <v>3.7262255726072648E-2</v>
      </c>
      <c r="R122" s="785">
        <f t="shared" si="2"/>
        <v>3.9211156350417893E-2</v>
      </c>
      <c r="S122" s="785">
        <f t="shared" si="2"/>
        <v>4.1159681735195311E-2</v>
      </c>
      <c r="T122" s="785">
        <f t="shared" si="2"/>
        <v>4.3108287702787365E-2</v>
      </c>
      <c r="U122" s="785">
        <f t="shared" si="2"/>
        <v>4.5058485302390434E-2</v>
      </c>
      <c r="V122" s="785">
        <f t="shared" si="2"/>
        <v>4.629904712190628E-2</v>
      </c>
      <c r="W122" s="785">
        <f t="shared" si="2"/>
        <v>4.7075352174759416E-2</v>
      </c>
      <c r="X122" s="785">
        <f t="shared" si="2"/>
        <v>4.7851858831875649E-2</v>
      </c>
      <c r="Y122" s="785">
        <f t="shared" si="2"/>
        <v>4.86282870366542E-2</v>
      </c>
      <c r="Z122" s="785">
        <f t="shared" si="2"/>
        <v>4.9405071281458462E-2</v>
      </c>
      <c r="AA122" s="785">
        <f t="shared" si="2"/>
        <v>5.0181499486237013E-2</v>
      </c>
      <c r="AB122" s="785">
        <f t="shared" si="2"/>
        <v>5.0958283731041262E-2</v>
      </c>
      <c r="AC122" s="785">
        <f t="shared" si="2"/>
        <v>5.1734711935819813E-2</v>
      </c>
      <c r="AD122" s="785">
        <f t="shared" si="2"/>
        <v>5.2511140140598392E-2</v>
      </c>
      <c r="AE122" s="785">
        <f t="shared" si="2"/>
        <v>5.3287906140672942E-2</v>
      </c>
      <c r="AF122" s="785">
        <f t="shared" si="2"/>
        <v>5.4064412797789181E-2</v>
      </c>
      <c r="AG122" s="785">
        <f t="shared" si="2"/>
        <v>5.4840736095371996E-2</v>
      </c>
      <c r="AH122" s="786">
        <f t="shared" si="2"/>
        <v>5.5617520340176245E-2</v>
      </c>
      <c r="AI122" s="40"/>
      <c r="AJ122" s="40"/>
      <c r="AK122" s="40"/>
      <c r="AL122" s="40"/>
      <c r="AM122" s="40"/>
    </row>
    <row r="123" spans="2:39" ht="21.95" customHeight="1" x14ac:dyDescent="0.2">
      <c r="B123" s="787" t="s">
        <v>328</v>
      </c>
      <c r="C123" s="1344" t="s">
        <v>18</v>
      </c>
      <c r="D123" s="1344"/>
      <c r="E123" s="46" t="s">
        <v>24</v>
      </c>
      <c r="F123" s="46" t="s">
        <v>42</v>
      </c>
      <c r="G123" s="123" cm="1">
        <f t="array" ref="G123:AH123">year</f>
        <v>2021</v>
      </c>
      <c r="H123" s="123">
        <v>2022</v>
      </c>
      <c r="I123" s="46">
        <v>2023</v>
      </c>
      <c r="J123" s="46">
        <v>2024</v>
      </c>
      <c r="K123" s="46">
        <v>2025</v>
      </c>
      <c r="L123" s="46">
        <v>2026</v>
      </c>
      <c r="M123" s="46">
        <v>2027</v>
      </c>
      <c r="N123" s="46">
        <v>2028</v>
      </c>
      <c r="O123" s="46">
        <v>2029</v>
      </c>
      <c r="P123" s="46">
        <v>2030</v>
      </c>
      <c r="Q123" s="46">
        <v>2031</v>
      </c>
      <c r="R123" s="46">
        <v>2032</v>
      </c>
      <c r="S123" s="46">
        <v>2033</v>
      </c>
      <c r="T123" s="46">
        <v>2034</v>
      </c>
      <c r="U123" s="46">
        <v>2035</v>
      </c>
      <c r="V123" s="46">
        <v>2036</v>
      </c>
      <c r="W123" s="46">
        <v>2037</v>
      </c>
      <c r="X123" s="46">
        <v>2038</v>
      </c>
      <c r="Y123" s="46">
        <v>2039</v>
      </c>
      <c r="Z123" s="46">
        <v>2040</v>
      </c>
      <c r="AA123" s="46">
        <v>2041</v>
      </c>
      <c r="AB123" s="46">
        <v>2042</v>
      </c>
      <c r="AC123" s="46">
        <v>2043</v>
      </c>
      <c r="AD123" s="46">
        <v>2044</v>
      </c>
      <c r="AE123" s="46">
        <v>2045</v>
      </c>
      <c r="AF123" s="46">
        <v>2046</v>
      </c>
      <c r="AG123" s="46">
        <v>2047</v>
      </c>
      <c r="AH123" s="495">
        <v>2048</v>
      </c>
      <c r="AI123" s="40"/>
      <c r="AJ123" s="40"/>
      <c r="AK123" s="40"/>
      <c r="AL123" s="40"/>
      <c r="AM123" s="40"/>
    </row>
    <row r="124" spans="2:39" ht="21.95" customHeight="1" x14ac:dyDescent="0.2">
      <c r="B124" s="1346" t="s">
        <v>331</v>
      </c>
      <c r="C124" s="220" t="s">
        <v>332</v>
      </c>
      <c r="D124" s="220" t="s">
        <v>282</v>
      </c>
      <c r="E124" s="220" t="s">
        <v>467</v>
      </c>
      <c r="F124" s="220" t="s">
        <v>438</v>
      </c>
      <c r="G124" s="775"/>
      <c r="H124" s="775"/>
      <c r="I124" s="775">
        <f>$F$22*$E$9*'Traffic Data'!AK7*annualizationFactor</f>
        <v>9.5708376777624011E-4</v>
      </c>
      <c r="J124" s="775">
        <f>$F$22*$E$9*'Traffic Data'!AL7*annualizationFactor</f>
        <v>1.0011156028674958E-3</v>
      </c>
      <c r="K124" s="775">
        <f>$F$22*$E$9*'Traffic Data'!AM7*annualizationFactor</f>
        <v>1.0629462051526153E-3</v>
      </c>
      <c r="L124" s="775">
        <f>$F$22*$E$9*'Traffic Data'!AN7*annualizationFactor</f>
        <v>1.1536508283568341E-3</v>
      </c>
      <c r="M124" s="775">
        <f>$F$22*$E$9*'Traffic Data'!AO7*annualizationFactor</f>
        <v>1.2443883513155703E-3</v>
      </c>
      <c r="N124" s="775">
        <f>$F$22*$E$9*'Traffic Data'!AP7*annualizationFactor</f>
        <v>1.3351288651610805E-3</v>
      </c>
      <c r="O124" s="775">
        <f>$F$22*$E$9*'Traffic Data'!AQ7*annualizationFactor</f>
        <v>1.4258334883652992E-3</v>
      </c>
      <c r="P124" s="775">
        <f>$F$22*$E$9*'Traffic Data'!AR7*annualizationFactor</f>
        <v>1.5166069019653269E-3</v>
      </c>
      <c r="Q124" s="775">
        <f>$F$22*$E$9*'Traffic Data'!AS7*annualizationFactor</f>
        <v>1.6063095781001552E-3</v>
      </c>
      <c r="R124" s="775">
        <f>$F$22*$E$9*'Traffic Data'!AT7*annualizationFactor</f>
        <v>1.696030199555629E-3</v>
      </c>
      <c r="S124" s="775">
        <f>$F$22*$E$9*'Traffic Data'!AU7*annualizationFactor</f>
        <v>1.7857328756904574E-3</v>
      </c>
      <c r="T124" s="775">
        <f>$F$22*$E$9*'Traffic Data'!AV7*annualizationFactor</f>
        <v>1.8754355518252857E-3</v>
      </c>
      <c r="U124" s="775">
        <f>$F$22*$E$9*'Traffic Data'!AW7*annualizationFactor</f>
        <v>1.9652100092426971E-3</v>
      </c>
      <c r="V124" s="775">
        <f>$F$22*$E$9*'Traffic Data'!AX7*annualizationFactor</f>
        <v>2.0260027738171339E-3</v>
      </c>
      <c r="W124" s="775">
        <f>$F$22*$E$9*'Traffic Data'!AY7*annualizationFactor</f>
        <v>2.0700346089083895E-3</v>
      </c>
      <c r="X124" s="775">
        <f>$F$22*$E$9*'Traffic Data'!AZ7*annualizationFactor</f>
        <v>2.1140664439996447E-3</v>
      </c>
      <c r="Y124" s="775">
        <f>$F$22*$E$9*'Traffic Data'!BA7*annualizationFactor</f>
        <v>2.1580982790909008E-3</v>
      </c>
      <c r="Z124" s="775">
        <f>$F$22*$E$9*'Traffic Data'!BB7*annualizationFactor</f>
        <v>2.2021480595028026E-3</v>
      </c>
      <c r="AA124" s="775">
        <f>$F$22*$E$9*'Traffic Data'!BC7*annualizationFactor</f>
        <v>2.2461798945940577E-3</v>
      </c>
      <c r="AB124" s="775">
        <f>$F$22*$E$9*'Traffic Data'!BD7*annualizationFactor</f>
        <v>2.2902296750059591E-3</v>
      </c>
      <c r="AC124" s="775">
        <f>$F$22*$E$9*'Traffic Data'!BE7*annualizationFactor</f>
        <v>2.3342615100972151E-3</v>
      </c>
      <c r="AD124" s="775">
        <f>$F$22*$E$9*'Traffic Data'!BF7*annualizationFactor</f>
        <v>2.3782933451884703E-3</v>
      </c>
      <c r="AE124" s="775">
        <f>$F$22*$E$9*'Traffic Data'!BG7*annualizationFactor</f>
        <v>2.4223431256003717E-3</v>
      </c>
      <c r="AF124" s="775">
        <f>$F$22*$E$9*'Traffic Data'!BH7*annualizationFactor</f>
        <v>2.4663749606916277E-3</v>
      </c>
      <c r="AG124" s="775">
        <f>$F$22*$E$9*'Traffic Data'!BI7*annualizationFactor</f>
        <v>2.5104067957828833E-3</v>
      </c>
      <c r="AH124" s="776">
        <f>$F$22*$E$9*'Traffic Data'!BJ7*annualizationFactor</f>
        <v>2.5544565761947842E-3</v>
      </c>
      <c r="AI124" s="40"/>
      <c r="AJ124" s="40"/>
      <c r="AK124" s="40"/>
      <c r="AL124" s="40"/>
      <c r="AM124" s="40"/>
    </row>
    <row r="125" spans="2:39" ht="21.95" customHeight="1" x14ac:dyDescent="0.2">
      <c r="B125" s="1346"/>
      <c r="C125" s="116" t="s">
        <v>282</v>
      </c>
      <c r="D125" s="116" t="s">
        <v>280</v>
      </c>
      <c r="E125" s="116" t="s">
        <v>467</v>
      </c>
      <c r="F125" s="116" t="s">
        <v>438</v>
      </c>
      <c r="G125" s="970"/>
      <c r="H125" s="970"/>
      <c r="I125" s="777">
        <f>$F$22*$E$9*'Traffic Data'!AK8*annualizationFactor</f>
        <v>3.0775366279772631E-2</v>
      </c>
      <c r="J125" s="777">
        <f>$F$22*$E$9*'Traffic Data'!AL8*annualizationFactor</f>
        <v>3.2480207588833951E-2</v>
      </c>
      <c r="K125" s="777">
        <f>$F$22*$E$9*'Traffic Data'!AM8*annualizationFactor</f>
        <v>3.4457239915214162E-2</v>
      </c>
      <c r="L125" s="777">
        <f>$F$22*$E$9*'Traffic Data'!AN8*annualizationFactor</f>
        <v>3.8146294469454313E-2</v>
      </c>
      <c r="M125" s="777">
        <f>$F$22*$E$9*'Traffic Data'!AO8*annualizationFactor</f>
        <v>4.1836716817751349E-2</v>
      </c>
      <c r="N125" s="777">
        <f>$F$22*$E$9*'Traffic Data'!AP8*annualizationFactor</f>
        <v>4.5527823063076824E-2</v>
      </c>
      <c r="O125" s="777">
        <f>$F$22*$E$9*'Traffic Data'!AQ8*annualizationFactor</f>
        <v>4.9216877617316974E-2</v>
      </c>
      <c r="P125" s="777">
        <f>$F$22*$E$9*'Traffic Data'!AR8*annualizationFactor</f>
        <v>5.2909465639537398E-2</v>
      </c>
      <c r="Q125" s="777">
        <f>$F$22*$E$9*'Traffic Data'!AS8*annualizationFactor</f>
        <v>5.7286634587225646E-2</v>
      </c>
      <c r="R125" s="777">
        <f>$F$22*$E$9*'Traffic Data'!AT8*annualizationFactor</f>
        <v>6.1665057346132701E-2</v>
      </c>
      <c r="S125" s="777">
        <f>$F$22*$E$9*'Traffic Data'!AU8*annualizationFactor</f>
        <v>6.6042226293820949E-2</v>
      </c>
      <c r="T125" s="777">
        <f>$F$22*$E$9*'Traffic Data'!AV8*annualizationFactor</f>
        <v>7.0419395241509197E-2</v>
      </c>
      <c r="U125" s="777">
        <f>$F$22*$E$9*'Traffic Data'!AW8*annualizationFactor</f>
        <v>7.4800895537044235E-2</v>
      </c>
      <c r="V125" s="777">
        <f>$F$22*$E$9*'Traffic Data'!AX8*annualizationFactor</f>
        <v>7.7463876582949162E-2</v>
      </c>
      <c r="W125" s="777">
        <f>$F$22*$E$9*'Traffic Data'!AY8*annualizationFactor</f>
        <v>7.9168717892010493E-2</v>
      </c>
      <c r="X125" s="777">
        <f>$F$22*$E$9*'Traffic Data'!AZ8*annualizationFactor</f>
        <v>8.0873559201071823E-2</v>
      </c>
      <c r="Y125" s="777">
        <f>$F$22*$E$9*'Traffic Data'!BA8*annualizationFactor</f>
        <v>8.257840051013314E-2</v>
      </c>
      <c r="Z125" s="777">
        <f>$F$22*$E$9*'Traffic Data'!BB8*annualizationFactor</f>
        <v>8.4284381647575221E-2</v>
      </c>
      <c r="AA125" s="777">
        <f>$F$22*$E$9*'Traffic Data'!BC8*annualizationFactor</f>
        <v>8.5989222956636538E-2</v>
      </c>
      <c r="AB125" s="777">
        <f>$F$22*$E$9*'Traffic Data'!BD8*annualizationFactor</f>
        <v>8.7695204094078577E-2</v>
      </c>
      <c r="AC125" s="777">
        <f>$F$22*$E$9*'Traffic Data'!BE8*annualizationFactor</f>
        <v>8.9400045403139936E-2</v>
      </c>
      <c r="AD125" s="777">
        <f>$F$22*$E$9*'Traffic Data'!BF8*annualizationFactor</f>
        <v>9.1104886712201266E-2</v>
      </c>
      <c r="AE125" s="777">
        <f>$F$22*$E$9*'Traffic Data'!BG8*annualizationFactor</f>
        <v>9.2810867849643347E-2</v>
      </c>
      <c r="AF125" s="777">
        <f>$F$22*$E$9*'Traffic Data'!BH8*annualizationFactor</f>
        <v>9.451570915870465E-2</v>
      </c>
      <c r="AG125" s="777">
        <f>$F$22*$E$9*'Traffic Data'!BI8*annualizationFactor</f>
        <v>9.6220550467766008E-2</v>
      </c>
      <c r="AH125" s="778">
        <f>$F$22*$E$9*'Traffic Data'!BJ8*annualizationFactor</f>
        <v>9.7926531605208061E-2</v>
      </c>
      <c r="AI125" s="40"/>
      <c r="AJ125" s="40"/>
      <c r="AK125" s="40"/>
      <c r="AL125" s="40"/>
      <c r="AM125" s="40"/>
    </row>
    <row r="126" spans="2:39" ht="21.95" customHeight="1" x14ac:dyDescent="0.2">
      <c r="B126" s="1346"/>
      <c r="C126" s="116" t="s">
        <v>280</v>
      </c>
      <c r="D126" s="116" t="s">
        <v>333</v>
      </c>
      <c r="E126" s="254" t="s">
        <v>467</v>
      </c>
      <c r="F126" s="254" t="s">
        <v>438</v>
      </c>
      <c r="G126" s="779"/>
      <c r="H126" s="779"/>
      <c r="I126" s="777">
        <f>$F$22*$E$9*'Traffic Data'!AK9*annualizationFactor</f>
        <v>7.1781282583218006E-4</v>
      </c>
      <c r="J126" s="777">
        <f>$F$22*$E$9*'Traffic Data'!AL9*annualizationFactor</f>
        <v>7.4778749308422219E-4</v>
      </c>
      <c r="K126" s="777">
        <f>$F$22*$E$9*'Traffic Data'!AM9*annualizationFactor</f>
        <v>7.8488645263264853E-4</v>
      </c>
      <c r="L126" s="777">
        <f>$F$22*$E$9*'Traffic Data'!AN9*annualizationFactor</f>
        <v>8.3483426176347126E-4</v>
      </c>
      <c r="M126" s="777">
        <f>$F$22*$E$9*'Traffic Data'!AO9*annualizationFactor</f>
        <v>8.848000162149397E-4</v>
      </c>
      <c r="N126" s="777">
        <f>$F$22*$E$9*'Traffic Data'!AP9*annualizationFactor</f>
        <v>9.3475978889285953E-4</v>
      </c>
      <c r="O126" s="777">
        <f>$F$22*$E$9*'Traffic Data'!AQ9*annualizationFactor</f>
        <v>9.8470759802368204E-4</v>
      </c>
      <c r="P126" s="777">
        <f>$F$22*$E$9*'Traffic Data'!AR9*annualizationFactor</f>
        <v>1.0346912977957964E-3</v>
      </c>
      <c r="Q126" s="777">
        <f>$F$22*$E$9*'Traffic Data'!AS9*annualizationFactor</f>
        <v>1.0831197364452737E-3</v>
      </c>
      <c r="R126" s="777">
        <f>$F$22*$E$9*'Traffic Data'!AT9*annualizationFactor</f>
        <v>1.1315661204153969E-3</v>
      </c>
      <c r="S126" s="777">
        <f>$F$22*$E$9*'Traffic Data'!AU9*annualizationFactor</f>
        <v>1.1799945590648749E-3</v>
      </c>
      <c r="T126" s="777">
        <f>$F$22*$E$9*'Traffic Data'!AV9*annualizationFactor</f>
        <v>1.2284229977143528E-3</v>
      </c>
      <c r="U126" s="777">
        <f>$F$22*$E$9*'Traffic Data'!AW9*annualizationFactor</f>
        <v>1.2768873270051222E-3</v>
      </c>
      <c r="V126" s="777">
        <f>$F$22*$E$9*'Traffic Data'!AX9*annualizationFactor</f>
        <v>1.3124489707515578E-3</v>
      </c>
      <c r="W126" s="777">
        <f>$F$22*$E$9*'Traffic Data'!AY9*annualizationFactor</f>
        <v>1.3424236380036002E-3</v>
      </c>
      <c r="X126" s="777">
        <f>$F$22*$E$9*'Traffic Data'!AZ9*annualizationFactor</f>
        <v>1.3723983052556419E-3</v>
      </c>
      <c r="Y126" s="777">
        <f>$F$22*$E$9*'Traffic Data'!BA9*annualizationFactor</f>
        <v>1.4023729725076844E-3</v>
      </c>
      <c r="Z126" s="777">
        <f>$F$22*$E$9*'Traffic Data'!BB9*annualizationFactor</f>
        <v>1.4323596033068238E-3</v>
      </c>
      <c r="AA126" s="777">
        <f>$F$22*$E$9*'Traffic Data'!BC9*annualizationFactor</f>
        <v>1.4623342705588657E-3</v>
      </c>
      <c r="AB126" s="777">
        <f>$F$22*$E$9*'Traffic Data'!BD9*annualizationFactor</f>
        <v>1.492320901358005E-3</v>
      </c>
      <c r="AC126" s="777">
        <f>$F$22*$E$9*'Traffic Data'!BE9*annualizationFactor</f>
        <v>1.5222955686100476E-3</v>
      </c>
      <c r="AD126" s="777">
        <f>$F$22*$E$9*'Traffic Data'!BF9*annualizationFactor</f>
        <v>1.5522702358620891E-3</v>
      </c>
      <c r="AE126" s="777">
        <f>$F$22*$E$9*'Traffic Data'!BG9*annualizationFactor</f>
        <v>1.5822568666612289E-3</v>
      </c>
      <c r="AF126" s="777">
        <f>$F$22*$E$9*'Traffic Data'!BH9*annualizationFactor</f>
        <v>1.6122315339132708E-3</v>
      </c>
      <c r="AG126" s="777">
        <f>$F$22*$E$9*'Traffic Data'!BI9*annualizationFactor</f>
        <v>1.6422062011653127E-3</v>
      </c>
      <c r="AH126" s="778">
        <f>$F$22*$E$9*'Traffic Data'!BJ9*annualizationFactor</f>
        <v>1.6721928319644523E-3</v>
      </c>
      <c r="AI126" s="40"/>
      <c r="AJ126" s="40"/>
      <c r="AK126" s="40"/>
      <c r="AL126" s="40"/>
      <c r="AM126" s="40"/>
    </row>
    <row r="127" spans="2:39" ht="21.95" customHeight="1" x14ac:dyDescent="0.2">
      <c r="B127" s="1346" t="s">
        <v>280</v>
      </c>
      <c r="C127" s="220" t="s">
        <v>281</v>
      </c>
      <c r="D127" s="220" t="s">
        <v>335</v>
      </c>
      <c r="E127" s="116" t="s">
        <v>467</v>
      </c>
      <c r="F127" s="220" t="s">
        <v>438</v>
      </c>
      <c r="G127" s="970"/>
      <c r="H127" s="970"/>
      <c r="I127" s="775">
        <f>$F$22*$F$9*'Traffic Data'!AK10*annualizationFactor</f>
        <v>6.6905450972752E-3</v>
      </c>
      <c r="J127" s="775">
        <f>$F$22*$F$9*'Traffic Data'!AL10*annualizationFactor</f>
        <v>7.4205671992016407E-3</v>
      </c>
      <c r="K127" s="775">
        <f>$F$22*$F$9*'Traffic Data'!AM10*annualizationFactor</f>
        <v>8.1915354371234032E-3</v>
      </c>
      <c r="L127" s="775">
        <f>$F$22*$F$9*'Traffic Data'!AN10*annualizationFactor</f>
        <v>1.0577935788782269E-2</v>
      </c>
      <c r="M127" s="775">
        <f>$F$22*$F$9*'Traffic Data'!AO10*annualizationFactor</f>
        <v>1.2965540438558637E-2</v>
      </c>
      <c r="N127" s="775">
        <f>$F$22*$F$9*'Traffic Data'!AP10*annualizationFactor</f>
        <v>1.5353780690119251E-2</v>
      </c>
      <c r="O127" s="775">
        <f>$F$22*$F$9*'Traffic Data'!AQ10*annualizationFactor</f>
        <v>1.7740181041778113E-2</v>
      </c>
      <c r="P127" s="775">
        <f>$F$22*$F$9*'Traffic Data'!AR10*annualizationFactor</f>
        <v>2.0129876486897385E-2</v>
      </c>
      <c r="Q127" s="775">
        <f>$F$22*$F$9*'Traffic Data'!AS10*annualizationFactor</f>
        <v>2.3336654752021381E-2</v>
      </c>
      <c r="R127" s="775">
        <f>$F$22*$F$9*'Traffic Data'!AT10*annualizationFactor</f>
        <v>2.6544854757978555E-2</v>
      </c>
      <c r="S127" s="775">
        <f>$F$22*$F$9*'Traffic Data'!AU10*annualizationFactor</f>
        <v>2.9751633023102565E-2</v>
      </c>
      <c r="T127" s="775">
        <f>$F$22*$F$9*'Traffic Data'!AV10*annualizationFactor</f>
        <v>3.2958411288226568E-2</v>
      </c>
      <c r="U127" s="775">
        <f>$F$22*$F$9*'Traffic Data'!AW10*annualizationFactor</f>
        <v>3.6169371144036379E-2</v>
      </c>
      <c r="V127" s="775">
        <f>$F$22*$F$9*'Traffic Data'!AX10*annualizationFactor</f>
        <v>3.7758626500080376E-2</v>
      </c>
      <c r="W127" s="775">
        <f>$F$22*$F$9*'Traffic Data'!AY10*annualizationFactor</f>
        <v>3.8488648602006813E-2</v>
      </c>
      <c r="X127" s="775">
        <f>$F$22*$F$9*'Traffic Data'!AZ10*annualizationFactor</f>
        <v>3.9218670703933256E-2</v>
      </c>
      <c r="Y127" s="775">
        <f>$F$22*$F$9*'Traffic Data'!BA10*annualizationFactor</f>
        <v>3.9948692805859699E-2</v>
      </c>
      <c r="Z127" s="775">
        <f>$F$22*$F$9*'Traffic Data'!BB10*annualizationFactor</f>
        <v>4.0679885753178158E-2</v>
      </c>
      <c r="AA127" s="775">
        <f>$F$22*$F$9*'Traffic Data'!BC10*annualizationFactor</f>
        <v>4.1409907855104594E-2</v>
      </c>
      <c r="AB127" s="775">
        <f>$F$22*$F$9*'Traffic Data'!BD10*annualizationFactor</f>
        <v>4.2141100802423059E-2</v>
      </c>
      <c r="AC127" s="775">
        <f>$F$22*$F$9*'Traffic Data'!BE10*annualizationFactor</f>
        <v>4.287112290434951E-2</v>
      </c>
      <c r="AD127" s="775">
        <f>$F$22*$F$9*'Traffic Data'!BF10*annualizationFactor</f>
        <v>4.3601145006275946E-2</v>
      </c>
      <c r="AE127" s="775">
        <f>$F$22*$F$9*'Traffic Data'!BG10*annualizationFactor</f>
        <v>4.4332337953594411E-2</v>
      </c>
      <c r="AF127" s="775">
        <f>$F$22*$F$9*'Traffic Data'!BH10*annualizationFactor</f>
        <v>4.5062360055520848E-2</v>
      </c>
      <c r="AG127" s="775">
        <f>$F$22*$F$9*'Traffic Data'!BI10*annualizationFactor</f>
        <v>4.5792382157447284E-2</v>
      </c>
      <c r="AH127" s="776">
        <f>$F$22*$F$9*'Traffic Data'!BJ10*annualizationFactor</f>
        <v>4.6523575104765749E-2</v>
      </c>
      <c r="AI127" s="40"/>
      <c r="AJ127" s="40"/>
      <c r="AK127" s="40"/>
      <c r="AL127" s="40"/>
      <c r="AM127" s="40"/>
    </row>
    <row r="128" spans="2:39" ht="21.95" customHeight="1" x14ac:dyDescent="0.2">
      <c r="B128" s="1346"/>
      <c r="C128" s="116" t="s">
        <v>335</v>
      </c>
      <c r="D128" s="116" t="s">
        <v>323</v>
      </c>
      <c r="E128" s="116" t="s">
        <v>467</v>
      </c>
      <c r="F128" s="116" t="s">
        <v>438</v>
      </c>
      <c r="G128" s="970"/>
      <c r="H128" s="970"/>
      <c r="I128" s="777">
        <f>$F$22*$F$9*'Traffic Data'!AK11*annualizationFactor</f>
        <v>7.749666135840001E-4</v>
      </c>
      <c r="J128" s="777">
        <f>$F$22*$F$9*'Traffic Data'!AL11*annualizationFactor</f>
        <v>8.7794676041908729E-4</v>
      </c>
      <c r="K128" s="777">
        <f>$F$22*$F$9*'Traffic Data'!AM11*annualizationFactor</f>
        <v>9.8099148780530663E-4</v>
      </c>
      <c r="L128" s="777">
        <f>$F$22*$F$9*'Traffic Data'!AN11*annualizationFactor</f>
        <v>1.3296360511465218E-3</v>
      </c>
      <c r="M128" s="777">
        <f>$F$22*$F$9*'Traffic Data'!AO11*annualizationFactor</f>
        <v>1.6783516530939823E-3</v>
      </c>
      <c r="N128" s="777">
        <f>$F$22*$F$9*'Traffic Data'!AP11*annualizationFactor</f>
        <v>2.0273836997419894E-3</v>
      </c>
      <c r="O128" s="777">
        <f>$F$22*$F$9*'Traffic Data'!AQ11*annualizationFactor</f>
        <v>2.3760282630832046E-3</v>
      </c>
      <c r="P128" s="777">
        <f>$F$22*$F$9*'Traffic Data'!AR11*annualizationFactor</f>
        <v>2.7250021872351929E-3</v>
      </c>
      <c r="Q128" s="777">
        <f>$F$22*$F$9*'Traffic Data'!AS11*annualizationFactor</f>
        <v>3.2608334780325102E-3</v>
      </c>
      <c r="R128" s="777">
        <f>$F$22*$F$9*'Traffic Data'!AT11*annualizationFactor</f>
        <v>3.7966066463338091E-3</v>
      </c>
      <c r="S128" s="777">
        <f>$F$22*$F$9*'Traffic Data'!AU11*annualizationFactor</f>
        <v>4.3324314790760135E-3</v>
      </c>
      <c r="T128" s="777">
        <f>$F$22*$F$9*'Traffic Data'!AV11*annualizationFactor</f>
        <v>4.86826276987333E-3</v>
      </c>
      <c r="U128" s="777">
        <f>$F$22*$F$9*'Traffic Data'!AW11*annualizationFactor</f>
        <v>5.4046171631348169E-3</v>
      </c>
      <c r="V128" s="777">
        <f>$F$22*$F$9*'Traffic Data'!AX11*annualizationFactor</f>
        <v>5.6945838377174974E-3</v>
      </c>
      <c r="W128" s="777">
        <f>$F$22*$F$9*'Traffic Data'!AY11*annualizationFactor</f>
        <v>5.7975639845525848E-3</v>
      </c>
      <c r="X128" s="777">
        <f>$F$22*$F$9*'Traffic Data'!AZ11*annualizationFactor</f>
        <v>5.9005441313876713E-3</v>
      </c>
      <c r="Y128" s="777">
        <f>$F$22*$F$9*'Traffic Data'!BA11*annualizationFactor</f>
        <v>6.0035242782227596E-3</v>
      </c>
      <c r="Z128" s="777">
        <f>$F$22*$F$9*'Traffic Data'!BB11*annualizationFactor</f>
        <v>6.1065690056089786E-3</v>
      </c>
      <c r="AA128" s="777">
        <f>$F$22*$F$9*'Traffic Data'!BC11*annualizationFactor</f>
        <v>6.2095491524440652E-3</v>
      </c>
      <c r="AB128" s="777">
        <f>$F$22*$F$9*'Traffic Data'!BD11*annualizationFactor</f>
        <v>6.3125938798302842E-3</v>
      </c>
      <c r="AC128" s="777">
        <f>$F$22*$F$9*'Traffic Data'!BE11*annualizationFactor</f>
        <v>6.4155740266653716E-3</v>
      </c>
      <c r="AD128" s="777">
        <f>$F$22*$F$9*'Traffic Data'!BF11*annualizationFactor</f>
        <v>6.5185541735004581E-3</v>
      </c>
      <c r="AE128" s="777">
        <f>$F$22*$F$9*'Traffic Data'!BG11*annualizationFactor</f>
        <v>6.621598900886678E-3</v>
      </c>
      <c r="AF128" s="777">
        <f>$F$22*$F$9*'Traffic Data'!BH11*annualizationFactor</f>
        <v>6.7245790477217654E-3</v>
      </c>
      <c r="AG128" s="777">
        <f>$F$22*$F$9*'Traffic Data'!BI11*annualizationFactor</f>
        <v>6.8275591945568519E-3</v>
      </c>
      <c r="AH128" s="778">
        <f>$F$22*$F$9*'Traffic Data'!BJ11*annualizationFactor</f>
        <v>6.930603921943071E-3</v>
      </c>
      <c r="AI128" s="40"/>
      <c r="AJ128" s="40"/>
      <c r="AK128" s="40"/>
      <c r="AL128" s="40"/>
      <c r="AM128" s="40"/>
    </row>
    <row r="129" spans="2:39" ht="21.95" customHeight="1" x14ac:dyDescent="0.2">
      <c r="B129" s="1346"/>
      <c r="C129" s="254" t="s">
        <v>323</v>
      </c>
      <c r="D129" s="254" t="s">
        <v>338</v>
      </c>
      <c r="E129" s="116" t="s">
        <v>467</v>
      </c>
      <c r="F129" s="254" t="s">
        <v>438</v>
      </c>
      <c r="G129" s="970"/>
      <c r="H129" s="970"/>
      <c r="I129" s="777">
        <f>$F$22*$F$9*'Traffic Data'!AK12*annualizationFactor</f>
        <v>1.0384552622025603E-2</v>
      </c>
      <c r="J129" s="777">
        <f>$F$22*$F$9*'Traffic Data'!AL12*annualizationFactor</f>
        <v>1.0769698371188827E-2</v>
      </c>
      <c r="K129" s="777">
        <f>$F$22*$F$9*'Traffic Data'!AM12*annualizationFactor</f>
        <v>1.11550864265799E-2</v>
      </c>
      <c r="L129" s="777">
        <f>$F$22*$F$9*'Traffic Data'!AN12*annualizationFactor</f>
        <v>1.1903518441636989E-2</v>
      </c>
      <c r="M129" s="777">
        <f>$F$22*$F$9*'Traffic Data'!AO12*annualizationFactor</f>
        <v>1.2652383146386663E-2</v>
      </c>
      <c r="N129" s="777">
        <f>$F$22*$F$9*'Traffic Data'!AP12*annualizationFactor</f>
        <v>1.3401057467671599E-2</v>
      </c>
      <c r="O129" s="777">
        <f>$F$22*$F$9*'Traffic Data'!AQ12*annualizationFactor</f>
        <v>1.4149489482728688E-2</v>
      </c>
      <c r="P129" s="777">
        <f>$F$22*$F$9*'Traffic Data'!AR12*annualizationFactor</f>
        <v>1.4898717646820131E-2</v>
      </c>
      <c r="Q129" s="777">
        <f>$F$22*$F$9*'Traffic Data'!AS12*annualizationFactor</f>
        <v>1.5938436362925038E-2</v>
      </c>
      <c r="R129" s="777">
        <f>$F$22*$F$9*'Traffic Data'!AT12*annualizationFactor</f>
        <v>1.6978708921836453E-2</v>
      </c>
      <c r="S129" s="777">
        <f>$F$22*$F$9*'Traffic Data'!AU12*annualizationFactor</f>
        <v>1.801823725447662E-2</v>
      </c>
      <c r="T129" s="777">
        <f>$F$22*$F$9*'Traffic Data'!AV12*annualizationFactor</f>
        <v>1.905795597058153E-2</v>
      </c>
      <c r="U129" s="777">
        <f>$F$22*$F$9*'Traffic Data'!AW12*annualizationFactor</f>
        <v>2.0098591988834718E-2</v>
      </c>
      <c r="V129" s="777">
        <f>$F$22*$F$9*'Traffic Data'!AX12*annualizationFactor</f>
        <v>2.0774712902467098E-2</v>
      </c>
      <c r="W129" s="777">
        <f>$F$22*$F$9*'Traffic Data'!AY12*annualizationFactor</f>
        <v>2.1159858651630326E-2</v>
      </c>
      <c r="X129" s="777">
        <f>$F$22*$F$9*'Traffic Data'!AZ12*annualizationFactor</f>
        <v>2.1545004400793551E-2</v>
      </c>
      <c r="Y129" s="777">
        <f>$F$22*$F$9*'Traffic Data'!BA12*annualizationFactor</f>
        <v>2.1930150149956775E-2</v>
      </c>
      <c r="Z129" s="777">
        <f>$F$22*$F$9*'Traffic Data'!BB12*annualizationFactor</f>
        <v>2.2315538205347853E-2</v>
      </c>
      <c r="AA129" s="777">
        <f>$F$22*$F$9*'Traffic Data'!BC12*annualizationFactor</f>
        <v>2.2700683954511074E-2</v>
      </c>
      <c r="AB129" s="777">
        <f>$F$22*$F$9*'Traffic Data'!BD12*annualizationFactor</f>
        <v>2.3086072009902151E-2</v>
      </c>
      <c r="AC129" s="777">
        <f>$F$22*$F$9*'Traffic Data'!BE12*annualizationFactor</f>
        <v>2.3471217759065379E-2</v>
      </c>
      <c r="AD129" s="777">
        <f>$F$22*$F$9*'Traffic Data'!BF12*annualizationFactor</f>
        <v>2.3856363508228607E-2</v>
      </c>
      <c r="AE129" s="777">
        <f>$F$22*$F$9*'Traffic Data'!BG12*annualizationFactor</f>
        <v>2.4241751563619678E-2</v>
      </c>
      <c r="AF129" s="777">
        <f>$F$22*$F$9*'Traffic Data'!BH12*annualizationFactor</f>
        <v>2.4626897312782902E-2</v>
      </c>
      <c r="AG129" s="777">
        <f>$F$22*$F$9*'Traffic Data'!BI12*annualizationFactor</f>
        <v>2.501204306194613E-2</v>
      </c>
      <c r="AH129" s="778">
        <f>$F$22*$F$9*'Traffic Data'!BJ12*annualizationFactor</f>
        <v>2.5397431117337204E-2</v>
      </c>
      <c r="AI129" s="40"/>
      <c r="AJ129" s="40"/>
      <c r="AK129" s="40"/>
      <c r="AL129" s="40"/>
      <c r="AM129" s="40"/>
    </row>
    <row r="130" spans="2:39" ht="21.95" customHeight="1" x14ac:dyDescent="0.2">
      <c r="B130" s="492" t="s">
        <v>339</v>
      </c>
      <c r="C130" s="116" t="s">
        <v>335</v>
      </c>
      <c r="D130" s="116" t="s">
        <v>323</v>
      </c>
      <c r="E130" s="277" t="s">
        <v>467</v>
      </c>
      <c r="F130" s="277" t="s">
        <v>438</v>
      </c>
      <c r="G130" s="780"/>
      <c r="H130" s="780"/>
      <c r="I130" s="775">
        <f>$F$22*$G$9*'Traffic Data'!AK13*annualizationFactor</f>
        <v>3.0352859032040004E-5</v>
      </c>
      <c r="J130" s="775">
        <f>$F$22*$G$9*'Traffic Data'!AL13*annualizationFactor</f>
        <v>4.9141278772872756E-5</v>
      </c>
      <c r="K130" s="775">
        <f>$F$22*$G$9*'Traffic Data'!AM13*annualizationFactor</f>
        <v>1.4019985586899276E-4</v>
      </c>
      <c r="L130" s="775">
        <f>$F$22*$G$9*'Traffic Data'!AN13*annualizationFactor</f>
        <v>2.9642602130690266E-4</v>
      </c>
      <c r="M130" s="775">
        <f>$F$22*$G$9*'Traffic Data'!AO13*annualizationFactor</f>
        <v>4.5277359818094077E-4</v>
      </c>
      <c r="N130" s="775">
        <f>$F$22*$G$9*'Traffic Data'!AP13*annualizationFactor</f>
        <v>6.0906046933691485E-4</v>
      </c>
      <c r="O130" s="775">
        <f>$F$22*$G$9*'Traffic Data'!AQ13*annualizationFactor</f>
        <v>7.6528663477482472E-4</v>
      </c>
      <c r="P130" s="775">
        <f>$F$22*$G$9*'Traffic Data'!AR13*annualizationFactor</f>
        <v>9.2175562308499095E-4</v>
      </c>
      <c r="Q130" s="775">
        <f>$F$22*$G$9*'Traffic Data'!AS13*annualizationFactor</f>
        <v>1.0058026897447098E-3</v>
      </c>
      <c r="R130" s="775">
        <f>$F$22*$G$9*'Traffic Data'!AT13*annualizationFactor</f>
        <v>1.0899711678405565E-3</v>
      </c>
      <c r="S130" s="775">
        <f>$F$22*$G$9*'Traffic Data'!AU13*annualizationFactor</f>
        <v>1.1740485873593075E-3</v>
      </c>
      <c r="T130" s="775">
        <f>$F$22*$G$9*'Traffic Data'!AV13*annualizationFactor</f>
        <v>1.2580956540190261E-3</v>
      </c>
      <c r="U130" s="775">
        <f>$F$22*$G$9*'Traffic Data'!AW13*annualizationFactor</f>
        <v>1.3423551906919693E-3</v>
      </c>
      <c r="V130" s="775">
        <f>$F$22*$G$9*'Traffic Data'!AX13*annualizationFactor</f>
        <v>1.3611436104328017E-3</v>
      </c>
      <c r="W130" s="775">
        <f>$F$22*$G$9*'Traffic Data'!AY13*annualizationFactor</f>
        <v>1.3799320301736348E-3</v>
      </c>
      <c r="X130" s="775">
        <f>$F$22*$G$9*'Traffic Data'!AZ13*annualizationFactor</f>
        <v>1.3987204499144672E-3</v>
      </c>
      <c r="Y130" s="775">
        <f>$F$22*$G$9*'Traffic Data'!BA13*annualizationFactor</f>
        <v>1.4175088696553003E-3</v>
      </c>
      <c r="Z130" s="775">
        <f>$F$22*$G$9*'Traffic Data'!BB13*annualizationFactor</f>
        <v>1.436388347973229E-3</v>
      </c>
      <c r="AA130" s="775">
        <f>$F$22*$G$9*'Traffic Data'!BC13*annualizationFactor</f>
        <v>1.4551767677140619E-3</v>
      </c>
      <c r="AB130" s="775">
        <f>$F$22*$G$9*'Traffic Data'!BD13*annualizationFactor</f>
        <v>1.4740562460319906E-3</v>
      </c>
      <c r="AC130" s="775">
        <f>$F$22*$G$9*'Traffic Data'!BE13*annualizationFactor</f>
        <v>1.4928446657728233E-3</v>
      </c>
      <c r="AD130" s="775">
        <f>$F$22*$G$9*'Traffic Data'!BF13*annualizationFactor</f>
        <v>1.5116330855136561E-3</v>
      </c>
      <c r="AE130" s="775">
        <f>$F$22*$G$9*'Traffic Data'!BG13*annualizationFactor</f>
        <v>1.5305125638315855E-3</v>
      </c>
      <c r="AF130" s="775">
        <f>$F$22*$G$9*'Traffic Data'!BH13*annualizationFactor</f>
        <v>1.5493009835724177E-3</v>
      </c>
      <c r="AG130" s="775">
        <f>$F$22*$G$9*'Traffic Data'!BI13*annualizationFactor</f>
        <v>1.5680894033132506E-3</v>
      </c>
      <c r="AH130" s="776">
        <f>$F$22*$G$9*'Traffic Data'!BJ13*annualizationFactor</f>
        <v>1.5869688816311798E-3</v>
      </c>
      <c r="AI130" s="40"/>
      <c r="AJ130" s="40"/>
      <c r="AK130" s="40"/>
      <c r="AL130" s="40"/>
      <c r="AM130" s="40"/>
    </row>
    <row r="131" spans="2:39" ht="21.95" customHeight="1" x14ac:dyDescent="0.2">
      <c r="B131" s="1346" t="s">
        <v>323</v>
      </c>
      <c r="C131" s="220" t="s">
        <v>282</v>
      </c>
      <c r="D131" s="220" t="s">
        <v>339</v>
      </c>
      <c r="E131" s="116" t="s">
        <v>467</v>
      </c>
      <c r="F131" s="116" t="s">
        <v>438</v>
      </c>
      <c r="G131" s="970"/>
      <c r="H131" s="970"/>
      <c r="I131" s="775">
        <f>$F$22*$H$9*'Traffic Data'!AK14*annualizationFactor</f>
        <v>8.7183744028199994E-5</v>
      </c>
      <c r="J131" s="775">
        <f>$F$22*$H$9*'Traffic Data'!AL14*annualizationFactor</f>
        <v>8.7183744028199994E-5</v>
      </c>
      <c r="K131" s="775">
        <f>$F$22*$H$9*'Traffic Data'!AM14*annualizationFactor</f>
        <v>1.0201369888739684E-3</v>
      </c>
      <c r="L131" s="775">
        <f>$F$22*$H$9*'Traffic Data'!AN14*annualizationFactor</f>
        <v>1.9530902337197369E-3</v>
      </c>
      <c r="M131" s="775">
        <f>$F$22*$H$9*'Traffic Data'!AO14*annualizationFactor</f>
        <v>2.886828132261759E-3</v>
      </c>
      <c r="N131" s="775">
        <f>$F$22*$H$9*'Traffic Data'!AP14*annualizationFactor</f>
        <v>3.8197813771075279E-3</v>
      </c>
      <c r="O131" s="775">
        <f>$F$22*$H$9*'Traffic Data'!AQ14*annualizationFactor</f>
        <v>4.7527346219532959E-3</v>
      </c>
      <c r="P131" s="775">
        <f>$F$22*$H$9*'Traffic Data'!AR14*annualizationFactor</f>
        <v>5.6864725204953184E-3</v>
      </c>
      <c r="Q131" s="775">
        <f>$F$22*$H$9*'Traffic Data'!AS14*annualizationFactor</f>
        <v>5.6864725204953184E-3</v>
      </c>
      <c r="R131" s="775">
        <f>$F$22*$H$9*'Traffic Data'!AT14*annualizationFactor</f>
        <v>5.6864725204953184E-3</v>
      </c>
      <c r="S131" s="775">
        <f>$F$22*$H$9*'Traffic Data'!AU14*annualizationFactor</f>
        <v>5.6864725204953184E-3</v>
      </c>
      <c r="T131" s="775">
        <f>$F$22*$H$9*'Traffic Data'!AV14*annualizationFactor</f>
        <v>5.6864725204953184E-3</v>
      </c>
      <c r="U131" s="775">
        <f>$F$22*$H$9*'Traffic Data'!AW14*annualizationFactor</f>
        <v>5.6864725204953184E-3</v>
      </c>
      <c r="V131" s="775">
        <f>$F$22*$H$9*'Traffic Data'!AX14*annualizationFactor</f>
        <v>5.6864725204953184E-3</v>
      </c>
      <c r="W131" s="775">
        <f>$F$22*$H$9*'Traffic Data'!AY14*annualizationFactor</f>
        <v>5.6864725204953184E-3</v>
      </c>
      <c r="X131" s="775">
        <f>$F$22*$H$9*'Traffic Data'!AZ14*annualizationFactor</f>
        <v>5.6864725204953184E-3</v>
      </c>
      <c r="Y131" s="775">
        <f>$F$22*$H$9*'Traffic Data'!BA14*annualizationFactor</f>
        <v>5.6864725204953184E-3</v>
      </c>
      <c r="Z131" s="775">
        <f>$F$22*$H$9*'Traffic Data'!BB14*annualizationFactor</f>
        <v>5.6864725204953184E-3</v>
      </c>
      <c r="AA131" s="775">
        <f>$F$22*$H$9*'Traffic Data'!BC14*annualizationFactor</f>
        <v>5.6864725204953184E-3</v>
      </c>
      <c r="AB131" s="775">
        <f>$F$22*$H$9*'Traffic Data'!BD14*annualizationFactor</f>
        <v>5.6864725204953184E-3</v>
      </c>
      <c r="AC131" s="775">
        <f>$F$22*$H$9*'Traffic Data'!BE14*annualizationFactor</f>
        <v>5.6864725204953184E-3</v>
      </c>
      <c r="AD131" s="775">
        <f>$F$22*$H$9*'Traffic Data'!BF14*annualizationFactor</f>
        <v>5.6864725204953184E-3</v>
      </c>
      <c r="AE131" s="775">
        <f>$F$22*$H$9*'Traffic Data'!BG14*annualizationFactor</f>
        <v>5.6864725204953184E-3</v>
      </c>
      <c r="AF131" s="775">
        <f>$F$22*$H$9*'Traffic Data'!BH14*annualizationFactor</f>
        <v>5.6864725204953184E-3</v>
      </c>
      <c r="AG131" s="775">
        <f>$F$22*$H$9*'Traffic Data'!BI14*annualizationFactor</f>
        <v>5.6864725204953184E-3</v>
      </c>
      <c r="AH131" s="776">
        <f>$F$22*$H$9*'Traffic Data'!BJ14*annualizationFactor</f>
        <v>5.6864725204953184E-3</v>
      </c>
      <c r="AI131" s="40"/>
      <c r="AJ131" s="40"/>
      <c r="AK131" s="40"/>
      <c r="AL131" s="40"/>
      <c r="AM131" s="40"/>
    </row>
    <row r="132" spans="2:39" ht="21.95" customHeight="1" x14ac:dyDescent="0.2">
      <c r="B132" s="1346"/>
      <c r="C132" s="116" t="s">
        <v>339</v>
      </c>
      <c r="D132" s="116" t="s">
        <v>288</v>
      </c>
      <c r="E132" s="116" t="s">
        <v>467</v>
      </c>
      <c r="F132" s="116" t="s">
        <v>438</v>
      </c>
      <c r="G132" s="970"/>
      <c r="H132" s="970"/>
      <c r="I132" s="777">
        <f>$F$22*$H$9*'Traffic Data'!AK15*annualizationFactor</f>
        <v>3.9781619497312014E-5</v>
      </c>
      <c r="J132" s="777">
        <f>$F$22*$H$9*'Traffic Data'!AL15*annualizationFactor</f>
        <v>7.5585077044892807E-5</v>
      </c>
      <c r="K132" s="777">
        <f>$F$22*$H$9*'Traffic Data'!AM15*annualizationFactor</f>
        <v>1.1138853459247361E-4</v>
      </c>
      <c r="L132" s="777">
        <f>$F$22*$H$9*'Traffic Data'!AN15*annualizationFactor</f>
        <v>2.4230622784726408E-4</v>
      </c>
      <c r="M132" s="777">
        <f>$F$22*$H$9*'Traffic Data'!AO15*annualizationFactor</f>
        <v>3.730430955588849E-4</v>
      </c>
      <c r="N132" s="777">
        <f>$F$22*$H$9*'Traffic Data'!AP15*annualizationFactor</f>
        <v>5.0414161435684496E-4</v>
      </c>
      <c r="O132" s="777">
        <f>$F$22*$H$9*'Traffic Data'!AQ15*annualizationFactor</f>
        <v>6.3505930761163538E-4</v>
      </c>
      <c r="P132" s="777">
        <f>$F$22*$H$9*'Traffic Data'!AR15*annualizationFactor</f>
        <v>7.6597700086642579E-4</v>
      </c>
      <c r="Q132" s="777">
        <f>$F$22*$H$9*'Traffic Data'!AS15*annualizationFactor</f>
        <v>9.9363635971695219E-4</v>
      </c>
      <c r="R132" s="777">
        <f>$F$22*$H$9*'Traffic Data'!AT15*annualizationFactor</f>
        <v>1.2211148930243092E-3</v>
      </c>
      <c r="S132" s="777">
        <f>$F$22*$H$9*'Traffic Data'!AU15*annualizationFactor</f>
        <v>1.4485934263316659E-3</v>
      </c>
      <c r="T132" s="777">
        <f>$F$22*$H$9*'Traffic Data'!AV15*annualizationFactor</f>
        <v>1.6762527851821925E-3</v>
      </c>
      <c r="U132" s="777">
        <f>$F$22*$H$9*'Traffic Data'!AW15*annualizationFactor</f>
        <v>1.9039121440327189E-3</v>
      </c>
      <c r="V132" s="777">
        <f>$F$22*$H$9*'Traffic Data'!AX15*annualizationFactor</f>
        <v>2.0364572671760354E-3</v>
      </c>
      <c r="W132" s="777">
        <f>$F$22*$H$9*'Traffic Data'!AY15*annualizationFactor</f>
        <v>2.0720798991804468E-3</v>
      </c>
      <c r="X132" s="777">
        <f>$F$22*$H$9*'Traffic Data'!AZ15*annualizationFactor</f>
        <v>2.1078833567280278E-3</v>
      </c>
      <c r="Y132" s="777">
        <f>$F$22*$H$9*'Traffic Data'!BA15*annualizationFactor</f>
        <v>2.143686814275608E-3</v>
      </c>
      <c r="Z132" s="777">
        <f>$F$22*$H$9*'Traffic Data'!BB15*annualizationFactor</f>
        <v>2.179490271823189E-3</v>
      </c>
      <c r="AA132" s="777">
        <f>$F$22*$H$9*'Traffic Data'!BC15*annualizationFactor</f>
        <v>2.2152937293707701E-3</v>
      </c>
      <c r="AB132" s="777">
        <f>$F$22*$H$9*'Traffic Data'!BD15*annualizationFactor</f>
        <v>2.2510971869183507E-3</v>
      </c>
      <c r="AC132" s="777">
        <f>$F$22*$H$9*'Traffic Data'!BE15*annualizationFactor</f>
        <v>2.2869006444659317E-3</v>
      </c>
      <c r="AD132" s="777">
        <f>$F$22*$H$9*'Traffic Data'!BF15*annualizationFactor</f>
        <v>2.3227041020135123E-3</v>
      </c>
      <c r="AE132" s="777">
        <f>$F$22*$H$9*'Traffic Data'!BG15*annualizationFactor</f>
        <v>2.3583267340179233E-3</v>
      </c>
      <c r="AF132" s="777">
        <f>$F$22*$H$9*'Traffic Data'!BH15*annualizationFactor</f>
        <v>2.3941301915655043E-3</v>
      </c>
      <c r="AG132" s="777">
        <f>$F$22*$H$9*'Traffic Data'!BI15*annualizationFactor</f>
        <v>2.4299336491130849E-3</v>
      </c>
      <c r="AH132" s="778">
        <f>$F$22*$H$9*'Traffic Data'!BJ15*annualizationFactor</f>
        <v>2.4657371066606659E-3</v>
      </c>
      <c r="AI132" s="40"/>
      <c r="AJ132" s="40"/>
      <c r="AK132" s="40"/>
      <c r="AL132" s="40"/>
      <c r="AM132" s="40"/>
    </row>
    <row r="133" spans="2:39" ht="21.95" customHeight="1" x14ac:dyDescent="0.2">
      <c r="B133" s="1346"/>
      <c r="C133" s="116" t="s">
        <v>288</v>
      </c>
      <c r="D133" s="116" t="s">
        <v>340</v>
      </c>
      <c r="E133" s="116" t="s">
        <v>467</v>
      </c>
      <c r="F133" s="116" t="s">
        <v>438</v>
      </c>
      <c r="G133" s="970"/>
      <c r="H133" s="970"/>
      <c r="I133" s="777">
        <f>$F$22*$H$9*'Traffic Data'!AK16*annualizationFactor</f>
        <v>1.4143140697908002E-4</v>
      </c>
      <c r="J133" s="777">
        <f>$F$22*$H$9*'Traffic Data'!AL16*annualizationFactor</f>
        <v>2.6865838631722773E-4</v>
      </c>
      <c r="K133" s="777">
        <f>$F$22*$H$9*'Traffic Data'!AM16*annualizationFactor</f>
        <v>3.9584293623328186E-4</v>
      </c>
      <c r="L133" s="777">
        <f>$F$22*$H$9*'Traffic Data'!AN16*annualizationFactor</f>
        <v>8.6113812205375697E-4</v>
      </c>
      <c r="M133" s="777">
        <f>$F$22*$H$9*'Traffic Data'!AO16*annualizationFactor</f>
        <v>1.3264521653951632E-3</v>
      </c>
      <c r="N133" s="777">
        <f>$F$22*$H$9*'Traffic Data'!AP16*annualizationFactor</f>
        <v>1.7923602206458811E-3</v>
      </c>
      <c r="O133" s="777">
        <f>$F$22*$H$9*'Traffic Data'!AQ16*annualizationFactor</f>
        <v>2.2576554064663561E-3</v>
      </c>
      <c r="P133" s="777">
        <f>$F$22*$H$9*'Traffic Data'!AR16*annualizationFactor</f>
        <v>2.7232334551007898E-3</v>
      </c>
      <c r="Q133" s="777">
        <f>$F$22*$H$9*'Traffic Data'!AS16*annualizationFactor</f>
        <v>3.532348391287409E-3</v>
      </c>
      <c r="R133" s="777">
        <f>$F$22*$H$9*'Traffic Data'!AT16*annualizationFactor</f>
        <v>4.3411333208577436E-3</v>
      </c>
      <c r="S133" s="777">
        <f>$F$22*$H$9*'Traffic Data'!AU16*annualizationFactor</f>
        <v>5.1501869701013362E-3</v>
      </c>
      <c r="T133" s="777">
        <f>$F$22*$H$9*'Traffic Data'!AV16*annualizationFactor</f>
        <v>5.9593019062879563E-3</v>
      </c>
      <c r="U133" s="777">
        <f>$F$22*$H$9*'Traffic Data'!AW16*annualizationFactor</f>
        <v>6.7690061400036538E-3</v>
      </c>
      <c r="V133" s="777">
        <f>$F$22*$H$9*'Traffic Data'!AX16*annualizationFactor</f>
        <v>7.2396851480497999E-3</v>
      </c>
      <c r="W133" s="777">
        <f>$F$22*$H$9*'Traffic Data'!AY16*annualizationFactor</f>
        <v>7.366912127387948E-3</v>
      </c>
      <c r="X133" s="777">
        <f>$F$22*$H$9*'Traffic Data'!AZ16*annualizationFactor</f>
        <v>7.4941391067260953E-3</v>
      </c>
      <c r="Y133" s="777">
        <f>$F$22*$H$9*'Traffic Data'!BA16*annualizationFactor</f>
        <v>7.6213660860642426E-3</v>
      </c>
      <c r="Z133" s="777">
        <f>$F$22*$H$9*'Traffic Data'!BB16*annualizationFactor</f>
        <v>7.7485506359802961E-3</v>
      </c>
      <c r="AA133" s="777">
        <f>$F$22*$H$9*'Traffic Data'!BC16*annualizationFactor</f>
        <v>7.875777615318446E-3</v>
      </c>
      <c r="AB133" s="777">
        <f>$F$22*$H$9*'Traffic Data'!BD16*annualizationFactor</f>
        <v>8.0029621652344986E-3</v>
      </c>
      <c r="AC133" s="777">
        <f>$F$22*$H$9*'Traffic Data'!BE16*annualizationFactor</f>
        <v>8.130189144572645E-3</v>
      </c>
      <c r="AD133" s="777">
        <f>$F$22*$H$9*'Traffic Data'!BF16*annualizationFactor</f>
        <v>8.2574161239107949E-3</v>
      </c>
      <c r="AE133" s="777">
        <f>$F$22*$H$9*'Traffic Data'!BG16*annualizationFactor</f>
        <v>8.3846006738268475E-3</v>
      </c>
      <c r="AF133" s="777">
        <f>$F$22*$H$9*'Traffic Data'!BH16*annualizationFactor</f>
        <v>8.5118276531649974E-3</v>
      </c>
      <c r="AG133" s="777">
        <f>$F$22*$H$9*'Traffic Data'!BI16*annualizationFactor</f>
        <v>8.6390546325031455E-3</v>
      </c>
      <c r="AH133" s="778">
        <f>$F$22*$H$9*'Traffic Data'!BJ16*annualizationFactor</f>
        <v>8.7662391824191981E-3</v>
      </c>
      <c r="AI133" s="40"/>
      <c r="AJ133" s="40"/>
      <c r="AK133" s="40"/>
      <c r="AL133" s="40"/>
      <c r="AM133" s="40"/>
    </row>
    <row r="134" spans="2:39" ht="21.95" customHeight="1" x14ac:dyDescent="0.2">
      <c r="B134" s="1346"/>
      <c r="C134" s="254" t="s">
        <v>340</v>
      </c>
      <c r="D134" s="254" t="s">
        <v>280</v>
      </c>
      <c r="E134" s="116" t="s">
        <v>467</v>
      </c>
      <c r="F134" s="254" t="s">
        <v>438</v>
      </c>
      <c r="G134" s="970"/>
      <c r="H134" s="970"/>
      <c r="I134" s="777">
        <f>$F$22*$H$9*'Traffic Data'!AK17*annualizationFactor</f>
        <v>2.0342873606580002E-4</v>
      </c>
      <c r="J134" s="777">
        <f>$F$22*$H$9*'Traffic Data'!AL17*annualizationFactor</f>
        <v>3.8642644607272492E-4</v>
      </c>
      <c r="K134" s="777">
        <f>$F$22*$H$9*'Traffic Data'!AM17*annualizationFactor</f>
        <v>5.6936312745883009E-4</v>
      </c>
      <c r="L134" s="777">
        <f>$F$22*$H$9*'Traffic Data'!AN17*annualizationFactor</f>
        <v>1.2386233262417054E-3</v>
      </c>
      <c r="M134" s="777">
        <f>$F$22*$H$9*'Traffic Data'!AO17*annualizationFactor</f>
        <v>1.9079106488560566E-3</v>
      </c>
      <c r="N134" s="777">
        <f>$F$22*$H$9*'Traffic Data'!AP17*annualizationFactor</f>
        <v>2.5780523721618842E-3</v>
      </c>
      <c r="O134" s="777">
        <f>$F$22*$H$9*'Traffic Data'!AQ17*annualizationFactor</f>
        <v>3.2473125709447594E-3</v>
      </c>
      <c r="P134" s="777">
        <f>$F$22*$H$9*'Traffic Data'!AR17*annualizationFactor</f>
        <v>3.9169796271997662E-3</v>
      </c>
      <c r="Q134" s="777">
        <f>$F$22*$H$9*'Traffic Data'!AS17*annualizationFactor</f>
        <v>5.0807750833586022E-3</v>
      </c>
      <c r="R134" s="777">
        <f>$F$22*$H$9*'Traffic Data'!AT17*annualizationFactor</f>
        <v>6.2440958724666179E-3</v>
      </c>
      <c r="S134" s="777">
        <f>$F$22*$H$9*'Traffic Data'!AU17*annualizationFactor</f>
        <v>7.4078031761731561E-3</v>
      </c>
      <c r="T134" s="777">
        <f>$F$22*$H$9*'Traffic Data'!AV17*annualizationFactor</f>
        <v>8.571598632331992E-3</v>
      </c>
      <c r="U134" s="777">
        <f>$F$22*$H$9*'Traffic Data'!AW17*annualizationFactor</f>
        <v>9.7362417082244353E-3</v>
      </c>
      <c r="V134" s="777">
        <f>$F$22*$H$9*'Traffic Data'!AX17*annualizationFactor</f>
        <v>1.0413245760893548E-2</v>
      </c>
      <c r="W134" s="777">
        <f>$F$22*$H$9*'Traffic Data'!AY17*annualizationFactor</f>
        <v>1.0596243470900473E-2</v>
      </c>
      <c r="X134" s="777">
        <f>$F$22*$H$9*'Traffic Data'!AZ17*annualizationFactor</f>
        <v>1.0779241180907397E-2</v>
      </c>
      <c r="Y134" s="777">
        <f>$F$22*$H$9*'Traffic Data'!BA17*annualizationFactor</f>
        <v>1.0962238890914322E-2</v>
      </c>
      <c r="Z134" s="777">
        <f>$F$22*$H$9*'Traffic Data'!BB17*annualizationFactor</f>
        <v>1.1145175572300428E-2</v>
      </c>
      <c r="AA134" s="777">
        <f>$F$22*$H$9*'Traffic Data'!BC17*annualizationFactor</f>
        <v>1.1328173282307353E-2</v>
      </c>
      <c r="AB134" s="777">
        <f>$F$22*$H$9*'Traffic Data'!BD17*annualizationFactor</f>
        <v>1.1511109963693457E-2</v>
      </c>
      <c r="AC134" s="777">
        <f>$F$22*$H$9*'Traffic Data'!BE17*annualizationFactor</f>
        <v>1.1694107673700381E-2</v>
      </c>
      <c r="AD134" s="777">
        <f>$F$22*$H$9*'Traffic Data'!BF17*annualizationFactor</f>
        <v>1.187710538370731E-2</v>
      </c>
      <c r="AE134" s="777">
        <f>$F$22*$H$9*'Traffic Data'!BG17*annualizationFactor</f>
        <v>1.2060042065093413E-2</v>
      </c>
      <c r="AF134" s="777">
        <f>$F$22*$H$9*'Traffic Data'!BH17*annualizationFactor</f>
        <v>1.2243039775100341E-2</v>
      </c>
      <c r="AG134" s="777">
        <f>$F$22*$H$9*'Traffic Data'!BI17*annualizationFactor</f>
        <v>1.2426037485107266E-2</v>
      </c>
      <c r="AH134" s="778">
        <f>$F$22*$H$9*'Traffic Data'!BJ17*annualizationFactor</f>
        <v>1.2608974166493368E-2</v>
      </c>
      <c r="AI134" s="40"/>
      <c r="AJ134" s="40"/>
      <c r="AK134" s="40"/>
      <c r="AL134" s="40"/>
      <c r="AM134" s="40"/>
    </row>
    <row r="135" spans="2:39" ht="21.95" customHeight="1" x14ac:dyDescent="0.2">
      <c r="B135" s="1346" t="s">
        <v>334</v>
      </c>
      <c r="C135" s="116" t="s">
        <v>336</v>
      </c>
      <c r="D135" s="116" t="s">
        <v>337</v>
      </c>
      <c r="E135" s="220" t="s">
        <v>467</v>
      </c>
      <c r="F135" s="116" t="s">
        <v>438</v>
      </c>
      <c r="G135" s="775"/>
      <c r="H135" s="775"/>
      <c r="I135" s="775">
        <f>$F$22*$I$9*'Traffic Data'!AK18*annualizationFactor</f>
        <v>4.0685747213160001E-3</v>
      </c>
      <c r="J135" s="775">
        <f>$F$22*$I$9*'Traffic Data'!AL18*annualizationFactor</f>
        <v>4.1787895043916487E-3</v>
      </c>
      <c r="K135" s="775">
        <f>$F$22*$I$9*'Traffic Data'!AM18*annualizationFactor</f>
        <v>4.3581700577296706E-3</v>
      </c>
      <c r="L135" s="775">
        <f>$F$22*$I$9*'Traffic Data'!AN18*annualizationFactor</f>
        <v>4.615521939476913E-3</v>
      </c>
      <c r="M135" s="775">
        <f>$F$22*$I$9*'Traffic Data'!AO18*annualizationFactor</f>
        <v>4.8729900662161929E-3</v>
      </c>
      <c r="N135" s="775">
        <f>$F$22*$I$9*'Traffic Data'!AP18*annualizationFactor</f>
        <v>5.1304291317074632E-3</v>
      </c>
      <c r="O135" s="775">
        <f>$F$22*$I$9*'Traffic Data'!AQ18*annualizationFactor</f>
        <v>5.3877810134547047E-3</v>
      </c>
      <c r="P135" s="775">
        <f>$F$22*$I$9*'Traffic Data'!AR18*annualizationFactor</f>
        <v>5.6453508545620161E-3</v>
      </c>
      <c r="Q135" s="775">
        <f>$F$22*$I$9*'Traffic Data'!AS18*annualizationFactor</f>
        <v>5.8743534888760869E-3</v>
      </c>
      <c r="R135" s="775">
        <f>$F$22*$I$9*'Traffic Data'!AT18*annualizationFactor</f>
        <v>6.1034287763101838E-3</v>
      </c>
      <c r="S135" s="775">
        <f>$F$22*$I$9*'Traffic Data'!AU18*annualizationFactor</f>
        <v>6.3324314106242546E-3</v>
      </c>
      <c r="T135" s="775">
        <f>$F$22*$I$9*'Traffic Data'!AV18*annualizationFactor</f>
        <v>6.561434044938327E-3</v>
      </c>
      <c r="U135" s="775">
        <f>$F$22*$I$9*'Traffic Data'!AW18*annualizationFactor</f>
        <v>6.7906401079884642E-3</v>
      </c>
      <c r="V135" s="775">
        <f>$F$22*$I$9*'Traffic Data'!AX18*annualizationFactor</f>
        <v>6.9415696995252839E-3</v>
      </c>
      <c r="W135" s="775">
        <f>$F$22*$I$9*'Traffic Data'!AY18*annualizationFactor</f>
        <v>7.0517844826009325E-3</v>
      </c>
      <c r="X135" s="775">
        <f>$F$22*$I$9*'Traffic Data'!AZ18*annualizationFactor</f>
        <v>7.1619992656765837E-3</v>
      </c>
      <c r="Y135" s="775">
        <f>$F$22*$I$9*'Traffic Data'!BA18*annualizationFactor</f>
        <v>7.2722140487522314E-3</v>
      </c>
      <c r="Z135" s="775">
        <f>$F$22*$I$9*'Traffic Data'!BB18*annualizationFactor</f>
        <v>7.3824869543239E-3</v>
      </c>
      <c r="AA135" s="775">
        <f>$F$22*$I$9*'Traffic Data'!BC18*annualizationFactor</f>
        <v>7.4927017373995503E-3</v>
      </c>
      <c r="AB135" s="775">
        <f>$F$22*$I$9*'Traffic Data'!BD18*annualizationFactor</f>
        <v>7.602974642971219E-3</v>
      </c>
      <c r="AC135" s="775">
        <f>$F$22*$I$9*'Traffic Data'!BE18*annualizationFactor</f>
        <v>7.7131894260468667E-3</v>
      </c>
      <c r="AD135" s="775">
        <f>$F$22*$I$9*'Traffic Data'!BF18*annualizationFactor</f>
        <v>7.823404209122517E-3</v>
      </c>
      <c r="AE135" s="775">
        <f>$F$22*$I$9*'Traffic Data'!BG18*annualizationFactor</f>
        <v>7.9336771146941848E-3</v>
      </c>
      <c r="AF135" s="775">
        <f>$F$22*$I$9*'Traffic Data'!BH18*annualizationFactor</f>
        <v>8.0438918977698351E-3</v>
      </c>
      <c r="AG135" s="775">
        <f>$F$22*$I$9*'Traffic Data'!BI18*annualizationFactor</f>
        <v>8.1541066808454837E-3</v>
      </c>
      <c r="AH135" s="776">
        <f>$F$22*$I$9*'Traffic Data'!BJ18*annualizationFactor</f>
        <v>8.2643795864171515E-3</v>
      </c>
      <c r="AI135" s="40"/>
      <c r="AJ135" s="40"/>
      <c r="AK135" s="40"/>
      <c r="AL135" s="40"/>
      <c r="AM135" s="40"/>
    </row>
    <row r="136" spans="2:39" ht="21.95" customHeight="1" x14ac:dyDescent="0.2">
      <c r="B136" s="1346"/>
      <c r="C136" s="116" t="s">
        <v>337</v>
      </c>
      <c r="D136" s="116" t="s">
        <v>386</v>
      </c>
      <c r="E136" s="116" t="s">
        <v>467</v>
      </c>
      <c r="F136" s="116" t="s">
        <v>438</v>
      </c>
      <c r="G136" s="970"/>
      <c r="H136" s="970"/>
      <c r="I136" s="777">
        <f>$F$22*$I$9*'Traffic Data'!AK19*annualizationFactor</f>
        <v>6.3934745620680003E-3</v>
      </c>
      <c r="J136" s="777">
        <f>$F$22*$I$9*'Traffic Data'!AL19*annualizationFactor</f>
        <v>6.526284465470958E-3</v>
      </c>
      <c r="K136" s="777">
        <f>$F$22*$I$9*'Traffic Data'!AM19*annualizationFactor</f>
        <v>6.841308393892854E-3</v>
      </c>
      <c r="L136" s="777">
        <f>$F$22*$I$9*'Traffic Data'!AN19*annualizationFactor</f>
        <v>7.1865560202445259E-3</v>
      </c>
      <c r="M136" s="777">
        <f>$F$22*$I$9*'Traffic Data'!AO19*annualizationFactor</f>
        <v>7.5323848715563857E-3</v>
      </c>
      <c r="N136" s="777">
        <f>$F$22*$I$9*'Traffic Data'!AP19*annualizationFactor</f>
        <v>7.877923110388152E-3</v>
      </c>
      <c r="O136" s="777">
        <f>$F$22*$I$9*'Traffic Data'!AQ19*annualizationFactor</f>
        <v>8.2231707367398238E-3</v>
      </c>
      <c r="P136" s="777">
        <f>$F$22*$I$9*'Traffic Data'!AR19*annualizationFactor</f>
        <v>8.5689995880516828E-3</v>
      </c>
      <c r="Q136" s="777">
        <f>$F$22*$I$9*'Traffic Data'!AS19*annualizationFactor</f>
        <v>8.7593507625132547E-3</v>
      </c>
      <c r="R136" s="777">
        <f>$F$22*$I$9*'Traffic Data'!AT19*annualizationFactor</f>
        <v>8.9499925494549177E-3</v>
      </c>
      <c r="S136" s="777">
        <f>$F$22*$I$9*'Traffic Data'!AU19*annualizationFactor</f>
        <v>9.1403437239164879E-3</v>
      </c>
      <c r="T136" s="777">
        <f>$F$22*$I$9*'Traffic Data'!AV19*annualizationFactor</f>
        <v>9.3309855108581526E-3</v>
      </c>
      <c r="U136" s="777">
        <f>$F$22*$I$9*'Traffic Data'!AW19*annualizationFactor</f>
        <v>9.5213366853197211E-3</v>
      </c>
      <c r="V136" s="777">
        <f>$F$22*$I$9*'Traffic Data'!AX19*annualizationFactor</f>
        <v>9.6814641618515156E-3</v>
      </c>
      <c r="W136" s="777">
        <f>$F$22*$I$9*'Traffic Data'!AY19*annualizationFactor</f>
        <v>9.8197957023762588E-3</v>
      </c>
      <c r="X136" s="777">
        <f>$F$22*$I$9*'Traffic Data'!AZ19*annualizationFactor</f>
        <v>9.9584178553810982E-3</v>
      </c>
      <c r="Y136" s="777">
        <f>$F$22*$I$9*'Traffic Data'!BA19*annualizationFactor</f>
        <v>1.0097040008385936E-2</v>
      </c>
      <c r="Z136" s="777">
        <f>$F$22*$I$9*'Traffic Data'!BB19*annualizationFactor</f>
        <v>1.0235662161390774E-2</v>
      </c>
      <c r="AA136" s="777">
        <f>$F$22*$I$9*'Traffic Data'!BC19*annualizationFactor</f>
        <v>1.0374284314395611E-2</v>
      </c>
      <c r="AB136" s="777">
        <f>$F$22*$I$9*'Traffic Data'!BD19*annualizationFactor</f>
        <v>1.0512906467400449E-2</v>
      </c>
      <c r="AC136" s="777">
        <f>$F$22*$I$9*'Traffic Data'!BE19*annualizationFactor</f>
        <v>1.0651528620405288E-2</v>
      </c>
      <c r="AD136" s="777">
        <f>$F$22*$I$9*'Traffic Data'!BF19*annualizationFactor</f>
        <v>1.0790150773410126E-2</v>
      </c>
      <c r="AE136" s="777">
        <f>$F$22*$I$9*'Traffic Data'!BG19*annualizationFactor</f>
        <v>1.0928772926414964E-2</v>
      </c>
      <c r="AF136" s="777">
        <f>$F$22*$I$9*'Traffic Data'!BH19*annualizationFactor</f>
        <v>1.1067395079419801E-2</v>
      </c>
      <c r="AG136" s="777">
        <f>$F$22*$I$9*'Traffic Data'!BI19*annualizationFactor</f>
        <v>1.1205726619944545E-2</v>
      </c>
      <c r="AH136" s="778">
        <f>$F$22*$I$9*'Traffic Data'!BJ19*annualizationFactor</f>
        <v>1.1344348772949382E-2</v>
      </c>
      <c r="AI136" s="40"/>
      <c r="AJ136" s="40"/>
      <c r="AK136" s="40"/>
      <c r="AL136" s="40"/>
      <c r="AM136" s="40"/>
    </row>
    <row r="137" spans="2:39" ht="21.95" customHeight="1" x14ac:dyDescent="0.2">
      <c r="B137" s="1346"/>
      <c r="C137" s="116" t="s">
        <v>342</v>
      </c>
      <c r="D137" s="116" t="s">
        <v>341</v>
      </c>
      <c r="E137" s="116" t="s">
        <v>467</v>
      </c>
      <c r="F137" s="116" t="s">
        <v>438</v>
      </c>
      <c r="G137" s="970"/>
      <c r="H137" s="970"/>
      <c r="I137" s="777">
        <f>$F$22*$I$9*'Traffic Data'!AK20*annualizationFactor</f>
        <v>8.3115169306883993E-3</v>
      </c>
      <c r="J137" s="777">
        <f>$F$22*$I$9*'Traffic Data'!AL20*annualizationFactor</f>
        <v>8.4841698051122457E-3</v>
      </c>
      <c r="K137" s="777">
        <f>$F$22*$I$9*'Traffic Data'!AM20*annualizationFactor</f>
        <v>8.8937009120607109E-3</v>
      </c>
      <c r="L137" s="777">
        <f>$F$22*$I$9*'Traffic Data'!AN20*annualizationFactor</f>
        <v>9.3425228263178828E-3</v>
      </c>
      <c r="M137" s="777">
        <f>$F$22*$I$9*'Traffic Data'!AO20*annualizationFactor</f>
        <v>9.7921003330233031E-3</v>
      </c>
      <c r="N137" s="777">
        <f>$F$22*$I$9*'Traffic Data'!AP20*annualizationFactor</f>
        <v>1.0241300043504598E-2</v>
      </c>
      <c r="O137" s="777">
        <f>$F$22*$I$9*'Traffic Data'!AQ20*annualizationFactor</f>
        <v>1.0690121957761771E-2</v>
      </c>
      <c r="P137" s="777">
        <f>$F$22*$I$9*'Traffic Data'!AR20*annualizationFactor</f>
        <v>1.1139699464467188E-2</v>
      </c>
      <c r="Q137" s="777">
        <f>$F$22*$I$9*'Traffic Data'!AS20*annualizationFactor</f>
        <v>1.1387155991267231E-2</v>
      </c>
      <c r="R137" s="777">
        <f>$F$22*$I$9*'Traffic Data'!AT20*annualizationFactor</f>
        <v>1.1634990314291391E-2</v>
      </c>
      <c r="S137" s="777">
        <f>$F$22*$I$9*'Traffic Data'!AU20*annualizationFactor</f>
        <v>1.1882446841091434E-2</v>
      </c>
      <c r="T137" s="777">
        <f>$F$22*$I$9*'Traffic Data'!AV20*annualizationFactor</f>
        <v>1.2130281164115598E-2</v>
      </c>
      <c r="U137" s="777">
        <f>$F$22*$I$9*'Traffic Data'!AW20*annualizationFactor</f>
        <v>1.2377737690915637E-2</v>
      </c>
      <c r="V137" s="777">
        <f>$F$22*$I$9*'Traffic Data'!AX20*annualizationFactor</f>
        <v>1.2585903410406973E-2</v>
      </c>
      <c r="W137" s="777">
        <f>$F$22*$I$9*'Traffic Data'!AY20*annualizationFactor</f>
        <v>1.2765734413089138E-2</v>
      </c>
      <c r="X137" s="777">
        <f>$F$22*$I$9*'Traffic Data'!AZ20*annualizationFactor</f>
        <v>1.2945943211995428E-2</v>
      </c>
      <c r="Y137" s="777">
        <f>$F$22*$I$9*'Traffic Data'!BA20*annualizationFactor</f>
        <v>1.3126152010901717E-2</v>
      </c>
      <c r="Z137" s="777">
        <f>$F$22*$I$9*'Traffic Data'!BB20*annualizationFactor</f>
        <v>1.3306360809808007E-2</v>
      </c>
      <c r="AA137" s="777">
        <f>$F$22*$I$9*'Traffic Data'!BC20*annualizationFactor</f>
        <v>1.3486569608714295E-2</v>
      </c>
      <c r="AB137" s="777">
        <f>$F$22*$I$9*'Traffic Data'!BD20*annualizationFactor</f>
        <v>1.3666778407620584E-2</v>
      </c>
      <c r="AC137" s="777">
        <f>$F$22*$I$9*'Traffic Data'!BE20*annualizationFactor</f>
        <v>1.3846987206526874E-2</v>
      </c>
      <c r="AD137" s="777">
        <f>$F$22*$I$9*'Traffic Data'!BF20*annualizationFactor</f>
        <v>1.4027196005433165E-2</v>
      </c>
      <c r="AE137" s="777">
        <f>$F$22*$I$9*'Traffic Data'!BG20*annualizationFactor</f>
        <v>1.4207404804339454E-2</v>
      </c>
      <c r="AF137" s="777">
        <f>$F$22*$I$9*'Traffic Data'!BH20*annualizationFactor</f>
        <v>1.4387613603245742E-2</v>
      </c>
      <c r="AG137" s="777">
        <f>$F$22*$I$9*'Traffic Data'!BI20*annualizationFactor</f>
        <v>1.4567444605927911E-2</v>
      </c>
      <c r="AH137" s="778">
        <f>$F$22*$I$9*'Traffic Data'!BJ20*annualizationFactor</f>
        <v>1.4747653404834199E-2</v>
      </c>
      <c r="AI137" s="40"/>
      <c r="AJ137" s="40"/>
      <c r="AK137" s="40"/>
      <c r="AL137" s="40"/>
      <c r="AM137" s="40"/>
    </row>
    <row r="138" spans="2:39" ht="21.95" customHeight="1" x14ac:dyDescent="0.2">
      <c r="B138" s="1346"/>
      <c r="C138" s="116" t="s">
        <v>341</v>
      </c>
      <c r="D138" s="116" t="s">
        <v>344</v>
      </c>
      <c r="E138" s="116" t="s">
        <v>467</v>
      </c>
      <c r="F138" s="116" t="s">
        <v>438</v>
      </c>
      <c r="G138" s="970"/>
      <c r="H138" s="970"/>
      <c r="I138" s="777">
        <f>$F$22*$I$9*'Traffic Data'!AK21*annualizationFactor</f>
        <v>9.2182278685816795E-3</v>
      </c>
      <c r="J138" s="777">
        <f>$F$22*$I$9*'Traffic Data'!AL21*annualizationFactor</f>
        <v>9.4181925038847574E-3</v>
      </c>
      <c r="K138" s="777">
        <f>$F$22*$I$9*'Traffic Data'!AM21*annualizationFactor</f>
        <v>9.8727220472509796E-3</v>
      </c>
      <c r="L138" s="777">
        <f>$F$22*$I$9*'Traffic Data'!AN21*annualizationFactor</f>
        <v>1.037121544660582E-2</v>
      </c>
      <c r="M138" s="777">
        <f>$F$22*$I$9*'Traffic Data'!AO21*annualizationFactor</f>
        <v>1.0870063393186373E-2</v>
      </c>
      <c r="N138" s="777">
        <f>$F$22*$I$9*'Traffic Data'!AP21*annualizationFactor</f>
        <v>1.1368556792541213E-2</v>
      </c>
      <c r="O138" s="777">
        <f>$F$22*$I$9*'Traffic Data'!AQ21*annualizationFactor</f>
        <v>1.1867050191896053E-2</v>
      </c>
      <c r="P138" s="777">
        <f>$F$22*$I$9*'Traffic Data'!AR21*annualizationFactor</f>
        <v>1.2365898138476607E-2</v>
      </c>
      <c r="Q138" s="777">
        <f>$F$22*$I$9*'Traffic Data'!AS21*annualizationFactor</f>
        <v>1.2641026785631199E-2</v>
      </c>
      <c r="R138" s="777">
        <f>$F$22*$I$9*'Traffic Data'!AT21*annualizationFactor</f>
        <v>1.2915800885560075E-2</v>
      </c>
      <c r="S138" s="777">
        <f>$F$22*$I$9*'Traffic Data'!AU21*annualizationFactor</f>
        <v>1.319092953271467E-2</v>
      </c>
      <c r="T138" s="777">
        <f>$F$22*$I$9*'Traffic Data'!AV21*annualizationFactor</f>
        <v>1.3465703632643546E-2</v>
      </c>
      <c r="U138" s="777">
        <f>$F$22*$I$9*'Traffic Data'!AW21*annualizationFactor</f>
        <v>1.3740832279798137E-2</v>
      </c>
      <c r="V138" s="777">
        <f>$F$22*$I$9*'Traffic Data'!AX21*annualizationFactor</f>
        <v>1.3971287976512679E-2</v>
      </c>
      <c r="W138" s="777">
        <f>$F$22*$I$9*'Traffic Data'!AY21*annualizationFactor</f>
        <v>1.417125261181576E-2</v>
      </c>
      <c r="X138" s="777">
        <f>$F$22*$I$9*'Traffic Data'!AZ21*annualizationFactor</f>
        <v>1.4371571794344552E-2</v>
      </c>
      <c r="Y138" s="777">
        <f>$F$22*$I$9*'Traffic Data'!BA21*annualizationFactor</f>
        <v>1.4571536429647633E-2</v>
      </c>
      <c r="Z138" s="777">
        <f>$F$22*$I$9*'Traffic Data'!BB21*annualizationFactor</f>
        <v>1.4771501064950713E-2</v>
      </c>
      <c r="AA138" s="777">
        <f>$F$22*$I$9*'Traffic Data'!BC21*annualizationFactor</f>
        <v>1.4971465700253792E-2</v>
      </c>
      <c r="AB138" s="777">
        <f>$F$22*$I$9*'Traffic Data'!BD21*annualizationFactor</f>
        <v>1.517143033555687E-2</v>
      </c>
      <c r="AC138" s="777">
        <f>$F$22*$I$9*'Traffic Data'!BE21*annualizationFactor</f>
        <v>1.5371394970859951E-2</v>
      </c>
      <c r="AD138" s="777">
        <f>$F$22*$I$9*'Traffic Data'!BF21*annualizationFactor</f>
        <v>1.5571359606163029E-2</v>
      </c>
      <c r="AE138" s="777">
        <f>$F$22*$I$9*'Traffic Data'!BG21*annualizationFactor</f>
        <v>1.5771324241466111E-2</v>
      </c>
      <c r="AF138" s="777">
        <f>$F$22*$I$9*'Traffic Data'!BH21*annualizationFactor</f>
        <v>1.5971643423994902E-2</v>
      </c>
      <c r="AG138" s="777">
        <f>$F$22*$I$9*'Traffic Data'!BI21*annualizationFactor</f>
        <v>1.6171608059297984E-2</v>
      </c>
      <c r="AH138" s="778">
        <f>$F$22*$I$9*'Traffic Data'!BJ21*annualizationFactor</f>
        <v>1.6371572694601062E-2</v>
      </c>
      <c r="AI138" s="40"/>
      <c r="AJ138" s="40"/>
      <c r="AK138" s="40"/>
      <c r="AL138" s="40"/>
      <c r="AM138" s="40"/>
    </row>
    <row r="139" spans="2:39" ht="21.95" customHeight="1" x14ac:dyDescent="0.2">
      <c r="B139" s="1346"/>
      <c r="C139" s="116" t="s">
        <v>344</v>
      </c>
      <c r="D139" s="116" t="s">
        <v>345</v>
      </c>
      <c r="E139" s="116" t="s">
        <v>467</v>
      </c>
      <c r="F139" s="116" t="s">
        <v>438</v>
      </c>
      <c r="G139" s="970"/>
      <c r="H139" s="970"/>
      <c r="I139" s="777">
        <f>$F$22*$I$9*'Traffic Data'!AK22*annualizationFactor</f>
        <v>3.777962241222E-3</v>
      </c>
      <c r="J139" s="777">
        <f>$F$22*$I$9*'Traffic Data'!AL22*annualizationFactor</f>
        <v>3.8599149606085075E-3</v>
      </c>
      <c r="K139" s="777">
        <f>$F$22*$I$9*'Traffic Data'!AM22*annualizationFactor</f>
        <v>4.0461975603487618E-3</v>
      </c>
      <c r="L139" s="777">
        <f>$F$22*$I$9*'Traffic Data'!AN22*annualizationFactor</f>
        <v>4.250498133854844E-3</v>
      </c>
      <c r="M139" s="777">
        <f>$F$22*$I$9*'Traffic Data'!AO22*annualizationFactor</f>
        <v>4.4549440136009725E-3</v>
      </c>
      <c r="N139" s="777">
        <f>$F$22*$I$9*'Traffic Data'!AP22*annualizationFactor</f>
        <v>4.6592445871070547E-3</v>
      </c>
      <c r="O139" s="777">
        <f>$F$22*$I$9*'Traffic Data'!AQ22*annualizationFactor</f>
        <v>4.8635451606131369E-3</v>
      </c>
      <c r="P139" s="777">
        <f>$F$22*$I$9*'Traffic Data'!AR22*annualizationFactor</f>
        <v>5.0679910403592663E-3</v>
      </c>
      <c r="Q139" s="777">
        <f>$F$22*$I$9*'Traffic Data'!AS22*annualizationFactor</f>
        <v>5.1807486826357385E-3</v>
      </c>
      <c r="R139" s="777">
        <f>$F$22*$I$9*'Traffic Data'!AT22*annualizationFactor</f>
        <v>5.2933610186721627E-3</v>
      </c>
      <c r="S139" s="777">
        <f>$F$22*$I$9*'Traffic Data'!AU22*annualizationFactor</f>
        <v>5.4061186609486349E-3</v>
      </c>
      <c r="T139" s="777">
        <f>$F$22*$I$9*'Traffic Data'!AV22*annualizationFactor</f>
        <v>5.51873099698506E-3</v>
      </c>
      <c r="U139" s="777">
        <f>$F$22*$I$9*'Traffic Data'!AW22*annualizationFactor</f>
        <v>5.6314886392615322E-3</v>
      </c>
      <c r="V139" s="777">
        <f>$F$22*$I$9*'Traffic Data'!AX22*annualizationFactor</f>
        <v>5.7259376952920812E-3</v>
      </c>
      <c r="W139" s="777">
        <f>$F$22*$I$9*'Traffic Data'!AY22*annualizationFactor</f>
        <v>5.8078904146785905E-3</v>
      </c>
      <c r="X139" s="777">
        <f>$F$22*$I$9*'Traffic Data'!AZ22*annualizationFactor</f>
        <v>5.8899884403051444E-3</v>
      </c>
      <c r="Y139" s="777">
        <f>$F$22*$I$9*'Traffic Data'!BA22*annualizationFactor</f>
        <v>5.971941159691652E-3</v>
      </c>
      <c r="Z139" s="777">
        <f>$F$22*$I$9*'Traffic Data'!BB22*annualizationFactor</f>
        <v>6.0538938790781613E-3</v>
      </c>
      <c r="AA139" s="777">
        <f>$F$22*$I$9*'Traffic Data'!BC22*annualizationFactor</f>
        <v>6.1358465984646688E-3</v>
      </c>
      <c r="AB139" s="777">
        <f>$F$22*$I$9*'Traffic Data'!BD22*annualizationFactor</f>
        <v>6.2177993178511772E-3</v>
      </c>
      <c r="AC139" s="777">
        <f>$F$22*$I$9*'Traffic Data'!BE22*annualizationFactor</f>
        <v>6.2997520372376848E-3</v>
      </c>
      <c r="AD139" s="777">
        <f>$F$22*$I$9*'Traffic Data'!BF22*annualizationFactor</f>
        <v>6.3817047566241923E-3</v>
      </c>
      <c r="AE139" s="777">
        <f>$F$22*$I$9*'Traffic Data'!BG22*annualizationFactor</f>
        <v>6.4636574760107007E-3</v>
      </c>
      <c r="AF139" s="777">
        <f>$F$22*$I$9*'Traffic Data'!BH22*annualizationFactor</f>
        <v>6.5457555016372555E-3</v>
      </c>
      <c r="AG139" s="777">
        <f>$F$22*$I$9*'Traffic Data'!BI22*annualizationFactor</f>
        <v>6.6277082210237639E-3</v>
      </c>
      <c r="AH139" s="778">
        <f>$F$22*$I$9*'Traffic Data'!BJ22*annualizationFactor</f>
        <v>6.7096609404102715E-3</v>
      </c>
      <c r="AI139" s="40"/>
      <c r="AJ139" s="40"/>
      <c r="AK139" s="40"/>
      <c r="AL139" s="40"/>
      <c r="AM139" s="40"/>
    </row>
    <row r="140" spans="2:39" ht="21.95" customHeight="1" x14ac:dyDescent="0.2">
      <c r="B140" s="1346"/>
      <c r="C140" s="116" t="s">
        <v>345</v>
      </c>
      <c r="D140" s="116" t="s">
        <v>323</v>
      </c>
      <c r="E140" s="116" t="s">
        <v>467</v>
      </c>
      <c r="F140" s="116" t="s">
        <v>438</v>
      </c>
      <c r="G140" s="970"/>
      <c r="H140" s="970"/>
      <c r="I140" s="777">
        <f>$F$22*$I$9*'Traffic Data'!AK23*annualizationFactor</f>
        <v>4.5568036878739199E-2</v>
      </c>
      <c r="J140" s="777">
        <f>$F$22*$I$9*'Traffic Data'!AL23*annualizationFactor</f>
        <v>4.6556700536018986E-2</v>
      </c>
      <c r="K140" s="777">
        <f>$F$22*$I$9*'Traffic Data'!AM23*annualizationFactor</f>
        <v>4.8803204754140822E-2</v>
      </c>
      <c r="L140" s="777">
        <f>$F$22*$I$9*'Traffic Data'!AN23*annualizationFactor</f>
        <v>5.1267703205830788E-2</v>
      </c>
      <c r="M140" s="777">
        <f>$F$22*$I$9*'Traffic Data'!AO23*annualizationFactor</f>
        <v>5.373334085844271E-2</v>
      </c>
      <c r="N140" s="777">
        <f>$F$22*$I$9*'Traffic Data'!AP23*annualizationFactor</f>
        <v>5.6198164796110374E-2</v>
      </c>
      <c r="O140" s="777">
        <f>$F$22*$I$9*'Traffic Data'!AQ23*annualizationFactor</f>
        <v>5.8662663247800312E-2</v>
      </c>
      <c r="P140" s="777">
        <f>$F$22*$I$9*'Traffic Data'!AR23*annualizationFactor</f>
        <v>6.1128545014895515E-2</v>
      </c>
      <c r="Q140" s="777">
        <f>$F$22*$I$9*'Traffic Data'!AS23*annualizationFactor</f>
        <v>6.2487448971815032E-2</v>
      </c>
      <c r="R140" s="777">
        <f>$F$22*$I$9*'Traffic Data'!AT23*annualizationFactor</f>
        <v>6.3846352928734598E-2</v>
      </c>
      <c r="S140" s="777">
        <f>$F$22*$I$9*'Traffic Data'!AU23*annualizationFactor</f>
        <v>6.520525688565415E-2</v>
      </c>
      <c r="T140" s="777">
        <f>$F$22*$I$9*'Traffic Data'!AV23*annualizationFactor</f>
        <v>6.6564160842573702E-2</v>
      </c>
      <c r="U140" s="777">
        <f>$F$22*$I$9*'Traffic Data'!AW23*annualizationFactor</f>
        <v>6.7923553028459788E-2</v>
      </c>
      <c r="V140" s="777">
        <f>$F$22*$I$9*'Traffic Data'!AX23*annualizationFactor</f>
        <v>6.9064218637327937E-2</v>
      </c>
      <c r="W140" s="777">
        <f>$F$22*$I$9*'Traffic Data'!AY23*annualizationFactor</f>
        <v>7.0052882294607724E-2</v>
      </c>
      <c r="X140" s="777">
        <f>$F$22*$I$9*'Traffic Data'!AZ23*annualizationFactor</f>
        <v>7.1041545951887525E-2</v>
      </c>
      <c r="Y140" s="777">
        <f>$F$22*$I$9*'Traffic Data'!BA23*annualizationFactor</f>
        <v>7.2030209609167326E-2</v>
      </c>
      <c r="Z140" s="777">
        <f>$F$22*$I$9*'Traffic Data'!BB23*annualizationFactor</f>
        <v>7.301895463794153E-2</v>
      </c>
      <c r="AA140" s="777">
        <f>$F$22*$I$9*'Traffic Data'!BC23*annualizationFactor</f>
        <v>7.4007618295221303E-2</v>
      </c>
      <c r="AB140" s="777">
        <f>$F$22*$I$9*'Traffic Data'!BD23*annualizationFactor</f>
        <v>7.4996363323995535E-2</v>
      </c>
      <c r="AC140" s="777">
        <f>$F$22*$I$9*'Traffic Data'!BE23*annualizationFactor</f>
        <v>7.5985026981275336E-2</v>
      </c>
      <c r="AD140" s="777">
        <f>$F$22*$I$9*'Traffic Data'!BF23*annualizationFactor</f>
        <v>7.6973690638555095E-2</v>
      </c>
      <c r="AE140" s="777">
        <f>$F$22*$I$9*'Traffic Data'!BG23*annualizationFactor</f>
        <v>7.79624356673293E-2</v>
      </c>
      <c r="AF140" s="777">
        <f>$F$22*$I$9*'Traffic Data'!BH23*annualizationFactor</f>
        <v>7.8951099324609114E-2</v>
      </c>
      <c r="AG140" s="777">
        <f>$F$22*$I$9*'Traffic Data'!BI23*annualizationFactor</f>
        <v>7.9939762981888901E-2</v>
      </c>
      <c r="AH140" s="778">
        <f>$F$22*$I$9*'Traffic Data'!BJ23*annualizationFactor</f>
        <v>8.0928508010663106E-2</v>
      </c>
      <c r="AI140" s="40"/>
      <c r="AJ140" s="40"/>
      <c r="AK140" s="40"/>
      <c r="AL140" s="40"/>
      <c r="AM140" s="40"/>
    </row>
    <row r="141" spans="2:39" ht="21.95" customHeight="1" x14ac:dyDescent="0.2">
      <c r="B141" s="1346"/>
      <c r="C141" s="116" t="s">
        <v>323</v>
      </c>
      <c r="D141" s="116" t="s">
        <v>347</v>
      </c>
      <c r="E141" s="116" t="s">
        <v>467</v>
      </c>
      <c r="F141" s="116" t="s">
        <v>438</v>
      </c>
      <c r="G141" s="970"/>
      <c r="H141" s="970"/>
      <c r="I141" s="777">
        <f>$F$22*$I$9*'Traffic Data'!AK24*annualizationFactor</f>
        <v>8.1371494426320003E-3</v>
      </c>
      <c r="J141" s="777">
        <f>$F$22*$I$9*'Traffic Data'!AL24*annualizationFactor</f>
        <v>8.3136965242891041E-3</v>
      </c>
      <c r="K141" s="777">
        <f>$F$22*$I$9*'Traffic Data'!AM24*annualizationFactor</f>
        <v>8.5766426962781556E-3</v>
      </c>
      <c r="L141" s="777">
        <f>$F$22*$I$9*'Traffic Data'!AN24*annualizationFactor</f>
        <v>8.8785164099757993E-3</v>
      </c>
      <c r="M141" s="777">
        <f>$F$22*$I$9*'Traffic Data'!AO24*annualizationFactor</f>
        <v>9.1804773074174693E-3</v>
      </c>
      <c r="N141" s="777">
        <f>$F$22*$I$9*'Traffic Data'!AP24*annualizationFactor</f>
        <v>9.4824091436111306E-3</v>
      </c>
      <c r="O141" s="777">
        <f>$F$22*$I$9*'Traffic Data'!AQ24*annualizationFactor</f>
        <v>9.7842828573087709E-3</v>
      </c>
      <c r="P141" s="777">
        <f>$F$22*$I$9*'Traffic Data'!AR24*annualizationFactor</f>
        <v>1.0086287346622456E-2</v>
      </c>
      <c r="Q141" s="777">
        <f>$F$22*$I$9*'Traffic Data'!AS24*annualizationFactor</f>
        <v>1.0328948767500946E-2</v>
      </c>
      <c r="R141" s="777">
        <f>$F$22*$I$9*'Traffic Data'!AT24*annualizationFactor</f>
        <v>1.0571610188379436E-2</v>
      </c>
      <c r="S141" s="777">
        <f>$F$22*$I$9*'Traffic Data'!AU24*annualizationFactor</f>
        <v>1.0814271609257927E-2</v>
      </c>
      <c r="T141" s="777">
        <f>$F$22*$I$9*'Traffic Data'!AV24*annualizationFactor</f>
        <v>1.1056933030136419E-2</v>
      </c>
      <c r="U141" s="777">
        <f>$F$22*$I$9*'Traffic Data'!AW24*annualizationFactor</f>
        <v>1.1299681634758935E-2</v>
      </c>
      <c r="V141" s="777">
        <f>$F$22*$I$9*'Traffic Data'!AX24*annualizationFactor</f>
        <v>1.150337192205682E-2</v>
      </c>
      <c r="W141" s="777">
        <f>$F$22*$I$9*'Traffic Data'!AY24*annualizationFactor</f>
        <v>1.1679919003713924E-2</v>
      </c>
      <c r="X141" s="777">
        <f>$F$22*$I$9*'Traffic Data'!AZ24*annualizationFactor</f>
        <v>1.1856466085371029E-2</v>
      </c>
      <c r="Y141" s="777">
        <f>$F$22*$I$9*'Traffic Data'!BA24*annualizationFactor</f>
        <v>1.2033013167028137E-2</v>
      </c>
      <c r="Z141" s="777">
        <f>$F$22*$I$9*'Traffic Data'!BB24*annualizationFactor</f>
        <v>1.2209574779309245E-2</v>
      </c>
      <c r="AA141" s="777">
        <f>$F$22*$I$9*'Traffic Data'!BC24*annualizationFactor</f>
        <v>1.2386121860966347E-2</v>
      </c>
      <c r="AB141" s="777">
        <f>$F$22*$I$9*'Traffic Data'!BD24*annualizationFactor</f>
        <v>1.256268347324746E-2</v>
      </c>
      <c r="AC141" s="777">
        <f>$F$22*$I$9*'Traffic Data'!BE24*annualizationFactor</f>
        <v>1.2739230554904567E-2</v>
      </c>
      <c r="AD141" s="777">
        <f>$F$22*$I$9*'Traffic Data'!BF24*annualizationFactor</f>
        <v>1.291577763656167E-2</v>
      </c>
      <c r="AE141" s="777">
        <f>$F$22*$I$9*'Traffic Data'!BG24*annualizationFactor</f>
        <v>1.3092339248842778E-2</v>
      </c>
      <c r="AF141" s="777">
        <f>$F$22*$I$9*'Traffic Data'!BH24*annualizationFactor</f>
        <v>1.3268886330499885E-2</v>
      </c>
      <c r="AG141" s="777">
        <f>$F$22*$I$9*'Traffic Data'!BI24*annualizationFactor</f>
        <v>1.3445433412156991E-2</v>
      </c>
      <c r="AH141" s="778">
        <f>$F$22*$I$9*'Traffic Data'!BJ24*annualizationFactor</f>
        <v>1.3621995024438099E-2</v>
      </c>
      <c r="AI141" s="40"/>
      <c r="AJ141" s="40"/>
      <c r="AK141" s="40"/>
      <c r="AL141" s="40"/>
      <c r="AM141" s="40"/>
    </row>
    <row r="142" spans="2:39" ht="21.95" customHeight="1" x14ac:dyDescent="0.2">
      <c r="B142" s="1346"/>
      <c r="C142" s="116" t="s">
        <v>347</v>
      </c>
      <c r="D142" s="116" t="s">
        <v>348</v>
      </c>
      <c r="E142" s="116" t="s">
        <v>467</v>
      </c>
      <c r="F142" s="116" t="s">
        <v>438</v>
      </c>
      <c r="G142" s="970"/>
      <c r="H142" s="970"/>
      <c r="I142" s="777">
        <f>$F$22*$I$9*'Traffic Data'!AK25*annualizationFactor</f>
        <v>5.6960046098423998E-3</v>
      </c>
      <c r="J142" s="777">
        <f>$F$22*$I$9*'Traffic Data'!AL25*annualizationFactor</f>
        <v>5.8195875670023732E-3</v>
      </c>
      <c r="K142" s="777">
        <f>$F$22*$I$9*'Traffic Data'!AM25*annualizationFactor</f>
        <v>6.0036498873947087E-3</v>
      </c>
      <c r="L142" s="777">
        <f>$F$22*$I$9*'Traffic Data'!AN25*annualizationFactor</f>
        <v>6.2149614869830587E-3</v>
      </c>
      <c r="M142" s="777">
        <f>$F$22*$I$9*'Traffic Data'!AO25*annualizationFactor</f>
        <v>6.4263341151922278E-3</v>
      </c>
      <c r="N142" s="777">
        <f>$F$22*$I$9*'Traffic Data'!AP25*annualizationFactor</f>
        <v>6.6376864005277909E-3</v>
      </c>
      <c r="O142" s="777">
        <f>$F$22*$I$9*'Traffic Data'!AQ25*annualizationFactor</f>
        <v>6.84899800011614E-3</v>
      </c>
      <c r="P142" s="777">
        <f>$F$22*$I$9*'Traffic Data'!AR25*annualizationFactor</f>
        <v>7.0604011426357192E-3</v>
      </c>
      <c r="Q142" s="777">
        <f>$F$22*$I$9*'Traffic Data'!AS25*annualizationFactor</f>
        <v>7.2302641372506615E-3</v>
      </c>
      <c r="R142" s="777">
        <f>$F$22*$I$9*'Traffic Data'!AT25*annualizationFactor</f>
        <v>7.4001271318656046E-3</v>
      </c>
      <c r="S142" s="777">
        <f>$F$22*$I$9*'Traffic Data'!AU25*annualizationFactor</f>
        <v>7.5699901264805478E-3</v>
      </c>
      <c r="T142" s="777">
        <f>$F$22*$I$9*'Traffic Data'!AV25*annualizationFactor</f>
        <v>7.7398531210954935E-3</v>
      </c>
      <c r="U142" s="777">
        <f>$F$22*$I$9*'Traffic Data'!AW25*annualizationFactor</f>
        <v>7.9097771443312551E-3</v>
      </c>
      <c r="V142" s="777">
        <f>$F$22*$I$9*'Traffic Data'!AX25*annualizationFactor</f>
        <v>8.0523603454397737E-3</v>
      </c>
      <c r="W142" s="777">
        <f>$F$22*$I$9*'Traffic Data'!AY25*annualizationFactor</f>
        <v>8.1759433025997471E-3</v>
      </c>
      <c r="X142" s="777">
        <f>$F$22*$I$9*'Traffic Data'!AZ25*annualizationFactor</f>
        <v>8.2995262597597205E-3</v>
      </c>
      <c r="Y142" s="777">
        <f>$F$22*$I$9*'Traffic Data'!BA25*annualizationFactor</f>
        <v>8.4231092169196956E-3</v>
      </c>
      <c r="Z142" s="777">
        <f>$F$22*$I$9*'Traffic Data'!BB25*annualizationFactor</f>
        <v>8.5467023455164711E-3</v>
      </c>
      <c r="AA142" s="777">
        <f>$F$22*$I$9*'Traffic Data'!BC25*annualizationFactor</f>
        <v>8.6702853026764427E-3</v>
      </c>
      <c r="AB142" s="777">
        <f>$F$22*$I$9*'Traffic Data'!BD25*annualizationFactor</f>
        <v>8.7938784312732218E-3</v>
      </c>
      <c r="AC142" s="777">
        <f>$F$22*$I$9*'Traffic Data'!BE25*annualizationFactor</f>
        <v>8.9174613884331969E-3</v>
      </c>
      <c r="AD142" s="777">
        <f>$F$22*$I$9*'Traffic Data'!BF25*annualizationFactor</f>
        <v>9.0410443455931685E-3</v>
      </c>
      <c r="AE142" s="777">
        <f>$F$22*$I$9*'Traffic Data'!BG25*annualizationFactor</f>
        <v>9.164637474189944E-3</v>
      </c>
      <c r="AF142" s="777">
        <f>$F$22*$I$9*'Traffic Data'!BH25*annualizationFactor</f>
        <v>9.2882204313499191E-3</v>
      </c>
      <c r="AG142" s="777">
        <f>$F$22*$I$9*'Traffic Data'!BI25*annualizationFactor</f>
        <v>9.4118033885098925E-3</v>
      </c>
      <c r="AH142" s="778">
        <f>$F$22*$I$9*'Traffic Data'!BJ25*annualizationFactor</f>
        <v>9.5353965171066681E-3</v>
      </c>
      <c r="AI142" s="40"/>
      <c r="AJ142" s="40"/>
      <c r="AK142" s="40"/>
      <c r="AL142" s="40"/>
      <c r="AM142" s="40"/>
    </row>
    <row r="143" spans="2:39" ht="21.95" customHeight="1" x14ac:dyDescent="0.2">
      <c r="B143" s="1346"/>
      <c r="C143" s="254" t="s">
        <v>348</v>
      </c>
      <c r="D143" s="254" t="s">
        <v>349</v>
      </c>
      <c r="E143" s="254" t="s">
        <v>467</v>
      </c>
      <c r="F143" s="254" t="s">
        <v>438</v>
      </c>
      <c r="G143" s="779"/>
      <c r="H143" s="779"/>
      <c r="I143" s="777">
        <f>$F$22*$I$9*'Traffic Data'!AK26*annualizationFactor</f>
        <v>9.2995993630079991E-3</v>
      </c>
      <c r="J143" s="777">
        <f>$F$22*$I$9*'Traffic Data'!AL26*annualizationFactor</f>
        <v>9.5217290121678479E-3</v>
      </c>
      <c r="K143" s="777">
        <f>$F$22*$I$9*'Traffic Data'!AM26*annualizationFactor</f>
        <v>9.8302868129076532E-3</v>
      </c>
      <c r="L143" s="777">
        <f>$F$22*$I$9*'Traffic Data'!AN26*annualizationFactor</f>
        <v>1.0240079471088202E-2</v>
      </c>
      <c r="M143" s="777">
        <f>$F$22*$I$9*'Traffic Data'!AO26*annualizationFactor</f>
        <v>1.0649988374260792E-2</v>
      </c>
      <c r="N143" s="777">
        <f>$F$22*$I$9*'Traffic Data'!AP26*annualizationFactor</f>
        <v>1.1059926338681386E-2</v>
      </c>
      <c r="O143" s="777">
        <f>$F$22*$I$9*'Traffic Data'!AQ26*annualizationFactor</f>
        <v>1.1469718996861935E-2</v>
      </c>
      <c r="P143" s="777">
        <f>$F$22*$I$9*'Traffic Data'!AR26*annualizationFactor</f>
        <v>1.1879744145026563E-2</v>
      </c>
      <c r="Q143" s="777">
        <f>$F$22*$I$9*'Traffic Data'!AS26*annualizationFactor</f>
        <v>1.227108291072114E-2</v>
      </c>
      <c r="R143" s="777">
        <f>$F$22*$I$9*'Traffic Data'!AT26*annualizationFactor</f>
        <v>1.2662436207039723E-2</v>
      </c>
      <c r="S143" s="777">
        <f>$F$22*$I$9*'Traffic Data'!AU26*annualizationFactor</f>
        <v>1.3053774972734303E-2</v>
      </c>
      <c r="T143" s="777">
        <f>$F$22*$I$9*'Traffic Data'!AV26*annualizationFactor</f>
        <v>1.3445113738428886E-2</v>
      </c>
      <c r="U143" s="777">
        <f>$F$22*$I$9*'Traffic Data'!AW26*annualizationFactor</f>
        <v>1.3836684994107543E-2</v>
      </c>
      <c r="V143" s="777">
        <f>$F$22*$I$9*'Traffic Data'!AX26*annualizationFactor</f>
        <v>1.4126672657369339E-2</v>
      </c>
      <c r="W143" s="777">
        <f>$F$22*$I$9*'Traffic Data'!AY26*annualizationFactor</f>
        <v>1.4348802306529188E-2</v>
      </c>
      <c r="X143" s="777">
        <f>$F$22*$I$9*'Traffic Data'!AZ26*annualizationFactor</f>
        <v>1.4570931955689037E-2</v>
      </c>
      <c r="Y143" s="777">
        <f>$F$22*$I$9*'Traffic Data'!BA26*annualizationFactor</f>
        <v>1.4793061604848884E-2</v>
      </c>
      <c r="Z143" s="777">
        <f>$F$22*$I$9*'Traffic Data'!BB26*annualizationFactor</f>
        <v>1.5015234845880746E-2</v>
      </c>
      <c r="AA143" s="777">
        <f>$F$22*$I$9*'Traffic Data'!BC26*annualizationFactor</f>
        <v>1.5237364495040595E-2</v>
      </c>
      <c r="AB143" s="777">
        <f>$F$22*$I$9*'Traffic Data'!BD26*annualizationFactor</f>
        <v>1.5459537736072462E-2</v>
      </c>
      <c r="AC143" s="777">
        <f>$F$22*$I$9*'Traffic Data'!BE26*annualizationFactor</f>
        <v>1.5681667385232311E-2</v>
      </c>
      <c r="AD143" s="777">
        <f>$F$22*$I$9*'Traffic Data'!BF26*annualizationFactor</f>
        <v>1.590379703439216E-2</v>
      </c>
      <c r="AE143" s="777">
        <f>$F$22*$I$9*'Traffic Data'!BG26*annualizationFactor</f>
        <v>1.612597027542402E-2</v>
      </c>
      <c r="AF143" s="777">
        <f>$F$22*$I$9*'Traffic Data'!BH26*annualizationFactor</f>
        <v>1.6348099924583869E-2</v>
      </c>
      <c r="AG143" s="777">
        <f>$F$22*$I$9*'Traffic Data'!BI26*annualizationFactor</f>
        <v>1.6570229573743718E-2</v>
      </c>
      <c r="AH143" s="778">
        <f>$F$22*$I$9*'Traffic Data'!BJ26*annualizationFactor</f>
        <v>1.6792402814775582E-2</v>
      </c>
      <c r="AI143" s="40"/>
      <c r="AJ143" s="40"/>
      <c r="AK143" s="40"/>
      <c r="AL143" s="40"/>
      <c r="AM143" s="40"/>
    </row>
    <row r="144" spans="2:39" ht="21.95" customHeight="1" x14ac:dyDescent="0.2">
      <c r="B144" s="492" t="s">
        <v>288</v>
      </c>
      <c r="C144" s="116" t="s">
        <v>323</v>
      </c>
      <c r="D144" s="116" t="s">
        <v>348</v>
      </c>
      <c r="E144" s="116" t="s">
        <v>467</v>
      </c>
      <c r="F144" s="254" t="s">
        <v>438</v>
      </c>
      <c r="G144" s="970"/>
      <c r="H144" s="970"/>
      <c r="I144" s="775">
        <f>$F$22*$J$9*'Traffic Data'!AK27*annualizationFactor</f>
        <v>1.1624499203760001E-3</v>
      </c>
      <c r="J144" s="775">
        <f>$F$22*$J$9*'Traffic Data'!AL27*annualizationFactor</f>
        <v>1.2060288762798738E-3</v>
      </c>
      <c r="K144" s="775">
        <f>$F$22*$J$9*'Traffic Data'!AM27*annualizationFactor</f>
        <v>1.272688921158324E-3</v>
      </c>
      <c r="L144" s="775">
        <f>$F$22*$J$9*'Traffic Data'!AN27*annualizationFactor</f>
        <v>1.4844808385957185E-3</v>
      </c>
      <c r="M144" s="775">
        <f>$F$22*$J$9*'Traffic Data'!AO27*annualizationFactor</f>
        <v>1.696305046308678E-3</v>
      </c>
      <c r="N144" s="775">
        <f>$F$22*$J$9*'Traffic Data'!AP27*annualizationFactor</f>
        <v>1.9083552859506E-3</v>
      </c>
      <c r="O144" s="775">
        <f>$F$22*$J$9*'Traffic Data'!AQ27*annualizationFactor</f>
        <v>2.1201472033879941E-3</v>
      </c>
      <c r="P144" s="775">
        <f>$F$22*$J$9*'Traffic Data'!AR27*annualizationFactor</f>
        <v>2.3321457785890108E-3</v>
      </c>
      <c r="Q144" s="775">
        <f>$F$22*$J$9*'Traffic Data'!AS27*annualizationFactor</f>
        <v>2.6114760364002502E-3</v>
      </c>
      <c r="R144" s="775">
        <f>$F$22*$J$9*'Traffic Data'!AT27*annualizationFactor</f>
        <v>2.8907352556052446E-3</v>
      </c>
      <c r="S144" s="775">
        <f>$F$22*$J$9*'Traffic Data'!AU27*annualizationFactor</f>
        <v>3.1700978036920502E-3</v>
      </c>
      <c r="T144" s="775">
        <f>$F$22*$J$9*'Traffic Data'!AV27*annualizationFactor</f>
        <v>3.4494280615032908E-3</v>
      </c>
      <c r="U144" s="775">
        <f>$F$22*$J$9*'Traffic Data'!AW27*annualizationFactor</f>
        <v>3.7290747640150767E-3</v>
      </c>
      <c r="V144" s="775">
        <f>$F$22*$J$9*'Traffic Data'!AX27*annualizationFactor</f>
        <v>3.8631310720548813E-3</v>
      </c>
      <c r="W144" s="775">
        <f>$F$22*$J$9*'Traffic Data'!AY27*annualizationFactor</f>
        <v>3.9067100279587558E-3</v>
      </c>
      <c r="X144" s="775">
        <f>$F$22*$J$9*'Traffic Data'!AZ27*annualizationFactor</f>
        <v>3.9502889838626291E-3</v>
      </c>
      <c r="Y144" s="775">
        <f>$F$22*$J$9*'Traffic Data'!BA27*annualizationFactor</f>
        <v>3.9938679397665024E-3</v>
      </c>
      <c r="Z144" s="775">
        <f>$F$22*$J$9*'Traffic Data'!BB27*annualizationFactor</f>
        <v>4.0374921020561684E-3</v>
      </c>
      <c r="AA144" s="775">
        <f>$F$22*$J$9*'Traffic Data'!BC27*annualizationFactor</f>
        <v>4.0810710579600416E-3</v>
      </c>
      <c r="AB144" s="775">
        <f>$F$22*$J$9*'Traffic Data'!BD27*annualizationFactor</f>
        <v>4.1246952202497085E-3</v>
      </c>
      <c r="AC144" s="775">
        <f>$F$22*$J$9*'Traffic Data'!BE27*annualizationFactor</f>
        <v>4.1682741761535826E-3</v>
      </c>
      <c r="AD144" s="775">
        <f>$F$22*$J$9*'Traffic Data'!BF27*annualizationFactor</f>
        <v>4.2118531320574559E-3</v>
      </c>
      <c r="AE144" s="775">
        <f>$F$22*$J$9*'Traffic Data'!BG27*annualizationFactor</f>
        <v>4.2554772943471219E-3</v>
      </c>
      <c r="AF144" s="775">
        <f>$F$22*$J$9*'Traffic Data'!BH27*annualizationFactor</f>
        <v>4.299056250250996E-3</v>
      </c>
      <c r="AG144" s="775">
        <f>$F$22*$J$9*'Traffic Data'!BI27*annualizationFactor</f>
        <v>4.3426352061548684E-3</v>
      </c>
      <c r="AH144" s="776">
        <f>$F$22*$J$9*'Traffic Data'!BJ27*annualizationFactor</f>
        <v>4.3862593684445344E-3</v>
      </c>
      <c r="AI144" s="40"/>
      <c r="AJ144" s="40"/>
      <c r="AK144" s="40"/>
      <c r="AL144" s="40"/>
      <c r="AM144" s="40"/>
    </row>
    <row r="145" spans="2:39" ht="21.95" customHeight="1" x14ac:dyDescent="0.2">
      <c r="B145" s="782" t="s">
        <v>340</v>
      </c>
      <c r="C145" s="277" t="s">
        <v>335</v>
      </c>
      <c r="D145" s="277" t="s">
        <v>323</v>
      </c>
      <c r="E145" s="277" t="s">
        <v>467</v>
      </c>
      <c r="F145" s="277" t="s">
        <v>438</v>
      </c>
      <c r="G145" s="780"/>
      <c r="H145" s="780"/>
      <c r="I145" s="775">
        <f>$F$22*$K$9*'Traffic Data'!AK28*annualizationFactor</f>
        <v>0</v>
      </c>
      <c r="J145" s="775">
        <f>$F$22*$K$9*'Traffic Data'!AL28*annualizationFactor</f>
        <v>0</v>
      </c>
      <c r="K145" s="775">
        <f>$F$22*$K$9*'Traffic Data'!AM28*annualizationFactor</f>
        <v>0</v>
      </c>
      <c r="L145" s="775">
        <f>$F$22*$K$9*'Traffic Data'!AN28*annualizationFactor</f>
        <v>0</v>
      </c>
      <c r="M145" s="775">
        <f>$F$22*$K$9*'Traffic Data'!AO28*annualizationFactor</f>
        <v>0</v>
      </c>
      <c r="N145" s="775">
        <f>$F$22*$K$9*'Traffic Data'!AP28*annualizationFactor</f>
        <v>0</v>
      </c>
      <c r="O145" s="775">
        <f>$F$22*$K$9*'Traffic Data'!AQ28*annualizationFactor</f>
        <v>0</v>
      </c>
      <c r="P145" s="775">
        <f>$F$22*$K$9*'Traffic Data'!AR28*annualizationFactor</f>
        <v>0</v>
      </c>
      <c r="Q145" s="775">
        <f>$F$22*$K$9*'Traffic Data'!AS28*annualizationFactor</f>
        <v>0</v>
      </c>
      <c r="R145" s="775">
        <f>$F$22*$K$9*'Traffic Data'!AT28*annualizationFactor</f>
        <v>0</v>
      </c>
      <c r="S145" s="775">
        <f>$F$22*$K$9*'Traffic Data'!AU28*annualizationFactor</f>
        <v>0</v>
      </c>
      <c r="T145" s="775">
        <f>$F$22*$K$9*'Traffic Data'!AV28*annualizationFactor</f>
        <v>0</v>
      </c>
      <c r="U145" s="775">
        <f>$F$22*$K$9*'Traffic Data'!AW28*annualizationFactor</f>
        <v>0</v>
      </c>
      <c r="V145" s="775">
        <f>$F$22*$K$9*'Traffic Data'!AX28*annualizationFactor</f>
        <v>0</v>
      </c>
      <c r="W145" s="775">
        <f>$F$22*$K$9*'Traffic Data'!AY28*annualizationFactor</f>
        <v>0</v>
      </c>
      <c r="X145" s="775">
        <f>$F$22*$K$9*'Traffic Data'!AZ28*annualizationFactor</f>
        <v>0</v>
      </c>
      <c r="Y145" s="775">
        <f>$F$22*$K$9*'Traffic Data'!BA28*annualizationFactor</f>
        <v>0</v>
      </c>
      <c r="Z145" s="775">
        <f>$F$22*$K$9*'Traffic Data'!BB28*annualizationFactor</f>
        <v>0</v>
      </c>
      <c r="AA145" s="775">
        <f>$F$22*$K$9*'Traffic Data'!BC28*annualizationFactor</f>
        <v>0</v>
      </c>
      <c r="AB145" s="775">
        <f>$F$22*$K$9*'Traffic Data'!BD28*annualizationFactor</f>
        <v>0</v>
      </c>
      <c r="AC145" s="775">
        <f>$F$22*$K$9*'Traffic Data'!BE28*annualizationFactor</f>
        <v>0</v>
      </c>
      <c r="AD145" s="775">
        <f>$F$22*$K$9*'Traffic Data'!BF28*annualizationFactor</f>
        <v>0</v>
      </c>
      <c r="AE145" s="775">
        <f>$F$22*$K$9*'Traffic Data'!BG28*annualizationFactor</f>
        <v>0</v>
      </c>
      <c r="AF145" s="775">
        <f>$F$22*$K$9*'Traffic Data'!BH28*annualizationFactor</f>
        <v>0</v>
      </c>
      <c r="AG145" s="775">
        <f>$F$22*$K$9*'Traffic Data'!BI28*annualizationFactor</f>
        <v>0</v>
      </c>
      <c r="AH145" s="776">
        <f>$F$22*$K$9*'Traffic Data'!BJ28*annualizationFactor</f>
        <v>0</v>
      </c>
      <c r="AI145" s="40"/>
      <c r="AJ145" s="40"/>
      <c r="AK145" s="40"/>
      <c r="AL145" s="40"/>
      <c r="AM145" s="40"/>
    </row>
    <row r="146" spans="2:39" ht="21.95" customHeight="1" x14ac:dyDescent="0.2">
      <c r="B146" s="782" t="s">
        <v>357</v>
      </c>
      <c r="C146" s="277" t="s">
        <v>338</v>
      </c>
      <c r="D146" s="277" t="s">
        <v>323</v>
      </c>
      <c r="E146" s="116" t="s">
        <v>467</v>
      </c>
      <c r="F146" s="277" t="s">
        <v>438</v>
      </c>
      <c r="G146" s="970"/>
      <c r="H146" s="970"/>
      <c r="I146" s="775">
        <f>$F$22*$L$9*'Traffic Data'!AK29*annualizationFactor</f>
        <v>2.1558162159700366E-3</v>
      </c>
      <c r="J146" s="775">
        <f>$F$22*$L$9*'Traffic Data'!AL29*annualizationFactor</f>
        <v>2.1891355532635288E-3</v>
      </c>
      <c r="K146" s="775">
        <f>$F$22*$L$9*'Traffic Data'!AM29*annualizationFactor</f>
        <v>2.2438813083924124E-3</v>
      </c>
      <c r="L146" s="775">
        <f>$F$22*$L$9*'Traffic Data'!AN29*annualizationFactor</f>
        <v>2.4299462129657601E-3</v>
      </c>
      <c r="M146" s="775">
        <f>$F$22*$L$9*'Traffic Data'!AO29*annualizationFactor</f>
        <v>2.6160350710526178E-3</v>
      </c>
      <c r="N146" s="775">
        <f>$F$22*$L$9*'Traffic Data'!AP29*annualizationFactor</f>
        <v>2.8023395107610724E-3</v>
      </c>
      <c r="O146" s="775">
        <f>$F$22*$L$9*'Traffic Data'!AQ29*annualizationFactor</f>
        <v>2.9884044153344197E-3</v>
      </c>
      <c r="P146" s="775">
        <f>$F$22*$L$9*'Traffic Data'!AR29*annualizationFactor</f>
        <v>3.174678913150986E-3</v>
      </c>
      <c r="Q146" s="775">
        <f>$F$22*$L$9*'Traffic Data'!AS29*annualizationFactor</f>
        <v>3.3953746098825408E-3</v>
      </c>
      <c r="R146" s="775">
        <f>$F$22*$L$9*'Traffic Data'!AT29*annualizationFactor</f>
        <v>3.6160223995870739E-3</v>
      </c>
      <c r="S146" s="775">
        <f>$F$22*$L$9*'Traffic Data'!AU29*annualizationFactor</f>
        <v>3.8367779801024055E-3</v>
      </c>
      <c r="T146" s="775">
        <f>$F$22*$L$9*'Traffic Data'!AV29*annualizationFactor</f>
        <v>4.0574736768339611E-3</v>
      </c>
      <c r="U146" s="775">
        <f>$F$22*$L$9*'Traffic Data'!AW29*annualizationFactor</f>
        <v>4.2784807692411555E-3</v>
      </c>
      <c r="V146" s="775">
        <f>$F$22*$L$9*'Traffic Data'!AX29*annualizationFactor</f>
        <v>4.3677315605823155E-3</v>
      </c>
      <c r="W146" s="775">
        <f>$F$22*$L$9*'Traffic Data'!AY29*annualizationFactor</f>
        <v>4.4010508978758068E-3</v>
      </c>
      <c r="X146" s="775">
        <f>$F$22*$L$9*'Traffic Data'!AZ29*annualizationFactor</f>
        <v>4.4343702351693007E-3</v>
      </c>
      <c r="Y146" s="775">
        <f>$F$22*$L$9*'Traffic Data'!BA29*annualizationFactor</f>
        <v>4.4676895724627928E-3</v>
      </c>
      <c r="Z146" s="775">
        <f>$F$22*$L$9*'Traffic Data'!BB29*annualizationFactor</f>
        <v>4.5010747819184396E-3</v>
      </c>
      <c r="AA146" s="775">
        <f>$F$22*$L$9*'Traffic Data'!BC29*annualizationFactor</f>
        <v>4.5343941192119317E-3</v>
      </c>
      <c r="AB146" s="775">
        <f>$F$22*$L$9*'Traffic Data'!BD29*annualizationFactor</f>
        <v>4.5677793286675794E-3</v>
      </c>
      <c r="AC146" s="775">
        <f>$F$22*$L$9*'Traffic Data'!BE29*annualizationFactor</f>
        <v>4.6010986659610715E-3</v>
      </c>
      <c r="AD146" s="775">
        <f>$F$22*$L$9*'Traffic Data'!BF29*annualizationFactor</f>
        <v>4.6344180032545654E-3</v>
      </c>
      <c r="AE146" s="775">
        <f>$F$22*$L$9*'Traffic Data'!BG29*annualizationFactor</f>
        <v>4.6678032127102113E-3</v>
      </c>
      <c r="AF146" s="775">
        <f>$F$22*$L$9*'Traffic Data'!BH29*annualizationFactor</f>
        <v>4.7011225500037052E-3</v>
      </c>
      <c r="AG146" s="775">
        <f>$F$22*$L$9*'Traffic Data'!BI29*annualizationFactor</f>
        <v>4.7344418872971973E-3</v>
      </c>
      <c r="AH146" s="776">
        <f>$F$22*$L$9*'Traffic Data'!BJ29*annualizationFactor</f>
        <v>4.7678270967528441E-3</v>
      </c>
      <c r="AI146" s="40"/>
      <c r="AJ146" s="40"/>
      <c r="AK146" s="40"/>
      <c r="AL146" s="40"/>
      <c r="AM146" s="40"/>
    </row>
    <row r="147" spans="2:39" ht="21.95" customHeight="1" x14ac:dyDescent="0.2">
      <c r="B147" s="492" t="s">
        <v>338</v>
      </c>
      <c r="C147" s="116" t="s">
        <v>282</v>
      </c>
      <c r="D147" s="116" t="s">
        <v>357</v>
      </c>
      <c r="E147" s="220" t="s">
        <v>467</v>
      </c>
      <c r="F147" s="116" t="s">
        <v>438</v>
      </c>
      <c r="G147" s="775"/>
      <c r="H147" s="775"/>
      <c r="I147" s="775">
        <f>$F$22*$M$9*'Traffic Data'!AK30*annualizationFactor</f>
        <v>7.7423274368477275E-3</v>
      </c>
      <c r="J147" s="775">
        <f>$F$22*$M$9*'Traffic Data'!AL30*annualizationFactor</f>
        <v>8.0302258825869135E-3</v>
      </c>
      <c r="K147" s="775">
        <f>$F$22*$M$9*'Traffic Data'!AM30*annualizationFactor</f>
        <v>8.336690429519655E-3</v>
      </c>
      <c r="L147" s="775">
        <f>$F$22*$M$9*'Traffic Data'!AN30*annualizationFactor</f>
        <v>9.0165674287315638E-3</v>
      </c>
      <c r="M147" s="775">
        <f>$F$22*$M$9*'Traffic Data'!AO30*annualizationFactor</f>
        <v>9.6966147591470864E-3</v>
      </c>
      <c r="N147" s="775">
        <f>$F$22*$M$9*'Traffic Data'!AP30*annualizationFactor</f>
        <v>1.0377033721279575E-2</v>
      </c>
      <c r="O147" s="775">
        <f>$F$22*$M$9*'Traffic Data'!AQ30*annualizationFactor</f>
        <v>1.1056910720491487E-2</v>
      </c>
      <c r="P147" s="775">
        <f>$F$22*$M$9*'Traffic Data'!AR30*annualizationFactor</f>
        <v>1.1737383878916031E-2</v>
      </c>
      <c r="Q147" s="775">
        <f>$F$22*$M$9*'Traffic Data'!AS30*annualizationFactor</f>
        <v>1.2652217288853957E-2</v>
      </c>
      <c r="R147" s="775">
        <f>$F$22*$M$9*'Traffic Data'!AT30*annualizationFactor</f>
        <v>1.3567089410429067E-2</v>
      </c>
      <c r="S147" s="775">
        <f>$F$22*$M$9*'Traffic Data'!AU30*annualizationFactor</f>
        <v>1.4481922820366994E-2</v>
      </c>
      <c r="T147" s="775">
        <f>$F$22*$M$9*'Traffic Data'!AV30*annualizationFactor</f>
        <v>1.5396756230304924E-2</v>
      </c>
      <c r="U147" s="775">
        <f>$F$22*$M$9*'Traffic Data'!AW30*annualizationFactor</f>
        <v>1.6312441296260909E-2</v>
      </c>
      <c r="V147" s="775">
        <f>$F$22*$M$9*'Traffic Data'!AX30*annualizationFactor</f>
        <v>1.685343642591064E-2</v>
      </c>
      <c r="W147" s="775">
        <f>$F$22*$M$9*'Traffic Data'!AY30*annualizationFactor</f>
        <v>1.7141334871649826E-2</v>
      </c>
      <c r="X147" s="775">
        <f>$F$22*$M$9*'Traffic Data'!AZ30*annualizationFactor</f>
        <v>1.7429233317389003E-2</v>
      </c>
      <c r="Y147" s="775">
        <f>$F$22*$M$9*'Traffic Data'!BA30*annualizationFactor</f>
        <v>1.771713176312819E-2</v>
      </c>
      <c r="Z147" s="775">
        <f>$F$22*$M$9*'Traffic Data'!BB30*annualizationFactor</f>
        <v>1.8005185055416106E-2</v>
      </c>
      <c r="AA147" s="775">
        <f>$F$22*$M$9*'Traffic Data'!BC30*annualizationFactor</f>
        <v>1.8293083501155289E-2</v>
      </c>
      <c r="AB147" s="775">
        <f>$F$22*$M$9*'Traffic Data'!BD30*annualizationFactor</f>
        <v>1.8581136793443209E-2</v>
      </c>
      <c r="AC147" s="775">
        <f>$F$22*$M$9*'Traffic Data'!BE30*annualizationFactor</f>
        <v>1.8869035239182395E-2</v>
      </c>
      <c r="AD147" s="775">
        <f>$F$22*$M$9*'Traffic Data'!BF30*annualizationFactor</f>
        <v>1.9156933684921575E-2</v>
      </c>
      <c r="AE147" s="775">
        <f>$F$22*$M$9*'Traffic Data'!BG30*annualizationFactor</f>
        <v>1.9444986977209495E-2</v>
      </c>
      <c r="AF147" s="775">
        <f>$F$22*$M$9*'Traffic Data'!BH30*annualizationFactor</f>
        <v>1.9732885422948678E-2</v>
      </c>
      <c r="AG147" s="775">
        <f>$F$22*$M$9*'Traffic Data'!BI30*annualizationFactor</f>
        <v>2.0020783868687862E-2</v>
      </c>
      <c r="AH147" s="776">
        <f>$F$22*$M$9*'Traffic Data'!BJ30*annualizationFactor</f>
        <v>2.0308837160975785E-2</v>
      </c>
      <c r="AI147" s="40"/>
      <c r="AJ147" s="40"/>
      <c r="AK147" s="40"/>
      <c r="AL147" s="40"/>
      <c r="AM147" s="40"/>
    </row>
    <row r="148" spans="2:39" ht="21.95" customHeight="1" x14ac:dyDescent="0.2">
      <c r="B148" s="492"/>
      <c r="C148" s="116" t="s">
        <v>357</v>
      </c>
      <c r="D148" s="116" t="s">
        <v>346</v>
      </c>
      <c r="E148" s="116" t="s">
        <v>467</v>
      </c>
      <c r="F148" s="116" t="s">
        <v>438</v>
      </c>
      <c r="G148" s="970"/>
      <c r="H148" s="970"/>
      <c r="I148" s="777">
        <f>$F$22*$M$9*'Traffic Data'!AK31*annualizationFactor</f>
        <v>1.1275666378327304E-3</v>
      </c>
      <c r="J148" s="777">
        <f>$F$22*$M$9*'Traffic Data'!AL31*annualizationFactor</f>
        <v>1.1676916900961332E-3</v>
      </c>
      <c r="K148" s="777">
        <f>$F$22*$M$9*'Traffic Data'!AM31*annualizationFactor</f>
        <v>1.2113596754268316E-3</v>
      </c>
      <c r="L148" s="777">
        <f>$F$22*$M$9*'Traffic Data'!AN31*annualizationFactor</f>
        <v>1.294848566756781E-3</v>
      </c>
      <c r="M148" s="777">
        <f>$F$22*$M$9*'Traffic Data'!AO31*annualizationFactor</f>
        <v>1.3783700981736145E-3</v>
      </c>
      <c r="N148" s="777">
        <f>$F$22*$M$9*'Traffic Data'!AP31*annualizationFactor</f>
        <v>1.4619034987129514E-3</v>
      </c>
      <c r="O148" s="777">
        <f>$F$22*$M$9*'Traffic Data'!AQ31*annualizationFactor</f>
        <v>1.5453923900429004E-3</v>
      </c>
      <c r="P148" s="777">
        <f>$F$22*$M$9*'Traffic Data'!AR31*annualizationFactor</f>
        <v>1.6289510124675574E-3</v>
      </c>
      <c r="Q148" s="777">
        <f>$F$22*$M$9*'Traffic Data'!AS31*annualizationFactor</f>
        <v>1.7435918994482609E-3</v>
      </c>
      <c r="R148" s="777">
        <f>$F$22*$M$9*'Traffic Data'!AT31*annualizationFactor</f>
        <v>1.8582550410336592E-3</v>
      </c>
      <c r="S148" s="777">
        <f>$F$22*$M$9*'Traffic Data'!AU31*annualizationFactor</f>
        <v>1.9728810916112343E-3</v>
      </c>
      <c r="T148" s="777">
        <f>$F$22*$M$9*'Traffic Data'!AV31*annualizationFactor</f>
        <v>2.0875219785919386E-3</v>
      </c>
      <c r="U148" s="777">
        <f>$F$22*$M$9*'Traffic Data'!AW31*annualizationFactor</f>
        <v>2.2022518839914184E-3</v>
      </c>
      <c r="V148" s="777">
        <f>$F$22*$M$9*'Traffic Data'!AX31*annualizationFactor</f>
        <v>2.2770199375619191E-3</v>
      </c>
      <c r="W148" s="777">
        <f>$F$22*$M$9*'Traffic Data'!AY31*annualizationFactor</f>
        <v>2.3171449898253221E-3</v>
      </c>
      <c r="X148" s="777">
        <f>$F$22*$M$9*'Traffic Data'!AZ31*annualizationFactor</f>
        <v>2.3572700420887247E-3</v>
      </c>
      <c r="Y148" s="777">
        <f>$F$22*$M$9*'Traffic Data'!BA31*annualizationFactor</f>
        <v>2.3973950943521278E-3</v>
      </c>
      <c r="Z148" s="777">
        <f>$F$22*$M$9*'Traffic Data'!BB31*annualizationFactor</f>
        <v>2.4375349830186603E-3</v>
      </c>
      <c r="AA148" s="777">
        <f>$F$22*$M$9*'Traffic Data'!BC31*annualizationFactor</f>
        <v>2.4776600352820624E-3</v>
      </c>
      <c r="AB148" s="777">
        <f>$F$22*$M$9*'Traffic Data'!BD31*annualizationFactor</f>
        <v>2.5177999239485958E-3</v>
      </c>
      <c r="AC148" s="777">
        <f>$F$22*$M$9*'Traffic Data'!BE31*annualizationFactor</f>
        <v>2.557924976211998E-3</v>
      </c>
      <c r="AD148" s="777">
        <f>$F$22*$M$9*'Traffic Data'!BF31*annualizationFactor</f>
        <v>2.598050028475401E-3</v>
      </c>
      <c r="AE148" s="777">
        <f>$F$22*$M$9*'Traffic Data'!BG31*annualizationFactor</f>
        <v>2.6381899171419336E-3</v>
      </c>
      <c r="AF148" s="777">
        <f>$F$22*$M$9*'Traffic Data'!BH31*annualizationFactor</f>
        <v>2.6783149694053362E-3</v>
      </c>
      <c r="AG148" s="777">
        <f>$F$22*$M$9*'Traffic Data'!BI31*annualizationFactor</f>
        <v>2.7184400216687392E-3</v>
      </c>
      <c r="AH148" s="778">
        <f>$F$22*$M$9*'Traffic Data'!BJ31*annualizationFactor</f>
        <v>2.7585799103352709E-3</v>
      </c>
      <c r="AI148" s="40"/>
      <c r="AJ148" s="40"/>
      <c r="AK148" s="40"/>
      <c r="AL148" s="40"/>
      <c r="AM148" s="40"/>
    </row>
    <row r="149" spans="2:39" ht="21.95" customHeight="1" x14ac:dyDescent="0.2">
      <c r="B149" s="492"/>
      <c r="C149" s="116" t="s">
        <v>346</v>
      </c>
      <c r="D149" s="116" t="s">
        <v>343</v>
      </c>
      <c r="E149" s="116" t="s">
        <v>467</v>
      </c>
      <c r="F149" s="116" t="s">
        <v>438</v>
      </c>
      <c r="G149" s="970"/>
      <c r="H149" s="970"/>
      <c r="I149" s="777">
        <f>$F$22*$M$9*'Traffic Data'!AK32*annualizationFactor</f>
        <v>2.7887056170636362E-4</v>
      </c>
      <c r="J149" s="777">
        <f>$F$22*$M$9*'Traffic Data'!AL32*annualizationFactor</f>
        <v>2.8879431741866447E-4</v>
      </c>
      <c r="K149" s="777">
        <f>$F$22*$M$9*'Traffic Data'!AM32*annualizationFactor</f>
        <v>2.9959431379064259E-4</v>
      </c>
      <c r="L149" s="777">
        <f>$F$22*$M$9*'Traffic Data'!AN32*annualizationFactor</f>
        <v>3.2024284421025085E-4</v>
      </c>
      <c r="M149" s="777">
        <f>$F$22*$M$9*'Traffic Data'!AO32*annualizationFactor</f>
        <v>3.408994471987505E-4</v>
      </c>
      <c r="N149" s="777">
        <f>$F$22*$M$9*'Traffic Data'!AP32*annualizationFactor</f>
        <v>3.6155898566684702E-4</v>
      </c>
      <c r="O149" s="777">
        <f>$F$22*$M$9*'Traffic Data'!AQ32*annualizationFactor</f>
        <v>3.8220751608645517E-4</v>
      </c>
      <c r="P149" s="777">
        <f>$F$22*$M$9*'Traffic Data'!AR32*annualizationFactor</f>
        <v>4.0287329244869519E-4</v>
      </c>
      <c r="Q149" s="777">
        <f>$F$22*$M$9*'Traffic Data'!AS32*annualizationFactor</f>
        <v>4.3122635600534071E-4</v>
      </c>
      <c r="R149" s="777">
        <f>$F$22*$M$9*'Traffic Data'!AT32*annualizationFactor</f>
        <v>4.5958492358623063E-4</v>
      </c>
      <c r="S149" s="777">
        <f>$F$22*$M$9*'Traffic Data'!AU32*annualizationFactor</f>
        <v>4.8793431779338024E-4</v>
      </c>
      <c r="T149" s="777">
        <f>$F$22*$M$9*'Traffic Data'!AV32*annualizationFactor</f>
        <v>5.1628738135002592E-4</v>
      </c>
      <c r="U149" s="777">
        <f>$F$22*$M$9*'Traffic Data'!AW32*annualizationFactor</f>
        <v>5.4466246100364835E-4</v>
      </c>
      <c r="V149" s="777">
        <f>$F$22*$M$9*'Traffic Data'!AX32*annualizationFactor</f>
        <v>5.6315414778942768E-4</v>
      </c>
      <c r="W149" s="777">
        <f>$F$22*$M$9*'Traffic Data'!AY32*annualizationFactor</f>
        <v>5.7307790350172847E-4</v>
      </c>
      <c r="X149" s="777">
        <f>$F$22*$M$9*'Traffic Data'!AZ32*annualizationFactor</f>
        <v>5.8300165921402916E-4</v>
      </c>
      <c r="Y149" s="777">
        <f>$F$22*$M$9*'Traffic Data'!BA32*annualizationFactor</f>
        <v>5.9292541492633006E-4</v>
      </c>
      <c r="Z149" s="777">
        <f>$F$22*$M$9*'Traffic Data'!BB32*annualizationFactor</f>
        <v>6.0285283998812687E-4</v>
      </c>
      <c r="AA149" s="777">
        <f>$F$22*$M$9*'Traffic Data'!BC32*annualizationFactor</f>
        <v>6.1277659570042756E-4</v>
      </c>
      <c r="AB149" s="777">
        <f>$F$22*$M$9*'Traffic Data'!BD32*annualizationFactor</f>
        <v>6.227040207622248E-4</v>
      </c>
      <c r="AC149" s="777">
        <f>$F$22*$M$9*'Traffic Data'!BE32*annualizationFactor</f>
        <v>6.3262777647452549E-4</v>
      </c>
      <c r="AD149" s="777">
        <f>$F$22*$M$9*'Traffic Data'!BF32*annualizationFactor</f>
        <v>6.4255153218682629E-4</v>
      </c>
      <c r="AE149" s="777">
        <f>$F$22*$M$9*'Traffic Data'!BG32*annualizationFactor</f>
        <v>6.5247895724862321E-4</v>
      </c>
      <c r="AF149" s="777">
        <f>$F$22*$M$9*'Traffic Data'!BH32*annualizationFactor</f>
        <v>6.6240271296092411E-4</v>
      </c>
      <c r="AG149" s="777">
        <f>$F$22*$M$9*'Traffic Data'!BI32*annualizationFactor</f>
        <v>6.723264686732249E-4</v>
      </c>
      <c r="AH149" s="778">
        <f>$F$22*$M$9*'Traffic Data'!BJ32*annualizationFactor</f>
        <v>6.8225389373502161E-4</v>
      </c>
      <c r="AI149" s="40"/>
      <c r="AJ149" s="40"/>
      <c r="AK149" s="40"/>
      <c r="AL149" s="40"/>
      <c r="AM149" s="40"/>
    </row>
    <row r="150" spans="2:39" ht="21.95" customHeight="1" x14ac:dyDescent="0.2">
      <c r="B150" s="492"/>
      <c r="C150" s="116" t="s">
        <v>343</v>
      </c>
      <c r="D150" s="116" t="s">
        <v>350</v>
      </c>
      <c r="E150" s="116" t="s">
        <v>467</v>
      </c>
      <c r="F150" s="116" t="s">
        <v>438</v>
      </c>
      <c r="G150" s="970"/>
      <c r="H150" s="970"/>
      <c r="I150" s="777">
        <f>$F$22*$M$9*'Traffic Data'!AK33*annualizationFactor</f>
        <v>7.1552315174659101E-4</v>
      </c>
      <c r="J150" s="777">
        <f>$F$22*$M$9*'Traffic Data'!AL33*annualizationFactor</f>
        <v>7.4016457655415725E-4</v>
      </c>
      <c r="K150" s="777">
        <f>$F$22*$M$9*'Traffic Data'!AM33*annualizationFactor</f>
        <v>7.6765616858284747E-4</v>
      </c>
      <c r="L150" s="777">
        <f>$F$22*$M$9*'Traffic Data'!AN33*annualizationFactor</f>
        <v>8.1568088998949264E-4</v>
      </c>
      <c r="M150" s="777">
        <f>$F$22*$M$9*'Traffic Data'!AO33*annualizationFactor</f>
        <v>8.6373423232220727E-4</v>
      </c>
      <c r="N150" s="777">
        <f>$F$22*$M$9*'Traffic Data'!AP33*annualizationFactor</f>
        <v>9.1177087911471506E-4</v>
      </c>
      <c r="O150" s="777">
        <f>$F$22*$M$9*'Traffic Data'!AQ33*annualizationFactor</f>
        <v>9.597956005213599E-4</v>
      </c>
      <c r="P150" s="777">
        <f>$F$22*$M$9*'Traffic Data'!AR33*annualizationFactor</f>
        <v>1.0078692160100406E-3</v>
      </c>
      <c r="Q150" s="777">
        <f>$F$22*$M$9*'Traffic Data'!AS33*annualizationFactor</f>
        <v>1.0697834343306731E-3</v>
      </c>
      <c r="R150" s="777">
        <f>$F$22*$M$9*'Traffic Data'!AT33*annualizationFactor</f>
        <v>1.131732236270307E-3</v>
      </c>
      <c r="S150" s="777">
        <f>$F$22*$M$9*'Traffic Data'!AU33*annualizationFactor</f>
        <v>1.1936345292050765E-3</v>
      </c>
      <c r="T150" s="777">
        <f>$F$22*$M$9*'Traffic Data'!AV33*annualizationFactor</f>
        <v>1.2555487475257093E-3</v>
      </c>
      <c r="U150" s="777">
        <f>$F$22*$M$9*'Traffic Data'!AW33*annualizationFactor</f>
        <v>1.3175154375441366E-3</v>
      </c>
      <c r="V150" s="777">
        <f>$F$22*$M$9*'Traffic Data'!AX33*annualizationFactor</f>
        <v>1.358864327944986E-3</v>
      </c>
      <c r="W150" s="777">
        <f>$F$22*$M$9*'Traffic Data'!AY33*annualizationFactor</f>
        <v>1.3835057527525527E-3</v>
      </c>
      <c r="X150" s="777">
        <f>$F$22*$M$9*'Traffic Data'!AZ33*annualizationFactor</f>
        <v>1.4081471775601187E-3</v>
      </c>
      <c r="Y150" s="777">
        <f>$F$22*$M$9*'Traffic Data'!BA33*annualizationFactor</f>
        <v>1.4327886023676854E-3</v>
      </c>
      <c r="Z150" s="777">
        <f>$F$22*$M$9*'Traffic Data'!BB33*annualizationFactor</f>
        <v>1.4574443376382869E-3</v>
      </c>
      <c r="AA150" s="777">
        <f>$F$22*$M$9*'Traffic Data'!BC33*annualizationFactor</f>
        <v>1.4820857624458527E-3</v>
      </c>
      <c r="AB150" s="777">
        <f>$F$22*$M$9*'Traffic Data'!BD33*annualizationFactor</f>
        <v>1.5067414977164536E-3</v>
      </c>
      <c r="AC150" s="777">
        <f>$F$22*$M$9*'Traffic Data'!BE33*annualizationFactor</f>
        <v>1.5313829225240203E-3</v>
      </c>
      <c r="AD150" s="777">
        <f>$F$22*$M$9*'Traffic Data'!BF33*annualizationFactor</f>
        <v>1.5560243473315863E-3</v>
      </c>
      <c r="AE150" s="777">
        <f>$F$22*$M$9*'Traffic Data'!BG33*annualizationFactor</f>
        <v>1.5806800826021878E-3</v>
      </c>
      <c r="AF150" s="777">
        <f>$F$22*$M$9*'Traffic Data'!BH33*annualizationFactor</f>
        <v>1.6053215074097542E-3</v>
      </c>
      <c r="AG150" s="777">
        <f>$F$22*$M$9*'Traffic Data'!BI33*annualizationFactor</f>
        <v>1.6299629322173207E-3</v>
      </c>
      <c r="AH150" s="778">
        <f>$F$22*$M$9*'Traffic Data'!BJ33*annualizationFactor</f>
        <v>1.6546186674879218E-3</v>
      </c>
      <c r="AI150" s="40"/>
      <c r="AJ150" s="40"/>
      <c r="AK150" s="40"/>
      <c r="AL150" s="40"/>
      <c r="AM150" s="40"/>
    </row>
    <row r="151" spans="2:39" ht="21.95" customHeight="1" x14ac:dyDescent="0.2">
      <c r="B151" s="492"/>
      <c r="C151" s="116" t="s">
        <v>350</v>
      </c>
      <c r="D151" s="116" t="s">
        <v>280</v>
      </c>
      <c r="E151" s="116" t="s">
        <v>467</v>
      </c>
      <c r="F151" s="116" t="s">
        <v>438</v>
      </c>
      <c r="G151" s="970"/>
      <c r="H151" s="970"/>
      <c r="I151" s="777">
        <f>$F$22*$M$9*'Traffic Data'!AK34*annualizationFactor</f>
        <v>5.9406768342447737E-3</v>
      </c>
      <c r="J151" s="777">
        <f>$F$22*$M$9*'Traffic Data'!AL34*annualizationFactor</f>
        <v>6.1452638432881066E-3</v>
      </c>
      <c r="K151" s="777">
        <f>$F$22*$M$9*'Traffic Data'!AM34*annualizationFactor</f>
        <v>6.3735145483878467E-3</v>
      </c>
      <c r="L151" s="777">
        <f>$F$22*$M$9*'Traffic Data'!AN34*annualizationFactor</f>
        <v>6.7722428763742999E-3</v>
      </c>
      <c r="M151" s="777">
        <f>$F$22*$M$9*'Traffic Data'!AO34*annualizationFactor</f>
        <v>7.1712088314341222E-3</v>
      </c>
      <c r="N151" s="777">
        <f>$F$22*$M$9*'Traffic Data'!AP34*annualizationFactor</f>
        <v>7.5700361707011464E-3</v>
      </c>
      <c r="O151" s="777">
        <f>$F$22*$M$9*'Traffic Data'!AQ34*annualizationFactor</f>
        <v>7.9687644986875979E-3</v>
      </c>
      <c r="P151" s="777">
        <f>$F$22*$M$9*'Traffic Data'!AR34*annualizationFactor</f>
        <v>8.3678987729243898E-3</v>
      </c>
      <c r="Q151" s="777">
        <f>$F$22*$M$9*'Traffic Data'!AS34*annualizationFactor</f>
        <v>8.8819455393915909E-3</v>
      </c>
      <c r="R151" s="777">
        <f>$F$22*$M$9*'Traffic Data'!AT34*annualizationFactor</f>
        <v>9.3962794385724479E-3</v>
      </c>
      <c r="S151" s="777">
        <f>$F$22*$M$9*'Traffic Data'!AU34*annualizationFactor</f>
        <v>9.9102271937590719E-3</v>
      </c>
      <c r="T151" s="777">
        <f>$F$22*$M$9*'Traffic Data'!AV34*annualizationFactor</f>
        <v>1.0424273960226275E-2</v>
      </c>
      <c r="U151" s="777">
        <f>$F$22*$M$9*'Traffic Data'!AW34*annualizationFactor</f>
        <v>1.0938756376327987E-2</v>
      </c>
      <c r="V151" s="777">
        <f>$F$22*$M$9*'Traffic Data'!AX34*annualizationFactor</f>
        <v>1.1282058189450933E-2</v>
      </c>
      <c r="W151" s="777">
        <f>$F$22*$M$9*'Traffic Data'!AY34*annualizationFactor</f>
        <v>1.1486645198494268E-2</v>
      </c>
      <c r="X151" s="777">
        <f>$F$22*$M$9*'Traffic Data'!AZ34*annualizationFactor</f>
        <v>1.1691232207537603E-2</v>
      </c>
      <c r="Y151" s="777">
        <f>$F$22*$M$9*'Traffic Data'!BA34*annualizationFactor</f>
        <v>1.1895819216580937E-2</v>
      </c>
      <c r="Z151" s="777">
        <f>$F$22*$M$9*'Traffic Data'!BB34*annualizationFactor</f>
        <v>1.2100525039160957E-2</v>
      </c>
      <c r="AA151" s="777">
        <f>$F$22*$M$9*'Traffic Data'!BC34*annualizationFactor</f>
        <v>1.2305112048204288E-2</v>
      </c>
      <c r="AB151" s="777">
        <f>$F$22*$M$9*'Traffic Data'!BD34*annualizationFactor</f>
        <v>1.2509817870784298E-2</v>
      </c>
      <c r="AC151" s="777">
        <f>$F$22*$M$9*'Traffic Data'!BE34*annualizationFactor</f>
        <v>1.2714404879827636E-2</v>
      </c>
      <c r="AD151" s="777">
        <f>$F$22*$M$9*'Traffic Data'!BF34*annualizationFactor</f>
        <v>1.2918991888870966E-2</v>
      </c>
      <c r="AE151" s="777">
        <f>$F$22*$M$9*'Traffic Data'!BG34*annualizationFactor</f>
        <v>1.3123697711450987E-2</v>
      </c>
      <c r="AF151" s="777">
        <f>$F$22*$M$9*'Traffic Data'!BH34*annualizationFactor</f>
        <v>1.3328284720494318E-2</v>
      </c>
      <c r="AG151" s="777">
        <f>$F$22*$M$9*'Traffic Data'!BI34*annualizationFactor</f>
        <v>1.3532871729537651E-2</v>
      </c>
      <c r="AH151" s="778">
        <f>$F$22*$M$9*'Traffic Data'!BJ34*annualizationFactor</f>
        <v>1.3737577552117668E-2</v>
      </c>
      <c r="AI151" s="40"/>
      <c r="AJ151" s="40"/>
      <c r="AK151" s="40"/>
      <c r="AL151" s="40"/>
      <c r="AM151" s="40"/>
    </row>
    <row r="152" spans="2:39" ht="21.95" customHeight="1" x14ac:dyDescent="0.2">
      <c r="B152" s="493"/>
      <c r="C152" s="254" t="s">
        <v>280</v>
      </c>
      <c r="D152" s="254" t="s">
        <v>333</v>
      </c>
      <c r="E152" s="254" t="s">
        <v>467</v>
      </c>
      <c r="F152" s="254" t="s">
        <v>438</v>
      </c>
      <c r="G152" s="779"/>
      <c r="H152" s="779"/>
      <c r="I152" s="779">
        <f>$F$22*$M$9*'Traffic Data'!AK35*annualizationFactor</f>
        <v>1.4677397984545458E-4</v>
      </c>
      <c r="J152" s="779">
        <f>$F$22*$M$9*'Traffic Data'!AL35*annualizationFactor</f>
        <v>1.5182863108803227E-4</v>
      </c>
      <c r="K152" s="779">
        <f>$F$22*$M$9*'Traffic Data'!AM35*annualizationFactor</f>
        <v>1.5746793201699435E-4</v>
      </c>
      <c r="L152" s="779">
        <f>$F$22*$M$9*'Traffic Data'!AN35*annualizationFactor</f>
        <v>1.6731915692092157E-4</v>
      </c>
      <c r="M152" s="779">
        <f>$F$22*$M$9*'Traffic Data'!AO35*annualizationFactor</f>
        <v>1.7717625278404253E-4</v>
      </c>
      <c r="N152" s="779">
        <f>$F$22*$M$9*'Traffic Data'!AP35*annualizationFactor</f>
        <v>1.8702992392096715E-4</v>
      </c>
      <c r="O152" s="779">
        <f>$F$22*$M$9*'Traffic Data'!AQ35*annualizationFactor</f>
        <v>1.9688114882489434E-4</v>
      </c>
      <c r="P152" s="779">
        <f>$F$22*$M$9*'Traffic Data'!AR35*annualizationFactor</f>
        <v>2.0674240328411093E-4</v>
      </c>
      <c r="Q152" s="779">
        <f>$F$22*$M$9*'Traffic Data'!AS35*annualizationFactor</f>
        <v>2.1944275576013812E-4</v>
      </c>
      <c r="R152" s="779">
        <f>$F$22*$M$9*'Traffic Data'!AT35*annualizationFactor</f>
        <v>2.3215020231185789E-4</v>
      </c>
      <c r="S152" s="779">
        <f>$F$22*$M$9*'Traffic Data'!AU35*annualizationFactor</f>
        <v>2.448481085548875E-4</v>
      </c>
      <c r="T152" s="779">
        <f>$F$22*$M$9*'Traffic Data'!AV35*annualizationFactor</f>
        <v>2.5754846103091475E-4</v>
      </c>
      <c r="U152" s="779">
        <f>$F$22*$M$9*'Traffic Data'!AW35*annualizationFactor</f>
        <v>2.7025957693213061E-4</v>
      </c>
      <c r="V152" s="779">
        <f>$F$22*$M$9*'Traffic Data'!AX35*annualizationFactor</f>
        <v>2.7874140060409969E-4</v>
      </c>
      <c r="W152" s="779">
        <f>$F$22*$M$9*'Traffic Data'!AY35*annualizationFactor</f>
        <v>2.8379605184667746E-4</v>
      </c>
      <c r="X152" s="779">
        <f>$F$22*$M$9*'Traffic Data'!AZ35*annualizationFactor</f>
        <v>2.8885070308925517E-4</v>
      </c>
      <c r="Y152" s="779">
        <f>$F$22*$M$9*'Traffic Data'!BA35*annualizationFactor</f>
        <v>2.9390535433183293E-4</v>
      </c>
      <c r="Z152" s="779">
        <f>$F$22*$M$9*'Traffic Data'!BB35*annualizationFactor</f>
        <v>2.9896294105400751E-4</v>
      </c>
      <c r="AA152" s="779">
        <f>$F$22*$M$9*'Traffic Data'!BC35*annualizationFactor</f>
        <v>3.0401759229658516E-4</v>
      </c>
      <c r="AB152" s="779">
        <f>$F$22*$M$9*'Traffic Data'!BD35*annualizationFactor</f>
        <v>3.0907517901875974E-4</v>
      </c>
      <c r="AC152" s="779">
        <f>$F$22*$M$9*'Traffic Data'!BE35*annualizationFactor</f>
        <v>3.1412983026133751E-4</v>
      </c>
      <c r="AD152" s="779">
        <f>$F$22*$M$9*'Traffic Data'!BF35*annualizationFactor</f>
        <v>3.1918448150391522E-4</v>
      </c>
      <c r="AE152" s="779">
        <f>$F$22*$M$9*'Traffic Data'!BG35*annualizationFactor</f>
        <v>3.2424206822608985E-4</v>
      </c>
      <c r="AF152" s="779">
        <f>$F$22*$M$9*'Traffic Data'!BH35*annualizationFactor</f>
        <v>3.2929671946866756E-4</v>
      </c>
      <c r="AG152" s="779">
        <f>$F$22*$M$9*'Traffic Data'!BI35*annualizationFactor</f>
        <v>3.3435137071124527E-4</v>
      </c>
      <c r="AH152" s="783">
        <f>$F$22*$M$9*'Traffic Data'!BJ35*annualizationFactor</f>
        <v>3.394089574334199E-4</v>
      </c>
      <c r="AI152" s="40"/>
      <c r="AJ152" s="40"/>
      <c r="AK152" s="40"/>
      <c r="AL152" s="40"/>
      <c r="AM152" s="40"/>
    </row>
    <row r="153" spans="2:39" ht="21.95" customHeight="1" x14ac:dyDescent="0.2">
      <c r="B153" s="808" t="s">
        <v>493</v>
      </c>
      <c r="C153" s="809"/>
      <c r="D153" s="809"/>
      <c r="E153" s="240"/>
      <c r="F153" s="240"/>
      <c r="G153" s="969">
        <f>SUM(G124:G152)</f>
        <v>0</v>
      </c>
      <c r="H153" s="969">
        <f>SUM(H124:H152)</f>
        <v>0</v>
      </c>
      <c r="I153" s="785">
        <f t="shared" ref="I153:AH153" si="3">SUM(I124:I152)</f>
        <v>0.17054305692853555</v>
      </c>
      <c r="J153" s="785">
        <f t="shared" si="3"/>
        <v>0.176762516197353</v>
      </c>
      <c r="K153" s="785">
        <f t="shared" si="3"/>
        <v>0.18675835378681546</v>
      </c>
      <c r="L153" s="785">
        <f t="shared" si="3"/>
        <v>0.2032063575272324</v>
      </c>
      <c r="M153" s="785">
        <f t="shared" si="3"/>
        <v>0.21966215513489151</v>
      </c>
      <c r="N153" s="785">
        <f t="shared" si="3"/>
        <v>0.23611899794855964</v>
      </c>
      <c r="O153" s="785">
        <f t="shared" si="3"/>
        <v>0.25256700168897656</v>
      </c>
      <c r="P153" s="785">
        <f t="shared" si="3"/>
        <v>0.26903023838988632</v>
      </c>
      <c r="Q153" s="785">
        <f t="shared" si="3"/>
        <v>0.2859764619576371</v>
      </c>
      <c r="R153" s="785">
        <f t="shared" si="3"/>
        <v>0.3029255606746411</v>
      </c>
      <c r="S153" s="785">
        <f t="shared" si="3"/>
        <v>0.31987124777419979</v>
      </c>
      <c r="T153" s="785">
        <f t="shared" si="3"/>
        <v>0.33681763989718894</v>
      </c>
      <c r="U153" s="785">
        <f t="shared" si="3"/>
        <v>0.35377873564300344</v>
      </c>
      <c r="V153" s="785">
        <f t="shared" si="3"/>
        <v>0.36426417944251177</v>
      </c>
      <c r="W153" s="785">
        <f t="shared" si="3"/>
        <v>0.37049615765116628</v>
      </c>
      <c r="X153" s="785">
        <f t="shared" si="3"/>
        <v>0.37672948494753367</v>
      </c>
      <c r="Y153" s="785">
        <f t="shared" si="3"/>
        <v>0.38296231239043532</v>
      </c>
      <c r="Z153" s="785">
        <f t="shared" si="3"/>
        <v>0.38919840318154253</v>
      </c>
      <c r="AA153" s="785">
        <f t="shared" si="3"/>
        <v>0.39543123062444407</v>
      </c>
      <c r="AB153" s="785">
        <f t="shared" si="3"/>
        <v>0.40166732141555139</v>
      </c>
      <c r="AC153" s="785">
        <f t="shared" si="3"/>
        <v>0.40790014885845316</v>
      </c>
      <c r="AD153" s="785">
        <f t="shared" si="3"/>
        <v>0.41413297630135482</v>
      </c>
      <c r="AE153" s="785">
        <f t="shared" si="3"/>
        <v>0.42036888626691887</v>
      </c>
      <c r="AF153" s="785">
        <f t="shared" si="3"/>
        <v>0.42660221356328637</v>
      </c>
      <c r="AG153" s="785">
        <f t="shared" si="3"/>
        <v>0.43283437259748381</v>
      </c>
      <c r="AH153" s="786">
        <f t="shared" si="3"/>
        <v>0.43907046338859096</v>
      </c>
      <c r="AI153" s="40"/>
      <c r="AJ153" s="40"/>
      <c r="AK153" s="40"/>
      <c r="AL153" s="40"/>
      <c r="AM153" s="40"/>
    </row>
    <row r="154" spans="2:39" ht="21.95" customHeight="1" x14ac:dyDescent="0.2">
      <c r="B154" s="787" t="s">
        <v>328</v>
      </c>
      <c r="C154" s="1344" t="s">
        <v>18</v>
      </c>
      <c r="D154" s="1344"/>
      <c r="E154" s="46" t="s">
        <v>24</v>
      </c>
      <c r="F154" s="46" t="s">
        <v>42</v>
      </c>
      <c r="G154" s="123" cm="1">
        <f t="array" ref="G154:AH154">year</f>
        <v>2021</v>
      </c>
      <c r="H154" s="123">
        <v>2022</v>
      </c>
      <c r="I154" s="46">
        <v>2023</v>
      </c>
      <c r="J154" s="46">
        <v>2024</v>
      </c>
      <c r="K154" s="46">
        <v>2025</v>
      </c>
      <c r="L154" s="46">
        <v>2026</v>
      </c>
      <c r="M154" s="46">
        <v>2027</v>
      </c>
      <c r="N154" s="46">
        <v>2028</v>
      </c>
      <c r="O154" s="46">
        <v>2029</v>
      </c>
      <c r="P154" s="46">
        <v>2030</v>
      </c>
      <c r="Q154" s="46">
        <v>2031</v>
      </c>
      <c r="R154" s="46">
        <v>2032</v>
      </c>
      <c r="S154" s="46">
        <v>2033</v>
      </c>
      <c r="T154" s="46">
        <v>2034</v>
      </c>
      <c r="U154" s="46">
        <v>2035</v>
      </c>
      <c r="V154" s="46">
        <v>2036</v>
      </c>
      <c r="W154" s="46">
        <v>2037</v>
      </c>
      <c r="X154" s="46">
        <v>2038</v>
      </c>
      <c r="Y154" s="46">
        <v>2039</v>
      </c>
      <c r="Z154" s="46">
        <v>2040</v>
      </c>
      <c r="AA154" s="46">
        <v>2041</v>
      </c>
      <c r="AB154" s="46">
        <v>2042</v>
      </c>
      <c r="AC154" s="46">
        <v>2043</v>
      </c>
      <c r="AD154" s="46">
        <v>2044</v>
      </c>
      <c r="AE154" s="46">
        <v>2045</v>
      </c>
      <c r="AF154" s="46">
        <v>2046</v>
      </c>
      <c r="AG154" s="46">
        <v>2047</v>
      </c>
      <c r="AH154" s="495">
        <v>2048</v>
      </c>
      <c r="AI154" s="40"/>
      <c r="AJ154" s="40"/>
      <c r="AK154" s="40"/>
      <c r="AL154" s="40"/>
      <c r="AM154" s="40"/>
    </row>
    <row r="155" spans="2:39" ht="21.95" customHeight="1" x14ac:dyDescent="0.2">
      <c r="B155" s="1346" t="s">
        <v>331</v>
      </c>
      <c r="C155" s="220" t="s">
        <v>332</v>
      </c>
      <c r="D155" s="220" t="s">
        <v>282</v>
      </c>
      <c r="E155" s="220" t="s">
        <v>19</v>
      </c>
      <c r="F155" s="220" t="s">
        <v>41</v>
      </c>
      <c r="G155" s="775"/>
      <c r="H155" s="775"/>
      <c r="I155" s="775">
        <f>$G$21*$E$8*'Traffic Data'!AK7*annualizationFactor</f>
        <v>1.4524664E-2</v>
      </c>
      <c r="J155" s="775">
        <f>$G$21*$E$8*'Traffic Data'!AL7*annualizationFactor</f>
        <v>1.5192889323149999E-2</v>
      </c>
      <c r="K155" s="775">
        <f>$G$21*$E$8*'Traffic Data'!AM7*annualizationFactor</f>
        <v>1.6131228007125003E-2</v>
      </c>
      <c r="L155" s="775">
        <f>$G$21*$E$8*'Traffic Data'!AN7*annualizationFactor</f>
        <v>1.7507757648150005E-2</v>
      </c>
      <c r="M155" s="775">
        <f>$G$21*$E$8*'Traffic Data'!AO7*annualizationFactor</f>
        <v>1.88847865745E-2</v>
      </c>
      <c r="N155" s="775">
        <f>$G$21*$E$8*'Traffic Data'!AP7*annualizationFactor</f>
        <v>2.0261860890424997E-2</v>
      </c>
      <c r="O155" s="775">
        <f>$G$21*$E$8*'Traffic Data'!AQ7*annualizationFactor</f>
        <v>2.1638390531449996E-2</v>
      </c>
      <c r="P155" s="775">
        <f>$G$21*$E$8*'Traffic Data'!AR7*annualizationFactor</f>
        <v>2.3015964132699997E-2</v>
      </c>
      <c r="Q155" s="775">
        <f>$G$21*$E$8*'Traffic Data'!AS7*annualizationFactor</f>
        <v>2.43772882661E-2</v>
      </c>
      <c r="R155" s="775">
        <f>$G$21*$E$8*'Traffic Data'!AT7*annualizationFactor</f>
        <v>2.5738884736949998E-2</v>
      </c>
      <c r="S155" s="775">
        <f>$G$21*$E$8*'Traffic Data'!AU7*annualizationFactor</f>
        <v>2.7100208870350001E-2</v>
      </c>
      <c r="T155" s="775">
        <f>$G$21*$E$8*'Traffic Data'!AV7*annualizationFactor</f>
        <v>2.8461533003750001E-2</v>
      </c>
      <c r="U155" s="775">
        <f>$G$21*$E$8*'Traffic Data'!AW7*annualizationFactor</f>
        <v>2.9823946486950005E-2</v>
      </c>
      <c r="V155" s="775">
        <f>$G$21*$E$8*'Traffic Data'!AX7*annualizationFactor</f>
        <v>3.0746534988400003E-2</v>
      </c>
      <c r="W155" s="775">
        <f>$G$21*$E$8*'Traffic Data'!AY7*annualizationFactor</f>
        <v>3.1414760311550001E-2</v>
      </c>
      <c r="X155" s="775">
        <f>$G$21*$E$8*'Traffic Data'!AZ7*annualizationFactor</f>
        <v>3.2082985634699995E-2</v>
      </c>
      <c r="Y155" s="775">
        <f>$G$21*$E$8*'Traffic Data'!BA7*annualizationFactor</f>
        <v>3.2751210957849997E-2</v>
      </c>
      <c r="Z155" s="775">
        <f>$G$21*$E$8*'Traffic Data'!BB7*annualizationFactor</f>
        <v>3.3419708618449999E-2</v>
      </c>
      <c r="AA155" s="775">
        <f>$G$21*$E$8*'Traffic Data'!BC7*annualizationFactor</f>
        <v>3.40879339416E-2</v>
      </c>
      <c r="AB155" s="775">
        <f>$G$21*$E$8*'Traffic Data'!BD7*annualizationFactor</f>
        <v>3.4756431602199996E-2</v>
      </c>
      <c r="AC155" s="775">
        <f>$G$21*$E$8*'Traffic Data'!BE7*annualizationFactor</f>
        <v>3.5424656925350004E-2</v>
      </c>
      <c r="AD155" s="775">
        <f>$G$21*$E$8*'Traffic Data'!BF7*annualizationFactor</f>
        <v>3.6092882248499998E-2</v>
      </c>
      <c r="AE155" s="775">
        <f>$G$21*$E$8*'Traffic Data'!BG7*annualizationFactor</f>
        <v>3.6761379909099993E-2</v>
      </c>
      <c r="AF155" s="775">
        <f>$G$21*$E$8*'Traffic Data'!BH7*annualizationFactor</f>
        <v>3.7429605232249995E-2</v>
      </c>
      <c r="AG155" s="775">
        <f>$G$21*$E$8*'Traffic Data'!BI7*annualizationFactor</f>
        <v>3.8097830555400003E-2</v>
      </c>
      <c r="AH155" s="776">
        <f>$G$21*$E$8*'Traffic Data'!BJ7*annualizationFactor</f>
        <v>3.8766328215999991E-2</v>
      </c>
      <c r="AI155" s="40"/>
      <c r="AJ155" s="40"/>
      <c r="AK155" s="40"/>
      <c r="AL155" s="40"/>
      <c r="AM155" s="40"/>
    </row>
    <row r="156" spans="2:39" ht="21.95" customHeight="1" x14ac:dyDescent="0.2">
      <c r="B156" s="1346"/>
      <c r="C156" s="116" t="s">
        <v>282</v>
      </c>
      <c r="D156" s="116" t="s">
        <v>280</v>
      </c>
      <c r="E156" s="116" t="s">
        <v>19</v>
      </c>
      <c r="F156" s="116" t="s">
        <v>41</v>
      </c>
      <c r="G156" s="970"/>
      <c r="H156" s="970"/>
      <c r="I156" s="777">
        <f>$G$21*$E$8*'Traffic Data'!AK8*annualizationFactor</f>
        <v>0.46704569625000003</v>
      </c>
      <c r="J156" s="777">
        <f>$G$21*$E$8*'Traffic Data'!AL8*annualizationFactor</f>
        <v>0.492918298023375</v>
      </c>
      <c r="K156" s="777">
        <f>$G$21*$E$8*'Traffic Data'!AM8*annualizationFactor</f>
        <v>0.52292165951025005</v>
      </c>
      <c r="L156" s="777">
        <f>$G$21*$E$8*'Traffic Data'!AN8*annualizationFactor</f>
        <v>0.57890660009962502</v>
      </c>
      <c r="M156" s="777">
        <f>$G$21*$E$8*'Traffic Data'!AO8*annualizationFactor</f>
        <v>0.63491229827550022</v>
      </c>
      <c r="N156" s="777">
        <f>$G$21*$E$8*'Traffic Data'!AP8*annualizationFactor</f>
        <v>0.69092837524462514</v>
      </c>
      <c r="O156" s="777">
        <f>$G$21*$E$8*'Traffic Data'!AQ8*annualizationFactor</f>
        <v>0.74691331583400011</v>
      </c>
      <c r="P156" s="777">
        <f>$G$21*$E$8*'Traffic Data'!AR8*annualizationFactor</f>
        <v>0.80295188018850017</v>
      </c>
      <c r="Q156" s="777">
        <f>$G$21*$E$8*'Traffic Data'!AS8*annualizationFactor</f>
        <v>0.86937961658624996</v>
      </c>
      <c r="R156" s="777">
        <f>$G$21*$E$8*'Traffic Data'!AT8*annualizationFactor</f>
        <v>0.93582638077162517</v>
      </c>
      <c r="S156" s="777">
        <f>$G$21*$E$8*'Traffic Data'!AU8*annualizationFactor</f>
        <v>1.0022541171693751</v>
      </c>
      <c r="T156" s="777">
        <f>$G$21*$E$8*'Traffic Data'!AV8*annualizationFactor</f>
        <v>1.0686818535671248</v>
      </c>
      <c r="U156" s="777">
        <f>$G$21*$E$8*'Traffic Data'!AW8*annualizationFactor</f>
        <v>1.135175322322125</v>
      </c>
      <c r="V156" s="777">
        <f>$G$21*$E$8*'Traffic Data'!AX8*annualizationFactor</f>
        <v>1.1755886134387499</v>
      </c>
      <c r="W156" s="777">
        <f>$G$21*$E$8*'Traffic Data'!AY8*annualizationFactor</f>
        <v>1.2014612152121251</v>
      </c>
      <c r="X156" s="777">
        <f>$G$21*$E$8*'Traffic Data'!AZ8*annualizationFactor</f>
        <v>1.2273338169854999</v>
      </c>
      <c r="Y156" s="777">
        <f>$G$21*$E$8*'Traffic Data'!BA8*annualizationFactor</f>
        <v>1.253206418758875</v>
      </c>
      <c r="Z156" s="777">
        <f>$G$21*$E$8*'Traffic Data'!BB8*annualizationFactor</f>
        <v>1.2790963185210003</v>
      </c>
      <c r="AA156" s="777">
        <f>$G$21*$E$8*'Traffic Data'!BC8*annualizationFactor</f>
        <v>1.3049689202943751</v>
      </c>
      <c r="AB156" s="777">
        <f>$G$21*$E$8*'Traffic Data'!BD8*annualizationFactor</f>
        <v>1.3308588200564995</v>
      </c>
      <c r="AC156" s="777">
        <f>$G$21*$E$8*'Traffic Data'!BE8*annualizationFactor</f>
        <v>1.3567314218298749</v>
      </c>
      <c r="AD156" s="777">
        <f>$G$21*$E$8*'Traffic Data'!BF8*annualizationFactor</f>
        <v>1.38260402360325</v>
      </c>
      <c r="AE156" s="777">
        <f>$G$21*$E$8*'Traffic Data'!BG8*annualizationFactor</f>
        <v>1.4084939233653753</v>
      </c>
      <c r="AF156" s="777">
        <f>$G$21*$E$8*'Traffic Data'!BH8*annualizationFactor</f>
        <v>1.4343665251387501</v>
      </c>
      <c r="AG156" s="777">
        <f>$G$21*$E$8*'Traffic Data'!BI8*annualizationFactor</f>
        <v>1.4602391269121251</v>
      </c>
      <c r="AH156" s="778">
        <f>$G$21*$E$8*'Traffic Data'!BJ8*annualizationFactor</f>
        <v>1.48612902667425</v>
      </c>
      <c r="AI156" s="40"/>
      <c r="AJ156" s="40"/>
      <c r="AK156" s="40"/>
      <c r="AL156" s="40"/>
      <c r="AM156" s="40"/>
    </row>
    <row r="157" spans="2:39" ht="21.95" customHeight="1" x14ac:dyDescent="0.2">
      <c r="B157" s="1346"/>
      <c r="C157" s="116" t="s">
        <v>280</v>
      </c>
      <c r="D157" s="116" t="s">
        <v>333</v>
      </c>
      <c r="E157" s="254" t="s">
        <v>19</v>
      </c>
      <c r="F157" s="254" t="s">
        <v>41</v>
      </c>
      <c r="G157" s="779"/>
      <c r="H157" s="779"/>
      <c r="I157" s="779">
        <f>$G$21*$E$8*'Traffic Data'!AK9*annualizationFactor</f>
        <v>1.0893498E-2</v>
      </c>
      <c r="J157" s="779">
        <f>$G$21*$E$8*'Traffic Data'!AL9*annualizationFactor</f>
        <v>1.134839232065E-2</v>
      </c>
      <c r="K157" s="779">
        <f>$G$21*$E$8*'Traffic Data'!AM9*annualizationFactor</f>
        <v>1.1911404608949999E-2</v>
      </c>
      <c r="L157" s="779">
        <f>$G$21*$E$8*'Traffic Data'!AN9*annualizationFactor</f>
        <v>1.2669410511449999E-2</v>
      </c>
      <c r="M157" s="779">
        <f>$G$21*$E$8*'Traffic Data'!AO9*annualizationFactor</f>
        <v>1.3427688751400003E-2</v>
      </c>
      <c r="N157" s="779">
        <f>$G$21*$E$8*'Traffic Data'!AP9*annualizationFactor</f>
        <v>1.4185876212200004E-2</v>
      </c>
      <c r="O157" s="779">
        <f>$G$21*$E$8*'Traffic Data'!AQ9*annualizationFactor</f>
        <v>1.4943882114700003E-2</v>
      </c>
      <c r="P157" s="779">
        <f>$G$21*$E$8*'Traffic Data'!AR9*annualizationFactor</f>
        <v>1.5702432692100005E-2</v>
      </c>
      <c r="Q157" s="779">
        <f>$G$21*$E$8*'Traffic Data'!AS9*annualizationFactor</f>
        <v>1.6437380690500002E-2</v>
      </c>
      <c r="R157" s="779">
        <f>$G$21*$E$8*'Traffic Data'!AT9*annualizationFactor</f>
        <v>1.7172601026349994E-2</v>
      </c>
      <c r="S157" s="779">
        <f>$G$21*$E$8*'Traffic Data'!AU9*annualizationFactor</f>
        <v>1.7907549024749999E-2</v>
      </c>
      <c r="T157" s="779">
        <f>$G$21*$E$8*'Traffic Data'!AV9*annualizationFactor</f>
        <v>1.864249702315E-2</v>
      </c>
      <c r="U157" s="779">
        <f>$G$21*$E$8*'Traffic Data'!AW9*annualizationFactor</f>
        <v>1.937798969645E-2</v>
      </c>
      <c r="V157" s="779">
        <f>$G$21*$E$8*'Traffic Data'!AX9*annualizationFactor</f>
        <v>1.9917671743199996E-2</v>
      </c>
      <c r="W157" s="779">
        <f>$G$21*$E$8*'Traffic Data'!AY9*annualizationFactor</f>
        <v>2.037256606385E-2</v>
      </c>
      <c r="X157" s="779">
        <f>$G$21*$E$8*'Traffic Data'!AZ9*annualizationFactor</f>
        <v>2.0827460384499993E-2</v>
      </c>
      <c r="Y157" s="779">
        <f>$G$21*$E$8*'Traffic Data'!BA9*annualizationFactor</f>
        <v>2.1282354705149997E-2</v>
      </c>
      <c r="Z157" s="779">
        <f>$G$21*$E$8*'Traffic Data'!BB9*annualizationFactor</f>
        <v>2.1737430584100003E-2</v>
      </c>
      <c r="AA157" s="779">
        <f>$G$21*$E$8*'Traffic Data'!BC9*annualizationFactor</f>
        <v>2.219232490475E-2</v>
      </c>
      <c r="AB157" s="779">
        <f>$G$21*$E$8*'Traffic Data'!BD9*annualizationFactor</f>
        <v>2.2647400783700002E-2</v>
      </c>
      <c r="AC157" s="779">
        <f>$G$21*$E$8*'Traffic Data'!BE9*annualizationFactor</f>
        <v>2.3102295104350006E-2</v>
      </c>
      <c r="AD157" s="779">
        <f>$G$21*$E$8*'Traffic Data'!BF9*annualizationFactor</f>
        <v>2.3557189424999996E-2</v>
      </c>
      <c r="AE157" s="779">
        <f>$G$21*$E$8*'Traffic Data'!BG9*annualizationFactor</f>
        <v>2.4012265303950002E-2</v>
      </c>
      <c r="AF157" s="779">
        <f>$G$21*$E$8*'Traffic Data'!BH9*annualizationFactor</f>
        <v>2.4467159624599999E-2</v>
      </c>
      <c r="AG157" s="779">
        <f>$G$21*$E$8*'Traffic Data'!BI9*annualizationFactor</f>
        <v>2.4922053945249992E-2</v>
      </c>
      <c r="AH157" s="783">
        <f>$G$21*$E$8*'Traffic Data'!BJ9*annualizationFactor</f>
        <v>2.5377129824199998E-2</v>
      </c>
      <c r="AI157" s="40"/>
      <c r="AJ157" s="40"/>
      <c r="AK157" s="40"/>
      <c r="AL157" s="40"/>
      <c r="AM157" s="40"/>
    </row>
    <row r="158" spans="2:39" ht="21.95" customHeight="1" x14ac:dyDescent="0.2">
      <c r="B158" s="1346" t="s">
        <v>280</v>
      </c>
      <c r="C158" s="220" t="s">
        <v>281</v>
      </c>
      <c r="D158" s="220" t="s">
        <v>335</v>
      </c>
      <c r="E158" s="116" t="s">
        <v>19</v>
      </c>
      <c r="F158" s="116" t="s">
        <v>41</v>
      </c>
      <c r="G158" s="970"/>
      <c r="H158" s="970"/>
      <c r="I158" s="777">
        <f>$G$21*$F$8*'Traffic Data'!AK10*annualizationFactor</f>
        <v>8.9997320000000006E-2</v>
      </c>
      <c r="J158" s="777">
        <f>$G$21*$F$8*'Traffic Data'!AL10*annualizationFactor</f>
        <v>9.9817152578500018E-2</v>
      </c>
      <c r="K158" s="777">
        <f>$G$21*$F$8*'Traffic Data'!AM10*annualizationFactor</f>
        <v>0.11018776875539997</v>
      </c>
      <c r="L158" s="777">
        <f>$G$21*$F$8*'Traffic Data'!AN10*annualizationFactor</f>
        <v>0.14228823784630001</v>
      </c>
      <c r="M158" s="777">
        <f>$G$21*$F$8*'Traffic Data'!AO10*annualizationFactor</f>
        <v>0.1744049064548</v>
      </c>
      <c r="N158" s="777">
        <f>$G$21*$F$8*'Traffic Data'!AP10*annualizationFactor</f>
        <v>0.20653012480870001</v>
      </c>
      <c r="O158" s="777">
        <f>$G$21*$F$8*'Traffic Data'!AQ10*annualizationFactor</f>
        <v>0.23863059389960001</v>
      </c>
      <c r="P158" s="777">
        <f>$G$21*$F$8*'Traffic Data'!AR10*annualizationFactor</f>
        <v>0.27077538667060003</v>
      </c>
      <c r="Q158" s="777">
        <f>$G$21*$F$8*'Traffic Data'!AS10*annualizationFactor</f>
        <v>0.31391110214659995</v>
      </c>
      <c r="R158" s="777">
        <f>$G$21*$F$8*'Traffic Data'!AT10*annualizationFactor</f>
        <v>0.35706594205309994</v>
      </c>
      <c r="S158" s="777">
        <f>$G$21*$F$8*'Traffic Data'!AU10*annualizationFactor</f>
        <v>0.40020165752910003</v>
      </c>
      <c r="T158" s="777">
        <f>$G$21*$F$8*'Traffic Data'!AV10*annualizationFactor</f>
        <v>0.44333737300510001</v>
      </c>
      <c r="U158" s="777">
        <f>$G$21*$F$8*'Traffic Data'!AW10*annualizationFactor</f>
        <v>0.48652933680610011</v>
      </c>
      <c r="V158" s="777">
        <f>$G$21*$F$8*'Traffic Data'!AX10*annualizationFactor</f>
        <v>0.50790707520560008</v>
      </c>
      <c r="W158" s="777">
        <f>$G$21*$F$8*'Traffic Data'!AY10*annualizationFactor</f>
        <v>0.51772690778410002</v>
      </c>
      <c r="X158" s="777">
        <f>$G$21*$F$8*'Traffic Data'!AZ10*annualizationFactor</f>
        <v>0.52754674036260008</v>
      </c>
      <c r="Y158" s="777">
        <f>$G$21*$F$8*'Traffic Data'!BA10*annualizationFactor</f>
        <v>0.53736657294110002</v>
      </c>
      <c r="Z158" s="777">
        <f>$G$21*$F$8*'Traffic Data'!BB10*annualizationFactor</f>
        <v>0.54720215505059999</v>
      </c>
      <c r="AA158" s="777">
        <f>$G$21*$F$8*'Traffic Data'!BC10*annualizationFactor</f>
        <v>0.55702198762909994</v>
      </c>
      <c r="AB158" s="777">
        <f>$G$21*$F$8*'Traffic Data'!BD10*annualizationFactor</f>
        <v>0.56685756973860002</v>
      </c>
      <c r="AC158" s="777">
        <f>$G$21*$F$8*'Traffic Data'!BE10*annualizationFactor</f>
        <v>0.57667740231710007</v>
      </c>
      <c r="AD158" s="777">
        <f>$G$21*$F$8*'Traffic Data'!BF10*annualizationFactor</f>
        <v>0.58649723489560002</v>
      </c>
      <c r="AE158" s="777">
        <f>$G$21*$F$8*'Traffic Data'!BG10*annualizationFactor</f>
        <v>0.5963328170051001</v>
      </c>
      <c r="AF158" s="777">
        <f>$G$21*$F$8*'Traffic Data'!BH10*annualizationFactor</f>
        <v>0.60615264958359993</v>
      </c>
      <c r="AG158" s="777">
        <f>$G$21*$F$8*'Traffic Data'!BI10*annualizationFactor</f>
        <v>0.61597248216209999</v>
      </c>
      <c r="AH158" s="778">
        <f>$G$21*$F$8*'Traffic Data'!BJ10*annualizationFactor</f>
        <v>0.62580806427159996</v>
      </c>
      <c r="AI158" s="40"/>
      <c r="AJ158" s="40"/>
      <c r="AK158" s="40"/>
      <c r="AL158" s="40"/>
      <c r="AM158" s="40"/>
    </row>
    <row r="159" spans="2:39" ht="21.95" customHeight="1" x14ac:dyDescent="0.2">
      <c r="B159" s="1346"/>
      <c r="C159" s="116" t="s">
        <v>335</v>
      </c>
      <c r="D159" s="116" t="s">
        <v>323</v>
      </c>
      <c r="E159" s="116" t="s">
        <v>19</v>
      </c>
      <c r="F159" s="116" t="s">
        <v>41</v>
      </c>
      <c r="G159" s="970"/>
      <c r="H159" s="970"/>
      <c r="I159" s="777">
        <f>$G$21*$F$8*'Traffic Data'!AK11*annualizationFactor</f>
        <v>1.04244E-2</v>
      </c>
      <c r="J159" s="777">
        <f>$G$21*$F$8*'Traffic Data'!AL11*annualizationFactor</f>
        <v>1.180962902E-2</v>
      </c>
      <c r="K159" s="777">
        <f>$G$21*$F$8*'Traffic Data'!AM11*annualizationFactor</f>
        <v>1.3195726740000002E-2</v>
      </c>
      <c r="L159" s="777">
        <f>$G$21*$F$8*'Traffic Data'!AN11*annualizationFactor</f>
        <v>1.7885490560000002E-2</v>
      </c>
      <c r="M159" s="777">
        <f>$G$21*$F$8*'Traffic Data'!AO11*annualizationFactor</f>
        <v>2.2576209950000002E-2</v>
      </c>
      <c r="N159" s="777">
        <f>$G$21*$F$8*'Traffic Data'!AP11*annualizationFactor</f>
        <v>2.7271185970000004E-2</v>
      </c>
      <c r="O159" s="777">
        <f>$G$21*$F$8*'Traffic Data'!AQ11*annualizationFactor</f>
        <v>3.1960949790000005E-2</v>
      </c>
      <c r="P159" s="777">
        <f>$G$21*$F$8*'Traffic Data'!AR11*annualizationFactor</f>
        <v>3.6655143980000006E-2</v>
      </c>
      <c r="Q159" s="777">
        <f>$G$21*$F$8*'Traffic Data'!AS11*annualizationFactor</f>
        <v>4.3862834750000003E-2</v>
      </c>
      <c r="R159" s="777">
        <f>$G$21*$F$8*'Traffic Data'!AT11*annualizationFactor</f>
        <v>5.1069743690000009E-2</v>
      </c>
      <c r="S159" s="777">
        <f>$G$21*$F$8*'Traffic Data'!AU11*annualizationFactor</f>
        <v>5.8277347590000014E-2</v>
      </c>
      <c r="T159" s="777">
        <f>$G$21*$F$8*'Traffic Data'!AV11*annualizationFactor</f>
        <v>6.5485038359999997E-2</v>
      </c>
      <c r="U159" s="777">
        <f>$G$21*$F$8*'Traffic Data'!AW11*annualizationFactor</f>
        <v>7.2699765600000008E-2</v>
      </c>
      <c r="V159" s="777">
        <f>$G$21*$F$8*'Traffic Data'!AX11*annualizationFactor</f>
        <v>7.6600228600000014E-2</v>
      </c>
      <c r="W159" s="777">
        <f>$G$21*$F$8*'Traffic Data'!AY11*annualizationFactor</f>
        <v>7.7985457620000004E-2</v>
      </c>
      <c r="X159" s="777">
        <f>$G$21*$F$8*'Traffic Data'!AZ11*annualizationFactor</f>
        <v>7.9370686640000021E-2</v>
      </c>
      <c r="Y159" s="777">
        <f>$G$21*$F$8*'Traffic Data'!BA11*annualizationFactor</f>
        <v>8.0755915660000024E-2</v>
      </c>
      <c r="Z159" s="777">
        <f>$G$21*$F$8*'Traffic Data'!BB11*annualizationFactor</f>
        <v>8.2142013380000017E-2</v>
      </c>
      <c r="AA159" s="777">
        <f>$G$21*$F$8*'Traffic Data'!BC11*annualizationFactor</f>
        <v>8.3527242400000007E-2</v>
      </c>
      <c r="AB159" s="777">
        <f>$G$21*$F$8*'Traffic Data'!BD11*annualizationFactor</f>
        <v>8.4913340120000014E-2</v>
      </c>
      <c r="AC159" s="777">
        <f>$G$21*$F$8*'Traffic Data'!BE11*annualizationFactor</f>
        <v>8.6298569139999989E-2</v>
      </c>
      <c r="AD159" s="777">
        <f>$G$21*$F$8*'Traffic Data'!BF11*annualizationFactor</f>
        <v>8.7683798160000007E-2</v>
      </c>
      <c r="AE159" s="777">
        <f>$G$21*$F$8*'Traffic Data'!BG11*annualizationFactor</f>
        <v>8.9069895880000013E-2</v>
      </c>
      <c r="AF159" s="777">
        <f>$G$21*$F$8*'Traffic Data'!BH11*annualizationFactor</f>
        <v>9.0455124900000003E-2</v>
      </c>
      <c r="AG159" s="777">
        <f>$G$21*$F$8*'Traffic Data'!BI11*annualizationFactor</f>
        <v>9.184035392000002E-2</v>
      </c>
      <c r="AH159" s="778">
        <f>$G$21*$F$8*'Traffic Data'!BJ11*annualizationFactor</f>
        <v>9.3226451639999985E-2</v>
      </c>
      <c r="AI159" s="40"/>
      <c r="AJ159" s="40"/>
      <c r="AK159" s="40"/>
      <c r="AL159" s="40"/>
      <c r="AM159" s="40"/>
    </row>
    <row r="160" spans="2:39" ht="21.95" customHeight="1" x14ac:dyDescent="0.2">
      <c r="B160" s="1346"/>
      <c r="C160" s="254" t="s">
        <v>323</v>
      </c>
      <c r="D160" s="254" t="s">
        <v>338</v>
      </c>
      <c r="E160" s="116" t="s">
        <v>19</v>
      </c>
      <c r="F160" s="116" t="s">
        <v>41</v>
      </c>
      <c r="G160" s="970"/>
      <c r="H160" s="970"/>
      <c r="I160" s="777">
        <f>$G$21*$F$8*'Traffic Data'!AK12*annualizationFactor</f>
        <v>0.13968696000000003</v>
      </c>
      <c r="J160" s="777">
        <f>$G$21*$F$8*'Traffic Data'!AL12*annualizationFactor</f>
        <v>0.14486771653480002</v>
      </c>
      <c r="K160" s="777">
        <f>$G$21*$F$8*'Traffic Data'!AM12*annualizationFactor</f>
        <v>0.15005173243200001</v>
      </c>
      <c r="L160" s="777">
        <f>$G$21*$F$8*'Traffic Data'!AN12*annualizationFactor</f>
        <v>0.16011920445080002</v>
      </c>
      <c r="M160" s="777">
        <f>$G$21*$F$8*'Traffic Data'!AO12*annualizationFactor</f>
        <v>0.17019249675960002</v>
      </c>
      <c r="N160" s="777">
        <f>$G$21*$F$8*'Traffic Data'!AP12*annualizationFactor</f>
        <v>0.18026322814080004</v>
      </c>
      <c r="O160" s="777">
        <f>$G$21*$F$8*'Traffic Data'!AQ12*annualizationFactor</f>
        <v>0.19033070015960005</v>
      </c>
      <c r="P160" s="777">
        <f>$G$21*$F$8*'Traffic Data'!AR12*annualizationFactor</f>
        <v>0.20040888151200004</v>
      </c>
      <c r="Q160" s="777">
        <f>$G$21*$F$8*'Traffic Data'!AS12*annualizationFactor</f>
        <v>0.21439457275880003</v>
      </c>
      <c r="R160" s="777">
        <f>$G$21*$F$8*'Traffic Data'!AT12*annualizationFactor</f>
        <v>0.22838771397680002</v>
      </c>
      <c r="S160" s="777">
        <f>$G$21*$F$8*'Traffic Data'!AU12*annualizationFactor</f>
        <v>0.242370844296</v>
      </c>
      <c r="T160" s="777">
        <f>$G$21*$F$8*'Traffic Data'!AV12*annualizationFactor</f>
        <v>0.25635653554280008</v>
      </c>
      <c r="U160" s="777">
        <f>$G$21*$F$8*'Traffic Data'!AW12*annualizationFactor</f>
        <v>0.27035456580440009</v>
      </c>
      <c r="V160" s="777">
        <f>$G$21*$F$8*'Traffic Data'!AX12*annualizationFactor</f>
        <v>0.27944935095840001</v>
      </c>
      <c r="W160" s="777">
        <f>$G$21*$F$8*'Traffic Data'!AY12*annualizationFactor</f>
        <v>0.28463010749320006</v>
      </c>
      <c r="X160" s="777">
        <f>$G$21*$F$8*'Traffic Data'!AZ12*annualizationFactor</f>
        <v>0.28981086402800005</v>
      </c>
      <c r="Y160" s="777">
        <f>$G$21*$F$8*'Traffic Data'!BA12*annualizationFactor</f>
        <v>0.29499162056280004</v>
      </c>
      <c r="Z160" s="777">
        <f>$G$21*$F$8*'Traffic Data'!BB12*annualizationFactor</f>
        <v>0.30017563646000006</v>
      </c>
      <c r="AA160" s="777">
        <f>$G$21*$F$8*'Traffic Data'!BC12*annualizationFactor</f>
        <v>0.3053563929948</v>
      </c>
      <c r="AB160" s="777">
        <f>$G$21*$F$8*'Traffic Data'!BD12*annualizationFactor</f>
        <v>0.31054040889200007</v>
      </c>
      <c r="AC160" s="777">
        <f>$G$21*$F$8*'Traffic Data'!BE12*annualizationFactor</f>
        <v>0.31572116542680007</v>
      </c>
      <c r="AD160" s="777">
        <f>$G$21*$F$8*'Traffic Data'!BF12*annualizationFactor</f>
        <v>0.32090192196160011</v>
      </c>
      <c r="AE160" s="777">
        <f>$G$21*$F$8*'Traffic Data'!BG12*annualizationFactor</f>
        <v>0.32608593785880008</v>
      </c>
      <c r="AF160" s="777">
        <f>$G$21*$F$8*'Traffic Data'!BH12*annualizationFactor</f>
        <v>0.33126669439360001</v>
      </c>
      <c r="AG160" s="777">
        <f>$G$21*$F$8*'Traffic Data'!BI12*annualizationFactor</f>
        <v>0.33644745092840006</v>
      </c>
      <c r="AH160" s="778">
        <f>$G$21*$F$8*'Traffic Data'!BJ12*annualizationFactor</f>
        <v>0.34163146682560008</v>
      </c>
      <c r="AI160" s="40"/>
      <c r="AJ160" s="40"/>
      <c r="AK160" s="40"/>
      <c r="AL160" s="40"/>
      <c r="AM160" s="40"/>
    </row>
    <row r="161" spans="2:39" ht="21.95" customHeight="1" x14ac:dyDescent="0.2">
      <c r="B161" s="492" t="s">
        <v>339</v>
      </c>
      <c r="C161" s="116" t="s">
        <v>335</v>
      </c>
      <c r="D161" s="116" t="s">
        <v>323</v>
      </c>
      <c r="E161" s="277" t="s">
        <v>19</v>
      </c>
      <c r="F161" s="277" t="s">
        <v>41</v>
      </c>
      <c r="G161" s="780"/>
      <c r="H161" s="780"/>
      <c r="I161" s="780">
        <f>$G$21*$G$8*'Traffic Data'!AK13*annualizationFactor</f>
        <v>4.0828899999999999E-4</v>
      </c>
      <c r="J161" s="780">
        <f>$G$21*$G$8*'Traffic Data'!AL13*annualizationFactor</f>
        <v>6.610198909999999E-4</v>
      </c>
      <c r="K161" s="780">
        <f>$G$21*$G$8*'Traffic Data'!AM13*annualizationFactor</f>
        <v>1.8858868909999999E-3</v>
      </c>
      <c r="L161" s="780">
        <f>$G$21*$G$8*'Traffic Data'!AN13*annualizationFactor</f>
        <v>3.987350374E-3</v>
      </c>
      <c r="M161" s="780">
        <f>$G$21*$G$8*'Traffic Data'!AO13*annualizationFactor</f>
        <v>6.090447013000001E-3</v>
      </c>
      <c r="N161" s="780">
        <f>$G$21*$G$8*'Traffic Data'!AP13*annualizationFactor</f>
        <v>8.1927270740000009E-3</v>
      </c>
      <c r="O161" s="780">
        <f>$G$21*$G$8*'Traffic Data'!AQ13*annualizationFactor</f>
        <v>1.0294190557000003E-2</v>
      </c>
      <c r="P161" s="780">
        <f>$G$21*$G$8*'Traffic Data'!AR13*annualizationFactor</f>
        <v>1.2398920352000001E-2</v>
      </c>
      <c r="Q161" s="780">
        <f>$G$21*$G$8*'Traffic Data'!AS13*annualizationFactor</f>
        <v>1.3529472593000002E-2</v>
      </c>
      <c r="R161" s="780">
        <f>$G$21*$G$8*'Traffic Data'!AT13*annualizationFactor</f>
        <v>1.466165799E-2</v>
      </c>
      <c r="S161" s="780">
        <f>$G$21*$G$8*'Traffic Data'!AU13*annualizationFactor</f>
        <v>1.5792618520000003E-2</v>
      </c>
      <c r="T161" s="780">
        <f>$G$21*$G$8*'Traffic Data'!AV13*annualizationFactor</f>
        <v>1.6923170761000004E-2</v>
      </c>
      <c r="U161" s="780">
        <f>$G$21*$G$8*'Traffic Data'!AW13*annualizationFactor</f>
        <v>1.8056581025000004E-2</v>
      </c>
      <c r="V161" s="780">
        <f>$G$21*$G$8*'Traffic Data'!AX13*annualizationFactor</f>
        <v>1.8309311915999996E-2</v>
      </c>
      <c r="W161" s="780">
        <f>$G$21*$G$8*'Traffic Data'!AY13*annualizationFactor</f>
        <v>1.8562042807000002E-2</v>
      </c>
      <c r="X161" s="780">
        <f>$G$21*$G$8*'Traffic Data'!AZ13*annualizationFactor</f>
        <v>1.8814773697999998E-2</v>
      </c>
      <c r="Y161" s="780">
        <f>$G$21*$G$8*'Traffic Data'!BA13*annualizationFactor</f>
        <v>1.9067504589000004E-2</v>
      </c>
      <c r="Z161" s="780">
        <f>$G$21*$G$8*'Traffic Data'!BB13*annualizationFactor</f>
        <v>1.9321460347000004E-2</v>
      </c>
      <c r="AA161" s="780">
        <f>$G$21*$G$8*'Traffic Data'!BC13*annualizationFactor</f>
        <v>1.9574191237999999E-2</v>
      </c>
      <c r="AB161" s="780">
        <f>$G$21*$G$8*'Traffic Data'!BD13*annualizationFactor</f>
        <v>1.9828146995999999E-2</v>
      </c>
      <c r="AC161" s="780">
        <f>$G$21*$G$8*'Traffic Data'!BE13*annualizationFactor</f>
        <v>2.0080877886999998E-2</v>
      </c>
      <c r="AD161" s="780">
        <f>$G$21*$G$8*'Traffic Data'!BF13*annualizationFactor</f>
        <v>2.0333608778000001E-2</v>
      </c>
      <c r="AE161" s="780">
        <f>$G$21*$G$8*'Traffic Data'!BG13*annualizationFactor</f>
        <v>2.0587564536000004E-2</v>
      </c>
      <c r="AF161" s="780">
        <f>$G$21*$G$8*'Traffic Data'!BH13*annualizationFactor</f>
        <v>2.0840295427E-2</v>
      </c>
      <c r="AG161" s="780">
        <f>$G$21*$G$8*'Traffic Data'!BI13*annualizationFactor</f>
        <v>2.1093026318000002E-2</v>
      </c>
      <c r="AH161" s="781">
        <f>$G$21*$G$8*'Traffic Data'!BJ13*annualizationFactor</f>
        <v>2.1346982076000005E-2</v>
      </c>
      <c r="AI161" s="40"/>
      <c r="AJ161" s="40"/>
      <c r="AK161" s="40"/>
      <c r="AL161" s="40"/>
      <c r="AM161" s="40"/>
    </row>
    <row r="162" spans="2:39" ht="21.95" customHeight="1" x14ac:dyDescent="0.2">
      <c r="B162" s="1346" t="s">
        <v>323</v>
      </c>
      <c r="C162" s="220" t="s">
        <v>282</v>
      </c>
      <c r="D162" s="220" t="s">
        <v>339</v>
      </c>
      <c r="E162" s="116" t="s">
        <v>19</v>
      </c>
      <c r="F162" s="116" t="s">
        <v>41</v>
      </c>
      <c r="G162" s="970"/>
      <c r="H162" s="970"/>
      <c r="I162" s="777">
        <f>$G$21*$H$8*'Traffic Data'!AK14*annualizationFactor</f>
        <v>1.172745E-3</v>
      </c>
      <c r="J162" s="777">
        <f>$G$21*$H$8*'Traffic Data'!AL14*annualizationFactor</f>
        <v>1.172745E-3</v>
      </c>
      <c r="K162" s="777">
        <f>$G$21*$H$8*'Traffic Data'!AM14*annualizationFactor</f>
        <v>1.3722289245000002E-2</v>
      </c>
      <c r="L162" s="777">
        <f>$G$21*$H$8*'Traffic Data'!AN14*annualizationFactor</f>
        <v>2.6271833490000004E-2</v>
      </c>
      <c r="M162" s="777">
        <f>$G$21*$H$8*'Traffic Data'!AO14*annualizationFactor</f>
        <v>3.8831932440000008E-2</v>
      </c>
      <c r="N162" s="777">
        <f>$G$21*$H$8*'Traffic Data'!AP14*annualizationFactor</f>
        <v>5.1381476685000017E-2</v>
      </c>
      <c r="O162" s="777">
        <f>$G$21*$H$8*'Traffic Data'!AQ14*annualizationFactor</f>
        <v>6.3931020930000013E-2</v>
      </c>
      <c r="P162" s="777">
        <f>$G$21*$H$8*'Traffic Data'!AR14*annualizationFactor</f>
        <v>7.6491119880000027E-2</v>
      </c>
      <c r="Q162" s="777">
        <f>$G$21*$H$8*'Traffic Data'!AS14*annualizationFactor</f>
        <v>7.6491119880000027E-2</v>
      </c>
      <c r="R162" s="777">
        <f>$G$21*$H$8*'Traffic Data'!AT14*annualizationFactor</f>
        <v>7.6491119880000027E-2</v>
      </c>
      <c r="S162" s="777">
        <f>$G$21*$H$8*'Traffic Data'!AU14*annualizationFactor</f>
        <v>7.6491119880000027E-2</v>
      </c>
      <c r="T162" s="777">
        <f>$G$21*$H$8*'Traffic Data'!AV14*annualizationFactor</f>
        <v>7.6491119880000027E-2</v>
      </c>
      <c r="U162" s="777">
        <f>$G$21*$H$8*'Traffic Data'!AW14*annualizationFactor</f>
        <v>7.6491119880000027E-2</v>
      </c>
      <c r="V162" s="777">
        <f>$G$21*$H$8*'Traffic Data'!AX14*annualizationFactor</f>
        <v>7.6491119880000027E-2</v>
      </c>
      <c r="W162" s="777">
        <f>$G$21*$H$8*'Traffic Data'!AY14*annualizationFactor</f>
        <v>7.6491119880000027E-2</v>
      </c>
      <c r="X162" s="777">
        <f>$G$21*$H$8*'Traffic Data'!AZ14*annualizationFactor</f>
        <v>7.6491119880000027E-2</v>
      </c>
      <c r="Y162" s="777">
        <f>$G$21*$H$8*'Traffic Data'!BA14*annualizationFactor</f>
        <v>7.6491119880000027E-2</v>
      </c>
      <c r="Z162" s="777">
        <f>$G$21*$H$8*'Traffic Data'!BB14*annualizationFactor</f>
        <v>7.6491119880000027E-2</v>
      </c>
      <c r="AA162" s="777">
        <f>$G$21*$H$8*'Traffic Data'!BC14*annualizationFactor</f>
        <v>7.6491119880000027E-2</v>
      </c>
      <c r="AB162" s="777">
        <f>$G$21*$H$8*'Traffic Data'!BD14*annualizationFactor</f>
        <v>7.6491119880000027E-2</v>
      </c>
      <c r="AC162" s="777">
        <f>$G$21*$H$8*'Traffic Data'!BE14*annualizationFactor</f>
        <v>7.6491119880000027E-2</v>
      </c>
      <c r="AD162" s="777">
        <f>$G$21*$H$8*'Traffic Data'!BF14*annualizationFactor</f>
        <v>7.6491119880000027E-2</v>
      </c>
      <c r="AE162" s="777">
        <f>$G$21*$H$8*'Traffic Data'!BG14*annualizationFactor</f>
        <v>7.6491119880000027E-2</v>
      </c>
      <c r="AF162" s="777">
        <f>$G$21*$H$8*'Traffic Data'!BH14*annualizationFactor</f>
        <v>7.6491119880000027E-2</v>
      </c>
      <c r="AG162" s="777">
        <f>$G$21*$H$8*'Traffic Data'!BI14*annualizationFactor</f>
        <v>7.6491119880000027E-2</v>
      </c>
      <c r="AH162" s="778">
        <f>$G$21*$H$8*'Traffic Data'!BJ14*annualizationFactor</f>
        <v>7.6491119880000027E-2</v>
      </c>
      <c r="AI162" s="40"/>
      <c r="AJ162" s="40"/>
      <c r="AK162" s="40"/>
      <c r="AL162" s="40"/>
      <c r="AM162" s="40"/>
    </row>
    <row r="163" spans="2:39" ht="21.95" customHeight="1" x14ac:dyDescent="0.2">
      <c r="B163" s="1346"/>
      <c r="C163" s="116" t="s">
        <v>339</v>
      </c>
      <c r="D163" s="116" t="s">
        <v>288</v>
      </c>
      <c r="E163" s="116" t="s">
        <v>19</v>
      </c>
      <c r="F163" s="116" t="s">
        <v>41</v>
      </c>
      <c r="G163" s="970"/>
      <c r="H163" s="970"/>
      <c r="I163" s="777">
        <f>$G$21*$H$8*'Traffic Data'!AK15*annualizationFactor</f>
        <v>5.3511920000000009E-4</v>
      </c>
      <c r="J163" s="777">
        <f>$G$21*$H$8*'Traffic Data'!AL15*annualizationFactor</f>
        <v>1.0167264800000002E-3</v>
      </c>
      <c r="K163" s="777">
        <f>$G$21*$H$8*'Traffic Data'!AM15*annualizationFactor</f>
        <v>1.4983337600000001E-3</v>
      </c>
      <c r="L163" s="777">
        <f>$G$21*$H$8*'Traffic Data'!AN15*annualizationFactor</f>
        <v>3.2593624000000006E-3</v>
      </c>
      <c r="M163" s="777">
        <f>$G$21*$H$8*'Traffic Data'!AO15*annualizationFactor</f>
        <v>5.0179586800000011E-3</v>
      </c>
      <c r="N163" s="777">
        <f>$G$21*$H$8*'Traffic Data'!AP15*annualizationFactor</f>
        <v>6.781419680000002E-3</v>
      </c>
      <c r="O163" s="777">
        <f>$G$21*$H$8*'Traffic Data'!AQ15*annualizationFactor</f>
        <v>8.5424483200000016E-3</v>
      </c>
      <c r="P163" s="777">
        <f>$G$21*$H$8*'Traffic Data'!AR15*annualizationFactor</f>
        <v>1.0303476960000002E-2</v>
      </c>
      <c r="Q163" s="777">
        <f>$G$21*$H$8*'Traffic Data'!AS15*annualizationFactor</f>
        <v>1.3365818200000002E-2</v>
      </c>
      <c r="R163" s="777">
        <f>$G$21*$H$8*'Traffic Data'!AT15*annualizationFactor</f>
        <v>1.6425727080000001E-2</v>
      </c>
      <c r="S163" s="777">
        <f>$G$21*$H$8*'Traffic Data'!AU15*annualizationFactor</f>
        <v>1.9485635960000004E-2</v>
      </c>
      <c r="T163" s="777">
        <f>$G$21*$H$8*'Traffic Data'!AV15*annualizationFactor</f>
        <v>2.2547977200000006E-2</v>
      </c>
      <c r="U163" s="777">
        <f>$G$21*$H$8*'Traffic Data'!AW15*annualizationFactor</f>
        <v>2.5610318440000005E-2</v>
      </c>
      <c r="V163" s="777">
        <f>$G$21*$H$8*'Traffic Data'!AX15*annualizationFactor</f>
        <v>2.7393238319999999E-2</v>
      </c>
      <c r="W163" s="777">
        <f>$G$21*$H$8*'Traffic Data'!AY15*annualizationFactor</f>
        <v>2.7872413240000005E-2</v>
      </c>
      <c r="X163" s="777">
        <f>$G$21*$H$8*'Traffic Data'!AZ15*annualizationFactor</f>
        <v>2.8354020520000005E-2</v>
      </c>
      <c r="Y163" s="777">
        <f>$G$21*$H$8*'Traffic Data'!BA15*annualizationFactor</f>
        <v>2.8835627800000003E-2</v>
      </c>
      <c r="Z163" s="777">
        <f>$G$21*$H$8*'Traffic Data'!BB15*annualizationFactor</f>
        <v>2.9317235080000004E-2</v>
      </c>
      <c r="AA163" s="777">
        <f>$G$21*$H$8*'Traffic Data'!BC15*annualizationFactor</f>
        <v>2.9798842360000004E-2</v>
      </c>
      <c r="AB163" s="777">
        <f>$G$21*$H$8*'Traffic Data'!BD15*annualizationFactor</f>
        <v>3.0280449640000005E-2</v>
      </c>
      <c r="AC163" s="777">
        <f>$G$21*$H$8*'Traffic Data'!BE15*annualizationFactor</f>
        <v>3.0762056920000003E-2</v>
      </c>
      <c r="AD163" s="777">
        <f>$G$21*$H$8*'Traffic Data'!BF15*annualizationFactor</f>
        <v>3.1243664200000004E-2</v>
      </c>
      <c r="AE163" s="777">
        <f>$G$21*$H$8*'Traffic Data'!BG15*annualizationFactor</f>
        <v>3.1722839120000006E-2</v>
      </c>
      <c r="AF163" s="777">
        <f>$G$21*$H$8*'Traffic Data'!BH15*annualizationFactor</f>
        <v>3.2204446400000003E-2</v>
      </c>
      <c r="AG163" s="777">
        <f>$G$21*$H$8*'Traffic Data'!BI15*annualizationFactor</f>
        <v>3.2686053680000007E-2</v>
      </c>
      <c r="AH163" s="778">
        <f>$G$21*$H$8*'Traffic Data'!BJ15*annualizationFactor</f>
        <v>3.3167660960000005E-2</v>
      </c>
      <c r="AI163" s="40"/>
      <c r="AJ163" s="40"/>
      <c r="AK163" s="40"/>
      <c r="AL163" s="40"/>
      <c r="AM163" s="40"/>
    </row>
    <row r="164" spans="2:39" ht="21.95" customHeight="1" x14ac:dyDescent="0.2">
      <c r="B164" s="1346"/>
      <c r="C164" s="116" t="s">
        <v>288</v>
      </c>
      <c r="D164" s="116" t="s">
        <v>340</v>
      </c>
      <c r="E164" s="116" t="s">
        <v>19</v>
      </c>
      <c r="F164" s="116" t="s">
        <v>41</v>
      </c>
      <c r="G164" s="970"/>
      <c r="H164" s="970"/>
      <c r="I164" s="777">
        <f>$G$21*$H$8*'Traffic Data'!AK16*annualizationFactor</f>
        <v>1.9024530000000003E-3</v>
      </c>
      <c r="J164" s="777">
        <f>$G$21*$H$8*'Traffic Data'!AL16*annualizationFactor</f>
        <v>3.6138363036999997E-3</v>
      </c>
      <c r="K164" s="777">
        <f>$G$21*$H$8*'Traffic Data'!AM16*annualizationFactor</f>
        <v>5.324648871500001E-3</v>
      </c>
      <c r="L164" s="777">
        <f>$G$21*$H$8*'Traffic Data'!AN16*annualizationFactor</f>
        <v>1.15835289962E-2</v>
      </c>
      <c r="M164" s="777">
        <f>$G$21*$H$8*'Traffic Data'!AO16*annualizationFactor</f>
        <v>1.7842662781300003E-2</v>
      </c>
      <c r="N164" s="777">
        <f>$G$21*$H$8*'Traffic Data'!AP16*annualizationFactor</f>
        <v>2.4109786869000002E-2</v>
      </c>
      <c r="O164" s="777">
        <f>$G$21*$H$8*'Traffic Data'!AQ16*annualizationFactor</f>
        <v>3.0368666993699996E-2</v>
      </c>
      <c r="P164" s="777">
        <f>$G$21*$H$8*'Traffic Data'!AR16*annualizationFactor</f>
        <v>3.6631352024400002E-2</v>
      </c>
      <c r="Q164" s="777">
        <f>$G$21*$H$8*'Traffic Data'!AS16*annualizationFactor</f>
        <v>4.7515095392100005E-2</v>
      </c>
      <c r="R164" s="777">
        <f>$G$21*$H$8*'Traffic Data'!AT16*annualizationFactor</f>
        <v>5.8394399702800012E-2</v>
      </c>
      <c r="S164" s="777">
        <f>$G$21*$H$8*'Traffic Data'!AU16*annualizationFactor</f>
        <v>6.9277318674199992E-2</v>
      </c>
      <c r="T164" s="777">
        <f>$G$21*$H$8*'Traffic Data'!AV16*annualizationFactor</f>
        <v>8.0161062041900003E-2</v>
      </c>
      <c r="U164" s="777">
        <f>$G$21*$H$8*'Traffic Data'!AW16*annualizationFactor</f>
        <v>9.1052732297099981E-2</v>
      </c>
      <c r="V164" s="777">
        <f>$G$21*$H$8*'Traffic Data'!AX16*annualizationFactor</f>
        <v>9.7384032465999998E-2</v>
      </c>
      <c r="W164" s="777">
        <f>$G$21*$H$8*'Traffic Data'!AY16*annualizationFactor</f>
        <v>9.9095415769700004E-2</v>
      </c>
      <c r="X164" s="777">
        <f>$G$21*$H$8*'Traffic Data'!AZ16*annualizationFactor</f>
        <v>0.1008067990734</v>
      </c>
      <c r="Y164" s="777">
        <f>$G$21*$H$8*'Traffic Data'!BA16*annualizationFactor</f>
        <v>0.10251818237709999</v>
      </c>
      <c r="Z164" s="777">
        <f>$G$21*$H$8*'Traffic Data'!BB16*annualizationFactor</f>
        <v>0.10422899494489998</v>
      </c>
      <c r="AA164" s="777">
        <f>$G$21*$H$8*'Traffic Data'!BC16*annualizationFactor</f>
        <v>0.10594037824860002</v>
      </c>
      <c r="AB164" s="777">
        <f>$G$21*$H$8*'Traffic Data'!BD16*annualizationFactor</f>
        <v>0.1076511908164</v>
      </c>
      <c r="AC164" s="777">
        <f>$G$21*$H$8*'Traffic Data'!BE16*annualizationFactor</f>
        <v>0.10936257412009999</v>
      </c>
      <c r="AD164" s="777">
        <f>$G$21*$H$8*'Traffic Data'!BF16*annualizationFactor</f>
        <v>0.1110739574238</v>
      </c>
      <c r="AE164" s="777">
        <f>$G$21*$H$8*'Traffic Data'!BG16*annualizationFactor</f>
        <v>0.1127847699916</v>
      </c>
      <c r="AF164" s="777">
        <f>$G$21*$H$8*'Traffic Data'!BH16*annualizationFactor</f>
        <v>0.11449615329530001</v>
      </c>
      <c r="AG164" s="777">
        <f>$G$21*$H$8*'Traffic Data'!BI16*annualizationFactor</f>
        <v>0.11620753659900002</v>
      </c>
      <c r="AH164" s="778">
        <f>$G$21*$H$8*'Traffic Data'!BJ16*annualizationFactor</f>
        <v>0.1179183491668</v>
      </c>
      <c r="AI164" s="40"/>
      <c r="AJ164" s="40"/>
      <c r="AK164" s="40"/>
      <c r="AL164" s="40"/>
      <c r="AM164" s="40"/>
    </row>
    <row r="165" spans="2:39" ht="21.95" customHeight="1" x14ac:dyDescent="0.2">
      <c r="B165" s="1346"/>
      <c r="C165" s="254" t="s">
        <v>340</v>
      </c>
      <c r="D165" s="254" t="s">
        <v>280</v>
      </c>
      <c r="E165" s="116" t="s">
        <v>19</v>
      </c>
      <c r="F165" s="116" t="s">
        <v>41</v>
      </c>
      <c r="G165" s="970"/>
      <c r="H165" s="970"/>
      <c r="I165" s="777">
        <f>$G$21*$H$8*'Traffic Data'!AK17*annualizationFactor</f>
        <v>2.7364050000000003E-3</v>
      </c>
      <c r="J165" s="777">
        <f>$G$21*$H$8*'Traffic Data'!AL17*annualizationFactor</f>
        <v>5.1979837245000006E-3</v>
      </c>
      <c r="K165" s="777">
        <f>$G$21*$H$8*'Traffic Data'!AM17*annualizationFactor</f>
        <v>7.6587415275000022E-3</v>
      </c>
      <c r="L165" s="777">
        <f>$G$21*$H$8*'Traffic Data'!AN17*annualizationFactor</f>
        <v>1.6661240337000002E-2</v>
      </c>
      <c r="M165" s="777">
        <f>$G$21*$H$8*'Traffic Data'!AO17*annualizationFactor</f>
        <v>2.5664104000500003E-2</v>
      </c>
      <c r="N165" s="777">
        <f>$G$21*$H$8*'Traffic Data'!AP17*annualizationFactor</f>
        <v>3.4678460565000013E-2</v>
      </c>
      <c r="O165" s="777">
        <f>$G$21*$H$8*'Traffic Data'!AQ17*annualizationFactor</f>
        <v>4.3680959374500006E-2</v>
      </c>
      <c r="P165" s="777">
        <f>$G$21*$H$8*'Traffic Data'!AR17*annualizationFactor</f>
        <v>5.2688930994000009E-2</v>
      </c>
      <c r="Q165" s="777">
        <f>$G$21*$H$8*'Traffic Data'!AS17*annualizationFactor</f>
        <v>6.8343630358500024E-2</v>
      </c>
      <c r="R165" s="777">
        <f>$G$21*$H$8*'Traffic Data'!AT17*annualizationFactor</f>
        <v>8.3991944778000011E-2</v>
      </c>
      <c r="S165" s="777">
        <f>$G$21*$H$8*'Traffic Data'!AU17*annualizationFactor</f>
        <v>9.9645458366999992E-2</v>
      </c>
      <c r="T165" s="777">
        <f>$G$21*$H$8*'Traffic Data'!AV17*annualizationFactor</f>
        <v>0.1153001577315</v>
      </c>
      <c r="U165" s="777">
        <f>$G$21*$H$8*'Traffic Data'!AW17*annualizationFactor</f>
        <v>0.13096625878350002</v>
      </c>
      <c r="V165" s="777">
        <f>$G$21*$H$8*'Traffic Data'!AX17*annualizationFactor</f>
        <v>0.14007292340999999</v>
      </c>
      <c r="W165" s="777">
        <f>$G$21*$H$8*'Traffic Data'!AY17*annualizationFactor</f>
        <v>0.1425345021345</v>
      </c>
      <c r="X165" s="777">
        <f>$G$21*$H$8*'Traffic Data'!AZ17*annualizationFactor</f>
        <v>0.14499608085900001</v>
      </c>
      <c r="Y165" s="777">
        <f>$G$21*$H$8*'Traffic Data'!BA17*annualizationFactor</f>
        <v>0.14745765958350002</v>
      </c>
      <c r="Z165" s="777">
        <f>$G$21*$H$8*'Traffic Data'!BB17*annualizationFactor</f>
        <v>0.1499184173865</v>
      </c>
      <c r="AA165" s="777">
        <f>$G$21*$H$8*'Traffic Data'!BC17*annualizationFactor</f>
        <v>0.15237999611100003</v>
      </c>
      <c r="AB165" s="777">
        <f>$G$21*$H$8*'Traffic Data'!BD17*annualizationFactor</f>
        <v>0.15484075391400001</v>
      </c>
      <c r="AC165" s="777">
        <f>$G$21*$H$8*'Traffic Data'!BE17*annualizationFactor</f>
        <v>0.15730233263849999</v>
      </c>
      <c r="AD165" s="777">
        <f>$G$21*$H$8*'Traffic Data'!BF17*annualizationFactor</f>
        <v>0.159763911363</v>
      </c>
      <c r="AE165" s="777">
        <f>$G$21*$H$8*'Traffic Data'!BG17*annualizationFactor</f>
        <v>0.16222466916600004</v>
      </c>
      <c r="AF165" s="777">
        <f>$G$21*$H$8*'Traffic Data'!BH17*annualizationFactor</f>
        <v>0.16468624789050004</v>
      </c>
      <c r="AG165" s="777">
        <f>$G$21*$H$8*'Traffic Data'!BI17*annualizationFactor</f>
        <v>0.16714782661500005</v>
      </c>
      <c r="AH165" s="778">
        <f>$G$21*$H$8*'Traffic Data'!BJ17*annualizationFactor</f>
        <v>0.16960858441800003</v>
      </c>
      <c r="AI165" s="40"/>
      <c r="AJ165" s="40"/>
      <c r="AK165" s="40"/>
      <c r="AL165" s="40"/>
      <c r="AM165" s="40"/>
    </row>
    <row r="166" spans="2:39" ht="21.95" customHeight="1" x14ac:dyDescent="0.2">
      <c r="B166" s="1346" t="s">
        <v>334</v>
      </c>
      <c r="C166" s="116" t="s">
        <v>336</v>
      </c>
      <c r="D166" s="116" t="s">
        <v>337</v>
      </c>
      <c r="E166" s="220" t="s">
        <v>19</v>
      </c>
      <c r="F166" s="220" t="s">
        <v>41</v>
      </c>
      <c r="G166" s="775"/>
      <c r="H166" s="775"/>
      <c r="I166" s="775">
        <f>$G$21*$I$8*'Traffic Data'!AK18*annualizationFactor</f>
        <v>8.5132600000000003E-2</v>
      </c>
      <c r="J166" s="775">
        <f>$G$21*$I$8*'Traffic Data'!AL18*annualizationFactor</f>
        <v>8.7438781324999992E-2</v>
      </c>
      <c r="K166" s="775">
        <f>$G$21*$I$8*'Traffic Data'!AM18*annualizationFactor</f>
        <v>9.1192216850000007E-2</v>
      </c>
      <c r="L166" s="775">
        <f>$G$21*$I$8*'Traffic Data'!AN18*annualizationFactor</f>
        <v>9.6577157845000011E-2</v>
      </c>
      <c r="M166" s="775">
        <f>$G$21*$I$8*'Traffic Data'!AO18*annualizationFactor</f>
        <v>0.10196453120000004</v>
      </c>
      <c r="N166" s="775">
        <f>$G$21*$I$8*'Traffic Data'!AP18*annualizationFactor</f>
        <v>0.10735129646500005</v>
      </c>
      <c r="O166" s="775">
        <f>$G$21*$I$8*'Traffic Data'!AQ18*annualizationFactor</f>
        <v>0.11273623746000004</v>
      </c>
      <c r="P166" s="775">
        <f>$G$21*$I$8*'Traffic Data'!AR18*annualizationFactor</f>
        <v>0.11812573913</v>
      </c>
      <c r="Q166" s="775">
        <f>$G$21*$I$8*'Traffic Data'!AS18*annualizationFactor</f>
        <v>0.12291748832999999</v>
      </c>
      <c r="R166" s="775">
        <f>$G$21*$I$8*'Traffic Data'!AT18*annualizationFactor</f>
        <v>0.12771075775500002</v>
      </c>
      <c r="S166" s="775">
        <f>$G$21*$I$8*'Traffic Data'!AU18*annualizationFactor</f>
        <v>0.13250250695499999</v>
      </c>
      <c r="T166" s="775">
        <f>$G$21*$I$8*'Traffic Data'!AV18*annualizationFactor</f>
        <v>0.13729425615500002</v>
      </c>
      <c r="U166" s="775">
        <f>$G$21*$I$8*'Traffic Data'!AW18*annualizationFactor</f>
        <v>0.14209026198500002</v>
      </c>
      <c r="V166" s="775">
        <f>$G$21*$I$8*'Traffic Data'!AX18*annualizationFactor</f>
        <v>0.14524837740000002</v>
      </c>
      <c r="W166" s="775">
        <f>$G$21*$I$8*'Traffic Data'!AY18*annualizationFactor</f>
        <v>0.14755455872499998</v>
      </c>
      <c r="X166" s="775">
        <f>$G$21*$I$8*'Traffic Data'!AZ18*annualizationFactor</f>
        <v>0.14986074005000002</v>
      </c>
      <c r="Y166" s="775">
        <f>$G$21*$I$8*'Traffic Data'!BA18*annualizationFactor</f>
        <v>0.15216692137499999</v>
      </c>
      <c r="Z166" s="775">
        <f>$G$21*$I$8*'Traffic Data'!BB18*annualizationFactor</f>
        <v>0.15447431887999999</v>
      </c>
      <c r="AA166" s="775">
        <f>$G$21*$I$8*'Traffic Data'!BC18*annualizationFactor</f>
        <v>0.15678050020500003</v>
      </c>
      <c r="AB166" s="775">
        <f>$G$21*$I$8*'Traffic Data'!BD18*annualizationFactor</f>
        <v>0.15908789771000004</v>
      </c>
      <c r="AC166" s="775">
        <f>$G$21*$I$8*'Traffic Data'!BE18*annualizationFactor</f>
        <v>0.161394079035</v>
      </c>
      <c r="AD166" s="775">
        <f>$G$21*$I$8*'Traffic Data'!BF18*annualizationFactor</f>
        <v>0.16370026036000002</v>
      </c>
      <c r="AE166" s="775">
        <f>$G$21*$I$8*'Traffic Data'!BG18*annualizationFactor</f>
        <v>0.16600765786500002</v>
      </c>
      <c r="AF166" s="775">
        <f>$G$21*$I$8*'Traffic Data'!BH18*annualizationFactor</f>
        <v>0.16831383919000001</v>
      </c>
      <c r="AG166" s="775">
        <f>$G$21*$I$8*'Traffic Data'!BI18*annualizationFactor</f>
        <v>0.170620020515</v>
      </c>
      <c r="AH166" s="776">
        <f>$G$21*$I$8*'Traffic Data'!BJ18*annualizationFactor</f>
        <v>0.17292741802</v>
      </c>
      <c r="AI166" s="40"/>
      <c r="AJ166" s="40"/>
      <c r="AK166" s="40"/>
      <c r="AL166" s="40"/>
      <c r="AM166" s="40"/>
    </row>
    <row r="167" spans="2:39" ht="21.95" customHeight="1" x14ac:dyDescent="0.2">
      <c r="B167" s="1346"/>
      <c r="C167" s="116" t="s">
        <v>337</v>
      </c>
      <c r="D167" s="116" t="s">
        <v>386</v>
      </c>
      <c r="E167" s="116" t="s">
        <v>19</v>
      </c>
      <c r="F167" s="116" t="s">
        <v>41</v>
      </c>
      <c r="G167" s="970"/>
      <c r="H167" s="970"/>
      <c r="I167" s="777">
        <f>$G$21*$I$8*'Traffic Data'!AK19*annualizationFactor</f>
        <v>0.13377980000000003</v>
      </c>
      <c r="J167" s="777">
        <f>$G$21*$I$8*'Traffic Data'!AL19*annualizationFactor</f>
        <v>0.13655877130000002</v>
      </c>
      <c r="K167" s="777">
        <f>$G$21*$I$8*'Traffic Data'!AM19*annualizationFactor</f>
        <v>0.1431504669</v>
      </c>
      <c r="L167" s="777">
        <f>$G$21*$I$8*'Traffic Data'!AN19*annualizationFactor</f>
        <v>0.15037457610000002</v>
      </c>
      <c r="M167" s="777">
        <f>$G$21*$I$8*'Traffic Data'!AO19*annualizationFactor</f>
        <v>0.15761084710000001</v>
      </c>
      <c r="N167" s="777">
        <f>$G$21*$I$8*'Traffic Data'!AP19*annualizationFactor</f>
        <v>0.16484103720000001</v>
      </c>
      <c r="O167" s="777">
        <f>$G$21*$I$8*'Traffic Data'!AQ19*annualizationFactor</f>
        <v>0.17206514640000001</v>
      </c>
      <c r="P167" s="777">
        <f>$G$21*$I$8*'Traffic Data'!AR19*annualizationFactor</f>
        <v>0.17930141740000002</v>
      </c>
      <c r="Q167" s="777">
        <f>$G$21*$I$8*'Traffic Data'!AS19*annualizationFactor</f>
        <v>0.1832844069</v>
      </c>
      <c r="R167" s="777">
        <f>$G$21*$I$8*'Traffic Data'!AT19*annualizationFactor</f>
        <v>0.18727347730000002</v>
      </c>
      <c r="S167" s="777">
        <f>$G$21*$I$8*'Traffic Data'!AU19*annualizationFactor</f>
        <v>0.1912564668</v>
      </c>
      <c r="T167" s="777">
        <f>$G$21*$I$8*'Traffic Data'!AV19*annualizationFactor</f>
        <v>0.19524553720000004</v>
      </c>
      <c r="U167" s="777">
        <f>$G$21*$I$8*'Traffic Data'!AW19*annualizationFactor</f>
        <v>0.19922852670000002</v>
      </c>
      <c r="V167" s="777">
        <f>$G$21*$I$8*'Traffic Data'!AX19*annualizationFactor</f>
        <v>0.20257910260000001</v>
      </c>
      <c r="W167" s="777">
        <f>$G$21*$I$8*'Traffic Data'!AY19*annualizationFactor</f>
        <v>0.20547361100000003</v>
      </c>
      <c r="X167" s="777">
        <f>$G$21*$I$8*'Traffic Data'!AZ19*annualizationFactor</f>
        <v>0.20837420030000003</v>
      </c>
      <c r="Y167" s="777">
        <f>$G$21*$I$8*'Traffic Data'!BA19*annualizationFactor</f>
        <v>0.21127478960000001</v>
      </c>
      <c r="Z167" s="777">
        <f>$G$21*$I$8*'Traffic Data'!BB19*annualizationFactor</f>
        <v>0.21417537889999999</v>
      </c>
      <c r="AA167" s="777">
        <f>$G$21*$I$8*'Traffic Data'!BC19*annualizationFactor</f>
        <v>0.21707596820000002</v>
      </c>
      <c r="AB167" s="777">
        <f>$G$21*$I$8*'Traffic Data'!BD19*annualizationFactor</f>
        <v>0.21997655750000003</v>
      </c>
      <c r="AC167" s="777">
        <f>$G$21*$I$8*'Traffic Data'!BE19*annualizationFactor</f>
        <v>0.22287714680000001</v>
      </c>
      <c r="AD167" s="777">
        <f>$G$21*$I$8*'Traffic Data'!BF19*annualizationFactor</f>
        <v>0.22577773610000004</v>
      </c>
      <c r="AE167" s="777">
        <f>$G$21*$I$8*'Traffic Data'!BG19*annualizationFactor</f>
        <v>0.22867832540000002</v>
      </c>
      <c r="AF167" s="777">
        <f>$G$21*$I$8*'Traffic Data'!BH19*annualizationFactor</f>
        <v>0.23157891470000003</v>
      </c>
      <c r="AG167" s="777">
        <f>$G$21*$I$8*'Traffic Data'!BI19*annualizationFactor</f>
        <v>0.23447342310000002</v>
      </c>
      <c r="AH167" s="778">
        <f>$G$21*$I$8*'Traffic Data'!BJ19*annualizationFactor</f>
        <v>0.23737401240000003</v>
      </c>
      <c r="AI167" s="40"/>
      <c r="AJ167" s="40"/>
      <c r="AK167" s="40"/>
      <c r="AL167" s="40"/>
      <c r="AM167" s="40"/>
    </row>
    <row r="168" spans="2:39" ht="21.95" customHeight="1" x14ac:dyDescent="0.2">
      <c r="B168" s="1346"/>
      <c r="C168" s="116" t="s">
        <v>342</v>
      </c>
      <c r="D168" s="116" t="s">
        <v>341</v>
      </c>
      <c r="E168" s="116" t="s">
        <v>19</v>
      </c>
      <c r="F168" s="116" t="s">
        <v>41</v>
      </c>
      <c r="G168" s="970"/>
      <c r="H168" s="970"/>
      <c r="I168" s="777">
        <f>$G$21*$I$8*'Traffic Data'!AK20*annualizationFactor</f>
        <v>0.17391374000000001</v>
      </c>
      <c r="J168" s="777">
        <f>$G$21*$I$8*'Traffic Data'!AL20*annualizationFactor</f>
        <v>0.17752640269000003</v>
      </c>
      <c r="K168" s="777">
        <f>$G$21*$I$8*'Traffic Data'!AM20*annualizationFactor</f>
        <v>0.18609560697000002</v>
      </c>
      <c r="L168" s="777">
        <f>$G$21*$I$8*'Traffic Data'!AN20*annualizationFactor</f>
        <v>0.19548694893000004</v>
      </c>
      <c r="M168" s="777">
        <f>$G$21*$I$8*'Traffic Data'!AO20*annualizationFactor</f>
        <v>0.20489410123000004</v>
      </c>
      <c r="N168" s="777">
        <f>$G$21*$I$8*'Traffic Data'!AP20*annualizationFactor</f>
        <v>0.21429334836000002</v>
      </c>
      <c r="O168" s="777">
        <f>$G$21*$I$8*'Traffic Data'!AQ20*annualizationFactor</f>
        <v>0.22368469032000005</v>
      </c>
      <c r="P168" s="777">
        <f>$G$21*$I$8*'Traffic Data'!AR20*annualizationFactor</f>
        <v>0.23309184262000004</v>
      </c>
      <c r="Q168" s="777">
        <f>$G$21*$I$8*'Traffic Data'!AS20*annualizationFactor</f>
        <v>0.23826972897000004</v>
      </c>
      <c r="R168" s="777">
        <f>$G$21*$I$8*'Traffic Data'!AT20*annualizationFactor</f>
        <v>0.24345552048999999</v>
      </c>
      <c r="S168" s="777">
        <f>$G$21*$I$8*'Traffic Data'!AU20*annualizationFactor</f>
        <v>0.24863340684000002</v>
      </c>
      <c r="T168" s="777">
        <f>$G$21*$I$8*'Traffic Data'!AV20*annualizationFactor</f>
        <v>0.25381919836000005</v>
      </c>
      <c r="U168" s="777">
        <f>$G$21*$I$8*'Traffic Data'!AW20*annualizationFactor</f>
        <v>0.25899708471000005</v>
      </c>
      <c r="V168" s="777">
        <f>$G$21*$I$8*'Traffic Data'!AX20*annualizationFactor</f>
        <v>0.2633528333800001</v>
      </c>
      <c r="W168" s="777">
        <f>$G$21*$I$8*'Traffic Data'!AY20*annualizationFactor</f>
        <v>0.26711569429999998</v>
      </c>
      <c r="X168" s="777">
        <f>$G$21*$I$8*'Traffic Data'!AZ20*annualizationFactor</f>
        <v>0.27088646039000003</v>
      </c>
      <c r="Y168" s="777">
        <f>$G$21*$I$8*'Traffic Data'!BA20*annualizationFactor</f>
        <v>0.27465722648000007</v>
      </c>
      <c r="Z168" s="777">
        <f>$G$21*$I$8*'Traffic Data'!BB20*annualizationFactor</f>
        <v>0.27842799257000006</v>
      </c>
      <c r="AA168" s="777">
        <f>$G$21*$I$8*'Traffic Data'!BC20*annualizationFactor</f>
        <v>0.28219875866000005</v>
      </c>
      <c r="AB168" s="777">
        <f>$G$21*$I$8*'Traffic Data'!BD20*annualizationFactor</f>
        <v>0.28596952475000004</v>
      </c>
      <c r="AC168" s="777">
        <f>$G$21*$I$8*'Traffic Data'!BE20*annualizationFactor</f>
        <v>0.28974029084000003</v>
      </c>
      <c r="AD168" s="777">
        <f>$G$21*$I$8*'Traffic Data'!BF20*annualizationFactor</f>
        <v>0.29351105693000001</v>
      </c>
      <c r="AE168" s="777">
        <f>$G$21*$I$8*'Traffic Data'!BG20*annualizationFactor</f>
        <v>0.29728182302000006</v>
      </c>
      <c r="AF168" s="777">
        <f>$G$21*$I$8*'Traffic Data'!BH20*annualizationFactor</f>
        <v>0.30105258911000005</v>
      </c>
      <c r="AG168" s="777">
        <f>$G$21*$I$8*'Traffic Data'!BI20*annualizationFactor</f>
        <v>0.3048154500300001</v>
      </c>
      <c r="AH168" s="778">
        <f>$G$21*$I$8*'Traffic Data'!BJ20*annualizationFactor</f>
        <v>0.30858621612000003</v>
      </c>
      <c r="AI168" s="40"/>
      <c r="AJ168" s="40"/>
      <c r="AK168" s="40"/>
      <c r="AL168" s="40"/>
      <c r="AM168" s="40"/>
    </row>
    <row r="169" spans="2:39" ht="21.95" customHeight="1" x14ac:dyDescent="0.2">
      <c r="B169" s="1346"/>
      <c r="C169" s="116" t="s">
        <v>341</v>
      </c>
      <c r="D169" s="116" t="s">
        <v>344</v>
      </c>
      <c r="E169" s="116" t="s">
        <v>19</v>
      </c>
      <c r="F169" s="116" t="s">
        <v>41</v>
      </c>
      <c r="G169" s="970"/>
      <c r="H169" s="970"/>
      <c r="I169" s="777">
        <f>$G$21*$I$8*'Traffic Data'!AK21*annualizationFactor</f>
        <v>0.19288614800000001</v>
      </c>
      <c r="J169" s="777">
        <f>$G$21*$I$8*'Traffic Data'!AL21*annualizationFactor</f>
        <v>0.19707029367199999</v>
      </c>
      <c r="K169" s="777">
        <f>$G$21*$I$8*'Traffic Data'!AM21*annualizationFactor</f>
        <v>0.20658106450800004</v>
      </c>
      <c r="L169" s="777">
        <f>$G$21*$I$8*'Traffic Data'!AN21*annualizationFactor</f>
        <v>0.21701175389600003</v>
      </c>
      <c r="M169" s="777">
        <f>$G$21*$I$8*'Traffic Data'!AO21*annualizationFactor</f>
        <v>0.22744986198199998</v>
      </c>
      <c r="N169" s="777">
        <f>$G$21*$I$8*'Traffic Data'!AP21*annualizationFactor</f>
        <v>0.23788055137</v>
      </c>
      <c r="O169" s="777">
        <f>$G$21*$I$8*'Traffic Data'!AQ21*annualizationFactor</f>
        <v>0.24831124075800004</v>
      </c>
      <c r="P169" s="777">
        <f>$G$21*$I$8*'Traffic Data'!AR21*annualizationFactor</f>
        <v>0.25874934884400003</v>
      </c>
      <c r="Q169" s="777">
        <f>$G$21*$I$8*'Traffic Data'!AS21*annualizationFactor</f>
        <v>0.26450625849200005</v>
      </c>
      <c r="R169" s="777">
        <f>$G$21*$I$8*'Traffic Data'!AT21*annualizationFactor</f>
        <v>0.27025574944199998</v>
      </c>
      <c r="S169" s="777">
        <f>$G$21*$I$8*'Traffic Data'!AU21*annualizationFactor</f>
        <v>0.27601265909</v>
      </c>
      <c r="T169" s="777">
        <f>$G$21*$I$8*'Traffic Data'!AV21*annualizationFactor</f>
        <v>0.28176215003999999</v>
      </c>
      <c r="U169" s="777">
        <f>$G$21*$I$8*'Traffic Data'!AW21*annualizationFactor</f>
        <v>0.28751905968800001</v>
      </c>
      <c r="V169" s="777">
        <f>$G$21*$I$8*'Traffic Data'!AX21*annualizationFactor</f>
        <v>0.29234121338800007</v>
      </c>
      <c r="W169" s="777">
        <f>$G$21*$I$8*'Traffic Data'!AY21*annualizationFactor</f>
        <v>0.29652535906000005</v>
      </c>
      <c r="X169" s="777">
        <f>$G$21*$I$8*'Traffic Data'!AZ21*annualizationFactor</f>
        <v>0.30071692343</v>
      </c>
      <c r="Y169" s="777">
        <f>$G$21*$I$8*'Traffic Data'!BA21*annualizationFactor</f>
        <v>0.30490106910199999</v>
      </c>
      <c r="Z169" s="777">
        <f>$G$21*$I$8*'Traffic Data'!BB21*annualizationFactor</f>
        <v>0.30908521477400003</v>
      </c>
      <c r="AA169" s="777">
        <f>$G$21*$I$8*'Traffic Data'!BC21*annualizationFactor</f>
        <v>0.31326936044600001</v>
      </c>
      <c r="AB169" s="777">
        <f>$G$21*$I$8*'Traffic Data'!BD21*annualizationFactor</f>
        <v>0.317453506118</v>
      </c>
      <c r="AC169" s="777">
        <f>$G$21*$I$8*'Traffic Data'!BE21*annualizationFactor</f>
        <v>0.32163765179000003</v>
      </c>
      <c r="AD169" s="777">
        <f>$G$21*$I$8*'Traffic Data'!BF21*annualizationFactor</f>
        <v>0.32582179746200002</v>
      </c>
      <c r="AE169" s="777">
        <f>$G$21*$I$8*'Traffic Data'!BG21*annualizationFactor</f>
        <v>0.33000594313400006</v>
      </c>
      <c r="AF169" s="777">
        <f>$G$21*$I$8*'Traffic Data'!BH21*annualizationFactor</f>
        <v>0.33419750750400001</v>
      </c>
      <c r="AG169" s="777">
        <f>$G$21*$I$8*'Traffic Data'!BI21*annualizationFactor</f>
        <v>0.33838165317600005</v>
      </c>
      <c r="AH169" s="778">
        <f>$G$21*$I$8*'Traffic Data'!BJ21*annualizationFactor</f>
        <v>0.34256579884800004</v>
      </c>
      <c r="AI169" s="40"/>
      <c r="AJ169" s="40"/>
      <c r="AK169" s="40"/>
      <c r="AL169" s="40"/>
      <c r="AM169" s="40"/>
    </row>
    <row r="170" spans="2:39" ht="21.95" customHeight="1" x14ac:dyDescent="0.2">
      <c r="B170" s="1346"/>
      <c r="C170" s="116" t="s">
        <v>344</v>
      </c>
      <c r="D170" s="116" t="s">
        <v>345</v>
      </c>
      <c r="E170" s="116" t="s">
        <v>19</v>
      </c>
      <c r="F170" s="116" t="s">
        <v>41</v>
      </c>
      <c r="G170" s="970"/>
      <c r="H170" s="970"/>
      <c r="I170" s="777">
        <f>$G$21*$I$8*'Traffic Data'!AK22*annualizationFactor</f>
        <v>7.9051700000000003E-2</v>
      </c>
      <c r="J170" s="777">
        <f>$G$21*$I$8*'Traffic Data'!AL22*annualizationFactor</f>
        <v>8.0766513800000009E-2</v>
      </c>
      <c r="K170" s="777">
        <f>$G$21*$I$8*'Traffic Data'!AM22*annualizationFactor</f>
        <v>8.4664370700000005E-2</v>
      </c>
      <c r="L170" s="777">
        <f>$G$21*$I$8*'Traffic Data'!AN22*annualizationFactor</f>
        <v>8.8939243400000007E-2</v>
      </c>
      <c r="M170" s="777">
        <f>$G$21*$I$8*'Traffic Data'!AO22*annualizationFactor</f>
        <v>9.3217156550000013E-2</v>
      </c>
      <c r="N170" s="777">
        <f>$G$21*$I$8*'Traffic Data'!AP22*annualizationFactor</f>
        <v>9.7492029250000015E-2</v>
      </c>
      <c r="O170" s="777">
        <f>$G$21*$I$8*'Traffic Data'!AQ22*annualizationFactor</f>
        <v>0.10176690195</v>
      </c>
      <c r="P170" s="777">
        <f>$G$21*$I$8*'Traffic Data'!AR22*annualizationFactor</f>
        <v>0.10604481510000001</v>
      </c>
      <c r="Q170" s="777">
        <f>$G$21*$I$8*'Traffic Data'!AS22*annualizationFactor</f>
        <v>0.10840420430000001</v>
      </c>
      <c r="R170" s="777">
        <f>$G$21*$I$8*'Traffic Data'!AT22*annualizationFactor</f>
        <v>0.11076055305</v>
      </c>
      <c r="S170" s="777">
        <f>$G$21*$I$8*'Traffic Data'!AU22*annualizationFactor</f>
        <v>0.11311994225000002</v>
      </c>
      <c r="T170" s="777">
        <f>$G$21*$I$8*'Traffic Data'!AV22*annualizationFactor</f>
        <v>0.11547629100000001</v>
      </c>
      <c r="U170" s="777">
        <f>$G$21*$I$8*'Traffic Data'!AW22*annualizationFactor</f>
        <v>0.1178356802</v>
      </c>
      <c r="V170" s="777">
        <f>$G$21*$I$8*'Traffic Data'!AX22*annualizationFactor</f>
        <v>0.11981197270000002</v>
      </c>
      <c r="W170" s="777">
        <f>$G$21*$I$8*'Traffic Data'!AY22*annualizationFactor</f>
        <v>0.12152678650000001</v>
      </c>
      <c r="X170" s="777">
        <f>$G$21*$I$8*'Traffic Data'!AZ22*annualizationFactor</f>
        <v>0.12324464075000002</v>
      </c>
      <c r="Y170" s="777">
        <f>$G$21*$I$8*'Traffic Data'!BA22*annualizationFactor</f>
        <v>0.12495945455000002</v>
      </c>
      <c r="Z170" s="777">
        <f>$G$21*$I$8*'Traffic Data'!BB22*annualizationFactor</f>
        <v>0.12667426835000001</v>
      </c>
      <c r="AA170" s="777">
        <f>$G$21*$I$8*'Traffic Data'!BC22*annualizationFactor</f>
        <v>0.12838908215</v>
      </c>
      <c r="AB170" s="777">
        <f>$G$21*$I$8*'Traffic Data'!BD22*annualizationFactor</f>
        <v>0.13010389595000002</v>
      </c>
      <c r="AC170" s="777">
        <f>$G$21*$I$8*'Traffic Data'!BE22*annualizationFactor</f>
        <v>0.13181870975000001</v>
      </c>
      <c r="AD170" s="777">
        <f>$G$21*$I$8*'Traffic Data'!BF22*annualizationFactor</f>
        <v>0.13353352355000001</v>
      </c>
      <c r="AE170" s="777">
        <f>$G$21*$I$8*'Traffic Data'!BG22*annualizationFactor</f>
        <v>0.13524833735000003</v>
      </c>
      <c r="AF170" s="777">
        <f>$G$21*$I$8*'Traffic Data'!BH22*annualizationFactor</f>
        <v>0.13696619160000001</v>
      </c>
      <c r="AG170" s="777">
        <f>$G$21*$I$8*'Traffic Data'!BI22*annualizationFactor</f>
        <v>0.1386810054</v>
      </c>
      <c r="AH170" s="778">
        <f>$G$21*$I$8*'Traffic Data'!BJ22*annualizationFactor</f>
        <v>0.14039581920000002</v>
      </c>
      <c r="AI170" s="40"/>
      <c r="AJ170" s="40"/>
      <c r="AK170" s="40"/>
      <c r="AL170" s="40"/>
      <c r="AM170" s="40"/>
    </row>
    <row r="171" spans="2:39" ht="21.95" customHeight="1" x14ac:dyDescent="0.2">
      <c r="B171" s="1346"/>
      <c r="C171" s="116" t="s">
        <v>345</v>
      </c>
      <c r="D171" s="116" t="s">
        <v>323</v>
      </c>
      <c r="E171" s="116" t="s">
        <v>19</v>
      </c>
      <c r="F171" s="116" t="s">
        <v>41</v>
      </c>
      <c r="G171" s="970"/>
      <c r="H171" s="970"/>
      <c r="I171" s="777">
        <f>$G$21*$I$8*'Traffic Data'!AK23*annualizationFactor</f>
        <v>0.95348512000000019</v>
      </c>
      <c r="J171" s="777">
        <f>$G$21*$I$8*'Traffic Data'!AL23*annualizationFactor</f>
        <v>0.97417234180000001</v>
      </c>
      <c r="K171" s="777">
        <f>$G$21*$I$8*'Traffic Data'!AM23*annualizationFactor</f>
        <v>1.0211791582160001</v>
      </c>
      <c r="L171" s="777">
        <f>$G$21*$I$8*'Traffic Data'!AN23*annualizationFactor</f>
        <v>1.0727473793400002</v>
      </c>
      <c r="M171" s="777">
        <f>$G$21*$I$8*'Traffic Data'!AO23*annualizationFactor</f>
        <v>1.1243394375920002</v>
      </c>
      <c r="N171" s="777">
        <f>$G$21*$I$8*'Traffic Data'!AP23*annualizationFactor</f>
        <v>1.1759144693240002</v>
      </c>
      <c r="O171" s="777">
        <f>$G$21*$I$8*'Traffic Data'!AQ23*annualizationFactor</f>
        <v>1.2274826904479998</v>
      </c>
      <c r="P171" s="777">
        <f>$G$21*$I$8*'Traffic Data'!AR23*annualizationFactor</f>
        <v>1.279079856656</v>
      </c>
      <c r="Q171" s="777">
        <f>$G$21*$I$8*'Traffic Data'!AS23*annualizationFactor</f>
        <v>1.3075141450559995</v>
      </c>
      <c r="R171" s="777">
        <f>$G$21*$I$8*'Traffic Data'!AT23*annualizationFactor</f>
        <v>1.3359484334559999</v>
      </c>
      <c r="S171" s="777">
        <f>$G$21*$I$8*'Traffic Data'!AU23*annualizationFactor</f>
        <v>1.3643827218560001</v>
      </c>
      <c r="T171" s="777">
        <f>$G$21*$I$8*'Traffic Data'!AV23*annualizationFactor</f>
        <v>1.3928170102560002</v>
      </c>
      <c r="U171" s="777">
        <f>$G$21*$I$8*'Traffic Data'!AW23*annualizationFactor</f>
        <v>1.4212615145679999</v>
      </c>
      <c r="V171" s="777">
        <f>$G$21*$I$8*'Traffic Data'!AX23*annualizationFactor</f>
        <v>1.4451292903040001</v>
      </c>
      <c r="W171" s="777">
        <f>$G$21*$I$8*'Traffic Data'!AY23*annualizationFactor</f>
        <v>1.4658165121039999</v>
      </c>
      <c r="X171" s="777">
        <f>$G$21*$I$8*'Traffic Data'!AZ23*annualizationFactor</f>
        <v>1.4865037339039999</v>
      </c>
      <c r="Y171" s="777">
        <f>$G$21*$I$8*'Traffic Data'!BA23*annualizationFactor</f>
        <v>1.5071909557040004</v>
      </c>
      <c r="Z171" s="777">
        <f>$G$21*$I$8*'Traffic Data'!BB23*annualizationFactor</f>
        <v>1.5278798801560003</v>
      </c>
      <c r="AA171" s="777">
        <f>$G$21*$I$8*'Traffic Data'!BC23*annualizationFactor</f>
        <v>1.5485671019559997</v>
      </c>
      <c r="AB171" s="777">
        <f>$G$21*$I$8*'Traffic Data'!BD23*annualizationFactor</f>
        <v>1.5692560264080002</v>
      </c>
      <c r="AC171" s="777">
        <f>$G$21*$I$8*'Traffic Data'!BE23*annualizationFactor</f>
        <v>1.5899432482080005</v>
      </c>
      <c r="AD171" s="777">
        <f>$G$21*$I$8*'Traffic Data'!BF23*annualizationFactor</f>
        <v>1.6106304700080001</v>
      </c>
      <c r="AE171" s="777">
        <f>$G$21*$I$8*'Traffic Data'!BG23*annualizationFactor</f>
        <v>1.63131939446</v>
      </c>
      <c r="AF171" s="777">
        <f>$G$21*$I$8*'Traffic Data'!BH23*annualizationFactor</f>
        <v>1.6520066162600002</v>
      </c>
      <c r="AG171" s="777">
        <f>$G$21*$I$8*'Traffic Data'!BI23*annualizationFactor</f>
        <v>1.6726938380600003</v>
      </c>
      <c r="AH171" s="778">
        <f>$G$21*$I$8*'Traffic Data'!BJ23*annualizationFactor</f>
        <v>1.6933827625120002</v>
      </c>
      <c r="AI171" s="40"/>
      <c r="AJ171" s="40"/>
      <c r="AK171" s="40"/>
      <c r="AL171" s="40"/>
      <c r="AM171" s="40"/>
    </row>
    <row r="172" spans="2:39" ht="21.95" customHeight="1" x14ac:dyDescent="0.2">
      <c r="B172" s="1346"/>
      <c r="C172" s="116" t="s">
        <v>323</v>
      </c>
      <c r="D172" s="116" t="s">
        <v>347</v>
      </c>
      <c r="E172" s="116" t="s">
        <v>19</v>
      </c>
      <c r="F172" s="116" t="s">
        <v>41</v>
      </c>
      <c r="G172" s="970"/>
      <c r="H172" s="970"/>
      <c r="I172" s="777">
        <f>$G$21*$I$8*'Traffic Data'!AK24*annualizationFactor</f>
        <v>0.17026520000000001</v>
      </c>
      <c r="J172" s="777">
        <f>$G$21*$I$8*'Traffic Data'!AL24*annualizationFactor</f>
        <v>0.17395934675000002</v>
      </c>
      <c r="K172" s="777">
        <f>$G$21*$I$8*'Traffic Data'!AM24*annualizationFactor</f>
        <v>0.17946134507</v>
      </c>
      <c r="L172" s="777">
        <f>$G$21*$I$8*'Traffic Data'!AN24*annualizationFactor</f>
        <v>0.18577787994500003</v>
      </c>
      <c r="M172" s="777">
        <f>$G$21*$I$8*'Traffic Data'!AO24*annualizationFactor</f>
        <v>0.19209623909000004</v>
      </c>
      <c r="N172" s="777">
        <f>$G$21*$I$8*'Traffic Data'!AP24*annualizationFactor</f>
        <v>0.19841399014500002</v>
      </c>
      <c r="O172" s="777">
        <f>$G$21*$I$8*'Traffic Data'!AQ24*annualizationFactor</f>
        <v>0.20473052502</v>
      </c>
      <c r="P172" s="777">
        <f>$G$21*$I$8*'Traffic Data'!AR24*annualizationFactor</f>
        <v>0.21104979629999998</v>
      </c>
      <c r="Q172" s="777">
        <f>$G$21*$I$8*'Traffic Data'!AS24*annualizationFactor</f>
        <v>0.21612734779999995</v>
      </c>
      <c r="R172" s="777">
        <f>$G$21*$I$8*'Traffic Data'!AT24*annualizationFactor</f>
        <v>0.22120489929999998</v>
      </c>
      <c r="S172" s="777">
        <f>$G$21*$I$8*'Traffic Data'!AU24*annualizationFactor</f>
        <v>0.22628245080000003</v>
      </c>
      <c r="T172" s="777">
        <f>$G$21*$I$8*'Traffic Data'!AV24*annualizationFactor</f>
        <v>0.23136000230000006</v>
      </c>
      <c r="U172" s="777">
        <f>$G$21*$I$8*'Traffic Data'!AW24*annualizationFactor</f>
        <v>0.23643937806999998</v>
      </c>
      <c r="V172" s="777">
        <f>$G$21*$I$8*'Traffic Data'!AX24*annualizationFactor</f>
        <v>0.24070148087999998</v>
      </c>
      <c r="W172" s="777">
        <f>$G$21*$I$8*'Traffic Data'!AY24*annualizationFactor</f>
        <v>0.24439562763000003</v>
      </c>
      <c r="X172" s="777">
        <f>$G$21*$I$8*'Traffic Data'!AZ24*annualizationFactor</f>
        <v>0.24808977438000002</v>
      </c>
      <c r="Y172" s="777">
        <f>$G$21*$I$8*'Traffic Data'!BA24*annualizationFactor</f>
        <v>0.25178392113000003</v>
      </c>
      <c r="Z172" s="777">
        <f>$G$21*$I$8*'Traffic Data'!BB24*annualizationFactor</f>
        <v>0.255478371925</v>
      </c>
      <c r="AA172" s="777">
        <f>$G$21*$I$8*'Traffic Data'!BC24*annualizationFactor</f>
        <v>0.25917251867499996</v>
      </c>
      <c r="AB172" s="777">
        <f>$G$21*$I$8*'Traffic Data'!BD24*annualizationFactor</f>
        <v>0.26286696947000004</v>
      </c>
      <c r="AC172" s="777">
        <f>$G$21*$I$8*'Traffic Data'!BE24*annualizationFactor</f>
        <v>0.26656111622000006</v>
      </c>
      <c r="AD172" s="777">
        <f>$G$21*$I$8*'Traffic Data'!BF24*annualizationFactor</f>
        <v>0.27025526297000002</v>
      </c>
      <c r="AE172" s="777">
        <f>$G$21*$I$8*'Traffic Data'!BG24*annualizationFactor</f>
        <v>0.27394971376500005</v>
      </c>
      <c r="AF172" s="777">
        <f>$G$21*$I$8*'Traffic Data'!BH24*annualizationFactor</f>
        <v>0.27764386051500006</v>
      </c>
      <c r="AG172" s="777">
        <f>$G$21*$I$8*'Traffic Data'!BI24*annualizationFactor</f>
        <v>0.28133800726500008</v>
      </c>
      <c r="AH172" s="778">
        <f>$G$21*$I$8*'Traffic Data'!BJ24*annualizationFactor</f>
        <v>0.28503245806000005</v>
      </c>
      <c r="AI172" s="40"/>
      <c r="AJ172" s="40"/>
      <c r="AK172" s="40"/>
      <c r="AL172" s="40"/>
      <c r="AM172" s="40"/>
    </row>
    <row r="173" spans="2:39" ht="21.95" customHeight="1" x14ac:dyDescent="0.2">
      <c r="B173" s="1346"/>
      <c r="C173" s="116" t="s">
        <v>347</v>
      </c>
      <c r="D173" s="116" t="s">
        <v>348</v>
      </c>
      <c r="E173" s="116" t="s">
        <v>19</v>
      </c>
      <c r="F173" s="116" t="s">
        <v>41</v>
      </c>
      <c r="G173" s="970"/>
      <c r="H173" s="970"/>
      <c r="I173" s="777">
        <f>$G$21*$I$8*'Traffic Data'!AK25*annualizationFactor</f>
        <v>0.11918564000000002</v>
      </c>
      <c r="J173" s="777">
        <f>$G$21*$I$8*'Traffic Data'!AL25*annualizationFactor</f>
        <v>0.121771542725</v>
      </c>
      <c r="K173" s="777">
        <f>$G$21*$I$8*'Traffic Data'!AM25*annualizationFactor</f>
        <v>0.12562294154899997</v>
      </c>
      <c r="L173" s="777">
        <f>$G$21*$I$8*'Traffic Data'!AN25*annualizationFactor</f>
        <v>0.13004451596150002</v>
      </c>
      <c r="M173" s="777">
        <f>$G$21*$I$8*'Traffic Data'!AO25*annualizationFactor</f>
        <v>0.134467367363</v>
      </c>
      <c r="N173" s="777">
        <f>$G$21*$I$8*'Traffic Data'!AP25*annualizationFactor</f>
        <v>0.13888979310150001</v>
      </c>
      <c r="O173" s="777">
        <f>$G$21*$I$8*'Traffic Data'!AQ25*annualizationFactor</f>
        <v>0.14331136751399998</v>
      </c>
      <c r="P173" s="777">
        <f>$G$21*$I$8*'Traffic Data'!AR25*annualizationFactor</f>
        <v>0.14773485740999998</v>
      </c>
      <c r="Q173" s="777">
        <f>$G$21*$I$8*'Traffic Data'!AS25*annualizationFactor</f>
        <v>0.15128914345999997</v>
      </c>
      <c r="R173" s="777">
        <f>$G$21*$I$8*'Traffic Data'!AT25*annualizationFactor</f>
        <v>0.15484342950999999</v>
      </c>
      <c r="S173" s="777">
        <f>$G$21*$I$8*'Traffic Data'!AU25*annualizationFactor</f>
        <v>0.15839771556000001</v>
      </c>
      <c r="T173" s="777">
        <f>$G$21*$I$8*'Traffic Data'!AV25*annualizationFactor</f>
        <v>0.16195200161000006</v>
      </c>
      <c r="U173" s="777">
        <f>$G$21*$I$8*'Traffic Data'!AW25*annualizationFactor</f>
        <v>0.16550756464899999</v>
      </c>
      <c r="V173" s="777">
        <f>$G$21*$I$8*'Traffic Data'!AX25*annualizationFactor</f>
        <v>0.16849103661600001</v>
      </c>
      <c r="W173" s="777">
        <f>$G$21*$I$8*'Traffic Data'!AY25*annualizationFactor</f>
        <v>0.17107693934099999</v>
      </c>
      <c r="X173" s="777">
        <f>$G$21*$I$8*'Traffic Data'!AZ25*annualizationFactor</f>
        <v>0.17366284206599999</v>
      </c>
      <c r="Y173" s="777">
        <f>$G$21*$I$8*'Traffic Data'!BA25*annualizationFactor</f>
        <v>0.17624874479100003</v>
      </c>
      <c r="Z173" s="777">
        <f>$G$21*$I$8*'Traffic Data'!BB25*annualizationFactor</f>
        <v>0.17883486034750001</v>
      </c>
      <c r="AA173" s="777">
        <f>$G$21*$I$8*'Traffic Data'!BC25*annualizationFactor</f>
        <v>0.18142076307249999</v>
      </c>
      <c r="AB173" s="777">
        <f>$G$21*$I$8*'Traffic Data'!BD25*annualizationFactor</f>
        <v>0.184006878629</v>
      </c>
      <c r="AC173" s="777">
        <f>$G$21*$I$8*'Traffic Data'!BE25*annualizationFactor</f>
        <v>0.18659278135400006</v>
      </c>
      <c r="AD173" s="777">
        <f>$G$21*$I$8*'Traffic Data'!BF25*annualizationFactor</f>
        <v>0.18917868407900004</v>
      </c>
      <c r="AE173" s="777">
        <f>$G$21*$I$8*'Traffic Data'!BG25*annualizationFactor</f>
        <v>0.19176479963550003</v>
      </c>
      <c r="AF173" s="777">
        <f>$G$21*$I$8*'Traffic Data'!BH25*annualizationFactor</f>
        <v>0.19435070236050003</v>
      </c>
      <c r="AG173" s="777">
        <f>$G$21*$I$8*'Traffic Data'!BI25*annualizationFactor</f>
        <v>0.19693660508550004</v>
      </c>
      <c r="AH173" s="778">
        <f>$G$21*$I$8*'Traffic Data'!BJ25*annualizationFactor</f>
        <v>0.19952272064200002</v>
      </c>
      <c r="AI173" s="40"/>
      <c r="AJ173" s="40"/>
      <c r="AK173" s="40"/>
      <c r="AL173" s="40"/>
      <c r="AM173" s="40"/>
    </row>
    <row r="174" spans="2:39" ht="21.95" customHeight="1" x14ac:dyDescent="0.2">
      <c r="B174" s="1346"/>
      <c r="C174" s="254" t="s">
        <v>348</v>
      </c>
      <c r="D174" s="254" t="s">
        <v>349</v>
      </c>
      <c r="E174" s="254" t="s">
        <v>19</v>
      </c>
      <c r="F174" s="254" t="s">
        <v>41</v>
      </c>
      <c r="G174" s="779"/>
      <c r="H174" s="779"/>
      <c r="I174" s="779">
        <f>$G$21*$I$8*'Traffic Data'!AK26*annualizationFactor</f>
        <v>0.19458880000000003</v>
      </c>
      <c r="J174" s="779">
        <f>$G$21*$I$8*'Traffic Data'!AL26*annualizationFactor</f>
        <v>0.19923673591500002</v>
      </c>
      <c r="K174" s="779">
        <f>$G$21*$I$8*'Traffic Data'!AM26*annualizationFactor</f>
        <v>0.20569313149000001</v>
      </c>
      <c r="L174" s="779">
        <f>$G$21*$I$8*'Traffic Data'!AN26*annualizationFactor</f>
        <v>0.21426780858000002</v>
      </c>
      <c r="M174" s="779">
        <f>$G$21*$I$8*'Traffic Data'!AO26*annualizationFactor</f>
        <v>0.22284491803000006</v>
      </c>
      <c r="N174" s="779">
        <f>$G$21*$I$8*'Traffic Data'!AP26*annualizationFactor</f>
        <v>0.23142263557000006</v>
      </c>
      <c r="O174" s="779">
        <f>$G$21*$I$8*'Traffic Data'!AQ26*annualizationFactor</f>
        <v>0.23999731266000005</v>
      </c>
      <c r="P174" s="779">
        <f>$G$21*$I$8*'Traffic Data'!AR26*annualizationFactor</f>
        <v>0.24857685447000008</v>
      </c>
      <c r="Q174" s="779">
        <f>$G$21*$I$8*'Traffic Data'!AS26*annualizationFactor</f>
        <v>0.25676539441000001</v>
      </c>
      <c r="R174" s="779">
        <f>$G$21*$I$8*'Traffic Data'!AT26*annualizationFactor</f>
        <v>0.26495423839499999</v>
      </c>
      <c r="S174" s="779">
        <f>$G$21*$I$8*'Traffic Data'!AU26*annualizationFactor</f>
        <v>0.273142778335</v>
      </c>
      <c r="T174" s="779">
        <f>$G$21*$I$8*'Traffic Data'!AV26*annualizationFactor</f>
        <v>0.28133131827500002</v>
      </c>
      <c r="U174" s="779">
        <f>$G$21*$I$8*'Traffic Data'!AW26*annualizationFactor</f>
        <v>0.28952472293500003</v>
      </c>
      <c r="V174" s="779">
        <f>$G$21*$I$8*'Traffic Data'!AX26*annualizationFactor</f>
        <v>0.29559254900000004</v>
      </c>
      <c r="W174" s="779">
        <f>$G$21*$I$8*'Traffic Data'!AY26*annualizationFactor</f>
        <v>0.30024048491499999</v>
      </c>
      <c r="X174" s="779">
        <f>$G$21*$I$8*'Traffic Data'!AZ26*annualizationFactor</f>
        <v>0.30488842083000001</v>
      </c>
      <c r="Y174" s="779">
        <f>$G$21*$I$8*'Traffic Data'!BA26*annualizationFactor</f>
        <v>0.30953635674500002</v>
      </c>
      <c r="Z174" s="779">
        <f>$G$21*$I$8*'Traffic Data'!BB26*annualizationFactor</f>
        <v>0.31418520479500001</v>
      </c>
      <c r="AA174" s="779">
        <f>$G$21*$I$8*'Traffic Data'!BC26*annualizationFactor</f>
        <v>0.31883314071000002</v>
      </c>
      <c r="AB174" s="779">
        <f>$G$21*$I$8*'Traffic Data'!BD26*annualizationFactor</f>
        <v>0.32348198876000006</v>
      </c>
      <c r="AC174" s="779">
        <f>$G$21*$I$8*'Traffic Data'!BE26*annualizationFactor</f>
        <v>0.32812992467500002</v>
      </c>
      <c r="AD174" s="779">
        <f>$G$21*$I$8*'Traffic Data'!BF26*annualizationFactor</f>
        <v>0.33277786059000003</v>
      </c>
      <c r="AE174" s="779">
        <f>$G$21*$I$8*'Traffic Data'!BG26*annualizationFactor</f>
        <v>0.33742670864000002</v>
      </c>
      <c r="AF174" s="779">
        <f>$G$21*$I$8*'Traffic Data'!BH26*annualizationFactor</f>
        <v>0.34207464455499997</v>
      </c>
      <c r="AG174" s="779">
        <f>$G$21*$I$8*'Traffic Data'!BI26*annualizationFactor</f>
        <v>0.34672258047000004</v>
      </c>
      <c r="AH174" s="783">
        <f>$G$21*$I$8*'Traffic Data'!BJ26*annualizationFactor</f>
        <v>0.35137142852000003</v>
      </c>
      <c r="AI174" s="40"/>
      <c r="AJ174" s="40"/>
      <c r="AK174" s="40"/>
      <c r="AL174" s="40"/>
      <c r="AM174" s="40"/>
    </row>
    <row r="175" spans="2:39" ht="21.95" customHeight="1" x14ac:dyDescent="0.2">
      <c r="B175" s="492" t="s">
        <v>288</v>
      </c>
      <c r="C175" s="116" t="s">
        <v>323</v>
      </c>
      <c r="D175" s="116" t="s">
        <v>348</v>
      </c>
      <c r="E175" s="116" t="s">
        <v>19</v>
      </c>
      <c r="F175" s="116" t="s">
        <v>41</v>
      </c>
      <c r="G175" s="970"/>
      <c r="H175" s="970"/>
      <c r="I175" s="777">
        <f>$G$21*$J$8*'Traffic Data'!AK27*annualizationFactor</f>
        <v>1.56366E-2</v>
      </c>
      <c r="J175" s="777">
        <f>$G$21*$J$8*'Traffic Data'!AL27*annualizationFactor</f>
        <v>1.6222798760000001E-2</v>
      </c>
      <c r="K175" s="777">
        <f>$G$21*$J$8*'Traffic Data'!AM27*annualizationFactor</f>
        <v>1.7119470900000003E-2</v>
      </c>
      <c r="L175" s="777">
        <f>$G$21*$J$8*'Traffic Data'!AN27*annualizationFactor</f>
        <v>1.9968372550000005E-2</v>
      </c>
      <c r="M175" s="777">
        <f>$G$21*$J$8*'Traffic Data'!AO27*annualizationFactor</f>
        <v>2.2817708550000003E-2</v>
      </c>
      <c r="N175" s="777">
        <f>$G$21*$J$8*'Traffic Data'!AP27*annualizationFactor</f>
        <v>2.5670084999999999E-2</v>
      </c>
      <c r="O175" s="777">
        <f>$G$21*$J$8*'Traffic Data'!AQ27*annualizationFactor</f>
        <v>2.8518986649999998E-2</v>
      </c>
      <c r="P175" s="777">
        <f>$G$21*$J$8*'Traffic Data'!AR27*annualizationFactor</f>
        <v>3.1370668140000002E-2</v>
      </c>
      <c r="Q175" s="777">
        <f>$G$21*$J$8*'Traffic Data'!AS27*annualizationFactor</f>
        <v>3.5128056250000005E-2</v>
      </c>
      <c r="R175" s="777">
        <f>$G$21*$J$8*'Traffic Data'!AT27*annualizationFactor</f>
        <v>3.8884488790000005E-2</v>
      </c>
      <c r="S175" s="777">
        <f>$G$21*$J$8*'Traffic Data'!AU27*annualizationFactor</f>
        <v>4.2642311250000002E-2</v>
      </c>
      <c r="T175" s="777">
        <f>$G$21*$J$8*'Traffic Data'!AV27*annualizationFactor</f>
        <v>4.6399699360000012E-2</v>
      </c>
      <c r="U175" s="777">
        <f>$G$21*$J$8*'Traffic Data'!AW27*annualizationFactor</f>
        <v>5.0161344100000005E-2</v>
      </c>
      <c r="V175" s="777">
        <f>$G$21*$J$8*'Traffic Data'!AX27*annualizationFactor</f>
        <v>5.1964591559999995E-2</v>
      </c>
      <c r="W175" s="777">
        <f>$G$21*$J$8*'Traffic Data'!AY27*annualizationFactor</f>
        <v>5.2550790319999999E-2</v>
      </c>
      <c r="X175" s="777">
        <f>$G$21*$J$8*'Traffic Data'!AZ27*annualizationFactor</f>
        <v>5.3136989079999995E-2</v>
      </c>
      <c r="Y175" s="777">
        <f>$G$21*$J$8*'Traffic Data'!BA27*annualizationFactor</f>
        <v>5.3723187839999999E-2</v>
      </c>
      <c r="Z175" s="777">
        <f>$G$21*$J$8*'Traffic Data'!BB27*annualizationFactor</f>
        <v>5.4309994690000002E-2</v>
      </c>
      <c r="AA175" s="777">
        <f>$G$21*$J$8*'Traffic Data'!BC27*annualizationFactor</f>
        <v>5.4896193449999985E-2</v>
      </c>
      <c r="AB175" s="777">
        <f>$G$21*$J$8*'Traffic Data'!BD27*annualizationFactor</f>
        <v>5.5483000300000009E-2</v>
      </c>
      <c r="AC175" s="777">
        <f>$G$21*$J$8*'Traffic Data'!BE27*annualizationFactor</f>
        <v>5.6069199060000012E-2</v>
      </c>
      <c r="AD175" s="777">
        <f>$G$21*$J$8*'Traffic Data'!BF27*annualizationFactor</f>
        <v>5.6655397820000002E-2</v>
      </c>
      <c r="AE175" s="777">
        <f>$G$21*$J$8*'Traffic Data'!BG27*annualizationFactor</f>
        <v>5.7242204669999998E-2</v>
      </c>
      <c r="AF175" s="777">
        <f>$G$21*$J$8*'Traffic Data'!BH27*annualizationFactor</f>
        <v>5.7828403430000015E-2</v>
      </c>
      <c r="AG175" s="777">
        <f>$G$21*$J$8*'Traffic Data'!BI27*annualizationFactor</f>
        <v>5.8414602189999998E-2</v>
      </c>
      <c r="AH175" s="778">
        <f>$G$21*$J$8*'Traffic Data'!BJ27*annualizationFactor</f>
        <v>5.9001409040000008E-2</v>
      </c>
      <c r="AI175" s="40"/>
      <c r="AJ175" s="40"/>
      <c r="AK175" s="40"/>
      <c r="AL175" s="40"/>
      <c r="AM175" s="40"/>
    </row>
    <row r="176" spans="2:39" ht="21.95" customHeight="1" x14ac:dyDescent="0.2">
      <c r="B176" s="782" t="s">
        <v>340</v>
      </c>
      <c r="C176" s="277" t="s">
        <v>335</v>
      </c>
      <c r="D176" s="277" t="s">
        <v>323</v>
      </c>
      <c r="E176" s="277" t="s">
        <v>19</v>
      </c>
      <c r="F176" s="277" t="s">
        <v>41</v>
      </c>
      <c r="G176" s="780"/>
      <c r="H176" s="780"/>
      <c r="I176" s="780">
        <f>$G$21*$K$8*'Traffic Data'!AK28*annualizationFactor</f>
        <v>0</v>
      </c>
      <c r="J176" s="780">
        <f>$G$21*$K$8*'Traffic Data'!AL28*annualizationFactor</f>
        <v>0</v>
      </c>
      <c r="K176" s="780">
        <f>$G$21*$K$8*'Traffic Data'!AM28*annualizationFactor</f>
        <v>0</v>
      </c>
      <c r="L176" s="780">
        <f>$G$21*$K$8*'Traffic Data'!AN28*annualizationFactor</f>
        <v>0</v>
      </c>
      <c r="M176" s="780">
        <f>$G$21*$K$8*'Traffic Data'!AO28*annualizationFactor</f>
        <v>0</v>
      </c>
      <c r="N176" s="780">
        <f>$G$21*$K$8*'Traffic Data'!AP28*annualizationFactor</f>
        <v>0</v>
      </c>
      <c r="O176" s="780">
        <f>$G$21*$K$8*'Traffic Data'!AQ28*annualizationFactor</f>
        <v>0</v>
      </c>
      <c r="P176" s="780">
        <f>$G$21*$K$8*'Traffic Data'!AR28*annualizationFactor</f>
        <v>0</v>
      </c>
      <c r="Q176" s="780">
        <f>$G$21*$K$8*'Traffic Data'!AS28*annualizationFactor</f>
        <v>0</v>
      </c>
      <c r="R176" s="780">
        <f>$G$21*$K$8*'Traffic Data'!AT28*annualizationFactor</f>
        <v>0</v>
      </c>
      <c r="S176" s="780">
        <f>$G$21*$K$8*'Traffic Data'!AU28*annualizationFactor</f>
        <v>0</v>
      </c>
      <c r="T176" s="780">
        <f>$G$21*$K$8*'Traffic Data'!AV28*annualizationFactor</f>
        <v>0</v>
      </c>
      <c r="U176" s="780">
        <f>$G$21*$K$8*'Traffic Data'!AW28*annualizationFactor</f>
        <v>0</v>
      </c>
      <c r="V176" s="780">
        <f>$G$21*$K$8*'Traffic Data'!AX28*annualizationFactor</f>
        <v>0</v>
      </c>
      <c r="W176" s="780">
        <f>$G$21*$K$8*'Traffic Data'!AY28*annualizationFactor</f>
        <v>0</v>
      </c>
      <c r="X176" s="780">
        <f>$G$21*$K$8*'Traffic Data'!AZ28*annualizationFactor</f>
        <v>0</v>
      </c>
      <c r="Y176" s="780">
        <f>$G$21*$K$8*'Traffic Data'!BA28*annualizationFactor</f>
        <v>0</v>
      </c>
      <c r="Z176" s="780">
        <f>$G$21*$K$8*'Traffic Data'!BB28*annualizationFactor</f>
        <v>0</v>
      </c>
      <c r="AA176" s="780">
        <f>$G$21*$K$8*'Traffic Data'!BC28*annualizationFactor</f>
        <v>0</v>
      </c>
      <c r="AB176" s="780">
        <f>$G$21*$K$8*'Traffic Data'!BD28*annualizationFactor</f>
        <v>0</v>
      </c>
      <c r="AC176" s="780">
        <f>$G$21*$K$8*'Traffic Data'!BE28*annualizationFactor</f>
        <v>0</v>
      </c>
      <c r="AD176" s="780">
        <f>$G$21*$K$8*'Traffic Data'!BF28*annualizationFactor</f>
        <v>0</v>
      </c>
      <c r="AE176" s="780">
        <f>$G$21*$K$8*'Traffic Data'!BG28*annualizationFactor</f>
        <v>0</v>
      </c>
      <c r="AF176" s="780">
        <f>$G$21*$K$8*'Traffic Data'!BH28*annualizationFactor</f>
        <v>0</v>
      </c>
      <c r="AG176" s="780">
        <f>$G$21*$K$8*'Traffic Data'!BI28*annualizationFactor</f>
        <v>0</v>
      </c>
      <c r="AH176" s="781">
        <f>$G$21*$K$8*'Traffic Data'!BJ28*annualizationFactor</f>
        <v>0</v>
      </c>
      <c r="AI176" s="40"/>
      <c r="AJ176" s="40"/>
      <c r="AK176" s="40"/>
      <c r="AL176" s="40"/>
      <c r="AM176" s="40"/>
    </row>
    <row r="177" spans="2:39" ht="21.95" customHeight="1" x14ac:dyDescent="0.2">
      <c r="B177" s="782" t="s">
        <v>357</v>
      </c>
      <c r="C177" s="277" t="s">
        <v>338</v>
      </c>
      <c r="D177" s="277" t="s">
        <v>323</v>
      </c>
      <c r="E177" s="116" t="s">
        <v>19</v>
      </c>
      <c r="F177" s="116" t="s">
        <v>41</v>
      </c>
      <c r="G177" s="970"/>
      <c r="H177" s="970"/>
      <c r="I177" s="777">
        <f>$G$21*$L$8*'Traffic Data'!AK29*annualizationFactor</f>
        <v>2.8998785454545456E-2</v>
      </c>
      <c r="J177" s="777">
        <f>$G$21*$L$8*'Traffic Data'!AL29*annualizationFactor</f>
        <v>2.9446977794181817E-2</v>
      </c>
      <c r="K177" s="777">
        <f>$G$21*$L$8*'Traffic Data'!AM29*annualizationFactor</f>
        <v>3.0183385840363636E-2</v>
      </c>
      <c r="L177" s="777">
        <f>$G$21*$L$8*'Traffic Data'!AN29*annualizationFactor</f>
        <v>3.2686222681636373E-2</v>
      </c>
      <c r="M177" s="777">
        <f>$G$21*$L$8*'Traffic Data'!AO29*annualizationFactor</f>
        <v>3.5189381731636368E-2</v>
      </c>
      <c r="N177" s="777">
        <f>$G$21*$L$8*'Traffic Data'!AP29*annualizationFactor</f>
        <v>3.7695440660181809E-2</v>
      </c>
      <c r="O177" s="777">
        <f>$G$21*$L$8*'Traffic Data'!AQ29*annualizationFactor</f>
        <v>4.0198277501454535E-2</v>
      </c>
      <c r="P177" s="777">
        <f>$G$21*$L$8*'Traffic Data'!AR29*annualizationFactor</f>
        <v>4.27039336690909E-2</v>
      </c>
      <c r="Q177" s="777">
        <f>$G$21*$L$8*'Traffic Data'!AS29*annualizationFactor</f>
        <v>4.567260377781817E-2</v>
      </c>
      <c r="R177" s="777">
        <f>$G$21*$L$8*'Traffic Data'!AT29*annualizationFactor</f>
        <v>4.8640629469090896E-2</v>
      </c>
      <c r="S177" s="777">
        <f>$G$21*$L$8*'Traffic Data'!AU29*annualizationFactor</f>
        <v>5.1610105099636351E-2</v>
      </c>
      <c r="T177" s="777">
        <f>$G$21*$L$8*'Traffic Data'!AV29*annualizationFactor</f>
        <v>5.4578775208363635E-2</v>
      </c>
      <c r="U177" s="777">
        <f>$G$21*$L$8*'Traffic Data'!AW29*annualizationFactor</f>
        <v>5.7551634030545452E-2</v>
      </c>
      <c r="V177" s="777">
        <f>$G$21*$L$8*'Traffic Data'!AX29*annualizationFactor</f>
        <v>5.8752183748363628E-2</v>
      </c>
      <c r="W177" s="777">
        <f>$G$21*$L$8*'Traffic Data'!AY29*annualizationFactor</f>
        <v>5.9200376087999995E-2</v>
      </c>
      <c r="X177" s="777">
        <f>$G$21*$L$8*'Traffic Data'!AZ29*annualizationFactor</f>
        <v>5.964856842763637E-2</v>
      </c>
      <c r="Y177" s="777">
        <f>$G$21*$L$8*'Traffic Data'!BA29*annualizationFactor</f>
        <v>6.0096760767272731E-2</v>
      </c>
      <c r="Z177" s="777">
        <f>$G$21*$L$8*'Traffic Data'!BB29*annualizationFactor</f>
        <v>6.054583918090909E-2</v>
      </c>
      <c r="AA177" s="777">
        <f>$G$21*$L$8*'Traffic Data'!BC29*annualizationFactor</f>
        <v>6.0994031520545451E-2</v>
      </c>
      <c r="AB177" s="777">
        <f>$G$21*$L$8*'Traffic Data'!BD29*annualizationFactor</f>
        <v>6.1443109934181825E-2</v>
      </c>
      <c r="AC177" s="777">
        <f>$G$21*$L$8*'Traffic Data'!BE29*annualizationFactor</f>
        <v>6.1891302273818179E-2</v>
      </c>
      <c r="AD177" s="777">
        <f>$G$21*$L$8*'Traffic Data'!BF29*annualizationFactor</f>
        <v>6.2339494613454553E-2</v>
      </c>
      <c r="AE177" s="777">
        <f>$G$21*$L$8*'Traffic Data'!BG29*annualizationFactor</f>
        <v>6.2788573027090913E-2</v>
      </c>
      <c r="AF177" s="777">
        <f>$G$21*$L$8*'Traffic Data'!BH29*annualizationFactor</f>
        <v>6.3236765366727288E-2</v>
      </c>
      <c r="AG177" s="777">
        <f>$G$21*$L$8*'Traffic Data'!BI29*annualizationFactor</f>
        <v>6.3684957706363648E-2</v>
      </c>
      <c r="AH177" s="778">
        <f>$G$21*$L$8*'Traffic Data'!BJ29*annualizationFactor</f>
        <v>6.4134036120000001E-2</v>
      </c>
      <c r="AI177" s="40"/>
      <c r="AJ177" s="40"/>
      <c r="AK177" s="40"/>
      <c r="AL177" s="40"/>
      <c r="AM177" s="40"/>
    </row>
    <row r="178" spans="2:39" ht="21.95" customHeight="1" x14ac:dyDescent="0.2">
      <c r="B178" s="492" t="s">
        <v>338</v>
      </c>
      <c r="C178" s="116" t="s">
        <v>282</v>
      </c>
      <c r="D178" s="116" t="s">
        <v>357</v>
      </c>
      <c r="E178" s="220" t="s">
        <v>19</v>
      </c>
      <c r="F178" s="220" t="s">
        <v>41</v>
      </c>
      <c r="G178" s="775"/>
      <c r="H178" s="775"/>
      <c r="I178" s="775">
        <f>$G$21*$M$8*'Traffic Data'!AK30*annualizationFactor</f>
        <v>0.1041452840909091</v>
      </c>
      <c r="J178" s="775">
        <f>$G$21*$M$8*'Traffic Data'!AL30*annualizationFactor</f>
        <v>0.10801792647982958</v>
      </c>
      <c r="K178" s="775">
        <f>$G$21*$M$8*'Traffic Data'!AM30*annualizationFactor</f>
        <v>0.11214030926</v>
      </c>
      <c r="L178" s="775">
        <f>$G$21*$M$8*'Traffic Data'!AN30*annualizationFactor</f>
        <v>0.12128561909187502</v>
      </c>
      <c r="M178" s="775">
        <f>$G$21*$M$8*'Traffic Data'!AO30*annualizationFactor</f>
        <v>0.13043322012000003</v>
      </c>
      <c r="N178" s="775">
        <f>$G$21*$M$8*'Traffic Data'!AP30*annualizationFactor</f>
        <v>0.13958582012176141</v>
      </c>
      <c r="O178" s="775">
        <f>$G$21*$M$8*'Traffic Data'!AQ30*annualizationFactor</f>
        <v>0.14873112995363647</v>
      </c>
      <c r="P178" s="775">
        <f>$G$21*$M$8*'Traffic Data'!AR30*annualizationFactor</f>
        <v>0.1578844589723864</v>
      </c>
      <c r="Q178" s="775">
        <f>$G$21*$M$8*'Traffic Data'!AS30*annualizationFactor</f>
        <v>0.17019026574056814</v>
      </c>
      <c r="R178" s="775">
        <f>$G$21*$M$8*'Traffic Data'!AT30*annualizationFactor</f>
        <v>0.18249659323517048</v>
      </c>
      <c r="S178" s="775">
        <f>$G$21*$M$8*'Traffic Data'!AU30*annualizationFactor</f>
        <v>0.19480240000335225</v>
      </c>
      <c r="T178" s="775">
        <f>$G$21*$M$8*'Traffic Data'!AV30*annualizationFactor</f>
        <v>0.2071082067715341</v>
      </c>
      <c r="U178" s="775">
        <f>$G$21*$M$8*'Traffic Data'!AW30*annualizationFactor</f>
        <v>0.21942546952096595</v>
      </c>
      <c r="V178" s="775">
        <f>$G$21*$M$8*'Traffic Data'!AX30*annualizationFactor</f>
        <v>0.22670262124681817</v>
      </c>
      <c r="W178" s="775">
        <f>$G$21*$M$8*'Traffic Data'!AY30*annualizationFactor</f>
        <v>0.23057526363573866</v>
      </c>
      <c r="X178" s="775">
        <f>$G$21*$M$8*'Traffic Data'!AZ30*annualizationFactor</f>
        <v>0.23444790602465909</v>
      </c>
      <c r="Y178" s="775">
        <f>$G$21*$M$8*'Traffic Data'!BA30*annualizationFactor</f>
        <v>0.23832054841357955</v>
      </c>
      <c r="Z178" s="775">
        <f>$G$21*$M$8*'Traffic Data'!BB30*annualizationFactor</f>
        <v>0.24219527370818178</v>
      </c>
      <c r="AA178" s="775">
        <f>$G$21*$M$8*'Traffic Data'!BC30*annualizationFactor</f>
        <v>0.24606791609710224</v>
      </c>
      <c r="AB178" s="775">
        <f>$G$21*$M$8*'Traffic Data'!BD30*annualizationFactor</f>
        <v>0.24994264139170452</v>
      </c>
      <c r="AC178" s="775">
        <f>$G$21*$M$8*'Traffic Data'!BE30*annualizationFactor</f>
        <v>0.25381528378062501</v>
      </c>
      <c r="AD178" s="775">
        <f>$G$21*$M$8*'Traffic Data'!BF30*annualizationFactor</f>
        <v>0.25768792616954544</v>
      </c>
      <c r="AE178" s="775">
        <f>$G$21*$M$8*'Traffic Data'!BG30*annualizationFactor</f>
        <v>0.26156265146414776</v>
      </c>
      <c r="AF178" s="775">
        <f>$G$21*$M$8*'Traffic Data'!BH30*annualizationFactor</f>
        <v>0.26543529385306819</v>
      </c>
      <c r="AG178" s="775">
        <f>$G$21*$M$8*'Traffic Data'!BI30*annualizationFactor</f>
        <v>0.26930793624198862</v>
      </c>
      <c r="AH178" s="776">
        <f>$G$21*$M$8*'Traffic Data'!BJ30*annualizationFactor</f>
        <v>0.27318266153659093</v>
      </c>
      <c r="AI178" s="40"/>
      <c r="AJ178" s="40"/>
      <c r="AK178" s="40"/>
      <c r="AL178" s="40"/>
      <c r="AM178" s="40"/>
    </row>
    <row r="179" spans="2:39" ht="21.95" customHeight="1" x14ac:dyDescent="0.2">
      <c r="B179" s="492"/>
      <c r="C179" s="116" t="s">
        <v>357</v>
      </c>
      <c r="D179" s="116" t="s">
        <v>346</v>
      </c>
      <c r="E179" s="116" t="s">
        <v>19</v>
      </c>
      <c r="F179" s="116" t="s">
        <v>41</v>
      </c>
      <c r="G179" s="970"/>
      <c r="H179" s="970"/>
      <c r="I179" s="777">
        <f>$G$21*$M$8*'Traffic Data'!AK31*annualizationFactor</f>
        <v>1.5167370378787879E-2</v>
      </c>
      <c r="J179" s="777">
        <f>$G$21*$M$8*'Traffic Data'!AL31*annualizationFactor</f>
        <v>1.5707109236543559E-2</v>
      </c>
      <c r="K179" s="777">
        <f>$G$21*$M$8*'Traffic Data'!AM31*annualizationFactor</f>
        <v>1.6294505568594696E-2</v>
      </c>
      <c r="L179" s="777">
        <f>$G$21*$M$8*'Traffic Data'!AN31*annualizationFactor</f>
        <v>1.7417549559812503E-2</v>
      </c>
      <c r="M179" s="777">
        <f>$G$21*$M$8*'Traffic Data'!AO31*annualizationFactor</f>
        <v>1.854103260648864E-2</v>
      </c>
      <c r="N179" s="777">
        <f>$G$21*$M$8*'Traffic Data'!AP31*annualizationFactor</f>
        <v>1.9664675309695078E-2</v>
      </c>
      <c r="O179" s="777">
        <f>$G$21*$M$8*'Traffic Data'!AQ31*annualizationFactor</f>
        <v>2.0787719300912878E-2</v>
      </c>
      <c r="P179" s="777">
        <f>$G$21*$M$8*'Traffic Data'!AR31*annualizationFactor</f>
        <v>2.1911701274246211E-2</v>
      </c>
      <c r="Q179" s="777">
        <f>$G$21*$M$8*'Traffic Data'!AS31*annualizationFactor</f>
        <v>2.3453783786310602E-2</v>
      </c>
      <c r="R179" s="777">
        <f>$G$21*$M$8*'Traffic Data'!AT31*annualizationFactor</f>
        <v>2.4996165654369313E-2</v>
      </c>
      <c r="S179" s="777">
        <f>$G$21*$M$8*'Traffic Data'!AU31*annualizationFactor</f>
        <v>2.6538048595770834E-2</v>
      </c>
      <c r="T179" s="777">
        <f>$G$21*$M$8*'Traffic Data'!AV31*annualizationFactor</f>
        <v>2.8080131107835232E-2</v>
      </c>
      <c r="U179" s="777">
        <f>$G$21*$M$8*'Traffic Data'!AW31*annualizationFactor</f>
        <v>2.9623411043876891E-2</v>
      </c>
      <c r="V179" s="777">
        <f>$G$21*$M$8*'Traffic Data'!AX31*annualizationFactor</f>
        <v>3.0629147399454545E-2</v>
      </c>
      <c r="W179" s="777">
        <f>$G$21*$M$8*'Traffic Data'!AY31*annualizationFactor</f>
        <v>3.1168886257210225E-2</v>
      </c>
      <c r="X179" s="777">
        <f>$G$21*$M$8*'Traffic Data'!AZ31*annualizationFactor</f>
        <v>3.1708625114965909E-2</v>
      </c>
      <c r="Y179" s="777">
        <f>$G$21*$M$8*'Traffic Data'!BA31*annualizationFactor</f>
        <v>3.2248363972721593E-2</v>
      </c>
      <c r="Z179" s="777">
        <f>$G$21*$M$8*'Traffic Data'!BB31*annualizationFactor</f>
        <v>3.2788302401140154E-2</v>
      </c>
      <c r="AA179" s="777">
        <f>$G$21*$M$8*'Traffic Data'!BC31*annualizationFactor</f>
        <v>3.3328041258895824E-2</v>
      </c>
      <c r="AB179" s="777">
        <f>$G$21*$M$8*'Traffic Data'!BD31*annualizationFactor</f>
        <v>3.3867979687314399E-2</v>
      </c>
      <c r="AC179" s="777">
        <f>$G$21*$M$8*'Traffic Data'!BE31*annualizationFactor</f>
        <v>3.4407718545070069E-2</v>
      </c>
      <c r="AD179" s="777">
        <f>$G$21*$M$8*'Traffic Data'!BF31*annualizationFactor</f>
        <v>3.494745740282576E-2</v>
      </c>
      <c r="AE179" s="777">
        <f>$G$21*$M$8*'Traffic Data'!BG31*annualizationFactor</f>
        <v>3.5487395831244321E-2</v>
      </c>
      <c r="AF179" s="777">
        <f>$G$21*$M$8*'Traffic Data'!BH31*annualizationFactor</f>
        <v>3.6027134689000005E-2</v>
      </c>
      <c r="AG179" s="777">
        <f>$G$21*$M$8*'Traffic Data'!BI31*annualizationFactor</f>
        <v>3.6566873546755682E-2</v>
      </c>
      <c r="AH179" s="778">
        <f>$G$21*$M$8*'Traffic Data'!BJ31*annualizationFactor</f>
        <v>3.710681197517423E-2</v>
      </c>
      <c r="AI179" s="40"/>
      <c r="AJ179" s="40"/>
      <c r="AK179" s="40"/>
      <c r="AL179" s="40"/>
      <c r="AM179" s="40"/>
    </row>
    <row r="180" spans="2:39" ht="21.95" customHeight="1" x14ac:dyDescent="0.2">
      <c r="B180" s="492"/>
      <c r="C180" s="116" t="s">
        <v>346</v>
      </c>
      <c r="D180" s="116" t="s">
        <v>343</v>
      </c>
      <c r="E180" s="116" t="s">
        <v>19</v>
      </c>
      <c r="F180" s="116" t="s">
        <v>41</v>
      </c>
      <c r="G180" s="970"/>
      <c r="H180" s="970"/>
      <c r="I180" s="777">
        <f>$G$21*$M$8*'Traffic Data'!AK32*annualizationFactor</f>
        <v>3.7512045454545459E-3</v>
      </c>
      <c r="J180" s="777">
        <f>$G$21*$M$8*'Traffic Data'!AL32*annualizationFactor</f>
        <v>3.8846931335227274E-3</v>
      </c>
      <c r="K180" s="777">
        <f>$G$21*$M$8*'Traffic Data'!AM32*annualizationFactor</f>
        <v>4.0299684011363629E-3</v>
      </c>
      <c r="L180" s="777">
        <f>$G$21*$M$8*'Traffic Data'!AN32*annualizationFactor</f>
        <v>4.3077204187500009E-3</v>
      </c>
      <c r="M180" s="777">
        <f>$G$21*$M$8*'Traffic Data'!AO32*annualizationFactor</f>
        <v>4.5855810238636377E-3</v>
      </c>
      <c r="N180" s="777">
        <f>$G$21*$M$8*'Traffic Data'!AP32*annualizationFactor</f>
        <v>4.8634811153409089E-3</v>
      </c>
      <c r="O180" s="777">
        <f>$G$21*$M$8*'Traffic Data'!AQ32*annualizationFactor</f>
        <v>5.1412331329545461E-3</v>
      </c>
      <c r="P180" s="777">
        <f>$G$21*$M$8*'Traffic Data'!AR32*annualizationFactor</f>
        <v>5.4192171329545454E-3</v>
      </c>
      <c r="Q180" s="777">
        <f>$G$21*$M$8*'Traffic Data'!AS32*annualizationFactor</f>
        <v>5.8006060477272716E-3</v>
      </c>
      <c r="R180" s="777">
        <f>$G$21*$M$8*'Traffic Data'!AT32*annualizationFactor</f>
        <v>6.1820689994318166E-3</v>
      </c>
      <c r="S180" s="777">
        <f>$G$21*$M$8*'Traffic Data'!AU32*annualizationFactor</f>
        <v>6.5634085562499998E-3</v>
      </c>
      <c r="T180" s="777">
        <f>$G$21*$M$8*'Traffic Data'!AV32*annualizationFactor</f>
        <v>6.9447974710227277E-3</v>
      </c>
      <c r="U180" s="777">
        <f>$G$21*$M$8*'Traffic Data'!AW32*annualizationFactor</f>
        <v>7.3264825335227265E-3</v>
      </c>
      <c r="V180" s="777">
        <f>$G$21*$M$8*'Traffic Data'!AX32*annualizationFactor</f>
        <v>7.5752219454545454E-3</v>
      </c>
      <c r="W180" s="777">
        <f>$G$21*$M$8*'Traffic Data'!AY32*annualizationFactor</f>
        <v>7.7087105335227257E-3</v>
      </c>
      <c r="X180" s="777">
        <f>$G$21*$M$8*'Traffic Data'!AZ32*annualizationFactor</f>
        <v>7.8421991215909086E-3</v>
      </c>
      <c r="Y180" s="777">
        <f>$G$21*$M$8*'Traffic Data'!BA32*annualizationFactor</f>
        <v>7.9756877096590906E-3</v>
      </c>
      <c r="Z180" s="777">
        <f>$G$21*$M$8*'Traffic Data'!BB32*annualizationFactor</f>
        <v>8.1092256556818173E-3</v>
      </c>
      <c r="AA180" s="777">
        <f>$G$21*$M$8*'Traffic Data'!BC32*annualizationFactor</f>
        <v>8.2427142437499976E-3</v>
      </c>
      <c r="AB180" s="777">
        <f>$G$21*$M$8*'Traffic Data'!BD32*annualizationFactor</f>
        <v>8.3762521897727277E-3</v>
      </c>
      <c r="AC180" s="777">
        <f>$G$21*$M$8*'Traffic Data'!BE32*annualizationFactor</f>
        <v>8.5097407778409098E-3</v>
      </c>
      <c r="AD180" s="777">
        <f>$G$21*$M$8*'Traffic Data'!BF32*annualizationFactor</f>
        <v>8.6432293659090918E-3</v>
      </c>
      <c r="AE180" s="777">
        <f>$G$21*$M$8*'Traffic Data'!BG32*annualizationFactor</f>
        <v>8.7767673119318185E-3</v>
      </c>
      <c r="AF180" s="777">
        <f>$G$21*$M$8*'Traffic Data'!BH32*annualizationFactor</f>
        <v>8.9102559000000005E-3</v>
      </c>
      <c r="AG180" s="777">
        <f>$G$21*$M$8*'Traffic Data'!BI32*annualizationFactor</f>
        <v>9.0437444880681825E-3</v>
      </c>
      <c r="AH180" s="778">
        <f>$G$21*$M$8*'Traffic Data'!BJ32*annualizationFactor</f>
        <v>9.1772824340909075E-3</v>
      </c>
      <c r="AI180" s="40"/>
      <c r="AJ180" s="40"/>
      <c r="AK180" s="40"/>
      <c r="AL180" s="40"/>
      <c r="AM180" s="40"/>
    </row>
    <row r="181" spans="2:39" ht="21.95" customHeight="1" x14ac:dyDescent="0.2">
      <c r="B181" s="492"/>
      <c r="C181" s="116" t="s">
        <v>343</v>
      </c>
      <c r="D181" s="116" t="s">
        <v>350</v>
      </c>
      <c r="E181" s="116" t="s">
        <v>19</v>
      </c>
      <c r="F181" s="116" t="s">
        <v>41</v>
      </c>
      <c r="G181" s="970"/>
      <c r="H181" s="970"/>
      <c r="I181" s="777">
        <f>$G$21*$M$8*'Traffic Data'!AK33*annualizationFactor</f>
        <v>9.6248011363636379E-3</v>
      </c>
      <c r="J181" s="777">
        <f>$G$21*$M$8*'Traffic Data'!AL33*annualizationFactor</f>
        <v>9.9562632461647725E-3</v>
      </c>
      <c r="K181" s="777">
        <f>$G$21*$M$8*'Traffic Data'!AM33*annualizationFactor</f>
        <v>1.032606414715909E-2</v>
      </c>
      <c r="L181" s="777">
        <f>$G$21*$M$8*'Traffic Data'!AN33*annualizationFactor</f>
        <v>1.0972064758096593E-2</v>
      </c>
      <c r="M181" s="777">
        <f>$G$21*$M$8*'Traffic Data'!AO33*annualizationFactor</f>
        <v>1.1618450361079545E-2</v>
      </c>
      <c r="N181" s="777">
        <f>$G$21*$M$8*'Traffic Data'!AP33*annualizationFactor</f>
        <v>1.2264611385369323E-2</v>
      </c>
      <c r="O181" s="777">
        <f>$G$21*$M$8*'Traffic Data'!AQ33*annualizationFactor</f>
        <v>1.2910611996306819E-2</v>
      </c>
      <c r="P181" s="777">
        <f>$G$21*$M$8*'Traffic Data'!AR33*annualizationFactor</f>
        <v>1.3557270301988639E-2</v>
      </c>
      <c r="Q181" s="777">
        <f>$G$21*$M$8*'Traffic Data'!AS33*annualizationFactor</f>
        <v>1.4390104344318184E-2</v>
      </c>
      <c r="R181" s="777">
        <f>$G$21*$M$8*'Traffic Data'!AT33*annualizationFactor</f>
        <v>1.5223403585369322E-2</v>
      </c>
      <c r="S181" s="777">
        <f>$G$21*$M$8*'Traffic Data'!AU33*annualizationFactor</f>
        <v>1.6056077214346588E-2</v>
      </c>
      <c r="T181" s="777">
        <f>$G$21*$M$8*'Traffic Data'!AV33*annualizationFactor</f>
        <v>1.6888911256676138E-2</v>
      </c>
      <c r="U181" s="777">
        <f>$G$21*$M$8*'Traffic Data'!AW33*annualizationFactor</f>
        <v>1.772245111775568E-2</v>
      </c>
      <c r="V181" s="777">
        <f>$G$21*$M$8*'Traffic Data'!AX33*annualizationFactor</f>
        <v>1.8278652334090911E-2</v>
      </c>
      <c r="W181" s="777">
        <f>$G$21*$M$8*'Traffic Data'!AY33*annualizationFactor</f>
        <v>1.8610114443892052E-2</v>
      </c>
      <c r="X181" s="777">
        <f>$G$21*$M$8*'Traffic Data'!AZ33*annualizationFactor</f>
        <v>1.8941576553693183E-2</v>
      </c>
      <c r="Y181" s="777">
        <f>$G$21*$M$8*'Traffic Data'!BA33*annualizationFactor</f>
        <v>1.9273038663494328E-2</v>
      </c>
      <c r="Z181" s="777">
        <f>$G$21*$M$8*'Traffic Data'!BB33*annualizationFactor</f>
        <v>1.9604693269318192E-2</v>
      </c>
      <c r="AA181" s="777">
        <f>$G$21*$M$8*'Traffic Data'!BC33*annualizationFactor</f>
        <v>1.9936155379119323E-2</v>
      </c>
      <c r="AB181" s="777">
        <f>$G$21*$M$8*'Traffic Data'!BD33*annualizationFactor</f>
        <v>2.0267809984943177E-2</v>
      </c>
      <c r="AC181" s="777">
        <f>$G$21*$M$8*'Traffic Data'!BE33*annualizationFactor</f>
        <v>2.0599272094744322E-2</v>
      </c>
      <c r="AD181" s="777">
        <f>$G$21*$M$8*'Traffic Data'!BF33*annualizationFactor</f>
        <v>2.0930734204545453E-2</v>
      </c>
      <c r="AE181" s="777">
        <f>$G$21*$M$8*'Traffic Data'!BG33*annualizationFactor</f>
        <v>2.126238881036932E-2</v>
      </c>
      <c r="AF181" s="777">
        <f>$G$21*$M$8*'Traffic Data'!BH33*annualizationFactor</f>
        <v>2.1593850920170458E-2</v>
      </c>
      <c r="AG181" s="777">
        <f>$G$21*$M$8*'Traffic Data'!BI33*annualizationFactor</f>
        <v>2.1925313029971593E-2</v>
      </c>
      <c r="AH181" s="778">
        <f>$G$21*$M$8*'Traffic Data'!BJ33*annualizationFactor</f>
        <v>2.2256967635795457E-2</v>
      </c>
      <c r="AI181" s="40"/>
      <c r="AJ181" s="40"/>
      <c r="AK181" s="40"/>
      <c r="AL181" s="40"/>
      <c r="AM181" s="40"/>
    </row>
    <row r="182" spans="2:39" ht="21.95" customHeight="1" x14ac:dyDescent="0.2">
      <c r="B182" s="492"/>
      <c r="C182" s="116" t="s">
        <v>350</v>
      </c>
      <c r="D182" s="116" t="s">
        <v>280</v>
      </c>
      <c r="E182" s="116" t="s">
        <v>19</v>
      </c>
      <c r="F182" s="116" t="s">
        <v>41</v>
      </c>
      <c r="G182" s="970"/>
      <c r="H182" s="970"/>
      <c r="I182" s="777">
        <f>$G$21*$M$8*'Traffic Data'!AK34*annualizationFactor</f>
        <v>7.9910528409090908E-2</v>
      </c>
      <c r="J182" s="777">
        <f>$G$21*$M$8*'Traffic Data'!AL34*annualizationFactor</f>
        <v>8.2662513823286002E-2</v>
      </c>
      <c r="K182" s="777">
        <f>$G$21*$M$8*'Traffic Data'!AM34*annualizationFactor</f>
        <v>8.573280950897727E-2</v>
      </c>
      <c r="L182" s="777">
        <f>$G$21*$M$8*'Traffic Data'!AN34*annualizationFactor</f>
        <v>9.1096270991581449E-2</v>
      </c>
      <c r="M182" s="777">
        <f>$G$21*$M$8*'Traffic Data'!AO34*annualizationFactor</f>
        <v>9.6462928895321987E-2</v>
      </c>
      <c r="N182" s="777">
        <f>$G$21*$M$8*'Traffic Data'!AP34*annualizationFactor</f>
        <v>0.10182772222006632</v>
      </c>
      <c r="O182" s="777">
        <f>$G$21*$M$8*'Traffic Data'!AQ34*annualizationFactor</f>
        <v>0.10719118370267047</v>
      </c>
      <c r="P182" s="777">
        <f>$G$21*$M$8*'Traffic Data'!AR34*annualizationFactor</f>
        <v>0.11256010573804925</v>
      </c>
      <c r="Q182" s="777">
        <f>$G$21*$M$8*'Traffic Data'!AS34*annualizationFactor</f>
        <v>0.11947476376128789</v>
      </c>
      <c r="R182" s="777">
        <f>$G$21*$M$8*'Traffic Data'!AT34*annualizationFactor</f>
        <v>0.12639328412673301</v>
      </c>
      <c r="S182" s="777">
        <f>$G$21*$M$8*'Traffic Data'!AU34*annualizationFactor</f>
        <v>0.13330661030783142</v>
      </c>
      <c r="T182" s="777">
        <f>$G$21*$M$8*'Traffic Data'!AV34*annualizationFactor</f>
        <v>0.14022126833107007</v>
      </c>
      <c r="U182" s="777">
        <f>$G$21*$M$8*'Traffic Data'!AW34*annualizationFactor</f>
        <v>0.14714178645972539</v>
      </c>
      <c r="V182" s="777">
        <f>$G$21*$M$8*'Traffic Data'!AX34*annualizationFactor</f>
        <v>0.15175968271227275</v>
      </c>
      <c r="W182" s="777">
        <f>$G$21*$M$8*'Traffic Data'!AY34*annualizationFactor</f>
        <v>0.15451166812646783</v>
      </c>
      <c r="X182" s="777">
        <f>$G$21*$M$8*'Traffic Data'!AZ34*annualizationFactor</f>
        <v>0.15726365354066293</v>
      </c>
      <c r="Y182" s="777">
        <f>$G$21*$M$8*'Traffic Data'!BA34*annualizationFactor</f>
        <v>0.16001563895485804</v>
      </c>
      <c r="Z182" s="777">
        <f>$G$21*$M$8*'Traffic Data'!BB34*annualizationFactor</f>
        <v>0.16276922257962129</v>
      </c>
      <c r="AA182" s="777">
        <f>$G$21*$M$8*'Traffic Data'!BC34*annualizationFactor</f>
        <v>0.16552120799381634</v>
      </c>
      <c r="AB182" s="777">
        <f>$G$21*$M$8*'Traffic Data'!BD34*annualizationFactor</f>
        <v>0.16827479161857953</v>
      </c>
      <c r="AC182" s="777">
        <f>$G$21*$M$8*'Traffic Data'!BE34*annualizationFactor</f>
        <v>0.17102677703277464</v>
      </c>
      <c r="AD182" s="777">
        <f>$G$21*$M$8*'Traffic Data'!BF34*annualizationFactor</f>
        <v>0.17377876244696969</v>
      </c>
      <c r="AE182" s="777">
        <f>$G$21*$M$8*'Traffic Data'!BG34*annualizationFactor</f>
        <v>0.17653234607173299</v>
      </c>
      <c r="AF182" s="777">
        <f>$G$21*$M$8*'Traffic Data'!BH34*annualizationFactor</f>
        <v>0.17928433148592804</v>
      </c>
      <c r="AG182" s="777">
        <f>$G$21*$M$8*'Traffic Data'!BI34*annualizationFactor</f>
        <v>0.18203631690012312</v>
      </c>
      <c r="AH182" s="778">
        <f>$G$21*$M$8*'Traffic Data'!BJ34*annualizationFactor</f>
        <v>0.18478990052488636</v>
      </c>
      <c r="AI182" s="40"/>
      <c r="AJ182" s="40"/>
      <c r="AK182" s="40"/>
      <c r="AL182" s="40"/>
      <c r="AM182" s="40"/>
    </row>
    <row r="183" spans="2:39" ht="21.95" customHeight="1" x14ac:dyDescent="0.2">
      <c r="B183" s="493"/>
      <c r="C183" s="254" t="s">
        <v>280</v>
      </c>
      <c r="D183" s="254" t="s">
        <v>333</v>
      </c>
      <c r="E183" s="254" t="s">
        <v>19</v>
      </c>
      <c r="F183" s="254" t="s">
        <v>41</v>
      </c>
      <c r="G183" s="779"/>
      <c r="H183" s="779"/>
      <c r="I183" s="779">
        <f>$G$21*$M$8*'Traffic Data'!AK35*annualizationFactor</f>
        <v>1.9743181818181821E-3</v>
      </c>
      <c r="J183" s="779">
        <f>$G$21*$M$8*'Traffic Data'!AL35*annualizationFactor</f>
        <v>2.0423104094696972E-3</v>
      </c>
      <c r="K183" s="779">
        <f>$G$21*$M$8*'Traffic Data'!AM35*annualizationFactor</f>
        <v>2.1181670045454541E-3</v>
      </c>
      <c r="L183" s="779">
        <f>$G$21*$M$8*'Traffic Data'!AN35*annualizationFactor</f>
        <v>2.2506799503787885E-3</v>
      </c>
      <c r="M183" s="779">
        <f>$G$21*$M$8*'Traffic Data'!AO35*annualizationFactor</f>
        <v>2.3832718689393941E-3</v>
      </c>
      <c r="N183" s="779">
        <f>$G$21*$M$8*'Traffic Data'!AP35*annualizationFactor</f>
        <v>2.5158177200757582E-3</v>
      </c>
      <c r="O183" s="779">
        <f>$G$21*$M$8*'Traffic Data'!AQ35*annualizationFactor</f>
        <v>2.6483306659090917E-3</v>
      </c>
      <c r="P183" s="779">
        <f>$G$21*$M$8*'Traffic Data'!AR35*annualizationFactor</f>
        <v>2.7809785234848491E-3</v>
      </c>
      <c r="Q183" s="779">
        <f>$G$21*$M$8*'Traffic Data'!AS35*annualizationFactor</f>
        <v>2.9518162757575768E-3</v>
      </c>
      <c r="R183" s="779">
        <f>$G$21*$M$8*'Traffic Data'!AT35*annualizationFactor</f>
        <v>3.1227494534090926E-3</v>
      </c>
      <c r="S183" s="779">
        <f>$G$21*$M$8*'Traffic Data'!AU35*annualizationFactor</f>
        <v>3.2935543003787871E-3</v>
      </c>
      <c r="T183" s="779">
        <f>$G$21*$M$8*'Traffic Data'!AV35*annualizationFactor</f>
        <v>3.4643920526515153E-3</v>
      </c>
      <c r="U183" s="779">
        <f>$G$21*$M$8*'Traffic Data'!AW35*annualizationFactor</f>
        <v>3.6353745882575761E-3</v>
      </c>
      <c r="V183" s="779">
        <f>$G$21*$M$8*'Traffic Data'!AX35*annualizationFactor</f>
        <v>3.7494671454545462E-3</v>
      </c>
      <c r="W183" s="779">
        <f>$G$21*$M$8*'Traffic Data'!AY35*annualizationFactor</f>
        <v>3.8174593731060617E-3</v>
      </c>
      <c r="X183" s="779">
        <f>$G$21*$M$8*'Traffic Data'!AZ35*annualizationFactor</f>
        <v>3.8854516007575768E-3</v>
      </c>
      <c r="Y183" s="779">
        <f>$G$21*$M$8*'Traffic Data'!BA35*annualizationFactor</f>
        <v>3.9534438284090931E-3</v>
      </c>
      <c r="Z183" s="779">
        <f>$G$21*$M$8*'Traffic Data'!BB35*annualizationFactor</f>
        <v>4.0214755424242445E-3</v>
      </c>
      <c r="AA183" s="779">
        <f>$G$21*$M$8*'Traffic Data'!BC35*annualizationFactor</f>
        <v>4.0894677700757578E-3</v>
      </c>
      <c r="AB183" s="779">
        <f>$G$21*$M$8*'Traffic Data'!BD35*annualizationFactor</f>
        <v>4.1574994840909091E-3</v>
      </c>
      <c r="AC183" s="779">
        <f>$G$21*$M$8*'Traffic Data'!BE35*annualizationFactor</f>
        <v>4.225491711742425E-3</v>
      </c>
      <c r="AD183" s="779">
        <f>$G$21*$M$8*'Traffic Data'!BF35*annualizationFactor</f>
        <v>4.2934839393939401E-3</v>
      </c>
      <c r="AE183" s="779">
        <f>$G$21*$M$8*'Traffic Data'!BG35*annualizationFactor</f>
        <v>4.3615156534090914E-3</v>
      </c>
      <c r="AF183" s="779">
        <f>$G$21*$M$8*'Traffic Data'!BH35*annualizationFactor</f>
        <v>4.4295078810606065E-3</v>
      </c>
      <c r="AG183" s="779">
        <f>$G$21*$M$8*'Traffic Data'!BI35*annualizationFactor</f>
        <v>4.4975001087121224E-3</v>
      </c>
      <c r="AH183" s="783">
        <f>$G$21*$M$8*'Traffic Data'!BJ35*annualizationFactor</f>
        <v>4.5655318227272737E-3</v>
      </c>
      <c r="AI183" s="40"/>
      <c r="AJ183" s="40"/>
      <c r="AK183" s="40"/>
      <c r="AL183" s="40"/>
      <c r="AM183" s="40"/>
    </row>
    <row r="184" spans="2:39" ht="21.95" customHeight="1" x14ac:dyDescent="0.2">
      <c r="B184" s="1108" t="s">
        <v>494</v>
      </c>
      <c r="C184" s="809"/>
      <c r="D184" s="809"/>
      <c r="E184" s="240"/>
      <c r="F184" s="240"/>
      <c r="G184" s="969">
        <f>SUM(G155:G183)</f>
        <v>0</v>
      </c>
      <c r="H184" s="969">
        <f>SUM(H155:H183)</f>
        <v>0</v>
      </c>
      <c r="I184" s="785">
        <f t="shared" ref="I184:AH184" si="4">SUM(I155:I183)</f>
        <v>3.1008251896469705</v>
      </c>
      <c r="J184" s="785">
        <f t="shared" si="4"/>
        <v>3.2040577120596732</v>
      </c>
      <c r="K184" s="785">
        <f t="shared" si="4"/>
        <v>3.3760744032325016</v>
      </c>
      <c r="L184" s="785">
        <f t="shared" si="4"/>
        <v>3.6423517807131551</v>
      </c>
      <c r="M184" s="785">
        <f t="shared" si="4"/>
        <v>3.9087615269749292</v>
      </c>
      <c r="N184" s="785">
        <f t="shared" si="4"/>
        <v>4.1751713264577397</v>
      </c>
      <c r="O184" s="785">
        <f t="shared" si="4"/>
        <v>4.441448703938395</v>
      </c>
      <c r="P184" s="785">
        <f t="shared" si="4"/>
        <v>4.7079663510685013</v>
      </c>
      <c r="Q184" s="785">
        <f t="shared" si="4"/>
        <v>4.9677480493236379</v>
      </c>
      <c r="R184" s="785">
        <f t="shared" si="4"/>
        <v>5.227572557697199</v>
      </c>
      <c r="S184" s="785">
        <f t="shared" si="4"/>
        <v>5.4873470396943409</v>
      </c>
      <c r="T184" s="785">
        <f t="shared" si="4"/>
        <v>5.7471322648714782</v>
      </c>
      <c r="U184" s="785">
        <f t="shared" si="4"/>
        <v>6.0071296840412751</v>
      </c>
      <c r="V184" s="785">
        <f t="shared" si="4"/>
        <v>6.1725195252862601</v>
      </c>
      <c r="W184" s="785">
        <f t="shared" si="4"/>
        <v>6.2760153506689642</v>
      </c>
      <c r="X184" s="785">
        <f t="shared" si="4"/>
        <v>6.379538053629668</v>
      </c>
      <c r="Y184" s="785">
        <f t="shared" si="4"/>
        <v>6.4830502974423707</v>
      </c>
      <c r="Z184" s="785">
        <f t="shared" si="4"/>
        <v>6.5866100079773275</v>
      </c>
      <c r="AA184" s="785">
        <f t="shared" si="4"/>
        <v>6.6901222517900303</v>
      </c>
      <c r="AB184" s="785">
        <f t="shared" si="4"/>
        <v>6.793681962324988</v>
      </c>
      <c r="AC184" s="785">
        <f t="shared" si="4"/>
        <v>6.8971942061376925</v>
      </c>
      <c r="AD184" s="785">
        <f t="shared" si="4"/>
        <v>7.0007064499503935</v>
      </c>
      <c r="AE184" s="785">
        <f t="shared" si="4"/>
        <v>7.1042637281253507</v>
      </c>
      <c r="AF184" s="785">
        <f t="shared" si="4"/>
        <v>7.2077864310860553</v>
      </c>
      <c r="AG184" s="785">
        <f t="shared" si="4"/>
        <v>7.3112846888287555</v>
      </c>
      <c r="AH184" s="786">
        <f t="shared" si="4"/>
        <v>7.414844399363715</v>
      </c>
      <c r="AI184" s="40"/>
      <c r="AJ184" s="40"/>
      <c r="AK184" s="40"/>
      <c r="AL184" s="40"/>
      <c r="AM184" s="40"/>
    </row>
    <row r="185" spans="2:39" ht="21.95" customHeight="1" x14ac:dyDescent="0.2">
      <c r="B185" s="787" t="s">
        <v>328</v>
      </c>
      <c r="C185" s="1344" t="s">
        <v>18</v>
      </c>
      <c r="D185" s="1344"/>
      <c r="E185" s="46" t="s">
        <v>24</v>
      </c>
      <c r="F185" s="46" t="s">
        <v>42</v>
      </c>
      <c r="G185" s="123" cm="1">
        <f t="array" ref="G185:AH185">year</f>
        <v>2021</v>
      </c>
      <c r="H185" s="123">
        <v>2022</v>
      </c>
      <c r="I185" s="46">
        <v>2023</v>
      </c>
      <c r="J185" s="46">
        <v>2024</v>
      </c>
      <c r="K185" s="46">
        <v>2025</v>
      </c>
      <c r="L185" s="46">
        <v>2026</v>
      </c>
      <c r="M185" s="46">
        <v>2027</v>
      </c>
      <c r="N185" s="46">
        <v>2028</v>
      </c>
      <c r="O185" s="46">
        <v>2029</v>
      </c>
      <c r="P185" s="46">
        <v>2030</v>
      </c>
      <c r="Q185" s="46">
        <v>2031</v>
      </c>
      <c r="R185" s="46">
        <v>2032</v>
      </c>
      <c r="S185" s="46">
        <v>2033</v>
      </c>
      <c r="T185" s="46">
        <v>2034</v>
      </c>
      <c r="U185" s="46">
        <v>2035</v>
      </c>
      <c r="V185" s="46">
        <v>2036</v>
      </c>
      <c r="W185" s="46">
        <v>2037</v>
      </c>
      <c r="X185" s="46">
        <v>2038</v>
      </c>
      <c r="Y185" s="46">
        <v>2039</v>
      </c>
      <c r="Z185" s="46">
        <v>2040</v>
      </c>
      <c r="AA185" s="46">
        <v>2041</v>
      </c>
      <c r="AB185" s="46">
        <v>2042</v>
      </c>
      <c r="AC185" s="46">
        <v>2043</v>
      </c>
      <c r="AD185" s="46">
        <v>2044</v>
      </c>
      <c r="AE185" s="46">
        <v>2045</v>
      </c>
      <c r="AF185" s="46">
        <v>2046</v>
      </c>
      <c r="AG185" s="46">
        <v>2047</v>
      </c>
      <c r="AH185" s="495">
        <v>2048</v>
      </c>
      <c r="AI185" s="40"/>
      <c r="AJ185" s="40"/>
      <c r="AK185" s="40"/>
      <c r="AL185" s="40"/>
      <c r="AM185" s="40"/>
    </row>
    <row r="186" spans="2:39" ht="21.95" customHeight="1" x14ac:dyDescent="0.2">
      <c r="B186" s="1346" t="s">
        <v>331</v>
      </c>
      <c r="C186" s="220" t="s">
        <v>332</v>
      </c>
      <c r="D186" s="220" t="s">
        <v>282</v>
      </c>
      <c r="E186" s="220" t="s">
        <v>467</v>
      </c>
      <c r="F186" s="220" t="s">
        <v>41</v>
      </c>
      <c r="G186" s="775"/>
      <c r="H186" s="775"/>
      <c r="I186" s="775">
        <f>$G$22*$E$9*'Traffic Data'!AK7*annualizationFactor</f>
        <v>4.3274400000000001E-3</v>
      </c>
      <c r="J186" s="775">
        <f>$G$22*$E$9*'Traffic Data'!AL7*annualizationFactor</f>
        <v>4.5265292864999996E-3</v>
      </c>
      <c r="K186" s="775">
        <f>$G$22*$E$9*'Traffic Data'!AM7*annualizationFactor</f>
        <v>4.806095433750001E-3</v>
      </c>
      <c r="L186" s="775">
        <f>$G$22*$E$9*'Traffic Data'!AN7*annualizationFactor</f>
        <v>5.2162150365000007E-3</v>
      </c>
      <c r="M186" s="775">
        <f>$G$22*$E$9*'Traffic Data'!AO7*annualizationFactor</f>
        <v>5.6264833950000004E-3</v>
      </c>
      <c r="N186" s="775">
        <f>$G$22*$E$9*'Traffic Data'!AP7*annualizationFactor</f>
        <v>6.0367652767499991E-3</v>
      </c>
      <c r="O186" s="775">
        <f>$G$22*$E$9*'Traffic Data'!AQ7*annualizationFactor</f>
        <v>6.446884879499998E-3</v>
      </c>
      <c r="P186" s="775">
        <f>$G$22*$E$9*'Traffic Data'!AR7*annualizationFactor</f>
        <v>6.8573155169999985E-3</v>
      </c>
      <c r="Q186" s="775">
        <f>$G$22*$E$9*'Traffic Data'!AS7*annualizationFactor</f>
        <v>7.2629048310000003E-3</v>
      </c>
      <c r="R186" s="775">
        <f>$G$22*$E$9*'Traffic Data'!AT7*annualizationFactor</f>
        <v>7.6685752844999995E-3</v>
      </c>
      <c r="S186" s="775">
        <f>$G$22*$E$9*'Traffic Data'!AU7*annualizationFactor</f>
        <v>8.0741645985000013E-3</v>
      </c>
      <c r="T186" s="775">
        <f>$G$22*$E$9*'Traffic Data'!AV7*annualizationFactor</f>
        <v>8.4797539125000005E-3</v>
      </c>
      <c r="U186" s="775">
        <f>$G$22*$E$9*'Traffic Data'!AW7*annualizationFactor</f>
        <v>8.8856677845000013E-3</v>
      </c>
      <c r="V186" s="775">
        <f>$G$22*$E$9*'Traffic Data'!AX7*annualizationFactor</f>
        <v>9.1605413639999998E-3</v>
      </c>
      <c r="W186" s="775">
        <f>$G$22*$E$9*'Traffic Data'!AY7*annualizationFactor</f>
        <v>9.3596306505000001E-3</v>
      </c>
      <c r="X186" s="775">
        <f>$G$22*$E$9*'Traffic Data'!AZ7*annualizationFactor</f>
        <v>9.5587199369999987E-3</v>
      </c>
      <c r="Y186" s="775">
        <f>$G$22*$E$9*'Traffic Data'!BA7*annualizationFactor</f>
        <v>9.7578092235000007E-3</v>
      </c>
      <c r="Z186" s="775">
        <f>$G$22*$E$9*'Traffic Data'!BB7*annualizationFactor</f>
        <v>9.9569796495000001E-3</v>
      </c>
      <c r="AA186" s="775">
        <f>$G$22*$E$9*'Traffic Data'!BC7*annualizationFactor</f>
        <v>1.0156068936E-2</v>
      </c>
      <c r="AB186" s="775">
        <f>$G$22*$E$9*'Traffic Data'!BD7*annualizationFactor</f>
        <v>1.0355239362E-2</v>
      </c>
      <c r="AC186" s="775">
        <f>$G$22*$E$9*'Traffic Data'!BE7*annualizationFactor</f>
        <v>1.05543286485E-2</v>
      </c>
      <c r="AD186" s="775">
        <f>$G$22*$E$9*'Traffic Data'!BF7*annualizationFactor</f>
        <v>1.0753417935000001E-2</v>
      </c>
      <c r="AE186" s="775">
        <f>$G$22*$E$9*'Traffic Data'!BG7*annualizationFactor</f>
        <v>1.0952588361E-2</v>
      </c>
      <c r="AF186" s="775">
        <f>$G$22*$E$9*'Traffic Data'!BH7*annualizationFactor</f>
        <v>1.11516776475E-2</v>
      </c>
      <c r="AG186" s="775">
        <f>$G$22*$E$9*'Traffic Data'!BI7*annualizationFactor</f>
        <v>1.1350766934000002E-2</v>
      </c>
      <c r="AH186" s="776">
        <f>$G$22*$E$9*'Traffic Data'!BJ7*annualizationFactor</f>
        <v>1.154993736E-2</v>
      </c>
      <c r="AI186" s="40"/>
      <c r="AJ186" s="40"/>
      <c r="AK186" s="40"/>
      <c r="AL186" s="40"/>
      <c r="AM186" s="40"/>
    </row>
    <row r="187" spans="2:39" ht="21.95" customHeight="1" x14ac:dyDescent="0.2">
      <c r="B187" s="1346"/>
      <c r="C187" s="116" t="s">
        <v>282</v>
      </c>
      <c r="D187" s="116" t="s">
        <v>280</v>
      </c>
      <c r="E187" s="116" t="s">
        <v>467</v>
      </c>
      <c r="F187" s="116" t="s">
        <v>41</v>
      </c>
      <c r="G187" s="970"/>
      <c r="H187" s="970"/>
      <c r="I187" s="777">
        <f>$G$22*$E$9*'Traffic Data'!AK8*annualizationFactor</f>
        <v>0.13915036022727273</v>
      </c>
      <c r="J187" s="777">
        <f>$G$22*$E$9*'Traffic Data'!AL8*annualizationFactor</f>
        <v>0.14685877481215909</v>
      </c>
      <c r="K187" s="777">
        <f>$G$22*$E$9*'Traffic Data'!AM8*annualizationFactor</f>
        <v>0.15579789702749999</v>
      </c>
      <c r="L187" s="777">
        <f>$G$22*$E$9*'Traffic Data'!AN8*annualizationFactor</f>
        <v>0.17247790224511364</v>
      </c>
      <c r="M187" s="777">
        <f>$G$22*$E$9*'Traffic Data'!AO8*annualizationFactor</f>
        <v>0.18916409192318187</v>
      </c>
      <c r="N187" s="777">
        <f>$G$22*$E$9*'Traffic Data'!AP8*annualizationFactor</f>
        <v>0.20585337383147731</v>
      </c>
      <c r="O187" s="777">
        <f>$G$22*$E$9*'Traffic Data'!AQ8*annualizationFactor</f>
        <v>0.22253337904909096</v>
      </c>
      <c r="P187" s="777">
        <f>$G$22*$E$9*'Traffic Data'!AR8*annualizationFactor</f>
        <v>0.23922936078954551</v>
      </c>
      <c r="Q187" s="777">
        <f>$G$22*$E$9*'Traffic Data'!AS8*annualizationFactor</f>
        <v>0.25902066498750004</v>
      </c>
      <c r="R187" s="777">
        <f>$G$22*$E$9*'Traffic Data'!AT8*annualizationFactor</f>
        <v>0.27881763827420458</v>
      </c>
      <c r="S187" s="777">
        <f>$G$22*$E$9*'Traffic Data'!AU8*annualizationFactor</f>
        <v>0.29860894247215913</v>
      </c>
      <c r="T187" s="777">
        <f>$G$22*$E$9*'Traffic Data'!AV8*annualizationFactor</f>
        <v>0.31840024667011363</v>
      </c>
      <c r="U187" s="777">
        <f>$G$22*$E$9*'Traffic Data'!AW8*annualizationFactor</f>
        <v>0.33821113499284089</v>
      </c>
      <c r="V187" s="777">
        <f>$G$22*$E$9*'Traffic Data'!AX8*annualizationFactor</f>
        <v>0.3502517641261364</v>
      </c>
      <c r="W187" s="777">
        <f>$G$22*$E$9*'Traffic Data'!AY8*annualizationFactor</f>
        <v>0.3579601787110227</v>
      </c>
      <c r="X187" s="777">
        <f>$G$22*$E$9*'Traffic Data'!AZ8*annualizationFactor</f>
        <v>0.36566859329590912</v>
      </c>
      <c r="Y187" s="777">
        <f>$G$22*$E$9*'Traffic Data'!BA8*annualizationFactor</f>
        <v>0.37337700788079542</v>
      </c>
      <c r="Z187" s="777">
        <f>$G$22*$E$9*'Traffic Data'!BB8*annualizationFactor</f>
        <v>0.38109057618272735</v>
      </c>
      <c r="AA187" s="777">
        <f>$G$22*$E$9*'Traffic Data'!BC8*annualizationFactor</f>
        <v>0.38879899076761359</v>
      </c>
      <c r="AB187" s="777">
        <f>$G$22*$E$9*'Traffic Data'!BD8*annualizationFactor</f>
        <v>0.39651255906954536</v>
      </c>
      <c r="AC187" s="777">
        <f>$G$22*$E$9*'Traffic Data'!BE8*annualizationFactor</f>
        <v>0.40422097365443188</v>
      </c>
      <c r="AD187" s="777">
        <f>$G$22*$E$9*'Traffic Data'!BF8*annualizationFactor</f>
        <v>0.41192938823931813</v>
      </c>
      <c r="AE187" s="777">
        <f>$G$22*$E$9*'Traffic Data'!BG8*annualizationFactor</f>
        <v>0.41964295654125006</v>
      </c>
      <c r="AF187" s="777">
        <f>$G$22*$E$9*'Traffic Data'!BH8*annualizationFactor</f>
        <v>0.42735137112613641</v>
      </c>
      <c r="AG187" s="777">
        <f>$G$22*$E$9*'Traffic Data'!BI8*annualizationFactor</f>
        <v>0.43505978571102277</v>
      </c>
      <c r="AH187" s="778">
        <f>$G$22*$E$9*'Traffic Data'!BJ8*annualizationFactor</f>
        <v>0.44277335401295459</v>
      </c>
      <c r="AI187" s="40"/>
      <c r="AJ187" s="40"/>
      <c r="AK187" s="40"/>
      <c r="AL187" s="40"/>
      <c r="AM187" s="40"/>
    </row>
    <row r="188" spans="2:39" ht="21.95" customHeight="1" x14ac:dyDescent="0.2">
      <c r="B188" s="1346"/>
      <c r="C188" s="116" t="s">
        <v>280</v>
      </c>
      <c r="D188" s="116" t="s">
        <v>333</v>
      </c>
      <c r="E188" s="254" t="s">
        <v>467</v>
      </c>
      <c r="F188" s="254" t="s">
        <v>41</v>
      </c>
      <c r="G188" s="779"/>
      <c r="H188" s="779"/>
      <c r="I188" s="777">
        <f>$G$22*$E$9*'Traffic Data'!AK9*annualizationFactor</f>
        <v>3.2455800000000001E-3</v>
      </c>
      <c r="J188" s="777">
        <f>$G$22*$E$9*'Traffic Data'!AL9*annualizationFactor</f>
        <v>3.3811100114999998E-3</v>
      </c>
      <c r="K188" s="777">
        <f>$G$22*$E$9*'Traffic Data'!AM9*annualizationFactor</f>
        <v>3.5488524044999994E-3</v>
      </c>
      <c r="L188" s="777">
        <f>$G$22*$E$9*'Traffic Data'!AN9*annualizationFactor</f>
        <v>3.7746906794999999E-3</v>
      </c>
      <c r="M188" s="777">
        <f>$G$22*$E$9*'Traffic Data'!AO9*annualizationFactor</f>
        <v>4.0006100940000013E-3</v>
      </c>
      <c r="N188" s="777">
        <f>$G$22*$E$9*'Traffic Data'!AP9*annualizationFactor</f>
        <v>4.2265024620000008E-3</v>
      </c>
      <c r="O188" s="777">
        <f>$G$22*$E$9*'Traffic Data'!AQ9*annualizationFactor</f>
        <v>4.4523407370000009E-3</v>
      </c>
      <c r="P188" s="777">
        <f>$G$22*$E$9*'Traffic Data'!AR9*annualizationFactor</f>
        <v>4.6783412910000018E-3</v>
      </c>
      <c r="Q188" s="777">
        <f>$G$22*$E$9*'Traffic Data'!AS9*annualizationFactor</f>
        <v>4.8973097549999999E-3</v>
      </c>
      <c r="R188" s="777">
        <f>$G$22*$E$9*'Traffic Data'!AT9*annualizationFactor</f>
        <v>5.1163593584999988E-3</v>
      </c>
      <c r="S188" s="777">
        <f>$G$22*$E$9*'Traffic Data'!AU9*annualizationFactor</f>
        <v>5.3353278224999995E-3</v>
      </c>
      <c r="T188" s="777">
        <f>$G$22*$E$9*'Traffic Data'!AV9*annualizationFactor</f>
        <v>5.5542962865000002E-3</v>
      </c>
      <c r="U188" s="777">
        <f>$G$22*$E$9*'Traffic Data'!AW9*annualizationFactor</f>
        <v>5.7734270295000008E-3</v>
      </c>
      <c r="V188" s="777">
        <f>$G$22*$E$9*'Traffic Data'!AX9*annualizationFactor</f>
        <v>5.9342184719999996E-3</v>
      </c>
      <c r="W188" s="777">
        <f>$G$22*$E$9*'Traffic Data'!AY9*annualizationFactor</f>
        <v>6.0697484835000003E-3</v>
      </c>
      <c r="X188" s="777">
        <f>$G$22*$E$9*'Traffic Data'!AZ9*annualizationFactor</f>
        <v>6.2052784949999992E-3</v>
      </c>
      <c r="Y188" s="777">
        <f>$G$22*$E$9*'Traffic Data'!BA9*annualizationFactor</f>
        <v>6.3408085065000007E-3</v>
      </c>
      <c r="Z188" s="777">
        <f>$G$22*$E$9*'Traffic Data'!BB9*annualizationFactor</f>
        <v>6.4763926110000007E-3</v>
      </c>
      <c r="AA188" s="777">
        <f>$G$22*$E$9*'Traffic Data'!BC9*annualizationFactor</f>
        <v>6.6119226224999996E-3</v>
      </c>
      <c r="AB188" s="777">
        <f>$G$22*$E$9*'Traffic Data'!BD9*annualizationFactor</f>
        <v>6.7475067270000005E-3</v>
      </c>
      <c r="AC188" s="777">
        <f>$G$22*$E$9*'Traffic Data'!BE9*annualizationFactor</f>
        <v>6.883036738500002E-3</v>
      </c>
      <c r="AD188" s="777">
        <f>$G$22*$E$9*'Traffic Data'!BF9*annualizationFactor</f>
        <v>7.0185667499999991E-3</v>
      </c>
      <c r="AE188" s="777">
        <f>$G$22*$E$9*'Traffic Data'!BG9*annualizationFactor</f>
        <v>7.1541508545000009E-3</v>
      </c>
      <c r="AF188" s="777">
        <f>$G$22*$E$9*'Traffic Data'!BH9*annualizationFactor</f>
        <v>7.2896808659999998E-3</v>
      </c>
      <c r="AG188" s="777">
        <f>$G$22*$E$9*'Traffic Data'!BI9*annualizationFactor</f>
        <v>7.4252108774999987E-3</v>
      </c>
      <c r="AH188" s="778">
        <f>$G$22*$E$9*'Traffic Data'!BJ9*annualizationFactor</f>
        <v>7.5607949820000004E-3</v>
      </c>
      <c r="AI188" s="40"/>
      <c r="AJ188" s="40"/>
      <c r="AK188" s="40"/>
      <c r="AL188" s="40"/>
      <c r="AM188" s="40"/>
    </row>
    <row r="189" spans="2:39" ht="21.95" customHeight="1" x14ac:dyDescent="0.2">
      <c r="B189" s="1346" t="s">
        <v>280</v>
      </c>
      <c r="C189" s="220" t="s">
        <v>281</v>
      </c>
      <c r="D189" s="220" t="s">
        <v>335</v>
      </c>
      <c r="E189" s="116" t="s">
        <v>467</v>
      </c>
      <c r="F189" s="116" t="s">
        <v>41</v>
      </c>
      <c r="G189" s="970"/>
      <c r="H189" s="970"/>
      <c r="I189" s="775">
        <f>$G$22*$F$9*'Traffic Data'!AK10*annualizationFactor</f>
        <v>3.0251200000000002E-2</v>
      </c>
      <c r="J189" s="775">
        <f>$G$22*$F$9*'Traffic Data'!AL10*annualizationFactor</f>
        <v>3.3551984060000005E-2</v>
      </c>
      <c r="K189" s="775">
        <f>$G$22*$F$9*'Traffic Data'!AM10*annualizationFactor</f>
        <v>3.7037905463999994E-2</v>
      </c>
      <c r="L189" s="775">
        <f>$G$22*$F$9*'Traffic Data'!AN10*annualizationFactor</f>
        <v>4.7827979108000004E-2</v>
      </c>
      <c r="M189" s="775">
        <f>$G$22*$F$9*'Traffic Data'!AO10*annualizationFactor</f>
        <v>5.8623497967999996E-2</v>
      </c>
      <c r="N189" s="775">
        <f>$G$22*$F$9*'Traffic Data'!AP10*annualizationFactor</f>
        <v>6.9421890691999999E-2</v>
      </c>
      <c r="O189" s="775">
        <f>$G$22*$F$9*'Traffic Data'!AQ10*annualizationFactor</f>
        <v>8.0211964336000002E-2</v>
      </c>
      <c r="P189" s="775">
        <f>$G$22*$F$9*'Traffic Data'!AR10*annualizationFactor</f>
        <v>9.1016936696E-2</v>
      </c>
      <c r="Q189" s="775">
        <f>$G$22*$F$9*'Traffic Data'!AS10*annualizationFactor</f>
        <v>0.105516336856</v>
      </c>
      <c r="R189" s="775">
        <f>$G$22*$F$9*'Traffic Data'!AT10*annualizationFactor</f>
        <v>0.12002216539599998</v>
      </c>
      <c r="S189" s="775">
        <f>$G$22*$F$9*'Traffic Data'!AU10*annualizationFactor</f>
        <v>0.13452156555600001</v>
      </c>
      <c r="T189" s="775">
        <f>$G$22*$F$9*'Traffic Data'!AV10*annualizationFactor</f>
        <v>0.14902096571599999</v>
      </c>
      <c r="U189" s="775">
        <f>$G$22*$F$9*'Traffic Data'!AW10*annualizationFactor</f>
        <v>0.16353927287600004</v>
      </c>
      <c r="V189" s="775">
        <f>$G$22*$F$9*'Traffic Data'!AX10*annualizationFactor</f>
        <v>0.17072506729600001</v>
      </c>
      <c r="W189" s="775">
        <f>$G$22*$F$9*'Traffic Data'!AY10*annualizationFactor</f>
        <v>0.17402585135600002</v>
      </c>
      <c r="X189" s="775">
        <f>$G$22*$F$9*'Traffic Data'!AZ10*annualizationFactor</f>
        <v>0.17732663541599999</v>
      </c>
      <c r="Y189" s="775">
        <f>$G$22*$F$9*'Traffic Data'!BA10*annualizationFactor</f>
        <v>0.18062741947600003</v>
      </c>
      <c r="Z189" s="775">
        <f>$G$22*$F$9*'Traffic Data'!BB10*annualizationFactor</f>
        <v>0.18393349749600002</v>
      </c>
      <c r="AA189" s="775">
        <f>$G$22*$F$9*'Traffic Data'!BC10*annualizationFactor</f>
        <v>0.18723428155599997</v>
      </c>
      <c r="AB189" s="775">
        <f>$G$22*$F$9*'Traffic Data'!BD10*annualizationFactor</f>
        <v>0.19054035957600002</v>
      </c>
      <c r="AC189" s="775">
        <f>$G$22*$F$9*'Traffic Data'!BE10*annualizationFactor</f>
        <v>0.19384114363600002</v>
      </c>
      <c r="AD189" s="775">
        <f>$G$22*$F$9*'Traffic Data'!BF10*annualizationFactor</f>
        <v>0.19714192769600003</v>
      </c>
      <c r="AE189" s="775">
        <f>$G$22*$F$9*'Traffic Data'!BG10*annualizationFactor</f>
        <v>0.20044800571600002</v>
      </c>
      <c r="AF189" s="775">
        <f>$G$22*$F$9*'Traffic Data'!BH10*annualizationFactor</f>
        <v>0.203748789776</v>
      </c>
      <c r="AG189" s="775">
        <f>$G$22*$F$9*'Traffic Data'!BI10*annualizationFactor</f>
        <v>0.20704957383600001</v>
      </c>
      <c r="AH189" s="776">
        <f>$G$22*$F$9*'Traffic Data'!BJ10*annualizationFactor</f>
        <v>0.210355651856</v>
      </c>
      <c r="AI189" s="40"/>
      <c r="AJ189" s="40"/>
      <c r="AK189" s="40"/>
      <c r="AL189" s="40"/>
      <c r="AM189" s="40"/>
    </row>
    <row r="190" spans="2:39" ht="21.95" customHeight="1" x14ac:dyDescent="0.2">
      <c r="B190" s="1346"/>
      <c r="C190" s="116" t="s">
        <v>335</v>
      </c>
      <c r="D190" s="116" t="s">
        <v>323</v>
      </c>
      <c r="E190" s="116" t="s">
        <v>467</v>
      </c>
      <c r="F190" s="116" t="s">
        <v>41</v>
      </c>
      <c r="G190" s="970"/>
      <c r="H190" s="970"/>
      <c r="I190" s="777">
        <f>$G$22*$F$9*'Traffic Data'!AK11*annualizationFactor</f>
        <v>3.5040000000000006E-3</v>
      </c>
      <c r="J190" s="777">
        <f>$G$22*$F$9*'Traffic Data'!AL11*annualizationFactor</f>
        <v>3.9696232000000003E-3</v>
      </c>
      <c r="K190" s="777">
        <f>$G$22*$F$9*'Traffic Data'!AM11*annualizationFactor</f>
        <v>4.4355384000000012E-3</v>
      </c>
      <c r="L190" s="777">
        <f>$G$22*$F$9*'Traffic Data'!AN11*annualizationFactor</f>
        <v>6.0119296000000003E-3</v>
      </c>
      <c r="M190" s="777">
        <f>$G$22*$F$9*'Traffic Data'!AO11*annualizationFactor</f>
        <v>7.5886420000000005E-3</v>
      </c>
      <c r="N190" s="777">
        <f>$G$22*$F$9*'Traffic Data'!AP11*annualizationFactor</f>
        <v>9.1667852000000011E-3</v>
      </c>
      <c r="O190" s="777">
        <f>$G$22*$F$9*'Traffic Data'!AQ11*annualizationFactor</f>
        <v>1.07431764E-2</v>
      </c>
      <c r="P190" s="777">
        <f>$G$22*$F$9*'Traffic Data'!AR11*annualizationFactor</f>
        <v>1.2321056800000001E-2</v>
      </c>
      <c r="Q190" s="777">
        <f>$G$22*$F$9*'Traffic Data'!AS11*annualizationFactor</f>
        <v>1.474381E-2</v>
      </c>
      <c r="R190" s="777">
        <f>$G$22*$F$9*'Traffic Data'!AT11*annualizationFactor</f>
        <v>1.7166300400000004E-2</v>
      </c>
      <c r="S190" s="777">
        <f>$G$22*$F$9*'Traffic Data'!AU11*annualizationFactor</f>
        <v>1.9589024400000002E-2</v>
      </c>
      <c r="T190" s="777">
        <f>$G$22*$F$9*'Traffic Data'!AV11*annualizationFactor</f>
        <v>2.2011777600000001E-2</v>
      </c>
      <c r="U190" s="777">
        <f>$G$22*$F$9*'Traffic Data'!AW11*annualizationFactor</f>
        <v>2.4436896000000007E-2</v>
      </c>
      <c r="V190" s="777">
        <f>$G$22*$F$9*'Traffic Data'!AX11*annualizationFactor</f>
        <v>2.5747976000000006E-2</v>
      </c>
      <c r="W190" s="777">
        <f>$G$22*$F$9*'Traffic Data'!AY11*annualizationFactor</f>
        <v>2.62135992E-2</v>
      </c>
      <c r="X190" s="777">
        <f>$G$22*$F$9*'Traffic Data'!AZ11*annualizationFactor</f>
        <v>2.6679222400000004E-2</v>
      </c>
      <c r="Y190" s="777">
        <f>$G$22*$F$9*'Traffic Data'!BA11*annualizationFactor</f>
        <v>2.7144845600000009E-2</v>
      </c>
      <c r="Z190" s="777">
        <f>$G$22*$F$9*'Traffic Data'!BB11*annualizationFactor</f>
        <v>2.7610760800000009E-2</v>
      </c>
      <c r="AA190" s="777">
        <f>$G$22*$F$9*'Traffic Data'!BC11*annualizationFactor</f>
        <v>2.8076384000000003E-2</v>
      </c>
      <c r="AB190" s="777">
        <f>$G$22*$F$9*'Traffic Data'!BD11*annualizationFactor</f>
        <v>2.8542299200000003E-2</v>
      </c>
      <c r="AC190" s="777">
        <f>$G$22*$F$9*'Traffic Data'!BE11*annualizationFactor</f>
        <v>2.90079224E-2</v>
      </c>
      <c r="AD190" s="777">
        <f>$G$22*$F$9*'Traffic Data'!BF11*annualizationFactor</f>
        <v>2.9473545600000005E-2</v>
      </c>
      <c r="AE190" s="777">
        <f>$G$22*$F$9*'Traffic Data'!BG11*annualizationFactor</f>
        <v>2.9939460800000005E-2</v>
      </c>
      <c r="AF190" s="777">
        <f>$G$22*$F$9*'Traffic Data'!BH11*annualizationFactor</f>
        <v>3.0405084000000002E-2</v>
      </c>
      <c r="AG190" s="777">
        <f>$G$22*$F$9*'Traffic Data'!BI11*annualizationFactor</f>
        <v>3.0870707200000003E-2</v>
      </c>
      <c r="AH190" s="778">
        <f>$G$22*$F$9*'Traffic Data'!BJ11*annualizationFactor</f>
        <v>3.13366224E-2</v>
      </c>
      <c r="AI190" s="40"/>
      <c r="AJ190" s="40"/>
      <c r="AK190" s="40"/>
      <c r="AL190" s="40"/>
      <c r="AM190" s="40"/>
    </row>
    <row r="191" spans="2:39" ht="21.95" customHeight="1" x14ac:dyDescent="0.2">
      <c r="B191" s="1346"/>
      <c r="C191" s="254" t="s">
        <v>323</v>
      </c>
      <c r="D191" s="254" t="s">
        <v>338</v>
      </c>
      <c r="E191" s="116" t="s">
        <v>467</v>
      </c>
      <c r="F191" s="116" t="s">
        <v>41</v>
      </c>
      <c r="G191" s="970"/>
      <c r="H191" s="970"/>
      <c r="I191" s="777">
        <f>$G$22*$F$9*'Traffic Data'!AK12*annualizationFactor</f>
        <v>4.6953600000000005E-2</v>
      </c>
      <c r="J191" s="777">
        <f>$G$22*$F$9*'Traffic Data'!AL12*annualizationFactor</f>
        <v>4.8695030768000011E-2</v>
      </c>
      <c r="K191" s="777">
        <f>$G$22*$F$9*'Traffic Data'!AM12*annualizationFactor</f>
        <v>5.0437557120000004E-2</v>
      </c>
      <c r="L191" s="777">
        <f>$G$22*$F$9*'Traffic Data'!AN12*annualizationFactor</f>
        <v>5.3821581328000002E-2</v>
      </c>
      <c r="M191" s="777">
        <f>$G$22*$F$9*'Traffic Data'!AO12*annualizationFactor</f>
        <v>5.7207561936000004E-2</v>
      </c>
      <c r="N191" s="777">
        <f>$G$22*$F$9*'Traffic Data'!AP12*annualizationFactor</f>
        <v>6.059268172800001E-2</v>
      </c>
      <c r="O191" s="777">
        <f>$G$22*$F$9*'Traffic Data'!AQ12*annualizationFactor</f>
        <v>6.3976705936000008E-2</v>
      </c>
      <c r="P191" s="777">
        <f>$G$22*$F$9*'Traffic Data'!AR12*annualizationFactor</f>
        <v>6.7364329920000021E-2</v>
      </c>
      <c r="Q191" s="777">
        <f>$G$22*$F$9*'Traffic Data'!AS12*annualizationFactor</f>
        <v>7.2065402608000012E-2</v>
      </c>
      <c r="R191" s="777">
        <f>$G$22*$F$9*'Traffic Data'!AT12*annualizationFactor</f>
        <v>7.6768979488000003E-2</v>
      </c>
      <c r="S191" s="777">
        <f>$G$22*$F$9*'Traffic Data'!AU12*annualizationFactor</f>
        <v>8.1469191359999998E-2</v>
      </c>
      <c r="T191" s="777">
        <f>$G$22*$F$9*'Traffic Data'!AV12*annualizationFactor</f>
        <v>8.6170264048000031E-2</v>
      </c>
      <c r="U191" s="777">
        <f>$G$22*$F$9*'Traffic Data'!AW12*annualizationFactor</f>
        <v>9.087548430400004E-2</v>
      </c>
      <c r="V191" s="777">
        <f>$G$22*$F$9*'Traffic Data'!AX12*annualizationFactor</f>
        <v>9.3932554944000018E-2</v>
      </c>
      <c r="W191" s="777">
        <f>$G$22*$F$9*'Traffic Data'!AY12*annualizationFactor</f>
        <v>9.5673985712000031E-2</v>
      </c>
      <c r="X191" s="777">
        <f>$G$22*$F$9*'Traffic Data'!AZ12*annualizationFactor</f>
        <v>9.7415416480000003E-2</v>
      </c>
      <c r="Y191" s="777">
        <f>$G$22*$F$9*'Traffic Data'!BA12*annualizationFactor</f>
        <v>9.9156847248000016E-2</v>
      </c>
      <c r="Z191" s="777">
        <f>$G$22*$F$9*'Traffic Data'!BB12*annualizationFactor</f>
        <v>0.10089937360000002</v>
      </c>
      <c r="AA191" s="777">
        <f>$G$22*$F$9*'Traffic Data'!BC12*annualizationFactor</f>
        <v>0.10264080436799999</v>
      </c>
      <c r="AB191" s="777">
        <f>$G$22*$F$9*'Traffic Data'!BD12*annualizationFactor</f>
        <v>0.10438333072000001</v>
      </c>
      <c r="AC191" s="777">
        <f>$G$22*$F$9*'Traffic Data'!BE12*annualizationFactor</f>
        <v>0.10612476148800004</v>
      </c>
      <c r="AD191" s="777">
        <f>$G$22*$F$9*'Traffic Data'!BF12*annualizationFactor</f>
        <v>0.10786619225600003</v>
      </c>
      <c r="AE191" s="777">
        <f>$G$22*$F$9*'Traffic Data'!BG12*annualizationFactor</f>
        <v>0.10960871860800003</v>
      </c>
      <c r="AF191" s="777">
        <f>$G$22*$F$9*'Traffic Data'!BH12*annualizationFactor</f>
        <v>0.111350149376</v>
      </c>
      <c r="AG191" s="777">
        <f>$G$22*$F$9*'Traffic Data'!BI12*annualizationFactor</f>
        <v>0.11309158014400002</v>
      </c>
      <c r="AH191" s="778">
        <f>$G$22*$F$9*'Traffic Data'!BJ12*annualizationFactor</f>
        <v>0.11483410649600002</v>
      </c>
      <c r="AI191" s="40"/>
      <c r="AJ191" s="40"/>
      <c r="AK191" s="40"/>
      <c r="AL191" s="40"/>
      <c r="AM191" s="40"/>
    </row>
    <row r="192" spans="2:39" ht="21.95" customHeight="1" x14ac:dyDescent="0.2">
      <c r="B192" s="492" t="s">
        <v>339</v>
      </c>
      <c r="C192" s="116" t="s">
        <v>335</v>
      </c>
      <c r="D192" s="116" t="s">
        <v>323</v>
      </c>
      <c r="E192" s="277" t="s">
        <v>467</v>
      </c>
      <c r="F192" s="277" t="s">
        <v>41</v>
      </c>
      <c r="G192" s="780"/>
      <c r="H192" s="780"/>
      <c r="I192" s="775">
        <f>$G$22*$G$9*'Traffic Data'!AK13*annualizationFactor</f>
        <v>1.3724000000000001E-4</v>
      </c>
      <c r="J192" s="775">
        <f>$G$22*$G$9*'Traffic Data'!AL13*annualizationFactor</f>
        <v>2.2219155999999999E-4</v>
      </c>
      <c r="K192" s="775">
        <f>$G$22*$G$9*'Traffic Data'!AM13*annualizationFactor</f>
        <v>6.3391155999999995E-4</v>
      </c>
      <c r="L192" s="775">
        <f>$G$22*$G$9*'Traffic Data'!AN13*annualizationFactor</f>
        <v>1.34028584E-3</v>
      </c>
      <c r="M192" s="775">
        <f>$G$22*$G$9*'Traffic Data'!AO13*annualizationFactor</f>
        <v>2.0472090800000005E-3</v>
      </c>
      <c r="N192" s="775">
        <f>$G$22*$G$9*'Traffic Data'!AP13*annualizationFactor</f>
        <v>2.7538578400000007E-3</v>
      </c>
      <c r="O192" s="775">
        <f>$G$22*$G$9*'Traffic Data'!AQ13*annualizationFactor</f>
        <v>3.4602321200000005E-3</v>
      </c>
      <c r="P192" s="775">
        <f>$G$22*$G$9*'Traffic Data'!AR13*annualizationFactor</f>
        <v>4.1677043200000008E-3</v>
      </c>
      <c r="Q192" s="775">
        <f>$G$22*$G$9*'Traffic Data'!AS13*annualizationFactor</f>
        <v>4.5477218800000002E-3</v>
      </c>
      <c r="R192" s="775">
        <f>$G$22*$G$9*'Traffic Data'!AT13*annualizationFactor</f>
        <v>4.9282884000000004E-3</v>
      </c>
      <c r="S192" s="775">
        <f>$G$22*$G$9*'Traffic Data'!AU13*annualizationFactor</f>
        <v>5.3084432000000004E-3</v>
      </c>
      <c r="T192" s="775">
        <f>$G$22*$G$9*'Traffic Data'!AV13*annualizationFactor</f>
        <v>5.6884607600000007E-3</v>
      </c>
      <c r="U192" s="775">
        <f>$G$22*$G$9*'Traffic Data'!AW13*annualizationFactor</f>
        <v>6.0694390000000011E-3</v>
      </c>
      <c r="V192" s="775">
        <f>$G$22*$G$9*'Traffic Data'!AX13*annualizationFactor</f>
        <v>6.1543905599999995E-3</v>
      </c>
      <c r="W192" s="775">
        <f>$G$22*$G$9*'Traffic Data'!AY13*annualizationFactor</f>
        <v>6.2393421199999997E-3</v>
      </c>
      <c r="X192" s="775">
        <f>$G$22*$G$9*'Traffic Data'!AZ13*annualizationFactor</f>
        <v>6.3242936799999998E-3</v>
      </c>
      <c r="Y192" s="775">
        <f>$G$22*$G$9*'Traffic Data'!BA13*annualizationFactor</f>
        <v>6.4092452400000008E-3</v>
      </c>
      <c r="Z192" s="775">
        <f>$G$22*$G$9*'Traffic Data'!BB13*annualizationFactor</f>
        <v>6.4946085200000012E-3</v>
      </c>
      <c r="AA192" s="775">
        <f>$G$22*$G$9*'Traffic Data'!BC13*annualizationFactor</f>
        <v>6.5795600800000005E-3</v>
      </c>
      <c r="AB192" s="775">
        <f>$G$22*$G$9*'Traffic Data'!BD13*annualizationFactor</f>
        <v>6.66492336E-3</v>
      </c>
      <c r="AC192" s="775">
        <f>$G$22*$G$9*'Traffic Data'!BE13*annualizationFactor</f>
        <v>6.7498749199999993E-3</v>
      </c>
      <c r="AD192" s="775">
        <f>$G$22*$G$9*'Traffic Data'!BF13*annualizationFactor</f>
        <v>6.8348264800000003E-3</v>
      </c>
      <c r="AE192" s="775">
        <f>$G$22*$G$9*'Traffic Data'!BG13*annualizationFactor</f>
        <v>6.9201897600000006E-3</v>
      </c>
      <c r="AF192" s="775">
        <f>$G$22*$G$9*'Traffic Data'!BH13*annualizationFactor</f>
        <v>7.005141319999999E-3</v>
      </c>
      <c r="AG192" s="775">
        <f>$G$22*$G$9*'Traffic Data'!BI13*annualizationFactor</f>
        <v>7.09009288E-3</v>
      </c>
      <c r="AH192" s="776">
        <f>$G$22*$G$9*'Traffic Data'!BJ13*annualizationFactor</f>
        <v>7.1754561600000022E-3</v>
      </c>
      <c r="AI192" s="40"/>
      <c r="AJ192" s="40"/>
      <c r="AK192" s="40"/>
      <c r="AL192" s="40"/>
      <c r="AM192" s="40"/>
    </row>
    <row r="193" spans="2:39" ht="21.95" customHeight="1" x14ac:dyDescent="0.2">
      <c r="B193" s="1346" t="s">
        <v>323</v>
      </c>
      <c r="C193" s="220" t="s">
        <v>282</v>
      </c>
      <c r="D193" s="220" t="s">
        <v>339</v>
      </c>
      <c r="E193" s="116" t="s">
        <v>467</v>
      </c>
      <c r="F193" s="116" t="s">
        <v>41</v>
      </c>
      <c r="G193" s="970"/>
      <c r="H193" s="970"/>
      <c r="I193" s="775">
        <f>$G$22*$H$9*'Traffic Data'!AK14*annualizationFactor</f>
        <v>3.9419999999999999E-4</v>
      </c>
      <c r="J193" s="775">
        <f>$G$22*$H$9*'Traffic Data'!AL14*annualizationFactor</f>
        <v>3.9419999999999999E-4</v>
      </c>
      <c r="K193" s="775">
        <f>$G$22*$H$9*'Traffic Data'!AM14*annualizationFactor</f>
        <v>4.6125342000000015E-3</v>
      </c>
      <c r="L193" s="775">
        <f>$G$22*$H$9*'Traffic Data'!AN14*annualizationFactor</f>
        <v>8.8308684000000005E-3</v>
      </c>
      <c r="M193" s="775">
        <f>$G$22*$H$9*'Traffic Data'!AO14*annualizationFactor</f>
        <v>1.3052750400000004E-2</v>
      </c>
      <c r="N193" s="775">
        <f>$G$22*$H$9*'Traffic Data'!AP14*annualizationFactor</f>
        <v>1.7271084600000004E-2</v>
      </c>
      <c r="O193" s="775">
        <f>$G$22*$H$9*'Traffic Data'!AQ14*annualizationFactor</f>
        <v>2.1489418800000007E-2</v>
      </c>
      <c r="P193" s="775">
        <f>$G$22*$H$9*'Traffic Data'!AR14*annualizationFactor</f>
        <v>2.5711300800000007E-2</v>
      </c>
      <c r="Q193" s="775">
        <f>$G$22*$H$9*'Traffic Data'!AS14*annualizationFactor</f>
        <v>2.5711300800000007E-2</v>
      </c>
      <c r="R193" s="775">
        <f>$G$22*$H$9*'Traffic Data'!AT14*annualizationFactor</f>
        <v>2.5711300800000007E-2</v>
      </c>
      <c r="S193" s="775">
        <f>$G$22*$H$9*'Traffic Data'!AU14*annualizationFactor</f>
        <v>2.5711300800000007E-2</v>
      </c>
      <c r="T193" s="775">
        <f>$G$22*$H$9*'Traffic Data'!AV14*annualizationFactor</f>
        <v>2.5711300800000007E-2</v>
      </c>
      <c r="U193" s="775">
        <f>$G$22*$H$9*'Traffic Data'!AW14*annualizationFactor</f>
        <v>2.5711300800000007E-2</v>
      </c>
      <c r="V193" s="775">
        <f>$G$22*$H$9*'Traffic Data'!AX14*annualizationFactor</f>
        <v>2.5711300800000007E-2</v>
      </c>
      <c r="W193" s="775">
        <f>$G$22*$H$9*'Traffic Data'!AY14*annualizationFactor</f>
        <v>2.5711300800000007E-2</v>
      </c>
      <c r="X193" s="775">
        <f>$G$22*$H$9*'Traffic Data'!AZ14*annualizationFactor</f>
        <v>2.5711300800000007E-2</v>
      </c>
      <c r="Y193" s="775">
        <f>$G$22*$H$9*'Traffic Data'!BA14*annualizationFactor</f>
        <v>2.5711300800000007E-2</v>
      </c>
      <c r="Z193" s="775">
        <f>$G$22*$H$9*'Traffic Data'!BB14*annualizationFactor</f>
        <v>2.5711300800000007E-2</v>
      </c>
      <c r="AA193" s="775">
        <f>$G$22*$H$9*'Traffic Data'!BC14*annualizationFactor</f>
        <v>2.5711300800000007E-2</v>
      </c>
      <c r="AB193" s="775">
        <f>$G$22*$H$9*'Traffic Data'!BD14*annualizationFactor</f>
        <v>2.5711300800000007E-2</v>
      </c>
      <c r="AC193" s="775">
        <f>$G$22*$H$9*'Traffic Data'!BE14*annualizationFactor</f>
        <v>2.5711300800000007E-2</v>
      </c>
      <c r="AD193" s="775">
        <f>$G$22*$H$9*'Traffic Data'!BF14*annualizationFactor</f>
        <v>2.5711300800000007E-2</v>
      </c>
      <c r="AE193" s="775">
        <f>$G$22*$H$9*'Traffic Data'!BG14*annualizationFactor</f>
        <v>2.5711300800000007E-2</v>
      </c>
      <c r="AF193" s="775">
        <f>$G$22*$H$9*'Traffic Data'!BH14*annualizationFactor</f>
        <v>2.5711300800000007E-2</v>
      </c>
      <c r="AG193" s="775">
        <f>$G$22*$H$9*'Traffic Data'!BI14*annualizationFactor</f>
        <v>2.5711300800000007E-2</v>
      </c>
      <c r="AH193" s="776">
        <f>$G$22*$H$9*'Traffic Data'!BJ14*annualizationFactor</f>
        <v>2.5711300800000007E-2</v>
      </c>
      <c r="AI193" s="40"/>
      <c r="AJ193" s="40"/>
      <c r="AK193" s="40"/>
      <c r="AL193" s="40"/>
      <c r="AM193" s="40"/>
    </row>
    <row r="194" spans="2:39" ht="21.95" customHeight="1" x14ac:dyDescent="0.2">
      <c r="B194" s="1346"/>
      <c r="C194" s="116" t="s">
        <v>339</v>
      </c>
      <c r="D194" s="116" t="s">
        <v>288</v>
      </c>
      <c r="E194" s="116" t="s">
        <v>467</v>
      </c>
      <c r="F194" s="116" t="s">
        <v>41</v>
      </c>
      <c r="G194" s="970"/>
      <c r="H194" s="970"/>
      <c r="I194" s="777">
        <f>$G$22*$H$9*'Traffic Data'!AK15*annualizationFactor</f>
        <v>1.7987200000000003E-4</v>
      </c>
      <c r="J194" s="777">
        <f>$G$22*$H$9*'Traffic Data'!AL15*annualizationFactor</f>
        <v>3.4175680000000003E-4</v>
      </c>
      <c r="K194" s="777">
        <f>$G$22*$H$9*'Traffic Data'!AM15*annualizationFactor</f>
        <v>5.0364160000000008E-4</v>
      </c>
      <c r="L194" s="777">
        <f>$G$22*$H$9*'Traffic Data'!AN15*annualizationFactor</f>
        <v>1.0955840000000001E-3</v>
      </c>
      <c r="M194" s="777">
        <f>$G$22*$H$9*'Traffic Data'!AO15*annualizationFactor</f>
        <v>1.6867088000000004E-3</v>
      </c>
      <c r="N194" s="777">
        <f>$G$22*$H$9*'Traffic Data'!AP15*annualizationFactor</f>
        <v>2.2794688000000005E-3</v>
      </c>
      <c r="O194" s="777">
        <f>$G$22*$H$9*'Traffic Data'!AQ15*annualizationFactor</f>
        <v>2.8714112000000004E-3</v>
      </c>
      <c r="P194" s="777">
        <f>$G$22*$H$9*'Traffic Data'!AR15*annualizationFactor</f>
        <v>3.4633536000000008E-3</v>
      </c>
      <c r="Q194" s="777">
        <f>$G$22*$H$9*'Traffic Data'!AS15*annualizationFactor</f>
        <v>4.4927120000000003E-3</v>
      </c>
      <c r="R194" s="777">
        <f>$G$22*$H$9*'Traffic Data'!AT15*annualizationFactor</f>
        <v>5.5212528000000011E-3</v>
      </c>
      <c r="S194" s="777">
        <f>$G$22*$H$9*'Traffic Data'!AU15*annualizationFactor</f>
        <v>6.549793600000001E-3</v>
      </c>
      <c r="T194" s="777">
        <f>$G$22*$H$9*'Traffic Data'!AV15*annualizationFactor</f>
        <v>7.5791520000000022E-3</v>
      </c>
      <c r="U194" s="777">
        <f>$G$22*$H$9*'Traffic Data'!AW15*annualizationFactor</f>
        <v>8.6085104000000016E-3</v>
      </c>
      <c r="V194" s="777">
        <f>$G$22*$H$9*'Traffic Data'!AX15*annualizationFactor</f>
        <v>9.2078112000000007E-3</v>
      </c>
      <c r="W194" s="777">
        <f>$G$22*$H$9*'Traffic Data'!AY15*annualizationFactor</f>
        <v>9.3688784000000025E-3</v>
      </c>
      <c r="X194" s="777">
        <f>$G$22*$H$9*'Traffic Data'!AZ15*annualizationFactor</f>
        <v>9.5307632000000021E-3</v>
      </c>
      <c r="Y194" s="777">
        <f>$G$22*$H$9*'Traffic Data'!BA15*annualizationFactor</f>
        <v>9.6926480000000016E-3</v>
      </c>
      <c r="Z194" s="777">
        <f>$G$22*$H$9*'Traffic Data'!BB15*annualizationFactor</f>
        <v>9.8545328000000012E-3</v>
      </c>
      <c r="AA194" s="777">
        <f>$G$22*$H$9*'Traffic Data'!BC15*annualizationFactor</f>
        <v>1.0016417600000001E-2</v>
      </c>
      <c r="AB194" s="777">
        <f>$G$22*$H$9*'Traffic Data'!BD15*annualizationFactor</f>
        <v>1.0178302400000002E-2</v>
      </c>
      <c r="AC194" s="777">
        <f>$G$22*$H$9*'Traffic Data'!BE15*annualizationFactor</f>
        <v>1.0340187200000002E-2</v>
      </c>
      <c r="AD194" s="777">
        <f>$G$22*$H$9*'Traffic Data'!BF15*annualizationFactor</f>
        <v>1.0502072000000001E-2</v>
      </c>
      <c r="AE194" s="777">
        <f>$G$22*$H$9*'Traffic Data'!BG15*annualizationFactor</f>
        <v>1.0663139200000001E-2</v>
      </c>
      <c r="AF194" s="777">
        <f>$G$22*$H$9*'Traffic Data'!BH15*annualizationFactor</f>
        <v>1.0825024000000003E-2</v>
      </c>
      <c r="AG194" s="777">
        <f>$G$22*$H$9*'Traffic Data'!BI15*annualizationFactor</f>
        <v>1.0986908800000002E-2</v>
      </c>
      <c r="AH194" s="778">
        <f>$G$22*$H$9*'Traffic Data'!BJ15*annualizationFactor</f>
        <v>1.11487936E-2</v>
      </c>
      <c r="AI194" s="40"/>
      <c r="AJ194" s="40"/>
      <c r="AK194" s="40"/>
      <c r="AL194" s="40"/>
      <c r="AM194" s="40"/>
    </row>
    <row r="195" spans="2:39" ht="21.95" customHeight="1" x14ac:dyDescent="0.2">
      <c r="B195" s="1346"/>
      <c r="C195" s="116" t="s">
        <v>288</v>
      </c>
      <c r="D195" s="116" t="s">
        <v>340</v>
      </c>
      <c r="E195" s="116" t="s">
        <v>467</v>
      </c>
      <c r="F195" s="116" t="s">
        <v>41</v>
      </c>
      <c r="G195" s="970"/>
      <c r="H195" s="970"/>
      <c r="I195" s="777">
        <f>$G$22*$H$9*'Traffic Data'!AK16*annualizationFactor</f>
        <v>6.3948E-4</v>
      </c>
      <c r="J195" s="777">
        <f>$G$22*$H$9*'Traffic Data'!AL16*annualizationFactor</f>
        <v>1.214734892E-3</v>
      </c>
      <c r="K195" s="777">
        <f>$G$22*$H$9*'Traffic Data'!AM16*annualizationFactor</f>
        <v>1.7897979400000002E-3</v>
      </c>
      <c r="L195" s="777">
        <f>$G$22*$H$9*'Traffic Data'!AN16*annualizationFactor</f>
        <v>3.8936231919999998E-3</v>
      </c>
      <c r="M195" s="777">
        <f>$G$22*$H$9*'Traffic Data'!AO16*annualizationFactor</f>
        <v>5.997533708E-3</v>
      </c>
      <c r="N195" s="777">
        <f>$G$22*$H$9*'Traffic Data'!AP16*annualizationFactor</f>
        <v>8.1041300400000009E-3</v>
      </c>
      <c r="O195" s="777">
        <f>$G$22*$H$9*'Traffic Data'!AQ16*annualizationFactor</f>
        <v>1.0207955292E-2</v>
      </c>
      <c r="P195" s="777">
        <f>$G$22*$H$9*'Traffic Data'!AR16*annualizationFactor</f>
        <v>1.2313059504000001E-2</v>
      </c>
      <c r="Q195" s="777">
        <f>$G$22*$H$9*'Traffic Data'!AS16*annualizationFactor</f>
        <v>1.5971460636000002E-2</v>
      </c>
      <c r="R195" s="777">
        <f>$G$22*$H$9*'Traffic Data'!AT16*annualizationFactor</f>
        <v>1.9628369648000004E-2</v>
      </c>
      <c r="S195" s="777">
        <f>$G$22*$H$9*'Traffic Data'!AU16*annualizationFactor</f>
        <v>2.3286493671999999E-2</v>
      </c>
      <c r="T195" s="777">
        <f>$G$22*$H$9*'Traffic Data'!AV16*annualizationFactor</f>
        <v>2.6944894804000002E-2</v>
      </c>
      <c r="U195" s="777">
        <f>$G$22*$H$9*'Traffic Data'!AW16*annualizationFactor</f>
        <v>3.0605960435999995E-2</v>
      </c>
      <c r="V195" s="777">
        <f>$G$22*$H$9*'Traffic Data'!AX16*annualizationFactor</f>
        <v>3.2734128559999999E-2</v>
      </c>
      <c r="W195" s="777">
        <f>$G$22*$H$9*'Traffic Data'!AY16*annualizationFactor</f>
        <v>3.3309383451999998E-2</v>
      </c>
      <c r="X195" s="777">
        <f>$G$22*$H$9*'Traffic Data'!AZ16*annualizationFactor</f>
        <v>3.3884638343999997E-2</v>
      </c>
      <c r="Y195" s="777">
        <f>$G$22*$H$9*'Traffic Data'!BA16*annualizationFactor</f>
        <v>3.4459893235999996E-2</v>
      </c>
      <c r="Z195" s="777">
        <f>$G$22*$H$9*'Traffic Data'!BB16*annualizationFactor</f>
        <v>3.5034956283999996E-2</v>
      </c>
      <c r="AA195" s="777">
        <f>$G$22*$H$9*'Traffic Data'!BC16*annualizationFactor</f>
        <v>3.5610211176000002E-2</v>
      </c>
      <c r="AB195" s="777">
        <f>$G$22*$H$9*'Traffic Data'!BD16*annualizationFactor</f>
        <v>3.6185274223999996E-2</v>
      </c>
      <c r="AC195" s="777">
        <f>$G$22*$H$9*'Traffic Data'!BE16*annualizationFactor</f>
        <v>3.6760529115999994E-2</v>
      </c>
      <c r="AD195" s="777">
        <f>$G$22*$H$9*'Traffic Data'!BF16*annualizationFactor</f>
        <v>3.7335784008E-2</v>
      </c>
      <c r="AE195" s="777">
        <f>$G$22*$H$9*'Traffic Data'!BG16*annualizationFactor</f>
        <v>3.7910847056000001E-2</v>
      </c>
      <c r="AF195" s="777">
        <f>$G$22*$H$9*'Traffic Data'!BH16*annualizationFactor</f>
        <v>3.8486101948000007E-2</v>
      </c>
      <c r="AG195" s="777">
        <f>$G$22*$H$9*'Traffic Data'!BI16*annualizationFactor</f>
        <v>3.9061356840000006E-2</v>
      </c>
      <c r="AH195" s="778">
        <f>$G$22*$H$9*'Traffic Data'!BJ16*annualizationFactor</f>
        <v>3.9636419887999999E-2</v>
      </c>
      <c r="AI195" s="40"/>
      <c r="AJ195" s="40"/>
      <c r="AK195" s="40"/>
      <c r="AL195" s="40"/>
      <c r="AM195" s="40"/>
    </row>
    <row r="196" spans="2:39" ht="21.95" customHeight="1" x14ac:dyDescent="0.2">
      <c r="B196" s="1346"/>
      <c r="C196" s="254" t="s">
        <v>340</v>
      </c>
      <c r="D196" s="254" t="s">
        <v>280</v>
      </c>
      <c r="E196" s="116" t="s">
        <v>467</v>
      </c>
      <c r="F196" s="116" t="s">
        <v>41</v>
      </c>
      <c r="G196" s="970"/>
      <c r="H196" s="970"/>
      <c r="I196" s="777">
        <f>$G$22*$H$9*'Traffic Data'!AK17*annualizationFactor</f>
        <v>9.1980000000000002E-4</v>
      </c>
      <c r="J196" s="777">
        <f>$G$22*$H$9*'Traffic Data'!AL17*annualizationFactor</f>
        <v>1.7472214200000002E-3</v>
      </c>
      <c r="K196" s="777">
        <f>$G$22*$H$9*'Traffic Data'!AM17*annualizationFactor</f>
        <v>2.5743669000000005E-3</v>
      </c>
      <c r="L196" s="777">
        <f>$G$22*$H$9*'Traffic Data'!AN17*annualizationFactor</f>
        <v>5.6004169200000011E-3</v>
      </c>
      <c r="M196" s="777">
        <f>$G$22*$H$9*'Traffic Data'!AO17*annualizationFactor</f>
        <v>8.6265895800000016E-3</v>
      </c>
      <c r="N196" s="777">
        <f>$G$22*$H$9*'Traffic Data'!AP17*annualizationFactor</f>
        <v>1.1656625400000004E-2</v>
      </c>
      <c r="O196" s="777">
        <f>$G$22*$H$9*'Traffic Data'!AQ17*annualizationFactor</f>
        <v>1.4682675420000003E-2</v>
      </c>
      <c r="P196" s="777">
        <f>$G$22*$H$9*'Traffic Data'!AR17*annualizationFactor</f>
        <v>1.7710565040000004E-2</v>
      </c>
      <c r="Q196" s="777">
        <f>$G$22*$H$9*'Traffic Data'!AS17*annualizationFactor</f>
        <v>2.2972648860000004E-2</v>
      </c>
      <c r="R196" s="777">
        <f>$G$22*$H$9*'Traffic Data'!AT17*annualizationFactor</f>
        <v>2.8232586480000006E-2</v>
      </c>
      <c r="S196" s="777">
        <f>$G$22*$H$9*'Traffic Data'!AU17*annualizationFactor</f>
        <v>3.3494271719999996E-2</v>
      </c>
      <c r="T196" s="777">
        <f>$G$22*$H$9*'Traffic Data'!AV17*annualizationFactor</f>
        <v>3.8756355540000002E-2</v>
      </c>
      <c r="U196" s="777">
        <f>$G$22*$H$9*'Traffic Data'!AW17*annualizationFactor</f>
        <v>4.4022271860000003E-2</v>
      </c>
      <c r="V196" s="777">
        <f>$G$22*$H$9*'Traffic Data'!AX17*annualizationFactor</f>
        <v>4.7083335599999998E-2</v>
      </c>
      <c r="W196" s="777">
        <f>$G$22*$H$9*'Traffic Data'!AY17*annualizationFactor</f>
        <v>4.7910757020000007E-2</v>
      </c>
      <c r="X196" s="777">
        <f>$G$22*$H$9*'Traffic Data'!AZ17*annualizationFactor</f>
        <v>4.8738178439999995E-2</v>
      </c>
      <c r="Y196" s="777">
        <f>$G$22*$H$9*'Traffic Data'!BA17*annualizationFactor</f>
        <v>4.9565599860000004E-2</v>
      </c>
      <c r="Z196" s="777">
        <f>$G$22*$H$9*'Traffic Data'!BB17*annualizationFactor</f>
        <v>5.0392745340000003E-2</v>
      </c>
      <c r="AA196" s="777">
        <f>$G$22*$H$9*'Traffic Data'!BC17*annualizationFactor</f>
        <v>5.1220166760000005E-2</v>
      </c>
      <c r="AB196" s="777">
        <f>$G$22*$H$9*'Traffic Data'!BD17*annualizationFactor</f>
        <v>5.2047312239999997E-2</v>
      </c>
      <c r="AC196" s="777">
        <f>$G$22*$H$9*'Traffic Data'!BE17*annualizationFactor</f>
        <v>5.2874733659999999E-2</v>
      </c>
      <c r="AD196" s="777">
        <f>$G$22*$H$9*'Traffic Data'!BF17*annualizationFactor</f>
        <v>5.3702155080000001E-2</v>
      </c>
      <c r="AE196" s="777">
        <f>$G$22*$H$9*'Traffic Data'!BG17*annualizationFactor</f>
        <v>5.4529300560000001E-2</v>
      </c>
      <c r="AF196" s="777">
        <f>$G$22*$H$9*'Traffic Data'!BH17*annualizationFactor</f>
        <v>5.5356721980000016E-2</v>
      </c>
      <c r="AG196" s="777">
        <f>$G$22*$H$9*'Traffic Data'!BI17*annualizationFactor</f>
        <v>5.6184143400000011E-2</v>
      </c>
      <c r="AH196" s="778">
        <f>$G$22*$H$9*'Traffic Data'!BJ17*annualizationFactor</f>
        <v>5.7011288880000004E-2</v>
      </c>
      <c r="AI196" s="40"/>
      <c r="AJ196" s="40"/>
      <c r="AK196" s="40"/>
      <c r="AL196" s="40"/>
      <c r="AM196" s="40"/>
    </row>
    <row r="197" spans="2:39" ht="21.95" customHeight="1" x14ac:dyDescent="0.2">
      <c r="B197" s="1346" t="s">
        <v>334</v>
      </c>
      <c r="C197" s="116" t="s">
        <v>336</v>
      </c>
      <c r="D197" s="116" t="s">
        <v>337</v>
      </c>
      <c r="E197" s="220" t="s">
        <v>467</v>
      </c>
      <c r="F197" s="220" t="s">
        <v>41</v>
      </c>
      <c r="G197" s="775"/>
      <c r="H197" s="775"/>
      <c r="I197" s="775">
        <f>$G$22*$I$9*'Traffic Data'!AK18*annualizationFactor</f>
        <v>1.8395999999999999E-2</v>
      </c>
      <c r="J197" s="775">
        <f>$G$22*$I$9*'Traffic Data'!AL18*annualizationFactor</f>
        <v>1.8894334499999995E-2</v>
      </c>
      <c r="K197" s="775">
        <f>$G$22*$I$9*'Traffic Data'!AM18*annualizationFactor</f>
        <v>1.9705400999999997E-2</v>
      </c>
      <c r="L197" s="775">
        <f>$G$22*$I$9*'Traffic Data'!AN18*annualizationFactor</f>
        <v>2.0869013700000001E-2</v>
      </c>
      <c r="M197" s="775">
        <f>$G$22*$I$9*'Traffic Data'!AO18*annualizationFactor</f>
        <v>2.2033152000000007E-2</v>
      </c>
      <c r="N197" s="775">
        <f>$G$22*$I$9*'Traffic Data'!AP18*annualizationFactor</f>
        <v>2.3197158900000011E-2</v>
      </c>
      <c r="O197" s="775">
        <f>$G$22*$I$9*'Traffic Data'!AQ18*annualizationFactor</f>
        <v>2.4360771600000008E-2</v>
      </c>
      <c r="P197" s="775">
        <f>$G$22*$I$9*'Traffic Data'!AR18*annualizationFactor</f>
        <v>2.5525369799999999E-2</v>
      </c>
      <c r="Q197" s="775">
        <f>$G$22*$I$9*'Traffic Data'!AS18*annualizationFactor</f>
        <v>2.6560801799999995E-2</v>
      </c>
      <c r="R197" s="775">
        <f>$G$22*$I$9*'Traffic Data'!AT18*annualizationFactor</f>
        <v>2.7596562299999999E-2</v>
      </c>
      <c r="S197" s="775">
        <f>$G$22*$I$9*'Traffic Data'!AU18*annualizationFactor</f>
        <v>2.8631994299999994E-2</v>
      </c>
      <c r="T197" s="775">
        <f>$G$22*$I$9*'Traffic Data'!AV18*annualizationFactor</f>
        <v>2.9667426299999997E-2</v>
      </c>
      <c r="U197" s="775">
        <f>$G$22*$I$9*'Traffic Data'!AW18*annualizationFactor</f>
        <v>3.0703778099999999E-2</v>
      </c>
      <c r="V197" s="775">
        <f>$G$22*$I$9*'Traffic Data'!AX18*annualizationFactor</f>
        <v>3.1386204000000001E-2</v>
      </c>
      <c r="W197" s="775">
        <f>$G$22*$I$9*'Traffic Data'!AY18*annualizationFactor</f>
        <v>3.1884538499999997E-2</v>
      </c>
      <c r="X197" s="775">
        <f>$G$22*$I$9*'Traffic Data'!AZ18*annualizationFactor</f>
        <v>3.2382873E-2</v>
      </c>
      <c r="Y197" s="775">
        <f>$G$22*$I$9*'Traffic Data'!BA18*annualizationFactor</f>
        <v>3.2881207499999995E-2</v>
      </c>
      <c r="Z197" s="775">
        <f>$G$22*$I$9*'Traffic Data'!BB18*annualizationFactor</f>
        <v>3.3379804799999996E-2</v>
      </c>
      <c r="AA197" s="775">
        <f>$G$22*$I$9*'Traffic Data'!BC18*annualizationFactor</f>
        <v>3.3878139299999999E-2</v>
      </c>
      <c r="AB197" s="775">
        <f>$G$22*$I$9*'Traffic Data'!BD18*annualizationFactor</f>
        <v>3.4376736599999999E-2</v>
      </c>
      <c r="AC197" s="775">
        <f>$G$22*$I$9*'Traffic Data'!BE18*annualizationFactor</f>
        <v>3.4875071100000002E-2</v>
      </c>
      <c r="AD197" s="775">
        <f>$G$22*$I$9*'Traffic Data'!BF18*annualizationFactor</f>
        <v>3.5373405599999998E-2</v>
      </c>
      <c r="AE197" s="775">
        <f>$G$22*$I$9*'Traffic Data'!BG18*annualizationFactor</f>
        <v>3.5872002899999998E-2</v>
      </c>
      <c r="AF197" s="775">
        <f>$G$22*$I$9*'Traffic Data'!BH18*annualizationFactor</f>
        <v>3.6370337400000001E-2</v>
      </c>
      <c r="AG197" s="775">
        <f>$G$22*$I$9*'Traffic Data'!BI18*annualizationFactor</f>
        <v>3.6868671899999997E-2</v>
      </c>
      <c r="AH197" s="776">
        <f>$G$22*$I$9*'Traffic Data'!BJ18*annualizationFactor</f>
        <v>3.7367269199999997E-2</v>
      </c>
      <c r="AI197" s="40"/>
      <c r="AJ197" s="40"/>
      <c r="AK197" s="40"/>
      <c r="AL197" s="40"/>
      <c r="AM197" s="40"/>
    </row>
    <row r="198" spans="2:39" ht="21.95" customHeight="1" x14ac:dyDescent="0.2">
      <c r="B198" s="1346"/>
      <c r="C198" s="116" t="s">
        <v>337</v>
      </c>
      <c r="D198" s="116" t="s">
        <v>386</v>
      </c>
      <c r="E198" s="116" t="s">
        <v>467</v>
      </c>
      <c r="F198" s="116" t="s">
        <v>41</v>
      </c>
      <c r="G198" s="970"/>
      <c r="H198" s="970"/>
      <c r="I198" s="777">
        <f>$G$22*$I$9*'Traffic Data'!AK19*annualizationFactor</f>
        <v>2.8908E-2</v>
      </c>
      <c r="J198" s="777">
        <f>$G$22*$I$9*'Traffic Data'!AL19*annualizationFactor</f>
        <v>2.9508498000000001E-2</v>
      </c>
      <c r="K198" s="777">
        <f>$G$22*$I$9*'Traffic Data'!AM19*annualizationFactor</f>
        <v>3.0932873999999999E-2</v>
      </c>
      <c r="L198" s="777">
        <f>$G$22*$I$9*'Traffic Data'!AN19*annualizationFactor</f>
        <v>3.2493905999999996E-2</v>
      </c>
      <c r="M198" s="777">
        <f>$G$22*$I$9*'Traffic Data'!AO19*annualizationFactor</f>
        <v>3.4057565999999997E-2</v>
      </c>
      <c r="N198" s="777">
        <f>$G$22*$I$9*'Traffic Data'!AP19*annualizationFactor</f>
        <v>3.5619912000000004E-2</v>
      </c>
      <c r="O198" s="777">
        <f>$G$22*$I$9*'Traffic Data'!AQ19*annualizationFactor</f>
        <v>3.7180944E-2</v>
      </c>
      <c r="P198" s="777">
        <f>$G$22*$I$9*'Traffic Data'!AR19*annualizationFactor</f>
        <v>3.8744604000000002E-2</v>
      </c>
      <c r="Q198" s="777">
        <f>$G$22*$I$9*'Traffic Data'!AS19*annualizationFactor</f>
        <v>3.9605273999999996E-2</v>
      </c>
      <c r="R198" s="777">
        <f>$G$22*$I$9*'Traffic Data'!AT19*annualizationFactor</f>
        <v>4.0467257999999999E-2</v>
      </c>
      <c r="S198" s="777">
        <f>$G$22*$I$9*'Traffic Data'!AU19*annualizationFactor</f>
        <v>4.1327928E-2</v>
      </c>
      <c r="T198" s="777">
        <f>$G$22*$I$9*'Traffic Data'!AV19*annualizationFactor</f>
        <v>4.2189911999999996E-2</v>
      </c>
      <c r="U198" s="777">
        <f>$G$22*$I$9*'Traffic Data'!AW19*annualizationFactor</f>
        <v>4.3050581999999997E-2</v>
      </c>
      <c r="V198" s="777">
        <f>$G$22*$I$9*'Traffic Data'!AX19*annualizationFactor</f>
        <v>4.3774595999999999E-2</v>
      </c>
      <c r="W198" s="777">
        <f>$G$22*$I$9*'Traffic Data'!AY19*annualizationFactor</f>
        <v>4.4400059999999998E-2</v>
      </c>
      <c r="X198" s="777">
        <f>$G$22*$I$9*'Traffic Data'!AZ19*annualizationFactor</f>
        <v>4.5026837999999993E-2</v>
      </c>
      <c r="Y198" s="777">
        <f>$G$22*$I$9*'Traffic Data'!BA19*annualizationFactor</f>
        <v>4.5653616000000001E-2</v>
      </c>
      <c r="Z198" s="777">
        <f>$G$22*$I$9*'Traffic Data'!BB19*annualizationFactor</f>
        <v>4.6280394000000002E-2</v>
      </c>
      <c r="AA198" s="777">
        <f>$G$22*$I$9*'Traffic Data'!BC19*annualizationFactor</f>
        <v>4.6907172000000004E-2</v>
      </c>
      <c r="AB198" s="777">
        <f>$G$22*$I$9*'Traffic Data'!BD19*annualizationFactor</f>
        <v>4.7533949999999998E-2</v>
      </c>
      <c r="AC198" s="777">
        <f>$G$22*$I$9*'Traffic Data'!BE19*annualizationFactor</f>
        <v>4.8160728E-2</v>
      </c>
      <c r="AD198" s="777">
        <f>$G$22*$I$9*'Traffic Data'!BF19*annualizationFactor</f>
        <v>4.8787506000000001E-2</v>
      </c>
      <c r="AE198" s="777">
        <f>$G$22*$I$9*'Traffic Data'!BG19*annualizationFactor</f>
        <v>4.9414284000000003E-2</v>
      </c>
      <c r="AF198" s="777">
        <f>$G$22*$I$9*'Traffic Data'!BH19*annualizationFactor</f>
        <v>5.0041061999999997E-2</v>
      </c>
      <c r="AG198" s="777">
        <f>$G$22*$I$9*'Traffic Data'!BI19*annualizationFactor</f>
        <v>5.0666525999999996E-2</v>
      </c>
      <c r="AH198" s="778">
        <f>$G$22*$I$9*'Traffic Data'!BJ19*annualizationFactor</f>
        <v>5.1293304000000005E-2</v>
      </c>
      <c r="AI198" s="40"/>
      <c r="AJ198" s="40"/>
      <c r="AK198" s="40"/>
      <c r="AL198" s="40"/>
      <c r="AM198" s="40"/>
    </row>
    <row r="199" spans="2:39" ht="21.95" customHeight="1" x14ac:dyDescent="0.2">
      <c r="B199" s="1346"/>
      <c r="C199" s="116" t="s">
        <v>342</v>
      </c>
      <c r="D199" s="116" t="s">
        <v>341</v>
      </c>
      <c r="E199" s="116" t="s">
        <v>467</v>
      </c>
      <c r="F199" s="116" t="s">
        <v>41</v>
      </c>
      <c r="G199" s="970"/>
      <c r="H199" s="970"/>
      <c r="I199" s="777">
        <f>$G$22*$I$9*'Traffic Data'!AK20*annualizationFactor</f>
        <v>3.75804E-2</v>
      </c>
      <c r="J199" s="777">
        <f>$G$22*$I$9*'Traffic Data'!AL20*annualizationFactor</f>
        <v>3.8361047400000001E-2</v>
      </c>
      <c r="K199" s="777">
        <f>$G$22*$I$9*'Traffic Data'!AM20*annualizationFactor</f>
        <v>4.0212736199999995E-2</v>
      </c>
      <c r="L199" s="777">
        <f>$G$22*$I$9*'Traffic Data'!AN20*annualizationFactor</f>
        <v>4.22420778E-2</v>
      </c>
      <c r="M199" s="777">
        <f>$G$22*$I$9*'Traffic Data'!AO20*annualizationFactor</f>
        <v>4.4274835800000009E-2</v>
      </c>
      <c r="N199" s="777">
        <f>$G$22*$I$9*'Traffic Data'!AP20*annualizationFactor</f>
        <v>4.6305885600000006E-2</v>
      </c>
      <c r="O199" s="777">
        <f>$G$22*$I$9*'Traffic Data'!AQ20*annualizationFactor</f>
        <v>4.8335227199999997E-2</v>
      </c>
      <c r="P199" s="777">
        <f>$G$22*$I$9*'Traffic Data'!AR20*annualizationFactor</f>
        <v>5.0367985200000007E-2</v>
      </c>
      <c r="Q199" s="777">
        <f>$G$22*$I$9*'Traffic Data'!AS20*annualizationFactor</f>
        <v>5.14868562E-2</v>
      </c>
      <c r="R199" s="777">
        <f>$G$22*$I$9*'Traffic Data'!AT20*annualizationFactor</f>
        <v>5.2607435399999992E-2</v>
      </c>
      <c r="S199" s="777">
        <f>$G$22*$I$9*'Traffic Data'!AU20*annualizationFactor</f>
        <v>5.37263064E-2</v>
      </c>
      <c r="T199" s="777">
        <f>$G$22*$I$9*'Traffic Data'!AV20*annualizationFactor</f>
        <v>5.4846885600000006E-2</v>
      </c>
      <c r="U199" s="777">
        <f>$G$22*$I$9*'Traffic Data'!AW20*annualizationFactor</f>
        <v>5.59657566E-2</v>
      </c>
      <c r="V199" s="777">
        <f>$G$22*$I$9*'Traffic Data'!AX20*annualizationFactor</f>
        <v>5.6906974800000003E-2</v>
      </c>
      <c r="W199" s="777">
        <f>$G$22*$I$9*'Traffic Data'!AY20*annualizationFactor</f>
        <v>5.7720078000000001E-2</v>
      </c>
      <c r="X199" s="777">
        <f>$G$22*$I$9*'Traffic Data'!AZ20*annualizationFactor</f>
        <v>5.8534889399999991E-2</v>
      </c>
      <c r="Y199" s="777">
        <f>$G$22*$I$9*'Traffic Data'!BA20*annualizationFactor</f>
        <v>5.9349700800000009E-2</v>
      </c>
      <c r="Z199" s="777">
        <f>$G$22*$I$9*'Traffic Data'!BB20*annualizationFactor</f>
        <v>6.0164512200000006E-2</v>
      </c>
      <c r="AA199" s="777">
        <f>$G$22*$I$9*'Traffic Data'!BC20*annualizationFactor</f>
        <v>6.0979323599999996E-2</v>
      </c>
      <c r="AB199" s="777">
        <f>$G$22*$I$9*'Traffic Data'!BD20*annualizationFactor</f>
        <v>6.1794135E-2</v>
      </c>
      <c r="AC199" s="777">
        <f>$G$22*$I$9*'Traffic Data'!BE20*annualizationFactor</f>
        <v>6.2608946400000004E-2</v>
      </c>
      <c r="AD199" s="777">
        <f>$G$22*$I$9*'Traffic Data'!BF20*annualizationFactor</f>
        <v>6.3423757800000008E-2</v>
      </c>
      <c r="AE199" s="777">
        <f>$G$22*$I$9*'Traffic Data'!BG20*annualizationFactor</f>
        <v>6.4238569200000012E-2</v>
      </c>
      <c r="AF199" s="777">
        <f>$G$22*$I$9*'Traffic Data'!BH20*annualizationFactor</f>
        <v>6.5053380600000002E-2</v>
      </c>
      <c r="AG199" s="777">
        <f>$G$22*$I$9*'Traffic Data'!BI20*annualizationFactor</f>
        <v>6.58664838E-2</v>
      </c>
      <c r="AH199" s="778">
        <f>$G$22*$I$9*'Traffic Data'!BJ20*annualizationFactor</f>
        <v>6.6681295200000004E-2</v>
      </c>
      <c r="AI199" s="40"/>
      <c r="AJ199" s="40"/>
      <c r="AK199" s="40"/>
      <c r="AL199" s="40"/>
      <c r="AM199" s="40"/>
    </row>
    <row r="200" spans="2:39" ht="21.95" customHeight="1" x14ac:dyDescent="0.2">
      <c r="B200" s="1346"/>
      <c r="C200" s="116" t="s">
        <v>341</v>
      </c>
      <c r="D200" s="116" t="s">
        <v>344</v>
      </c>
      <c r="E200" s="116" t="s">
        <v>467</v>
      </c>
      <c r="F200" s="116" t="s">
        <v>41</v>
      </c>
      <c r="G200" s="970"/>
      <c r="H200" s="970"/>
      <c r="I200" s="777">
        <f>$G$22*$I$9*'Traffic Data'!AK21*annualizationFactor</f>
        <v>4.1680079999999994E-2</v>
      </c>
      <c r="J200" s="777">
        <f>$G$22*$I$9*'Traffic Data'!AL21*annualizationFactor</f>
        <v>4.2584217119999997E-2</v>
      </c>
      <c r="K200" s="777">
        <f>$G$22*$I$9*'Traffic Data'!AM21*annualizationFactor</f>
        <v>4.4639365680000001E-2</v>
      </c>
      <c r="L200" s="777">
        <f>$G$22*$I$9*'Traffic Data'!AN21*annualizationFactor</f>
        <v>4.6893296160000007E-2</v>
      </c>
      <c r="M200" s="777">
        <f>$G$22*$I$9*'Traffic Data'!AO21*annualizationFactor</f>
        <v>4.9148829719999995E-2</v>
      </c>
      <c r="N200" s="777">
        <f>$G$22*$I$9*'Traffic Data'!AP21*annualizationFactor</f>
        <v>5.1402760199999994E-2</v>
      </c>
      <c r="O200" s="777">
        <f>$G$22*$I$9*'Traffic Data'!AQ21*annualizationFactor</f>
        <v>5.3656690680000001E-2</v>
      </c>
      <c r="P200" s="777">
        <f>$G$22*$I$9*'Traffic Data'!AR21*annualizationFactor</f>
        <v>5.5912224239999989E-2</v>
      </c>
      <c r="Q200" s="777">
        <f>$G$22*$I$9*'Traffic Data'!AS21*annualizationFactor</f>
        <v>5.7156214319999996E-2</v>
      </c>
      <c r="R200" s="777">
        <f>$G$22*$I$9*'Traffic Data'!AT21*annualizationFactor</f>
        <v>5.8398601319999993E-2</v>
      </c>
      <c r="S200" s="777">
        <f>$G$22*$I$9*'Traffic Data'!AU21*annualizationFactor</f>
        <v>5.96425914E-2</v>
      </c>
      <c r="T200" s="777">
        <f>$G$22*$I$9*'Traffic Data'!AV21*annualizationFactor</f>
        <v>6.0884978399999998E-2</v>
      </c>
      <c r="U200" s="777">
        <f>$G$22*$I$9*'Traffic Data'!AW21*annualizationFactor</f>
        <v>6.2128968479999998E-2</v>
      </c>
      <c r="V200" s="777">
        <f>$G$22*$I$9*'Traffic Data'!AX21*annualizationFactor</f>
        <v>6.3170970480000005E-2</v>
      </c>
      <c r="W200" s="777">
        <f>$G$22*$I$9*'Traffic Data'!AY21*annualizationFactor</f>
        <v>6.40751076E-2</v>
      </c>
      <c r="X200" s="777">
        <f>$G$22*$I$9*'Traffic Data'!AZ21*annualizationFactor</f>
        <v>6.4980847799999991E-2</v>
      </c>
      <c r="Y200" s="777">
        <f>$G$22*$I$9*'Traffic Data'!BA21*annualizationFactor</f>
        <v>6.588498492E-2</v>
      </c>
      <c r="Z200" s="777">
        <f>$G$22*$I$9*'Traffic Data'!BB21*annualizationFactor</f>
        <v>6.6789122039999996E-2</v>
      </c>
      <c r="AA200" s="777">
        <f>$G$22*$I$9*'Traffic Data'!BC21*annualizationFactor</f>
        <v>6.7693259160000005E-2</v>
      </c>
      <c r="AB200" s="777">
        <f>$G$22*$I$9*'Traffic Data'!BD21*annualizationFactor</f>
        <v>6.859739628E-2</v>
      </c>
      <c r="AC200" s="777">
        <f>$G$22*$I$9*'Traffic Data'!BE21*annualizationFactor</f>
        <v>6.9501533399999996E-2</v>
      </c>
      <c r="AD200" s="777">
        <f>$G$22*$I$9*'Traffic Data'!BF21*annualizationFactor</f>
        <v>7.0405670519999991E-2</v>
      </c>
      <c r="AE200" s="777">
        <f>$G$22*$I$9*'Traffic Data'!BG21*annualizationFactor</f>
        <v>7.130980764E-2</v>
      </c>
      <c r="AF200" s="777">
        <f>$G$22*$I$9*'Traffic Data'!BH21*annualizationFactor</f>
        <v>7.2215547840000005E-2</v>
      </c>
      <c r="AG200" s="777">
        <f>$G$22*$I$9*'Traffic Data'!BI21*annualizationFactor</f>
        <v>7.311968496E-2</v>
      </c>
      <c r="AH200" s="778">
        <f>$G$22*$I$9*'Traffic Data'!BJ21*annualizationFactor</f>
        <v>7.4023822079999996E-2</v>
      </c>
      <c r="AI200" s="40"/>
      <c r="AJ200" s="40"/>
      <c r="AK200" s="40"/>
      <c r="AL200" s="40"/>
      <c r="AM200" s="40"/>
    </row>
    <row r="201" spans="2:39" ht="21.95" customHeight="1" x14ac:dyDescent="0.2">
      <c r="B201" s="1346"/>
      <c r="C201" s="116" t="s">
        <v>344</v>
      </c>
      <c r="D201" s="116" t="s">
        <v>345</v>
      </c>
      <c r="E201" s="116" t="s">
        <v>467</v>
      </c>
      <c r="F201" s="116" t="s">
        <v>41</v>
      </c>
      <c r="G201" s="970"/>
      <c r="H201" s="970"/>
      <c r="I201" s="777">
        <f>$G$22*$I$9*'Traffic Data'!AK22*annualizationFactor</f>
        <v>1.7082E-2</v>
      </c>
      <c r="J201" s="777">
        <f>$G$22*$I$9*'Traffic Data'!AL22*annualizationFactor</f>
        <v>1.7452548000000002E-2</v>
      </c>
      <c r="K201" s="777">
        <f>$G$22*$I$9*'Traffic Data'!AM22*annualizationFactor</f>
        <v>1.8294821999999999E-2</v>
      </c>
      <c r="L201" s="777">
        <f>$G$22*$I$9*'Traffic Data'!AN22*annualizationFactor</f>
        <v>1.9218564E-2</v>
      </c>
      <c r="M201" s="777">
        <f>$G$22*$I$9*'Traffic Data'!AO22*annualizationFactor</f>
        <v>2.0142963E-2</v>
      </c>
      <c r="N201" s="777">
        <f>$G$22*$I$9*'Traffic Data'!AP22*annualizationFactor</f>
        <v>2.1066704999999998E-2</v>
      </c>
      <c r="O201" s="777">
        <f>$G$22*$I$9*'Traffic Data'!AQ22*annualizationFactor</f>
        <v>2.1990447E-2</v>
      </c>
      <c r="P201" s="777">
        <f>$G$22*$I$9*'Traffic Data'!AR22*annualizationFactor</f>
        <v>2.2914846000000003E-2</v>
      </c>
      <c r="Q201" s="777">
        <f>$G$22*$I$9*'Traffic Data'!AS22*annualizationFactor</f>
        <v>2.3424678000000001E-2</v>
      </c>
      <c r="R201" s="777">
        <f>$G$22*$I$9*'Traffic Data'!AT22*annualizationFactor</f>
        <v>2.3933853000000001E-2</v>
      </c>
      <c r="S201" s="777">
        <f>$G$22*$I$9*'Traffic Data'!AU22*annualizationFactor</f>
        <v>2.4443685E-2</v>
      </c>
      <c r="T201" s="777">
        <f>$G$22*$I$9*'Traffic Data'!AV22*annualizationFactor</f>
        <v>2.495286E-2</v>
      </c>
      <c r="U201" s="777">
        <f>$G$22*$I$9*'Traffic Data'!AW22*annualizationFactor</f>
        <v>2.5462691999999999E-2</v>
      </c>
      <c r="V201" s="777">
        <f>$G$22*$I$9*'Traffic Data'!AX22*annualizationFactor</f>
        <v>2.5889742E-2</v>
      </c>
      <c r="W201" s="777">
        <f>$G$22*$I$9*'Traffic Data'!AY22*annualizationFactor</f>
        <v>2.6260290000000002E-2</v>
      </c>
      <c r="X201" s="777">
        <f>$G$22*$I$9*'Traffic Data'!AZ22*annualizationFactor</f>
        <v>2.6631494999999998E-2</v>
      </c>
      <c r="Y201" s="777">
        <f>$G$22*$I$9*'Traffic Data'!BA22*annualizationFactor</f>
        <v>2.7002043E-2</v>
      </c>
      <c r="Z201" s="777">
        <f>$G$22*$I$9*'Traffic Data'!BB22*annualizationFactor</f>
        <v>2.7372591000000002E-2</v>
      </c>
      <c r="AA201" s="777">
        <f>$G$22*$I$9*'Traffic Data'!BC22*annualizationFactor</f>
        <v>2.7743139E-2</v>
      </c>
      <c r="AB201" s="777">
        <f>$G$22*$I$9*'Traffic Data'!BD22*annualizationFactor</f>
        <v>2.8113686999999998E-2</v>
      </c>
      <c r="AC201" s="777">
        <f>$G$22*$I$9*'Traffic Data'!BE22*annualizationFactor</f>
        <v>2.8484235E-2</v>
      </c>
      <c r="AD201" s="777">
        <f>$G$22*$I$9*'Traffic Data'!BF22*annualizationFactor</f>
        <v>2.8854783000000002E-2</v>
      </c>
      <c r="AE201" s="777">
        <f>$G$22*$I$9*'Traffic Data'!BG22*annualizationFactor</f>
        <v>2.9225331E-2</v>
      </c>
      <c r="AF201" s="777">
        <f>$G$22*$I$9*'Traffic Data'!BH22*annualizationFactor</f>
        <v>2.9596536E-2</v>
      </c>
      <c r="AG201" s="777">
        <f>$G$22*$I$9*'Traffic Data'!BI22*annualizationFactor</f>
        <v>2.9967083999999998E-2</v>
      </c>
      <c r="AH201" s="778">
        <f>$G$22*$I$9*'Traffic Data'!BJ22*annualizationFactor</f>
        <v>3.0337632E-2</v>
      </c>
      <c r="AI201" s="40"/>
      <c r="AJ201" s="40"/>
      <c r="AK201" s="40"/>
      <c r="AL201" s="40"/>
      <c r="AM201" s="40"/>
    </row>
    <row r="202" spans="2:39" ht="21.95" customHeight="1" x14ac:dyDescent="0.2">
      <c r="B202" s="1346"/>
      <c r="C202" s="116" t="s">
        <v>345</v>
      </c>
      <c r="D202" s="116" t="s">
        <v>323</v>
      </c>
      <c r="E202" s="116" t="s">
        <v>467</v>
      </c>
      <c r="F202" s="116" t="s">
        <v>41</v>
      </c>
      <c r="G202" s="970"/>
      <c r="H202" s="970"/>
      <c r="I202" s="777">
        <f>$G$22*$I$9*'Traffic Data'!AK23*annualizationFactor</f>
        <v>0.2060352</v>
      </c>
      <c r="J202" s="777">
        <f>$G$22*$I$9*'Traffic Data'!AL23*annualizationFactor</f>
        <v>0.21050542800000002</v>
      </c>
      <c r="K202" s="777">
        <f>$G$22*$I$9*'Traffic Data'!AM23*annualizationFactor</f>
        <v>0.22066296335999999</v>
      </c>
      <c r="L202" s="777">
        <f>$G$22*$I$9*'Traffic Data'!AN23*annualizationFactor</f>
        <v>0.23180615640000002</v>
      </c>
      <c r="M202" s="777">
        <f>$G$22*$I$9*'Traffic Data'!AO23*annualizationFactor</f>
        <v>0.24295450031999999</v>
      </c>
      <c r="N202" s="777">
        <f>$G$22*$I$9*'Traffic Data'!AP23*annualizationFactor</f>
        <v>0.25409916504000002</v>
      </c>
      <c r="O202" s="777">
        <f>$G$22*$I$9*'Traffic Data'!AQ23*annualizationFactor</f>
        <v>0.26524235807999996</v>
      </c>
      <c r="P202" s="777">
        <f>$G$22*$I$9*'Traffic Data'!AR23*annualizationFactor</f>
        <v>0.27639180575999994</v>
      </c>
      <c r="Q202" s="777">
        <f>$G$22*$I$9*'Traffic Data'!AS23*annualizationFactor</f>
        <v>0.2825360697599999</v>
      </c>
      <c r="R202" s="777">
        <f>$G$22*$I$9*'Traffic Data'!AT23*annualizationFactor</f>
        <v>0.28868033375999996</v>
      </c>
      <c r="S202" s="777">
        <f>$G$22*$I$9*'Traffic Data'!AU23*annualizationFactor</f>
        <v>0.29482459776000003</v>
      </c>
      <c r="T202" s="777">
        <f>$G$22*$I$9*'Traffic Data'!AV23*annualizationFactor</f>
        <v>0.30096886176000004</v>
      </c>
      <c r="U202" s="777">
        <f>$G$22*$I$9*'Traffic Data'!AW23*annualizationFactor</f>
        <v>0.30711533327999996</v>
      </c>
      <c r="V202" s="777">
        <f>$G$22*$I$9*'Traffic Data'!AX23*annualizationFactor</f>
        <v>0.31227283583999993</v>
      </c>
      <c r="W202" s="777">
        <f>$G$22*$I$9*'Traffic Data'!AY23*annualizationFactor</f>
        <v>0.31674306383999995</v>
      </c>
      <c r="X202" s="777">
        <f>$G$22*$I$9*'Traffic Data'!AZ23*annualizationFactor</f>
        <v>0.32121329183999997</v>
      </c>
      <c r="Y202" s="777">
        <f>$G$22*$I$9*'Traffic Data'!BA23*annualizationFactor</f>
        <v>0.32568351983999999</v>
      </c>
      <c r="Z202" s="777">
        <f>$G$22*$I$9*'Traffic Data'!BB23*annualizationFactor</f>
        <v>0.33015411575999998</v>
      </c>
      <c r="AA202" s="777">
        <f>$G$22*$I$9*'Traffic Data'!BC23*annualizationFactor</f>
        <v>0.33462434375999989</v>
      </c>
      <c r="AB202" s="777">
        <f>$G$22*$I$9*'Traffic Data'!BD23*annualizationFactor</f>
        <v>0.33909493967999998</v>
      </c>
      <c r="AC202" s="777">
        <f>$G$22*$I$9*'Traffic Data'!BE23*annualizationFactor</f>
        <v>0.34356516768000006</v>
      </c>
      <c r="AD202" s="777">
        <f>$G$22*$I$9*'Traffic Data'!BF23*annualizationFactor</f>
        <v>0.34803539568000003</v>
      </c>
      <c r="AE202" s="777">
        <f>$G$22*$I$9*'Traffic Data'!BG23*annualizationFactor</f>
        <v>0.35250599159999996</v>
      </c>
      <c r="AF202" s="777">
        <f>$G$22*$I$9*'Traffic Data'!BH23*annualizationFactor</f>
        <v>0.35697621960000003</v>
      </c>
      <c r="AG202" s="777">
        <f>$G$22*$I$9*'Traffic Data'!BI23*annualizationFactor</f>
        <v>0.36144644760000005</v>
      </c>
      <c r="AH202" s="778">
        <f>$G$22*$I$9*'Traffic Data'!BJ23*annualizationFactor</f>
        <v>0.36591704352000004</v>
      </c>
      <c r="AI202" s="40"/>
      <c r="AJ202" s="40"/>
      <c r="AK202" s="40"/>
      <c r="AL202" s="40"/>
      <c r="AM202" s="40"/>
    </row>
    <row r="203" spans="2:39" ht="21.95" customHeight="1" x14ac:dyDescent="0.2">
      <c r="B203" s="1346"/>
      <c r="C203" s="116" t="s">
        <v>323</v>
      </c>
      <c r="D203" s="116" t="s">
        <v>347</v>
      </c>
      <c r="E203" s="116" t="s">
        <v>467</v>
      </c>
      <c r="F203" s="116" t="s">
        <v>41</v>
      </c>
      <c r="G203" s="970"/>
      <c r="H203" s="970"/>
      <c r="I203" s="777">
        <f>$G$22*$I$9*'Traffic Data'!AK24*annualizationFactor</f>
        <v>3.6791999999999998E-2</v>
      </c>
      <c r="J203" s="777">
        <f>$G$22*$I$9*'Traffic Data'!AL24*annualizationFactor</f>
        <v>3.7590254999999996E-2</v>
      </c>
      <c r="K203" s="777">
        <f>$G$22*$I$9*'Traffic Data'!AM24*annualizationFactor</f>
        <v>3.8779162200000002E-2</v>
      </c>
      <c r="L203" s="777">
        <f>$G$22*$I$9*'Traffic Data'!AN24*annualizationFactor</f>
        <v>4.0144079700000002E-2</v>
      </c>
      <c r="M203" s="777">
        <f>$G$22*$I$9*'Traffic Data'!AO24*annualizationFactor</f>
        <v>4.1509391400000005E-2</v>
      </c>
      <c r="N203" s="777">
        <f>$G$22*$I$9*'Traffic Data'!AP24*annualizationFactor</f>
        <v>4.2874571700000003E-2</v>
      </c>
      <c r="O203" s="777">
        <f>$G$22*$I$9*'Traffic Data'!AQ24*annualizationFactor</f>
        <v>4.4239489199999996E-2</v>
      </c>
      <c r="P203" s="777">
        <f>$G$22*$I$9*'Traffic Data'!AR24*annualizationFactor</f>
        <v>4.5604997999999987E-2</v>
      </c>
      <c r="Q203" s="777">
        <f>$G$22*$I$9*'Traffic Data'!AS24*annualizationFactor</f>
        <v>4.6702187999999992E-2</v>
      </c>
      <c r="R203" s="777">
        <f>$G$22*$I$9*'Traffic Data'!AT24*annualizationFactor</f>
        <v>4.779937799999999E-2</v>
      </c>
      <c r="S203" s="777">
        <f>$G$22*$I$9*'Traffic Data'!AU24*annualizationFactor</f>
        <v>4.8896568000000001E-2</v>
      </c>
      <c r="T203" s="777">
        <f>$G$22*$I$9*'Traffic Data'!AV24*annualizationFactor</f>
        <v>4.9993758000000013E-2</v>
      </c>
      <c r="U203" s="777">
        <f>$G$22*$I$9*'Traffic Data'!AW24*annualizationFactor</f>
        <v>5.1091342199999994E-2</v>
      </c>
      <c r="V203" s="777">
        <f>$G$22*$I$9*'Traffic Data'!AX24*annualizationFactor</f>
        <v>5.2012324799999995E-2</v>
      </c>
      <c r="W203" s="777">
        <f>$G$22*$I$9*'Traffic Data'!AY24*annualizationFactor</f>
        <v>5.28105798E-2</v>
      </c>
      <c r="X203" s="777">
        <f>$G$22*$I$9*'Traffic Data'!AZ24*annualizationFactor</f>
        <v>5.3608834799999991E-2</v>
      </c>
      <c r="Y203" s="777">
        <f>$G$22*$I$9*'Traffic Data'!BA24*annualizationFactor</f>
        <v>5.4407089800000009E-2</v>
      </c>
      <c r="Z203" s="777">
        <f>$G$22*$I$9*'Traffic Data'!BB24*annualizationFactor</f>
        <v>5.5205410499999996E-2</v>
      </c>
      <c r="AA203" s="777">
        <f>$G$22*$I$9*'Traffic Data'!BC24*annualizationFactor</f>
        <v>5.6003665499999994E-2</v>
      </c>
      <c r="AB203" s="777">
        <f>$G$22*$I$9*'Traffic Data'!BD24*annualizationFactor</f>
        <v>5.6801986200000001E-2</v>
      </c>
      <c r="AC203" s="777">
        <f>$G$22*$I$9*'Traffic Data'!BE24*annualizationFactor</f>
        <v>5.7600241200000013E-2</v>
      </c>
      <c r="AD203" s="777">
        <f>$G$22*$I$9*'Traffic Data'!BF24*annualizationFactor</f>
        <v>5.8398496199999997E-2</v>
      </c>
      <c r="AE203" s="777">
        <f>$G$22*$I$9*'Traffic Data'!BG24*annualizationFactor</f>
        <v>5.9196816899999997E-2</v>
      </c>
      <c r="AF203" s="777">
        <f>$G$22*$I$9*'Traffic Data'!BH24*annualizationFactor</f>
        <v>5.9995071900000009E-2</v>
      </c>
      <c r="AG203" s="777">
        <f>$G$22*$I$9*'Traffic Data'!BI24*annualizationFactor</f>
        <v>6.0793326900000007E-2</v>
      </c>
      <c r="AH203" s="778">
        <f>$G$22*$I$9*'Traffic Data'!BJ24*annualizationFactor</f>
        <v>6.1591647600000007E-2</v>
      </c>
      <c r="AI203" s="40"/>
      <c r="AJ203" s="40"/>
      <c r="AK203" s="40"/>
      <c r="AL203" s="40"/>
      <c r="AM203" s="40"/>
    </row>
    <row r="204" spans="2:39" ht="21.95" customHeight="1" x14ac:dyDescent="0.2">
      <c r="B204" s="1346"/>
      <c r="C204" s="116" t="s">
        <v>347</v>
      </c>
      <c r="D204" s="116" t="s">
        <v>348</v>
      </c>
      <c r="E204" s="116" t="s">
        <v>467</v>
      </c>
      <c r="F204" s="116" t="s">
        <v>41</v>
      </c>
      <c r="G204" s="970"/>
      <c r="H204" s="970"/>
      <c r="I204" s="777">
        <f>$G$22*$I$9*'Traffic Data'!AK25*annualizationFactor</f>
        <v>2.57544E-2</v>
      </c>
      <c r="J204" s="777">
        <f>$G$22*$I$9*'Traffic Data'!AL25*annualizationFactor</f>
        <v>2.6313178500000003E-2</v>
      </c>
      <c r="K204" s="777">
        <f>$G$22*$I$9*'Traffic Data'!AM25*annualizationFactor</f>
        <v>2.7145413539999996E-2</v>
      </c>
      <c r="L204" s="777">
        <f>$G$22*$I$9*'Traffic Data'!AN25*annualizationFactor</f>
        <v>2.8100855789999997E-2</v>
      </c>
      <c r="M204" s="777">
        <f>$G$22*$I$9*'Traffic Data'!AO25*annualizationFactor</f>
        <v>2.9056573979999997E-2</v>
      </c>
      <c r="N204" s="777">
        <f>$G$22*$I$9*'Traffic Data'!AP25*annualizationFactor</f>
        <v>3.0012200189999998E-2</v>
      </c>
      <c r="O204" s="777">
        <f>$G$22*$I$9*'Traffic Data'!AQ25*annualizationFactor</f>
        <v>3.0967642439999991E-2</v>
      </c>
      <c r="P204" s="777">
        <f>$G$22*$I$9*'Traffic Data'!AR25*annualizationFactor</f>
        <v>3.1923498599999989E-2</v>
      </c>
      <c r="Q204" s="777">
        <f>$G$22*$I$9*'Traffic Data'!AS25*annualizationFactor</f>
        <v>3.269153159999999E-2</v>
      </c>
      <c r="R204" s="777">
        <f>$G$22*$I$9*'Traffic Data'!AT25*annualizationFactor</f>
        <v>3.3459564599999991E-2</v>
      </c>
      <c r="S204" s="777">
        <f>$G$22*$I$9*'Traffic Data'!AU25*annualizationFactor</f>
        <v>3.42275976E-2</v>
      </c>
      <c r="T204" s="777">
        <f>$G$22*$I$9*'Traffic Data'!AV25*annualizationFactor</f>
        <v>3.4995630600000008E-2</v>
      </c>
      <c r="U204" s="777">
        <f>$G$22*$I$9*'Traffic Data'!AW25*annualizationFactor</f>
        <v>3.5763939539999998E-2</v>
      </c>
      <c r="V204" s="777">
        <f>$G$22*$I$9*'Traffic Data'!AX25*annualizationFactor</f>
        <v>3.6408627359999994E-2</v>
      </c>
      <c r="W204" s="777">
        <f>$G$22*$I$9*'Traffic Data'!AY25*annualizationFactor</f>
        <v>3.6967405859999997E-2</v>
      </c>
      <c r="X204" s="777">
        <f>$G$22*$I$9*'Traffic Data'!AZ25*annualizationFactor</f>
        <v>3.7526184359999999E-2</v>
      </c>
      <c r="Y204" s="777">
        <f>$G$22*$I$9*'Traffic Data'!BA25*annualizationFactor</f>
        <v>3.8084962860000002E-2</v>
      </c>
      <c r="Z204" s="777">
        <f>$G$22*$I$9*'Traffic Data'!BB25*annualizationFactor</f>
        <v>3.864378735E-2</v>
      </c>
      <c r="AA204" s="777">
        <f>$G$22*$I$9*'Traffic Data'!BC25*annualizationFactor</f>
        <v>3.9202565849999996E-2</v>
      </c>
      <c r="AB204" s="777">
        <f>$G$22*$I$9*'Traffic Data'!BD25*annualizationFactor</f>
        <v>3.9761390340000001E-2</v>
      </c>
      <c r="AC204" s="777">
        <f>$G$22*$I$9*'Traffic Data'!BE25*annualizationFactor</f>
        <v>4.0320168840000004E-2</v>
      </c>
      <c r="AD204" s="777">
        <f>$G$22*$I$9*'Traffic Data'!BF25*annualizationFactor</f>
        <v>4.0878947339999999E-2</v>
      </c>
      <c r="AE204" s="777">
        <f>$G$22*$I$9*'Traffic Data'!BG25*annualizationFactor</f>
        <v>4.1437771829999998E-2</v>
      </c>
      <c r="AF204" s="777">
        <f>$G$22*$I$9*'Traffic Data'!BH25*annualizationFactor</f>
        <v>4.199655033E-2</v>
      </c>
      <c r="AG204" s="777">
        <f>$G$22*$I$9*'Traffic Data'!BI25*annualizationFactor</f>
        <v>4.2555328830000003E-2</v>
      </c>
      <c r="AH204" s="778">
        <f>$G$22*$I$9*'Traffic Data'!BJ25*annualizationFactor</f>
        <v>4.3114153320000001E-2</v>
      </c>
      <c r="AI204" s="40"/>
      <c r="AJ204" s="40"/>
      <c r="AK204" s="40"/>
      <c r="AL204" s="40"/>
      <c r="AM204" s="40"/>
    </row>
    <row r="205" spans="2:39" ht="21.95" customHeight="1" x14ac:dyDescent="0.2">
      <c r="B205" s="1346"/>
      <c r="C205" s="254" t="s">
        <v>348</v>
      </c>
      <c r="D205" s="254" t="s">
        <v>349</v>
      </c>
      <c r="E205" s="254" t="s">
        <v>467</v>
      </c>
      <c r="F205" s="254" t="s">
        <v>41</v>
      </c>
      <c r="G205" s="779"/>
      <c r="H205" s="779"/>
      <c r="I205" s="777">
        <f>$G$22*$I$9*'Traffic Data'!AK26*annualizationFactor</f>
        <v>4.2047999999999995E-2</v>
      </c>
      <c r="J205" s="777">
        <f>$G$22*$I$9*'Traffic Data'!AL26*annualizationFactor</f>
        <v>4.3052355899999999E-2</v>
      </c>
      <c r="K205" s="777">
        <f>$G$22*$I$9*'Traffic Data'!AM26*annualizationFactor</f>
        <v>4.4447495400000002E-2</v>
      </c>
      <c r="L205" s="777">
        <f>$G$22*$I$9*'Traffic Data'!AN26*annualizationFactor</f>
        <v>4.6300366799999992E-2</v>
      </c>
      <c r="M205" s="777">
        <f>$G$22*$I$9*'Traffic Data'!AO26*annualizationFactor</f>
        <v>4.8153763800000006E-2</v>
      </c>
      <c r="N205" s="777">
        <f>$G$22*$I$9*'Traffic Data'!AP26*annualizationFactor</f>
        <v>5.0007292199999998E-2</v>
      </c>
      <c r="O205" s="777">
        <f>$G$22*$I$9*'Traffic Data'!AQ26*annualizationFactor</f>
        <v>5.1860163600000009E-2</v>
      </c>
      <c r="P205" s="777">
        <f>$G$22*$I$9*'Traffic Data'!AR26*annualizationFactor</f>
        <v>5.3714086200000018E-2</v>
      </c>
      <c r="Q205" s="777">
        <f>$G$22*$I$9*'Traffic Data'!AS26*annualizationFactor</f>
        <v>5.5483518600000004E-2</v>
      </c>
      <c r="R205" s="777">
        <f>$G$22*$I$9*'Traffic Data'!AT26*annualizationFactor</f>
        <v>5.7253016699999992E-2</v>
      </c>
      <c r="S205" s="777">
        <f>$G$22*$I$9*'Traffic Data'!AU26*annualizationFactor</f>
        <v>5.9022449099999985E-2</v>
      </c>
      <c r="T205" s="777">
        <f>$G$22*$I$9*'Traffic Data'!AV26*annualizationFactor</f>
        <v>6.0791881500000006E-2</v>
      </c>
      <c r="U205" s="777">
        <f>$G$22*$I$9*'Traffic Data'!AW26*annualizationFactor</f>
        <v>6.2562365100000003E-2</v>
      </c>
      <c r="V205" s="777">
        <f>$G$22*$I$9*'Traffic Data'!AX26*annualizationFactor</f>
        <v>6.3873539999999993E-2</v>
      </c>
      <c r="W205" s="777">
        <f>$G$22*$I$9*'Traffic Data'!AY26*annualizationFactor</f>
        <v>6.4877895899999996E-2</v>
      </c>
      <c r="X205" s="777">
        <f>$G$22*$I$9*'Traffic Data'!AZ26*annualizationFactor</f>
        <v>6.5882251799999986E-2</v>
      </c>
      <c r="Y205" s="777">
        <f>$G$22*$I$9*'Traffic Data'!BA26*annualizationFactor</f>
        <v>6.6886607700000003E-2</v>
      </c>
      <c r="Z205" s="777">
        <f>$G$22*$I$9*'Traffic Data'!BB26*annualizationFactor</f>
        <v>6.7891160699999994E-2</v>
      </c>
      <c r="AA205" s="777">
        <f>$G$22*$I$9*'Traffic Data'!BC26*annualizationFactor</f>
        <v>6.8895516599999984E-2</v>
      </c>
      <c r="AB205" s="777">
        <f>$G$22*$I$9*'Traffic Data'!BD26*annualizationFactor</f>
        <v>6.9900069600000003E-2</v>
      </c>
      <c r="AC205" s="777">
        <f>$G$22*$I$9*'Traffic Data'!BE26*annualizationFactor</f>
        <v>7.0904425499999993E-2</v>
      </c>
      <c r="AD205" s="777">
        <f>$G$22*$I$9*'Traffic Data'!BF26*annualizationFactor</f>
        <v>7.1908781399999996E-2</v>
      </c>
      <c r="AE205" s="777">
        <f>$G$22*$I$9*'Traffic Data'!BG26*annualizationFactor</f>
        <v>7.2913334400000002E-2</v>
      </c>
      <c r="AF205" s="777">
        <f>$G$22*$I$9*'Traffic Data'!BH26*annualizationFactor</f>
        <v>7.3917690299999991E-2</v>
      </c>
      <c r="AG205" s="777">
        <f>$G$22*$I$9*'Traffic Data'!BI26*annualizationFactor</f>
        <v>7.4922046199999995E-2</v>
      </c>
      <c r="AH205" s="778">
        <f>$G$22*$I$9*'Traffic Data'!BJ26*annualizationFactor</f>
        <v>7.5926599199999986E-2</v>
      </c>
      <c r="AI205" s="40"/>
      <c r="AJ205" s="40"/>
      <c r="AK205" s="40"/>
      <c r="AL205" s="40"/>
      <c r="AM205" s="40"/>
    </row>
    <row r="206" spans="2:39" ht="21.95" customHeight="1" x14ac:dyDescent="0.2">
      <c r="B206" s="492" t="s">
        <v>288</v>
      </c>
      <c r="C206" s="116" t="s">
        <v>323</v>
      </c>
      <c r="D206" s="116" t="s">
        <v>348</v>
      </c>
      <c r="E206" s="116" t="s">
        <v>467</v>
      </c>
      <c r="F206" s="116" t="s">
        <v>41</v>
      </c>
      <c r="G206" s="970"/>
      <c r="H206" s="970"/>
      <c r="I206" s="775">
        <f>$G$22*$J$9*'Traffic Data'!AK27*annualizationFactor</f>
        <v>5.2560000000000003E-3</v>
      </c>
      <c r="J206" s="775">
        <f>$G$22*$J$9*'Traffic Data'!AL27*annualizationFactor</f>
        <v>5.4530416000000007E-3</v>
      </c>
      <c r="K206" s="775">
        <f>$G$22*$J$9*'Traffic Data'!AM27*annualizationFactor</f>
        <v>5.7544440000000001E-3</v>
      </c>
      <c r="L206" s="775">
        <f>$G$22*$J$9*'Traffic Data'!AN27*annualizationFactor</f>
        <v>6.7120580000000025E-3</v>
      </c>
      <c r="M206" s="775">
        <f>$G$22*$J$9*'Traffic Data'!AO27*annualizationFactor</f>
        <v>7.6698180000000001E-3</v>
      </c>
      <c r="N206" s="775">
        <f>$G$22*$J$9*'Traffic Data'!AP27*annualizationFactor</f>
        <v>8.6285999999999984E-3</v>
      </c>
      <c r="O206" s="775">
        <f>$G$22*$J$9*'Traffic Data'!AQ27*annualizationFactor</f>
        <v>9.5862140000000009E-3</v>
      </c>
      <c r="P206" s="775">
        <f>$G$22*$J$9*'Traffic Data'!AR27*annualizationFactor</f>
        <v>1.0544762400000001E-2</v>
      </c>
      <c r="Q206" s="775">
        <f>$G$22*$J$9*'Traffic Data'!AS27*annualizationFactor</f>
        <v>1.1807750000000001E-2</v>
      </c>
      <c r="R206" s="775">
        <f>$G$22*$J$9*'Traffic Data'!AT27*annualizationFactor</f>
        <v>1.30704164E-2</v>
      </c>
      <c r="S206" s="775">
        <f>$G$22*$J$9*'Traffic Data'!AU27*annualizationFactor</f>
        <v>1.433355E-2</v>
      </c>
      <c r="T206" s="775">
        <f>$G$22*$J$9*'Traffic Data'!AV27*annualizationFactor</f>
        <v>1.5596537600000005E-2</v>
      </c>
      <c r="U206" s="775">
        <f>$G$22*$J$9*'Traffic Data'!AW27*annualizationFactor</f>
        <v>1.6860956000000003E-2</v>
      </c>
      <c r="V206" s="775">
        <f>$G$22*$J$9*'Traffic Data'!AX27*annualizationFactor</f>
        <v>1.7467089599999999E-2</v>
      </c>
      <c r="W206" s="775">
        <f>$G$22*$J$9*'Traffic Data'!AY27*annualizationFactor</f>
        <v>1.7664131199999999E-2</v>
      </c>
      <c r="X206" s="775">
        <f>$G$22*$J$9*'Traffic Data'!AZ27*annualizationFactor</f>
        <v>1.7861172799999998E-2</v>
      </c>
      <c r="Y206" s="775">
        <f>$G$22*$J$9*'Traffic Data'!BA27*annualizationFactor</f>
        <v>1.8058214400000001E-2</v>
      </c>
      <c r="Z206" s="775">
        <f>$G$22*$J$9*'Traffic Data'!BB27*annualizationFactor</f>
        <v>1.8255460400000003E-2</v>
      </c>
      <c r="AA206" s="775">
        <f>$G$22*$J$9*'Traffic Data'!BC27*annualizationFactor</f>
        <v>1.8452501999999996E-2</v>
      </c>
      <c r="AB206" s="775">
        <f>$G$22*$J$9*'Traffic Data'!BD27*annualizationFactor</f>
        <v>1.8649748000000001E-2</v>
      </c>
      <c r="AC206" s="775">
        <f>$G$22*$J$9*'Traffic Data'!BE27*annualizationFactor</f>
        <v>1.8846789600000004E-2</v>
      </c>
      <c r="AD206" s="775">
        <f>$G$22*$J$9*'Traffic Data'!BF27*annualizationFactor</f>
        <v>1.90438312E-2</v>
      </c>
      <c r="AE206" s="775">
        <f>$G$22*$J$9*'Traffic Data'!BG27*annualizationFactor</f>
        <v>1.9241077200000001E-2</v>
      </c>
      <c r="AF206" s="775">
        <f>$G$22*$J$9*'Traffic Data'!BH27*annualizationFactor</f>
        <v>1.9438118800000004E-2</v>
      </c>
      <c r="AG206" s="775">
        <f>$G$22*$J$9*'Traffic Data'!BI27*annualizationFactor</f>
        <v>1.9635160400000001E-2</v>
      </c>
      <c r="AH206" s="776">
        <f>$G$22*$J$9*'Traffic Data'!BJ27*annualizationFactor</f>
        <v>1.9832406400000002E-2</v>
      </c>
      <c r="AI206" s="40"/>
      <c r="AJ206" s="40"/>
      <c r="AK206" s="40"/>
      <c r="AL206" s="40"/>
      <c r="AM206" s="40"/>
    </row>
    <row r="207" spans="2:39" ht="21.95" customHeight="1" x14ac:dyDescent="0.2">
      <c r="B207" s="782" t="s">
        <v>340</v>
      </c>
      <c r="C207" s="277" t="s">
        <v>335</v>
      </c>
      <c r="D207" s="277" t="s">
        <v>323</v>
      </c>
      <c r="E207" s="277" t="s">
        <v>467</v>
      </c>
      <c r="F207" s="277" t="s">
        <v>41</v>
      </c>
      <c r="G207" s="780"/>
      <c r="H207" s="780"/>
      <c r="I207" s="775">
        <f>$G$22*$K$9*'Traffic Data'!AK28*annualizationFactor</f>
        <v>0</v>
      </c>
      <c r="J207" s="775">
        <f>$G$22*$K$9*'Traffic Data'!AL28*annualizationFactor</f>
        <v>0</v>
      </c>
      <c r="K207" s="775">
        <f>$G$22*$K$9*'Traffic Data'!AM28*annualizationFactor</f>
        <v>0</v>
      </c>
      <c r="L207" s="775">
        <f>$G$22*$K$9*'Traffic Data'!AN28*annualizationFactor</f>
        <v>0</v>
      </c>
      <c r="M207" s="775">
        <f>$G$22*$K$9*'Traffic Data'!AO28*annualizationFactor</f>
        <v>0</v>
      </c>
      <c r="N207" s="775">
        <f>$G$22*$K$9*'Traffic Data'!AP28*annualizationFactor</f>
        <v>0</v>
      </c>
      <c r="O207" s="775">
        <f>$G$22*$K$9*'Traffic Data'!AQ28*annualizationFactor</f>
        <v>0</v>
      </c>
      <c r="P207" s="775">
        <f>$G$22*$K$9*'Traffic Data'!AR28*annualizationFactor</f>
        <v>0</v>
      </c>
      <c r="Q207" s="775">
        <f>$G$22*$K$9*'Traffic Data'!AS28*annualizationFactor</f>
        <v>0</v>
      </c>
      <c r="R207" s="775">
        <f>$G$22*$K$9*'Traffic Data'!AT28*annualizationFactor</f>
        <v>0</v>
      </c>
      <c r="S207" s="775">
        <f>$G$22*$K$9*'Traffic Data'!AU28*annualizationFactor</f>
        <v>0</v>
      </c>
      <c r="T207" s="775">
        <f>$G$22*$K$9*'Traffic Data'!AV28*annualizationFactor</f>
        <v>0</v>
      </c>
      <c r="U207" s="775">
        <f>$G$22*$K$9*'Traffic Data'!AW28*annualizationFactor</f>
        <v>0</v>
      </c>
      <c r="V207" s="775">
        <f>$G$22*$K$9*'Traffic Data'!AX28*annualizationFactor</f>
        <v>0</v>
      </c>
      <c r="W207" s="775">
        <f>$G$22*$K$9*'Traffic Data'!AY28*annualizationFactor</f>
        <v>0</v>
      </c>
      <c r="X207" s="775">
        <f>$G$22*$K$9*'Traffic Data'!AZ28*annualizationFactor</f>
        <v>0</v>
      </c>
      <c r="Y207" s="775">
        <f>$G$22*$K$9*'Traffic Data'!BA28*annualizationFactor</f>
        <v>0</v>
      </c>
      <c r="Z207" s="775">
        <f>$G$22*$K$9*'Traffic Data'!BB28*annualizationFactor</f>
        <v>0</v>
      </c>
      <c r="AA207" s="775">
        <f>$G$22*$K$9*'Traffic Data'!BC28*annualizationFactor</f>
        <v>0</v>
      </c>
      <c r="AB207" s="775">
        <f>$G$22*$K$9*'Traffic Data'!BD28*annualizationFactor</f>
        <v>0</v>
      </c>
      <c r="AC207" s="775">
        <f>$G$22*$K$9*'Traffic Data'!BE28*annualizationFactor</f>
        <v>0</v>
      </c>
      <c r="AD207" s="775">
        <f>$G$22*$K$9*'Traffic Data'!BF28*annualizationFactor</f>
        <v>0</v>
      </c>
      <c r="AE207" s="775">
        <f>$G$22*$K$9*'Traffic Data'!BG28*annualizationFactor</f>
        <v>0</v>
      </c>
      <c r="AF207" s="775">
        <f>$G$22*$K$9*'Traffic Data'!BH28*annualizationFactor</f>
        <v>0</v>
      </c>
      <c r="AG207" s="775">
        <f>$G$22*$K$9*'Traffic Data'!BI28*annualizationFactor</f>
        <v>0</v>
      </c>
      <c r="AH207" s="776">
        <f>$G$22*$K$9*'Traffic Data'!BJ28*annualizationFactor</f>
        <v>0</v>
      </c>
      <c r="AI207" s="40"/>
      <c r="AJ207" s="40"/>
      <c r="AK207" s="40"/>
      <c r="AL207" s="40"/>
      <c r="AM207" s="40"/>
    </row>
    <row r="208" spans="2:39" ht="21.95" customHeight="1" x14ac:dyDescent="0.2">
      <c r="B208" s="782" t="s">
        <v>357</v>
      </c>
      <c r="C208" s="277" t="s">
        <v>338</v>
      </c>
      <c r="D208" s="277" t="s">
        <v>323</v>
      </c>
      <c r="E208" s="116" t="s">
        <v>467</v>
      </c>
      <c r="F208" s="116" t="s">
        <v>41</v>
      </c>
      <c r="G208" s="970"/>
      <c r="H208" s="970"/>
      <c r="I208" s="775">
        <f>$G$22*$L$9*'Traffic Data'!AK29*annualizationFactor</f>
        <v>9.7474909090909095E-3</v>
      </c>
      <c r="J208" s="775">
        <f>$G$22*$L$9*'Traffic Data'!AL29*annualizationFactor</f>
        <v>9.8981437963636364E-3</v>
      </c>
      <c r="K208" s="775">
        <f>$G$22*$L$9*'Traffic Data'!AM29*annualizationFactor</f>
        <v>1.0145675912727272E-2</v>
      </c>
      <c r="L208" s="775">
        <f>$G$22*$L$9*'Traffic Data'!AN29*annualizationFactor</f>
        <v>1.098696560727273E-2</v>
      </c>
      <c r="M208" s="775">
        <f>$G$22*$L$9*'Traffic Data'!AO29*annualizationFactor</f>
        <v>1.1828363607272727E-2</v>
      </c>
      <c r="N208" s="775">
        <f>$G$22*$L$9*'Traffic Data'!AP29*annualizationFactor</f>
        <v>1.2670736356363635E-2</v>
      </c>
      <c r="O208" s="775">
        <f>$G$22*$L$9*'Traffic Data'!AQ29*annualizationFactor</f>
        <v>1.3512026050909088E-2</v>
      </c>
      <c r="P208" s="775">
        <f>$G$22*$L$9*'Traffic Data'!AR29*annualizationFactor</f>
        <v>1.4354263418181818E-2</v>
      </c>
      <c r="Q208" s="775">
        <f>$G$22*$L$9*'Traffic Data'!AS29*annualizationFactor</f>
        <v>1.535213572363636E-2</v>
      </c>
      <c r="R208" s="775">
        <f>$G$22*$L$9*'Traffic Data'!AT29*annualizationFactor</f>
        <v>1.6349791418181815E-2</v>
      </c>
      <c r="S208" s="775">
        <f>$G$22*$L$9*'Traffic Data'!AU29*annualizationFactor</f>
        <v>1.7347934487272725E-2</v>
      </c>
      <c r="T208" s="775">
        <f>$G$22*$L$9*'Traffic Data'!AV29*annualizationFactor</f>
        <v>1.8345806792727272E-2</v>
      </c>
      <c r="U208" s="775">
        <f>$G$22*$L$9*'Traffic Data'!AW29*annualizationFactor</f>
        <v>1.9345087069090907E-2</v>
      </c>
      <c r="V208" s="775">
        <f>$G$22*$L$9*'Traffic Data'!AX29*annualizationFactor</f>
        <v>1.9748633192727273E-2</v>
      </c>
      <c r="W208" s="775">
        <f>$G$22*$L$9*'Traffic Data'!AY29*annualizationFactor</f>
        <v>1.9899286079999998E-2</v>
      </c>
      <c r="X208" s="775">
        <f>$G$22*$L$9*'Traffic Data'!AZ29*annualizationFactor</f>
        <v>2.004993896727273E-2</v>
      </c>
      <c r="Y208" s="775">
        <f>$G$22*$L$9*'Traffic Data'!BA29*annualizationFactor</f>
        <v>2.0200591854545456E-2</v>
      </c>
      <c r="Z208" s="775">
        <f>$G$22*$L$9*'Traffic Data'!BB29*annualizationFactor</f>
        <v>2.0351542581818181E-2</v>
      </c>
      <c r="AA208" s="775">
        <f>$G$22*$L$9*'Traffic Data'!BC29*annualizationFactor</f>
        <v>2.0502195469090909E-2</v>
      </c>
      <c r="AB208" s="775">
        <f>$G$22*$L$9*'Traffic Data'!BD29*annualizationFactor</f>
        <v>2.0653146196363638E-2</v>
      </c>
      <c r="AC208" s="775">
        <f>$G$22*$L$9*'Traffic Data'!BE29*annualizationFactor</f>
        <v>2.0803799083636363E-2</v>
      </c>
      <c r="AD208" s="775">
        <f>$G$22*$L$9*'Traffic Data'!BF29*annualizationFactor</f>
        <v>2.0954451970909092E-2</v>
      </c>
      <c r="AE208" s="775">
        <f>$G$22*$L$9*'Traffic Data'!BG29*annualizationFactor</f>
        <v>2.110540269818182E-2</v>
      </c>
      <c r="AF208" s="775">
        <f>$G$22*$L$9*'Traffic Data'!BH29*annualizationFactor</f>
        <v>2.1256055585454549E-2</v>
      </c>
      <c r="AG208" s="775">
        <f>$G$22*$L$9*'Traffic Data'!BI29*annualizationFactor</f>
        <v>2.1406708472727277E-2</v>
      </c>
      <c r="AH208" s="776">
        <f>$G$22*$L$9*'Traffic Data'!BJ29*annualizationFactor</f>
        <v>2.1557659200000003E-2</v>
      </c>
      <c r="AI208" s="40"/>
      <c r="AJ208" s="40"/>
      <c r="AK208" s="40"/>
      <c r="AL208" s="40"/>
      <c r="AM208" s="40"/>
    </row>
    <row r="209" spans="2:39" ht="21.95" customHeight="1" x14ac:dyDescent="0.2">
      <c r="B209" s="492" t="s">
        <v>338</v>
      </c>
      <c r="C209" s="116" t="s">
        <v>282</v>
      </c>
      <c r="D209" s="116" t="s">
        <v>357</v>
      </c>
      <c r="E209" s="220" t="s">
        <v>467</v>
      </c>
      <c r="F209" s="220" t="s">
        <v>41</v>
      </c>
      <c r="G209" s="775"/>
      <c r="H209" s="775"/>
      <c r="I209" s="775">
        <f>$G$22*$M$9*'Traffic Data'!AK30*annualizationFactor</f>
        <v>3.5006818181818188E-2</v>
      </c>
      <c r="J209" s="775">
        <f>$G$22*$M$9*'Traffic Data'!AL30*annualizationFactor</f>
        <v>3.63085467159091E-2</v>
      </c>
      <c r="K209" s="775">
        <f>$G$22*$M$9*'Traffic Data'!AM30*annualizationFactor</f>
        <v>3.7694221600000001E-2</v>
      </c>
      <c r="L209" s="775">
        <f>$G$22*$M$9*'Traffic Data'!AN30*annualizationFactor</f>
        <v>4.0768275324999999E-2</v>
      </c>
      <c r="M209" s="775">
        <f>$G$22*$M$9*'Traffic Data'!AO30*annualizationFactor</f>
        <v>4.3843099200000013E-2</v>
      </c>
      <c r="N209" s="775">
        <f>$G$22*$M$9*'Traffic Data'!AP30*annualizationFactor</f>
        <v>4.691960340227274E-2</v>
      </c>
      <c r="O209" s="775">
        <f>$G$22*$M$9*'Traffic Data'!AQ30*annualizationFactor</f>
        <v>4.9993657127272759E-2</v>
      </c>
      <c r="P209" s="775">
        <f>$G$22*$M$9*'Traffic Data'!AR30*annualizationFactor</f>
        <v>5.3070406377272734E-2</v>
      </c>
      <c r="Q209" s="775">
        <f>$G$22*$M$9*'Traffic Data'!AS30*annualizationFactor</f>
        <v>5.7206812013636359E-2</v>
      </c>
      <c r="R209" s="775">
        <f>$G$22*$M$9*'Traffic Data'!AT30*annualizationFactor</f>
        <v>6.1343392684090906E-2</v>
      </c>
      <c r="S209" s="775">
        <f>$G$22*$M$9*'Traffic Data'!AU30*annualizationFactor</f>
        <v>6.5479798320454544E-2</v>
      </c>
      <c r="T209" s="775">
        <f>$G$22*$M$9*'Traffic Data'!AV30*annualizationFactor</f>
        <v>6.9616203956818182E-2</v>
      </c>
      <c r="U209" s="775">
        <f>$G$22*$M$9*'Traffic Data'!AW30*annualizationFactor</f>
        <v>7.375646034318184E-2</v>
      </c>
      <c r="V209" s="775">
        <f>$G$22*$M$9*'Traffic Data'!AX30*annualizationFactor</f>
        <v>7.6202561763636364E-2</v>
      </c>
      <c r="W209" s="775">
        <f>$G$22*$M$9*'Traffic Data'!AY30*annualizationFactor</f>
        <v>7.7504290297727291E-2</v>
      </c>
      <c r="X209" s="775">
        <f>$G$22*$M$9*'Traffic Data'!AZ30*annualizationFactor</f>
        <v>7.8806018831818175E-2</v>
      </c>
      <c r="Y209" s="775">
        <f>$G$22*$M$9*'Traffic Data'!BA30*annualizationFactor</f>
        <v>8.0107747365909102E-2</v>
      </c>
      <c r="Z209" s="775">
        <f>$G$22*$M$9*'Traffic Data'!BB30*annualizationFactor</f>
        <v>8.1410176036363635E-2</v>
      </c>
      <c r="AA209" s="775">
        <f>$G$22*$M$9*'Traffic Data'!BC30*annualizationFactor</f>
        <v>8.2711904570454534E-2</v>
      </c>
      <c r="AB209" s="775">
        <f>$G$22*$M$9*'Traffic Data'!BD30*annualizationFactor</f>
        <v>8.4014333240909081E-2</v>
      </c>
      <c r="AC209" s="775">
        <f>$G$22*$M$9*'Traffic Data'!BE30*annualizationFactor</f>
        <v>8.5316061775000007E-2</v>
      </c>
      <c r="AD209" s="775">
        <f>$G$22*$M$9*'Traffic Data'!BF30*annualizationFactor</f>
        <v>8.6617790309090906E-2</v>
      </c>
      <c r="AE209" s="775">
        <f>$G$22*$M$9*'Traffic Data'!BG30*annualizationFactor</f>
        <v>8.7920218979545467E-2</v>
      </c>
      <c r="AF209" s="775">
        <f>$G$22*$M$9*'Traffic Data'!BH30*annualizationFactor</f>
        <v>8.9221947513636352E-2</v>
      </c>
      <c r="AG209" s="775">
        <f>$G$22*$M$9*'Traffic Data'!BI30*annualizationFactor</f>
        <v>9.0523676047727278E-2</v>
      </c>
      <c r="AH209" s="776">
        <f>$G$22*$M$9*'Traffic Data'!BJ30*annualizationFactor</f>
        <v>9.1826104718181825E-2</v>
      </c>
      <c r="AI209" s="40"/>
      <c r="AJ209" s="40"/>
      <c r="AK209" s="40"/>
      <c r="AL209" s="40"/>
      <c r="AM209" s="40"/>
    </row>
    <row r="210" spans="2:39" ht="21.95" customHeight="1" x14ac:dyDescent="0.2">
      <c r="B210" s="492"/>
      <c r="C210" s="116" t="s">
        <v>357</v>
      </c>
      <c r="D210" s="116" t="s">
        <v>346</v>
      </c>
      <c r="E210" s="116" t="s">
        <v>467</v>
      </c>
      <c r="F210" s="116" t="s">
        <v>41</v>
      </c>
      <c r="G210" s="970"/>
      <c r="H210" s="970"/>
      <c r="I210" s="777">
        <f>$G$22*$M$9*'Traffic Data'!AK31*annualizationFactor</f>
        <v>5.0982757575757584E-3</v>
      </c>
      <c r="J210" s="777">
        <f>$G$22*$M$9*'Traffic Data'!AL31*annualizationFactor</f>
        <v>5.2797005837121212E-3</v>
      </c>
      <c r="K210" s="777">
        <f>$G$22*$M$9*'Traffic Data'!AM31*annualizationFactor</f>
        <v>5.4771447289393939E-3</v>
      </c>
      <c r="L210" s="777">
        <f>$G$22*$M$9*'Traffic Data'!AN31*annualizationFactor</f>
        <v>5.8546385075000018E-3</v>
      </c>
      <c r="M210" s="777">
        <f>$G$22*$M$9*'Traffic Data'!AO31*annualizationFactor</f>
        <v>6.232279867727274E-3</v>
      </c>
      <c r="N210" s="777">
        <f>$G$22*$M$9*'Traffic Data'!AP31*annualizationFactor</f>
        <v>6.6099748940151521E-3</v>
      </c>
      <c r="O210" s="777">
        <f>$G$22*$M$9*'Traffic Data'!AQ31*annualizationFactor</f>
        <v>6.9874686725757574E-3</v>
      </c>
      <c r="P210" s="777">
        <f>$G$22*$M$9*'Traffic Data'!AR31*annualizationFactor</f>
        <v>7.365277739242425E-3</v>
      </c>
      <c r="Q210" s="777">
        <f>$G$22*$M$9*'Traffic Data'!AS31*annualizationFactor</f>
        <v>7.8836248021212103E-3</v>
      </c>
      <c r="R210" s="777">
        <f>$G$22*$M$9*'Traffic Data'!AT31*annualizationFactor</f>
        <v>8.4020724888636353E-3</v>
      </c>
      <c r="S210" s="777">
        <f>$G$22*$M$9*'Traffic Data'!AU31*annualizationFactor</f>
        <v>8.9203524691666668E-3</v>
      </c>
      <c r="T210" s="777">
        <f>$G$22*$M$9*'Traffic Data'!AV31*annualizationFactor</f>
        <v>9.4386995320454546E-3</v>
      </c>
      <c r="U210" s="777">
        <f>$G$22*$M$9*'Traffic Data'!AW31*annualizationFactor</f>
        <v>9.9574490903787862E-3</v>
      </c>
      <c r="V210" s="777">
        <f>$G$22*$M$9*'Traffic Data'!AX31*annualizationFactor</f>
        <v>1.029551173090909E-2</v>
      </c>
      <c r="W210" s="777">
        <f>$G$22*$M$9*'Traffic Data'!AY31*annualizationFactor</f>
        <v>1.0476936557045454E-2</v>
      </c>
      <c r="X210" s="777">
        <f>$G$22*$M$9*'Traffic Data'!AZ31*annualizationFactor</f>
        <v>1.0658361383181818E-2</v>
      </c>
      <c r="Y210" s="777">
        <f>$G$22*$M$9*'Traffic Data'!BA31*annualizationFactor</f>
        <v>1.0839786209318181E-2</v>
      </c>
      <c r="Z210" s="777">
        <f>$G$22*$M$9*'Traffic Data'!BB31*annualizationFactor</f>
        <v>1.1021278118030303E-2</v>
      </c>
      <c r="AA210" s="777">
        <f>$G$22*$M$9*'Traffic Data'!BC31*annualizationFactor</f>
        <v>1.1202702944166663E-2</v>
      </c>
      <c r="AB210" s="777">
        <f>$G$22*$M$9*'Traffic Data'!BD31*annualizationFactor</f>
        <v>1.138419485287879E-2</v>
      </c>
      <c r="AC210" s="777">
        <f>$G$22*$M$9*'Traffic Data'!BE31*annualizationFactor</f>
        <v>1.1565619679015151E-2</v>
      </c>
      <c r="AD210" s="777">
        <f>$G$22*$M$9*'Traffic Data'!BF31*annualizationFactor</f>
        <v>1.1747044505151516E-2</v>
      </c>
      <c r="AE210" s="777">
        <f>$G$22*$M$9*'Traffic Data'!BG31*annualizationFactor</f>
        <v>1.1928536413863638E-2</v>
      </c>
      <c r="AF210" s="777">
        <f>$G$22*$M$9*'Traffic Data'!BH31*annualizationFactor</f>
        <v>1.2109961240000003E-2</v>
      </c>
      <c r="AG210" s="777">
        <f>$G$22*$M$9*'Traffic Data'!BI31*annualizationFactor</f>
        <v>1.2291386066136363E-2</v>
      </c>
      <c r="AH210" s="778">
        <f>$G$22*$M$9*'Traffic Data'!BJ31*annualizationFactor</f>
        <v>1.2472877974848483E-2</v>
      </c>
      <c r="AI210" s="40"/>
      <c r="AJ210" s="40"/>
      <c r="AK210" s="40"/>
      <c r="AL210" s="40"/>
      <c r="AM210" s="40"/>
    </row>
    <row r="211" spans="2:39" ht="21.95" customHeight="1" x14ac:dyDescent="0.2">
      <c r="B211" s="492"/>
      <c r="C211" s="116" t="s">
        <v>346</v>
      </c>
      <c r="D211" s="116" t="s">
        <v>343</v>
      </c>
      <c r="E211" s="116" t="s">
        <v>467</v>
      </c>
      <c r="F211" s="116" t="s">
        <v>41</v>
      </c>
      <c r="G211" s="970"/>
      <c r="H211" s="970"/>
      <c r="I211" s="777">
        <f>$G$22*$M$9*'Traffic Data'!AK32*annualizationFactor</f>
        <v>1.260909090909091E-3</v>
      </c>
      <c r="J211" s="777">
        <f>$G$22*$M$9*'Traffic Data'!AL32*annualizationFactor</f>
        <v>1.3057792045454545E-3</v>
      </c>
      <c r="K211" s="777">
        <f>$G$22*$M$9*'Traffic Data'!AM32*annualizationFactor</f>
        <v>1.3546112272727273E-3</v>
      </c>
      <c r="L211" s="777">
        <f>$G$22*$M$9*'Traffic Data'!AN32*annualizationFactor</f>
        <v>1.4479732500000005E-3</v>
      </c>
      <c r="M211" s="777">
        <f>$G$22*$M$9*'Traffic Data'!AO32*annualizationFactor</f>
        <v>1.5413717727272732E-3</v>
      </c>
      <c r="N211" s="777">
        <f>$G$22*$M$9*'Traffic Data'!AP32*annualizationFactor</f>
        <v>1.6347835681818181E-3</v>
      </c>
      <c r="O211" s="777">
        <f>$G$22*$M$9*'Traffic Data'!AQ32*annualizationFactor</f>
        <v>1.7281455909090909E-3</v>
      </c>
      <c r="P211" s="777">
        <f>$G$22*$M$9*'Traffic Data'!AR32*annualizationFactor</f>
        <v>1.8215855909090909E-3</v>
      </c>
      <c r="Q211" s="777">
        <f>$G$22*$M$9*'Traffic Data'!AS32*annualizationFactor</f>
        <v>1.9497835454545451E-3</v>
      </c>
      <c r="R211" s="777">
        <f>$G$22*$M$9*'Traffic Data'!AT32*annualizationFactor</f>
        <v>2.0780063863636363E-3</v>
      </c>
      <c r="S211" s="777">
        <f>$G$22*$M$9*'Traffic Data'!AU32*annualizationFactor</f>
        <v>2.2061877500000001E-3</v>
      </c>
      <c r="T211" s="777">
        <f>$G$22*$M$9*'Traffic Data'!AV32*annualizationFactor</f>
        <v>2.3343857045454545E-3</v>
      </c>
      <c r="U211" s="777">
        <f>$G$22*$M$9*'Traffic Data'!AW32*annualizationFactor</f>
        <v>2.4626832045454542E-3</v>
      </c>
      <c r="V211" s="777">
        <f>$G$22*$M$9*'Traffic Data'!AX32*annualizationFactor</f>
        <v>2.5462930909090904E-3</v>
      </c>
      <c r="W211" s="777">
        <f>$G$22*$M$9*'Traffic Data'!AY32*annualizationFactor</f>
        <v>2.5911632045454544E-3</v>
      </c>
      <c r="X211" s="777">
        <f>$G$22*$M$9*'Traffic Data'!AZ32*annualizationFactor</f>
        <v>2.636033318181818E-3</v>
      </c>
      <c r="Y211" s="777">
        <f>$G$22*$M$9*'Traffic Data'!BA32*annualizationFactor</f>
        <v>2.680903431818182E-3</v>
      </c>
      <c r="Z211" s="777">
        <f>$G$22*$M$9*'Traffic Data'!BB32*annualizationFactor</f>
        <v>2.7257901363636362E-3</v>
      </c>
      <c r="AA211" s="777">
        <f>$G$22*$M$9*'Traffic Data'!BC32*annualizationFactor</f>
        <v>2.7706602499999993E-3</v>
      </c>
      <c r="AB211" s="777">
        <f>$G$22*$M$9*'Traffic Data'!BD32*annualizationFactor</f>
        <v>2.8155469545454548E-3</v>
      </c>
      <c r="AC211" s="777">
        <f>$G$22*$M$9*'Traffic Data'!BE32*annualizationFactor</f>
        <v>2.8604170681818179E-3</v>
      </c>
      <c r="AD211" s="777">
        <f>$G$22*$M$9*'Traffic Data'!BF32*annualizationFactor</f>
        <v>2.9052871818181819E-3</v>
      </c>
      <c r="AE211" s="777">
        <f>$G$22*$M$9*'Traffic Data'!BG32*annualizationFactor</f>
        <v>2.9501738863636365E-3</v>
      </c>
      <c r="AF211" s="777">
        <f>$G$22*$M$9*'Traffic Data'!BH32*annualizationFactor</f>
        <v>2.9950440000000005E-3</v>
      </c>
      <c r="AG211" s="777">
        <f>$G$22*$M$9*'Traffic Data'!BI32*annualizationFactor</f>
        <v>3.0399141136363641E-3</v>
      </c>
      <c r="AH211" s="778">
        <f>$G$22*$M$9*'Traffic Data'!BJ32*annualizationFactor</f>
        <v>3.0848008181818174E-3</v>
      </c>
      <c r="AI211" s="40"/>
      <c r="AJ211" s="40"/>
      <c r="AK211" s="40"/>
      <c r="AL211" s="40"/>
      <c r="AM211" s="40"/>
    </row>
    <row r="212" spans="2:39" ht="21.95" customHeight="1" x14ac:dyDescent="0.2">
      <c r="B212" s="492"/>
      <c r="C212" s="116" t="s">
        <v>343</v>
      </c>
      <c r="D212" s="116" t="s">
        <v>350</v>
      </c>
      <c r="E212" s="116" t="s">
        <v>467</v>
      </c>
      <c r="F212" s="116" t="s">
        <v>41</v>
      </c>
      <c r="G212" s="970"/>
      <c r="H212" s="970"/>
      <c r="I212" s="777">
        <f>$G$22*$M$9*'Traffic Data'!AK33*annualizationFactor</f>
        <v>3.2352272727272733E-3</v>
      </c>
      <c r="J212" s="777">
        <f>$G$22*$M$9*'Traffic Data'!AL33*annualizationFactor</f>
        <v>3.3466431079545458E-3</v>
      </c>
      <c r="K212" s="777">
        <f>$G$22*$M$9*'Traffic Data'!AM33*annualizationFactor</f>
        <v>3.4709459318181821E-3</v>
      </c>
      <c r="L212" s="777">
        <f>$G$22*$M$9*'Traffic Data'!AN33*annualizationFactor</f>
        <v>3.6880889943181829E-3</v>
      </c>
      <c r="M212" s="777">
        <f>$G$22*$M$9*'Traffic Data'!AO33*annualizationFactor</f>
        <v>3.9053614659090912E-3</v>
      </c>
      <c r="N212" s="777">
        <f>$G$22*$M$9*'Traffic Data'!AP33*annualizationFactor</f>
        <v>4.1225584488636374E-3</v>
      </c>
      <c r="O212" s="777">
        <f>$G$22*$M$9*'Traffic Data'!AQ33*annualizationFactor</f>
        <v>4.3397015113636377E-3</v>
      </c>
      <c r="P212" s="777">
        <f>$G$22*$M$9*'Traffic Data'!AR33*annualizationFactor</f>
        <v>4.5570656477272736E-3</v>
      </c>
      <c r="Q212" s="777">
        <f>$G$22*$M$9*'Traffic Data'!AS33*annualizationFactor</f>
        <v>4.8370098636363644E-3</v>
      </c>
      <c r="R212" s="777">
        <f>$G$22*$M$9*'Traffic Data'!AT33*annualizationFactor</f>
        <v>5.1171104488636383E-3</v>
      </c>
      <c r="S212" s="777">
        <f>$G$22*$M$9*'Traffic Data'!AU33*annualizationFactor</f>
        <v>5.3970007443181808E-3</v>
      </c>
      <c r="T212" s="777">
        <f>$G$22*$M$9*'Traffic Data'!AV33*annualizationFactor</f>
        <v>5.6769449602272724E-3</v>
      </c>
      <c r="U212" s="777">
        <f>$G$22*$M$9*'Traffic Data'!AW33*annualizationFactor</f>
        <v>5.9571264261363641E-3</v>
      </c>
      <c r="V212" s="777">
        <f>$G$22*$M$9*'Traffic Data'!AX33*annualizationFactor</f>
        <v>6.1440848181818185E-3</v>
      </c>
      <c r="W212" s="777">
        <f>$G$22*$M$9*'Traffic Data'!AY33*annualizationFactor</f>
        <v>6.2555006534090931E-3</v>
      </c>
      <c r="X212" s="777">
        <f>$G$22*$M$9*'Traffic Data'!AZ33*annualizationFactor</f>
        <v>6.3669164886363643E-3</v>
      </c>
      <c r="Y212" s="777">
        <f>$G$22*$M$9*'Traffic Data'!BA33*annualizationFactor</f>
        <v>6.4783323238636397E-3</v>
      </c>
      <c r="Z212" s="777">
        <f>$G$22*$M$9*'Traffic Data'!BB33*annualizationFactor</f>
        <v>6.5898128636363677E-3</v>
      </c>
      <c r="AA212" s="777">
        <f>$G$22*$M$9*'Traffic Data'!BC33*annualizationFactor</f>
        <v>6.701228698863638E-3</v>
      </c>
      <c r="AB212" s="777">
        <f>$G$22*$M$9*'Traffic Data'!BD33*annualizationFactor</f>
        <v>6.8127092386363617E-3</v>
      </c>
      <c r="AC212" s="777">
        <f>$G$22*$M$9*'Traffic Data'!BE33*annualizationFactor</f>
        <v>6.924125073863638E-3</v>
      </c>
      <c r="AD212" s="777">
        <f>$G$22*$M$9*'Traffic Data'!BF33*annualizationFactor</f>
        <v>7.0355409090909092E-3</v>
      </c>
      <c r="AE212" s="777">
        <f>$G$22*$M$9*'Traffic Data'!BG33*annualizationFactor</f>
        <v>7.1470214488636372E-3</v>
      </c>
      <c r="AF212" s="777">
        <f>$G$22*$M$9*'Traffic Data'!BH33*annualizationFactor</f>
        <v>7.25843728409091E-3</v>
      </c>
      <c r="AG212" s="777">
        <f>$G$22*$M$9*'Traffic Data'!BI33*annualizationFactor</f>
        <v>7.3698531193181821E-3</v>
      </c>
      <c r="AH212" s="778">
        <f>$G$22*$M$9*'Traffic Data'!BJ33*annualizationFactor</f>
        <v>7.4813336590909101E-3</v>
      </c>
      <c r="AI212" s="40"/>
      <c r="AJ212" s="40"/>
      <c r="AK212" s="40"/>
      <c r="AL212" s="40"/>
      <c r="AM212" s="40"/>
    </row>
    <row r="213" spans="2:39" ht="21.95" customHeight="1" x14ac:dyDescent="0.2">
      <c r="B213" s="492"/>
      <c r="C213" s="116" t="s">
        <v>350</v>
      </c>
      <c r="D213" s="116" t="s">
        <v>280</v>
      </c>
      <c r="E213" s="116" t="s">
        <v>467</v>
      </c>
      <c r="F213" s="116" t="s">
        <v>41</v>
      </c>
      <c r="G213" s="970"/>
      <c r="H213" s="970"/>
      <c r="I213" s="777">
        <f>$G$22*$M$9*'Traffic Data'!AK34*annualizationFactor</f>
        <v>2.6860681818181822E-2</v>
      </c>
      <c r="J213" s="777">
        <f>$G$22*$M$9*'Traffic Data'!AL34*annualizationFactor</f>
        <v>2.7785718932196973E-2</v>
      </c>
      <c r="K213" s="777">
        <f>$G$22*$M$9*'Traffic Data'!AM34*annualizationFactor</f>
        <v>2.8817751095454543E-2</v>
      </c>
      <c r="L213" s="777">
        <f>$G$22*$M$9*'Traffic Data'!AN34*annualizationFactor</f>
        <v>3.0620595291287883E-2</v>
      </c>
      <c r="M213" s="777">
        <f>$G$22*$M$9*'Traffic Data'!AO34*annualizationFactor</f>
        <v>3.2424513914393945E-2</v>
      </c>
      <c r="N213" s="777">
        <f>$G$22*$M$9*'Traffic Data'!AP34*annualizationFactor</f>
        <v>3.4227805788257591E-2</v>
      </c>
      <c r="O213" s="777">
        <f>$G$22*$M$9*'Traffic Data'!AQ34*annualizationFactor</f>
        <v>3.6030649984090918E-2</v>
      </c>
      <c r="P213" s="777">
        <f>$G$22*$M$9*'Traffic Data'!AR34*annualizationFactor</f>
        <v>3.7835329659848496E-2</v>
      </c>
      <c r="Q213" s="777">
        <f>$G$22*$M$9*'Traffic Data'!AS34*annualizationFactor</f>
        <v>4.0159584457575767E-2</v>
      </c>
      <c r="R213" s="777">
        <f>$G$22*$M$9*'Traffic Data'!AT34*annualizationFactor</f>
        <v>4.2485137521590922E-2</v>
      </c>
      <c r="S213" s="777">
        <f>$G$22*$M$9*'Traffic Data'!AU34*annualizationFactor</f>
        <v>4.4808944641287866E-2</v>
      </c>
      <c r="T213" s="777">
        <f>$G$22*$M$9*'Traffic Data'!AV34*annualizationFactor</f>
        <v>4.7133199439015158E-2</v>
      </c>
      <c r="U213" s="777">
        <f>$G$22*$M$9*'Traffic Data'!AW34*annualizationFactor</f>
        <v>4.9459424020075762E-2</v>
      </c>
      <c r="V213" s="777">
        <f>$G$22*$M$9*'Traffic Data'!AX34*annualizationFactor</f>
        <v>5.101165805454546E-2</v>
      </c>
      <c r="W213" s="777">
        <f>$G$22*$M$9*'Traffic Data'!AY34*annualizationFactor</f>
        <v>5.1936695168560615E-2</v>
      </c>
      <c r="X213" s="777">
        <f>$G$22*$M$9*'Traffic Data'!AZ34*annualizationFactor</f>
        <v>5.286173228257577E-2</v>
      </c>
      <c r="Y213" s="777">
        <f>$G$22*$M$9*'Traffic Data'!BA34*annualizationFactor</f>
        <v>5.3786769396590939E-2</v>
      </c>
      <c r="Z213" s="777">
        <f>$G$22*$M$9*'Traffic Data'!BB34*annualizationFactor</f>
        <v>5.4712343724242447E-2</v>
      </c>
      <c r="AA213" s="777">
        <f>$G$22*$M$9*'Traffic Data'!BC34*annualizationFactor</f>
        <v>5.5637380838257595E-2</v>
      </c>
      <c r="AB213" s="777">
        <f>$G$22*$M$9*'Traffic Data'!BD34*annualizationFactor</f>
        <v>5.6562955165909083E-2</v>
      </c>
      <c r="AC213" s="777">
        <f>$G$22*$M$9*'Traffic Data'!BE34*annualizationFactor</f>
        <v>5.7487992279924252E-2</v>
      </c>
      <c r="AD213" s="777">
        <f>$G$22*$M$9*'Traffic Data'!BF34*annualizationFactor</f>
        <v>5.8413029393939386E-2</v>
      </c>
      <c r="AE213" s="777">
        <f>$G$22*$M$9*'Traffic Data'!BG34*annualizationFactor</f>
        <v>5.9338603721590923E-2</v>
      </c>
      <c r="AF213" s="777">
        <f>$G$22*$M$9*'Traffic Data'!BH34*annualizationFactor</f>
        <v>6.0263640835606078E-2</v>
      </c>
      <c r="AG213" s="777">
        <f>$G$22*$M$9*'Traffic Data'!BI34*annualizationFactor</f>
        <v>6.1188677949621212E-2</v>
      </c>
      <c r="AH213" s="778">
        <f>$G$22*$M$9*'Traffic Data'!BJ34*annualizationFactor</f>
        <v>6.2114252277272734E-2</v>
      </c>
      <c r="AI213" s="40"/>
      <c r="AJ213" s="40"/>
      <c r="AK213" s="40"/>
      <c r="AL213" s="40"/>
      <c r="AM213" s="40"/>
    </row>
    <row r="214" spans="2:39" ht="21.95" customHeight="1" x14ac:dyDescent="0.2">
      <c r="B214" s="493"/>
      <c r="C214" s="254" t="s">
        <v>280</v>
      </c>
      <c r="D214" s="254" t="s">
        <v>333</v>
      </c>
      <c r="E214" s="254" t="s">
        <v>467</v>
      </c>
      <c r="F214" s="254" t="s">
        <v>41</v>
      </c>
      <c r="G214" s="779"/>
      <c r="H214" s="779"/>
      <c r="I214" s="779">
        <f>$G$22*$M$9*'Traffic Data'!AK35*annualizationFactor</f>
        <v>6.6363636363636364E-4</v>
      </c>
      <c r="J214" s="779">
        <f>$G$22*$M$9*'Traffic Data'!AL35*annualizationFactor</f>
        <v>6.8649089393939397E-4</v>
      </c>
      <c r="K214" s="779">
        <f>$G$22*$M$9*'Traffic Data'!AM35*annualizationFactor</f>
        <v>7.1198890909090909E-4</v>
      </c>
      <c r="L214" s="779">
        <f>$G$22*$M$9*'Traffic Data'!AN35*annualizationFactor</f>
        <v>7.5653107575757584E-4</v>
      </c>
      <c r="M214" s="779">
        <f>$G$22*$M$9*'Traffic Data'!AO35*annualizationFactor</f>
        <v>8.0109978787878792E-4</v>
      </c>
      <c r="N214" s="779">
        <f>$G$22*$M$9*'Traffic Data'!AP35*annualizationFactor</f>
        <v>8.4565301515151549E-4</v>
      </c>
      <c r="O214" s="779">
        <f>$G$22*$M$9*'Traffic Data'!AQ35*annualizationFactor</f>
        <v>8.9019518181818213E-4</v>
      </c>
      <c r="P214" s="779">
        <f>$G$22*$M$9*'Traffic Data'!AR35*annualizationFactor</f>
        <v>9.3478269696969723E-4</v>
      </c>
      <c r="Q214" s="779">
        <f>$G$22*$M$9*'Traffic Data'!AS35*annualizationFactor</f>
        <v>9.9220715151515193E-4</v>
      </c>
      <c r="R214" s="779">
        <f>$G$22*$M$9*'Traffic Data'!AT35*annualizationFactor</f>
        <v>1.0496636818181824E-3</v>
      </c>
      <c r="S214" s="779">
        <f>$G$22*$M$9*'Traffic Data'!AU35*annualizationFactor</f>
        <v>1.1070770757575755E-3</v>
      </c>
      <c r="T214" s="779">
        <f>$G$22*$M$9*'Traffic Data'!AV35*annualizationFactor</f>
        <v>1.1645015303030305E-3</v>
      </c>
      <c r="U214" s="779">
        <f>$G$22*$M$9*'Traffic Data'!AW35*annualizationFactor</f>
        <v>1.2219746515151515E-3</v>
      </c>
      <c r="V214" s="779">
        <f>$G$22*$M$9*'Traffic Data'!AX35*annualizationFactor</f>
        <v>1.2603250909090911E-3</v>
      </c>
      <c r="W214" s="779">
        <f>$G$22*$M$9*'Traffic Data'!AY35*annualizationFactor</f>
        <v>1.2831796212121216E-3</v>
      </c>
      <c r="X214" s="779">
        <f>$G$22*$M$9*'Traffic Data'!AZ35*annualizationFactor</f>
        <v>1.306034151515152E-3</v>
      </c>
      <c r="Y214" s="779">
        <f>$G$22*$M$9*'Traffic Data'!BA35*annualizationFactor</f>
        <v>1.3288886818181825E-3</v>
      </c>
      <c r="Z214" s="779">
        <f>$G$22*$M$9*'Traffic Data'!BB35*annualizationFactor</f>
        <v>1.3517564848484855E-3</v>
      </c>
      <c r="AA214" s="779">
        <f>$G$22*$M$9*'Traffic Data'!BC35*annualizationFactor</f>
        <v>1.3746110151515154E-3</v>
      </c>
      <c r="AB214" s="779">
        <f>$G$22*$M$9*'Traffic Data'!BD35*annualizationFactor</f>
        <v>1.3974788181818183E-3</v>
      </c>
      <c r="AC214" s="779">
        <f>$G$22*$M$9*'Traffic Data'!BE35*annualizationFactor</f>
        <v>1.4203333484848488E-3</v>
      </c>
      <c r="AD214" s="779">
        <f>$G$22*$M$9*'Traffic Data'!BF35*annualizationFactor</f>
        <v>1.4431878787878791E-3</v>
      </c>
      <c r="AE214" s="779">
        <f>$G$22*$M$9*'Traffic Data'!BG35*annualizationFactor</f>
        <v>1.4660556818181822E-3</v>
      </c>
      <c r="AF214" s="779">
        <f>$G$22*$M$9*'Traffic Data'!BH35*annualizationFactor</f>
        <v>1.4889102121212123E-3</v>
      </c>
      <c r="AG214" s="779">
        <f>$G$22*$M$9*'Traffic Data'!BI35*annualizationFactor</f>
        <v>1.5117647424242428E-3</v>
      </c>
      <c r="AH214" s="783">
        <f>$G$22*$M$9*'Traffic Data'!BJ35*annualizationFactor</f>
        <v>1.5346325454545456E-3</v>
      </c>
      <c r="AI214" s="40"/>
      <c r="AJ214" s="40"/>
      <c r="AK214" s="40"/>
      <c r="AL214" s="40"/>
      <c r="AM214" s="40"/>
    </row>
    <row r="215" spans="2:39" ht="21.95" customHeight="1" x14ac:dyDescent="0.2">
      <c r="B215" s="1108" t="s">
        <v>495</v>
      </c>
      <c r="C215" s="809"/>
      <c r="D215" s="809"/>
      <c r="E215" s="240"/>
      <c r="F215" s="240"/>
      <c r="G215" s="969">
        <f>SUM(G186:G214)</f>
        <v>0</v>
      </c>
      <c r="H215" s="969">
        <f>SUM(H186:H214)</f>
        <v>0</v>
      </c>
      <c r="I215" s="785">
        <f t="shared" ref="I215:AH215" si="5">SUM(I186:I214)</f>
        <v>0.77110789162121207</v>
      </c>
      <c r="J215" s="785">
        <f t="shared" si="5"/>
        <v>0.79922908406478033</v>
      </c>
      <c r="K215" s="785">
        <f t="shared" si="5"/>
        <v>0.844425114835053</v>
      </c>
      <c r="L215" s="785">
        <f t="shared" si="5"/>
        <v>0.9187945187502502</v>
      </c>
      <c r="M215" s="785">
        <f t="shared" si="5"/>
        <v>0.99319916252009088</v>
      </c>
      <c r="N215" s="785">
        <f t="shared" si="5"/>
        <v>1.0676085321733333</v>
      </c>
      <c r="O215" s="785">
        <f t="shared" si="5"/>
        <v>1.1419779360885305</v>
      </c>
      <c r="P215" s="785">
        <f t="shared" si="5"/>
        <v>1.216416215607697</v>
      </c>
      <c r="Q215" s="785">
        <f t="shared" si="5"/>
        <v>1.2930383130510759</v>
      </c>
      <c r="R215" s="785">
        <f t="shared" si="5"/>
        <v>1.3696734104389772</v>
      </c>
      <c r="S215" s="785">
        <f t="shared" si="5"/>
        <v>1.446293082249416</v>
      </c>
      <c r="T215" s="785">
        <f t="shared" si="5"/>
        <v>1.5229159418127955</v>
      </c>
      <c r="U215" s="785">
        <f t="shared" si="5"/>
        <v>1.5996052835877654</v>
      </c>
      <c r="V215" s="785">
        <f t="shared" si="5"/>
        <v>1.6470150615439543</v>
      </c>
      <c r="W215" s="785">
        <f t="shared" si="5"/>
        <v>1.6751928581875228</v>
      </c>
      <c r="X215" s="785">
        <f t="shared" si="5"/>
        <v>1.703376754711091</v>
      </c>
      <c r="Y215" s="785">
        <f t="shared" si="5"/>
        <v>1.731558391154659</v>
      </c>
      <c r="Z215" s="785">
        <f t="shared" si="5"/>
        <v>1.7597547827785307</v>
      </c>
      <c r="AA215" s="785">
        <f t="shared" si="5"/>
        <v>1.7879364192220983</v>
      </c>
      <c r="AB215" s="785">
        <f t="shared" si="5"/>
        <v>1.81613281084597</v>
      </c>
      <c r="AC215" s="785">
        <f t="shared" si="5"/>
        <v>1.8443144472895381</v>
      </c>
      <c r="AD215" s="785">
        <f t="shared" si="5"/>
        <v>1.8724960837331064</v>
      </c>
      <c r="AE215" s="785">
        <f t="shared" si="5"/>
        <v>1.900691657756977</v>
      </c>
      <c r="AF215" s="785">
        <f t="shared" si="5"/>
        <v>1.9288755542805454</v>
      </c>
      <c r="AG215" s="785">
        <f t="shared" si="5"/>
        <v>1.9570541685241138</v>
      </c>
      <c r="AH215" s="786">
        <f t="shared" si="5"/>
        <v>1.9852505601479848</v>
      </c>
      <c r="AI215" s="40"/>
      <c r="AJ215" s="40"/>
      <c r="AK215" s="40"/>
      <c r="AL215" s="40"/>
      <c r="AM215" s="40"/>
    </row>
    <row r="216" spans="2:39" ht="21.95" customHeight="1" x14ac:dyDescent="0.2">
      <c r="B216" s="787" t="s">
        <v>328</v>
      </c>
      <c r="C216" s="1344" t="s">
        <v>18</v>
      </c>
      <c r="D216" s="1344"/>
      <c r="E216" s="46" t="s">
        <v>24</v>
      </c>
      <c r="F216" s="46" t="s">
        <v>42</v>
      </c>
      <c r="G216" s="123" cm="1">
        <f t="array" ref="G216:AH216">year</f>
        <v>2021</v>
      </c>
      <c r="H216" s="123">
        <v>2022</v>
      </c>
      <c r="I216" s="46">
        <v>2023</v>
      </c>
      <c r="J216" s="46">
        <v>2024</v>
      </c>
      <c r="K216" s="46">
        <v>2025</v>
      </c>
      <c r="L216" s="46">
        <v>2026</v>
      </c>
      <c r="M216" s="46">
        <v>2027</v>
      </c>
      <c r="N216" s="46">
        <v>2028</v>
      </c>
      <c r="O216" s="46">
        <v>2029</v>
      </c>
      <c r="P216" s="46">
        <v>2030</v>
      </c>
      <c r="Q216" s="46">
        <v>2031</v>
      </c>
      <c r="R216" s="46">
        <v>2032</v>
      </c>
      <c r="S216" s="46">
        <v>2033</v>
      </c>
      <c r="T216" s="46">
        <v>2034</v>
      </c>
      <c r="U216" s="46">
        <v>2035</v>
      </c>
      <c r="V216" s="46">
        <v>2036</v>
      </c>
      <c r="W216" s="46">
        <v>2037</v>
      </c>
      <c r="X216" s="46">
        <v>2038</v>
      </c>
      <c r="Y216" s="46">
        <v>2039</v>
      </c>
      <c r="Z216" s="46">
        <v>2040</v>
      </c>
      <c r="AA216" s="46">
        <v>2041</v>
      </c>
      <c r="AB216" s="46">
        <v>2042</v>
      </c>
      <c r="AC216" s="46">
        <v>2043</v>
      </c>
      <c r="AD216" s="46">
        <v>2044</v>
      </c>
      <c r="AE216" s="46">
        <v>2045</v>
      </c>
      <c r="AF216" s="46">
        <v>2046</v>
      </c>
      <c r="AG216" s="46">
        <v>2047</v>
      </c>
      <c r="AH216" s="495">
        <v>2048</v>
      </c>
      <c r="AI216" s="40"/>
      <c r="AJ216" s="40"/>
      <c r="AK216" s="40"/>
      <c r="AL216" s="40"/>
      <c r="AM216" s="40"/>
    </row>
    <row r="217" spans="2:39" ht="21.95" customHeight="1" x14ac:dyDescent="0.2">
      <c r="B217" s="1346" t="s">
        <v>331</v>
      </c>
      <c r="C217" s="220" t="s">
        <v>332</v>
      </c>
      <c r="D217" s="220" t="s">
        <v>282</v>
      </c>
      <c r="E217" s="220" t="s">
        <v>19</v>
      </c>
      <c r="F217" s="220" t="s">
        <v>40</v>
      </c>
      <c r="G217" s="775"/>
      <c r="H217" s="775"/>
      <c r="I217" s="775">
        <f>$H$21*$E$8*'Traffic Data'!AK7*annualizationFactor</f>
        <v>1242.53008</v>
      </c>
      <c r="J217" s="775">
        <f>$H$21*$E$8*'Traffic Data'!AL7*annualizationFactor</f>
        <v>1299.694229493</v>
      </c>
      <c r="K217" s="775">
        <f>$H$21*$E$8*'Traffic Data'!AM7*annualizationFactor</f>
        <v>1379.9655555675004</v>
      </c>
      <c r="L217" s="775">
        <f>$H$21*$E$8*'Traffic Data'!AN7*annualizationFactor</f>
        <v>1497.7224609929999</v>
      </c>
      <c r="M217" s="775">
        <f>$H$21*$E$8*'Traffic Data'!AO7*annualizationFactor</f>
        <v>1615.5220783900002</v>
      </c>
      <c r="N217" s="775">
        <f>$H$21*$E$8*'Traffic Data'!AP7*annualizationFactor</f>
        <v>1733.3255786934997</v>
      </c>
      <c r="O217" s="775">
        <f>$H$21*$E$8*'Traffic Data'!AQ7*annualizationFactor</f>
        <v>1851.0824841189997</v>
      </c>
      <c r="P217" s="775">
        <f>$H$21*$E$8*'Traffic Data'!AR7*annualizationFactor</f>
        <v>1968.9286963939994</v>
      </c>
      <c r="Q217" s="775">
        <f>$H$21*$E$8*'Traffic Data'!AS7*annualizationFactor</f>
        <v>2085.3848281420001</v>
      </c>
      <c r="R217" s="775">
        <f>$H$21*$E$8*'Traffic Data'!AT7*annualizationFactor</f>
        <v>2201.8642573289999</v>
      </c>
      <c r="S217" s="775">
        <f>$H$21*$E$8*'Traffic Data'!AU7*annualizationFactor</f>
        <v>2318.3203890770001</v>
      </c>
      <c r="T217" s="775">
        <f>$H$21*$E$8*'Traffic Data'!AV7*annualizationFactor</f>
        <v>2434.7765208250003</v>
      </c>
      <c r="U217" s="775">
        <f>$H$21*$E$8*'Traffic Data'!AW7*annualizationFactor</f>
        <v>2551.3258423290004</v>
      </c>
      <c r="V217" s="775">
        <f>$H$21*$E$8*'Traffic Data'!AX7*annualizationFactor</f>
        <v>2630.2497998479998</v>
      </c>
      <c r="W217" s="775">
        <f>$H$21*$E$8*'Traffic Data'!AY7*annualizationFactor</f>
        <v>2687.4139493409998</v>
      </c>
      <c r="X217" s="775">
        <f>$H$21*$E$8*'Traffic Data'!AZ7*annualizationFactor</f>
        <v>2744.5780988339998</v>
      </c>
      <c r="Y217" s="775">
        <f>$H$21*$E$8*'Traffic Data'!BA7*annualizationFactor</f>
        <v>2801.7422483270002</v>
      </c>
      <c r="Z217" s="775">
        <f>$H$21*$E$8*'Traffic Data'!BB7*annualizationFactor</f>
        <v>2858.9296952590003</v>
      </c>
      <c r="AA217" s="775">
        <f>$H$21*$E$8*'Traffic Data'!BC7*annualizationFactor</f>
        <v>2916.0938447519998</v>
      </c>
      <c r="AB217" s="775">
        <f>$H$21*$E$8*'Traffic Data'!BD7*annualizationFactor</f>
        <v>2973.2812916839994</v>
      </c>
      <c r="AC217" s="775">
        <f>$H$21*$E$8*'Traffic Data'!BE7*annualizationFactor</f>
        <v>3030.4454411770007</v>
      </c>
      <c r="AD217" s="775">
        <f>$H$21*$E$8*'Traffic Data'!BF7*annualizationFactor</f>
        <v>3087.6095906700002</v>
      </c>
      <c r="AE217" s="775">
        <f>$H$21*$E$8*'Traffic Data'!BG7*annualizationFactor</f>
        <v>3144.7970376019994</v>
      </c>
      <c r="AF217" s="775">
        <f>$H$21*$E$8*'Traffic Data'!BH7*annualizationFactor</f>
        <v>3201.9611870949998</v>
      </c>
      <c r="AG217" s="775">
        <f>$H$21*$E$8*'Traffic Data'!BI7*annualizationFactor</f>
        <v>3259.1253365879998</v>
      </c>
      <c r="AH217" s="776">
        <f>$H$21*$E$8*'Traffic Data'!BJ7*annualizationFactor</f>
        <v>3316.3127835199994</v>
      </c>
      <c r="AI217" s="40"/>
      <c r="AJ217" s="40"/>
      <c r="AK217" s="40"/>
      <c r="AL217" s="40"/>
      <c r="AM217" s="40"/>
    </row>
    <row r="218" spans="2:39" ht="21.95" customHeight="1" x14ac:dyDescent="0.2">
      <c r="B218" s="1346"/>
      <c r="C218" s="116" t="s">
        <v>282</v>
      </c>
      <c r="D218" s="116" t="s">
        <v>280</v>
      </c>
      <c r="E218" s="116" t="s">
        <v>19</v>
      </c>
      <c r="F218" s="116" t="s">
        <v>40</v>
      </c>
      <c r="G218" s="970"/>
      <c r="H218" s="970"/>
      <c r="I218" s="777">
        <f>$H$21*$E$8*'Traffic Data'!AK8*annualizationFactor</f>
        <v>39953.993175000003</v>
      </c>
      <c r="J218" s="777">
        <f>$H$21*$E$8*'Traffic Data'!AL8*annualizationFactor</f>
        <v>42167.296419142498</v>
      </c>
      <c r="K218" s="777">
        <f>$H$21*$E$8*'Traffic Data'!AM8*annualizationFactor</f>
        <v>44733.970536255001</v>
      </c>
      <c r="L218" s="777">
        <f>$H$21*$E$8*'Traffic Data'!AN8*annualizationFactor</f>
        <v>49523.270495917503</v>
      </c>
      <c r="M218" s="777">
        <f>$H$21*$E$8*'Traffic Data'!AO8*annualizationFactor</f>
        <v>54314.346188610012</v>
      </c>
      <c r="N218" s="777">
        <f>$H$21*$E$8*'Traffic Data'!AP8*annualizationFactor</f>
        <v>59106.309747817511</v>
      </c>
      <c r="O218" s="777">
        <f>$H$21*$E$8*'Traffic Data'!AQ8*annualizationFactor</f>
        <v>63895.609707480013</v>
      </c>
      <c r="P218" s="777">
        <f>$H$21*$E$8*'Traffic Data'!AR8*annualizationFactor</f>
        <v>68689.496977470015</v>
      </c>
      <c r="Q218" s="777">
        <f>$H$21*$E$8*'Traffic Data'!AS8*annualizationFactor</f>
        <v>74372.138628975008</v>
      </c>
      <c r="R218" s="777">
        <f>$H$21*$E$8*'Traffic Data'!AT8*annualizationFactor</f>
        <v>80056.4080357575</v>
      </c>
      <c r="S218" s="777">
        <f>$H$21*$E$8*'Traffic Data'!AU8*annualizationFactor</f>
        <v>85739.049687262508</v>
      </c>
      <c r="T218" s="777">
        <f>$H$21*$E$8*'Traffic Data'!AV8*annualizationFactor</f>
        <v>91421.691338767487</v>
      </c>
      <c r="U218" s="777">
        <f>$H$21*$E$8*'Traffic Data'!AW8*annualizationFactor</f>
        <v>97109.956144867494</v>
      </c>
      <c r="V218" s="777">
        <f>$H$21*$E$8*'Traffic Data'!AX8*annualizationFactor</f>
        <v>100567.160376525</v>
      </c>
      <c r="W218" s="777">
        <f>$H$21*$E$8*'Traffic Data'!AY8*annualizationFactor</f>
        <v>102780.46362066749</v>
      </c>
      <c r="X218" s="777">
        <f>$H$21*$E$8*'Traffic Data'!AZ8*annualizationFactor</f>
        <v>104993.76686481001</v>
      </c>
      <c r="Y218" s="777">
        <f>$H$21*$E$8*'Traffic Data'!BA8*annualizationFactor</f>
        <v>107207.0701089525</v>
      </c>
      <c r="Z218" s="777">
        <f>$H$21*$E$8*'Traffic Data'!BB8*annualizationFactor</f>
        <v>109421.85313062002</v>
      </c>
      <c r="AA218" s="777">
        <f>$H$21*$E$8*'Traffic Data'!BC8*annualizationFactor</f>
        <v>111635.1563747625</v>
      </c>
      <c r="AB218" s="777">
        <f>$H$21*$E$8*'Traffic Data'!BD8*annualizationFactor</f>
        <v>113849.93939642997</v>
      </c>
      <c r="AC218" s="777">
        <f>$H$21*$E$8*'Traffic Data'!BE8*annualizationFactor</f>
        <v>116063.24264057251</v>
      </c>
      <c r="AD218" s="777">
        <f>$H$21*$E$8*'Traffic Data'!BF8*annualizationFactor</f>
        <v>118276.545884715</v>
      </c>
      <c r="AE218" s="777">
        <f>$H$21*$E$8*'Traffic Data'!BG8*annualizationFactor</f>
        <v>120491.32890638252</v>
      </c>
      <c r="AF218" s="777">
        <f>$H$21*$E$8*'Traffic Data'!BH8*annualizationFactor</f>
        <v>122704.63215052501</v>
      </c>
      <c r="AG218" s="777">
        <f>$H$21*$E$8*'Traffic Data'!BI8*annualizationFactor</f>
        <v>124917.93539466753</v>
      </c>
      <c r="AH218" s="778">
        <f>$H$21*$E$8*'Traffic Data'!BJ8*annualizationFactor</f>
        <v>127132.71841633502</v>
      </c>
      <c r="AI218" s="40"/>
      <c r="AJ218" s="40"/>
      <c r="AK218" s="40"/>
      <c r="AL218" s="40"/>
      <c r="AM218" s="40"/>
    </row>
    <row r="219" spans="2:39" ht="21.95" customHeight="1" x14ac:dyDescent="0.2">
      <c r="B219" s="1346"/>
      <c r="C219" s="116" t="s">
        <v>280</v>
      </c>
      <c r="D219" s="116" t="s">
        <v>333</v>
      </c>
      <c r="E219" s="254" t="s">
        <v>19</v>
      </c>
      <c r="F219" s="116" t="s">
        <v>40</v>
      </c>
      <c r="G219" s="779"/>
      <c r="H219" s="779"/>
      <c r="I219" s="777">
        <f>$H$21*$E$8*'Traffic Data'!AK9*annualizationFactor</f>
        <v>931.89756</v>
      </c>
      <c r="J219" s="777">
        <f>$H$21*$E$8*'Traffic Data'!AL9*annualizationFactor</f>
        <v>970.81204894299992</v>
      </c>
      <c r="K219" s="777">
        <f>$H$21*$E$8*'Traffic Data'!AM9*annualizationFactor</f>
        <v>1018.9756211689999</v>
      </c>
      <c r="L219" s="777">
        <f>$H$21*$E$8*'Traffic Data'!AN9*annualizationFactor</f>
        <v>1083.820159719</v>
      </c>
      <c r="M219" s="777">
        <f>$H$21*$E$8*'Traffic Data'!AO9*annualizationFactor</f>
        <v>1148.6879957080002</v>
      </c>
      <c r="N219" s="777">
        <f>$H$21*$E$8*'Traffic Data'!AP9*annualizationFactor</f>
        <v>1213.5480658840002</v>
      </c>
      <c r="O219" s="777">
        <f>$H$21*$E$8*'Traffic Data'!AQ9*annualizationFactor</f>
        <v>1278.3926044340003</v>
      </c>
      <c r="P219" s="777">
        <f>$H$21*$E$8*'Traffic Data'!AR9*annualizationFactor</f>
        <v>1343.2837378620006</v>
      </c>
      <c r="Q219" s="777">
        <f>$H$21*$E$8*'Traffic Data'!AS9*annualizationFactor</f>
        <v>1406.1557599099999</v>
      </c>
      <c r="R219" s="777">
        <f>$H$21*$E$8*'Traffic Data'!AT9*annualizationFactor</f>
        <v>1469.0510793969997</v>
      </c>
      <c r="S219" s="777">
        <f>$H$21*$E$8*'Traffic Data'!AU9*annualizationFactor</f>
        <v>1531.9231014449999</v>
      </c>
      <c r="T219" s="777">
        <f>$H$21*$E$8*'Traffic Data'!AV9*annualizationFactor</f>
        <v>1594.7951234930001</v>
      </c>
      <c r="U219" s="777">
        <f>$H$21*$E$8*'Traffic Data'!AW9*annualizationFactor</f>
        <v>1657.713740419</v>
      </c>
      <c r="V219" s="777">
        <f>$H$21*$E$8*'Traffic Data'!AX9*annualizationFactor</f>
        <v>1703.8814987039998</v>
      </c>
      <c r="W219" s="777">
        <f>$H$21*$E$8*'Traffic Data'!AY9*annualizationFactor</f>
        <v>1742.7959876470002</v>
      </c>
      <c r="X219" s="777">
        <f>$H$21*$E$8*'Traffic Data'!AZ9*annualizationFactor</f>
        <v>1781.7104765899996</v>
      </c>
      <c r="Y219" s="777">
        <f>$H$21*$E$8*'Traffic Data'!BA9*annualizationFactor</f>
        <v>1820.624965533</v>
      </c>
      <c r="Z219" s="777">
        <f>$H$21*$E$8*'Traffic Data'!BB9*annualizationFactor</f>
        <v>1859.5549861019999</v>
      </c>
      <c r="AA219" s="777">
        <f>$H$21*$E$8*'Traffic Data'!BC9*annualizationFactor</f>
        <v>1898.4694750450001</v>
      </c>
      <c r="AB219" s="777">
        <f>$H$21*$E$8*'Traffic Data'!BD9*annualizationFactor</f>
        <v>1937.3994956140002</v>
      </c>
      <c r="AC219" s="777">
        <f>$H$21*$E$8*'Traffic Data'!BE9*annualizationFactor</f>
        <v>1976.3139845570006</v>
      </c>
      <c r="AD219" s="777">
        <f>$H$21*$E$8*'Traffic Data'!BF9*annualizationFactor</f>
        <v>2015.2284734999996</v>
      </c>
      <c r="AE219" s="777">
        <f>$H$21*$E$8*'Traffic Data'!BG9*annualizationFactor</f>
        <v>2054.158494069</v>
      </c>
      <c r="AF219" s="777">
        <f>$H$21*$E$8*'Traffic Data'!BH9*annualizationFactor</f>
        <v>2093.0729830120003</v>
      </c>
      <c r="AG219" s="777">
        <f>$H$21*$E$8*'Traffic Data'!BI9*annualizationFactor</f>
        <v>2131.9874719549994</v>
      </c>
      <c r="AH219" s="778">
        <f>$H$21*$E$8*'Traffic Data'!BJ9*annualizationFactor</f>
        <v>2170.917492524</v>
      </c>
      <c r="AI219" s="40"/>
      <c r="AJ219" s="40"/>
      <c r="AK219" s="40"/>
      <c r="AL219" s="40"/>
      <c r="AM219" s="40"/>
    </row>
    <row r="220" spans="2:39" ht="21.95" customHeight="1" x14ac:dyDescent="0.2">
      <c r="B220" s="1346" t="s">
        <v>280</v>
      </c>
      <c r="C220" s="220" t="s">
        <v>281</v>
      </c>
      <c r="D220" s="220" t="s">
        <v>335</v>
      </c>
      <c r="E220" s="116" t="s">
        <v>19</v>
      </c>
      <c r="F220" s="220" t="s">
        <v>40</v>
      </c>
      <c r="G220" s="970"/>
      <c r="H220" s="970"/>
      <c r="I220" s="775">
        <f>$H$21*$F$8*'Traffic Data'!AK10*annualizationFactor</f>
        <v>7698.9304000000002</v>
      </c>
      <c r="J220" s="775">
        <f>$H$21*$F$8*'Traffic Data'!AL10*annualizationFactor</f>
        <v>8538.979943270002</v>
      </c>
      <c r="K220" s="775">
        <f>$H$21*$F$8*'Traffic Data'!AM10*annualizationFactor</f>
        <v>9426.146940587998</v>
      </c>
      <c r="L220" s="775">
        <f>$H$21*$F$8*'Traffic Data'!AN10*annualizationFactor</f>
        <v>12172.220682986001</v>
      </c>
      <c r="M220" s="775">
        <f>$H$21*$F$8*'Traffic Data'!AO10*annualizationFactor</f>
        <v>14919.680232856001</v>
      </c>
      <c r="N220" s="775">
        <f>$H$21*$F$8*'Traffic Data'!AP10*annualizationFactor</f>
        <v>17667.871181114002</v>
      </c>
      <c r="O220" s="775">
        <f>$H$21*$F$8*'Traffic Data'!AQ10*annualizationFactor</f>
        <v>20413.944923512001</v>
      </c>
      <c r="P220" s="775">
        <f>$H$21*$F$8*'Traffic Data'!AR10*annualizationFactor</f>
        <v>23163.810389132002</v>
      </c>
      <c r="Q220" s="775">
        <f>$H$21*$F$8*'Traffic Data'!AS10*annualizationFactor</f>
        <v>26853.907729851999</v>
      </c>
      <c r="R220" s="775">
        <f>$H$21*$F$8*'Traffic Data'!AT10*annualizationFactor</f>
        <v>30545.641093281996</v>
      </c>
      <c r="S220" s="775">
        <f>$H$21*$F$8*'Traffic Data'!AU10*annualizationFactor</f>
        <v>34235.738434002</v>
      </c>
      <c r="T220" s="775">
        <f>$H$21*$F$8*'Traffic Data'!AV10*annualizationFactor</f>
        <v>37925.835774722</v>
      </c>
      <c r="U220" s="775">
        <f>$H$21*$F$8*'Traffic Data'!AW10*annualizationFactor</f>
        <v>41620.74494694201</v>
      </c>
      <c r="V220" s="775">
        <f>$H$21*$F$8*'Traffic Data'!AX10*annualizationFactor</f>
        <v>43449.529626832002</v>
      </c>
      <c r="W220" s="775">
        <f>$H$21*$F$8*'Traffic Data'!AY10*annualizationFactor</f>
        <v>44289.579170101999</v>
      </c>
      <c r="X220" s="775">
        <f>$H$21*$F$8*'Traffic Data'!AZ10*annualizationFactor</f>
        <v>45129.628713372003</v>
      </c>
      <c r="Y220" s="775">
        <f>$H$21*$F$8*'Traffic Data'!BA10*annualizationFactor</f>
        <v>45969.678256642001</v>
      </c>
      <c r="Z220" s="775">
        <f>$H$21*$F$8*'Traffic Data'!BB10*annualizationFactor</f>
        <v>46811.075112731996</v>
      </c>
      <c r="AA220" s="775">
        <f>$H$21*$F$8*'Traffic Data'!BC10*annualizationFactor</f>
        <v>47651.124656002001</v>
      </c>
      <c r="AB220" s="775">
        <f>$H$21*$F$8*'Traffic Data'!BD10*annualizationFactor</f>
        <v>48492.521512091997</v>
      </c>
      <c r="AC220" s="775">
        <f>$H$21*$F$8*'Traffic Data'!BE10*annualizationFactor</f>
        <v>49332.571055362008</v>
      </c>
      <c r="AD220" s="775">
        <f>$H$21*$F$8*'Traffic Data'!BF10*annualizationFactor</f>
        <v>50172.620598631998</v>
      </c>
      <c r="AE220" s="775">
        <f>$H$21*$F$8*'Traffic Data'!BG10*annualizationFactor</f>
        <v>51014.017454722001</v>
      </c>
      <c r="AF220" s="775">
        <f>$H$21*$F$8*'Traffic Data'!BH10*annualizationFactor</f>
        <v>51854.066997991999</v>
      </c>
      <c r="AG220" s="775">
        <f>$H$21*$F$8*'Traffic Data'!BI10*annualizationFactor</f>
        <v>52694.116541261996</v>
      </c>
      <c r="AH220" s="776">
        <f>$H$21*$F$8*'Traffic Data'!BJ10*annualizationFactor</f>
        <v>53535.513397351991</v>
      </c>
      <c r="AI220" s="40"/>
      <c r="AJ220" s="40"/>
      <c r="AK220" s="40"/>
      <c r="AL220" s="40"/>
      <c r="AM220" s="40"/>
    </row>
    <row r="221" spans="2:39" ht="21.95" customHeight="1" x14ac:dyDescent="0.2">
      <c r="B221" s="1346"/>
      <c r="C221" s="116" t="s">
        <v>335</v>
      </c>
      <c r="D221" s="116" t="s">
        <v>323</v>
      </c>
      <c r="E221" s="116" t="s">
        <v>19</v>
      </c>
      <c r="F221" s="116" t="s">
        <v>40</v>
      </c>
      <c r="G221" s="970"/>
      <c r="H221" s="970"/>
      <c r="I221" s="777">
        <f>$H$21*$F$8*'Traffic Data'!AK11*annualizationFactor</f>
        <v>891.76800000000003</v>
      </c>
      <c r="J221" s="777">
        <f>$H$21*$F$8*'Traffic Data'!AL11*annualizationFactor</f>
        <v>1010.2691044000002</v>
      </c>
      <c r="K221" s="777">
        <f>$H$21*$F$8*'Traffic Data'!AM11*annualizationFactor</f>
        <v>1128.8445228000003</v>
      </c>
      <c r="L221" s="777">
        <f>$H$21*$F$8*'Traffic Data'!AN11*annualizationFactor</f>
        <v>1530.0360832000001</v>
      </c>
      <c r="M221" s="777">
        <f>$H$21*$F$8*'Traffic Data'!AO11*annualizationFactor</f>
        <v>1931.309389</v>
      </c>
      <c r="N221" s="777">
        <f>$H$21*$F$8*'Traffic Data'!AP11*annualizationFactor</f>
        <v>2332.9468334000003</v>
      </c>
      <c r="O221" s="777">
        <f>$H$21*$F$8*'Traffic Data'!AQ11*annualizationFactor</f>
        <v>2734.1383938000004</v>
      </c>
      <c r="P221" s="777">
        <f>$H$21*$F$8*'Traffic Data'!AR11*annualizationFactor</f>
        <v>3135.7089556000001</v>
      </c>
      <c r="Q221" s="777">
        <f>$H$21*$F$8*'Traffic Data'!AS11*annualizationFactor</f>
        <v>3752.2996450000005</v>
      </c>
      <c r="R221" s="777">
        <f>$H$21*$F$8*'Traffic Data'!AT11*annualizationFactor</f>
        <v>4368.8234518000008</v>
      </c>
      <c r="S221" s="777">
        <f>$H$21*$F$8*'Traffic Data'!AU11*annualizationFactor</f>
        <v>4985.4067098000005</v>
      </c>
      <c r="T221" s="777">
        <f>$H$21*$F$8*'Traffic Data'!AV11*annualizationFactor</f>
        <v>5601.9973992000005</v>
      </c>
      <c r="U221" s="777">
        <f>$H$21*$F$8*'Traffic Data'!AW11*annualizationFactor</f>
        <v>6219.1900320000013</v>
      </c>
      <c r="V221" s="777">
        <f>$H$21*$F$8*'Traffic Data'!AX11*annualizationFactor</f>
        <v>6552.8598920000013</v>
      </c>
      <c r="W221" s="777">
        <f>$H$21*$F$8*'Traffic Data'!AY11*annualizationFactor</f>
        <v>6671.3609964000007</v>
      </c>
      <c r="X221" s="777">
        <f>$H$21*$F$8*'Traffic Data'!AZ11*annualizationFactor</f>
        <v>6789.8621008000009</v>
      </c>
      <c r="Y221" s="777">
        <f>$H$21*$F$8*'Traffic Data'!BA11*annualizationFactor</f>
        <v>6908.3632052000021</v>
      </c>
      <c r="Z221" s="777">
        <f>$H$21*$F$8*'Traffic Data'!BB11*annualizationFactor</f>
        <v>7026.9386236000009</v>
      </c>
      <c r="AA221" s="777">
        <f>$H$21*$F$8*'Traffic Data'!BC11*annualizationFactor</f>
        <v>7145.4397280000003</v>
      </c>
      <c r="AB221" s="777">
        <f>$H$21*$F$8*'Traffic Data'!BD11*annualizationFactor</f>
        <v>7264.0151464</v>
      </c>
      <c r="AC221" s="777">
        <f>$H$21*$F$8*'Traffic Data'!BE11*annualizationFactor</f>
        <v>7382.5162507999994</v>
      </c>
      <c r="AD221" s="777">
        <f>$H$21*$F$8*'Traffic Data'!BF11*annualizationFactor</f>
        <v>7501.0173552000006</v>
      </c>
      <c r="AE221" s="777">
        <f>$H$21*$F$8*'Traffic Data'!BG11*annualizationFactor</f>
        <v>7619.5927736000021</v>
      </c>
      <c r="AF221" s="777">
        <f>$H$21*$F$8*'Traffic Data'!BH11*annualizationFactor</f>
        <v>7738.0938780000015</v>
      </c>
      <c r="AG221" s="777">
        <f>$H$21*$F$8*'Traffic Data'!BI11*annualizationFactor</f>
        <v>7856.5949823999999</v>
      </c>
      <c r="AH221" s="778">
        <f>$H$21*$F$8*'Traffic Data'!BJ11*annualizationFactor</f>
        <v>7975.1704007999997</v>
      </c>
      <c r="AI221" s="40"/>
      <c r="AJ221" s="40"/>
      <c r="AK221" s="40"/>
      <c r="AL221" s="40"/>
      <c r="AM221" s="40"/>
    </row>
    <row r="222" spans="2:39" ht="21.95" customHeight="1" x14ac:dyDescent="0.2">
      <c r="B222" s="1346"/>
      <c r="C222" s="254" t="s">
        <v>323</v>
      </c>
      <c r="D222" s="254" t="s">
        <v>338</v>
      </c>
      <c r="E222" s="116" t="s">
        <v>19</v>
      </c>
      <c r="F222" s="116" t="s">
        <v>40</v>
      </c>
      <c r="G222" s="970"/>
      <c r="H222" s="970"/>
      <c r="I222" s="777">
        <f>$H$21*$F$8*'Traffic Data'!AK12*annualizationFactor</f>
        <v>11949.691200000001</v>
      </c>
      <c r="J222" s="777">
        <f>$H$21*$F$8*'Traffic Data'!AL12*annualizationFactor</f>
        <v>12392.885330456003</v>
      </c>
      <c r="K222" s="777">
        <f>$H$21*$F$8*'Traffic Data'!AM12*annualizationFactor</f>
        <v>12836.358287039999</v>
      </c>
      <c r="L222" s="777">
        <f>$H$21*$F$8*'Traffic Data'!AN12*annualizationFactor</f>
        <v>13697.592447976001</v>
      </c>
      <c r="M222" s="777">
        <f>$H$21*$F$8*'Traffic Data'!AO12*annualizationFactor</f>
        <v>14559.324512712003</v>
      </c>
      <c r="N222" s="777">
        <f>$H$21*$F$8*'Traffic Data'!AP12*annualizationFactor</f>
        <v>15420.837499776002</v>
      </c>
      <c r="O222" s="777">
        <f>$H$21*$F$8*'Traffic Data'!AQ12*annualizationFactor</f>
        <v>16282.071660712003</v>
      </c>
      <c r="P222" s="777">
        <f>$H$21*$F$8*'Traffic Data'!AR12*annualizationFactor</f>
        <v>17144.221964640004</v>
      </c>
      <c r="Q222" s="777">
        <f>$H$21*$F$8*'Traffic Data'!AS12*annualizationFactor</f>
        <v>18340.644963736002</v>
      </c>
      <c r="R222" s="777">
        <f>$H$21*$F$8*'Traffic Data'!AT12*annualizationFactor</f>
        <v>19537.705279696002</v>
      </c>
      <c r="S222" s="777">
        <f>$H$21*$F$8*'Traffic Data'!AU12*annualizationFactor</f>
        <v>20733.909201120001</v>
      </c>
      <c r="T222" s="777">
        <f>$H$21*$F$8*'Traffic Data'!AV12*annualizationFactor</f>
        <v>21930.332200216006</v>
      </c>
      <c r="U222" s="777">
        <f>$H$21*$F$8*'Traffic Data'!AW12*annualizationFactor</f>
        <v>23127.810755368006</v>
      </c>
      <c r="V222" s="777">
        <f>$H$21*$F$8*'Traffic Data'!AX12*annualizationFactor</f>
        <v>23905.835233248003</v>
      </c>
      <c r="W222" s="777">
        <f>$H$21*$F$8*'Traffic Data'!AY12*annualizationFactor</f>
        <v>24349.029363704005</v>
      </c>
      <c r="X222" s="777">
        <f>$H$21*$F$8*'Traffic Data'!AZ12*annualizationFactor</f>
        <v>24792.22349416</v>
      </c>
      <c r="Y222" s="777">
        <f>$H$21*$F$8*'Traffic Data'!BA12*annualizationFactor</f>
        <v>25235.417624616006</v>
      </c>
      <c r="Z222" s="777">
        <f>$H$21*$F$8*'Traffic Data'!BB12*annualizationFactor</f>
        <v>25678.890581200008</v>
      </c>
      <c r="AA222" s="777">
        <f>$H$21*$F$8*'Traffic Data'!BC12*annualizationFactor</f>
        <v>26122.084711655996</v>
      </c>
      <c r="AB222" s="777">
        <f>$H$21*$F$8*'Traffic Data'!BD12*annualizationFactor</f>
        <v>26565.557668240006</v>
      </c>
      <c r="AC222" s="777">
        <f>$H$21*$F$8*'Traffic Data'!BE12*annualizationFactor</f>
        <v>27008.751798696005</v>
      </c>
      <c r="AD222" s="777">
        <f>$H$21*$F$8*'Traffic Data'!BF12*annualizationFactor</f>
        <v>27451.945929152011</v>
      </c>
      <c r="AE222" s="777">
        <f>$H$21*$F$8*'Traffic Data'!BG12*annualizationFactor</f>
        <v>27895.41888573601</v>
      </c>
      <c r="AF222" s="777">
        <f>$H$21*$F$8*'Traffic Data'!BH12*annualizationFactor</f>
        <v>28338.613016192005</v>
      </c>
      <c r="AG222" s="777">
        <f>$H$21*$F$8*'Traffic Data'!BI12*annualizationFactor</f>
        <v>28781.807146648003</v>
      </c>
      <c r="AH222" s="778">
        <f>$H$21*$F$8*'Traffic Data'!BJ12*annualizationFactor</f>
        <v>29225.280103232006</v>
      </c>
      <c r="AI222" s="40"/>
      <c r="AJ222" s="40"/>
      <c r="AK222" s="40"/>
      <c r="AL222" s="40"/>
      <c r="AM222" s="40"/>
    </row>
    <row r="223" spans="2:39" ht="21.95" customHeight="1" x14ac:dyDescent="0.2">
      <c r="B223" s="492" t="s">
        <v>339</v>
      </c>
      <c r="C223" s="116" t="s">
        <v>335</v>
      </c>
      <c r="D223" s="116" t="s">
        <v>323</v>
      </c>
      <c r="E223" s="277" t="s">
        <v>19</v>
      </c>
      <c r="F223" s="220" t="s">
        <v>40</v>
      </c>
      <c r="G223" s="780"/>
      <c r="H223" s="780"/>
      <c r="I223" s="775">
        <f>$H$21*$G$8*'Traffic Data'!AK13*annualizationFactor</f>
        <v>34.927579999999999</v>
      </c>
      <c r="J223" s="775">
        <f>$H$21*$G$8*'Traffic Data'!AL13*annualizationFactor</f>
        <v>56.547752019999997</v>
      </c>
      <c r="K223" s="775">
        <f>$H$21*$G$8*'Traffic Data'!AM13*annualizationFactor</f>
        <v>161.33049202000001</v>
      </c>
      <c r="L223" s="775">
        <f>$H$21*$G$8*'Traffic Data'!AN13*annualizationFactor</f>
        <v>341.10274628000002</v>
      </c>
      <c r="M223" s="775">
        <f>$H$21*$G$8*'Traffic Data'!AO13*annualizationFactor</f>
        <v>521.01471086000004</v>
      </c>
      <c r="N223" s="775">
        <f>$H$21*$G$8*'Traffic Data'!AP13*annualizationFactor</f>
        <v>700.85682028000008</v>
      </c>
      <c r="O223" s="775">
        <f>$H$21*$G$8*'Traffic Data'!AQ13*annualizationFactor</f>
        <v>880.62907454000026</v>
      </c>
      <c r="P223" s="775">
        <f>$H$21*$G$8*'Traffic Data'!AR13*annualizationFactor</f>
        <v>1060.68074944</v>
      </c>
      <c r="Q223" s="775">
        <f>$H$21*$G$8*'Traffic Data'!AS13*annualizationFactor</f>
        <v>1157.39521846</v>
      </c>
      <c r="R223" s="775">
        <f>$H$21*$G$8*'Traffic Data'!AT13*annualizationFactor</f>
        <v>1254.2493978</v>
      </c>
      <c r="S223" s="775">
        <f>$H$21*$G$8*'Traffic Data'!AU13*annualizationFactor</f>
        <v>1350.9987944000002</v>
      </c>
      <c r="T223" s="775">
        <f>$H$21*$G$8*'Traffic Data'!AV13*annualizationFactor</f>
        <v>1447.71326342</v>
      </c>
      <c r="U223" s="775">
        <f>$H$21*$G$8*'Traffic Data'!AW13*annualizationFactor</f>
        <v>1544.6722255000004</v>
      </c>
      <c r="V223" s="775">
        <f>$H$21*$G$8*'Traffic Data'!AX13*annualizationFactor</f>
        <v>1566.2923975199997</v>
      </c>
      <c r="W223" s="775">
        <f>$H$21*$G$8*'Traffic Data'!AY13*annualizationFactor</f>
        <v>1587.9125695400003</v>
      </c>
      <c r="X223" s="775">
        <f>$H$21*$G$8*'Traffic Data'!AZ13*annualizationFactor</f>
        <v>1609.53274156</v>
      </c>
      <c r="Y223" s="775">
        <f>$H$21*$G$8*'Traffic Data'!BA13*annualizationFactor</f>
        <v>1631.1529135800001</v>
      </c>
      <c r="Z223" s="775">
        <f>$H$21*$G$8*'Traffic Data'!BB13*annualizationFactor</f>
        <v>1652.8778683400001</v>
      </c>
      <c r="AA223" s="775">
        <f>$H$21*$G$8*'Traffic Data'!BC13*annualizationFactor</f>
        <v>1674.49804036</v>
      </c>
      <c r="AB223" s="775">
        <f>$H$21*$G$8*'Traffic Data'!BD13*annualizationFactor</f>
        <v>1696.2229951199997</v>
      </c>
      <c r="AC223" s="775">
        <f>$H$21*$G$8*'Traffic Data'!BE13*annualizationFactor</f>
        <v>1717.8431671399999</v>
      </c>
      <c r="AD223" s="775">
        <f>$H$21*$G$8*'Traffic Data'!BF13*annualizationFactor</f>
        <v>1739.46333916</v>
      </c>
      <c r="AE223" s="775">
        <f>$H$21*$G$8*'Traffic Data'!BG13*annualizationFactor</f>
        <v>1761.1882939200002</v>
      </c>
      <c r="AF223" s="775">
        <f>$H$21*$G$8*'Traffic Data'!BH13*annualizationFactor</f>
        <v>1782.8084659399999</v>
      </c>
      <c r="AG223" s="775">
        <f>$H$21*$G$8*'Traffic Data'!BI13*annualizationFactor</f>
        <v>1804.4286379600001</v>
      </c>
      <c r="AH223" s="776">
        <f>$H$21*$G$8*'Traffic Data'!BJ13*annualizationFactor</f>
        <v>1826.1535927200005</v>
      </c>
      <c r="AI223" s="40"/>
      <c r="AJ223" s="40"/>
      <c r="AK223" s="40"/>
      <c r="AL223" s="40"/>
      <c r="AM223" s="40"/>
    </row>
    <row r="224" spans="2:39" ht="21.95" customHeight="1" x14ac:dyDescent="0.2">
      <c r="B224" s="1346" t="s">
        <v>323</v>
      </c>
      <c r="C224" s="220" t="s">
        <v>282</v>
      </c>
      <c r="D224" s="220" t="s">
        <v>339</v>
      </c>
      <c r="E224" s="116" t="s">
        <v>19</v>
      </c>
      <c r="F224" s="220" t="s">
        <v>40</v>
      </c>
      <c r="G224" s="970"/>
      <c r="H224" s="970"/>
      <c r="I224" s="775">
        <f>$H$21*$H$8*'Traffic Data'!AK14*annualizationFactor</f>
        <v>100.32389999999999</v>
      </c>
      <c r="J224" s="775">
        <f>$H$21*$H$8*'Traffic Data'!AL14*annualizationFactor</f>
        <v>100.32389999999999</v>
      </c>
      <c r="K224" s="775">
        <f>$H$21*$H$8*'Traffic Data'!AM14*annualizationFactor</f>
        <v>1173.8899539000001</v>
      </c>
      <c r="L224" s="775">
        <f>$H$21*$H$8*'Traffic Data'!AN14*annualizationFactor</f>
        <v>2247.4560078000004</v>
      </c>
      <c r="M224" s="775">
        <f>$H$21*$H$8*'Traffic Data'!AO14*annualizationFactor</f>
        <v>3321.9249768000009</v>
      </c>
      <c r="N224" s="775">
        <f>$H$21*$H$8*'Traffic Data'!AP14*annualizationFactor</f>
        <v>4395.4910307000009</v>
      </c>
      <c r="O224" s="775">
        <f>$H$21*$H$8*'Traffic Data'!AQ14*annualizationFactor</f>
        <v>5469.057084600001</v>
      </c>
      <c r="P224" s="775">
        <f>$H$21*$H$8*'Traffic Data'!AR14*annualizationFactor</f>
        <v>6543.5260536000014</v>
      </c>
      <c r="Q224" s="775">
        <f>$H$21*$H$8*'Traffic Data'!AS14*annualizationFactor</f>
        <v>6543.5260536000014</v>
      </c>
      <c r="R224" s="775">
        <f>$H$21*$H$8*'Traffic Data'!AT14*annualizationFactor</f>
        <v>6543.5260536000014</v>
      </c>
      <c r="S224" s="775">
        <f>$H$21*$H$8*'Traffic Data'!AU14*annualizationFactor</f>
        <v>6543.5260536000014</v>
      </c>
      <c r="T224" s="775">
        <f>$H$21*$H$8*'Traffic Data'!AV14*annualizationFactor</f>
        <v>6543.5260536000014</v>
      </c>
      <c r="U224" s="775">
        <f>$H$21*$H$8*'Traffic Data'!AW14*annualizationFactor</f>
        <v>6543.5260536000014</v>
      </c>
      <c r="V224" s="775">
        <f>$H$21*$H$8*'Traffic Data'!AX14*annualizationFactor</f>
        <v>6543.5260536000014</v>
      </c>
      <c r="W224" s="775">
        <f>$H$21*$H$8*'Traffic Data'!AY14*annualizationFactor</f>
        <v>6543.5260536000014</v>
      </c>
      <c r="X224" s="775">
        <f>$H$21*$H$8*'Traffic Data'!AZ14*annualizationFactor</f>
        <v>6543.5260536000014</v>
      </c>
      <c r="Y224" s="775">
        <f>$H$21*$H$8*'Traffic Data'!BA14*annualizationFactor</f>
        <v>6543.5260536000014</v>
      </c>
      <c r="Z224" s="775">
        <f>$H$21*$H$8*'Traffic Data'!BB14*annualizationFactor</f>
        <v>6543.5260536000014</v>
      </c>
      <c r="AA224" s="775">
        <f>$H$21*$H$8*'Traffic Data'!BC14*annualizationFactor</f>
        <v>6543.5260536000014</v>
      </c>
      <c r="AB224" s="775">
        <f>$H$21*$H$8*'Traffic Data'!BD14*annualizationFactor</f>
        <v>6543.5260536000014</v>
      </c>
      <c r="AC224" s="775">
        <f>$H$21*$H$8*'Traffic Data'!BE14*annualizationFactor</f>
        <v>6543.5260536000014</v>
      </c>
      <c r="AD224" s="775">
        <f>$H$21*$H$8*'Traffic Data'!BF14*annualizationFactor</f>
        <v>6543.5260536000014</v>
      </c>
      <c r="AE224" s="775">
        <f>$H$21*$H$8*'Traffic Data'!BG14*annualizationFactor</f>
        <v>6543.5260536000014</v>
      </c>
      <c r="AF224" s="775">
        <f>$H$21*$H$8*'Traffic Data'!BH14*annualizationFactor</f>
        <v>6543.5260536000014</v>
      </c>
      <c r="AG224" s="775">
        <f>$H$21*$H$8*'Traffic Data'!BI14*annualizationFactor</f>
        <v>6543.5260536000014</v>
      </c>
      <c r="AH224" s="776">
        <f>$H$21*$H$8*'Traffic Data'!BJ14*annualizationFactor</f>
        <v>6543.5260536000014</v>
      </c>
      <c r="AI224" s="40"/>
      <c r="AJ224" s="40"/>
      <c r="AK224" s="40"/>
      <c r="AL224" s="40"/>
      <c r="AM224" s="40"/>
    </row>
    <row r="225" spans="2:39" ht="21.95" customHeight="1" x14ac:dyDescent="0.2">
      <c r="B225" s="1346"/>
      <c r="C225" s="116" t="s">
        <v>339</v>
      </c>
      <c r="D225" s="116" t="s">
        <v>288</v>
      </c>
      <c r="E225" s="116" t="s">
        <v>19</v>
      </c>
      <c r="F225" s="116" t="s">
        <v>40</v>
      </c>
      <c r="G225" s="970"/>
      <c r="H225" s="970"/>
      <c r="I225" s="777">
        <f>$H$21*$H$8*'Traffic Data'!AK15*annualizationFactor</f>
        <v>45.777424000000003</v>
      </c>
      <c r="J225" s="777">
        <f>$H$21*$H$8*'Traffic Data'!AL15*annualizationFactor</f>
        <v>86.977105600000002</v>
      </c>
      <c r="K225" s="777">
        <f>$H$21*$H$8*'Traffic Data'!AM15*annualizationFactor</f>
        <v>128.17678720000001</v>
      </c>
      <c r="L225" s="777">
        <f>$H$21*$H$8*'Traffic Data'!AN15*annualizationFactor</f>
        <v>278.82612800000004</v>
      </c>
      <c r="M225" s="777">
        <f>$H$21*$H$8*'Traffic Data'!AO15*annualizationFactor</f>
        <v>429.26738960000006</v>
      </c>
      <c r="N225" s="777">
        <f>$H$21*$H$8*'Traffic Data'!AP15*annualizationFactor</f>
        <v>580.12480960000005</v>
      </c>
      <c r="O225" s="777">
        <f>$H$21*$H$8*'Traffic Data'!AQ15*annualizationFactor</f>
        <v>730.77415040000017</v>
      </c>
      <c r="P225" s="777">
        <f>$H$21*$H$8*'Traffic Data'!AR15*annualizationFactor</f>
        <v>881.42349120000006</v>
      </c>
      <c r="Q225" s="777">
        <f>$H$21*$H$8*'Traffic Data'!AS15*annualizationFactor</f>
        <v>1143.3952040000001</v>
      </c>
      <c r="R225" s="777">
        <f>$H$21*$H$8*'Traffic Data'!AT15*annualizationFactor</f>
        <v>1405.1588376000002</v>
      </c>
      <c r="S225" s="777">
        <f>$H$21*$H$8*'Traffic Data'!AU15*annualizationFactor</f>
        <v>1666.9224712000002</v>
      </c>
      <c r="T225" s="777">
        <f>$H$21*$H$8*'Traffic Data'!AV15*annualizationFactor</f>
        <v>1928.8941840000002</v>
      </c>
      <c r="U225" s="777">
        <f>$H$21*$H$8*'Traffic Data'!AW15*annualizationFactor</f>
        <v>2190.8658968000004</v>
      </c>
      <c r="V225" s="777">
        <f>$H$21*$H$8*'Traffic Data'!AX15*annualizationFactor</f>
        <v>2343.3879504000001</v>
      </c>
      <c r="W225" s="777">
        <f>$H$21*$H$8*'Traffic Data'!AY15*annualizationFactor</f>
        <v>2384.3795528000005</v>
      </c>
      <c r="X225" s="777">
        <f>$H$21*$H$8*'Traffic Data'!AZ15*annualizationFactor</f>
        <v>2425.5792344000001</v>
      </c>
      <c r="Y225" s="777">
        <f>$H$21*$H$8*'Traffic Data'!BA15*annualizationFactor</f>
        <v>2466.7789160000002</v>
      </c>
      <c r="Z225" s="777">
        <f>$H$21*$H$8*'Traffic Data'!BB15*annualizationFactor</f>
        <v>2507.9785976000003</v>
      </c>
      <c r="AA225" s="777">
        <f>$H$21*$H$8*'Traffic Data'!BC15*annualizationFactor</f>
        <v>2549.1782791999999</v>
      </c>
      <c r="AB225" s="777">
        <f>$H$21*$H$8*'Traffic Data'!BD15*annualizationFactor</f>
        <v>2590.3779608</v>
      </c>
      <c r="AC225" s="777">
        <f>$H$21*$H$8*'Traffic Data'!BE15*annualizationFactor</f>
        <v>2631.5776424000001</v>
      </c>
      <c r="AD225" s="777">
        <f>$H$21*$H$8*'Traffic Data'!BF15*annualizationFactor</f>
        <v>2672.7773240000006</v>
      </c>
      <c r="AE225" s="777">
        <f>$H$21*$H$8*'Traffic Data'!BG15*annualizationFactor</f>
        <v>2713.7689264000001</v>
      </c>
      <c r="AF225" s="777">
        <f>$H$21*$H$8*'Traffic Data'!BH15*annualizationFactor</f>
        <v>2754.9686080000001</v>
      </c>
      <c r="AG225" s="777">
        <f>$H$21*$H$8*'Traffic Data'!BI15*annualizationFactor</f>
        <v>2796.1682896000002</v>
      </c>
      <c r="AH225" s="778">
        <f>$H$21*$H$8*'Traffic Data'!BJ15*annualizationFactor</f>
        <v>2837.3679712000003</v>
      </c>
      <c r="AI225" s="40"/>
      <c r="AJ225" s="40"/>
      <c r="AK225" s="40"/>
      <c r="AL225" s="40"/>
      <c r="AM225" s="40"/>
    </row>
    <row r="226" spans="2:39" ht="21.95" customHeight="1" x14ac:dyDescent="0.2">
      <c r="B226" s="1346"/>
      <c r="C226" s="116" t="s">
        <v>288</v>
      </c>
      <c r="D226" s="116" t="s">
        <v>340</v>
      </c>
      <c r="E226" s="116" t="s">
        <v>19</v>
      </c>
      <c r="F226" s="116" t="s">
        <v>40</v>
      </c>
      <c r="G226" s="970"/>
      <c r="H226" s="970"/>
      <c r="I226" s="777">
        <f>$H$21*$H$8*'Traffic Data'!AK16*annualizationFactor</f>
        <v>162.74766</v>
      </c>
      <c r="J226" s="777">
        <f>$H$21*$H$8*'Traffic Data'!AL16*annualizationFactor</f>
        <v>309.15003001399998</v>
      </c>
      <c r="K226" s="777">
        <f>$H$21*$H$8*'Traffic Data'!AM16*annualizationFactor</f>
        <v>455.50357573000002</v>
      </c>
      <c r="L226" s="777">
        <f>$H$21*$H$8*'Traffic Data'!AN16*annualizationFactor</f>
        <v>990.92710236399989</v>
      </c>
      <c r="M226" s="777">
        <f>$H$21*$H$8*'Traffic Data'!AO16*annualizationFactor</f>
        <v>1526.3723286860002</v>
      </c>
      <c r="N226" s="777">
        <f>$H$21*$H$8*'Traffic Data'!AP16*annualizationFactor</f>
        <v>2062.50109518</v>
      </c>
      <c r="O226" s="777">
        <f>$H$21*$H$8*'Traffic Data'!AQ16*annualizationFactor</f>
        <v>2597.9246218139997</v>
      </c>
      <c r="P226" s="777">
        <f>$H$21*$H$8*'Traffic Data'!AR16*annualizationFactor</f>
        <v>3133.6736437680001</v>
      </c>
      <c r="Q226" s="777">
        <f>$H$21*$H$8*'Traffic Data'!AS16*annualizationFactor</f>
        <v>4064.7367318620004</v>
      </c>
      <c r="R226" s="777">
        <f>$H$21*$H$8*'Traffic Data'!AT16*annualizationFactor</f>
        <v>4995.4200754160011</v>
      </c>
      <c r="S226" s="777">
        <f>$H$21*$H$8*'Traffic Data'!AU16*annualizationFactor</f>
        <v>5926.4126395239991</v>
      </c>
      <c r="T226" s="777">
        <f>$H$21*$H$8*'Traffic Data'!AV16*annualizationFactor</f>
        <v>6857.4757276180007</v>
      </c>
      <c r="U226" s="777">
        <f>$H$21*$H$8*'Traffic Data'!AW16*annualizationFactor</f>
        <v>7789.2169309619985</v>
      </c>
      <c r="V226" s="777">
        <f>$H$21*$H$8*'Traffic Data'!AX16*annualizationFactor</f>
        <v>8330.8357185200002</v>
      </c>
      <c r="W226" s="777">
        <f>$H$21*$H$8*'Traffic Data'!AY16*annualizationFactor</f>
        <v>8477.2380885340008</v>
      </c>
      <c r="X226" s="777">
        <f>$H$21*$H$8*'Traffic Data'!AZ16*annualizationFactor</f>
        <v>8623.6404585480013</v>
      </c>
      <c r="Y226" s="777">
        <f>$H$21*$H$8*'Traffic Data'!BA16*annualizationFactor</f>
        <v>8770.0428285619982</v>
      </c>
      <c r="Z226" s="777">
        <f>$H$21*$H$8*'Traffic Data'!BB16*annualizationFactor</f>
        <v>8916.3963742779979</v>
      </c>
      <c r="AA226" s="777">
        <f>$H$21*$H$8*'Traffic Data'!BC16*annualizationFactor</f>
        <v>9062.7987442920003</v>
      </c>
      <c r="AB226" s="777">
        <f>$H$21*$H$8*'Traffic Data'!BD16*annualizationFactor</f>
        <v>9209.1522900079999</v>
      </c>
      <c r="AC226" s="777">
        <f>$H$21*$H$8*'Traffic Data'!BE16*annualizationFactor</f>
        <v>9355.5546600219986</v>
      </c>
      <c r="AD226" s="777">
        <f>$H$21*$H$8*'Traffic Data'!BF16*annualizationFactor</f>
        <v>9501.957030036001</v>
      </c>
      <c r="AE226" s="777">
        <f>$H$21*$H$8*'Traffic Data'!BG16*annualizationFactor</f>
        <v>9648.3105757519988</v>
      </c>
      <c r="AF226" s="777">
        <f>$H$21*$H$8*'Traffic Data'!BH16*annualizationFactor</f>
        <v>9794.7129457660012</v>
      </c>
      <c r="AG226" s="777">
        <f>$H$21*$H$8*'Traffic Data'!BI16*annualizationFactor</f>
        <v>9941.1153157800018</v>
      </c>
      <c r="AH226" s="778">
        <f>$H$21*$H$8*'Traffic Data'!BJ16*annualizationFactor</f>
        <v>10087.468861496</v>
      </c>
      <c r="AI226" s="40"/>
      <c r="AJ226" s="40"/>
      <c r="AK226" s="40"/>
      <c r="AL226" s="40"/>
      <c r="AM226" s="40"/>
    </row>
    <row r="227" spans="2:39" ht="21.95" customHeight="1" x14ac:dyDescent="0.2">
      <c r="B227" s="1346"/>
      <c r="C227" s="254" t="s">
        <v>340</v>
      </c>
      <c r="D227" s="254" t="s">
        <v>280</v>
      </c>
      <c r="E227" s="116" t="s">
        <v>19</v>
      </c>
      <c r="F227" s="116" t="s">
        <v>40</v>
      </c>
      <c r="G227" s="970"/>
      <c r="H227" s="970"/>
      <c r="I227" s="777">
        <f>$H$21*$H$8*'Traffic Data'!AK17*annualizationFactor</f>
        <v>234.0891</v>
      </c>
      <c r="J227" s="777">
        <f>$H$21*$H$8*'Traffic Data'!AL17*annualizationFactor</f>
        <v>444.66785139000007</v>
      </c>
      <c r="K227" s="777">
        <f>$H$21*$H$8*'Traffic Data'!AM17*annualizationFactor</f>
        <v>655.17637605000016</v>
      </c>
      <c r="L227" s="777">
        <f>$H$21*$H$8*'Traffic Data'!AN17*annualizationFactor</f>
        <v>1425.3061061400001</v>
      </c>
      <c r="M227" s="777">
        <f>$H$21*$H$8*'Traffic Data'!AO17*annualizationFactor</f>
        <v>2195.4670481100002</v>
      </c>
      <c r="N227" s="777">
        <f>$H$21*$H$8*'Traffic Data'!AP17*annualizationFactor</f>
        <v>2966.6111643000008</v>
      </c>
      <c r="O227" s="777">
        <f>$H$21*$H$8*'Traffic Data'!AQ17*annualizationFactor</f>
        <v>3736.74089439</v>
      </c>
      <c r="P227" s="777">
        <f>$H$21*$H$8*'Traffic Data'!AR17*annualizationFactor</f>
        <v>4507.3388026800003</v>
      </c>
      <c r="Q227" s="777">
        <f>$H$21*$H$8*'Traffic Data'!AS17*annualizationFactor</f>
        <v>5846.5391348700014</v>
      </c>
      <c r="R227" s="777">
        <f>$H$21*$H$8*'Traffic Data'!AT17*annualizationFactor</f>
        <v>7185.1932591600007</v>
      </c>
      <c r="S227" s="777">
        <f>$H$21*$H$8*'Traffic Data'!AU17*annualizationFactor</f>
        <v>8524.2921527399976</v>
      </c>
      <c r="T227" s="777">
        <f>$H$21*$H$8*'Traffic Data'!AV17*annualizationFactor</f>
        <v>9863.4924849300005</v>
      </c>
      <c r="U227" s="777">
        <f>$H$21*$H$8*'Traffic Data'!AW17*annualizationFactor</f>
        <v>11203.668188369998</v>
      </c>
      <c r="V227" s="777">
        <f>$H$21*$H$8*'Traffic Data'!AX17*annualizationFactor</f>
        <v>11982.708910199997</v>
      </c>
      <c r="W227" s="777">
        <f>$H$21*$H$8*'Traffic Data'!AY17*annualizationFactor</f>
        <v>12193.287661589999</v>
      </c>
      <c r="X227" s="777">
        <f>$H$21*$H$8*'Traffic Data'!AZ17*annualizationFactor</f>
        <v>12403.86641298</v>
      </c>
      <c r="Y227" s="777">
        <f>$H$21*$H$8*'Traffic Data'!BA17*annualizationFactor</f>
        <v>12614.445164370001</v>
      </c>
      <c r="Z227" s="777">
        <f>$H$21*$H$8*'Traffic Data'!BB17*annualizationFactor</f>
        <v>12824.953689030001</v>
      </c>
      <c r="AA227" s="777">
        <f>$H$21*$H$8*'Traffic Data'!BC17*annualizationFactor</f>
        <v>13035.532440420002</v>
      </c>
      <c r="AB227" s="777">
        <f>$H$21*$H$8*'Traffic Data'!BD17*annualizationFactor</f>
        <v>13246.040965079997</v>
      </c>
      <c r="AC227" s="777">
        <f>$H$21*$H$8*'Traffic Data'!BE17*annualizationFactor</f>
        <v>13456.619716469999</v>
      </c>
      <c r="AD227" s="777">
        <f>$H$21*$H$8*'Traffic Data'!BF17*annualizationFactor</f>
        <v>13667.198467860002</v>
      </c>
      <c r="AE227" s="777">
        <f>$H$21*$H$8*'Traffic Data'!BG17*annualizationFactor</f>
        <v>13877.706992520001</v>
      </c>
      <c r="AF227" s="777">
        <f>$H$21*$H$8*'Traffic Data'!BH17*annualizationFactor</f>
        <v>14088.285743910003</v>
      </c>
      <c r="AG227" s="777">
        <f>$H$21*$H$8*'Traffic Data'!BI17*annualizationFactor</f>
        <v>14298.864495300004</v>
      </c>
      <c r="AH227" s="778">
        <f>$H$21*$H$8*'Traffic Data'!BJ17*annualizationFactor</f>
        <v>14509.373019960001</v>
      </c>
      <c r="AI227" s="40"/>
      <c r="AJ227" s="40"/>
      <c r="AK227" s="40"/>
      <c r="AL227" s="40"/>
      <c r="AM227" s="40"/>
    </row>
    <row r="228" spans="2:39" ht="21.95" customHeight="1" x14ac:dyDescent="0.2">
      <c r="B228" s="1346" t="s">
        <v>334</v>
      </c>
      <c r="C228" s="116" t="s">
        <v>336</v>
      </c>
      <c r="D228" s="116" t="s">
        <v>337</v>
      </c>
      <c r="E228" s="220" t="s">
        <v>19</v>
      </c>
      <c r="F228" s="220" t="s">
        <v>40</v>
      </c>
      <c r="G228" s="775"/>
      <c r="H228" s="775"/>
      <c r="I228" s="775">
        <f>$H$21*$I$8*'Traffic Data'!AK18*annualizationFactor</f>
        <v>7282.7720000000008</v>
      </c>
      <c r="J228" s="775">
        <f>$H$21*$I$8*'Traffic Data'!AL18*annualizationFactor</f>
        <v>7480.0570914999998</v>
      </c>
      <c r="K228" s="775">
        <f>$H$21*$I$8*'Traffic Data'!AM18*annualizationFactor</f>
        <v>7801.1493070000015</v>
      </c>
      <c r="L228" s="775">
        <f>$H$21*$I$8*'Traffic Data'!AN18*annualizationFactor</f>
        <v>8261.810645900001</v>
      </c>
      <c r="M228" s="775">
        <f>$H$21*$I$8*'Traffic Data'!AO18*annualizationFactor</f>
        <v>8722.6800640000038</v>
      </c>
      <c r="N228" s="775">
        <f>$H$21*$I$8*'Traffic Data'!AP18*annualizationFactor</f>
        <v>9183.4974623000035</v>
      </c>
      <c r="O228" s="775">
        <f>$H$21*$I$8*'Traffic Data'!AQ18*annualizationFactor</f>
        <v>9644.1588012000029</v>
      </c>
      <c r="P228" s="775">
        <f>$H$21*$I$8*'Traffic Data'!AR18*annualizationFactor</f>
        <v>10105.210288600001</v>
      </c>
      <c r="Q228" s="775">
        <f>$H$21*$I$8*'Traffic Data'!AS18*annualizationFactor</f>
        <v>10515.126312599999</v>
      </c>
      <c r="R228" s="775">
        <f>$H$21*$I$8*'Traffic Data'!AT18*annualizationFactor</f>
        <v>10925.172386100001</v>
      </c>
      <c r="S228" s="775">
        <f>$H$21*$I$8*'Traffic Data'!AU18*annualizationFactor</f>
        <v>11335.088410099999</v>
      </c>
      <c r="T228" s="775">
        <f>$H$21*$I$8*'Traffic Data'!AV18*annualizationFactor</f>
        <v>11745.004434100001</v>
      </c>
      <c r="U228" s="775">
        <f>$H$21*$I$8*'Traffic Data'!AW18*annualizationFactor</f>
        <v>12155.284596699999</v>
      </c>
      <c r="V228" s="775">
        <f>$H$21*$I$8*'Traffic Data'!AX18*annualizationFactor</f>
        <v>12425.449428000002</v>
      </c>
      <c r="W228" s="775">
        <f>$H$21*$I$8*'Traffic Data'!AY18*annualizationFactor</f>
        <v>12622.7345195</v>
      </c>
      <c r="X228" s="775">
        <f>$H$21*$I$8*'Traffic Data'!AZ18*annualizationFactor</f>
        <v>12820.019611</v>
      </c>
      <c r="Y228" s="775">
        <f>$H$21*$I$8*'Traffic Data'!BA18*annualizationFactor</f>
        <v>13017.3047025</v>
      </c>
      <c r="Z228" s="775">
        <f>$H$21*$I$8*'Traffic Data'!BB18*annualizationFactor</f>
        <v>13214.6938336</v>
      </c>
      <c r="AA228" s="775">
        <f>$H$21*$I$8*'Traffic Data'!BC18*annualizationFactor</f>
        <v>13411.978925100002</v>
      </c>
      <c r="AB228" s="775">
        <f>$H$21*$I$8*'Traffic Data'!BD18*annualizationFactor</f>
        <v>13609.368056200003</v>
      </c>
      <c r="AC228" s="775">
        <f>$H$21*$I$8*'Traffic Data'!BE18*annualizationFactor</f>
        <v>13806.653147700001</v>
      </c>
      <c r="AD228" s="775">
        <f>$H$21*$I$8*'Traffic Data'!BF18*annualizationFactor</f>
        <v>14003.938239200002</v>
      </c>
      <c r="AE228" s="775">
        <f>$H$21*$I$8*'Traffic Data'!BG18*annualizationFactor</f>
        <v>14201.3273703</v>
      </c>
      <c r="AF228" s="775">
        <f>$H$21*$I$8*'Traffic Data'!BH18*annualizationFactor</f>
        <v>14398.612461799999</v>
      </c>
      <c r="AG228" s="775">
        <f>$H$21*$I$8*'Traffic Data'!BI18*annualizationFactor</f>
        <v>14595.897553300001</v>
      </c>
      <c r="AH228" s="776">
        <f>$H$21*$I$8*'Traffic Data'!BJ18*annualizationFactor</f>
        <v>14793.2866844</v>
      </c>
      <c r="AI228" s="40"/>
      <c r="AJ228" s="40"/>
      <c r="AK228" s="40"/>
      <c r="AL228" s="40"/>
      <c r="AM228" s="40"/>
    </row>
    <row r="229" spans="2:39" ht="21.95" customHeight="1" x14ac:dyDescent="0.2">
      <c r="B229" s="1346"/>
      <c r="C229" s="116" t="s">
        <v>337</v>
      </c>
      <c r="D229" s="116" t="s">
        <v>386</v>
      </c>
      <c r="E229" s="116" t="s">
        <v>19</v>
      </c>
      <c r="F229" s="116" t="s">
        <v>40</v>
      </c>
      <c r="G229" s="970"/>
      <c r="H229" s="970"/>
      <c r="I229" s="777">
        <f>$H$21*$I$8*'Traffic Data'!AK19*annualizationFactor</f>
        <v>11444.356000000002</v>
      </c>
      <c r="J229" s="777">
        <f>$H$21*$I$8*'Traffic Data'!AL19*annualizationFactor</f>
        <v>11682.086486000002</v>
      </c>
      <c r="K229" s="777">
        <f>$H$21*$I$8*'Traffic Data'!AM19*annualizationFactor</f>
        <v>12245.981118000003</v>
      </c>
      <c r="L229" s="777">
        <f>$H$21*$I$8*'Traffic Data'!AN19*annualizationFactor</f>
        <v>12863.976342000002</v>
      </c>
      <c r="M229" s="777">
        <f>$H$21*$I$8*'Traffic Data'!AO19*annualizationFactor</f>
        <v>13483.011962000002</v>
      </c>
      <c r="N229" s="777">
        <f>$H$21*$I$8*'Traffic Data'!AP19*annualizationFactor</f>
        <v>14101.527384000003</v>
      </c>
      <c r="O229" s="777">
        <f>$H$21*$I$8*'Traffic Data'!AQ19*annualizationFactor</f>
        <v>14719.522608000003</v>
      </c>
      <c r="P229" s="777">
        <f>$H$21*$I$8*'Traffic Data'!AR19*annualizationFactor</f>
        <v>15338.558228000002</v>
      </c>
      <c r="Q229" s="777">
        <f>$H$21*$I$8*'Traffic Data'!AS19*annualizationFactor</f>
        <v>15679.287918000004</v>
      </c>
      <c r="R229" s="777">
        <f>$H$21*$I$8*'Traffic Data'!AT19*annualizationFactor</f>
        <v>16020.537806</v>
      </c>
      <c r="S229" s="777">
        <f>$H$21*$I$8*'Traffic Data'!AU19*annualizationFactor</f>
        <v>16361.267496</v>
      </c>
      <c r="T229" s="777">
        <f>$H$21*$I$8*'Traffic Data'!AV19*annualizationFactor</f>
        <v>16702.517384000002</v>
      </c>
      <c r="U229" s="777">
        <f>$H$21*$I$8*'Traffic Data'!AW19*annualizationFactor</f>
        <v>17043.247074000003</v>
      </c>
      <c r="V229" s="777">
        <f>$H$21*$I$8*'Traffic Data'!AX19*annualizationFactor</f>
        <v>17329.876172</v>
      </c>
      <c r="W229" s="777">
        <f>$H$21*$I$8*'Traffic Data'!AY19*annualizationFactor</f>
        <v>17577.490420000002</v>
      </c>
      <c r="X229" s="777">
        <f>$H$21*$I$8*'Traffic Data'!AZ19*annualizationFactor</f>
        <v>17825.624866000002</v>
      </c>
      <c r="Y229" s="777">
        <f>$H$21*$I$8*'Traffic Data'!BA19*annualizationFactor</f>
        <v>18073.759312000002</v>
      </c>
      <c r="Z229" s="777">
        <f>$H$21*$I$8*'Traffic Data'!BB19*annualizationFactor</f>
        <v>18321.893758000002</v>
      </c>
      <c r="AA229" s="777">
        <f>$H$21*$I$8*'Traffic Data'!BC19*annualizationFactor</f>
        <v>18570.028204000002</v>
      </c>
      <c r="AB229" s="777">
        <f>$H$21*$I$8*'Traffic Data'!BD19*annualizationFactor</f>
        <v>18818.162650000002</v>
      </c>
      <c r="AC229" s="777">
        <f>$H$21*$I$8*'Traffic Data'!BE19*annualizationFactor</f>
        <v>19066.297096000002</v>
      </c>
      <c r="AD229" s="777">
        <f>$H$21*$I$8*'Traffic Data'!BF19*annualizationFactor</f>
        <v>19314.431542000002</v>
      </c>
      <c r="AE229" s="777">
        <f>$H$21*$I$8*'Traffic Data'!BG19*annualizationFactor</f>
        <v>19562.565988000002</v>
      </c>
      <c r="AF229" s="777">
        <f>$H$21*$I$8*'Traffic Data'!BH19*annualizationFactor</f>
        <v>19810.700434000002</v>
      </c>
      <c r="AG229" s="777">
        <f>$H$21*$I$8*'Traffic Data'!BI19*annualizationFactor</f>
        <v>20058.314682000004</v>
      </c>
      <c r="AH229" s="778">
        <f>$H$21*$I$8*'Traffic Data'!BJ19*annualizationFactor</f>
        <v>20306.449128000004</v>
      </c>
      <c r="AI229" s="40"/>
      <c r="AJ229" s="40"/>
      <c r="AK229" s="40"/>
      <c r="AL229" s="40"/>
      <c r="AM229" s="40"/>
    </row>
    <row r="230" spans="2:39" ht="21.95" customHeight="1" x14ac:dyDescent="0.2">
      <c r="B230" s="1346"/>
      <c r="C230" s="116" t="s">
        <v>342</v>
      </c>
      <c r="D230" s="116" t="s">
        <v>341</v>
      </c>
      <c r="E230" s="116" t="s">
        <v>19</v>
      </c>
      <c r="F230" s="116" t="s">
        <v>40</v>
      </c>
      <c r="G230" s="970"/>
      <c r="H230" s="970"/>
      <c r="I230" s="777">
        <f>$H$21*$I$8*'Traffic Data'!AK20*annualizationFactor</f>
        <v>14877.662800000002</v>
      </c>
      <c r="J230" s="777">
        <f>$H$21*$I$8*'Traffic Data'!AL20*annualizationFactor</f>
        <v>15186.712431800004</v>
      </c>
      <c r="K230" s="777">
        <f>$H$21*$I$8*'Traffic Data'!AM20*annualizationFactor</f>
        <v>15919.775453400001</v>
      </c>
      <c r="L230" s="777">
        <f>$H$21*$I$8*'Traffic Data'!AN20*annualizationFactor</f>
        <v>16723.169244600005</v>
      </c>
      <c r="M230" s="777">
        <f>$H$21*$I$8*'Traffic Data'!AO20*annualizationFactor</f>
        <v>17527.915550600002</v>
      </c>
      <c r="N230" s="777">
        <f>$H$21*$I$8*'Traffic Data'!AP20*annualizationFactor</f>
        <v>18331.985599200001</v>
      </c>
      <c r="O230" s="777">
        <f>$H$21*$I$8*'Traffic Data'!AQ20*annualizationFactor</f>
        <v>19135.379390400005</v>
      </c>
      <c r="P230" s="777">
        <f>$H$21*$I$8*'Traffic Data'!AR20*annualizationFactor</f>
        <v>19940.125696400006</v>
      </c>
      <c r="Q230" s="777">
        <f>$H$21*$I$8*'Traffic Data'!AS20*annualizationFactor</f>
        <v>20383.074293400005</v>
      </c>
      <c r="R230" s="777">
        <f>$H$21*$I$8*'Traffic Data'!AT20*annualizationFactor</f>
        <v>20826.699147800002</v>
      </c>
      <c r="S230" s="777">
        <f>$H$21*$I$8*'Traffic Data'!AU20*annualizationFactor</f>
        <v>21269.647744800004</v>
      </c>
      <c r="T230" s="777">
        <f>$H$21*$I$8*'Traffic Data'!AV20*annualizationFactor</f>
        <v>21713.272599200005</v>
      </c>
      <c r="U230" s="777">
        <f>$H$21*$I$8*'Traffic Data'!AW20*annualizationFactor</f>
        <v>22156.221196200004</v>
      </c>
      <c r="V230" s="777">
        <f>$H$21*$I$8*'Traffic Data'!AX20*annualizationFactor</f>
        <v>22528.839023600005</v>
      </c>
      <c r="W230" s="777">
        <f>$H$21*$I$8*'Traffic Data'!AY20*annualizationFactor</f>
        <v>22850.737546000004</v>
      </c>
      <c r="X230" s="777">
        <f>$H$21*$I$8*'Traffic Data'!AZ20*annualizationFactor</f>
        <v>23173.312325800001</v>
      </c>
      <c r="Y230" s="777">
        <f>$H$21*$I$8*'Traffic Data'!BA20*annualizationFactor</f>
        <v>23495.887105600003</v>
      </c>
      <c r="Z230" s="777">
        <f>$H$21*$I$8*'Traffic Data'!BB20*annualizationFactor</f>
        <v>23818.461885400007</v>
      </c>
      <c r="AA230" s="777">
        <f>$H$21*$I$8*'Traffic Data'!BC20*annualizationFactor</f>
        <v>24141.036665200005</v>
      </c>
      <c r="AB230" s="777">
        <f>$H$21*$I$8*'Traffic Data'!BD20*annualizationFactor</f>
        <v>24463.611445000002</v>
      </c>
      <c r="AC230" s="777">
        <f>$H$21*$I$8*'Traffic Data'!BE20*annualizationFactor</f>
        <v>24786.1862248</v>
      </c>
      <c r="AD230" s="777">
        <f>$H$21*$I$8*'Traffic Data'!BF20*annualizationFactor</f>
        <v>25108.761004600005</v>
      </c>
      <c r="AE230" s="777">
        <f>$H$21*$I$8*'Traffic Data'!BG20*annualizationFactor</f>
        <v>25431.335784400006</v>
      </c>
      <c r="AF230" s="777">
        <f>$H$21*$I$8*'Traffic Data'!BH20*annualizationFactor</f>
        <v>25753.910564200003</v>
      </c>
      <c r="AG230" s="777">
        <f>$H$21*$I$8*'Traffic Data'!BI20*annualizationFactor</f>
        <v>26075.809086600006</v>
      </c>
      <c r="AH230" s="778">
        <f>$H$21*$I$8*'Traffic Data'!BJ20*annualizationFactor</f>
        <v>26398.383866400003</v>
      </c>
      <c r="AI230" s="40"/>
      <c r="AJ230" s="40"/>
      <c r="AK230" s="40"/>
      <c r="AL230" s="40"/>
      <c r="AM230" s="40"/>
    </row>
    <row r="231" spans="2:39" ht="21.95" customHeight="1" x14ac:dyDescent="0.2">
      <c r="B231" s="1346"/>
      <c r="C231" s="116" t="s">
        <v>341</v>
      </c>
      <c r="D231" s="116" t="s">
        <v>344</v>
      </c>
      <c r="E231" s="116" t="s">
        <v>19</v>
      </c>
      <c r="F231" s="116" t="s">
        <v>40</v>
      </c>
      <c r="G231" s="970"/>
      <c r="H231" s="970"/>
      <c r="I231" s="777">
        <f>$H$21*$I$8*'Traffic Data'!AK21*annualizationFactor</f>
        <v>16500.680560000001</v>
      </c>
      <c r="J231" s="777">
        <f>$H$21*$I$8*'Traffic Data'!AL21*annualizationFactor</f>
        <v>16858.618399840001</v>
      </c>
      <c r="K231" s="777">
        <f>$H$21*$I$8*'Traffic Data'!AM21*annualizationFactor</f>
        <v>17672.228879760001</v>
      </c>
      <c r="L231" s="777">
        <f>$H$21*$I$8*'Traffic Data'!AN21*annualizationFactor</f>
        <v>18564.534913120006</v>
      </c>
      <c r="M231" s="777">
        <f>$H$21*$I$8*'Traffic Data'!AO21*annualizationFactor</f>
        <v>19457.475588040001</v>
      </c>
      <c r="N231" s="777">
        <f>$H$21*$I$8*'Traffic Data'!AP21*annualizationFactor</f>
        <v>20349.781621400001</v>
      </c>
      <c r="O231" s="777">
        <f>$H$21*$I$8*'Traffic Data'!AQ21*annualizationFactor</f>
        <v>21242.087654760006</v>
      </c>
      <c r="P231" s="777">
        <f>$H$21*$I$8*'Traffic Data'!AR21*annualizationFactor</f>
        <v>22135.028329680001</v>
      </c>
      <c r="Q231" s="777">
        <f>$H$21*$I$8*'Traffic Data'!AS21*annualizationFactor</f>
        <v>22627.510180240002</v>
      </c>
      <c r="R231" s="777">
        <f>$H$21*$I$8*'Traffic Data'!AT21*annualizationFactor</f>
        <v>23119.357389240002</v>
      </c>
      <c r="S231" s="777">
        <f>$H$21*$I$8*'Traffic Data'!AU21*annualizationFactor</f>
        <v>23611.8392398</v>
      </c>
      <c r="T231" s="777">
        <f>$H$21*$I$8*'Traffic Data'!AV21*annualizationFactor</f>
        <v>24103.686448800003</v>
      </c>
      <c r="U231" s="777">
        <f>$H$21*$I$8*'Traffic Data'!AW21*annualizationFactor</f>
        <v>24596.168299360004</v>
      </c>
      <c r="V231" s="777">
        <f>$H$21*$I$8*'Traffic Data'!AX21*annualizationFactor</f>
        <v>25008.685313360005</v>
      </c>
      <c r="W231" s="777">
        <f>$H$21*$I$8*'Traffic Data'!AY21*annualizationFactor</f>
        <v>25366.623153200006</v>
      </c>
      <c r="X231" s="777">
        <f>$H$21*$I$8*'Traffic Data'!AZ21*annualizationFactor</f>
        <v>25725.195634600004</v>
      </c>
      <c r="Y231" s="777">
        <f>$H$21*$I$8*'Traffic Data'!BA21*annualizationFactor</f>
        <v>26083.133474440005</v>
      </c>
      <c r="Z231" s="777">
        <f>$H$21*$I$8*'Traffic Data'!BB21*annualizationFactor</f>
        <v>26441.071314280005</v>
      </c>
      <c r="AA231" s="777">
        <f>$H$21*$I$8*'Traffic Data'!BC21*annualizationFactor</f>
        <v>26799.009154120005</v>
      </c>
      <c r="AB231" s="777">
        <f>$H$21*$I$8*'Traffic Data'!BD21*annualizationFactor</f>
        <v>27156.946993960002</v>
      </c>
      <c r="AC231" s="777">
        <f>$H$21*$I$8*'Traffic Data'!BE21*annualizationFactor</f>
        <v>27514.884833800003</v>
      </c>
      <c r="AD231" s="777">
        <f>$H$21*$I$8*'Traffic Data'!BF21*annualizationFactor</f>
        <v>27872.822673640003</v>
      </c>
      <c r="AE231" s="777">
        <f>$H$21*$I$8*'Traffic Data'!BG21*annualizationFactor</f>
        <v>28230.760513480007</v>
      </c>
      <c r="AF231" s="777">
        <f>$H$21*$I$8*'Traffic Data'!BH21*annualizationFactor</f>
        <v>28589.332994880006</v>
      </c>
      <c r="AG231" s="777">
        <f>$H$21*$I$8*'Traffic Data'!BI21*annualizationFactor</f>
        <v>28947.270834720006</v>
      </c>
      <c r="AH231" s="778">
        <f>$H$21*$I$8*'Traffic Data'!BJ21*annualizationFactor</f>
        <v>29305.208674560006</v>
      </c>
      <c r="AI231" s="40"/>
      <c r="AJ231" s="40"/>
      <c r="AK231" s="40"/>
      <c r="AL231" s="40"/>
      <c r="AM231" s="40"/>
    </row>
    <row r="232" spans="2:39" ht="21.95" customHeight="1" x14ac:dyDescent="0.2">
      <c r="B232" s="1346"/>
      <c r="C232" s="116" t="s">
        <v>344</v>
      </c>
      <c r="D232" s="116" t="s">
        <v>345</v>
      </c>
      <c r="E232" s="116" t="s">
        <v>19</v>
      </c>
      <c r="F232" s="116" t="s">
        <v>40</v>
      </c>
      <c r="G232" s="970"/>
      <c r="H232" s="970"/>
      <c r="I232" s="777">
        <f>$H$21*$I$8*'Traffic Data'!AK22*annualizationFactor</f>
        <v>6762.5740000000014</v>
      </c>
      <c r="J232" s="777">
        <f>$H$21*$I$8*'Traffic Data'!AL22*annualizationFactor</f>
        <v>6909.2698360000004</v>
      </c>
      <c r="K232" s="777">
        <f>$H$21*$I$8*'Traffic Data'!AM22*annualizationFactor</f>
        <v>7242.7167540000009</v>
      </c>
      <c r="L232" s="777">
        <f>$H$21*$I$8*'Traffic Data'!AN22*annualizationFactor</f>
        <v>7608.4159480000017</v>
      </c>
      <c r="M232" s="777">
        <f>$H$21*$I$8*'Traffic Data'!AO22*annualizationFactor</f>
        <v>7974.3752410000016</v>
      </c>
      <c r="N232" s="777">
        <f>$H$21*$I$8*'Traffic Data'!AP22*annualizationFactor</f>
        <v>8340.0744350000023</v>
      </c>
      <c r="O232" s="777">
        <f>$H$21*$I$8*'Traffic Data'!AQ22*annualizationFactor</f>
        <v>8705.7736290000012</v>
      </c>
      <c r="P232" s="777">
        <f>$H$21*$I$8*'Traffic Data'!AR22*annualizationFactor</f>
        <v>9071.7329220000011</v>
      </c>
      <c r="Q232" s="777">
        <f>$H$21*$I$8*'Traffic Data'!AS22*annualizationFactor</f>
        <v>9273.569746000001</v>
      </c>
      <c r="R232" s="777">
        <f>$H$21*$I$8*'Traffic Data'!AT22*annualizationFactor</f>
        <v>9475.146471</v>
      </c>
      <c r="S232" s="777">
        <f>$H$21*$I$8*'Traffic Data'!AU22*annualizationFactor</f>
        <v>9676.9832950000018</v>
      </c>
      <c r="T232" s="777">
        <f>$H$21*$I$8*'Traffic Data'!AV22*annualizationFactor</f>
        <v>9878.5600200000008</v>
      </c>
      <c r="U232" s="777">
        <f>$H$21*$I$8*'Traffic Data'!AW22*annualizationFactor</f>
        <v>10080.396844000001</v>
      </c>
      <c r="V232" s="777">
        <f>$H$21*$I$8*'Traffic Data'!AX22*annualizationFactor</f>
        <v>10249.461194000001</v>
      </c>
      <c r="W232" s="777">
        <f>$H$21*$I$8*'Traffic Data'!AY22*annualizationFactor</f>
        <v>10396.15703</v>
      </c>
      <c r="X232" s="777">
        <f>$H$21*$I$8*'Traffic Data'!AZ22*annualizationFactor</f>
        <v>10543.112965000002</v>
      </c>
      <c r="Y232" s="777">
        <f>$H$21*$I$8*'Traffic Data'!BA22*annualizationFactor</f>
        <v>10689.808801000001</v>
      </c>
      <c r="Z232" s="777">
        <f>$H$21*$I$8*'Traffic Data'!BB22*annualizationFactor</f>
        <v>10836.504637000002</v>
      </c>
      <c r="AA232" s="777">
        <f>$H$21*$I$8*'Traffic Data'!BC22*annualizationFactor</f>
        <v>10983.200473000003</v>
      </c>
      <c r="AB232" s="777">
        <f>$H$21*$I$8*'Traffic Data'!BD22*annualizationFactor</f>
        <v>11129.896309000002</v>
      </c>
      <c r="AC232" s="777">
        <f>$H$21*$I$8*'Traffic Data'!BE22*annualizationFactor</f>
        <v>11276.592145000002</v>
      </c>
      <c r="AD232" s="777">
        <f>$H$21*$I$8*'Traffic Data'!BF22*annualizationFactor</f>
        <v>11423.287981000001</v>
      </c>
      <c r="AE232" s="777">
        <f>$H$21*$I$8*'Traffic Data'!BG22*annualizationFactor</f>
        <v>11569.983817000002</v>
      </c>
      <c r="AF232" s="777">
        <f>$H$21*$I$8*'Traffic Data'!BH22*annualizationFactor</f>
        <v>11716.939752000002</v>
      </c>
      <c r="AG232" s="777">
        <f>$H$21*$I$8*'Traffic Data'!BI22*annualizationFactor</f>
        <v>11863.635588000003</v>
      </c>
      <c r="AH232" s="778">
        <f>$H$21*$I$8*'Traffic Data'!BJ22*annualizationFactor</f>
        <v>12010.331424</v>
      </c>
      <c r="AI232" s="40"/>
      <c r="AJ232" s="40"/>
      <c r="AK232" s="40"/>
      <c r="AL232" s="40"/>
      <c r="AM232" s="40"/>
    </row>
    <row r="233" spans="2:39" ht="21.95" customHeight="1" x14ac:dyDescent="0.2">
      <c r="B233" s="1346"/>
      <c r="C233" s="116" t="s">
        <v>345</v>
      </c>
      <c r="D233" s="116" t="s">
        <v>323</v>
      </c>
      <c r="E233" s="116" t="s">
        <v>19</v>
      </c>
      <c r="F233" s="116" t="s">
        <v>40</v>
      </c>
      <c r="G233" s="970"/>
      <c r="H233" s="970"/>
      <c r="I233" s="777">
        <f>$H$21*$I$8*'Traffic Data'!AK23*annualizationFactor</f>
        <v>81567.046400000007</v>
      </c>
      <c r="J233" s="777">
        <f>$H$21*$I$8*'Traffic Data'!AL23*annualizationFactor</f>
        <v>83336.759996000008</v>
      </c>
      <c r="K233" s="777">
        <f>$H$21*$I$8*'Traffic Data'!AM23*annualizationFactor</f>
        <v>87358.015383520004</v>
      </c>
      <c r="L233" s="777">
        <f>$H$21*$I$8*'Traffic Data'!AN23*annualizationFactor</f>
        <v>91769.481694800023</v>
      </c>
      <c r="M233" s="777">
        <f>$H$21*$I$8*'Traffic Data'!AO23*annualizationFactor</f>
        <v>96182.987182240002</v>
      </c>
      <c r="N233" s="777">
        <f>$H$21*$I$8*'Traffic Data'!AP23*annualizationFactor</f>
        <v>100595.03611528003</v>
      </c>
      <c r="O233" s="777">
        <f>$H$21*$I$8*'Traffic Data'!AQ23*annualizationFactor</f>
        <v>105006.50242655999</v>
      </c>
      <c r="P233" s="777">
        <f>$H$21*$I$8*'Traffic Data'!AR23*annualizationFactor</f>
        <v>109420.44488032001</v>
      </c>
      <c r="Q233" s="777">
        <f>$H$21*$I$8*'Traffic Data'!AS23*annualizationFactor</f>
        <v>111852.89072831997</v>
      </c>
      <c r="R233" s="777">
        <f>$H$21*$I$8*'Traffic Data'!AT23*annualizationFactor</f>
        <v>114285.33657632001</v>
      </c>
      <c r="S233" s="777">
        <f>$H$21*$I$8*'Traffic Data'!AU23*annualizationFactor</f>
        <v>116717.78242432002</v>
      </c>
      <c r="T233" s="777">
        <f>$H$21*$I$8*'Traffic Data'!AV23*annualizationFactor</f>
        <v>119150.22827232003</v>
      </c>
      <c r="U233" s="777">
        <f>$H$21*$I$8*'Traffic Data'!AW23*annualizationFactor</f>
        <v>121583.54805296</v>
      </c>
      <c r="V233" s="777">
        <f>$H$21*$I$8*'Traffic Data'!AX23*annualizationFactor</f>
        <v>123625.34601087999</v>
      </c>
      <c r="W233" s="777">
        <f>$H$21*$I$8*'Traffic Data'!AY23*annualizationFactor</f>
        <v>125395.05960687999</v>
      </c>
      <c r="X233" s="777">
        <f>$H$21*$I$8*'Traffic Data'!AZ23*annualizationFactor</f>
        <v>127164.77320288001</v>
      </c>
      <c r="Y233" s="777">
        <f>$H$21*$I$8*'Traffic Data'!BA23*annualizationFactor</f>
        <v>128934.48679888003</v>
      </c>
      <c r="Z233" s="777">
        <f>$H$21*$I$8*'Traffic Data'!BB23*annualizationFactor</f>
        <v>130704.34605032002</v>
      </c>
      <c r="AA233" s="777">
        <f>$H$21*$I$8*'Traffic Data'!BC23*annualizationFactor</f>
        <v>132474.05964631998</v>
      </c>
      <c r="AB233" s="777">
        <f>$H$21*$I$8*'Traffic Data'!BD23*annualizationFactor</f>
        <v>134243.91889776001</v>
      </c>
      <c r="AC233" s="777">
        <f>$H$21*$I$8*'Traffic Data'!BE23*annualizationFactor</f>
        <v>136013.63249376006</v>
      </c>
      <c r="AD233" s="777">
        <f>$H$21*$I$8*'Traffic Data'!BF23*annualizationFactor</f>
        <v>137783.34608976002</v>
      </c>
      <c r="AE233" s="777">
        <f>$H$21*$I$8*'Traffic Data'!BG23*annualizationFactor</f>
        <v>139553.2053412</v>
      </c>
      <c r="AF233" s="777">
        <f>$H$21*$I$8*'Traffic Data'!BH23*annualizationFactor</f>
        <v>141322.91893720001</v>
      </c>
      <c r="AG233" s="777">
        <f>$H$21*$I$8*'Traffic Data'!BI23*annualizationFactor</f>
        <v>143092.63253320003</v>
      </c>
      <c r="AH233" s="778">
        <f>$H$21*$I$8*'Traffic Data'!BJ23*annualizationFactor</f>
        <v>144862.49178464001</v>
      </c>
      <c r="AI233" s="40"/>
      <c r="AJ233" s="40"/>
      <c r="AK233" s="40"/>
      <c r="AL233" s="40"/>
      <c r="AM233" s="40"/>
    </row>
    <row r="234" spans="2:39" ht="21.95" customHeight="1" x14ac:dyDescent="0.2">
      <c r="B234" s="1346"/>
      <c r="C234" s="116" t="s">
        <v>323</v>
      </c>
      <c r="D234" s="116" t="s">
        <v>347</v>
      </c>
      <c r="E234" s="116" t="s">
        <v>19</v>
      </c>
      <c r="F234" s="116" t="s">
        <v>40</v>
      </c>
      <c r="G234" s="970"/>
      <c r="H234" s="970"/>
      <c r="I234" s="777">
        <f>$H$21*$I$8*'Traffic Data'!AK24*annualizationFactor</f>
        <v>14565.544000000002</v>
      </c>
      <c r="J234" s="777">
        <f>$H$21*$I$8*'Traffic Data'!AL24*annualizationFactor</f>
        <v>14881.564285000002</v>
      </c>
      <c r="K234" s="777">
        <f>$H$21*$I$8*'Traffic Data'!AM24*annualizationFactor</f>
        <v>15352.239435400001</v>
      </c>
      <c r="L234" s="777">
        <f>$H$21*$I$8*'Traffic Data'!AN24*annualizationFactor</f>
        <v>15892.595107900004</v>
      </c>
      <c r="M234" s="777">
        <f>$H$21*$I$8*'Traffic Data'!AO24*annualizationFactor</f>
        <v>16433.106839800002</v>
      </c>
      <c r="N234" s="777">
        <f>$H$21*$I$8*'Traffic Data'!AP24*annualizationFactor</f>
        <v>16973.566551899999</v>
      </c>
      <c r="O234" s="777">
        <f>$H$21*$I$8*'Traffic Data'!AQ24*annualizationFactor</f>
        <v>17513.922224399998</v>
      </c>
      <c r="P234" s="777">
        <f>$H$21*$I$8*'Traffic Data'!AR24*annualizationFactor</f>
        <v>18054.511985999998</v>
      </c>
      <c r="Q234" s="777">
        <f>$H$21*$I$8*'Traffic Data'!AS24*annualizationFactor</f>
        <v>18488.877315999998</v>
      </c>
      <c r="R234" s="777">
        <f>$H$21*$I$8*'Traffic Data'!AT24*annualizationFactor</f>
        <v>18923.242645999999</v>
      </c>
      <c r="S234" s="777">
        <f>$H$21*$I$8*'Traffic Data'!AU24*annualizationFactor</f>
        <v>19357.607976000003</v>
      </c>
      <c r="T234" s="777">
        <f>$H$21*$I$8*'Traffic Data'!AV24*annualizationFactor</f>
        <v>19791.973306000007</v>
      </c>
      <c r="U234" s="777">
        <f>$H$21*$I$8*'Traffic Data'!AW24*annualizationFactor</f>
        <v>20226.494695400001</v>
      </c>
      <c r="V234" s="777">
        <f>$H$21*$I$8*'Traffic Data'!AX24*annualizationFactor</f>
        <v>20591.1014736</v>
      </c>
      <c r="W234" s="777">
        <f>$H$21*$I$8*'Traffic Data'!AY24*annualizationFactor</f>
        <v>20907.121758599998</v>
      </c>
      <c r="X234" s="777">
        <f>$H$21*$I$8*'Traffic Data'!AZ24*annualizationFactor</f>
        <v>21223.142043600001</v>
      </c>
      <c r="Y234" s="777">
        <f>$H$21*$I$8*'Traffic Data'!BA24*annualizationFactor</f>
        <v>21539.162328600003</v>
      </c>
      <c r="Z234" s="777">
        <f>$H$21*$I$8*'Traffic Data'!BB24*annualizationFactor</f>
        <v>21855.208623500002</v>
      </c>
      <c r="AA234" s="777">
        <f>$H$21*$I$8*'Traffic Data'!BC24*annualizationFactor</f>
        <v>22171.228908499997</v>
      </c>
      <c r="AB234" s="777">
        <f>$H$21*$I$8*'Traffic Data'!BD24*annualizationFactor</f>
        <v>22487.275203400004</v>
      </c>
      <c r="AC234" s="777">
        <f>$H$21*$I$8*'Traffic Data'!BE24*annualizationFactor</f>
        <v>22803.29548840001</v>
      </c>
      <c r="AD234" s="777">
        <f>$H$21*$I$8*'Traffic Data'!BF24*annualizationFactor</f>
        <v>23119.315773400005</v>
      </c>
      <c r="AE234" s="777">
        <f>$H$21*$I$8*'Traffic Data'!BG24*annualizationFactor</f>
        <v>23435.362068300001</v>
      </c>
      <c r="AF234" s="777">
        <f>$H$21*$I$8*'Traffic Data'!BH24*annualizationFactor</f>
        <v>23751.382353300003</v>
      </c>
      <c r="AG234" s="777">
        <f>$H$21*$I$8*'Traffic Data'!BI24*annualizationFactor</f>
        <v>24067.402638300005</v>
      </c>
      <c r="AH234" s="778">
        <f>$H$21*$I$8*'Traffic Data'!BJ24*annualizationFactor</f>
        <v>24383.448933200005</v>
      </c>
      <c r="AI234" s="40"/>
      <c r="AJ234" s="40"/>
      <c r="AK234" s="40"/>
      <c r="AL234" s="40"/>
      <c r="AM234" s="40"/>
    </row>
    <row r="235" spans="2:39" ht="21.95" customHeight="1" x14ac:dyDescent="0.2">
      <c r="B235" s="1346"/>
      <c r="C235" s="116" t="s">
        <v>347</v>
      </c>
      <c r="D235" s="116" t="s">
        <v>348</v>
      </c>
      <c r="E235" s="116" t="s">
        <v>19</v>
      </c>
      <c r="F235" s="116" t="s">
        <v>40</v>
      </c>
      <c r="G235" s="970"/>
      <c r="H235" s="970"/>
      <c r="I235" s="777">
        <f>$H$21*$I$8*'Traffic Data'!AK25*annualizationFactor</f>
        <v>10195.880800000001</v>
      </c>
      <c r="J235" s="777">
        <f>$H$21*$I$8*'Traffic Data'!AL25*annualizationFactor</f>
        <v>10417.094999500001</v>
      </c>
      <c r="K235" s="777">
        <f>$H$21*$I$8*'Traffic Data'!AM25*annualizationFactor</f>
        <v>10746.567604779999</v>
      </c>
      <c r="L235" s="777">
        <f>$H$21*$I$8*'Traffic Data'!AN25*annualizationFactor</f>
        <v>11124.816575530002</v>
      </c>
      <c r="M235" s="777">
        <f>$H$21*$I$8*'Traffic Data'!AO25*annualizationFactor</f>
        <v>11503.174787860002</v>
      </c>
      <c r="N235" s="777">
        <f>$H$21*$I$8*'Traffic Data'!AP25*annualizationFactor</f>
        <v>11881.49658633</v>
      </c>
      <c r="O235" s="777">
        <f>$H$21*$I$8*'Traffic Data'!AQ25*annualizationFactor</f>
        <v>12259.745557079999</v>
      </c>
      <c r="P235" s="777">
        <f>$H$21*$I$8*'Traffic Data'!AR25*annualizationFactor</f>
        <v>12638.158390199998</v>
      </c>
      <c r="Q235" s="777">
        <f>$H$21*$I$8*'Traffic Data'!AS25*annualizationFactor</f>
        <v>12942.214121199999</v>
      </c>
      <c r="R235" s="777">
        <f>$H$21*$I$8*'Traffic Data'!AT25*annualizationFactor</f>
        <v>13246.269852199999</v>
      </c>
      <c r="S235" s="777">
        <f>$H$21*$I$8*'Traffic Data'!AU25*annualizationFactor</f>
        <v>13550.325583200001</v>
      </c>
      <c r="T235" s="777">
        <f>$H$21*$I$8*'Traffic Data'!AV25*annualizationFactor</f>
        <v>13854.381314200005</v>
      </c>
      <c r="U235" s="777">
        <f>$H$21*$I$8*'Traffic Data'!AW25*annualizationFactor</f>
        <v>14158.54628678</v>
      </c>
      <c r="V235" s="777">
        <f>$H$21*$I$8*'Traffic Data'!AX25*annualizationFactor</f>
        <v>14413.77103152</v>
      </c>
      <c r="W235" s="777">
        <f>$H$21*$I$8*'Traffic Data'!AY25*annualizationFactor</f>
        <v>14634.98523102</v>
      </c>
      <c r="X235" s="777">
        <f>$H$21*$I$8*'Traffic Data'!AZ25*annualizationFactor</f>
        <v>14856.199430520001</v>
      </c>
      <c r="Y235" s="777">
        <f>$H$21*$I$8*'Traffic Data'!BA25*annualizationFactor</f>
        <v>15077.413630020003</v>
      </c>
      <c r="Z235" s="777">
        <f>$H$21*$I$8*'Traffic Data'!BB25*annualizationFactor</f>
        <v>15298.64603645</v>
      </c>
      <c r="AA235" s="777">
        <f>$H$21*$I$8*'Traffic Data'!BC25*annualizationFactor</f>
        <v>15519.860235949998</v>
      </c>
      <c r="AB235" s="777">
        <f>$H$21*$I$8*'Traffic Data'!BD25*annualizationFactor</f>
        <v>15741.092642380003</v>
      </c>
      <c r="AC235" s="777">
        <f>$H$21*$I$8*'Traffic Data'!BE25*annualizationFactor</f>
        <v>15962.306841880005</v>
      </c>
      <c r="AD235" s="777">
        <f>$H$21*$I$8*'Traffic Data'!BF25*annualizationFactor</f>
        <v>16183.521041380001</v>
      </c>
      <c r="AE235" s="777">
        <f>$H$21*$I$8*'Traffic Data'!BG25*annualizationFactor</f>
        <v>16404.753447809999</v>
      </c>
      <c r="AF235" s="777">
        <f>$H$21*$I$8*'Traffic Data'!BH25*annualizationFactor</f>
        <v>16625.967647310004</v>
      </c>
      <c r="AG235" s="777">
        <f>$H$21*$I$8*'Traffic Data'!BI25*annualizationFactor</f>
        <v>16847.181846810003</v>
      </c>
      <c r="AH235" s="778">
        <f>$H$21*$I$8*'Traffic Data'!BJ25*annualizationFactor</f>
        <v>17068.41425324</v>
      </c>
      <c r="AI235" s="40"/>
      <c r="AJ235" s="40"/>
      <c r="AK235" s="40"/>
      <c r="AL235" s="40"/>
      <c r="AM235" s="40"/>
    </row>
    <row r="236" spans="2:39" ht="21.95" customHeight="1" x14ac:dyDescent="0.2">
      <c r="B236" s="1346"/>
      <c r="C236" s="254" t="s">
        <v>348</v>
      </c>
      <c r="D236" s="254" t="s">
        <v>349</v>
      </c>
      <c r="E236" s="254" t="s">
        <v>19</v>
      </c>
      <c r="F236" s="116" t="s">
        <v>40</v>
      </c>
      <c r="G236" s="779"/>
      <c r="H236" s="779"/>
      <c r="I236" s="777">
        <f>$H$21*$I$8*'Traffic Data'!AK26*annualizationFactor</f>
        <v>16646.336000000003</v>
      </c>
      <c r="J236" s="777">
        <f>$H$21*$I$8*'Traffic Data'!AL26*annualizationFactor</f>
        <v>17043.949341300002</v>
      </c>
      <c r="K236" s="777">
        <f>$H$21*$I$8*'Traffic Data'!AM26*annualizationFactor</f>
        <v>17596.269567800002</v>
      </c>
      <c r="L236" s="777">
        <f>$H$21*$I$8*'Traffic Data'!AN26*annualizationFactor</f>
        <v>18329.800767600002</v>
      </c>
      <c r="M236" s="777">
        <f>$H$21*$I$8*'Traffic Data'!AO26*annualizationFactor</f>
        <v>19063.540046600003</v>
      </c>
      <c r="N236" s="777">
        <f>$H$21*$I$8*'Traffic Data'!AP26*annualizationFactor</f>
        <v>19797.331345400002</v>
      </c>
      <c r="O236" s="777">
        <f>$H$21*$I$8*'Traffic Data'!AQ26*annualizationFactor</f>
        <v>20530.862545200001</v>
      </c>
      <c r="P236" s="777">
        <f>$H$21*$I$8*'Traffic Data'!AR26*annualizationFactor</f>
        <v>21264.809903400008</v>
      </c>
      <c r="Q236" s="777">
        <f>$H$21*$I$8*'Traffic Data'!AS26*annualizationFactor</f>
        <v>21965.308530200004</v>
      </c>
      <c r="R236" s="777">
        <f>$H$21*$I$8*'Traffic Data'!AT26*annualizationFactor</f>
        <v>22665.8331669</v>
      </c>
      <c r="S236" s="777">
        <f>$H$21*$I$8*'Traffic Data'!AU26*annualizationFactor</f>
        <v>23366.331793700003</v>
      </c>
      <c r="T236" s="777">
        <f>$H$21*$I$8*'Traffic Data'!AV26*annualizationFactor</f>
        <v>24066.830420500006</v>
      </c>
      <c r="U236" s="777">
        <f>$H$21*$I$8*'Traffic Data'!AW26*annualizationFactor</f>
        <v>24767.745205700005</v>
      </c>
      <c r="V236" s="777">
        <f>$H$21*$I$8*'Traffic Data'!AX26*annualizationFactor</f>
        <v>25286.824780000003</v>
      </c>
      <c r="W236" s="777">
        <f>$H$21*$I$8*'Traffic Data'!AY26*annualizationFactor</f>
        <v>25684.438121300005</v>
      </c>
      <c r="X236" s="777">
        <f>$H$21*$I$8*'Traffic Data'!AZ26*annualizationFactor</f>
        <v>26082.0514626</v>
      </c>
      <c r="Y236" s="777">
        <f>$H$21*$I$8*'Traffic Data'!BA26*annualizationFactor</f>
        <v>26479.664803899999</v>
      </c>
      <c r="Z236" s="777">
        <f>$H$21*$I$8*'Traffic Data'!BB26*annualizationFactor</f>
        <v>26877.3561749</v>
      </c>
      <c r="AA236" s="777">
        <f>$H$21*$I$8*'Traffic Data'!BC26*annualizationFactor</f>
        <v>27274.969516200003</v>
      </c>
      <c r="AB236" s="777">
        <f>$H$21*$I$8*'Traffic Data'!BD26*annualizationFactor</f>
        <v>27672.660887200007</v>
      </c>
      <c r="AC236" s="777">
        <f>$H$21*$I$8*'Traffic Data'!BE26*annualizationFactor</f>
        <v>28070.274228500002</v>
      </c>
      <c r="AD236" s="777">
        <f>$H$21*$I$8*'Traffic Data'!BF26*annualizationFactor</f>
        <v>28467.887569800001</v>
      </c>
      <c r="AE236" s="777">
        <f>$H$21*$I$8*'Traffic Data'!BG26*annualizationFactor</f>
        <v>28865.578940800002</v>
      </c>
      <c r="AF236" s="777">
        <f>$H$21*$I$8*'Traffic Data'!BH26*annualizationFactor</f>
        <v>29263.192282100001</v>
      </c>
      <c r="AG236" s="777">
        <f>$H$21*$I$8*'Traffic Data'!BI26*annualizationFactor</f>
        <v>29660.805623400003</v>
      </c>
      <c r="AH236" s="778">
        <f>$H$21*$I$8*'Traffic Data'!BJ26*annualizationFactor</f>
        <v>30058.4969944</v>
      </c>
      <c r="AI236" s="40"/>
      <c r="AJ236" s="40"/>
      <c r="AK236" s="40"/>
      <c r="AL236" s="40"/>
      <c r="AM236" s="40"/>
    </row>
    <row r="237" spans="2:39" ht="21.95" customHeight="1" x14ac:dyDescent="0.2">
      <c r="B237" s="492" t="s">
        <v>288</v>
      </c>
      <c r="C237" s="116" t="s">
        <v>323</v>
      </c>
      <c r="D237" s="116" t="s">
        <v>348</v>
      </c>
      <c r="E237" s="116" t="s">
        <v>19</v>
      </c>
      <c r="F237" s="220" t="s">
        <v>40</v>
      </c>
      <c r="G237" s="970"/>
      <c r="H237" s="970"/>
      <c r="I237" s="775">
        <f>$H$21*$J$8*'Traffic Data'!AK27*annualizationFactor</f>
        <v>1337.652</v>
      </c>
      <c r="J237" s="775">
        <f>$H$21*$J$8*'Traffic Data'!AL27*annualizationFactor</f>
        <v>1387.7990872</v>
      </c>
      <c r="K237" s="775">
        <f>$H$21*$J$8*'Traffic Data'!AM27*annualizationFactor</f>
        <v>1464.5059980000001</v>
      </c>
      <c r="L237" s="775">
        <f>$H$21*$J$8*'Traffic Data'!AN27*annualizationFactor</f>
        <v>1708.2187610000003</v>
      </c>
      <c r="M237" s="775">
        <f>$H$21*$J$8*'Traffic Data'!AO27*annualizationFactor</f>
        <v>1951.9686810000001</v>
      </c>
      <c r="N237" s="775">
        <f>$H$21*$J$8*'Traffic Data'!AP27*annualizationFactor</f>
        <v>2195.9786999999997</v>
      </c>
      <c r="O237" s="775">
        <f>$H$21*$J$8*'Traffic Data'!AQ27*annualizationFactor</f>
        <v>2439.6914629999997</v>
      </c>
      <c r="P237" s="775">
        <f>$H$21*$J$8*'Traffic Data'!AR27*annualizationFactor</f>
        <v>2683.6420308000002</v>
      </c>
      <c r="Q237" s="775">
        <f>$H$21*$J$8*'Traffic Data'!AS27*annualizationFactor</f>
        <v>3005.0723749999997</v>
      </c>
      <c r="R237" s="775">
        <f>$H$21*$J$8*'Traffic Data'!AT27*annualizationFactor</f>
        <v>3326.4209738</v>
      </c>
      <c r="S237" s="775">
        <f>$H$21*$J$8*'Traffic Data'!AU27*annualizationFactor</f>
        <v>3647.8884750000002</v>
      </c>
      <c r="T237" s="775">
        <f>$H$21*$J$8*'Traffic Data'!AV27*annualizationFactor</f>
        <v>3969.3188192000011</v>
      </c>
      <c r="U237" s="775">
        <f>$H$21*$J$8*'Traffic Data'!AW27*annualizationFactor</f>
        <v>4291.1133020000007</v>
      </c>
      <c r="V237" s="775">
        <f>$H$21*$J$8*'Traffic Data'!AX27*annualizationFactor</f>
        <v>4445.3743032000002</v>
      </c>
      <c r="W237" s="775">
        <f>$H$21*$J$8*'Traffic Data'!AY27*annualizationFactor</f>
        <v>4495.5213904000002</v>
      </c>
      <c r="X237" s="775">
        <f>$H$21*$J$8*'Traffic Data'!AZ27*annualizationFactor</f>
        <v>4545.6684775999993</v>
      </c>
      <c r="Y237" s="775">
        <f>$H$21*$J$8*'Traffic Data'!BA27*annualizationFactor</f>
        <v>4595.8155648000002</v>
      </c>
      <c r="Z237" s="775">
        <f>$H$21*$J$8*'Traffic Data'!BB27*annualizationFactor</f>
        <v>4646.0146717999996</v>
      </c>
      <c r="AA237" s="775">
        <f>$H$21*$J$8*'Traffic Data'!BC27*annualizationFactor</f>
        <v>4696.1617589999987</v>
      </c>
      <c r="AB237" s="775">
        <f>$H$21*$J$8*'Traffic Data'!BD27*annualizationFactor</f>
        <v>4746.3608660000009</v>
      </c>
      <c r="AC237" s="775">
        <f>$H$21*$J$8*'Traffic Data'!BE27*annualizationFactor</f>
        <v>4796.5079532000009</v>
      </c>
      <c r="AD237" s="775">
        <f>$H$21*$J$8*'Traffic Data'!BF27*annualizationFactor</f>
        <v>4846.6550404</v>
      </c>
      <c r="AE237" s="775">
        <f>$H$21*$J$8*'Traffic Data'!BG27*annualizationFactor</f>
        <v>4896.8541473999994</v>
      </c>
      <c r="AF237" s="775">
        <f>$H$21*$J$8*'Traffic Data'!BH27*annualizationFactor</f>
        <v>4947.0012346000012</v>
      </c>
      <c r="AG237" s="775">
        <f>$H$21*$J$8*'Traffic Data'!BI27*annualizationFactor</f>
        <v>4997.1483218000003</v>
      </c>
      <c r="AH237" s="776">
        <f>$H$21*$J$8*'Traffic Data'!BJ27*annualizationFactor</f>
        <v>5047.3474287999998</v>
      </c>
      <c r="AI237" s="40"/>
      <c r="AJ237" s="40"/>
      <c r="AK237" s="40"/>
      <c r="AL237" s="40"/>
      <c r="AM237" s="40"/>
    </row>
    <row r="238" spans="2:39" ht="21.95" customHeight="1" x14ac:dyDescent="0.2">
      <c r="B238" s="782" t="s">
        <v>340</v>
      </c>
      <c r="C238" s="277" t="s">
        <v>335</v>
      </c>
      <c r="D238" s="277" t="s">
        <v>323</v>
      </c>
      <c r="E238" s="277" t="s">
        <v>19</v>
      </c>
      <c r="F238" s="220" t="s">
        <v>40</v>
      </c>
      <c r="G238" s="780"/>
      <c r="H238" s="780"/>
      <c r="I238" s="775">
        <f>$H$21*$K$8*'Traffic Data'!AK28*annualizationFactor</f>
        <v>0</v>
      </c>
      <c r="J238" s="775">
        <f>$H$21*$K$8*'Traffic Data'!AL28*annualizationFactor</f>
        <v>0</v>
      </c>
      <c r="K238" s="775">
        <f>$H$21*$K$8*'Traffic Data'!AM28*annualizationFactor</f>
        <v>0</v>
      </c>
      <c r="L238" s="775">
        <f>$H$21*$K$8*'Traffic Data'!AN28*annualizationFactor</f>
        <v>0</v>
      </c>
      <c r="M238" s="775">
        <f>$H$21*$K$8*'Traffic Data'!AO28*annualizationFactor</f>
        <v>0</v>
      </c>
      <c r="N238" s="775">
        <f>$H$21*$K$8*'Traffic Data'!AP28*annualizationFactor</f>
        <v>0</v>
      </c>
      <c r="O238" s="775">
        <f>$H$21*$K$8*'Traffic Data'!AQ28*annualizationFactor</f>
        <v>0</v>
      </c>
      <c r="P238" s="775">
        <f>$H$21*$K$8*'Traffic Data'!AR28*annualizationFactor</f>
        <v>0</v>
      </c>
      <c r="Q238" s="775">
        <f>$H$21*$K$8*'Traffic Data'!AS28*annualizationFactor</f>
        <v>0</v>
      </c>
      <c r="R238" s="775">
        <f>$H$21*$K$8*'Traffic Data'!AT28*annualizationFactor</f>
        <v>0</v>
      </c>
      <c r="S238" s="775">
        <f>$H$21*$K$8*'Traffic Data'!AU28*annualizationFactor</f>
        <v>0</v>
      </c>
      <c r="T238" s="775">
        <f>$H$21*$K$8*'Traffic Data'!AV28*annualizationFactor</f>
        <v>0</v>
      </c>
      <c r="U238" s="775">
        <f>$H$21*$K$8*'Traffic Data'!AW28*annualizationFactor</f>
        <v>0</v>
      </c>
      <c r="V238" s="775">
        <f>$H$21*$K$8*'Traffic Data'!AX28*annualizationFactor</f>
        <v>0</v>
      </c>
      <c r="W238" s="775">
        <f>$H$21*$K$8*'Traffic Data'!AY28*annualizationFactor</f>
        <v>0</v>
      </c>
      <c r="X238" s="775">
        <f>$H$21*$K$8*'Traffic Data'!AZ28*annualizationFactor</f>
        <v>0</v>
      </c>
      <c r="Y238" s="775">
        <f>$H$21*$K$8*'Traffic Data'!BA28*annualizationFactor</f>
        <v>0</v>
      </c>
      <c r="Z238" s="775">
        <f>$H$21*$K$8*'Traffic Data'!BB28*annualizationFactor</f>
        <v>0</v>
      </c>
      <c r="AA238" s="775">
        <f>$H$21*$K$8*'Traffic Data'!BC28*annualizationFactor</f>
        <v>0</v>
      </c>
      <c r="AB238" s="775">
        <f>$H$21*$K$8*'Traffic Data'!BD28*annualizationFactor</f>
        <v>0</v>
      </c>
      <c r="AC238" s="775">
        <f>$H$21*$K$8*'Traffic Data'!BE28*annualizationFactor</f>
        <v>0</v>
      </c>
      <c r="AD238" s="775">
        <f>$H$21*$K$8*'Traffic Data'!BF28*annualizationFactor</f>
        <v>0</v>
      </c>
      <c r="AE238" s="775">
        <f>$H$21*$K$8*'Traffic Data'!BG28*annualizationFactor</f>
        <v>0</v>
      </c>
      <c r="AF238" s="775">
        <f>$H$21*$K$8*'Traffic Data'!BH28*annualizationFactor</f>
        <v>0</v>
      </c>
      <c r="AG238" s="775">
        <f>$H$21*$K$8*'Traffic Data'!BI28*annualizationFactor</f>
        <v>0</v>
      </c>
      <c r="AH238" s="776">
        <f>$H$21*$K$8*'Traffic Data'!BJ28*annualizationFactor</f>
        <v>0</v>
      </c>
      <c r="AI238" s="40"/>
      <c r="AJ238" s="40"/>
      <c r="AK238" s="40"/>
      <c r="AL238" s="40"/>
      <c r="AM238" s="40"/>
    </row>
    <row r="239" spans="2:39" ht="21.95" customHeight="1" x14ac:dyDescent="0.2">
      <c r="B239" s="782" t="s">
        <v>357</v>
      </c>
      <c r="C239" s="277" t="s">
        <v>338</v>
      </c>
      <c r="D239" s="277" t="s">
        <v>323</v>
      </c>
      <c r="E239" s="116" t="s">
        <v>19</v>
      </c>
      <c r="F239" s="220" t="s">
        <v>40</v>
      </c>
      <c r="G239" s="970"/>
      <c r="H239" s="970"/>
      <c r="I239" s="775">
        <f>$H$21*$L$8*'Traffic Data'!AK29*annualizationFactor</f>
        <v>2480.7364363636366</v>
      </c>
      <c r="J239" s="775">
        <f>$H$21*$L$8*'Traffic Data'!AL29*annualizationFactor</f>
        <v>2519.0775961745453</v>
      </c>
      <c r="K239" s="775">
        <f>$H$21*$L$8*'Traffic Data'!AM29*annualizationFactor</f>
        <v>2582.0745197890906</v>
      </c>
      <c r="L239" s="775">
        <f>$H$21*$L$8*'Traffic Data'!AN29*annualizationFactor</f>
        <v>2796.1827470509093</v>
      </c>
      <c r="M239" s="775">
        <f>$H$21*$L$8*'Traffic Data'!AO29*annualizationFactor</f>
        <v>3010.318538050909</v>
      </c>
      <c r="N239" s="775">
        <f>$H$21*$L$8*'Traffic Data'!AP29*annualizationFactor</f>
        <v>3224.7024026945451</v>
      </c>
      <c r="O239" s="775">
        <f>$H$21*$L$8*'Traffic Data'!AQ29*annualizationFactor</f>
        <v>3438.8106299563633</v>
      </c>
      <c r="P239" s="775">
        <f>$H$21*$L$8*'Traffic Data'!AR29*annualizationFactor</f>
        <v>3653.160039927272</v>
      </c>
      <c r="Q239" s="775">
        <f>$H$21*$L$8*'Traffic Data'!AS29*annualizationFactor</f>
        <v>3907.1185416654539</v>
      </c>
      <c r="R239" s="775">
        <f>$H$21*$L$8*'Traffic Data'!AT29*annualizationFactor</f>
        <v>4161.0219159272719</v>
      </c>
      <c r="S239" s="775">
        <f>$H$21*$L$8*'Traffic Data'!AU29*annualizationFactor</f>
        <v>4415.0493270109082</v>
      </c>
      <c r="T239" s="775">
        <f>$H$21*$L$8*'Traffic Data'!AV29*annualizationFactor</f>
        <v>4669.0078287490905</v>
      </c>
      <c r="U239" s="775">
        <f>$H$21*$L$8*'Traffic Data'!AW29*annualizationFactor</f>
        <v>4923.3246590836352</v>
      </c>
      <c r="V239" s="775">
        <f>$H$21*$L$8*'Traffic Data'!AX29*annualizationFactor</f>
        <v>5026.0271475490908</v>
      </c>
      <c r="W239" s="775">
        <f>$H$21*$L$8*'Traffic Data'!AY29*annualizationFactor</f>
        <v>5064.3683073599996</v>
      </c>
      <c r="X239" s="775">
        <f>$H$21*$L$8*'Traffic Data'!AZ29*annualizationFactor</f>
        <v>5102.7094671709101</v>
      </c>
      <c r="Y239" s="775">
        <f>$H$21*$L$8*'Traffic Data'!BA29*annualizationFactor</f>
        <v>5141.0506269818179</v>
      </c>
      <c r="Z239" s="775">
        <f>$H$21*$L$8*'Traffic Data'!BB29*annualizationFactor</f>
        <v>5179.4675870727269</v>
      </c>
      <c r="AA239" s="775">
        <f>$H$21*$L$8*'Traffic Data'!BC29*annualizationFactor</f>
        <v>5217.8087468836356</v>
      </c>
      <c r="AB239" s="775">
        <f>$H$21*$L$8*'Traffic Data'!BD29*annualizationFactor</f>
        <v>5256.2257069745456</v>
      </c>
      <c r="AC239" s="775">
        <f>$H$21*$L$8*'Traffic Data'!BE29*annualizationFactor</f>
        <v>5294.5668667854543</v>
      </c>
      <c r="AD239" s="775">
        <f>$H$21*$L$8*'Traffic Data'!BF29*annualizationFactor</f>
        <v>5332.9080265963639</v>
      </c>
      <c r="AE239" s="775">
        <f>$H$21*$L$8*'Traffic Data'!BG29*annualizationFactor</f>
        <v>5371.3249866872729</v>
      </c>
      <c r="AF239" s="775">
        <f>$H$21*$L$8*'Traffic Data'!BH29*annualizationFactor</f>
        <v>5409.6661464981826</v>
      </c>
      <c r="AG239" s="775">
        <f>$H$21*$L$8*'Traffic Data'!BI29*annualizationFactor</f>
        <v>5448.0073063090913</v>
      </c>
      <c r="AH239" s="776">
        <f>$H$21*$L$8*'Traffic Data'!BJ29*annualizationFactor</f>
        <v>5486.4242664000003</v>
      </c>
      <c r="AI239" s="40"/>
      <c r="AJ239" s="40"/>
      <c r="AK239" s="40"/>
      <c r="AL239" s="40"/>
      <c r="AM239" s="40"/>
    </row>
    <row r="240" spans="2:39" ht="21.95" customHeight="1" x14ac:dyDescent="0.2">
      <c r="B240" s="492" t="s">
        <v>338</v>
      </c>
      <c r="C240" s="116" t="s">
        <v>282</v>
      </c>
      <c r="D240" s="116" t="s">
        <v>357</v>
      </c>
      <c r="E240" s="220" t="s">
        <v>19</v>
      </c>
      <c r="F240" s="220" t="s">
        <v>40</v>
      </c>
      <c r="G240" s="775"/>
      <c r="H240" s="775"/>
      <c r="I240" s="775">
        <f>$H$21*$M$8*'Traffic Data'!AK30*annualizationFactor</f>
        <v>8909.2352272727276</v>
      </c>
      <c r="J240" s="775">
        <f>$H$21*$M$8*'Traffic Data'!AL30*annualizationFactor</f>
        <v>9240.5251391988659</v>
      </c>
      <c r="K240" s="775">
        <f>$H$21*$M$8*'Traffic Data'!AM30*annualizationFactor</f>
        <v>9593.1793971999996</v>
      </c>
      <c r="L240" s="775">
        <f>$H$21*$M$8*'Traffic Data'!AN30*annualizationFactor</f>
        <v>10375.526070212502</v>
      </c>
      <c r="M240" s="775">
        <f>$H$21*$M$8*'Traffic Data'!AO30*annualizationFactor</f>
        <v>11158.068746400002</v>
      </c>
      <c r="N240" s="775">
        <f>$H$21*$M$8*'Traffic Data'!AP30*annualizationFactor</f>
        <v>11941.039065878413</v>
      </c>
      <c r="O240" s="775">
        <f>$H$21*$M$8*'Traffic Data'!AQ30*annualizationFactor</f>
        <v>12723.385738890915</v>
      </c>
      <c r="P240" s="775">
        <f>$H$21*$M$8*'Traffic Data'!AR30*annualizationFactor</f>
        <v>13506.418423015912</v>
      </c>
      <c r="Q240" s="775">
        <f>$H$21*$M$8*'Traffic Data'!AS30*annualizationFactor</f>
        <v>14559.133657470453</v>
      </c>
      <c r="R240" s="775">
        <f>$H$21*$M$8*'Traffic Data'!AT30*annualizationFactor</f>
        <v>15611.893438101137</v>
      </c>
      <c r="S240" s="775">
        <f>$H$21*$M$8*'Traffic Data'!AU30*annualizationFactor</f>
        <v>16664.608672555678</v>
      </c>
      <c r="T240" s="775">
        <f>$H$21*$M$8*'Traffic Data'!AV30*annualizationFactor</f>
        <v>17717.323907010228</v>
      </c>
      <c r="U240" s="775">
        <f>$H$21*$M$8*'Traffic Data'!AW30*annualizationFactor</f>
        <v>18771.019157339775</v>
      </c>
      <c r="V240" s="775">
        <f>$H$21*$M$8*'Traffic Data'!AX30*annualizationFactor</f>
        <v>19393.551968845455</v>
      </c>
      <c r="W240" s="775">
        <f>$H$21*$M$8*'Traffic Data'!AY30*annualizationFactor</f>
        <v>19724.841880771593</v>
      </c>
      <c r="X240" s="775">
        <f>$H$21*$M$8*'Traffic Data'!AZ30*annualizationFactor</f>
        <v>20056.131792697724</v>
      </c>
      <c r="Y240" s="775">
        <f>$H$21*$M$8*'Traffic Data'!BA30*annualizationFactor</f>
        <v>20387.421704623866</v>
      </c>
      <c r="Z240" s="775">
        <f>$H$21*$M$8*'Traffic Data'!BB30*annualizationFactor</f>
        <v>20718.889801254543</v>
      </c>
      <c r="AA240" s="775">
        <f>$H$21*$M$8*'Traffic Data'!BC30*annualizationFactor</f>
        <v>21050.179713180682</v>
      </c>
      <c r="AB240" s="775">
        <f>$H$21*$M$8*'Traffic Data'!BD30*annualizationFactor</f>
        <v>21381.647809811362</v>
      </c>
      <c r="AC240" s="775">
        <f>$H$21*$M$8*'Traffic Data'!BE30*annualizationFactor</f>
        <v>21712.9377217375</v>
      </c>
      <c r="AD240" s="775">
        <f>$H$21*$M$8*'Traffic Data'!BF30*annualizationFactor</f>
        <v>22044.227633663635</v>
      </c>
      <c r="AE240" s="775">
        <f>$H$21*$M$8*'Traffic Data'!BG30*annualizationFactor</f>
        <v>22375.695730294319</v>
      </c>
      <c r="AF240" s="775">
        <f>$H$21*$M$8*'Traffic Data'!BH30*annualizationFactor</f>
        <v>22706.985642220454</v>
      </c>
      <c r="AG240" s="775">
        <f>$H$21*$M$8*'Traffic Data'!BI30*annualizationFactor</f>
        <v>23038.275554146592</v>
      </c>
      <c r="AH240" s="776">
        <f>$H$21*$M$8*'Traffic Data'!BJ30*annualizationFactor</f>
        <v>23369.743650777273</v>
      </c>
      <c r="AI240" s="40"/>
      <c r="AJ240" s="40"/>
      <c r="AK240" s="40"/>
      <c r="AL240" s="40"/>
      <c r="AM240" s="40"/>
    </row>
    <row r="241" spans="2:39" ht="21.95" customHeight="1" x14ac:dyDescent="0.2">
      <c r="B241" s="492"/>
      <c r="C241" s="116" t="s">
        <v>357</v>
      </c>
      <c r="D241" s="116" t="s">
        <v>346</v>
      </c>
      <c r="E241" s="116" t="s">
        <v>19</v>
      </c>
      <c r="F241" s="116" t="s">
        <v>40</v>
      </c>
      <c r="G241" s="970"/>
      <c r="H241" s="970"/>
      <c r="I241" s="777">
        <f>$H$21*$M$8*'Traffic Data'!AK31*annualizationFactor</f>
        <v>1297.5111803030304</v>
      </c>
      <c r="J241" s="777">
        <f>$H$21*$M$8*'Traffic Data'!AL31*annualizationFactor</f>
        <v>1343.6837985547349</v>
      </c>
      <c r="K241" s="777">
        <f>$H$21*$M$8*'Traffic Data'!AM31*annualizationFactor</f>
        <v>1393.9333335150759</v>
      </c>
      <c r="L241" s="777">
        <f>$H$21*$M$8*'Traffic Data'!AN31*annualizationFactor</f>
        <v>1490.0055001587505</v>
      </c>
      <c r="M241" s="777">
        <f>$H$21*$M$8*'Traffic Data'!AO31*annualizationFactor</f>
        <v>1586.1152263365914</v>
      </c>
      <c r="N241" s="777">
        <f>$H$21*$M$8*'Traffic Data'!AP31*annualizationFactor</f>
        <v>1682.2386105268563</v>
      </c>
      <c r="O241" s="777">
        <f>$H$21*$M$8*'Traffic Data'!AQ31*annualizationFactor</f>
        <v>1778.3107771705302</v>
      </c>
      <c r="P241" s="777">
        <f>$H$21*$M$8*'Traffic Data'!AR31*annualizationFactor</f>
        <v>1874.4631846371969</v>
      </c>
      <c r="Q241" s="777">
        <f>$H$21*$M$8*'Traffic Data'!AS31*annualizationFactor</f>
        <v>2006.3825121398481</v>
      </c>
      <c r="R241" s="777">
        <f>$H$21*$M$8*'Traffic Data'!AT31*annualizationFactor</f>
        <v>2138.3274484157951</v>
      </c>
      <c r="S241" s="777">
        <f>$H$21*$M$8*'Traffic Data'!AU31*annualizationFactor</f>
        <v>2270.2297034029166</v>
      </c>
      <c r="T241" s="777">
        <f>$H$21*$M$8*'Traffic Data'!AV31*annualizationFactor</f>
        <v>2402.149030905568</v>
      </c>
      <c r="U241" s="777">
        <f>$H$21*$M$8*'Traffic Data'!AW31*annualizationFactor</f>
        <v>2534.170793501401</v>
      </c>
      <c r="V241" s="777">
        <f>$H$21*$M$8*'Traffic Data'!AX31*annualizationFactor</f>
        <v>2620.2077355163633</v>
      </c>
      <c r="W241" s="777">
        <f>$H$21*$M$8*'Traffic Data'!AY31*annualizationFactor</f>
        <v>2666.3803537680678</v>
      </c>
      <c r="X241" s="777">
        <f>$H$21*$M$8*'Traffic Data'!AZ31*annualizationFactor</f>
        <v>2712.5529720197724</v>
      </c>
      <c r="Y241" s="777">
        <f>$H$21*$M$8*'Traffic Data'!BA31*annualizationFactor</f>
        <v>2758.7255902714774</v>
      </c>
      <c r="Z241" s="777">
        <f>$H$21*$M$8*'Traffic Data'!BB31*annualizationFactor</f>
        <v>2804.9152810387122</v>
      </c>
      <c r="AA241" s="777">
        <f>$H$21*$M$8*'Traffic Data'!BC31*annualizationFactor</f>
        <v>2851.0878992904159</v>
      </c>
      <c r="AB241" s="777">
        <f>$H$21*$M$8*'Traffic Data'!BD31*annualizationFactor</f>
        <v>2897.2775900576521</v>
      </c>
      <c r="AC241" s="777">
        <f>$H$21*$M$8*'Traffic Data'!BE31*annualizationFactor</f>
        <v>2943.4502083093557</v>
      </c>
      <c r="AD241" s="777">
        <f>$H$21*$M$8*'Traffic Data'!BF31*annualizationFactor</f>
        <v>2989.6228265610603</v>
      </c>
      <c r="AE241" s="777">
        <f>$H$21*$M$8*'Traffic Data'!BG31*annualizationFactor</f>
        <v>3035.8125173282956</v>
      </c>
      <c r="AF241" s="777">
        <f>$H$21*$M$8*'Traffic Data'!BH31*annualizationFactor</f>
        <v>3081.9851355800006</v>
      </c>
      <c r="AG241" s="777">
        <f>$H$21*$M$8*'Traffic Data'!BI31*annualizationFactor</f>
        <v>3128.1577538317047</v>
      </c>
      <c r="AH241" s="778">
        <f>$H$21*$M$8*'Traffic Data'!BJ31*annualizationFactor</f>
        <v>3174.3474445989386</v>
      </c>
      <c r="AI241" s="40"/>
      <c r="AJ241" s="40"/>
      <c r="AK241" s="40"/>
      <c r="AL241" s="40"/>
      <c r="AM241" s="40"/>
    </row>
    <row r="242" spans="2:39" ht="21.95" customHeight="1" x14ac:dyDescent="0.2">
      <c r="B242" s="492"/>
      <c r="C242" s="116" t="s">
        <v>346</v>
      </c>
      <c r="D242" s="116" t="s">
        <v>343</v>
      </c>
      <c r="E242" s="116" t="s">
        <v>19</v>
      </c>
      <c r="F242" s="116" t="s">
        <v>40</v>
      </c>
      <c r="G242" s="970"/>
      <c r="H242" s="970"/>
      <c r="I242" s="777">
        <f>$H$21*$M$8*'Traffic Data'!AK32*annualizationFactor</f>
        <v>320.90136363636361</v>
      </c>
      <c r="J242" s="777">
        <f>$H$21*$M$8*'Traffic Data'!AL32*annualizationFactor</f>
        <v>332.32080755681818</v>
      </c>
      <c r="K242" s="777">
        <f>$H$21*$M$8*'Traffic Data'!AM32*annualizationFactor</f>
        <v>344.74855734090909</v>
      </c>
      <c r="L242" s="777">
        <f>$H$21*$M$8*'Traffic Data'!AN32*annualizationFactor</f>
        <v>368.50919212500008</v>
      </c>
      <c r="M242" s="777">
        <f>$H$21*$M$8*'Traffic Data'!AO32*annualizationFactor</f>
        <v>392.27911615909096</v>
      </c>
      <c r="N242" s="777">
        <f>$H$21*$M$8*'Traffic Data'!AP32*annualizationFactor</f>
        <v>416.05241810227272</v>
      </c>
      <c r="O242" s="777">
        <f>$H$21*$M$8*'Traffic Data'!AQ32*annualizationFactor</f>
        <v>439.81305288636366</v>
      </c>
      <c r="P242" s="777">
        <f>$H$21*$M$8*'Traffic Data'!AR32*annualizationFactor</f>
        <v>463.59353288636362</v>
      </c>
      <c r="Q242" s="777">
        <f>$H$21*$M$8*'Traffic Data'!AS32*annualizationFactor</f>
        <v>496.21991231818168</v>
      </c>
      <c r="R242" s="777">
        <f>$H$21*$M$8*'Traffic Data'!AT32*annualizationFactor</f>
        <v>528.85262532954528</v>
      </c>
      <c r="S242" s="777">
        <f>$H$21*$M$8*'Traffic Data'!AU32*annualizationFactor</f>
        <v>561.47478237500002</v>
      </c>
      <c r="T242" s="777">
        <f>$H$21*$M$8*'Traffic Data'!AV32*annualizationFactor</f>
        <v>594.10116180681814</v>
      </c>
      <c r="U242" s="777">
        <f>$H$21*$M$8*'Traffic Data'!AW32*annualizationFactor</f>
        <v>626.75287555681814</v>
      </c>
      <c r="V242" s="777">
        <f>$H$21*$M$8*'Traffic Data'!AX32*annualizationFactor</f>
        <v>648.0315916363636</v>
      </c>
      <c r="W242" s="777">
        <f>$H$21*$M$8*'Traffic Data'!AY32*annualizationFactor</f>
        <v>659.45103555681806</v>
      </c>
      <c r="X242" s="777">
        <f>$H$21*$M$8*'Traffic Data'!AZ32*annualizationFactor</f>
        <v>670.87047947727262</v>
      </c>
      <c r="Y242" s="777">
        <f>$H$21*$M$8*'Traffic Data'!BA32*annualizationFactor</f>
        <v>682.28992339772731</v>
      </c>
      <c r="Z242" s="777">
        <f>$H$21*$M$8*'Traffic Data'!BB32*annualizationFactor</f>
        <v>693.71358970454537</v>
      </c>
      <c r="AA242" s="777">
        <f>$H$21*$M$8*'Traffic Data'!BC32*annualizationFactor</f>
        <v>705.13303362499983</v>
      </c>
      <c r="AB242" s="777">
        <f>$H$21*$M$8*'Traffic Data'!BD32*annualizationFactor</f>
        <v>716.55669993181823</v>
      </c>
      <c r="AC242" s="777">
        <f>$H$21*$M$8*'Traffic Data'!BE32*annualizationFactor</f>
        <v>727.97614385227268</v>
      </c>
      <c r="AD242" s="777">
        <f>$H$21*$M$8*'Traffic Data'!BF32*annualizationFactor</f>
        <v>739.39558777272714</v>
      </c>
      <c r="AE242" s="777">
        <f>$H$21*$M$8*'Traffic Data'!BG32*annualizationFactor</f>
        <v>750.81925407954543</v>
      </c>
      <c r="AF242" s="777">
        <f>$H$21*$M$8*'Traffic Data'!BH32*annualizationFactor</f>
        <v>762.23869800000011</v>
      </c>
      <c r="AG242" s="777">
        <f>$H$21*$M$8*'Traffic Data'!BI32*annualizationFactor</f>
        <v>773.65814192045457</v>
      </c>
      <c r="AH242" s="778">
        <f>$H$21*$M$8*'Traffic Data'!BJ32*annualizationFactor</f>
        <v>785.08180822727263</v>
      </c>
      <c r="AI242" s="40"/>
      <c r="AJ242" s="40"/>
      <c r="AK242" s="40"/>
      <c r="AL242" s="40"/>
      <c r="AM242" s="40"/>
    </row>
    <row r="243" spans="2:39" ht="21.95" customHeight="1" x14ac:dyDescent="0.2">
      <c r="B243" s="492"/>
      <c r="C243" s="116" t="s">
        <v>343</v>
      </c>
      <c r="D243" s="116" t="s">
        <v>350</v>
      </c>
      <c r="E243" s="116" t="s">
        <v>19</v>
      </c>
      <c r="F243" s="116" t="s">
        <v>40</v>
      </c>
      <c r="G243" s="970"/>
      <c r="H243" s="970"/>
      <c r="I243" s="777">
        <f>$H$21*$M$8*'Traffic Data'!AK33*annualizationFactor</f>
        <v>823.36534090909095</v>
      </c>
      <c r="J243" s="777">
        <f>$H$21*$M$8*'Traffic Data'!AL33*annualizationFactor</f>
        <v>851.72067097443175</v>
      </c>
      <c r="K243" s="777">
        <f>$H$21*$M$8*'Traffic Data'!AM33*annualizationFactor</f>
        <v>883.35573964772721</v>
      </c>
      <c r="L243" s="777">
        <f>$H$21*$M$8*'Traffic Data'!AN33*annualizationFactor</f>
        <v>938.61864905397738</v>
      </c>
      <c r="M243" s="777">
        <f>$H$21*$M$8*'Traffic Data'!AO33*annualizationFactor</f>
        <v>993.91449307386381</v>
      </c>
      <c r="N243" s="777">
        <f>$H$21*$M$8*'Traffic Data'!AP33*annualizationFactor</f>
        <v>1049.1911252357957</v>
      </c>
      <c r="O243" s="777">
        <f>$H$21*$M$8*'Traffic Data'!AQ33*annualizationFactor</f>
        <v>1104.4540346420456</v>
      </c>
      <c r="P243" s="777">
        <f>$H$21*$M$8*'Traffic Data'!AR33*annualizationFactor</f>
        <v>1159.7732073465909</v>
      </c>
      <c r="Q243" s="777">
        <f>$H$21*$M$8*'Traffic Data'!AS33*annualizationFactor</f>
        <v>1231.0190102954548</v>
      </c>
      <c r="R243" s="777">
        <f>$H$21*$M$8*'Traffic Data'!AT33*annualizationFactor</f>
        <v>1302.3046092357959</v>
      </c>
      <c r="S243" s="777">
        <f>$H$21*$M$8*'Traffic Data'!AU33*annualizationFactor</f>
        <v>1373.5366894289768</v>
      </c>
      <c r="T243" s="777">
        <f>$H$21*$M$8*'Traffic Data'!AV33*annualizationFactor</f>
        <v>1444.782492377841</v>
      </c>
      <c r="U243" s="777">
        <f>$H$21*$M$8*'Traffic Data'!AW33*annualizationFactor</f>
        <v>1516.0886754517046</v>
      </c>
      <c r="V243" s="777">
        <f>$H$21*$M$8*'Traffic Data'!AX33*annualizationFactor</f>
        <v>1563.6695862272729</v>
      </c>
      <c r="W243" s="777">
        <f>$H$21*$M$8*'Traffic Data'!AY33*annualizationFactor</f>
        <v>1592.0249162926143</v>
      </c>
      <c r="X243" s="777">
        <f>$H$21*$M$8*'Traffic Data'!AZ33*annualizationFactor</f>
        <v>1620.3802463579545</v>
      </c>
      <c r="Y243" s="777">
        <f>$H$21*$M$8*'Traffic Data'!BA33*annualizationFactor</f>
        <v>1648.7355764232964</v>
      </c>
      <c r="Z243" s="777">
        <f>$H$21*$M$8*'Traffic Data'!BB33*annualizationFactor</f>
        <v>1677.1073737954553</v>
      </c>
      <c r="AA243" s="777">
        <f>$H$21*$M$8*'Traffic Data'!BC33*annualizationFactor</f>
        <v>1705.4627038607957</v>
      </c>
      <c r="AB243" s="777">
        <f>$H$21*$M$8*'Traffic Data'!BD33*annualizationFactor</f>
        <v>1733.8345012329542</v>
      </c>
      <c r="AC243" s="777">
        <f>$H$21*$M$8*'Traffic Data'!BE33*annualizationFactor</f>
        <v>1762.1898312982958</v>
      </c>
      <c r="AD243" s="777">
        <f>$H$21*$M$8*'Traffic Data'!BF33*annualizationFactor</f>
        <v>1790.5451613636365</v>
      </c>
      <c r="AE243" s="777">
        <f>$H$21*$M$8*'Traffic Data'!BG33*annualizationFactor</f>
        <v>1818.9169587357958</v>
      </c>
      <c r="AF243" s="777">
        <f>$H$21*$M$8*'Traffic Data'!BH33*annualizationFactor</f>
        <v>1847.2722888011365</v>
      </c>
      <c r="AG243" s="777">
        <f>$H$21*$M$8*'Traffic Data'!BI33*annualizationFactor</f>
        <v>1875.6276188664774</v>
      </c>
      <c r="AH243" s="778">
        <f>$H$21*$M$8*'Traffic Data'!BJ33*annualizationFactor</f>
        <v>1903.9994162386365</v>
      </c>
      <c r="AI243" s="40"/>
      <c r="AJ243" s="40"/>
      <c r="AK243" s="40"/>
      <c r="AL243" s="40"/>
      <c r="AM243" s="40"/>
    </row>
    <row r="244" spans="2:39" ht="21.95" customHeight="1" x14ac:dyDescent="0.2">
      <c r="B244" s="492"/>
      <c r="C244" s="116" t="s">
        <v>350</v>
      </c>
      <c r="D244" s="116" t="s">
        <v>280</v>
      </c>
      <c r="E244" s="116" t="s">
        <v>19</v>
      </c>
      <c r="F244" s="116" t="s">
        <v>40</v>
      </c>
      <c r="G244" s="970"/>
      <c r="H244" s="970"/>
      <c r="I244" s="777">
        <f>$H$21*$M$8*'Traffic Data'!AK34*annualizationFactor</f>
        <v>6836.0435227272728</v>
      </c>
      <c r="J244" s="777">
        <f>$H$21*$M$8*'Traffic Data'!AL34*annualizationFactor</f>
        <v>7071.4654682441296</v>
      </c>
      <c r="K244" s="777">
        <f>$H$21*$M$8*'Traffic Data'!AM34*annualizationFactor</f>
        <v>7334.1176537931815</v>
      </c>
      <c r="L244" s="777">
        <f>$H$21*$M$8*'Traffic Data'!AN34*annualizationFactor</f>
        <v>7792.9415016327666</v>
      </c>
      <c r="M244" s="777">
        <f>$H$21*$M$8*'Traffic Data'!AO34*annualizationFactor</f>
        <v>8252.0387912132574</v>
      </c>
      <c r="N244" s="777">
        <f>$H$21*$M$8*'Traffic Data'!AP34*annualizationFactor</f>
        <v>8710.9765731115549</v>
      </c>
      <c r="O244" s="777">
        <f>$H$21*$M$8*'Traffic Data'!AQ34*annualizationFactor</f>
        <v>9169.8004209511382</v>
      </c>
      <c r="P244" s="777">
        <f>$H$21*$M$8*'Traffic Data'!AR34*annualizationFactor</f>
        <v>9629.0913984314411</v>
      </c>
      <c r="Q244" s="777">
        <f>$H$21*$M$8*'Traffic Data'!AS34*annualizationFactor</f>
        <v>10220.614244453032</v>
      </c>
      <c r="R244" s="777">
        <f>$H$21*$M$8*'Traffic Data'!AT34*annualizationFactor</f>
        <v>10812.467499244889</v>
      </c>
      <c r="S244" s="777">
        <f>$H$21*$M$8*'Traffic Data'!AU34*annualizationFactor</f>
        <v>11403.876411207762</v>
      </c>
      <c r="T244" s="777">
        <f>$H$21*$M$8*'Traffic Data'!AV34*annualizationFactor</f>
        <v>11995.399257229355</v>
      </c>
      <c r="U244" s="777">
        <f>$H$21*$M$8*'Traffic Data'!AW34*annualizationFactor</f>
        <v>12587.423413109284</v>
      </c>
      <c r="V244" s="777">
        <f>$H$21*$M$8*'Traffic Data'!AX34*annualizationFactor</f>
        <v>12982.46697488182</v>
      </c>
      <c r="W244" s="777">
        <f>$H$21*$M$8*'Traffic Data'!AY34*annualizationFactor</f>
        <v>13217.888920398676</v>
      </c>
      <c r="X244" s="777">
        <f>$H$21*$M$8*'Traffic Data'!AZ34*annualizationFactor</f>
        <v>13453.310865915533</v>
      </c>
      <c r="Y244" s="777">
        <f>$H$21*$M$8*'Traffic Data'!BA34*annualizationFactor</f>
        <v>13688.732811432394</v>
      </c>
      <c r="Z244" s="777">
        <f>$H$21*$M$8*'Traffic Data'!BB34*annualizationFactor</f>
        <v>13924.291477819701</v>
      </c>
      <c r="AA244" s="777">
        <f>$H$21*$M$8*'Traffic Data'!BC34*annualizationFactor</f>
        <v>14159.713423336556</v>
      </c>
      <c r="AB244" s="777">
        <f>$H$21*$M$8*'Traffic Data'!BD34*annualizationFactor</f>
        <v>14395.272089723861</v>
      </c>
      <c r="AC244" s="777">
        <f>$H$21*$M$8*'Traffic Data'!BE34*annualizationFactor</f>
        <v>14630.694035240722</v>
      </c>
      <c r="AD244" s="777">
        <f>$H$21*$M$8*'Traffic Data'!BF34*annualizationFactor</f>
        <v>14866.115980757577</v>
      </c>
      <c r="AE244" s="777">
        <f>$H$21*$M$8*'Traffic Data'!BG34*annualizationFactor</f>
        <v>15101.674647144888</v>
      </c>
      <c r="AF244" s="777">
        <f>$H$21*$M$8*'Traffic Data'!BH34*annualizationFactor</f>
        <v>15337.096592661745</v>
      </c>
      <c r="AG244" s="777">
        <f>$H$21*$M$8*'Traffic Data'!BI34*annualizationFactor</f>
        <v>15572.5185381786</v>
      </c>
      <c r="AH244" s="778">
        <f>$H$21*$M$8*'Traffic Data'!BJ34*annualizationFactor</f>
        <v>15808.077204565911</v>
      </c>
      <c r="AI244" s="40"/>
      <c r="AJ244" s="40"/>
      <c r="AK244" s="40"/>
      <c r="AL244" s="40"/>
      <c r="AM244" s="40"/>
    </row>
    <row r="245" spans="2:39" ht="21.95" customHeight="1" x14ac:dyDescent="0.2">
      <c r="B245" s="493"/>
      <c r="C245" s="254" t="s">
        <v>280</v>
      </c>
      <c r="D245" s="254" t="s">
        <v>333</v>
      </c>
      <c r="E245" s="254" t="s">
        <v>19</v>
      </c>
      <c r="F245" s="254" t="s">
        <v>40</v>
      </c>
      <c r="G245" s="779"/>
      <c r="H245" s="779"/>
      <c r="I245" s="779">
        <f>$H$21*$M$8*'Traffic Data'!AK35*annualizationFactor</f>
        <v>168.89545454545456</v>
      </c>
      <c r="J245" s="779">
        <f>$H$21*$M$8*'Traffic Data'!AL35*annualizationFactor</f>
        <v>174.71193250757577</v>
      </c>
      <c r="K245" s="779">
        <f>$H$21*$M$8*'Traffic Data'!AM35*annualizationFactor</f>
        <v>181.20117736363633</v>
      </c>
      <c r="L245" s="779">
        <f>$H$21*$M$8*'Traffic Data'!AN35*annualizationFactor</f>
        <v>192.53715878030306</v>
      </c>
      <c r="M245" s="779">
        <f>$H$21*$M$8*'Traffic Data'!AO35*annualizationFactor</f>
        <v>203.87989601515153</v>
      </c>
      <c r="N245" s="779">
        <f>$H$21*$M$8*'Traffic Data'!AP35*annualizationFactor</f>
        <v>215.21869235606067</v>
      </c>
      <c r="O245" s="779">
        <f>$H$21*$M$8*'Traffic Data'!AQ35*annualizationFactor</f>
        <v>226.55467377272734</v>
      </c>
      <c r="P245" s="779">
        <f>$H$21*$M$8*'Traffic Data'!AR35*annualizationFactor</f>
        <v>237.90219637878795</v>
      </c>
      <c r="Q245" s="779">
        <f>$H$21*$M$8*'Traffic Data'!AS35*annualizationFactor</f>
        <v>252.51672006060613</v>
      </c>
      <c r="R245" s="779">
        <f>$H$21*$M$8*'Traffic Data'!AT35*annualizationFactor</f>
        <v>267.13940702272737</v>
      </c>
      <c r="S245" s="779">
        <f>$H$21*$M$8*'Traffic Data'!AU35*annualizationFactor</f>
        <v>281.75111578030294</v>
      </c>
      <c r="T245" s="779">
        <f>$H$21*$M$8*'Traffic Data'!AV35*annualizationFactor</f>
        <v>296.36563946212124</v>
      </c>
      <c r="U245" s="779">
        <f>$H$21*$M$8*'Traffic Data'!AW35*annualizationFactor</f>
        <v>310.99254881060608</v>
      </c>
      <c r="V245" s="779">
        <f>$H$21*$M$8*'Traffic Data'!AX35*annualizationFactor</f>
        <v>320.7527356363637</v>
      </c>
      <c r="W245" s="779">
        <f>$H$21*$M$8*'Traffic Data'!AY35*annualizationFactor</f>
        <v>326.56921359848496</v>
      </c>
      <c r="X245" s="779">
        <f>$H$21*$M$8*'Traffic Data'!AZ35*annualizationFactor</f>
        <v>332.38569156060612</v>
      </c>
      <c r="Y245" s="779">
        <f>$H$21*$M$8*'Traffic Data'!BA35*annualizationFactor</f>
        <v>338.20216952272744</v>
      </c>
      <c r="Z245" s="779">
        <f>$H$21*$M$8*'Traffic Data'!BB35*annualizationFactor</f>
        <v>344.02202539393954</v>
      </c>
      <c r="AA245" s="779">
        <f>$H$21*$M$8*'Traffic Data'!BC35*annualizationFactor</f>
        <v>349.83850335606064</v>
      </c>
      <c r="AB245" s="779">
        <f>$H$21*$M$8*'Traffic Data'!BD35*annualizationFactor</f>
        <v>355.65835922727274</v>
      </c>
      <c r="AC245" s="779">
        <f>$H$21*$M$8*'Traffic Data'!BE35*annualizationFactor</f>
        <v>361.47483718939401</v>
      </c>
      <c r="AD245" s="779">
        <f>$H$21*$M$8*'Traffic Data'!BF35*annualizationFactor</f>
        <v>367.29131515151522</v>
      </c>
      <c r="AE245" s="779">
        <f>$H$21*$M$8*'Traffic Data'!BG35*annualizationFactor</f>
        <v>373.11117102272726</v>
      </c>
      <c r="AF245" s="779">
        <f>$H$21*$M$8*'Traffic Data'!BH35*annualizationFactor</f>
        <v>378.92764898484847</v>
      </c>
      <c r="AG245" s="779">
        <f>$H$21*$M$8*'Traffic Data'!BI35*annualizationFactor</f>
        <v>384.74412694696974</v>
      </c>
      <c r="AH245" s="783">
        <f>$H$21*$M$8*'Traffic Data'!BJ35*annualizationFactor</f>
        <v>390.56398281818184</v>
      </c>
      <c r="AI245" s="40"/>
      <c r="AJ245" s="40"/>
      <c r="AK245" s="40"/>
      <c r="AL245" s="40"/>
      <c r="AM245" s="40"/>
    </row>
    <row r="246" spans="2:39" ht="21.95" customHeight="1" x14ac:dyDescent="0.2">
      <c r="B246" s="1108" t="s">
        <v>496</v>
      </c>
      <c r="C246" s="809"/>
      <c r="D246" s="809"/>
      <c r="E246" s="240"/>
      <c r="F246" s="240"/>
      <c r="G246" s="969">
        <f>SUM(G217:G245)</f>
        <v>0</v>
      </c>
      <c r="H246" s="969">
        <f>SUM(H217:H245)</f>
        <v>0</v>
      </c>
      <c r="I246" s="785">
        <f t="shared" ref="I246:AH246" si="6">SUM(I217:I245)</f>
        <v>265263.86916475761</v>
      </c>
      <c r="J246" s="785">
        <f t="shared" si="6"/>
        <v>274095.02108207956</v>
      </c>
      <c r="K246" s="785">
        <f t="shared" si="6"/>
        <v>288810.39852862916</v>
      </c>
      <c r="L246" s="785">
        <f t="shared" si="6"/>
        <v>311589.42124083976</v>
      </c>
      <c r="M246" s="785">
        <f t="shared" si="6"/>
        <v>334379.76760172093</v>
      </c>
      <c r="N246" s="785">
        <f t="shared" si="6"/>
        <v>357170.11851546058</v>
      </c>
      <c r="O246" s="785">
        <f t="shared" si="6"/>
        <v>379949.14122767106</v>
      </c>
      <c r="P246" s="785">
        <f t="shared" si="6"/>
        <v>402748.71809980966</v>
      </c>
      <c r="Q246" s="785">
        <f t="shared" si="6"/>
        <v>424972.06001776998</v>
      </c>
      <c r="R246" s="785">
        <f t="shared" si="6"/>
        <v>447199.06417947478</v>
      </c>
      <c r="S246" s="785">
        <f t="shared" si="6"/>
        <v>469421.78877385205</v>
      </c>
      <c r="T246" s="785">
        <f t="shared" si="6"/>
        <v>491645.4324066526</v>
      </c>
      <c r="U246" s="785">
        <f t="shared" si="6"/>
        <v>513887.22843311069</v>
      </c>
      <c r="V246" s="785">
        <f t="shared" si="6"/>
        <v>528035.70392784965</v>
      </c>
      <c r="W246" s="785">
        <f t="shared" si="6"/>
        <v>536889.38041857188</v>
      </c>
      <c r="X246" s="785">
        <f t="shared" si="6"/>
        <v>545745.3561844537</v>
      </c>
      <c r="Y246" s="785">
        <f t="shared" si="6"/>
        <v>554600.43720977614</v>
      </c>
      <c r="Z246" s="785">
        <f t="shared" si="6"/>
        <v>563459.57883369073</v>
      </c>
      <c r="AA246" s="785">
        <f t="shared" si="6"/>
        <v>572314.65985901258</v>
      </c>
      <c r="AB246" s="785">
        <f t="shared" si="6"/>
        <v>581173.8014829274</v>
      </c>
      <c r="AC246" s="785">
        <f t="shared" si="6"/>
        <v>590028.8825082496</v>
      </c>
      <c r="AD246" s="785">
        <f t="shared" si="6"/>
        <v>598883.96353357169</v>
      </c>
      <c r="AE246" s="785">
        <f t="shared" si="6"/>
        <v>607742.89707828651</v>
      </c>
      <c r="AF246" s="785">
        <f t="shared" si="6"/>
        <v>616598.87284416822</v>
      </c>
      <c r="AG246" s="785">
        <f t="shared" si="6"/>
        <v>625452.7574140908</v>
      </c>
      <c r="AH246" s="786">
        <f t="shared" si="6"/>
        <v>634311.89903800515</v>
      </c>
      <c r="AI246" s="40"/>
      <c r="AJ246" s="40"/>
      <c r="AK246" s="40"/>
      <c r="AL246" s="40"/>
      <c r="AM246" s="40"/>
    </row>
    <row r="247" spans="2:39" ht="21.95" customHeight="1" x14ac:dyDescent="0.2">
      <c r="B247" s="787" t="s">
        <v>328</v>
      </c>
      <c r="C247" s="1344" t="s">
        <v>18</v>
      </c>
      <c r="D247" s="1344"/>
      <c r="E247" s="46" t="s">
        <v>24</v>
      </c>
      <c r="F247" s="46" t="s">
        <v>42</v>
      </c>
      <c r="G247" s="123" cm="1">
        <f t="array" ref="G247:AH247">year</f>
        <v>2021</v>
      </c>
      <c r="H247" s="123">
        <v>2022</v>
      </c>
      <c r="I247" s="46">
        <v>2023</v>
      </c>
      <c r="J247" s="46">
        <v>2024</v>
      </c>
      <c r="K247" s="46">
        <v>2025</v>
      </c>
      <c r="L247" s="46">
        <v>2026</v>
      </c>
      <c r="M247" s="46">
        <v>2027</v>
      </c>
      <c r="N247" s="46">
        <v>2028</v>
      </c>
      <c r="O247" s="46">
        <v>2029</v>
      </c>
      <c r="P247" s="46">
        <v>2030</v>
      </c>
      <c r="Q247" s="46">
        <v>2031</v>
      </c>
      <c r="R247" s="46">
        <v>2032</v>
      </c>
      <c r="S247" s="46">
        <v>2033</v>
      </c>
      <c r="T247" s="46">
        <v>2034</v>
      </c>
      <c r="U247" s="46">
        <v>2035</v>
      </c>
      <c r="V247" s="46">
        <v>2036</v>
      </c>
      <c r="W247" s="46">
        <v>2037</v>
      </c>
      <c r="X247" s="46">
        <v>2038</v>
      </c>
      <c r="Y247" s="46">
        <v>2039</v>
      </c>
      <c r="Z247" s="46">
        <v>2040</v>
      </c>
      <c r="AA247" s="46">
        <v>2041</v>
      </c>
      <c r="AB247" s="46">
        <v>2042</v>
      </c>
      <c r="AC247" s="46">
        <v>2043</v>
      </c>
      <c r="AD247" s="46">
        <v>2044</v>
      </c>
      <c r="AE247" s="46">
        <v>2045</v>
      </c>
      <c r="AF247" s="46">
        <v>2046</v>
      </c>
      <c r="AG247" s="46">
        <v>2047</v>
      </c>
      <c r="AH247" s="495">
        <v>2048</v>
      </c>
      <c r="AI247" s="40"/>
      <c r="AJ247" s="40"/>
      <c r="AK247" s="40"/>
      <c r="AL247" s="40"/>
      <c r="AM247" s="40"/>
    </row>
    <row r="248" spans="2:39" ht="21.95" customHeight="1" x14ac:dyDescent="0.2">
      <c r="B248" s="1346" t="s">
        <v>331</v>
      </c>
      <c r="C248" s="220" t="s">
        <v>332</v>
      </c>
      <c r="D248" s="220" t="s">
        <v>282</v>
      </c>
      <c r="E248" s="220" t="s">
        <v>467</v>
      </c>
      <c r="F248" s="220" t="s">
        <v>40</v>
      </c>
      <c r="G248" s="775"/>
      <c r="H248" s="775"/>
      <c r="I248" s="775">
        <f>$H$22*$E$9*'Traffic Data'!AK7*annualizationFactor</f>
        <v>3845.795928</v>
      </c>
      <c r="J248" s="775">
        <f>$H$22*$E$9*'Traffic Data'!AL7*annualizationFactor</f>
        <v>4022.7265769125502</v>
      </c>
      <c r="K248" s="775">
        <f>$H$22*$E$9*'Traffic Data'!AM7*annualizationFactor</f>
        <v>4271.1770119736248</v>
      </c>
      <c r="L248" s="775">
        <f>$H$22*$E$9*'Traffic Data'!AN7*annualizationFactor</f>
        <v>4635.6503029375508</v>
      </c>
      <c r="M248" s="775">
        <f>$H$22*$E$9*'Traffic Data'!AO7*annualizationFactor</f>
        <v>5000.2557931365</v>
      </c>
      <c r="N248" s="775">
        <f>$H$22*$E$9*'Traffic Data'!AP7*annualizationFactor</f>
        <v>5364.8733014477239</v>
      </c>
      <c r="O248" s="775">
        <f>$H$22*$E$9*'Traffic Data'!AQ7*annualizationFactor</f>
        <v>5729.3465924116481</v>
      </c>
      <c r="P248" s="775">
        <f>$H$22*$E$9*'Traffic Data'!AR7*annualizationFactor</f>
        <v>6094.0962999578978</v>
      </c>
      <c r="Q248" s="775">
        <f>$H$22*$E$9*'Traffic Data'!AS7*annualizationFactor</f>
        <v>6454.5435233096996</v>
      </c>
      <c r="R248" s="775">
        <f>$H$22*$E$9*'Traffic Data'!AT7*annualizationFactor</f>
        <v>6815.0628553351498</v>
      </c>
      <c r="S248" s="775">
        <f>$H$22*$E$9*'Traffic Data'!AU7*annualizationFactor</f>
        <v>7175.5100786869507</v>
      </c>
      <c r="T248" s="775">
        <f>$H$22*$E$9*'Traffic Data'!AV7*annualizationFactor</f>
        <v>7535.9573020387497</v>
      </c>
      <c r="U248" s="775">
        <f>$H$22*$E$9*'Traffic Data'!AW7*annualizationFactor</f>
        <v>7896.6929600851508</v>
      </c>
      <c r="V248" s="775">
        <f>$H$22*$E$9*'Traffic Data'!AX7*annualizationFactor</f>
        <v>8140.9731101868001</v>
      </c>
      <c r="W248" s="775">
        <f>$H$22*$E$9*'Traffic Data'!AY7*annualizationFactor</f>
        <v>8317.9037590993485</v>
      </c>
      <c r="X248" s="775">
        <f>$H$22*$E$9*'Traffic Data'!AZ7*annualizationFactor</f>
        <v>8494.8344080118986</v>
      </c>
      <c r="Y248" s="775">
        <f>$H$22*$E$9*'Traffic Data'!BA7*annualizationFactor</f>
        <v>8671.7650569244506</v>
      </c>
      <c r="Z248" s="775">
        <f>$H$22*$E$9*'Traffic Data'!BB7*annualizationFactor</f>
        <v>8848.7678145106493</v>
      </c>
      <c r="AA248" s="775">
        <f>$H$22*$E$9*'Traffic Data'!BC7*annualizationFactor</f>
        <v>9025.6984634231994</v>
      </c>
      <c r="AB248" s="775">
        <f>$H$22*$E$9*'Traffic Data'!BD7*annualizationFactor</f>
        <v>9202.7012210093981</v>
      </c>
      <c r="AC248" s="775">
        <f>$H$22*$E$9*'Traffic Data'!BE7*annualizationFactor</f>
        <v>9379.6318699219501</v>
      </c>
      <c r="AD248" s="775">
        <f>$H$22*$E$9*'Traffic Data'!BF7*annualizationFactor</f>
        <v>9556.5625188345002</v>
      </c>
      <c r="AE248" s="775">
        <f>$H$22*$E$9*'Traffic Data'!BG7*annualizationFactor</f>
        <v>9733.5652764206989</v>
      </c>
      <c r="AF248" s="775">
        <f>$H$22*$E$9*'Traffic Data'!BH7*annualizationFactor</f>
        <v>9910.495925333249</v>
      </c>
      <c r="AG248" s="775">
        <f>$H$22*$E$9*'Traffic Data'!BI7*annualizationFactor</f>
        <v>10087.426574245799</v>
      </c>
      <c r="AH248" s="776">
        <f>$H$22*$E$9*'Traffic Data'!BJ7*annualizationFactor</f>
        <v>10264.429331831998</v>
      </c>
      <c r="AI248" s="40"/>
      <c r="AJ248" s="40"/>
      <c r="AK248" s="40"/>
      <c r="AL248" s="40"/>
      <c r="AM248" s="40"/>
    </row>
    <row r="249" spans="2:39" ht="21.95" customHeight="1" x14ac:dyDescent="0.2">
      <c r="B249" s="1346"/>
      <c r="C249" s="116" t="s">
        <v>282</v>
      </c>
      <c r="D249" s="116" t="s">
        <v>280</v>
      </c>
      <c r="E249" s="116" t="s">
        <v>467</v>
      </c>
      <c r="F249" s="116" t="s">
        <v>40</v>
      </c>
      <c r="G249" s="970"/>
      <c r="H249" s="970"/>
      <c r="I249" s="777">
        <f>$H$22*$E$9*'Traffic Data'!AK8*annualizationFactor</f>
        <v>123662.92513397729</v>
      </c>
      <c r="J249" s="777">
        <f>$H$22*$E$9*'Traffic Data'!AL8*annualizationFactor</f>
        <v>130513.39317556575</v>
      </c>
      <c r="K249" s="777">
        <f>$H$22*$E$9*'Traffic Data'!AM8*annualizationFactor</f>
        <v>138457.59108833925</v>
      </c>
      <c r="L249" s="777">
        <f>$H$22*$E$9*'Traffic Data'!AN8*annualizationFactor</f>
        <v>153281.11172523248</v>
      </c>
      <c r="M249" s="777">
        <f>$H$22*$E$9*'Traffic Data'!AO8*annualizationFactor</f>
        <v>168110.12849213171</v>
      </c>
      <c r="N249" s="777">
        <f>$H$22*$E$9*'Traffic Data'!AP8*annualizationFactor</f>
        <v>182941.89332403388</v>
      </c>
      <c r="O249" s="777">
        <f>$H$22*$E$9*'Traffic Data'!AQ8*annualizationFactor</f>
        <v>197765.41396092711</v>
      </c>
      <c r="P249" s="777">
        <f>$H$22*$E$9*'Traffic Data'!AR8*annualizationFactor</f>
        <v>212603.13293366905</v>
      </c>
      <c r="Q249" s="777">
        <f>$H$22*$E$9*'Traffic Data'!AS8*annualizationFactor</f>
        <v>230191.66497439126</v>
      </c>
      <c r="R249" s="777">
        <f>$H$22*$E$9*'Traffic Data'!AT8*annualizationFactor</f>
        <v>247785.23513428561</v>
      </c>
      <c r="S249" s="777">
        <f>$H$22*$E$9*'Traffic Data'!AU8*annualizationFactor</f>
        <v>265373.76717500779</v>
      </c>
      <c r="T249" s="777">
        <f>$H$22*$E$9*'Traffic Data'!AV8*annualizationFactor</f>
        <v>282962.29921572993</v>
      </c>
      <c r="U249" s="777">
        <f>$H$22*$E$9*'Traffic Data'!AW8*annualizationFactor</f>
        <v>300568.23566813773</v>
      </c>
      <c r="V249" s="777">
        <f>$H$22*$E$9*'Traffic Data'!AX8*annualizationFactor</f>
        <v>311268.7427788974</v>
      </c>
      <c r="W249" s="777">
        <f>$H$22*$E$9*'Traffic Data'!AY8*annualizationFactor</f>
        <v>318119.2108204859</v>
      </c>
      <c r="X249" s="777">
        <f>$H$22*$E$9*'Traffic Data'!AZ8*annualizationFactor</f>
        <v>324969.67886207439</v>
      </c>
      <c r="Y249" s="777">
        <f>$H$22*$E$9*'Traffic Data'!BA8*annualizationFactor</f>
        <v>331820.14690366288</v>
      </c>
      <c r="Z249" s="777">
        <f>$H$22*$E$9*'Traffic Data'!BB8*annualizationFactor</f>
        <v>338675.19505358976</v>
      </c>
      <c r="AA249" s="777">
        <f>$H$22*$E$9*'Traffic Data'!BC8*annualizationFactor</f>
        <v>345525.6630951782</v>
      </c>
      <c r="AB249" s="777">
        <f>$H$22*$E$9*'Traffic Data'!BD8*annualizationFactor</f>
        <v>352380.71124510496</v>
      </c>
      <c r="AC249" s="777">
        <f>$H$22*$E$9*'Traffic Data'!BE8*annualizationFactor</f>
        <v>359231.17928669357</v>
      </c>
      <c r="AD249" s="777">
        <f>$H$22*$E$9*'Traffic Data'!BF8*annualizationFactor</f>
        <v>366081.64732828201</v>
      </c>
      <c r="AE249" s="777">
        <f>$H$22*$E$9*'Traffic Data'!BG8*annualizationFactor</f>
        <v>372936.69547820889</v>
      </c>
      <c r="AF249" s="777">
        <f>$H$22*$E$9*'Traffic Data'!BH8*annualizationFactor</f>
        <v>379787.16351979738</v>
      </c>
      <c r="AG249" s="777">
        <f>$H$22*$E$9*'Traffic Data'!BI8*annualizationFactor</f>
        <v>386637.63156138588</v>
      </c>
      <c r="AH249" s="778">
        <f>$H$22*$E$9*'Traffic Data'!BJ8*annualizationFactor</f>
        <v>393492.6797113127</v>
      </c>
      <c r="AI249" s="40"/>
      <c r="AJ249" s="40"/>
      <c r="AK249" s="40"/>
      <c r="AL249" s="40"/>
      <c r="AM249" s="40"/>
    </row>
    <row r="250" spans="2:39" ht="21.95" customHeight="1" x14ac:dyDescent="0.2">
      <c r="B250" s="1346"/>
      <c r="C250" s="116" t="s">
        <v>280</v>
      </c>
      <c r="D250" s="116" t="s">
        <v>333</v>
      </c>
      <c r="E250" s="254" t="s">
        <v>467</v>
      </c>
      <c r="F250" s="116" t="s">
        <v>40</v>
      </c>
      <c r="G250" s="779"/>
      <c r="H250" s="779"/>
      <c r="I250" s="777">
        <f>$H$22*$E$9*'Traffic Data'!AK9*annualizationFactor</f>
        <v>2884.3469460000001</v>
      </c>
      <c r="J250" s="777">
        <f>$H$22*$E$9*'Traffic Data'!AL9*annualizationFactor</f>
        <v>3004.7924672200497</v>
      </c>
      <c r="K250" s="777">
        <f>$H$22*$E$9*'Traffic Data'!AM9*annualizationFactor</f>
        <v>3153.8651318791494</v>
      </c>
      <c r="L250" s="777">
        <f>$H$22*$E$9*'Traffic Data'!AN9*annualizationFactor</f>
        <v>3354.5676068716498</v>
      </c>
      <c r="M250" s="777">
        <f>$H$22*$E$9*'Traffic Data'!AO9*annualizationFactor</f>
        <v>3555.3421905378004</v>
      </c>
      <c r="N250" s="777">
        <f>$H$22*$E$9*'Traffic Data'!AP9*annualizationFactor</f>
        <v>3756.0927379794007</v>
      </c>
      <c r="O250" s="777">
        <f>$H$22*$E$9*'Traffic Data'!AQ9*annualizationFactor</f>
        <v>3956.7952129719006</v>
      </c>
      <c r="P250" s="777">
        <f>$H$22*$E$9*'Traffic Data'!AR9*annualizationFactor</f>
        <v>4157.6419053117015</v>
      </c>
      <c r="Q250" s="777">
        <f>$H$22*$E$9*'Traffic Data'!AS9*annualizationFactor</f>
        <v>4352.2391792685003</v>
      </c>
      <c r="R250" s="777">
        <f>$H$22*$E$9*'Traffic Data'!AT9*annualizationFactor</f>
        <v>4546.9085618989484</v>
      </c>
      <c r="S250" s="777">
        <f>$H$22*$E$9*'Traffic Data'!AU9*annualizationFactor</f>
        <v>4741.5058358557499</v>
      </c>
      <c r="T250" s="777">
        <f>$H$22*$E$9*'Traffic Data'!AV9*annualizationFactor</f>
        <v>4936.1031098125495</v>
      </c>
      <c r="U250" s="777">
        <f>$H$22*$E$9*'Traffic Data'!AW9*annualizationFactor</f>
        <v>5130.8446011166507</v>
      </c>
      <c r="V250" s="777">
        <f>$H$22*$E$9*'Traffic Data'!AX9*annualizationFactor</f>
        <v>5273.7399560663989</v>
      </c>
      <c r="W250" s="777">
        <f>$H$22*$E$9*'Traffic Data'!AY9*annualizationFactor</f>
        <v>5394.1854772864499</v>
      </c>
      <c r="X250" s="777">
        <f>$H$22*$E$9*'Traffic Data'!AZ9*annualizationFactor</f>
        <v>5514.6309985064991</v>
      </c>
      <c r="Y250" s="777">
        <f>$H$22*$E$9*'Traffic Data'!BA9*annualizationFactor</f>
        <v>5635.07651972655</v>
      </c>
      <c r="Z250" s="777">
        <f>$H$22*$E$9*'Traffic Data'!BB9*annualizationFactor</f>
        <v>5755.5701133957</v>
      </c>
      <c r="AA250" s="777">
        <f>$H$22*$E$9*'Traffic Data'!BC9*annualizationFactor</f>
        <v>5876.0156346157491</v>
      </c>
      <c r="AB250" s="777">
        <f>$H$22*$E$9*'Traffic Data'!BD9*annualizationFactor</f>
        <v>5996.5092282849</v>
      </c>
      <c r="AC250" s="777">
        <f>$H$22*$E$9*'Traffic Data'!BE9*annualizationFactor</f>
        <v>6116.9547495049519</v>
      </c>
      <c r="AD250" s="777">
        <f>$H$22*$E$9*'Traffic Data'!BF9*annualizationFactor</f>
        <v>6237.4002707249992</v>
      </c>
      <c r="AE250" s="777">
        <f>$H$22*$E$9*'Traffic Data'!BG9*annualizationFactor</f>
        <v>6357.8938643941501</v>
      </c>
      <c r="AF250" s="777">
        <f>$H$22*$E$9*'Traffic Data'!BH9*annualizationFactor</f>
        <v>6478.3393856142002</v>
      </c>
      <c r="AG250" s="777">
        <f>$H$22*$E$9*'Traffic Data'!BI9*annualizationFactor</f>
        <v>6598.7849068342493</v>
      </c>
      <c r="AH250" s="778">
        <f>$H$22*$E$9*'Traffic Data'!BJ9*annualizationFactor</f>
        <v>6719.2785005034002</v>
      </c>
      <c r="AI250" s="40"/>
      <c r="AJ250" s="40"/>
      <c r="AK250" s="40"/>
      <c r="AL250" s="40"/>
      <c r="AM250" s="40"/>
    </row>
    <row r="251" spans="2:39" ht="21.95" customHeight="1" x14ac:dyDescent="0.2">
      <c r="B251" s="1346" t="s">
        <v>280</v>
      </c>
      <c r="C251" s="220" t="s">
        <v>281</v>
      </c>
      <c r="D251" s="220" t="s">
        <v>335</v>
      </c>
      <c r="E251" s="116" t="s">
        <v>467</v>
      </c>
      <c r="F251" s="220" t="s">
        <v>40</v>
      </c>
      <c r="G251" s="970"/>
      <c r="H251" s="970"/>
      <c r="I251" s="775">
        <f>$H$22*$F$9*'Traffic Data'!AK10*annualizationFactor</f>
        <v>26884.241440000002</v>
      </c>
      <c r="J251" s="775">
        <f>$H$22*$F$9*'Traffic Data'!AL10*annualizationFactor</f>
        <v>29817.648234122003</v>
      </c>
      <c r="K251" s="775">
        <f>$H$22*$F$9*'Traffic Data'!AM10*annualizationFactor</f>
        <v>32915.586585856792</v>
      </c>
      <c r="L251" s="775">
        <f>$H$22*$F$9*'Traffic Data'!AN10*annualizationFactor</f>
        <v>42504.725033279603</v>
      </c>
      <c r="M251" s="775">
        <f>$H$22*$F$9*'Traffic Data'!AO10*annualizationFactor</f>
        <v>52098.702644161589</v>
      </c>
      <c r="N251" s="775">
        <f>$H$22*$F$9*'Traffic Data'!AP10*annualizationFactor</f>
        <v>61695.234257980403</v>
      </c>
      <c r="O251" s="775">
        <f>$H$22*$F$9*'Traffic Data'!AQ10*annualizationFactor</f>
        <v>71284.372705403206</v>
      </c>
      <c r="P251" s="775">
        <f>$H$22*$F$9*'Traffic Data'!AR10*annualizationFactor</f>
        <v>80886.751641735202</v>
      </c>
      <c r="Q251" s="775">
        <f>$H$22*$F$9*'Traffic Data'!AS10*annualizationFactor</f>
        <v>93772.368563927186</v>
      </c>
      <c r="R251" s="775">
        <f>$H$22*$F$9*'Traffic Data'!AT10*annualizationFactor</f>
        <v>106663.69838742517</v>
      </c>
      <c r="S251" s="775">
        <f>$H$22*$F$9*'Traffic Data'!AU10*annualizationFactor</f>
        <v>119549.3153096172</v>
      </c>
      <c r="T251" s="775">
        <f>$H$22*$F$9*'Traffic Data'!AV10*annualizationFactor</f>
        <v>132434.93223180919</v>
      </c>
      <c r="U251" s="775">
        <f>$H$22*$F$9*'Traffic Data'!AW10*annualizationFactor</f>
        <v>145337.35180490123</v>
      </c>
      <c r="V251" s="775">
        <f>$H$22*$F$9*'Traffic Data'!AX10*annualizationFactor</f>
        <v>151723.36730595518</v>
      </c>
      <c r="W251" s="775">
        <f>$H$22*$F$9*'Traffic Data'!AY10*annualizationFactor</f>
        <v>154656.77410007719</v>
      </c>
      <c r="X251" s="775">
        <f>$H$22*$F$9*'Traffic Data'!AZ10*annualizationFactor</f>
        <v>157590.18089419918</v>
      </c>
      <c r="Y251" s="775">
        <f>$H$22*$F$9*'Traffic Data'!BA10*annualizationFactor</f>
        <v>160523.58768832119</v>
      </c>
      <c r="Z251" s="775">
        <f>$H$22*$F$9*'Traffic Data'!BB10*annualizationFactor</f>
        <v>163461.69922469518</v>
      </c>
      <c r="AA251" s="775">
        <f>$H$22*$F$9*'Traffic Data'!BC10*annualizationFactor</f>
        <v>166395.10601881717</v>
      </c>
      <c r="AB251" s="775">
        <f>$H$22*$F$9*'Traffic Data'!BD10*annualizationFactor</f>
        <v>169333.21755519116</v>
      </c>
      <c r="AC251" s="775">
        <f>$H$22*$F$9*'Traffic Data'!BE10*annualizationFactor</f>
        <v>172266.62434931324</v>
      </c>
      <c r="AD251" s="775">
        <f>$H$22*$F$9*'Traffic Data'!BF10*annualizationFactor</f>
        <v>175200.03114343519</v>
      </c>
      <c r="AE251" s="775">
        <f>$H$22*$F$9*'Traffic Data'!BG10*annualizationFactor</f>
        <v>178138.14267980921</v>
      </c>
      <c r="AF251" s="775">
        <f>$H$22*$F$9*'Traffic Data'!BH10*annualizationFactor</f>
        <v>181071.5494739312</v>
      </c>
      <c r="AG251" s="775">
        <f>$H$22*$F$9*'Traffic Data'!BI10*annualizationFactor</f>
        <v>184004.95626805315</v>
      </c>
      <c r="AH251" s="776">
        <f>$H$22*$F$9*'Traffic Data'!BJ10*annualizationFactor</f>
        <v>186943.06780442721</v>
      </c>
      <c r="AI251" s="40"/>
      <c r="AJ251" s="40"/>
      <c r="AK251" s="40"/>
      <c r="AL251" s="40"/>
      <c r="AM251" s="40"/>
    </row>
    <row r="252" spans="2:39" ht="21.95" customHeight="1" x14ac:dyDescent="0.2">
      <c r="B252" s="1346"/>
      <c r="C252" s="116" t="s">
        <v>335</v>
      </c>
      <c r="D252" s="116" t="s">
        <v>323</v>
      </c>
      <c r="E252" s="116" t="s">
        <v>467</v>
      </c>
      <c r="F252" s="116" t="s">
        <v>40</v>
      </c>
      <c r="G252" s="970"/>
      <c r="H252" s="970"/>
      <c r="I252" s="777">
        <f>$H$22*$F$9*'Traffic Data'!AK11*annualizationFactor</f>
        <v>3114.0048000000002</v>
      </c>
      <c r="J252" s="777">
        <f>$H$22*$F$9*'Traffic Data'!AL11*annualizationFactor</f>
        <v>3527.8041378399998</v>
      </c>
      <c r="K252" s="777">
        <f>$H$22*$F$9*'Traffic Data'!AM11*annualizationFactor</f>
        <v>3941.8629760800004</v>
      </c>
      <c r="L252" s="777">
        <f>$H$22*$F$9*'Traffic Data'!AN11*annualizationFactor</f>
        <v>5342.8018355200002</v>
      </c>
      <c r="M252" s="777">
        <f>$H$22*$F$9*'Traffic Data'!AO11*annualizationFactor</f>
        <v>6744.0261453999992</v>
      </c>
      <c r="N252" s="777">
        <f>$H$22*$F$9*'Traffic Data'!AP11*annualizationFactor</f>
        <v>8146.5220072400007</v>
      </c>
      <c r="O252" s="777">
        <f>$H$22*$F$9*'Traffic Data'!AQ11*annualizationFactor</f>
        <v>9547.4608666799995</v>
      </c>
      <c r="P252" s="777">
        <f>$H$22*$F$9*'Traffic Data'!AR11*annualizationFactor</f>
        <v>10949.72317816</v>
      </c>
      <c r="Q252" s="777">
        <f>$H$22*$F$9*'Traffic Data'!AS11*annualizationFactor</f>
        <v>13102.823946999999</v>
      </c>
      <c r="R252" s="777">
        <f>$H$22*$F$9*'Traffic Data'!AT11*annualizationFactor</f>
        <v>15255.691165480002</v>
      </c>
      <c r="S252" s="777">
        <f>$H$22*$F$9*'Traffic Data'!AU11*annualizationFactor</f>
        <v>17408.765984280002</v>
      </c>
      <c r="T252" s="777">
        <f>$H$22*$F$9*'Traffic Data'!AV11*annualizationFactor</f>
        <v>19561.866753120001</v>
      </c>
      <c r="U252" s="777">
        <f>$H$22*$F$9*'Traffic Data'!AW11*annualizationFactor</f>
        <v>21717.069475200002</v>
      </c>
      <c r="V252" s="777">
        <f>$H$22*$F$9*'Traffic Data'!AX11*annualizationFactor</f>
        <v>22882.226271200001</v>
      </c>
      <c r="W252" s="777">
        <f>$H$22*$F$9*'Traffic Data'!AY11*annualizationFactor</f>
        <v>23296.02560904</v>
      </c>
      <c r="X252" s="777">
        <f>$H$22*$F$9*'Traffic Data'!AZ11*annualizationFactor</f>
        <v>23709.824946880002</v>
      </c>
      <c r="Y252" s="777">
        <f>$H$22*$F$9*'Traffic Data'!BA11*annualizationFactor</f>
        <v>24123.624284720008</v>
      </c>
      <c r="Z252" s="777">
        <f>$H$22*$F$9*'Traffic Data'!BB11*annualizationFactor</f>
        <v>24537.683122960003</v>
      </c>
      <c r="AA252" s="777">
        <f>$H$22*$F$9*'Traffic Data'!BC11*annualizationFactor</f>
        <v>24951.482460800002</v>
      </c>
      <c r="AB252" s="777">
        <f>$H$22*$F$9*'Traffic Data'!BD11*annualizationFactor</f>
        <v>25365.541299039996</v>
      </c>
      <c r="AC252" s="777">
        <f>$H$22*$F$9*'Traffic Data'!BE11*annualizationFactor</f>
        <v>25779.340636879995</v>
      </c>
      <c r="AD252" s="777">
        <f>$H$22*$F$9*'Traffic Data'!BF11*annualizationFactor</f>
        <v>26193.139974720001</v>
      </c>
      <c r="AE252" s="777">
        <f>$H$22*$F$9*'Traffic Data'!BG11*annualizationFactor</f>
        <v>26607.198812960003</v>
      </c>
      <c r="AF252" s="777">
        <f>$H$22*$F$9*'Traffic Data'!BH11*annualizationFactor</f>
        <v>27020.998150800002</v>
      </c>
      <c r="AG252" s="777">
        <f>$H$22*$F$9*'Traffic Data'!BI11*annualizationFactor</f>
        <v>27434.797488640001</v>
      </c>
      <c r="AH252" s="778">
        <f>$H$22*$F$9*'Traffic Data'!BJ11*annualizationFactor</f>
        <v>27848.856326879995</v>
      </c>
      <c r="AI252" s="40"/>
      <c r="AJ252" s="40"/>
      <c r="AK252" s="40"/>
      <c r="AL252" s="40"/>
      <c r="AM252" s="40"/>
    </row>
    <row r="253" spans="2:39" ht="21.95" customHeight="1" x14ac:dyDescent="0.2">
      <c r="B253" s="1346"/>
      <c r="C253" s="254" t="s">
        <v>323</v>
      </c>
      <c r="D253" s="254" t="s">
        <v>338</v>
      </c>
      <c r="E253" s="116" t="s">
        <v>467</v>
      </c>
      <c r="F253" s="116" t="s">
        <v>40</v>
      </c>
      <c r="G253" s="970"/>
      <c r="H253" s="970"/>
      <c r="I253" s="777">
        <f>$H$22*$F$9*'Traffic Data'!AK12*annualizationFactor</f>
        <v>41727.664320000003</v>
      </c>
      <c r="J253" s="777">
        <f>$H$22*$F$9*'Traffic Data'!AL12*annualizationFactor</f>
        <v>43275.273843521602</v>
      </c>
      <c r="K253" s="777">
        <f>$H$22*$F$9*'Traffic Data'!AM12*annualizationFactor</f>
        <v>44823.857012543995</v>
      </c>
      <c r="L253" s="777">
        <f>$H$22*$F$9*'Traffic Data'!AN12*annualizationFactor</f>
        <v>47831.239326193594</v>
      </c>
      <c r="M253" s="777">
        <f>$H$22*$F$9*'Traffic Data'!AO12*annualizationFactor</f>
        <v>50840.360292523212</v>
      </c>
      <c r="N253" s="777">
        <f>$H$22*$F$9*'Traffic Data'!AP12*annualizationFactor</f>
        <v>53848.716251673606</v>
      </c>
      <c r="O253" s="777">
        <f>$H$22*$F$9*'Traffic Data'!AQ12*annualizationFactor</f>
        <v>56856.098565323206</v>
      </c>
      <c r="P253" s="777">
        <f>$H$22*$F$9*'Traffic Data'!AR12*annualizationFactor</f>
        <v>59866.679999904001</v>
      </c>
      <c r="Q253" s="777">
        <f>$H$22*$F$9*'Traffic Data'!AS12*annualizationFactor</f>
        <v>64044.523297729604</v>
      </c>
      <c r="R253" s="777">
        <f>$H$22*$F$9*'Traffic Data'!AT12*annualizationFactor</f>
        <v>68224.5920709856</v>
      </c>
      <c r="S253" s="777">
        <f>$H$22*$F$9*'Traffic Data'!AU12*annualizationFactor</f>
        <v>72401.670361632001</v>
      </c>
      <c r="T253" s="777">
        <f>$H$22*$F$9*'Traffic Data'!AV12*annualizationFactor</f>
        <v>76579.513659457603</v>
      </c>
      <c r="U253" s="777">
        <f>$H$22*$F$9*'Traffic Data'!AW12*annualizationFactor</f>
        <v>80761.042900964807</v>
      </c>
      <c r="V253" s="777">
        <f>$H$22*$F$9*'Traffic Data'!AX12*annualizationFactor</f>
        <v>83477.861578732802</v>
      </c>
      <c r="W253" s="777">
        <f>$H$22*$F$9*'Traffic Data'!AY12*annualizationFactor</f>
        <v>85025.471102254422</v>
      </c>
      <c r="X253" s="777">
        <f>$H$22*$F$9*'Traffic Data'!AZ12*annualizationFactor</f>
        <v>86573.080625776012</v>
      </c>
      <c r="Y253" s="777">
        <f>$H$22*$F$9*'Traffic Data'!BA12*annualizationFactor</f>
        <v>88120.690149297603</v>
      </c>
      <c r="Z253" s="777">
        <f>$H$22*$F$9*'Traffic Data'!BB12*annualizationFactor</f>
        <v>89669.273318320018</v>
      </c>
      <c r="AA253" s="777">
        <f>$H$22*$F$9*'Traffic Data'!BC12*annualizationFactor</f>
        <v>91216.882841841594</v>
      </c>
      <c r="AB253" s="777">
        <f>$H$22*$F$9*'Traffic Data'!BD12*annualizationFactor</f>
        <v>92765.466010864024</v>
      </c>
      <c r="AC253" s="777">
        <f>$H$22*$F$9*'Traffic Data'!BE12*annualizationFactor</f>
        <v>94313.075534385614</v>
      </c>
      <c r="AD253" s="777">
        <f>$H$22*$F$9*'Traffic Data'!BF12*annualizationFactor</f>
        <v>95860.68505790722</v>
      </c>
      <c r="AE253" s="777">
        <f>$H$22*$F$9*'Traffic Data'!BG12*annualizationFactor</f>
        <v>97409.26822692962</v>
      </c>
      <c r="AF253" s="777">
        <f>$H$22*$F$9*'Traffic Data'!BH12*annualizationFactor</f>
        <v>98956.877750451211</v>
      </c>
      <c r="AG253" s="777">
        <f>$H$22*$F$9*'Traffic Data'!BI12*annualizationFactor</f>
        <v>100504.4872739728</v>
      </c>
      <c r="AH253" s="778">
        <f>$H$22*$F$9*'Traffic Data'!BJ12*annualizationFactor</f>
        <v>102053.0704429952</v>
      </c>
      <c r="AI253" s="40"/>
      <c r="AJ253" s="40"/>
      <c r="AK253" s="40"/>
      <c r="AL253" s="40"/>
      <c r="AM253" s="40"/>
    </row>
    <row r="254" spans="2:39" ht="21.95" customHeight="1" x14ac:dyDescent="0.2">
      <c r="B254" s="492" t="s">
        <v>339</v>
      </c>
      <c r="C254" s="116" t="s">
        <v>335</v>
      </c>
      <c r="D254" s="116" t="s">
        <v>323</v>
      </c>
      <c r="E254" s="277" t="s">
        <v>467</v>
      </c>
      <c r="F254" s="220" t="s">
        <v>40</v>
      </c>
      <c r="G254" s="780"/>
      <c r="H254" s="780"/>
      <c r="I254" s="775">
        <f>$H$22*$G$9*'Traffic Data'!AK13*annualizationFactor</f>
        <v>121.965188</v>
      </c>
      <c r="J254" s="775">
        <f>$H$22*$G$9*'Traffic Data'!AL13*annualizationFactor</f>
        <v>197.46163937199998</v>
      </c>
      <c r="K254" s="775">
        <f>$H$22*$G$9*'Traffic Data'!AM13*annualizationFactor</f>
        <v>563.35720337199996</v>
      </c>
      <c r="L254" s="775">
        <f>$H$22*$G$9*'Traffic Data'!AN13*annualizationFactor</f>
        <v>1191.1120260079999</v>
      </c>
      <c r="M254" s="775">
        <f>$H$22*$G$9*'Traffic Data'!AO13*annualizationFactor</f>
        <v>1819.3547093959999</v>
      </c>
      <c r="N254" s="775">
        <f>$H$22*$G$9*'Traffic Data'!AP13*annualizationFactor</f>
        <v>2447.3534624080003</v>
      </c>
      <c r="O254" s="775">
        <f>$H$22*$G$9*'Traffic Data'!AQ13*annualizationFactor</f>
        <v>3075.1082850440002</v>
      </c>
      <c r="P254" s="775">
        <f>$H$22*$G$9*'Traffic Data'!AR13*annualizationFactor</f>
        <v>3703.8388291840001</v>
      </c>
      <c r="Q254" s="775">
        <f>$H$22*$G$9*'Traffic Data'!AS13*annualizationFactor</f>
        <v>4041.5604347560002</v>
      </c>
      <c r="R254" s="775">
        <f>$H$22*$G$9*'Traffic Data'!AT13*annualizationFactor</f>
        <v>4379.7699010799997</v>
      </c>
      <c r="S254" s="775">
        <f>$H$22*$G$9*'Traffic Data'!AU13*annualizationFactor</f>
        <v>4717.6134718399999</v>
      </c>
      <c r="T254" s="775">
        <f>$H$22*$G$9*'Traffic Data'!AV13*annualizationFactor</f>
        <v>5055.3350774119999</v>
      </c>
      <c r="U254" s="775">
        <f>$H$22*$G$9*'Traffic Data'!AW13*annualizationFactor</f>
        <v>5393.9104393000007</v>
      </c>
      <c r="V254" s="775">
        <f>$H$22*$G$9*'Traffic Data'!AX13*annualizationFactor</f>
        <v>5469.4068906719986</v>
      </c>
      <c r="W254" s="775">
        <f>$H$22*$G$9*'Traffic Data'!AY13*annualizationFactor</f>
        <v>5544.9033420439991</v>
      </c>
      <c r="X254" s="775">
        <f>$H$22*$G$9*'Traffic Data'!AZ13*annualizationFactor</f>
        <v>5620.3997934159997</v>
      </c>
      <c r="Y254" s="775">
        <f>$H$22*$G$9*'Traffic Data'!BA13*annualizationFactor</f>
        <v>5695.8962447880003</v>
      </c>
      <c r="Z254" s="775">
        <f>$H$22*$G$9*'Traffic Data'!BB13*annualizationFactor</f>
        <v>5771.7585917240003</v>
      </c>
      <c r="AA254" s="775">
        <f>$H$22*$G$9*'Traffic Data'!BC13*annualizationFactor</f>
        <v>5847.2550430959991</v>
      </c>
      <c r="AB254" s="775">
        <f>$H$22*$G$9*'Traffic Data'!BD13*annualizationFactor</f>
        <v>5923.1173900319991</v>
      </c>
      <c r="AC254" s="775">
        <f>$H$22*$G$9*'Traffic Data'!BE13*annualizationFactor</f>
        <v>5998.6138414039979</v>
      </c>
      <c r="AD254" s="775">
        <f>$H$22*$G$9*'Traffic Data'!BF13*annualizationFactor</f>
        <v>6074.1102927760003</v>
      </c>
      <c r="AE254" s="775">
        <f>$H$22*$G$9*'Traffic Data'!BG13*annualizationFactor</f>
        <v>6149.9726397120003</v>
      </c>
      <c r="AF254" s="775">
        <f>$H$22*$G$9*'Traffic Data'!BH13*annualizationFactor</f>
        <v>6225.469091083999</v>
      </c>
      <c r="AG254" s="775">
        <f>$H$22*$G$9*'Traffic Data'!BI13*annualizationFactor</f>
        <v>6300.9655424559996</v>
      </c>
      <c r="AH254" s="776">
        <f>$H$22*$G$9*'Traffic Data'!BJ13*annualizationFactor</f>
        <v>6376.8278893920015</v>
      </c>
      <c r="AI254" s="40"/>
      <c r="AJ254" s="40"/>
      <c r="AK254" s="40"/>
      <c r="AL254" s="40"/>
      <c r="AM254" s="40"/>
    </row>
    <row r="255" spans="2:39" ht="21.95" customHeight="1" x14ac:dyDescent="0.2">
      <c r="B255" s="1346" t="s">
        <v>323</v>
      </c>
      <c r="C255" s="220" t="s">
        <v>282</v>
      </c>
      <c r="D255" s="220" t="s">
        <v>339</v>
      </c>
      <c r="E255" s="116" t="s">
        <v>467</v>
      </c>
      <c r="F255" s="220" t="s">
        <v>40</v>
      </c>
      <c r="G255" s="970"/>
      <c r="H255" s="970"/>
      <c r="I255" s="775">
        <f>$H$22*$H$9*'Traffic Data'!AK14*annualizationFactor</f>
        <v>350.32553999999999</v>
      </c>
      <c r="J255" s="775">
        <f>$H$22*$H$9*'Traffic Data'!AL14*annualizationFactor</f>
        <v>350.32553999999999</v>
      </c>
      <c r="K255" s="775">
        <f>$H$22*$H$9*'Traffic Data'!AM14*annualizationFactor</f>
        <v>4099.1591435400005</v>
      </c>
      <c r="L255" s="775">
        <f>$H$22*$H$9*'Traffic Data'!AN14*annualizationFactor</f>
        <v>7847.9927470800003</v>
      </c>
      <c r="M255" s="775">
        <f>$H$22*$H$9*'Traffic Data'!AO14*annualizationFactor</f>
        <v>11599.979280480002</v>
      </c>
      <c r="N255" s="775">
        <f>$H$22*$H$9*'Traffic Data'!AP14*annualizationFactor</f>
        <v>15348.812884020001</v>
      </c>
      <c r="O255" s="775">
        <f>$H$22*$H$9*'Traffic Data'!AQ14*annualizationFactor</f>
        <v>19097.646487560003</v>
      </c>
      <c r="P255" s="775">
        <f>$H$22*$H$9*'Traffic Data'!AR14*annualizationFactor</f>
        <v>22849.633020960006</v>
      </c>
      <c r="Q255" s="775">
        <f>$H$22*$H$9*'Traffic Data'!AS14*annualizationFactor</f>
        <v>22849.633020960006</v>
      </c>
      <c r="R255" s="775">
        <f>$H$22*$H$9*'Traffic Data'!AT14*annualizationFactor</f>
        <v>22849.633020960006</v>
      </c>
      <c r="S255" s="775">
        <f>$H$22*$H$9*'Traffic Data'!AU14*annualizationFactor</f>
        <v>22849.633020960006</v>
      </c>
      <c r="T255" s="775">
        <f>$H$22*$H$9*'Traffic Data'!AV14*annualizationFactor</f>
        <v>22849.633020960006</v>
      </c>
      <c r="U255" s="775">
        <f>$H$22*$H$9*'Traffic Data'!AW14*annualizationFactor</f>
        <v>22849.633020960006</v>
      </c>
      <c r="V255" s="775">
        <f>$H$22*$H$9*'Traffic Data'!AX14*annualizationFactor</f>
        <v>22849.633020960006</v>
      </c>
      <c r="W255" s="775">
        <f>$H$22*$H$9*'Traffic Data'!AY14*annualizationFactor</f>
        <v>22849.633020960006</v>
      </c>
      <c r="X255" s="775">
        <f>$H$22*$H$9*'Traffic Data'!AZ14*annualizationFactor</f>
        <v>22849.633020960006</v>
      </c>
      <c r="Y255" s="775">
        <f>$H$22*$H$9*'Traffic Data'!BA14*annualizationFactor</f>
        <v>22849.633020960006</v>
      </c>
      <c r="Z255" s="775">
        <f>$H$22*$H$9*'Traffic Data'!BB14*annualizationFactor</f>
        <v>22849.633020960006</v>
      </c>
      <c r="AA255" s="775">
        <f>$H$22*$H$9*'Traffic Data'!BC14*annualizationFactor</f>
        <v>22849.633020960006</v>
      </c>
      <c r="AB255" s="775">
        <f>$H$22*$H$9*'Traffic Data'!BD14*annualizationFactor</f>
        <v>22849.633020960006</v>
      </c>
      <c r="AC255" s="775">
        <f>$H$22*$H$9*'Traffic Data'!BE14*annualizationFactor</f>
        <v>22849.633020960006</v>
      </c>
      <c r="AD255" s="775">
        <f>$H$22*$H$9*'Traffic Data'!BF14*annualizationFactor</f>
        <v>22849.633020960006</v>
      </c>
      <c r="AE255" s="775">
        <f>$H$22*$H$9*'Traffic Data'!BG14*annualizationFactor</f>
        <v>22849.633020960006</v>
      </c>
      <c r="AF255" s="775">
        <f>$H$22*$H$9*'Traffic Data'!BH14*annualizationFactor</f>
        <v>22849.633020960006</v>
      </c>
      <c r="AG255" s="775">
        <f>$H$22*$H$9*'Traffic Data'!BI14*annualizationFactor</f>
        <v>22849.633020960006</v>
      </c>
      <c r="AH255" s="776">
        <f>$H$22*$H$9*'Traffic Data'!BJ14*annualizationFactor</f>
        <v>22849.633020960006</v>
      </c>
      <c r="AI255" s="40"/>
      <c r="AJ255" s="40"/>
      <c r="AK255" s="40"/>
      <c r="AL255" s="40"/>
      <c r="AM255" s="40"/>
    </row>
    <row r="256" spans="2:39" ht="21.95" customHeight="1" x14ac:dyDescent="0.2">
      <c r="B256" s="1346"/>
      <c r="C256" s="116" t="s">
        <v>339</v>
      </c>
      <c r="D256" s="116" t="s">
        <v>288</v>
      </c>
      <c r="E256" s="116" t="s">
        <v>467</v>
      </c>
      <c r="F256" s="116" t="s">
        <v>40</v>
      </c>
      <c r="G256" s="970"/>
      <c r="H256" s="970"/>
      <c r="I256" s="777">
        <f>$H$22*$H$9*'Traffic Data'!AK15*annualizationFactor</f>
        <v>159.85224640000001</v>
      </c>
      <c r="J256" s="777">
        <f>$H$22*$H$9*'Traffic Data'!AL15*annualizationFactor</f>
        <v>303.71926816000001</v>
      </c>
      <c r="K256" s="777">
        <f>$H$22*$H$9*'Traffic Data'!AM15*annualizationFactor</f>
        <v>447.58628992000007</v>
      </c>
      <c r="L256" s="777">
        <f>$H$22*$H$9*'Traffic Data'!AN15*annualizationFactor</f>
        <v>973.64550080000015</v>
      </c>
      <c r="M256" s="777">
        <f>$H$22*$H$9*'Traffic Data'!AO15*annualizationFactor</f>
        <v>1498.9781105600005</v>
      </c>
      <c r="N256" s="777">
        <f>$H$22*$H$9*'Traffic Data'!AP15*annualizationFactor</f>
        <v>2025.7639225600001</v>
      </c>
      <c r="O256" s="777">
        <f>$H$22*$H$9*'Traffic Data'!AQ15*annualizationFactor</f>
        <v>2551.8231334400002</v>
      </c>
      <c r="P256" s="777">
        <f>$H$22*$H$9*'Traffic Data'!AR15*annualizationFactor</f>
        <v>3077.8823443200008</v>
      </c>
      <c r="Q256" s="777">
        <f>$H$22*$H$9*'Traffic Data'!AS15*annualizationFactor</f>
        <v>3992.6731544000004</v>
      </c>
      <c r="R256" s="777">
        <f>$H$22*$H$9*'Traffic Data'!AT15*annualizationFactor</f>
        <v>4906.73736336</v>
      </c>
      <c r="S256" s="777">
        <f>$H$22*$H$9*'Traffic Data'!AU15*annualizationFactor</f>
        <v>5820.8015723200006</v>
      </c>
      <c r="T256" s="777">
        <f>$H$22*$H$9*'Traffic Data'!AV15*annualizationFactor</f>
        <v>6735.5923824000001</v>
      </c>
      <c r="U256" s="777">
        <f>$H$22*$H$9*'Traffic Data'!AW15*annualizationFactor</f>
        <v>7650.3831924800006</v>
      </c>
      <c r="V256" s="777">
        <f>$H$22*$H$9*'Traffic Data'!AX15*annualizationFactor</f>
        <v>8182.9818134400002</v>
      </c>
      <c r="W256" s="777">
        <f>$H$22*$H$9*'Traffic Data'!AY15*annualizationFactor</f>
        <v>8326.1222340799995</v>
      </c>
      <c r="X256" s="777">
        <f>$H$22*$H$9*'Traffic Data'!AZ15*annualizationFactor</f>
        <v>8469.9892558400006</v>
      </c>
      <c r="Y256" s="777">
        <f>$H$22*$H$9*'Traffic Data'!BA15*annualizationFactor</f>
        <v>8613.8562775999999</v>
      </c>
      <c r="Z256" s="777">
        <f>$H$22*$H$9*'Traffic Data'!BB15*annualizationFactor</f>
        <v>8757.7232993599991</v>
      </c>
      <c r="AA256" s="777">
        <f>$H$22*$H$9*'Traffic Data'!BC15*annualizationFactor</f>
        <v>8901.5903211200002</v>
      </c>
      <c r="AB256" s="777">
        <f>$H$22*$H$9*'Traffic Data'!BD15*annualizationFactor</f>
        <v>9045.4573428800013</v>
      </c>
      <c r="AC256" s="777">
        <f>$H$22*$H$9*'Traffic Data'!BE15*annualizationFactor</f>
        <v>9189.3243646400006</v>
      </c>
      <c r="AD256" s="777">
        <f>$H$22*$H$9*'Traffic Data'!BF15*annualizationFactor</f>
        <v>9333.1913863999998</v>
      </c>
      <c r="AE256" s="777">
        <f>$H$22*$H$9*'Traffic Data'!BG15*annualizationFactor</f>
        <v>9476.3318070400001</v>
      </c>
      <c r="AF256" s="777">
        <f>$H$22*$H$9*'Traffic Data'!BH15*annualizationFactor</f>
        <v>9620.1988288000011</v>
      </c>
      <c r="AG256" s="777">
        <f>$H$22*$H$9*'Traffic Data'!BI15*annualizationFactor</f>
        <v>9764.0658505600004</v>
      </c>
      <c r="AH256" s="778">
        <f>$H$22*$H$9*'Traffic Data'!BJ15*annualizationFactor</f>
        <v>9907.9328723199997</v>
      </c>
      <c r="AI256" s="40"/>
      <c r="AJ256" s="40"/>
      <c r="AK256" s="40"/>
      <c r="AL256" s="40"/>
      <c r="AM256" s="40"/>
    </row>
    <row r="257" spans="2:39" ht="21.95" customHeight="1" x14ac:dyDescent="0.2">
      <c r="B257" s="1346"/>
      <c r="C257" s="116" t="s">
        <v>288</v>
      </c>
      <c r="D257" s="116" t="s">
        <v>340</v>
      </c>
      <c r="E257" s="116" t="s">
        <v>467</v>
      </c>
      <c r="F257" s="116" t="s">
        <v>40</v>
      </c>
      <c r="G257" s="970"/>
      <c r="H257" s="970"/>
      <c r="I257" s="777">
        <f>$H$22*$H$9*'Traffic Data'!AK16*annualizationFactor</f>
        <v>568.30587600000001</v>
      </c>
      <c r="J257" s="777">
        <f>$H$22*$H$9*'Traffic Data'!AL16*annualizationFactor</f>
        <v>1079.5348985204</v>
      </c>
      <c r="K257" s="777">
        <f>$H$22*$H$9*'Traffic Data'!AM16*annualizationFactor</f>
        <v>1590.5934292780003</v>
      </c>
      <c r="L257" s="777">
        <f>$H$22*$H$9*'Traffic Data'!AN16*annualizationFactor</f>
        <v>3460.2629307303991</v>
      </c>
      <c r="M257" s="777">
        <f>$H$22*$H$9*'Traffic Data'!AO16*annualizationFactor</f>
        <v>5330.0082062995998</v>
      </c>
      <c r="N257" s="777">
        <f>$H$22*$H$9*'Traffic Data'!AP16*annualizationFactor</f>
        <v>7202.1403665480002</v>
      </c>
      <c r="O257" s="777">
        <f>$H$22*$H$9*'Traffic Data'!AQ16*annualizationFactor</f>
        <v>9071.8098680003986</v>
      </c>
      <c r="P257" s="777">
        <f>$H$22*$H$9*'Traffic Data'!AR16*annualizationFactor</f>
        <v>10942.615981204799</v>
      </c>
      <c r="Q257" s="777">
        <f>$H$22*$H$9*'Traffic Data'!AS16*annualizationFactor</f>
        <v>14193.8370672132</v>
      </c>
      <c r="R257" s="777">
        <f>$H$22*$H$9*'Traffic Data'!AT16*annualizationFactor</f>
        <v>17443.732106177602</v>
      </c>
      <c r="S257" s="777">
        <f>$H$22*$H$9*'Traffic Data'!AU16*annualizationFactor</f>
        <v>20694.706926306393</v>
      </c>
      <c r="T257" s="777">
        <f>$H$22*$H$9*'Traffic Data'!AV16*annualizationFactor</f>
        <v>23945.928012314798</v>
      </c>
      <c r="U257" s="777">
        <f>$H$22*$H$9*'Traffic Data'!AW16*annualizationFactor</f>
        <v>27199.517039473194</v>
      </c>
      <c r="V257" s="777">
        <f>$H$22*$H$9*'Traffic Data'!AX16*annualizationFactor</f>
        <v>29090.820051271996</v>
      </c>
      <c r="W257" s="777">
        <f>$H$22*$H$9*'Traffic Data'!AY16*annualizationFactor</f>
        <v>29602.049073792397</v>
      </c>
      <c r="X257" s="777">
        <f>$H$22*$H$9*'Traffic Data'!AZ16*annualizationFactor</f>
        <v>30113.278096312799</v>
      </c>
      <c r="Y257" s="777">
        <f>$H$22*$H$9*'Traffic Data'!BA16*annualizationFactor</f>
        <v>30624.507118833197</v>
      </c>
      <c r="Z257" s="777">
        <f>$H$22*$H$9*'Traffic Data'!BB16*annualizationFactor</f>
        <v>31135.565649590797</v>
      </c>
      <c r="AA257" s="777">
        <f>$H$22*$H$9*'Traffic Data'!BC16*annualizationFactor</f>
        <v>31646.794672111195</v>
      </c>
      <c r="AB257" s="777">
        <f>$H$22*$H$9*'Traffic Data'!BD16*annualizationFactor</f>
        <v>32157.853202868795</v>
      </c>
      <c r="AC257" s="777">
        <f>$H$22*$H$9*'Traffic Data'!BE16*annualizationFactor</f>
        <v>32669.082225389193</v>
      </c>
      <c r="AD257" s="777">
        <f>$H$22*$H$9*'Traffic Data'!BF16*annualizationFactor</f>
        <v>33180.311247909602</v>
      </c>
      <c r="AE257" s="777">
        <f>$H$22*$H$9*'Traffic Data'!BG16*annualizationFactor</f>
        <v>33691.369778667198</v>
      </c>
      <c r="AF257" s="777">
        <f>$H$22*$H$9*'Traffic Data'!BH16*annualizationFactor</f>
        <v>34202.598801187596</v>
      </c>
      <c r="AG257" s="777">
        <f>$H$22*$H$9*'Traffic Data'!BI16*annualizationFactor</f>
        <v>34713.827823708001</v>
      </c>
      <c r="AH257" s="778">
        <f>$H$22*$H$9*'Traffic Data'!BJ16*annualizationFactor</f>
        <v>35224.886354465598</v>
      </c>
      <c r="AI257" s="40"/>
      <c r="AJ257" s="40"/>
      <c r="AK257" s="40"/>
      <c r="AL257" s="40"/>
      <c r="AM257" s="40"/>
    </row>
    <row r="258" spans="2:39" ht="21.95" customHeight="1" x14ac:dyDescent="0.2">
      <c r="B258" s="1346"/>
      <c r="C258" s="254" t="s">
        <v>340</v>
      </c>
      <c r="D258" s="254" t="s">
        <v>280</v>
      </c>
      <c r="E258" s="116" t="s">
        <v>467</v>
      </c>
      <c r="F258" s="116" t="s">
        <v>40</v>
      </c>
      <c r="G258" s="970"/>
      <c r="H258" s="970"/>
      <c r="I258" s="777">
        <f>$H$22*$H$9*'Traffic Data'!AK17*annualizationFactor</f>
        <v>817.42625999999996</v>
      </c>
      <c r="J258" s="777">
        <f>$H$22*$H$9*'Traffic Data'!AL17*annualizationFactor</f>
        <v>1552.755675954</v>
      </c>
      <c r="K258" s="777">
        <f>$H$22*$H$9*'Traffic Data'!AM17*annualizationFactor</f>
        <v>2287.8398640300006</v>
      </c>
      <c r="L258" s="777">
        <f>$H$22*$H$9*'Traffic Data'!AN17*annualizationFactor</f>
        <v>4977.0905168039999</v>
      </c>
      <c r="M258" s="777">
        <f>$H$22*$H$9*'Traffic Data'!AO17*annualizationFactor</f>
        <v>7666.4501597460003</v>
      </c>
      <c r="N258" s="777">
        <f>$H$22*$H$9*'Traffic Data'!AP17*annualizationFactor</f>
        <v>10359.242992980002</v>
      </c>
      <c r="O258" s="777">
        <f>$H$22*$H$9*'Traffic Data'!AQ17*annualizationFactor</f>
        <v>13048.493645754001</v>
      </c>
      <c r="P258" s="777">
        <f>$H$22*$H$9*'Traffic Data'!AR17*annualizationFactor</f>
        <v>15739.379151048</v>
      </c>
      <c r="Q258" s="777">
        <f>$H$22*$H$9*'Traffic Data'!AS17*annualizationFactor</f>
        <v>20415.793041882003</v>
      </c>
      <c r="R258" s="777">
        <f>$H$22*$H$9*'Traffic Data'!AT17*annualizationFactor</f>
        <v>25090.299604776003</v>
      </c>
      <c r="S258" s="777">
        <f>$H$22*$H$9*'Traffic Data'!AU17*annualizationFactor</f>
        <v>29766.359277563992</v>
      </c>
      <c r="T258" s="777">
        <f>$H$22*$H$9*'Traffic Data'!AV17*annualizationFactor</f>
        <v>34442.773168398002</v>
      </c>
      <c r="U258" s="777">
        <f>$H$22*$H$9*'Traffic Data'!AW17*annualizationFactor</f>
        <v>39122.593001981993</v>
      </c>
      <c r="V258" s="777">
        <f>$H$22*$H$9*'Traffic Data'!AX17*annualizationFactor</f>
        <v>41842.960347719993</v>
      </c>
      <c r="W258" s="777">
        <f>$H$22*$H$9*'Traffic Data'!AY17*annualizationFactor</f>
        <v>42578.289763674002</v>
      </c>
      <c r="X258" s="777">
        <f>$H$22*$H$9*'Traffic Data'!AZ17*annualizationFactor</f>
        <v>43313.619179627996</v>
      </c>
      <c r="Y258" s="777">
        <f>$H$22*$H$9*'Traffic Data'!BA17*annualizationFactor</f>
        <v>44048.948595581998</v>
      </c>
      <c r="Z258" s="777">
        <f>$H$22*$H$9*'Traffic Data'!BB17*annualizationFactor</f>
        <v>44784.032783657996</v>
      </c>
      <c r="AA258" s="777">
        <f>$H$22*$H$9*'Traffic Data'!BC17*annualizationFactor</f>
        <v>45519.362199612005</v>
      </c>
      <c r="AB258" s="777">
        <f>$H$22*$H$9*'Traffic Data'!BD17*annualizationFactor</f>
        <v>46254.446387687996</v>
      </c>
      <c r="AC258" s="777">
        <f>$H$22*$H$9*'Traffic Data'!BE17*annualizationFactor</f>
        <v>46989.775803641998</v>
      </c>
      <c r="AD258" s="777">
        <f>$H$22*$H$9*'Traffic Data'!BF17*annualizationFactor</f>
        <v>47725.105219596007</v>
      </c>
      <c r="AE258" s="777">
        <f>$H$22*$H$9*'Traffic Data'!BG17*annualizationFactor</f>
        <v>48460.189407672005</v>
      </c>
      <c r="AF258" s="777">
        <f>$H$22*$H$9*'Traffic Data'!BH17*annualizationFactor</f>
        <v>49195.518823626015</v>
      </c>
      <c r="AG258" s="777">
        <f>$H$22*$H$9*'Traffic Data'!BI17*annualizationFactor</f>
        <v>49930.848239580009</v>
      </c>
      <c r="AH258" s="778">
        <f>$H$22*$H$9*'Traffic Data'!BJ17*annualizationFactor</f>
        <v>50665.932427656</v>
      </c>
      <c r="AI258" s="40"/>
      <c r="AJ258" s="40"/>
      <c r="AK258" s="40"/>
      <c r="AL258" s="40"/>
      <c r="AM258" s="40"/>
    </row>
    <row r="259" spans="2:39" ht="21.95" customHeight="1" x14ac:dyDescent="0.2">
      <c r="B259" s="1346" t="s">
        <v>334</v>
      </c>
      <c r="C259" s="116" t="s">
        <v>336</v>
      </c>
      <c r="D259" s="116" t="s">
        <v>337</v>
      </c>
      <c r="E259" s="220" t="s">
        <v>467</v>
      </c>
      <c r="F259" s="220" t="s">
        <v>40</v>
      </c>
      <c r="G259" s="775"/>
      <c r="H259" s="775"/>
      <c r="I259" s="775">
        <f>$H$22*$I$9*'Traffic Data'!AK18*annualizationFactor</f>
        <v>16348.525199999998</v>
      </c>
      <c r="J259" s="775">
        <f>$H$22*$I$9*'Traffic Data'!AL18*annualizationFactor</f>
        <v>16791.395070149996</v>
      </c>
      <c r="K259" s="775">
        <f>$H$22*$I$9*'Traffic Data'!AM18*annualizationFactor</f>
        <v>17512.189868699996</v>
      </c>
      <c r="L259" s="775">
        <f>$H$22*$I$9*'Traffic Data'!AN18*annualizationFactor</f>
        <v>18546.292475189999</v>
      </c>
      <c r="M259" s="775">
        <f>$H$22*$I$9*'Traffic Data'!AO18*annualizationFactor</f>
        <v>19580.8621824</v>
      </c>
      <c r="N259" s="775">
        <f>$H$22*$I$9*'Traffic Data'!AP18*annualizationFactor</f>
        <v>20615.315114430003</v>
      </c>
      <c r="O259" s="775">
        <f>$H$22*$I$9*'Traffic Data'!AQ18*annualizationFactor</f>
        <v>21649.417720920002</v>
      </c>
      <c r="P259" s="775">
        <f>$H$22*$I$9*'Traffic Data'!AR18*annualizationFactor</f>
        <v>22684.396141259997</v>
      </c>
      <c r="Q259" s="775">
        <f>$H$22*$I$9*'Traffic Data'!AS18*annualizationFactor</f>
        <v>23604.58455965999</v>
      </c>
      <c r="R259" s="775">
        <f>$H$22*$I$9*'Traffic Data'!AT18*annualizationFactor</f>
        <v>24525.064916009997</v>
      </c>
      <c r="S259" s="775">
        <f>$H$22*$I$9*'Traffic Data'!AU18*annualizationFactor</f>
        <v>25445.25333440999</v>
      </c>
      <c r="T259" s="775">
        <f>$H$22*$I$9*'Traffic Data'!AV18*annualizationFactor</f>
        <v>26365.441752809998</v>
      </c>
      <c r="U259" s="775">
        <f>$H$22*$I$9*'Traffic Data'!AW18*annualizationFactor</f>
        <v>27286.447597469993</v>
      </c>
      <c r="V259" s="775">
        <f>$H$22*$I$9*'Traffic Data'!AX18*annualizationFactor</f>
        <v>27892.919494799997</v>
      </c>
      <c r="W259" s="775">
        <f>$H$22*$I$9*'Traffic Data'!AY18*annualizationFactor</f>
        <v>28335.789364949993</v>
      </c>
      <c r="X259" s="775">
        <f>$H$22*$I$9*'Traffic Data'!AZ18*annualizationFactor</f>
        <v>28778.659235099996</v>
      </c>
      <c r="Y259" s="775">
        <f>$H$22*$I$9*'Traffic Data'!BA18*annualizationFactor</f>
        <v>29221.529105249992</v>
      </c>
      <c r="Z259" s="775">
        <f>$H$22*$I$9*'Traffic Data'!BB18*annualizationFactor</f>
        <v>29664.632525759993</v>
      </c>
      <c r="AA259" s="775">
        <f>$H$22*$I$9*'Traffic Data'!BC18*annualizationFactor</f>
        <v>30107.502395909993</v>
      </c>
      <c r="AB259" s="775">
        <f>$H$22*$I$9*'Traffic Data'!BD18*annualizationFactor</f>
        <v>30550.605816419997</v>
      </c>
      <c r="AC259" s="775">
        <f>$H$22*$I$9*'Traffic Data'!BE18*annualizationFactor</f>
        <v>30993.475686569989</v>
      </c>
      <c r="AD259" s="775">
        <f>$H$22*$I$9*'Traffic Data'!BF18*annualizationFactor</f>
        <v>31436.345556719996</v>
      </c>
      <c r="AE259" s="775">
        <f>$H$22*$I$9*'Traffic Data'!BG18*annualizationFactor</f>
        <v>31879.448977229993</v>
      </c>
      <c r="AF259" s="775">
        <f>$H$22*$I$9*'Traffic Data'!BH18*annualizationFactor</f>
        <v>32322.318847379993</v>
      </c>
      <c r="AG259" s="775">
        <f>$H$22*$I$9*'Traffic Data'!BI18*annualizationFactor</f>
        <v>32765.188717529993</v>
      </c>
      <c r="AH259" s="776">
        <f>$H$22*$I$9*'Traffic Data'!BJ18*annualizationFactor</f>
        <v>33208.292138039986</v>
      </c>
      <c r="AI259" s="40"/>
      <c r="AJ259" s="40"/>
      <c r="AK259" s="40"/>
      <c r="AL259" s="40"/>
      <c r="AM259" s="40"/>
    </row>
    <row r="260" spans="2:39" ht="21.95" customHeight="1" x14ac:dyDescent="0.2">
      <c r="B260" s="1346"/>
      <c r="C260" s="116" t="s">
        <v>337</v>
      </c>
      <c r="D260" s="116" t="s">
        <v>386</v>
      </c>
      <c r="E260" s="116" t="s">
        <v>467</v>
      </c>
      <c r="F260" s="116" t="s">
        <v>40</v>
      </c>
      <c r="G260" s="970"/>
      <c r="H260" s="970"/>
      <c r="I260" s="777">
        <f>$H$22*$I$9*'Traffic Data'!AK19*annualizationFactor</f>
        <v>25690.539599999996</v>
      </c>
      <c r="J260" s="777">
        <f>$H$22*$I$9*'Traffic Data'!AL19*annualizationFactor</f>
        <v>26224.202172599995</v>
      </c>
      <c r="K260" s="777">
        <f>$H$22*$I$9*'Traffic Data'!AM19*annualizationFactor</f>
        <v>27490.045123799999</v>
      </c>
      <c r="L260" s="777">
        <f>$H$22*$I$9*'Traffic Data'!AN19*annualizationFactor</f>
        <v>28877.334262199998</v>
      </c>
      <c r="M260" s="777">
        <f>$H$22*$I$9*'Traffic Data'!AO19*annualizationFactor</f>
        <v>30266.958904199993</v>
      </c>
      <c r="N260" s="777">
        <f>$H$22*$I$9*'Traffic Data'!AP19*annualizationFactor</f>
        <v>31655.415794399996</v>
      </c>
      <c r="O260" s="777">
        <f>$H$22*$I$9*'Traffic Data'!AQ19*annualizationFactor</f>
        <v>33042.704932799992</v>
      </c>
      <c r="P260" s="777">
        <f>$H$22*$I$9*'Traffic Data'!AR19*annualizationFactor</f>
        <v>34432.329574799995</v>
      </c>
      <c r="Q260" s="777">
        <f>$H$22*$I$9*'Traffic Data'!AS19*annualizationFactor</f>
        <v>35197.207003799995</v>
      </c>
      <c r="R260" s="777">
        <f>$H$22*$I$9*'Traffic Data'!AT19*annualizationFactor</f>
        <v>35963.252184599995</v>
      </c>
      <c r="S260" s="777">
        <f>$H$22*$I$9*'Traffic Data'!AU19*annualizationFactor</f>
        <v>36728.129613599995</v>
      </c>
      <c r="T260" s="777">
        <f>$H$22*$I$9*'Traffic Data'!AV19*annualizationFactor</f>
        <v>37494.174794399994</v>
      </c>
      <c r="U260" s="777">
        <f>$H$22*$I$9*'Traffic Data'!AW19*annualizationFactor</f>
        <v>38259.052223399995</v>
      </c>
      <c r="V260" s="777">
        <f>$H$22*$I$9*'Traffic Data'!AX19*annualizationFactor</f>
        <v>38902.483465199992</v>
      </c>
      <c r="W260" s="777">
        <f>$H$22*$I$9*'Traffic Data'!AY19*annualizationFactor</f>
        <v>39458.333321999999</v>
      </c>
      <c r="X260" s="777">
        <f>$H$22*$I$9*'Traffic Data'!AZ19*annualizationFactor</f>
        <v>40015.350930599991</v>
      </c>
      <c r="Y260" s="777">
        <f>$H$22*$I$9*'Traffic Data'!BA19*annualizationFactor</f>
        <v>40572.36853919999</v>
      </c>
      <c r="Z260" s="777">
        <f>$H$22*$I$9*'Traffic Data'!BB19*annualizationFactor</f>
        <v>41129.386147799989</v>
      </c>
      <c r="AA260" s="777">
        <f>$H$22*$I$9*'Traffic Data'!BC19*annualizationFactor</f>
        <v>41686.403756399995</v>
      </c>
      <c r="AB260" s="777">
        <f>$H$22*$I$9*'Traffic Data'!BD19*annualizationFactor</f>
        <v>42243.421364999995</v>
      </c>
      <c r="AC260" s="777">
        <f>$H$22*$I$9*'Traffic Data'!BE19*annualizationFactor</f>
        <v>42800.438973599994</v>
      </c>
      <c r="AD260" s="777">
        <f>$H$22*$I$9*'Traffic Data'!BF19*annualizationFactor</f>
        <v>43357.456582199993</v>
      </c>
      <c r="AE260" s="777">
        <f>$H$22*$I$9*'Traffic Data'!BG19*annualizationFactor</f>
        <v>43914.474190799992</v>
      </c>
      <c r="AF260" s="777">
        <f>$H$22*$I$9*'Traffic Data'!BH19*annualizationFactor</f>
        <v>44471.491799399992</v>
      </c>
      <c r="AG260" s="777">
        <f>$H$22*$I$9*'Traffic Data'!BI19*annualizationFactor</f>
        <v>45027.341656199991</v>
      </c>
      <c r="AH260" s="778">
        <f>$H$22*$I$9*'Traffic Data'!BJ19*annualizationFactor</f>
        <v>45584.35926479999</v>
      </c>
      <c r="AI260" s="40"/>
      <c r="AJ260" s="40"/>
      <c r="AK260" s="40"/>
      <c r="AL260" s="40"/>
      <c r="AM260" s="40"/>
    </row>
    <row r="261" spans="2:39" ht="21.95" customHeight="1" x14ac:dyDescent="0.2">
      <c r="B261" s="1346"/>
      <c r="C261" s="116" t="s">
        <v>342</v>
      </c>
      <c r="D261" s="116" t="s">
        <v>341</v>
      </c>
      <c r="E261" s="116" t="s">
        <v>467</v>
      </c>
      <c r="F261" s="116" t="s">
        <v>40</v>
      </c>
      <c r="G261" s="970"/>
      <c r="H261" s="970"/>
      <c r="I261" s="777">
        <f>$H$22*$I$9*'Traffic Data'!AK20*annualizationFactor</f>
        <v>33397.701479999996</v>
      </c>
      <c r="J261" s="777">
        <f>$H$22*$I$9*'Traffic Data'!AL20*annualizationFactor</f>
        <v>34091.462824379996</v>
      </c>
      <c r="K261" s="777">
        <f>$H$22*$I$9*'Traffic Data'!AM20*annualizationFactor</f>
        <v>35737.058660939991</v>
      </c>
      <c r="L261" s="777">
        <f>$H$22*$I$9*'Traffic Data'!AN20*annualizationFactor</f>
        <v>37540.53454085999</v>
      </c>
      <c r="M261" s="777">
        <f>$H$22*$I$9*'Traffic Data'!AO20*annualizationFactor</f>
        <v>39347.046575460001</v>
      </c>
      <c r="N261" s="777">
        <f>$H$22*$I$9*'Traffic Data'!AP20*annualizationFactor</f>
        <v>41152.040532719999</v>
      </c>
      <c r="O261" s="777">
        <f>$H$22*$I$9*'Traffic Data'!AQ20*annualizationFactor</f>
        <v>42955.516412639998</v>
      </c>
      <c r="P261" s="777">
        <f>$H$22*$I$9*'Traffic Data'!AR20*annualizationFactor</f>
        <v>44762.028447239994</v>
      </c>
      <c r="Q261" s="777">
        <f>$H$22*$I$9*'Traffic Data'!AS20*annualizationFactor</f>
        <v>45756.369104939993</v>
      </c>
      <c r="R261" s="777">
        <f>$H$22*$I$9*'Traffic Data'!AT20*annualizationFactor</f>
        <v>46752.227839979991</v>
      </c>
      <c r="S261" s="777">
        <f>$H$22*$I$9*'Traffic Data'!AU20*annualizationFactor</f>
        <v>47746.568497679989</v>
      </c>
      <c r="T261" s="777">
        <f>$H$22*$I$9*'Traffic Data'!AV20*annualizationFactor</f>
        <v>48742.427232719994</v>
      </c>
      <c r="U261" s="777">
        <f>$H$22*$I$9*'Traffic Data'!AW20*annualizationFactor</f>
        <v>49736.767890419993</v>
      </c>
      <c r="V261" s="777">
        <f>$H$22*$I$9*'Traffic Data'!AX20*annualizationFactor</f>
        <v>50573.228504759994</v>
      </c>
      <c r="W261" s="777">
        <f>$H$22*$I$9*'Traffic Data'!AY20*annualizationFactor</f>
        <v>51295.833318599987</v>
      </c>
      <c r="X261" s="777">
        <f>$H$22*$I$9*'Traffic Data'!AZ20*annualizationFactor</f>
        <v>52019.956209779986</v>
      </c>
      <c r="Y261" s="777">
        <f>$H$22*$I$9*'Traffic Data'!BA20*annualizationFactor</f>
        <v>52744.079100959993</v>
      </c>
      <c r="Z261" s="777">
        <f>$H$22*$I$9*'Traffic Data'!BB20*annualizationFactor</f>
        <v>53468.201992139991</v>
      </c>
      <c r="AA261" s="777">
        <f>$H$22*$I$9*'Traffic Data'!BC20*annualizationFactor</f>
        <v>54192.32488331999</v>
      </c>
      <c r="AB261" s="777">
        <f>$H$22*$I$9*'Traffic Data'!BD20*annualizationFactor</f>
        <v>54916.447774499989</v>
      </c>
      <c r="AC261" s="777">
        <f>$H$22*$I$9*'Traffic Data'!BE20*annualizationFactor</f>
        <v>55640.570665679988</v>
      </c>
      <c r="AD261" s="777">
        <f>$H$22*$I$9*'Traffic Data'!BF20*annualizationFactor</f>
        <v>56364.693556859995</v>
      </c>
      <c r="AE261" s="777">
        <f>$H$22*$I$9*'Traffic Data'!BG20*annualizationFactor</f>
        <v>57088.816448039994</v>
      </c>
      <c r="AF261" s="777">
        <f>$H$22*$I$9*'Traffic Data'!BH20*annualizationFactor</f>
        <v>57812.939339219993</v>
      </c>
      <c r="AG261" s="777">
        <f>$H$22*$I$9*'Traffic Data'!BI20*annualizationFactor</f>
        <v>58535.54415306</v>
      </c>
      <c r="AH261" s="778">
        <f>$H$22*$I$9*'Traffic Data'!BJ20*annualizationFactor</f>
        <v>59259.667044239999</v>
      </c>
      <c r="AI261" s="40"/>
      <c r="AJ261" s="40"/>
      <c r="AK261" s="40"/>
      <c r="AL261" s="40"/>
      <c r="AM261" s="40"/>
    </row>
    <row r="262" spans="2:39" ht="21.95" customHeight="1" x14ac:dyDescent="0.2">
      <c r="B262" s="1346"/>
      <c r="C262" s="116" t="s">
        <v>341</v>
      </c>
      <c r="D262" s="116" t="s">
        <v>344</v>
      </c>
      <c r="E262" s="116" t="s">
        <v>467</v>
      </c>
      <c r="F262" s="116" t="s">
        <v>40</v>
      </c>
      <c r="G262" s="970"/>
      <c r="H262" s="970"/>
      <c r="I262" s="777">
        <f>$H$22*$I$9*'Traffic Data'!AK21*annualizationFactor</f>
        <v>37041.087095999996</v>
      </c>
      <c r="J262" s="777">
        <f>$H$22*$I$9*'Traffic Data'!AL21*annualizationFactor</f>
        <v>37844.593754543988</v>
      </c>
      <c r="K262" s="777">
        <f>$H$22*$I$9*'Traffic Data'!AM21*annualizationFactor</f>
        <v>39671.004279815999</v>
      </c>
      <c r="L262" s="777">
        <f>$H$22*$I$9*'Traffic Data'!AN21*annualizationFactor</f>
        <v>41674.072297391998</v>
      </c>
      <c r="M262" s="777">
        <f>$H$22*$I$9*'Traffic Data'!AO21*annualizationFactor</f>
        <v>43678.564972163986</v>
      </c>
      <c r="N262" s="777">
        <f>$H$22*$I$9*'Traffic Data'!AP21*annualizationFactor</f>
        <v>45681.632989739985</v>
      </c>
      <c r="O262" s="777">
        <f>$H$22*$I$9*'Traffic Data'!AQ21*annualizationFactor</f>
        <v>47684.701007315991</v>
      </c>
      <c r="P262" s="777">
        <f>$H$22*$I$9*'Traffic Data'!AR21*annualizationFactor</f>
        <v>49689.193682087993</v>
      </c>
      <c r="Q262" s="777">
        <f>$H$22*$I$9*'Traffic Data'!AS21*annualizationFactor</f>
        <v>50794.727666183993</v>
      </c>
      <c r="R262" s="777">
        <f>$H$22*$I$9*'Traffic Data'!AT21*annualizationFactor</f>
        <v>51898.836993083991</v>
      </c>
      <c r="S262" s="777">
        <f>$H$22*$I$9*'Traffic Data'!AU21*annualizationFactor</f>
        <v>53004.370977179984</v>
      </c>
      <c r="T262" s="777">
        <f>$H$22*$I$9*'Traffic Data'!AV21*annualizationFactor</f>
        <v>54108.480304079982</v>
      </c>
      <c r="U262" s="777">
        <f>$H$22*$I$9*'Traffic Data'!AW21*annualizationFactor</f>
        <v>55214.014288175997</v>
      </c>
      <c r="V262" s="777">
        <f>$H$22*$I$9*'Traffic Data'!AX21*annualizationFactor</f>
        <v>56140.041465575981</v>
      </c>
      <c r="W262" s="777">
        <f>$H$22*$I$9*'Traffic Data'!AY21*annualizationFactor</f>
        <v>56943.548124119989</v>
      </c>
      <c r="X262" s="777">
        <f>$H$22*$I$9*'Traffic Data'!AZ21*annualizationFactor</f>
        <v>57748.479439859992</v>
      </c>
      <c r="Y262" s="777">
        <f>$H$22*$I$9*'Traffic Data'!BA21*annualizationFactor</f>
        <v>58551.986098403984</v>
      </c>
      <c r="Z262" s="777">
        <f>$H$22*$I$9*'Traffic Data'!BB21*annualizationFactor</f>
        <v>59355.492756947991</v>
      </c>
      <c r="AA262" s="777">
        <f>$H$22*$I$9*'Traffic Data'!BC21*annualizationFactor</f>
        <v>60158.999415491991</v>
      </c>
      <c r="AB262" s="777">
        <f>$H$22*$I$9*'Traffic Data'!BD21*annualizationFactor</f>
        <v>60962.506074035984</v>
      </c>
      <c r="AC262" s="777">
        <f>$H$22*$I$9*'Traffic Data'!BE21*annualizationFactor</f>
        <v>61766.012732579991</v>
      </c>
      <c r="AD262" s="777">
        <f>$H$22*$I$9*'Traffic Data'!BF21*annualizationFactor</f>
        <v>62569.519391123984</v>
      </c>
      <c r="AE262" s="777">
        <f>$H$22*$I$9*'Traffic Data'!BG21*annualizationFactor</f>
        <v>63373.026049667991</v>
      </c>
      <c r="AF262" s="777">
        <f>$H$22*$I$9*'Traffic Data'!BH21*annualizationFactor</f>
        <v>64177.95736540798</v>
      </c>
      <c r="AG262" s="777">
        <f>$H$22*$I$9*'Traffic Data'!BI21*annualizationFactor</f>
        <v>64981.464023951987</v>
      </c>
      <c r="AH262" s="778">
        <f>$H$22*$I$9*'Traffic Data'!BJ21*annualizationFactor</f>
        <v>65784.970682495987</v>
      </c>
      <c r="AI262" s="40"/>
      <c r="AJ262" s="40"/>
      <c r="AK262" s="40"/>
      <c r="AL262" s="40"/>
      <c r="AM262" s="40"/>
    </row>
    <row r="263" spans="2:39" ht="21.95" customHeight="1" x14ac:dyDescent="0.2">
      <c r="B263" s="1346"/>
      <c r="C263" s="116" t="s">
        <v>344</v>
      </c>
      <c r="D263" s="116" t="s">
        <v>345</v>
      </c>
      <c r="E263" s="116" t="s">
        <v>467</v>
      </c>
      <c r="F263" s="116" t="s">
        <v>40</v>
      </c>
      <c r="G263" s="970"/>
      <c r="H263" s="970"/>
      <c r="I263" s="777">
        <f>$H$22*$I$9*'Traffic Data'!AK22*annualizationFactor</f>
        <v>15180.773399999998</v>
      </c>
      <c r="J263" s="777">
        <f>$H$22*$I$9*'Traffic Data'!AL22*annualizationFactor</f>
        <v>15510.079407599998</v>
      </c>
      <c r="K263" s="777">
        <f>$H$22*$I$9*'Traffic Data'!AM22*annualizationFactor</f>
        <v>16258.608311399998</v>
      </c>
      <c r="L263" s="777">
        <f>$H$22*$I$9*'Traffic Data'!AN22*annualizationFactor</f>
        <v>17079.537826799995</v>
      </c>
      <c r="M263" s="777">
        <f>$H$22*$I$9*'Traffic Data'!AO22*annualizationFactor</f>
        <v>17901.051218099998</v>
      </c>
      <c r="N263" s="777">
        <f>$H$22*$I$9*'Traffic Data'!AP22*annualizationFactor</f>
        <v>18721.980733499997</v>
      </c>
      <c r="O263" s="777">
        <f>$H$22*$I$9*'Traffic Data'!AQ22*annualizationFactor</f>
        <v>19542.910248899996</v>
      </c>
      <c r="P263" s="777">
        <f>$H$22*$I$9*'Traffic Data'!AR22*annualizationFactor</f>
        <v>20364.423640199995</v>
      </c>
      <c r="Q263" s="777">
        <f>$H$22*$I$9*'Traffic Data'!AS22*annualizationFactor</f>
        <v>20817.511338599998</v>
      </c>
      <c r="R263" s="777">
        <f>$H$22*$I$9*'Traffic Data'!AT22*annualizationFactor</f>
        <v>21270.015161099996</v>
      </c>
      <c r="S263" s="777">
        <f>$H$22*$I$9*'Traffic Data'!AU22*annualizationFactor</f>
        <v>21723.102859499995</v>
      </c>
      <c r="T263" s="777">
        <f>$H$22*$I$9*'Traffic Data'!AV22*annualizationFactor</f>
        <v>22175.606681999994</v>
      </c>
      <c r="U263" s="777">
        <f>$H$22*$I$9*'Traffic Data'!AW22*annualizationFactor</f>
        <v>22628.694380399997</v>
      </c>
      <c r="V263" s="777">
        <f>$H$22*$I$9*'Traffic Data'!AX22*annualizationFactor</f>
        <v>23008.213715399994</v>
      </c>
      <c r="W263" s="777">
        <f>$H$22*$I$9*'Traffic Data'!AY22*annualizationFactor</f>
        <v>23337.519722999994</v>
      </c>
      <c r="X263" s="777">
        <f>$H$22*$I$9*'Traffic Data'!AZ22*annualizationFactor</f>
        <v>23667.409606499994</v>
      </c>
      <c r="Y263" s="777">
        <f>$H$22*$I$9*'Traffic Data'!BA22*annualizationFactor</f>
        <v>23996.715614099998</v>
      </c>
      <c r="Z263" s="777">
        <f>$H$22*$I$9*'Traffic Data'!BB22*annualizationFactor</f>
        <v>24326.021621699994</v>
      </c>
      <c r="AA263" s="777">
        <f>$H$22*$I$9*'Traffic Data'!BC22*annualizationFactor</f>
        <v>24655.327629299998</v>
      </c>
      <c r="AB263" s="777">
        <f>$H$22*$I$9*'Traffic Data'!BD22*annualizationFactor</f>
        <v>24984.633636899995</v>
      </c>
      <c r="AC263" s="777">
        <f>$H$22*$I$9*'Traffic Data'!BE22*annualizationFactor</f>
        <v>25313.939644499995</v>
      </c>
      <c r="AD263" s="777">
        <f>$H$22*$I$9*'Traffic Data'!BF22*annualizationFactor</f>
        <v>25643.245652099995</v>
      </c>
      <c r="AE263" s="777">
        <f>$H$22*$I$9*'Traffic Data'!BG22*annualizationFactor</f>
        <v>25972.551659699995</v>
      </c>
      <c r="AF263" s="777">
        <f>$H$22*$I$9*'Traffic Data'!BH22*annualizationFactor</f>
        <v>26302.441543199991</v>
      </c>
      <c r="AG263" s="777">
        <f>$H$22*$I$9*'Traffic Data'!BI22*annualizationFactor</f>
        <v>26631.747550799995</v>
      </c>
      <c r="AH263" s="778">
        <f>$H$22*$I$9*'Traffic Data'!BJ22*annualizationFactor</f>
        <v>26961.053558399992</v>
      </c>
      <c r="AI263" s="40"/>
      <c r="AJ263" s="40"/>
      <c r="AK263" s="40"/>
      <c r="AL263" s="40"/>
      <c r="AM263" s="40"/>
    </row>
    <row r="264" spans="2:39" ht="21.95" customHeight="1" x14ac:dyDescent="0.2">
      <c r="B264" s="1346"/>
      <c r="C264" s="116" t="s">
        <v>345</v>
      </c>
      <c r="D264" s="116" t="s">
        <v>323</v>
      </c>
      <c r="E264" s="116" t="s">
        <v>467</v>
      </c>
      <c r="F264" s="116" t="s">
        <v>40</v>
      </c>
      <c r="G264" s="970"/>
      <c r="H264" s="970"/>
      <c r="I264" s="777">
        <f>$H$22*$I$9*'Traffic Data'!AK23*annualizationFactor</f>
        <v>183103.48223999998</v>
      </c>
      <c r="J264" s="777">
        <f>$H$22*$I$9*'Traffic Data'!AL23*annualizationFactor</f>
        <v>187076.17386359998</v>
      </c>
      <c r="K264" s="777">
        <f>$H$22*$I$9*'Traffic Data'!AM23*annualizationFactor</f>
        <v>196103.17553803194</v>
      </c>
      <c r="L264" s="777">
        <f>$H$22*$I$9*'Traffic Data'!AN23*annualizationFactor</f>
        <v>206006.13119267998</v>
      </c>
      <c r="M264" s="777">
        <f>$H$22*$I$9*'Traffic Data'!AO23*annualizationFactor</f>
        <v>215913.66443438397</v>
      </c>
      <c r="N264" s="777">
        <f>$H$22*$I$9*'Traffic Data'!AP23*annualizationFactor</f>
        <v>225817.92797104799</v>
      </c>
      <c r="O264" s="777">
        <f>$H$22*$I$9*'Traffic Data'!AQ23*annualizationFactor</f>
        <v>235720.88362569592</v>
      </c>
      <c r="P264" s="777">
        <f>$H$22*$I$9*'Traffic Data'!AR23*annualizationFactor</f>
        <v>245629.39777891192</v>
      </c>
      <c r="Q264" s="777">
        <f>$H$22*$I$9*'Traffic Data'!AS23*annualizationFactor</f>
        <v>251089.80519571184</v>
      </c>
      <c r="R264" s="777">
        <f>$H$22*$I$9*'Traffic Data'!AT23*annualizationFactor</f>
        <v>256550.21261251191</v>
      </c>
      <c r="S264" s="777">
        <f>$H$22*$I$9*'Traffic Data'!AU23*annualizationFactor</f>
        <v>262010.62002931192</v>
      </c>
      <c r="T264" s="777">
        <f>$H$22*$I$9*'Traffic Data'!AV23*annualizationFactor</f>
        <v>267471.02744611196</v>
      </c>
      <c r="U264" s="777">
        <f>$H$22*$I$9*'Traffic Data'!AW23*annualizationFactor</f>
        <v>272933.39668593591</v>
      </c>
      <c r="V264" s="777">
        <f>$H$22*$I$9*'Traffic Data'!AX23*annualizationFactor</f>
        <v>277516.8692110079</v>
      </c>
      <c r="W264" s="777">
        <f>$H$22*$I$9*'Traffic Data'!AY23*annualizationFactor</f>
        <v>281489.56083460792</v>
      </c>
      <c r="X264" s="777">
        <f>$H$22*$I$9*'Traffic Data'!AZ23*annualizationFactor</f>
        <v>285462.25245820789</v>
      </c>
      <c r="Y264" s="777">
        <f>$H$22*$I$9*'Traffic Data'!BA23*annualizationFactor</f>
        <v>289434.94408180797</v>
      </c>
      <c r="Z264" s="777">
        <f>$H$22*$I$9*'Traffic Data'!BB23*annualizationFactor</f>
        <v>293407.96267591196</v>
      </c>
      <c r="AA264" s="777">
        <f>$H$22*$I$9*'Traffic Data'!BC23*annualizationFactor</f>
        <v>297380.65429951187</v>
      </c>
      <c r="AB264" s="777">
        <f>$H$22*$I$9*'Traffic Data'!BD23*annualizationFactor</f>
        <v>301353.67289361596</v>
      </c>
      <c r="AC264" s="777">
        <f>$H$22*$I$9*'Traffic Data'!BE23*annualizationFactor</f>
        <v>305326.36451721605</v>
      </c>
      <c r="AD264" s="777">
        <f>$H$22*$I$9*'Traffic Data'!BF23*annualizationFactor</f>
        <v>309299.05614081596</v>
      </c>
      <c r="AE264" s="777">
        <f>$H$22*$I$9*'Traffic Data'!BG23*annualizationFactor</f>
        <v>313272.07473491988</v>
      </c>
      <c r="AF264" s="777">
        <f>$H$22*$I$9*'Traffic Data'!BH23*annualizationFactor</f>
        <v>317244.76635851996</v>
      </c>
      <c r="AG264" s="777">
        <f>$H$22*$I$9*'Traffic Data'!BI23*annualizationFactor</f>
        <v>321217.45798211999</v>
      </c>
      <c r="AH264" s="778">
        <f>$H$22*$I$9*'Traffic Data'!BJ23*annualizationFactor</f>
        <v>325190.47657622391</v>
      </c>
      <c r="AI264" s="40"/>
      <c r="AJ264" s="40"/>
      <c r="AK264" s="40"/>
      <c r="AL264" s="40"/>
      <c r="AM264" s="40"/>
    </row>
    <row r="265" spans="2:39" ht="21.95" customHeight="1" x14ac:dyDescent="0.2">
      <c r="B265" s="1346"/>
      <c r="C265" s="116" t="s">
        <v>323</v>
      </c>
      <c r="D265" s="116" t="s">
        <v>347</v>
      </c>
      <c r="E265" s="116" t="s">
        <v>467</v>
      </c>
      <c r="F265" s="116" t="s">
        <v>40</v>
      </c>
      <c r="G265" s="970"/>
      <c r="H265" s="970"/>
      <c r="I265" s="777">
        <f>$H$22*$I$9*'Traffic Data'!AK24*annualizationFactor</f>
        <v>32697.050399999996</v>
      </c>
      <c r="J265" s="777">
        <f>$H$22*$I$9*'Traffic Data'!AL24*annualizationFactor</f>
        <v>33406.459618499997</v>
      </c>
      <c r="K265" s="777">
        <f>$H$22*$I$9*'Traffic Data'!AM24*annualizationFactor</f>
        <v>34463.041447139993</v>
      </c>
      <c r="L265" s="777">
        <f>$H$22*$I$9*'Traffic Data'!AN24*annualizationFactor</f>
        <v>35676.043629389998</v>
      </c>
      <c r="M265" s="777">
        <f>$H$22*$I$9*'Traffic Data'!AO24*annualizationFactor</f>
        <v>36889.396137179996</v>
      </c>
      <c r="N265" s="777">
        <f>$H$22*$I$9*'Traffic Data'!AP24*annualizationFactor</f>
        <v>38102.631869789991</v>
      </c>
      <c r="O265" s="777">
        <f>$H$22*$I$9*'Traffic Data'!AQ24*annualizationFactor</f>
        <v>39315.63405203999</v>
      </c>
      <c r="P265" s="777">
        <f>$H$22*$I$9*'Traffic Data'!AR24*annualizationFactor</f>
        <v>40529.161722599987</v>
      </c>
      <c r="Q265" s="777">
        <f>$H$22*$I$9*'Traffic Data'!AS24*annualizationFactor</f>
        <v>41504.234475599987</v>
      </c>
      <c r="R265" s="777">
        <f>$H$22*$I$9*'Traffic Data'!AT24*annualizationFactor</f>
        <v>42479.307228599981</v>
      </c>
      <c r="S265" s="777">
        <f>$H$22*$I$9*'Traffic Data'!AU24*annualizationFactor</f>
        <v>43454.379981599996</v>
      </c>
      <c r="T265" s="777">
        <f>$H$22*$I$9*'Traffic Data'!AV24*annualizationFactor</f>
        <v>44429.452734599996</v>
      </c>
      <c r="U265" s="777">
        <f>$H$22*$I$9*'Traffic Data'!AW24*annualizationFactor</f>
        <v>45404.875813139988</v>
      </c>
      <c r="V265" s="777">
        <f>$H$22*$I$9*'Traffic Data'!AX24*annualizationFactor</f>
        <v>46223.353049759986</v>
      </c>
      <c r="W265" s="777">
        <f>$H$22*$I$9*'Traffic Data'!AY24*annualizationFactor</f>
        <v>46932.762268259983</v>
      </c>
      <c r="X265" s="777">
        <f>$H$22*$I$9*'Traffic Data'!AZ24*annualizationFactor</f>
        <v>47642.171486759988</v>
      </c>
      <c r="Y265" s="777">
        <f>$H$22*$I$9*'Traffic Data'!BA24*annualizationFactor</f>
        <v>48351.580705259992</v>
      </c>
      <c r="Z265" s="777">
        <f>$H$22*$I$9*'Traffic Data'!BB24*annualizationFactor</f>
        <v>49061.048311349994</v>
      </c>
      <c r="AA265" s="777">
        <f>$H$22*$I$9*'Traffic Data'!BC24*annualizationFactor</f>
        <v>49770.457529849984</v>
      </c>
      <c r="AB265" s="777">
        <f>$H$22*$I$9*'Traffic Data'!BD24*annualizationFactor</f>
        <v>50479.92513594</v>
      </c>
      <c r="AC265" s="777">
        <f>$H$22*$I$9*'Traffic Data'!BE24*annualizationFactor</f>
        <v>51189.334354440005</v>
      </c>
      <c r="AD265" s="777">
        <f>$H$22*$I$9*'Traffic Data'!BF24*annualizationFactor</f>
        <v>51898.743572939995</v>
      </c>
      <c r="AE265" s="777">
        <f>$H$22*$I$9*'Traffic Data'!BG24*annualizationFactor</f>
        <v>52608.211179029982</v>
      </c>
      <c r="AF265" s="777">
        <f>$H$22*$I$9*'Traffic Data'!BH24*annualizationFactor</f>
        <v>53317.620397530001</v>
      </c>
      <c r="AG265" s="777">
        <f>$H$22*$I$9*'Traffic Data'!BI24*annualizationFactor</f>
        <v>54027.029616029999</v>
      </c>
      <c r="AH265" s="778">
        <f>$H$22*$I$9*'Traffic Data'!BJ24*annualizationFactor</f>
        <v>54736.497222119993</v>
      </c>
      <c r="AI265" s="40"/>
      <c r="AJ265" s="40"/>
      <c r="AK265" s="40"/>
      <c r="AL265" s="40"/>
      <c r="AM265" s="40"/>
    </row>
    <row r="266" spans="2:39" ht="21.95" customHeight="1" x14ac:dyDescent="0.2">
      <c r="B266" s="1346"/>
      <c r="C266" s="116" t="s">
        <v>347</v>
      </c>
      <c r="D266" s="116" t="s">
        <v>348</v>
      </c>
      <c r="E266" s="116" t="s">
        <v>467</v>
      </c>
      <c r="F266" s="116" t="s">
        <v>40</v>
      </c>
      <c r="G266" s="970"/>
      <c r="H266" s="970"/>
      <c r="I266" s="777">
        <f>$H$22*$I$9*'Traffic Data'!AK25*annualizationFactor</f>
        <v>22887.935279999998</v>
      </c>
      <c r="J266" s="777">
        <f>$H$22*$I$9*'Traffic Data'!AL25*annualizationFactor</f>
        <v>23384.521732949997</v>
      </c>
      <c r="K266" s="777">
        <f>$H$22*$I$9*'Traffic Data'!AM25*annualizationFactor</f>
        <v>24124.12901299799</v>
      </c>
      <c r="L266" s="777">
        <f>$H$22*$I$9*'Traffic Data'!AN25*annualizationFactor</f>
        <v>24973.230540572997</v>
      </c>
      <c r="M266" s="777">
        <f>$H$22*$I$9*'Traffic Data'!AO25*annualizationFactor</f>
        <v>25822.577296025996</v>
      </c>
      <c r="N266" s="777">
        <f>$H$22*$I$9*'Traffic Data'!AP25*annualizationFactor</f>
        <v>26671.842308852996</v>
      </c>
      <c r="O266" s="777">
        <f>$H$22*$I$9*'Traffic Data'!AQ25*annualizationFactor</f>
        <v>27520.943836427992</v>
      </c>
      <c r="P266" s="777">
        <f>$H$22*$I$9*'Traffic Data'!AR25*annualizationFactor</f>
        <v>28370.413205819987</v>
      </c>
      <c r="Q266" s="777">
        <f>$H$22*$I$9*'Traffic Data'!AS25*annualizationFactor</f>
        <v>29052.964132919988</v>
      </c>
      <c r="R266" s="777">
        <f>$H$22*$I$9*'Traffic Data'!AT25*annualizationFactor</f>
        <v>29735.515060019989</v>
      </c>
      <c r="S266" s="777">
        <f>$H$22*$I$9*'Traffic Data'!AU25*annualizationFactor</f>
        <v>30418.06598711999</v>
      </c>
      <c r="T266" s="777">
        <f>$H$22*$I$9*'Traffic Data'!AV25*annualizationFactor</f>
        <v>31100.616914220001</v>
      </c>
      <c r="U266" s="777">
        <f>$H$22*$I$9*'Traffic Data'!AW25*annualizationFactor</f>
        <v>31783.413069197992</v>
      </c>
      <c r="V266" s="777">
        <f>$H$22*$I$9*'Traffic Data'!AX25*annualizationFactor</f>
        <v>32356.347134831991</v>
      </c>
      <c r="W266" s="777">
        <f>$H$22*$I$9*'Traffic Data'!AY25*annualizationFactor</f>
        <v>32852.93358778199</v>
      </c>
      <c r="X266" s="777">
        <f>$H$22*$I$9*'Traffic Data'!AZ25*annualizationFactor</f>
        <v>33349.520040731994</v>
      </c>
      <c r="Y266" s="777">
        <f>$H$22*$I$9*'Traffic Data'!BA25*annualizationFactor</f>
        <v>33846.106493681997</v>
      </c>
      <c r="Z266" s="777">
        <f>$H$22*$I$9*'Traffic Data'!BB25*annualizationFactor</f>
        <v>34342.733817944987</v>
      </c>
      <c r="AA266" s="777">
        <f>$H$22*$I$9*'Traffic Data'!BC25*annualizationFactor</f>
        <v>34839.32027089499</v>
      </c>
      <c r="AB266" s="777">
        <f>$H$22*$I$9*'Traffic Data'!BD25*annualizationFactor</f>
        <v>35335.947595157995</v>
      </c>
      <c r="AC266" s="777">
        <f>$H$22*$I$9*'Traffic Data'!BE25*annualizationFactor</f>
        <v>35832.534048107998</v>
      </c>
      <c r="AD266" s="777">
        <f>$H$22*$I$9*'Traffic Data'!BF25*annualizationFactor</f>
        <v>36329.120501057994</v>
      </c>
      <c r="AE266" s="777">
        <f>$H$22*$I$9*'Traffic Data'!BG25*annualizationFactor</f>
        <v>36825.747825320992</v>
      </c>
      <c r="AF266" s="777">
        <f>$H$22*$I$9*'Traffic Data'!BH25*annualizationFactor</f>
        <v>37322.334278270995</v>
      </c>
      <c r="AG266" s="777">
        <f>$H$22*$I$9*'Traffic Data'!BI25*annualizationFactor</f>
        <v>37818.920731220998</v>
      </c>
      <c r="AH266" s="778">
        <f>$H$22*$I$9*'Traffic Data'!BJ25*annualizationFactor</f>
        <v>38315.548055483989</v>
      </c>
      <c r="AI266" s="40"/>
      <c r="AJ266" s="40"/>
      <c r="AK266" s="40"/>
      <c r="AL266" s="40"/>
      <c r="AM266" s="40"/>
    </row>
    <row r="267" spans="2:39" ht="21.95" customHeight="1" x14ac:dyDescent="0.2">
      <c r="B267" s="1346"/>
      <c r="C267" s="254" t="s">
        <v>348</v>
      </c>
      <c r="D267" s="254" t="s">
        <v>349</v>
      </c>
      <c r="E267" s="254" t="s">
        <v>467</v>
      </c>
      <c r="F267" s="116" t="s">
        <v>40</v>
      </c>
      <c r="G267" s="779"/>
      <c r="H267" s="779"/>
      <c r="I267" s="777">
        <f>$H$22*$I$9*'Traffic Data'!AK26*annualizationFactor</f>
        <v>37368.057599999993</v>
      </c>
      <c r="J267" s="777">
        <f>$H$22*$I$9*'Traffic Data'!AL26*annualizationFactor</f>
        <v>38260.628688329991</v>
      </c>
      <c r="K267" s="777">
        <f>$H$22*$I$9*'Traffic Data'!AM26*annualizationFactor</f>
        <v>39500.489161979989</v>
      </c>
      <c r="L267" s="777">
        <f>$H$22*$I$9*'Traffic Data'!AN26*annualizationFactor</f>
        <v>41147.135975159988</v>
      </c>
      <c r="M267" s="777">
        <f>$H$22*$I$9*'Traffic Data'!AO26*annualizationFactor</f>
        <v>42794.249889059996</v>
      </c>
      <c r="N267" s="777">
        <f>$H$22*$I$9*'Traffic Data'!AP26*annualizationFactor</f>
        <v>44441.480578139992</v>
      </c>
      <c r="O267" s="777">
        <f>$H$22*$I$9*'Traffic Data'!AQ26*annualizationFactor</f>
        <v>46088.127391319991</v>
      </c>
      <c r="P267" s="777">
        <f>$H$22*$I$9*'Traffic Data'!AR26*annualizationFactor</f>
        <v>47735.708405940008</v>
      </c>
      <c r="Q267" s="777">
        <f>$H$22*$I$9*'Traffic Data'!AS26*annualizationFactor</f>
        <v>49308.202979819987</v>
      </c>
      <c r="R267" s="777">
        <f>$H$22*$I$9*'Traffic Data'!AT26*annualizationFactor</f>
        <v>50880.755941289986</v>
      </c>
      <c r="S267" s="777">
        <f>$H$22*$I$9*'Traffic Data'!AU26*annualizationFactor</f>
        <v>52453.250515169981</v>
      </c>
      <c r="T267" s="777">
        <f>$H$22*$I$9*'Traffic Data'!AV26*annualizationFactor</f>
        <v>54025.745089049989</v>
      </c>
      <c r="U267" s="777">
        <f>$H$22*$I$9*'Traffic Data'!AW26*annualizationFactor</f>
        <v>55599.173864369994</v>
      </c>
      <c r="V267" s="777">
        <f>$H$22*$I$9*'Traffic Data'!AX26*annualizationFactor</f>
        <v>56764.414997999986</v>
      </c>
      <c r="W267" s="777">
        <f>$H$22*$I$9*'Traffic Data'!AY26*annualizationFactor</f>
        <v>57656.986086329991</v>
      </c>
      <c r="X267" s="777">
        <f>$H$22*$I$9*'Traffic Data'!AZ26*annualizationFactor</f>
        <v>58549.557174659989</v>
      </c>
      <c r="Y267" s="777">
        <f>$H$22*$I$9*'Traffic Data'!BA26*annualizationFactor</f>
        <v>59442.12826298998</v>
      </c>
      <c r="Z267" s="777">
        <f>$H$22*$I$9*'Traffic Data'!BB26*annualizationFactor</f>
        <v>60334.874514089985</v>
      </c>
      <c r="AA267" s="777">
        <f>$H$22*$I$9*'Traffic Data'!BC26*annualizationFactor</f>
        <v>61227.445602419975</v>
      </c>
      <c r="AB267" s="777">
        <f>$H$22*$I$9*'Traffic Data'!BD26*annualizationFactor</f>
        <v>62120.191853519995</v>
      </c>
      <c r="AC267" s="777">
        <f>$H$22*$I$9*'Traffic Data'!BE26*annualizationFactor</f>
        <v>63012.762941849986</v>
      </c>
      <c r="AD267" s="777">
        <f>$H$22*$I$9*'Traffic Data'!BF26*annualizationFactor</f>
        <v>63905.334030179984</v>
      </c>
      <c r="AE267" s="777">
        <f>$H$22*$I$9*'Traffic Data'!BG26*annualizationFactor</f>
        <v>64798.080281279981</v>
      </c>
      <c r="AF267" s="777">
        <f>$H$22*$I$9*'Traffic Data'!BH26*annualizationFactor</f>
        <v>65690.651369609986</v>
      </c>
      <c r="AG267" s="777">
        <f>$H$22*$I$9*'Traffic Data'!BI26*annualizationFactor</f>
        <v>66583.222457939992</v>
      </c>
      <c r="AH267" s="778">
        <f>$H$22*$I$9*'Traffic Data'!BJ26*annualizationFactor</f>
        <v>67475.968709039982</v>
      </c>
      <c r="AI267" s="40"/>
      <c r="AJ267" s="40"/>
      <c r="AK267" s="40"/>
      <c r="AL267" s="40"/>
      <c r="AM267" s="40"/>
    </row>
    <row r="268" spans="2:39" ht="21.95" customHeight="1" x14ac:dyDescent="0.2">
      <c r="B268" s="492" t="s">
        <v>288</v>
      </c>
      <c r="C268" s="116" t="s">
        <v>323</v>
      </c>
      <c r="D268" s="116" t="s">
        <v>348</v>
      </c>
      <c r="E268" s="116" t="s">
        <v>467</v>
      </c>
      <c r="F268" s="220" t="s">
        <v>40</v>
      </c>
      <c r="G268" s="970"/>
      <c r="H268" s="970"/>
      <c r="I268" s="775">
        <f>$H$22*$J$9*'Traffic Data'!AK27*annualizationFactor</f>
        <v>4671.0072</v>
      </c>
      <c r="J268" s="775">
        <f>$H$22*$J$9*'Traffic Data'!AL27*annualizationFactor</f>
        <v>4846.1180699199995</v>
      </c>
      <c r="K268" s="775">
        <f>$H$22*$J$9*'Traffic Data'!AM27*annualizationFactor</f>
        <v>5113.9743828000001</v>
      </c>
      <c r="L268" s="775">
        <f>$H$22*$J$9*'Traffic Data'!AN27*annualizationFactor</f>
        <v>5965.0059446000014</v>
      </c>
      <c r="M268" s="775">
        <f>$H$22*$J$9*'Traffic Data'!AO27*annualizationFactor</f>
        <v>6816.1672565999997</v>
      </c>
      <c r="N268" s="775">
        <f>$H$22*$J$9*'Traffic Data'!AP27*annualizationFactor</f>
        <v>7668.2368199999983</v>
      </c>
      <c r="O268" s="775">
        <f>$H$22*$J$9*'Traffic Data'!AQ27*annualizationFactor</f>
        <v>8519.2683818000005</v>
      </c>
      <c r="P268" s="775">
        <f>$H$22*$J$9*'Traffic Data'!AR27*annualizationFactor</f>
        <v>9371.1303448800008</v>
      </c>
      <c r="Q268" s="775">
        <f>$H$22*$J$9*'Traffic Data'!AS27*annualizationFactor</f>
        <v>10493.547424999999</v>
      </c>
      <c r="R268" s="775">
        <f>$H$22*$J$9*'Traffic Data'!AT27*annualizationFactor</f>
        <v>11615.67905468</v>
      </c>
      <c r="S268" s="775">
        <f>$H$22*$J$9*'Traffic Data'!AU27*annualizationFactor</f>
        <v>12738.225885</v>
      </c>
      <c r="T268" s="775">
        <f>$H$22*$J$9*'Traffic Data'!AV27*annualizationFactor</f>
        <v>13860.642965120003</v>
      </c>
      <c r="U268" s="775">
        <f>$H$22*$J$9*'Traffic Data'!AW27*annualizationFactor</f>
        <v>14984.3315972</v>
      </c>
      <c r="V268" s="775">
        <f>$H$22*$J$9*'Traffic Data'!AX27*annualizationFactor</f>
        <v>15523.002527519999</v>
      </c>
      <c r="W268" s="775">
        <f>$H$22*$J$9*'Traffic Data'!AY27*annualizationFactor</f>
        <v>15698.113397439998</v>
      </c>
      <c r="X268" s="775">
        <f>$H$22*$J$9*'Traffic Data'!AZ27*annualizationFactor</f>
        <v>15873.224267359998</v>
      </c>
      <c r="Y268" s="775">
        <f>$H$22*$J$9*'Traffic Data'!BA27*annualizationFactor</f>
        <v>16048.335137279999</v>
      </c>
      <c r="Z268" s="775">
        <f>$H$22*$J$9*'Traffic Data'!BB27*annualizationFactor</f>
        <v>16223.627657479999</v>
      </c>
      <c r="AA268" s="775">
        <f>$H$22*$J$9*'Traffic Data'!BC27*annualizationFactor</f>
        <v>16398.738527399997</v>
      </c>
      <c r="AB268" s="775">
        <f>$H$22*$J$9*'Traffic Data'!BD27*annualizationFactor</f>
        <v>16574.031047600001</v>
      </c>
      <c r="AC268" s="775">
        <f>$H$22*$J$9*'Traffic Data'!BE27*annualizationFactor</f>
        <v>16749.141917520003</v>
      </c>
      <c r="AD268" s="775">
        <f>$H$22*$J$9*'Traffic Data'!BF27*annualizationFactor</f>
        <v>16924.252787439997</v>
      </c>
      <c r="AE268" s="775">
        <f>$H$22*$J$9*'Traffic Data'!BG27*annualizationFactor</f>
        <v>17099.545307639997</v>
      </c>
      <c r="AF268" s="775">
        <f>$H$22*$J$9*'Traffic Data'!BH27*annualizationFactor</f>
        <v>17274.656177560002</v>
      </c>
      <c r="AG268" s="775">
        <f>$H$22*$J$9*'Traffic Data'!BI27*annualizationFactor</f>
        <v>17449.76704748</v>
      </c>
      <c r="AH268" s="776">
        <f>$H$22*$J$9*'Traffic Data'!BJ27*annualizationFactor</f>
        <v>17625.05956768</v>
      </c>
      <c r="AI268" s="40"/>
      <c r="AJ268" s="40"/>
      <c r="AK268" s="40"/>
      <c r="AL268" s="40"/>
      <c r="AM268" s="40"/>
    </row>
    <row r="269" spans="2:39" ht="21.95" customHeight="1" x14ac:dyDescent="0.2">
      <c r="B269" s="782" t="s">
        <v>340</v>
      </c>
      <c r="C269" s="277" t="s">
        <v>335</v>
      </c>
      <c r="D269" s="277" t="s">
        <v>323</v>
      </c>
      <c r="E269" s="277" t="s">
        <v>467</v>
      </c>
      <c r="F269" s="220" t="s">
        <v>40</v>
      </c>
      <c r="G269" s="780"/>
      <c r="H269" s="780"/>
      <c r="I269" s="775">
        <f>$H$22*$K$9*'Traffic Data'!AK28*annualizationFactor</f>
        <v>0</v>
      </c>
      <c r="J269" s="775">
        <f>$H$22*$K$9*'Traffic Data'!AL28*annualizationFactor</f>
        <v>0</v>
      </c>
      <c r="K269" s="775">
        <f>$H$22*$K$9*'Traffic Data'!AM28*annualizationFactor</f>
        <v>0</v>
      </c>
      <c r="L269" s="775">
        <f>$H$22*$K$9*'Traffic Data'!AN28*annualizationFactor</f>
        <v>0</v>
      </c>
      <c r="M269" s="775">
        <f>$H$22*$K$9*'Traffic Data'!AO28*annualizationFactor</f>
        <v>0</v>
      </c>
      <c r="N269" s="775">
        <f>$H$22*$K$9*'Traffic Data'!AP28*annualizationFactor</f>
        <v>0</v>
      </c>
      <c r="O269" s="775">
        <f>$H$22*$K$9*'Traffic Data'!AQ28*annualizationFactor</f>
        <v>0</v>
      </c>
      <c r="P269" s="775">
        <f>$H$22*$K$9*'Traffic Data'!AR28*annualizationFactor</f>
        <v>0</v>
      </c>
      <c r="Q269" s="775">
        <f>$H$22*$K$9*'Traffic Data'!AS28*annualizationFactor</f>
        <v>0</v>
      </c>
      <c r="R269" s="775">
        <f>$H$22*$K$9*'Traffic Data'!AT28*annualizationFactor</f>
        <v>0</v>
      </c>
      <c r="S269" s="775">
        <f>$H$22*$K$9*'Traffic Data'!AU28*annualizationFactor</f>
        <v>0</v>
      </c>
      <c r="T269" s="775">
        <f>$H$22*$K$9*'Traffic Data'!AV28*annualizationFactor</f>
        <v>0</v>
      </c>
      <c r="U269" s="775">
        <f>$H$22*$K$9*'Traffic Data'!AW28*annualizationFactor</f>
        <v>0</v>
      </c>
      <c r="V269" s="775">
        <f>$H$22*$K$9*'Traffic Data'!AX28*annualizationFactor</f>
        <v>0</v>
      </c>
      <c r="W269" s="775">
        <f>$H$22*$K$9*'Traffic Data'!AY28*annualizationFactor</f>
        <v>0</v>
      </c>
      <c r="X269" s="775">
        <f>$H$22*$K$9*'Traffic Data'!AZ28*annualizationFactor</f>
        <v>0</v>
      </c>
      <c r="Y269" s="775">
        <f>$H$22*$K$9*'Traffic Data'!BA28*annualizationFactor</f>
        <v>0</v>
      </c>
      <c r="Z269" s="775">
        <f>$H$22*$K$9*'Traffic Data'!BB28*annualizationFactor</f>
        <v>0</v>
      </c>
      <c r="AA269" s="775">
        <f>$H$22*$K$9*'Traffic Data'!BC28*annualizationFactor</f>
        <v>0</v>
      </c>
      <c r="AB269" s="775">
        <f>$H$22*$K$9*'Traffic Data'!BD28*annualizationFactor</f>
        <v>0</v>
      </c>
      <c r="AC269" s="775">
        <f>$H$22*$K$9*'Traffic Data'!BE28*annualizationFactor</f>
        <v>0</v>
      </c>
      <c r="AD269" s="775">
        <f>$H$22*$K$9*'Traffic Data'!BF28*annualizationFactor</f>
        <v>0</v>
      </c>
      <c r="AE269" s="775">
        <f>$H$22*$K$9*'Traffic Data'!BG28*annualizationFactor</f>
        <v>0</v>
      </c>
      <c r="AF269" s="775">
        <f>$H$22*$K$9*'Traffic Data'!BH28*annualizationFactor</f>
        <v>0</v>
      </c>
      <c r="AG269" s="775">
        <f>$H$22*$K$9*'Traffic Data'!BI28*annualizationFactor</f>
        <v>0</v>
      </c>
      <c r="AH269" s="776">
        <f>$H$22*$K$9*'Traffic Data'!BJ28*annualizationFactor</f>
        <v>0</v>
      </c>
      <c r="AI269" s="40"/>
      <c r="AJ269" s="40"/>
      <c r="AK269" s="40"/>
      <c r="AL269" s="40"/>
      <c r="AM269" s="40"/>
    </row>
    <row r="270" spans="2:39" ht="21.95" customHeight="1" x14ac:dyDescent="0.2">
      <c r="B270" s="782" t="s">
        <v>357</v>
      </c>
      <c r="C270" s="277" t="s">
        <v>338</v>
      </c>
      <c r="D270" s="277" t="s">
        <v>323</v>
      </c>
      <c r="E270" s="116" t="s">
        <v>467</v>
      </c>
      <c r="F270" s="220" t="s">
        <v>40</v>
      </c>
      <c r="G270" s="970"/>
      <c r="H270" s="970"/>
      <c r="I270" s="775">
        <f>$H$22*$L$9*'Traffic Data'!AK29*annualizationFactor</f>
        <v>8662.5951709090896</v>
      </c>
      <c r="J270" s="775">
        <f>$H$22*$L$9*'Traffic Data'!AL29*annualizationFactor</f>
        <v>8796.4803918283615</v>
      </c>
      <c r="K270" s="775">
        <f>$H$22*$L$9*'Traffic Data'!AM29*annualizationFactor</f>
        <v>9016.4621836407259</v>
      </c>
      <c r="L270" s="775">
        <f>$H$22*$L$9*'Traffic Data'!AN29*annualizationFactor</f>
        <v>9764.1163351832747</v>
      </c>
      <c r="M270" s="775">
        <f>$H$22*$L$9*'Traffic Data'!AO29*annualizationFactor</f>
        <v>10511.866737783272</v>
      </c>
      <c r="N270" s="775">
        <f>$H$22*$L$9*'Traffic Data'!AP29*annualizationFactor</f>
        <v>11260.48339990036</v>
      </c>
      <c r="O270" s="775">
        <f>$H$22*$L$9*'Traffic Data'!AQ29*annualizationFactor</f>
        <v>12008.137551442906</v>
      </c>
      <c r="P270" s="775">
        <f>$H$22*$L$9*'Traffic Data'!AR29*annualizationFactor</f>
        <v>12756.633899738179</v>
      </c>
      <c r="Q270" s="775">
        <f>$H$22*$L$9*'Traffic Data'!AS29*annualizationFactor</f>
        <v>13643.443017595633</v>
      </c>
      <c r="R270" s="775">
        <f>$H$22*$L$9*'Traffic Data'!AT29*annualizationFactor</f>
        <v>14530.059633338178</v>
      </c>
      <c r="S270" s="775">
        <f>$H$22*$L$9*'Traffic Data'!AU29*annualizationFactor</f>
        <v>15417.109378839268</v>
      </c>
      <c r="T270" s="775">
        <f>$H$22*$L$9*'Traffic Data'!AV29*annualizationFactor</f>
        <v>16303.918496696724</v>
      </c>
      <c r="U270" s="775">
        <f>$H$22*$L$9*'Traffic Data'!AW29*annualizationFactor</f>
        <v>17191.978878301088</v>
      </c>
      <c r="V270" s="775">
        <f>$H$22*$L$9*'Traffic Data'!AX29*annualizationFactor</f>
        <v>17550.610318376726</v>
      </c>
      <c r="W270" s="775">
        <f>$H$22*$L$9*'Traffic Data'!AY29*annualizationFactor</f>
        <v>17684.495539295996</v>
      </c>
      <c r="X270" s="775">
        <f>$H$22*$L$9*'Traffic Data'!AZ29*annualizationFactor</f>
        <v>17818.380760215274</v>
      </c>
      <c r="Y270" s="775">
        <f>$H$22*$L$9*'Traffic Data'!BA29*annualizationFactor</f>
        <v>17952.265981134544</v>
      </c>
      <c r="Z270" s="775">
        <f>$H$22*$L$9*'Traffic Data'!BB29*annualizationFactor</f>
        <v>18086.415892461813</v>
      </c>
      <c r="AA270" s="775">
        <f>$H$22*$L$9*'Traffic Data'!BC29*annualizationFactor</f>
        <v>18220.301113381091</v>
      </c>
      <c r="AB270" s="775">
        <f>$H$22*$L$9*'Traffic Data'!BD29*annualizationFactor</f>
        <v>18354.451024708364</v>
      </c>
      <c r="AC270" s="775">
        <f>$H$22*$L$9*'Traffic Data'!BE29*annualizationFactor</f>
        <v>18488.336245627634</v>
      </c>
      <c r="AD270" s="775">
        <f>$H$22*$L$9*'Traffic Data'!BF29*annualizationFactor</f>
        <v>18622.221466546911</v>
      </c>
      <c r="AE270" s="775">
        <f>$H$22*$L$9*'Traffic Data'!BG29*annualizationFactor</f>
        <v>18756.37137787418</v>
      </c>
      <c r="AF270" s="775">
        <f>$H$22*$L$9*'Traffic Data'!BH29*annualizationFactor</f>
        <v>18890.256598793458</v>
      </c>
      <c r="AG270" s="775">
        <f>$H$22*$L$9*'Traffic Data'!BI29*annualizationFactor</f>
        <v>19024.141819712728</v>
      </c>
      <c r="AH270" s="776">
        <f>$H$22*$L$9*'Traffic Data'!BJ29*annualizationFactor</f>
        <v>19158.291731040001</v>
      </c>
      <c r="AI270" s="40"/>
      <c r="AJ270" s="40"/>
      <c r="AK270" s="40"/>
      <c r="AL270" s="40"/>
      <c r="AM270" s="40"/>
    </row>
    <row r="271" spans="2:39" ht="21.95" customHeight="1" x14ac:dyDescent="0.2">
      <c r="B271" s="492" t="s">
        <v>338</v>
      </c>
      <c r="C271" s="116" t="s">
        <v>282</v>
      </c>
      <c r="D271" s="116" t="s">
        <v>357</v>
      </c>
      <c r="E271" s="220" t="s">
        <v>467</v>
      </c>
      <c r="F271" s="220" t="s">
        <v>40</v>
      </c>
      <c r="G271" s="775"/>
      <c r="H271" s="775"/>
      <c r="I271" s="775">
        <f>$H$22*$M$9*'Traffic Data'!AK30*annualizationFactor</f>
        <v>31110.559318181819</v>
      </c>
      <c r="J271" s="775">
        <f>$H$22*$M$9*'Traffic Data'!AL30*annualizationFactor</f>
        <v>32267.405466428412</v>
      </c>
      <c r="K271" s="775">
        <f>$H$22*$M$9*'Traffic Data'!AM30*annualizationFactor</f>
        <v>33498.854735920002</v>
      </c>
      <c r="L271" s="775">
        <f>$H$22*$M$9*'Traffic Data'!AN30*annualizationFactor</f>
        <v>36230.766281327502</v>
      </c>
      <c r="M271" s="775">
        <f>$H$22*$M$9*'Traffic Data'!AO30*annualizationFactor</f>
        <v>38963.362259040012</v>
      </c>
      <c r="N271" s="775">
        <f>$H$22*$M$9*'Traffic Data'!AP30*annualizationFactor</f>
        <v>41697.451543599782</v>
      </c>
      <c r="O271" s="775">
        <f>$H$22*$M$9*'Traffic Data'!AQ30*annualizationFactor</f>
        <v>44429.363089007296</v>
      </c>
      <c r="P271" s="775">
        <f>$H$22*$M$9*'Traffic Data'!AR30*annualizationFactor</f>
        <v>47163.670147482284</v>
      </c>
      <c r="Q271" s="775">
        <f>$H$22*$M$9*'Traffic Data'!AS30*annualizationFactor</f>
        <v>50839.693836518622</v>
      </c>
      <c r="R271" s="775">
        <f>$H$22*$M$9*'Traffic Data'!AT30*annualizationFactor</f>
        <v>54515.873078351586</v>
      </c>
      <c r="S271" s="775">
        <f>$H$22*$M$9*'Traffic Data'!AU30*annualizationFactor</f>
        <v>58191.896767387945</v>
      </c>
      <c r="T271" s="775">
        <f>$H$22*$M$9*'Traffic Data'!AV30*annualizationFactor</f>
        <v>61867.920456424312</v>
      </c>
      <c r="U271" s="775">
        <f>$H$22*$M$9*'Traffic Data'!AW30*annualizationFactor</f>
        <v>65547.366306985699</v>
      </c>
      <c r="V271" s="775">
        <f>$H$22*$M$9*'Traffic Data'!AX30*annualizationFactor</f>
        <v>67721.216639343635</v>
      </c>
      <c r="W271" s="775">
        <f>$H$22*$M$9*'Traffic Data'!AY30*annualizationFactor</f>
        <v>68878.062787590228</v>
      </c>
      <c r="X271" s="775">
        <f>$H$22*$M$9*'Traffic Data'!AZ30*annualizationFactor</f>
        <v>70034.908935836807</v>
      </c>
      <c r="Y271" s="775">
        <f>$H$22*$M$9*'Traffic Data'!BA30*annualizationFactor</f>
        <v>71191.755084083416</v>
      </c>
      <c r="Z271" s="775">
        <f>$H$22*$M$9*'Traffic Data'!BB30*annualizationFactor</f>
        <v>72349.223443516355</v>
      </c>
      <c r="AA271" s="775">
        <f>$H$22*$M$9*'Traffic Data'!BC30*annualizationFactor</f>
        <v>73506.069591762949</v>
      </c>
      <c r="AB271" s="775">
        <f>$H$22*$M$9*'Traffic Data'!BD30*annualizationFactor</f>
        <v>74663.537951195904</v>
      </c>
      <c r="AC271" s="775">
        <f>$H$22*$M$9*'Traffic Data'!BE30*annualizationFactor</f>
        <v>75820.384099442512</v>
      </c>
      <c r="AD271" s="775">
        <f>$H$22*$M$9*'Traffic Data'!BF30*annualizationFactor</f>
        <v>76977.230247689091</v>
      </c>
      <c r="AE271" s="775">
        <f>$H$22*$M$9*'Traffic Data'!BG30*annualizationFactor</f>
        <v>78134.698607122045</v>
      </c>
      <c r="AF271" s="775">
        <f>$H$22*$M$9*'Traffic Data'!BH30*annualizationFactor</f>
        <v>79291.544755368624</v>
      </c>
      <c r="AG271" s="775">
        <f>$H$22*$M$9*'Traffic Data'!BI30*annualizationFactor</f>
        <v>80448.390903615218</v>
      </c>
      <c r="AH271" s="776">
        <f>$H$22*$M$9*'Traffic Data'!BJ30*annualizationFactor</f>
        <v>81605.859263048187</v>
      </c>
      <c r="AI271" s="40"/>
      <c r="AJ271" s="40"/>
      <c r="AK271" s="40"/>
      <c r="AL271" s="40"/>
      <c r="AM271" s="40"/>
    </row>
    <row r="272" spans="2:39" ht="21.95" customHeight="1" x14ac:dyDescent="0.2">
      <c r="B272" s="492"/>
      <c r="C272" s="116" t="s">
        <v>357</v>
      </c>
      <c r="D272" s="116" t="s">
        <v>346</v>
      </c>
      <c r="E272" s="116" t="s">
        <v>467</v>
      </c>
      <c r="F272" s="116" t="s">
        <v>40</v>
      </c>
      <c r="G272" s="970"/>
      <c r="H272" s="970"/>
      <c r="I272" s="777">
        <f>$H$22*$M$9*'Traffic Data'!AK31*annualizationFactor</f>
        <v>4530.8376657575755</v>
      </c>
      <c r="J272" s="777">
        <f>$H$22*$M$9*'Traffic Data'!AL31*annualizationFactor</f>
        <v>4692.069908744962</v>
      </c>
      <c r="K272" s="777">
        <f>$H$22*$M$9*'Traffic Data'!AM31*annualizationFactor</f>
        <v>4867.5385206084393</v>
      </c>
      <c r="L272" s="777">
        <f>$H$22*$M$9*'Traffic Data'!AN31*annualizationFactor</f>
        <v>5203.0172416152509</v>
      </c>
      <c r="M272" s="777">
        <f>$H$22*$M$9*'Traffic Data'!AO31*annualizationFactor</f>
        <v>5538.627118449228</v>
      </c>
      <c r="N272" s="777">
        <f>$H$22*$M$9*'Traffic Data'!AP31*annualizationFactor</f>
        <v>5874.2846883112643</v>
      </c>
      <c r="O272" s="777">
        <f>$H$22*$M$9*'Traffic Data'!AQ31*annualizationFactor</f>
        <v>6209.763409318075</v>
      </c>
      <c r="P272" s="777">
        <f>$H$22*$M$9*'Traffic Data'!AR31*annualizationFactor</f>
        <v>6545.5223268647414</v>
      </c>
      <c r="Q272" s="777">
        <f>$H$22*$M$9*'Traffic Data'!AS31*annualizationFactor</f>
        <v>7006.1773616451192</v>
      </c>
      <c r="R272" s="777">
        <f>$H$22*$M$9*'Traffic Data'!AT31*annualizationFactor</f>
        <v>7466.921820853112</v>
      </c>
      <c r="S272" s="777">
        <f>$H$22*$M$9*'Traffic Data'!AU31*annualizationFactor</f>
        <v>7927.5172393484163</v>
      </c>
      <c r="T272" s="777">
        <f>$H$22*$M$9*'Traffic Data'!AV31*annualizationFactor</f>
        <v>8388.172274128794</v>
      </c>
      <c r="U272" s="777">
        <f>$H$22*$M$9*'Traffic Data'!AW31*annualizationFactor</f>
        <v>8849.1850066196275</v>
      </c>
      <c r="V272" s="777">
        <f>$H$22*$M$9*'Traffic Data'!AX31*annualizationFactor</f>
        <v>9149.621275258909</v>
      </c>
      <c r="W272" s="777">
        <f>$H$22*$M$9*'Traffic Data'!AY31*annualizationFactor</f>
        <v>9310.8535182462947</v>
      </c>
      <c r="X272" s="777">
        <f>$H$22*$M$9*'Traffic Data'!AZ31*annualizationFactor</f>
        <v>9472.0857612336804</v>
      </c>
      <c r="Y272" s="777">
        <f>$H$22*$M$9*'Traffic Data'!BA31*annualizationFactor</f>
        <v>9633.3180042210661</v>
      </c>
      <c r="Z272" s="777">
        <f>$H$22*$M$9*'Traffic Data'!BB31*annualizationFactor</f>
        <v>9794.6098634935297</v>
      </c>
      <c r="AA272" s="777">
        <f>$H$22*$M$9*'Traffic Data'!BC31*annualizationFactor</f>
        <v>9955.8421064809136</v>
      </c>
      <c r="AB272" s="777">
        <f>$H$22*$M$9*'Traffic Data'!BD31*annualizationFactor</f>
        <v>10117.133965753381</v>
      </c>
      <c r="AC272" s="777">
        <f>$H$22*$M$9*'Traffic Data'!BE31*annualizationFactor</f>
        <v>10278.366208740763</v>
      </c>
      <c r="AD272" s="777">
        <f>$H$22*$M$9*'Traffic Data'!BF31*annualizationFactor</f>
        <v>10439.598451728152</v>
      </c>
      <c r="AE272" s="777">
        <f>$H$22*$M$9*'Traffic Data'!BG31*annualizationFactor</f>
        <v>10600.890311000614</v>
      </c>
      <c r="AF272" s="777">
        <f>$H$22*$M$9*'Traffic Data'!BH31*annualizationFactor</f>
        <v>10762.122553988</v>
      </c>
      <c r="AG272" s="777">
        <f>$H$22*$M$9*'Traffic Data'!BI31*annualizationFactor</f>
        <v>10923.354796975385</v>
      </c>
      <c r="AH272" s="778">
        <f>$H$22*$M$9*'Traffic Data'!BJ31*annualizationFactor</f>
        <v>11084.646656247845</v>
      </c>
      <c r="AI272" s="40"/>
      <c r="AJ272" s="40"/>
      <c r="AK272" s="40"/>
      <c r="AL272" s="40"/>
      <c r="AM272" s="40"/>
    </row>
    <row r="273" spans="2:39" ht="21.95" customHeight="1" x14ac:dyDescent="0.2">
      <c r="B273" s="492"/>
      <c r="C273" s="116" t="s">
        <v>346</v>
      </c>
      <c r="D273" s="116" t="s">
        <v>343</v>
      </c>
      <c r="E273" s="116" t="s">
        <v>467</v>
      </c>
      <c r="F273" s="116" t="s">
        <v>40</v>
      </c>
      <c r="G273" s="970"/>
      <c r="H273" s="970"/>
      <c r="I273" s="777">
        <f>$H$22*$M$9*'Traffic Data'!AK32*annualizationFactor</f>
        <v>1120.5699090909091</v>
      </c>
      <c r="J273" s="777">
        <f>$H$22*$M$9*'Traffic Data'!AL32*annualizationFactor</f>
        <v>1160.4459790795454</v>
      </c>
      <c r="K273" s="777">
        <f>$H$22*$M$9*'Traffic Data'!AM32*annualizationFactor</f>
        <v>1203.8429976772727</v>
      </c>
      <c r="L273" s="777">
        <f>$H$22*$M$9*'Traffic Data'!AN32*annualizationFactor</f>
        <v>1286.8138272750002</v>
      </c>
      <c r="M273" s="777">
        <f>$H$22*$M$9*'Traffic Data'!AO32*annualizationFactor</f>
        <v>1369.8170944227275</v>
      </c>
      <c r="N273" s="777">
        <f>$H$22*$M$9*'Traffic Data'!AP32*annualizationFactor</f>
        <v>1452.8321570431817</v>
      </c>
      <c r="O273" s="777">
        <f>$H$22*$M$9*'Traffic Data'!AQ32*annualizationFactor</f>
        <v>1535.802986640909</v>
      </c>
      <c r="P273" s="777">
        <f>$H$22*$M$9*'Traffic Data'!AR32*annualizationFactor</f>
        <v>1618.8431146409089</v>
      </c>
      <c r="Q273" s="777">
        <f>$H$22*$M$9*'Traffic Data'!AS32*annualizationFactor</f>
        <v>1732.7726368454541</v>
      </c>
      <c r="R273" s="777">
        <f>$H$22*$M$9*'Traffic Data'!AT32*annualizationFactor</f>
        <v>1846.7242755613629</v>
      </c>
      <c r="S273" s="777">
        <f>$H$22*$M$9*'Traffic Data'!AU32*annualizationFactor</f>
        <v>1960.6390534249999</v>
      </c>
      <c r="T273" s="777">
        <f>$H$22*$M$9*'Traffic Data'!AV32*annualizationFactor</f>
        <v>2074.5685756295452</v>
      </c>
      <c r="U273" s="777">
        <f>$H$22*$M$9*'Traffic Data'!AW32*annualizationFactor</f>
        <v>2188.5865638795449</v>
      </c>
      <c r="V273" s="777">
        <f>$H$22*$M$9*'Traffic Data'!AX32*annualizationFactor</f>
        <v>2262.8906698909086</v>
      </c>
      <c r="W273" s="777">
        <f>$H$22*$M$9*'Traffic Data'!AY32*annualizationFactor</f>
        <v>2302.7667398795447</v>
      </c>
      <c r="X273" s="777">
        <f>$H$22*$M$9*'Traffic Data'!AZ32*annualizationFactor</f>
        <v>2342.6428098681813</v>
      </c>
      <c r="Y273" s="777">
        <f>$H$22*$M$9*'Traffic Data'!BA32*annualizationFactor</f>
        <v>2382.5188798568179</v>
      </c>
      <c r="Z273" s="777">
        <f>$H$22*$M$9*'Traffic Data'!BB32*annualizationFactor</f>
        <v>2422.4096941863631</v>
      </c>
      <c r="AA273" s="777">
        <f>$H$22*$M$9*'Traffic Data'!BC32*annualizationFactor</f>
        <v>2462.2857641749993</v>
      </c>
      <c r="AB273" s="777">
        <f>$H$22*$M$9*'Traffic Data'!BD32*annualizationFactor</f>
        <v>2502.1765785045454</v>
      </c>
      <c r="AC273" s="777">
        <f>$H$22*$M$9*'Traffic Data'!BE32*annualizationFactor</f>
        <v>2542.0526484931816</v>
      </c>
      <c r="AD273" s="777">
        <f>$H$22*$M$9*'Traffic Data'!BF32*annualizationFactor</f>
        <v>2581.9287184818181</v>
      </c>
      <c r="AE273" s="777">
        <f>$H$22*$M$9*'Traffic Data'!BG32*annualizationFactor</f>
        <v>2621.8195328113634</v>
      </c>
      <c r="AF273" s="777">
        <f>$H$22*$M$9*'Traffic Data'!BH32*annualizationFactor</f>
        <v>2661.6956028000004</v>
      </c>
      <c r="AG273" s="777">
        <f>$H$22*$M$9*'Traffic Data'!BI32*annualizationFactor</f>
        <v>2701.5716727886365</v>
      </c>
      <c r="AH273" s="778">
        <f>$H$22*$M$9*'Traffic Data'!BJ32*annualizationFactor</f>
        <v>2741.4624871181809</v>
      </c>
      <c r="AI273" s="40"/>
      <c r="AJ273" s="40"/>
      <c r="AK273" s="40"/>
      <c r="AL273" s="40"/>
      <c r="AM273" s="40"/>
    </row>
    <row r="274" spans="2:39" ht="21.95" customHeight="1" x14ac:dyDescent="0.2">
      <c r="B274" s="492"/>
      <c r="C274" s="116" t="s">
        <v>343</v>
      </c>
      <c r="D274" s="116" t="s">
        <v>350</v>
      </c>
      <c r="E274" s="116" t="s">
        <v>467</v>
      </c>
      <c r="F274" s="116" t="s">
        <v>40</v>
      </c>
      <c r="G274" s="970"/>
      <c r="H274" s="970"/>
      <c r="I274" s="777">
        <f>$H$22*$M$9*'Traffic Data'!AK33*annualizationFactor</f>
        <v>2875.1464772727272</v>
      </c>
      <c r="J274" s="777">
        <f>$H$22*$M$9*'Traffic Data'!AL33*annualizationFactor</f>
        <v>2974.1617300392045</v>
      </c>
      <c r="K274" s="777">
        <f>$H$22*$M$9*'Traffic Data'!AM33*annualizationFactor</f>
        <v>3084.6296496068176</v>
      </c>
      <c r="L274" s="777">
        <f>$H$22*$M$9*'Traffic Data'!AN33*annualizationFactor</f>
        <v>3277.6046892505683</v>
      </c>
      <c r="M274" s="777">
        <f>$H$22*$M$9*'Traffic Data'!AO33*annualizationFactor</f>
        <v>3470.6947347534092</v>
      </c>
      <c r="N274" s="777">
        <f>$H$22*$M$9*'Traffic Data'!AP33*annualizationFactor</f>
        <v>3663.7176935051148</v>
      </c>
      <c r="O274" s="777">
        <f>$H$22*$M$9*'Traffic Data'!AQ33*annualizationFactor</f>
        <v>3856.6927331488641</v>
      </c>
      <c r="P274" s="777">
        <f>$H$22*$M$9*'Traffic Data'!AR33*annualizationFactor</f>
        <v>4049.8642411352271</v>
      </c>
      <c r="Q274" s="777">
        <f>$H$22*$M$9*'Traffic Data'!AS33*annualizationFactor</f>
        <v>4298.6506658136368</v>
      </c>
      <c r="R274" s="777">
        <f>$H$22*$M$9*'Traffic Data'!AT33*annualizationFactor</f>
        <v>4547.576055905115</v>
      </c>
      <c r="S274" s="777">
        <f>$H$22*$M$9*'Traffic Data'!AU33*annualizationFactor</f>
        <v>4796.3145614755658</v>
      </c>
      <c r="T274" s="777">
        <f>$H$22*$M$9*'Traffic Data'!AV33*annualizationFactor</f>
        <v>5045.1009861539769</v>
      </c>
      <c r="U274" s="777">
        <f>$H$22*$M$9*'Traffic Data'!AW33*annualizationFactor</f>
        <v>5294.098254907386</v>
      </c>
      <c r="V274" s="777">
        <f>$H$22*$M$9*'Traffic Data'!AX33*annualizationFactor</f>
        <v>5460.2481779181826</v>
      </c>
      <c r="W274" s="777">
        <f>$H$22*$M$9*'Traffic Data'!AY33*annualizationFactor</f>
        <v>5559.2634306846603</v>
      </c>
      <c r="X274" s="777">
        <f>$H$22*$M$9*'Traffic Data'!AZ33*annualizationFactor</f>
        <v>5658.2786834511371</v>
      </c>
      <c r="Y274" s="777">
        <f>$H$22*$M$9*'Traffic Data'!BA33*annualizationFactor</f>
        <v>5757.2939362176166</v>
      </c>
      <c r="Z274" s="777">
        <f>$H$22*$M$9*'Traffic Data'!BB33*annualizationFactor</f>
        <v>5856.3666919136376</v>
      </c>
      <c r="AA274" s="777">
        <f>$H$22*$M$9*'Traffic Data'!BC33*annualizationFactor</f>
        <v>5955.3819446801144</v>
      </c>
      <c r="AB274" s="777">
        <f>$H$22*$M$9*'Traffic Data'!BD33*annualizationFactor</f>
        <v>6054.4547003761345</v>
      </c>
      <c r="AC274" s="777">
        <f>$H$22*$M$9*'Traffic Data'!BE33*annualizationFactor</f>
        <v>6153.469953142614</v>
      </c>
      <c r="AD274" s="777">
        <f>$H$22*$M$9*'Traffic Data'!BF33*annualizationFactor</f>
        <v>6252.4852059090899</v>
      </c>
      <c r="AE274" s="777">
        <f>$H$22*$M$9*'Traffic Data'!BG33*annualizationFactor</f>
        <v>6351.5579616051145</v>
      </c>
      <c r="AF274" s="777">
        <f>$H$22*$M$9*'Traffic Data'!BH33*annualizationFactor</f>
        <v>6450.5732143715904</v>
      </c>
      <c r="AG274" s="777">
        <f>$H$22*$M$9*'Traffic Data'!BI33*annualizationFactor</f>
        <v>6549.5884671380682</v>
      </c>
      <c r="AH274" s="778">
        <f>$H$22*$M$9*'Traffic Data'!BJ33*annualizationFactor</f>
        <v>6648.6612228340909</v>
      </c>
      <c r="AI274" s="40"/>
      <c r="AJ274" s="40"/>
      <c r="AK274" s="40"/>
      <c r="AL274" s="40"/>
      <c r="AM274" s="40"/>
    </row>
    <row r="275" spans="2:39" ht="21.95" customHeight="1" x14ac:dyDescent="0.2">
      <c r="B275" s="492"/>
      <c r="C275" s="116" t="s">
        <v>350</v>
      </c>
      <c r="D275" s="116" t="s">
        <v>280</v>
      </c>
      <c r="E275" s="116" t="s">
        <v>467</v>
      </c>
      <c r="F275" s="116" t="s">
        <v>40</v>
      </c>
      <c r="G275" s="970"/>
      <c r="H275" s="970"/>
      <c r="I275" s="777">
        <f>$H$22*$M$9*'Traffic Data'!AK34*annualizationFactor</f>
        <v>23871.087931818183</v>
      </c>
      <c r="J275" s="777">
        <f>$H$22*$M$9*'Traffic Data'!AL34*annualizationFactor</f>
        <v>24693.168415043448</v>
      </c>
      <c r="K275" s="777">
        <f>$H$22*$M$9*'Traffic Data'!AM34*annualizationFactor</f>
        <v>25610.335398530453</v>
      </c>
      <c r="L275" s="777">
        <f>$H$22*$M$9*'Traffic Data'!AN34*annualizationFactor</f>
        <v>27212.52303536754</v>
      </c>
      <c r="M275" s="777">
        <f>$H$22*$M$9*'Traffic Data'!AO34*annualizationFactor</f>
        <v>28815.665515721892</v>
      </c>
      <c r="N275" s="777">
        <f>$H$22*$M$9*'Traffic Data'!AP34*annualizationFactor</f>
        <v>30418.251004024518</v>
      </c>
      <c r="O275" s="777">
        <f>$H$22*$M$9*'Traffic Data'!AQ34*annualizationFactor</f>
        <v>32020.43864086159</v>
      </c>
      <c r="P275" s="777">
        <f>$H$22*$M$9*'Traffic Data'!AR34*annualizationFactor</f>
        <v>33624.25746870735</v>
      </c>
      <c r="Q275" s="777">
        <f>$H$22*$M$9*'Traffic Data'!AS34*annualizationFactor</f>
        <v>35689.82270744758</v>
      </c>
      <c r="R275" s="777">
        <f>$H$22*$M$9*'Traffic Data'!AT34*annualizationFactor</f>
        <v>37756.541715437852</v>
      </c>
      <c r="S275" s="777">
        <f>$H$22*$M$9*'Traffic Data'!AU34*annualizationFactor</f>
        <v>39821.709102712521</v>
      </c>
      <c r="T275" s="777">
        <f>$H$22*$M$9*'Traffic Data'!AV34*annualizationFactor</f>
        <v>41887.274341452765</v>
      </c>
      <c r="U275" s="777">
        <f>$H$22*$M$9*'Traffic Data'!AW34*annualizationFactor</f>
        <v>43954.590126641328</v>
      </c>
      <c r="V275" s="777">
        <f>$H$22*$M$9*'Traffic Data'!AX34*annualizationFactor</f>
        <v>45334.060513074546</v>
      </c>
      <c r="W275" s="777">
        <f>$H$22*$M$9*'Traffic Data'!AY34*annualizationFactor</f>
        <v>46156.140996299815</v>
      </c>
      <c r="X275" s="777">
        <f>$H$22*$M$9*'Traffic Data'!AZ34*annualizationFactor</f>
        <v>46978.221479525091</v>
      </c>
      <c r="Y275" s="777">
        <f>$H$22*$M$9*'Traffic Data'!BA34*annualizationFactor</f>
        <v>47800.301962750367</v>
      </c>
      <c r="Z275" s="777">
        <f>$H$22*$M$9*'Traffic Data'!BB34*annualizationFactor</f>
        <v>48622.85986773426</v>
      </c>
      <c r="AA275" s="777">
        <f>$H$22*$M$9*'Traffic Data'!BC34*annualizationFactor</f>
        <v>49444.940350959521</v>
      </c>
      <c r="AB275" s="777">
        <f>$H$22*$M$9*'Traffic Data'!BD34*annualizationFactor</f>
        <v>50267.498255943392</v>
      </c>
      <c r="AC275" s="777">
        <f>$H$22*$M$9*'Traffic Data'!BE34*annualizationFactor</f>
        <v>51089.578739168683</v>
      </c>
      <c r="AD275" s="777">
        <f>$H$22*$M$9*'Traffic Data'!BF34*annualizationFactor</f>
        <v>51911.659222393937</v>
      </c>
      <c r="AE275" s="777">
        <f>$H$22*$M$9*'Traffic Data'!BG34*annualizationFactor</f>
        <v>52734.217127377837</v>
      </c>
      <c r="AF275" s="777">
        <f>$H$22*$M$9*'Traffic Data'!BH34*annualizationFactor</f>
        <v>53556.297610603113</v>
      </c>
      <c r="AG275" s="777">
        <f>$H$22*$M$9*'Traffic Data'!BI34*annualizationFactor</f>
        <v>54378.378093828367</v>
      </c>
      <c r="AH275" s="778">
        <f>$H$22*$M$9*'Traffic Data'!BJ34*annualizationFactor</f>
        <v>55200.935998812274</v>
      </c>
      <c r="AI275" s="40"/>
      <c r="AJ275" s="40"/>
      <c r="AK275" s="40"/>
      <c r="AL275" s="40"/>
      <c r="AM275" s="40"/>
    </row>
    <row r="276" spans="2:39" ht="21.95" customHeight="1" x14ac:dyDescent="0.2">
      <c r="B276" s="493"/>
      <c r="C276" s="254" t="s">
        <v>280</v>
      </c>
      <c r="D276" s="254" t="s">
        <v>333</v>
      </c>
      <c r="E276" s="254" t="s">
        <v>467</v>
      </c>
      <c r="F276" s="254" t="s">
        <v>40</v>
      </c>
      <c r="G276" s="779"/>
      <c r="H276" s="779"/>
      <c r="I276" s="779">
        <f>$H$22*$M$9*'Traffic Data'!AK35*annualizationFactor</f>
        <v>589.77363636363634</v>
      </c>
      <c r="J276" s="779">
        <f>$H$22*$M$9*'Traffic Data'!AL35*annualizationFactor</f>
        <v>610.0844574439393</v>
      </c>
      <c r="K276" s="779">
        <f>$H$22*$M$9*'Traffic Data'!AM35*annualizationFactor</f>
        <v>632.7445435090907</v>
      </c>
      <c r="L276" s="779">
        <f>$H$22*$M$9*'Traffic Data'!AN35*annualizationFactor</f>
        <v>672.32916702575767</v>
      </c>
      <c r="M276" s="779">
        <f>$H$22*$M$9*'Traffic Data'!AO35*annualizationFactor</f>
        <v>711.93738148787884</v>
      </c>
      <c r="N276" s="779">
        <f>$H$22*$M$9*'Traffic Data'!AP35*annualizationFactor</f>
        <v>751.5318345651516</v>
      </c>
      <c r="O276" s="779">
        <f>$H$22*$M$9*'Traffic Data'!AQ35*annualizationFactor</f>
        <v>791.11645808181834</v>
      </c>
      <c r="P276" s="779">
        <f>$H$22*$M$9*'Traffic Data'!AR35*annualizationFactor</f>
        <v>830.74138279696979</v>
      </c>
      <c r="Q276" s="779">
        <f>$H$22*$M$9*'Traffic Data'!AS35*annualizationFactor</f>
        <v>881.77449555151532</v>
      </c>
      <c r="R276" s="779">
        <f>$H$22*$M$9*'Traffic Data'!AT35*annualizationFactor</f>
        <v>932.83611403181862</v>
      </c>
      <c r="S276" s="779">
        <f>$H$22*$M$9*'Traffic Data'!AU35*annualizationFactor</f>
        <v>983.85939722575722</v>
      </c>
      <c r="T276" s="779">
        <f>$H$22*$M$9*'Traffic Data'!AV35*annualizationFactor</f>
        <v>1034.892509980303</v>
      </c>
      <c r="U276" s="779">
        <f>$H$22*$M$9*'Traffic Data'!AW35*annualizationFactor</f>
        <v>1085.9688728015151</v>
      </c>
      <c r="V276" s="779">
        <f>$H$22*$M$9*'Traffic Data'!AX35*annualizationFactor</f>
        <v>1120.0509082909093</v>
      </c>
      <c r="W276" s="779">
        <f>$H$22*$M$9*'Traffic Data'!AY35*annualizationFactor</f>
        <v>1140.3617293712125</v>
      </c>
      <c r="X276" s="779">
        <f>$H$22*$M$9*'Traffic Data'!AZ35*annualizationFactor</f>
        <v>1160.6725504515155</v>
      </c>
      <c r="Y276" s="779">
        <f>$H$22*$M$9*'Traffic Data'!BA35*annualizationFactor</f>
        <v>1180.9833715318186</v>
      </c>
      <c r="Z276" s="779">
        <f>$H$22*$M$9*'Traffic Data'!BB35*annualizationFactor</f>
        <v>1201.3059880848489</v>
      </c>
      <c r="AA276" s="779">
        <f>$H$22*$M$9*'Traffic Data'!BC35*annualizationFactor</f>
        <v>1221.6168091651516</v>
      </c>
      <c r="AB276" s="779">
        <f>$H$22*$M$9*'Traffic Data'!BD35*annualizationFactor</f>
        <v>1241.9394257181818</v>
      </c>
      <c r="AC276" s="779">
        <f>$H$22*$M$9*'Traffic Data'!BE35*annualizationFactor</f>
        <v>1262.250246798485</v>
      </c>
      <c r="AD276" s="779">
        <f>$H$22*$M$9*'Traffic Data'!BF35*annualizationFactor</f>
        <v>1282.561067878788</v>
      </c>
      <c r="AE276" s="779">
        <f>$H$22*$M$9*'Traffic Data'!BG35*annualizationFactor</f>
        <v>1302.8836844318182</v>
      </c>
      <c r="AF276" s="779">
        <f>$H$22*$M$9*'Traffic Data'!BH35*annualizationFactor</f>
        <v>1323.1945055121214</v>
      </c>
      <c r="AG276" s="779">
        <f>$H$22*$M$9*'Traffic Data'!BI35*annualizationFactor</f>
        <v>1343.5053265924244</v>
      </c>
      <c r="AH276" s="783">
        <f>$H$22*$M$9*'Traffic Data'!BJ35*annualizationFactor</f>
        <v>1363.8279431454546</v>
      </c>
      <c r="AI276" s="40"/>
      <c r="AJ276" s="40"/>
      <c r="AK276" s="40"/>
      <c r="AL276" s="40"/>
      <c r="AM276" s="40"/>
    </row>
    <row r="277" spans="2:39" ht="21.95" customHeight="1" thickBot="1" x14ac:dyDescent="0.25">
      <c r="B277" s="788" t="s">
        <v>497</v>
      </c>
      <c r="C277" s="789"/>
      <c r="D277" s="789"/>
      <c r="E277" s="789"/>
      <c r="F277" s="789"/>
      <c r="G277" s="790">
        <f>SUM(G248:G276)</f>
        <v>0</v>
      </c>
      <c r="H277" s="790">
        <f>SUM(H248:H276)</f>
        <v>0</v>
      </c>
      <c r="I277" s="790">
        <f t="shared" ref="I277:AH277" si="7">SUM(I248:I276)</f>
        <v>685283.58328377118</v>
      </c>
      <c r="J277" s="790">
        <f t="shared" si="7"/>
        <v>710274.88700837002</v>
      </c>
      <c r="K277" s="790">
        <f t="shared" si="7"/>
        <v>750440.59955391148</v>
      </c>
      <c r="L277" s="790">
        <f t="shared" si="7"/>
        <v>816532.6888133469</v>
      </c>
      <c r="M277" s="790">
        <f t="shared" si="7"/>
        <v>882656.09573160508</v>
      </c>
      <c r="N277" s="790">
        <f t="shared" si="7"/>
        <v>948783.7025424412</v>
      </c>
      <c r="O277" s="790">
        <f t="shared" si="7"/>
        <v>1014875.7918018767</v>
      </c>
      <c r="P277" s="790">
        <f t="shared" si="7"/>
        <v>1081029.0908105604</v>
      </c>
      <c r="Q277" s="790">
        <f t="shared" si="7"/>
        <v>1149123.1488084907</v>
      </c>
      <c r="R277" s="790">
        <f t="shared" si="7"/>
        <v>1217228.7598571188</v>
      </c>
      <c r="S277" s="790">
        <f t="shared" si="7"/>
        <v>1285320.6621950564</v>
      </c>
      <c r="T277" s="790">
        <f t="shared" si="7"/>
        <v>1353415.3974890311</v>
      </c>
      <c r="U277" s="790">
        <f t="shared" si="7"/>
        <v>1421569.2155244467</v>
      </c>
      <c r="V277" s="790">
        <f t="shared" si="7"/>
        <v>1463702.2851941125</v>
      </c>
      <c r="W277" s="790">
        <f t="shared" si="7"/>
        <v>1488743.893071251</v>
      </c>
      <c r="X277" s="790">
        <f t="shared" si="7"/>
        <v>1513790.9219117463</v>
      </c>
      <c r="Y277" s="790">
        <f t="shared" si="7"/>
        <v>1538835.9422191451</v>
      </c>
      <c r="Z277" s="790">
        <f t="shared" si="7"/>
        <v>1563894.07545528</v>
      </c>
      <c r="AA277" s="790">
        <f t="shared" si="7"/>
        <v>1588939.0957626784</v>
      </c>
      <c r="AB277" s="790">
        <f t="shared" si="7"/>
        <v>1613997.2289988133</v>
      </c>
      <c r="AC277" s="790">
        <f t="shared" si="7"/>
        <v>1639042.2493062119</v>
      </c>
      <c r="AD277" s="790">
        <f t="shared" si="7"/>
        <v>1664087.2696136115</v>
      </c>
      <c r="AE277" s="790">
        <f t="shared" si="7"/>
        <v>1689144.6762486256</v>
      </c>
      <c r="AF277" s="790">
        <f t="shared" si="7"/>
        <v>1714191.7050891204</v>
      </c>
      <c r="AG277" s="790">
        <f t="shared" si="7"/>
        <v>1739234.0395673797</v>
      </c>
      <c r="AH277" s="791">
        <f t="shared" si="7"/>
        <v>1764292.1728035139</v>
      </c>
      <c r="AI277" s="40"/>
      <c r="AJ277" s="40"/>
      <c r="AK277" s="40"/>
      <c r="AL277" s="40"/>
      <c r="AM277" s="40"/>
    </row>
    <row r="278" spans="2:39" ht="21.95" customHeight="1" x14ac:dyDescent="0.2">
      <c r="B278" s="116"/>
      <c r="C278" s="116"/>
      <c r="D278" s="116"/>
      <c r="E278" s="116"/>
      <c r="F278" s="116"/>
      <c r="G278" s="968"/>
      <c r="H278" s="968"/>
      <c r="I278" s="792"/>
      <c r="J278" s="792"/>
      <c r="K278" s="792"/>
      <c r="L278" s="792"/>
      <c r="M278" s="792"/>
      <c r="N278" s="792"/>
      <c r="O278" s="792"/>
      <c r="P278" s="792"/>
      <c r="Q278" s="792"/>
      <c r="R278" s="792"/>
      <c r="S278" s="792"/>
      <c r="T278" s="792"/>
      <c r="U278" s="792"/>
      <c r="V278" s="792"/>
      <c r="W278" s="792"/>
      <c r="X278" s="792"/>
      <c r="Y278" s="792"/>
      <c r="Z278" s="792"/>
      <c r="AA278" s="792"/>
      <c r="AB278" s="792"/>
      <c r="AC278" s="792"/>
      <c r="AD278" s="792"/>
      <c r="AE278" s="792"/>
      <c r="AF278" s="792"/>
      <c r="AG278" s="792"/>
      <c r="AH278" s="792"/>
      <c r="AI278" s="39"/>
      <c r="AJ278" s="39"/>
      <c r="AK278" s="39"/>
      <c r="AL278" s="39"/>
      <c r="AM278" s="39"/>
    </row>
    <row r="279" spans="2:39" ht="21.95" customHeight="1" x14ac:dyDescent="0.2">
      <c r="B279" s="116"/>
      <c r="C279" s="116"/>
      <c r="D279" s="116"/>
      <c r="E279" s="116"/>
      <c r="F279" s="116"/>
      <c r="G279" s="968"/>
      <c r="H279" s="968"/>
      <c r="I279" s="792"/>
      <c r="J279" s="792"/>
      <c r="K279" s="792"/>
      <c r="L279" s="792"/>
      <c r="M279" s="792"/>
      <c r="N279" s="792"/>
      <c r="O279" s="792"/>
      <c r="P279" s="792"/>
      <c r="Q279" s="792"/>
      <c r="R279" s="792"/>
      <c r="S279" s="792"/>
      <c r="T279" s="792"/>
      <c r="U279" s="792"/>
      <c r="V279" s="792"/>
      <c r="W279" s="792"/>
      <c r="X279" s="792"/>
      <c r="Y279" s="792"/>
      <c r="Z279" s="792"/>
      <c r="AA279" s="792"/>
      <c r="AB279" s="792"/>
      <c r="AC279" s="792"/>
      <c r="AD279" s="792"/>
      <c r="AE279" s="792"/>
      <c r="AF279" s="792"/>
      <c r="AG279" s="792"/>
      <c r="AH279" s="792"/>
      <c r="AI279" s="39"/>
      <c r="AJ279" s="39"/>
      <c r="AK279" s="39"/>
      <c r="AL279" s="39"/>
      <c r="AM279" s="39"/>
    </row>
    <row r="280" spans="2:39" ht="21.95" customHeight="1" thickBot="1" x14ac:dyDescent="0.25">
      <c r="B280" s="548" t="s">
        <v>499</v>
      </c>
      <c r="C280" s="116"/>
      <c r="D280" s="116"/>
      <c r="E280" s="116"/>
      <c r="F280" s="116"/>
      <c r="G280" s="968"/>
      <c r="H280" s="968"/>
      <c r="I280" s="792"/>
      <c r="J280" s="792"/>
      <c r="K280" s="792"/>
      <c r="L280" s="792"/>
      <c r="M280" s="792"/>
      <c r="N280" s="792"/>
      <c r="O280" s="792"/>
      <c r="P280" s="792"/>
      <c r="Q280" s="792"/>
      <c r="R280" s="792"/>
      <c r="S280" s="792"/>
      <c r="T280" s="792"/>
      <c r="U280" s="792"/>
      <c r="V280" s="792"/>
      <c r="W280" s="792"/>
      <c r="X280" s="792"/>
      <c r="Y280" s="792"/>
      <c r="Z280" s="792"/>
      <c r="AA280" s="792"/>
      <c r="AB280" s="792"/>
      <c r="AC280" s="792"/>
      <c r="AD280" s="792"/>
      <c r="AE280" s="792"/>
      <c r="AF280" s="792"/>
      <c r="AG280" s="792"/>
      <c r="AH280" s="792"/>
      <c r="AI280" s="39"/>
      <c r="AJ280" s="39"/>
      <c r="AK280" s="39"/>
      <c r="AL280" s="39"/>
      <c r="AM280" s="39"/>
    </row>
    <row r="281" spans="2:39" ht="21.95" customHeight="1" x14ac:dyDescent="0.2">
      <c r="B281" s="573"/>
      <c r="C281" s="482"/>
      <c r="D281" s="482"/>
      <c r="E281" s="482" t="s">
        <v>24</v>
      </c>
      <c r="F281" s="482"/>
      <c r="G281" s="482" cm="1">
        <f t="array" ref="G281:AH281">year</f>
        <v>2021</v>
      </c>
      <c r="H281" s="482">
        <v>2022</v>
      </c>
      <c r="I281" s="482">
        <v>2023</v>
      </c>
      <c r="J281" s="482">
        <v>2024</v>
      </c>
      <c r="K281" s="482">
        <v>2025</v>
      </c>
      <c r="L281" s="482">
        <v>2026</v>
      </c>
      <c r="M281" s="482">
        <v>2027</v>
      </c>
      <c r="N281" s="482">
        <v>2028</v>
      </c>
      <c r="O281" s="482">
        <v>2029</v>
      </c>
      <c r="P281" s="482">
        <v>2030</v>
      </c>
      <c r="Q281" s="482">
        <v>2031</v>
      </c>
      <c r="R281" s="482">
        <v>2032</v>
      </c>
      <c r="S281" s="482">
        <v>2033</v>
      </c>
      <c r="T281" s="482">
        <v>2034</v>
      </c>
      <c r="U281" s="482">
        <v>2035</v>
      </c>
      <c r="V281" s="482">
        <v>2036</v>
      </c>
      <c r="W281" s="482">
        <v>2037</v>
      </c>
      <c r="X281" s="482">
        <v>2038</v>
      </c>
      <c r="Y281" s="482">
        <v>2039</v>
      </c>
      <c r="Z281" s="482">
        <v>2040</v>
      </c>
      <c r="AA281" s="482">
        <v>2041</v>
      </c>
      <c r="AB281" s="482">
        <v>2042</v>
      </c>
      <c r="AC281" s="482">
        <v>2043</v>
      </c>
      <c r="AD281" s="482">
        <v>2044</v>
      </c>
      <c r="AE281" s="482">
        <v>2045</v>
      </c>
      <c r="AF281" s="482">
        <v>2046</v>
      </c>
      <c r="AG281" s="482">
        <v>2047</v>
      </c>
      <c r="AH281" s="494">
        <v>2048</v>
      </c>
      <c r="AI281" s="39"/>
      <c r="AJ281" s="39"/>
      <c r="AK281" s="39"/>
      <c r="AL281" s="39"/>
      <c r="AM281" s="39"/>
    </row>
    <row r="282" spans="2:39" ht="21.95" customHeight="1" x14ac:dyDescent="0.2">
      <c r="B282" s="1346" t="s">
        <v>43</v>
      </c>
      <c r="C282" s="220"/>
      <c r="D282" s="220"/>
      <c r="E282" s="220" t="s">
        <v>19</v>
      </c>
      <c r="F282" s="220"/>
      <c r="G282" s="775">
        <f>G60</f>
        <v>0</v>
      </c>
      <c r="H282" s="775">
        <f>H60</f>
        <v>0</v>
      </c>
      <c r="I282" s="775">
        <f t="shared" ref="I282:AH282" si="8">I60</f>
        <v>108.63311105578333</v>
      </c>
      <c r="J282" s="775">
        <f t="shared" si="8"/>
        <v>112.2497193409813</v>
      </c>
      <c r="K282" s="775">
        <f t="shared" si="8"/>
        <v>118.27608560568316</v>
      </c>
      <c r="L282" s="775">
        <f t="shared" si="8"/>
        <v>127.60474431758948</v>
      </c>
      <c r="M282" s="775">
        <f t="shared" si="8"/>
        <v>136.93804038620573</v>
      </c>
      <c r="N282" s="775">
        <f t="shared" si="8"/>
        <v>146.27133831934725</v>
      </c>
      <c r="O282" s="775">
        <f t="shared" si="8"/>
        <v>155.59999703125348</v>
      </c>
      <c r="P282" s="775">
        <f t="shared" si="8"/>
        <v>164.93707325718137</v>
      </c>
      <c r="Q282" s="775">
        <f t="shared" si="8"/>
        <v>174.03816485403561</v>
      </c>
      <c r="R282" s="775">
        <f t="shared" si="8"/>
        <v>183.14075624403048</v>
      </c>
      <c r="S282" s="775">
        <f t="shared" si="8"/>
        <v>192.24159502929169</v>
      </c>
      <c r="T282" s="775">
        <f t="shared" si="8"/>
        <v>201.34281018696797</v>
      </c>
      <c r="U282" s="775">
        <f t="shared" si="8"/>
        <v>210.45145926695858</v>
      </c>
      <c r="V282" s="775">
        <f t="shared" si="8"/>
        <v>216.24566303292784</v>
      </c>
      <c r="W282" s="775">
        <f t="shared" si="8"/>
        <v>219.87149577259584</v>
      </c>
      <c r="X282" s="775">
        <f t="shared" si="8"/>
        <v>223.49827013094179</v>
      </c>
      <c r="Y282" s="775">
        <f t="shared" si="8"/>
        <v>227.1246780675398</v>
      </c>
      <c r="Z282" s="775">
        <f t="shared" si="8"/>
        <v>230.7527489349367</v>
      </c>
      <c r="AA282" s="775">
        <f t="shared" si="8"/>
        <v>234.37915687153475</v>
      </c>
      <c r="AB282" s="775">
        <f t="shared" si="8"/>
        <v>238.00722773893168</v>
      </c>
      <c r="AC282" s="775">
        <f t="shared" si="8"/>
        <v>241.63363567552969</v>
      </c>
      <c r="AD282" s="775">
        <f t="shared" si="8"/>
        <v>245.26004361212765</v>
      </c>
      <c r="AE282" s="775">
        <f t="shared" si="8"/>
        <v>248.88802926516459</v>
      </c>
      <c r="AF282" s="775">
        <f t="shared" si="8"/>
        <v>252.51480362351055</v>
      </c>
      <c r="AG282" s="775">
        <f t="shared" si="8"/>
        <v>256.14072157753856</v>
      </c>
      <c r="AH282" s="776">
        <f t="shared" si="8"/>
        <v>259.76879244493551</v>
      </c>
      <c r="AI282" s="39"/>
      <c r="AJ282" s="39"/>
      <c r="AK282" s="39"/>
      <c r="AL282" s="39"/>
      <c r="AM282" s="39"/>
    </row>
    <row r="283" spans="2:39" ht="21.95" customHeight="1" x14ac:dyDescent="0.2">
      <c r="B283" s="1346"/>
      <c r="C283" s="116"/>
      <c r="D283" s="116"/>
      <c r="E283" s="116" t="s">
        <v>467</v>
      </c>
      <c r="F283" s="116"/>
      <c r="G283" s="777">
        <f>G91</f>
        <v>0</v>
      </c>
      <c r="H283" s="777">
        <f>H91</f>
        <v>0</v>
      </c>
      <c r="I283" s="777">
        <f t="shared" ref="I283:AH283" si="9">I91</f>
        <v>14.805271519127276</v>
      </c>
      <c r="J283" s="777">
        <f t="shared" si="9"/>
        <v>15.345198414043784</v>
      </c>
      <c r="K283" s="777">
        <f t="shared" si="9"/>
        <v>16.212962204833019</v>
      </c>
      <c r="L283" s="777">
        <f t="shared" si="9"/>
        <v>17.6408547600048</v>
      </c>
      <c r="M283" s="777">
        <f t="shared" si="9"/>
        <v>19.069423920385741</v>
      </c>
      <c r="N283" s="777">
        <f t="shared" si="9"/>
        <v>20.498083817728002</v>
      </c>
      <c r="O283" s="777">
        <f t="shared" si="9"/>
        <v>21.925976372899786</v>
      </c>
      <c r="P283" s="777">
        <f t="shared" si="9"/>
        <v>23.355191339667783</v>
      </c>
      <c r="Q283" s="777">
        <f t="shared" si="9"/>
        <v>24.826335610580653</v>
      </c>
      <c r="R283" s="777">
        <f t="shared" si="9"/>
        <v>26.297729480428369</v>
      </c>
      <c r="S283" s="777">
        <f t="shared" si="9"/>
        <v>27.768827179188804</v>
      </c>
      <c r="T283" s="777">
        <f t="shared" si="9"/>
        <v>29.239986082805672</v>
      </c>
      <c r="U283" s="777">
        <f t="shared" si="9"/>
        <v>30.712421444885091</v>
      </c>
      <c r="V283" s="777">
        <f t="shared" si="9"/>
        <v>31.622689181643931</v>
      </c>
      <c r="W283" s="777">
        <f t="shared" si="9"/>
        <v>32.163702877200436</v>
      </c>
      <c r="X283" s="777">
        <f t="shared" si="9"/>
        <v>32.704833690452944</v>
      </c>
      <c r="Y283" s="777">
        <f t="shared" si="9"/>
        <v>33.245921110169469</v>
      </c>
      <c r="Z283" s="777">
        <f t="shared" si="9"/>
        <v>33.787291829347787</v>
      </c>
      <c r="AA283" s="777">
        <f t="shared" si="9"/>
        <v>34.328379249064284</v>
      </c>
      <c r="AB283" s="777">
        <f t="shared" si="9"/>
        <v>34.869749968242608</v>
      </c>
      <c r="AC283" s="777">
        <f t="shared" si="9"/>
        <v>35.410837387959127</v>
      </c>
      <c r="AD283" s="777">
        <f t="shared" si="9"/>
        <v>35.951924807675631</v>
      </c>
      <c r="AE283" s="777">
        <f t="shared" si="9"/>
        <v>36.493279828933964</v>
      </c>
      <c r="AF283" s="777">
        <f t="shared" si="9"/>
        <v>37.034410642186479</v>
      </c>
      <c r="AG283" s="777">
        <f t="shared" si="9"/>
        <v>37.575440035662979</v>
      </c>
      <c r="AH283" s="778">
        <f t="shared" si="9"/>
        <v>38.116810754841318</v>
      </c>
      <c r="AI283" s="39"/>
      <c r="AJ283" s="39"/>
      <c r="AK283" s="39"/>
      <c r="AL283" s="39"/>
      <c r="AM283" s="39"/>
    </row>
    <row r="284" spans="2:39" ht="21.95" customHeight="1" x14ac:dyDescent="0.2">
      <c r="B284" s="1346"/>
      <c r="C284" s="116"/>
      <c r="D284" s="116"/>
      <c r="E284" s="772" t="s">
        <v>25</v>
      </c>
      <c r="F284" s="240"/>
      <c r="G284" s="793">
        <f>G282+G283</f>
        <v>0</v>
      </c>
      <c r="H284" s="793">
        <f>H282+H283</f>
        <v>0</v>
      </c>
      <c r="I284" s="793">
        <f t="shared" ref="I284:AH284" si="10">I282+I283</f>
        <v>123.43838257491061</v>
      </c>
      <c r="J284" s="793">
        <f t="shared" si="10"/>
        <v>127.59491775502508</v>
      </c>
      <c r="K284" s="793">
        <f t="shared" si="10"/>
        <v>134.48904781051618</v>
      </c>
      <c r="L284" s="793">
        <f t="shared" si="10"/>
        <v>145.24559907759428</v>
      </c>
      <c r="M284" s="793">
        <f t="shared" si="10"/>
        <v>156.00746430659146</v>
      </c>
      <c r="N284" s="793">
        <f t="shared" si="10"/>
        <v>166.76942213707525</v>
      </c>
      <c r="O284" s="793">
        <f t="shared" si="10"/>
        <v>177.52597340415326</v>
      </c>
      <c r="P284" s="793">
        <f t="shared" si="10"/>
        <v>188.29226459684915</v>
      </c>
      <c r="Q284" s="793">
        <f t="shared" si="10"/>
        <v>198.86450046461627</v>
      </c>
      <c r="R284" s="793">
        <f t="shared" si="10"/>
        <v>209.43848572445884</v>
      </c>
      <c r="S284" s="793">
        <f t="shared" si="10"/>
        <v>220.01042220848049</v>
      </c>
      <c r="T284" s="793">
        <f t="shared" si="10"/>
        <v>230.58279626977364</v>
      </c>
      <c r="U284" s="793">
        <f t="shared" si="10"/>
        <v>241.16388071184366</v>
      </c>
      <c r="V284" s="793">
        <f t="shared" si="10"/>
        <v>247.86835221457176</v>
      </c>
      <c r="W284" s="793">
        <f t="shared" si="10"/>
        <v>252.03519864979626</v>
      </c>
      <c r="X284" s="793">
        <f t="shared" si="10"/>
        <v>256.20310382139473</v>
      </c>
      <c r="Y284" s="793">
        <f t="shared" si="10"/>
        <v>260.37059917770927</v>
      </c>
      <c r="Z284" s="793">
        <f t="shared" si="10"/>
        <v>264.54004076428447</v>
      </c>
      <c r="AA284" s="793">
        <f t="shared" si="10"/>
        <v>268.707536120599</v>
      </c>
      <c r="AB284" s="793">
        <f t="shared" si="10"/>
        <v>272.87697770717426</v>
      </c>
      <c r="AC284" s="793">
        <f t="shared" si="10"/>
        <v>277.04447306348879</v>
      </c>
      <c r="AD284" s="793">
        <f t="shared" si="10"/>
        <v>281.21196841980327</v>
      </c>
      <c r="AE284" s="793">
        <f t="shared" si="10"/>
        <v>285.38130909409858</v>
      </c>
      <c r="AF284" s="793">
        <f t="shared" si="10"/>
        <v>289.549214265697</v>
      </c>
      <c r="AG284" s="793">
        <f t="shared" si="10"/>
        <v>293.71616161320151</v>
      </c>
      <c r="AH284" s="794">
        <f t="shared" si="10"/>
        <v>297.88560319977682</v>
      </c>
      <c r="AI284" s="39"/>
      <c r="AJ284" s="39"/>
      <c r="AK284" s="39"/>
      <c r="AL284" s="39"/>
      <c r="AM284" s="39"/>
    </row>
    <row r="285" spans="2:39" ht="21.95" customHeight="1" x14ac:dyDescent="0.2">
      <c r="B285" s="1346" t="s">
        <v>438</v>
      </c>
      <c r="C285" s="220"/>
      <c r="D285" s="220"/>
      <c r="E285" s="220" t="s">
        <v>19</v>
      </c>
      <c r="F285" s="220"/>
      <c r="G285" s="777">
        <f>G122</f>
        <v>0</v>
      </c>
      <c r="H285" s="777">
        <f>H122</f>
        <v>0</v>
      </c>
      <c r="I285" s="777">
        <f t="shared" ref="I285:AH285" si="11">I122</f>
        <v>2.3258776417657584E-2</v>
      </c>
      <c r="J285" s="777">
        <f t="shared" si="11"/>
        <v>2.4033106478521561E-2</v>
      </c>
      <c r="K285" s="777">
        <f t="shared" si="11"/>
        <v>2.5323375202296203E-2</v>
      </c>
      <c r="L285" s="777">
        <f t="shared" si="11"/>
        <v>2.7320677729565687E-2</v>
      </c>
      <c r="M285" s="777">
        <f t="shared" si="11"/>
        <v>2.9318973133149191E-2</v>
      </c>
      <c r="N285" s="777">
        <f t="shared" si="11"/>
        <v>3.1317268935934887E-2</v>
      </c>
      <c r="O285" s="777">
        <f t="shared" si="11"/>
        <v>3.3314571463204351E-2</v>
      </c>
      <c r="P285" s="777">
        <f t="shared" si="11"/>
        <v>3.5313676213338654E-2</v>
      </c>
      <c r="Q285" s="777">
        <f t="shared" si="11"/>
        <v>3.7262255726072648E-2</v>
      </c>
      <c r="R285" s="777">
        <f t="shared" si="11"/>
        <v>3.9211156350417893E-2</v>
      </c>
      <c r="S285" s="777">
        <f t="shared" si="11"/>
        <v>4.1159681735195311E-2</v>
      </c>
      <c r="T285" s="777">
        <f t="shared" si="11"/>
        <v>4.3108287702787365E-2</v>
      </c>
      <c r="U285" s="777">
        <f t="shared" si="11"/>
        <v>4.5058485302390434E-2</v>
      </c>
      <c r="V285" s="777">
        <f t="shared" si="11"/>
        <v>4.629904712190628E-2</v>
      </c>
      <c r="W285" s="777">
        <f t="shared" si="11"/>
        <v>4.7075352174759416E-2</v>
      </c>
      <c r="X285" s="777">
        <f t="shared" si="11"/>
        <v>4.7851858831875649E-2</v>
      </c>
      <c r="Y285" s="777">
        <f t="shared" si="11"/>
        <v>4.86282870366542E-2</v>
      </c>
      <c r="Z285" s="777">
        <f t="shared" si="11"/>
        <v>4.9405071281458462E-2</v>
      </c>
      <c r="AA285" s="777">
        <f t="shared" si="11"/>
        <v>5.0181499486237013E-2</v>
      </c>
      <c r="AB285" s="777">
        <f t="shared" si="11"/>
        <v>5.0958283731041262E-2</v>
      </c>
      <c r="AC285" s="777">
        <f t="shared" si="11"/>
        <v>5.1734711935819813E-2</v>
      </c>
      <c r="AD285" s="777">
        <f t="shared" si="11"/>
        <v>5.2511140140598392E-2</v>
      </c>
      <c r="AE285" s="777">
        <f t="shared" si="11"/>
        <v>5.3287906140672942E-2</v>
      </c>
      <c r="AF285" s="777">
        <f t="shared" si="11"/>
        <v>5.4064412797789181E-2</v>
      </c>
      <c r="AG285" s="777">
        <f t="shared" si="11"/>
        <v>5.4840736095371996E-2</v>
      </c>
      <c r="AH285" s="778">
        <f t="shared" si="11"/>
        <v>5.5617520340176245E-2</v>
      </c>
      <c r="AI285" s="39"/>
      <c r="AJ285" s="39"/>
      <c r="AK285" s="39"/>
      <c r="AL285" s="39"/>
      <c r="AM285" s="39"/>
    </row>
    <row r="286" spans="2:39" ht="21.95" customHeight="1" x14ac:dyDescent="0.2">
      <c r="B286" s="1346"/>
      <c r="C286" s="116"/>
      <c r="D286" s="116"/>
      <c r="E286" s="116" t="s">
        <v>467</v>
      </c>
      <c r="F286" s="116"/>
      <c r="G286" s="777">
        <f>G153</f>
        <v>0</v>
      </c>
      <c r="H286" s="777">
        <f>H153</f>
        <v>0</v>
      </c>
      <c r="I286" s="777">
        <f t="shared" ref="I286:AH286" si="12">I153</f>
        <v>0.17054305692853555</v>
      </c>
      <c r="J286" s="777">
        <f t="shared" si="12"/>
        <v>0.176762516197353</v>
      </c>
      <c r="K286" s="777">
        <f t="shared" si="12"/>
        <v>0.18675835378681546</v>
      </c>
      <c r="L286" s="777">
        <f t="shared" si="12"/>
        <v>0.2032063575272324</v>
      </c>
      <c r="M286" s="777">
        <f t="shared" si="12"/>
        <v>0.21966215513489151</v>
      </c>
      <c r="N286" s="777">
        <f t="shared" si="12"/>
        <v>0.23611899794855964</v>
      </c>
      <c r="O286" s="777">
        <f t="shared" si="12"/>
        <v>0.25256700168897656</v>
      </c>
      <c r="P286" s="777">
        <f t="shared" si="12"/>
        <v>0.26903023838988632</v>
      </c>
      <c r="Q286" s="777">
        <f t="shared" si="12"/>
        <v>0.2859764619576371</v>
      </c>
      <c r="R286" s="777">
        <f t="shared" si="12"/>
        <v>0.3029255606746411</v>
      </c>
      <c r="S286" s="777">
        <f t="shared" si="12"/>
        <v>0.31987124777419979</v>
      </c>
      <c r="T286" s="777">
        <f t="shared" si="12"/>
        <v>0.33681763989718894</v>
      </c>
      <c r="U286" s="777">
        <f t="shared" si="12"/>
        <v>0.35377873564300344</v>
      </c>
      <c r="V286" s="777">
        <f t="shared" si="12"/>
        <v>0.36426417944251177</v>
      </c>
      <c r="W286" s="777">
        <f t="shared" si="12"/>
        <v>0.37049615765116628</v>
      </c>
      <c r="X286" s="777">
        <f t="shared" si="12"/>
        <v>0.37672948494753367</v>
      </c>
      <c r="Y286" s="777">
        <f t="shared" si="12"/>
        <v>0.38296231239043532</v>
      </c>
      <c r="Z286" s="777">
        <f t="shared" si="12"/>
        <v>0.38919840318154253</v>
      </c>
      <c r="AA286" s="777">
        <f t="shared" si="12"/>
        <v>0.39543123062444407</v>
      </c>
      <c r="AB286" s="777">
        <f t="shared" si="12"/>
        <v>0.40166732141555139</v>
      </c>
      <c r="AC286" s="777">
        <f t="shared" si="12"/>
        <v>0.40790014885845316</v>
      </c>
      <c r="AD286" s="777">
        <f t="shared" si="12"/>
        <v>0.41413297630135482</v>
      </c>
      <c r="AE286" s="777">
        <f t="shared" si="12"/>
        <v>0.42036888626691887</v>
      </c>
      <c r="AF286" s="777">
        <f t="shared" si="12"/>
        <v>0.42660221356328637</v>
      </c>
      <c r="AG286" s="777">
        <f t="shared" si="12"/>
        <v>0.43283437259748381</v>
      </c>
      <c r="AH286" s="778">
        <f t="shared" si="12"/>
        <v>0.43907046338859096</v>
      </c>
      <c r="AI286" s="39"/>
      <c r="AJ286" s="39"/>
      <c r="AK286" s="39"/>
      <c r="AL286" s="39"/>
      <c r="AM286" s="39"/>
    </row>
    <row r="287" spans="2:39" ht="21.95" customHeight="1" x14ac:dyDescent="0.2">
      <c r="B287" s="1346"/>
      <c r="C287" s="116"/>
      <c r="D287" s="116"/>
      <c r="E287" s="772" t="s">
        <v>25</v>
      </c>
      <c r="F287" s="240"/>
      <c r="G287" s="785">
        <f>G285+G286</f>
        <v>0</v>
      </c>
      <c r="H287" s="785">
        <f>H285+H286</f>
        <v>0</v>
      </c>
      <c r="I287" s="785">
        <f t="shared" ref="I287:AH287" si="13">I285+I286</f>
        <v>0.19380183334619314</v>
      </c>
      <c r="J287" s="785">
        <f t="shared" si="13"/>
        <v>0.20079562267587456</v>
      </c>
      <c r="K287" s="785">
        <f t="shared" si="13"/>
        <v>0.21208172898911165</v>
      </c>
      <c r="L287" s="785">
        <f t="shared" si="13"/>
        <v>0.23052703525679807</v>
      </c>
      <c r="M287" s="785">
        <f t="shared" si="13"/>
        <v>0.2489811282680407</v>
      </c>
      <c r="N287" s="785">
        <f t="shared" si="13"/>
        <v>0.26743626688449451</v>
      </c>
      <c r="O287" s="785">
        <f t="shared" si="13"/>
        <v>0.28588157315218088</v>
      </c>
      <c r="P287" s="785">
        <f t="shared" si="13"/>
        <v>0.30434391460322496</v>
      </c>
      <c r="Q287" s="785">
        <f t="shared" si="13"/>
        <v>0.32323871768370976</v>
      </c>
      <c r="R287" s="785">
        <f t="shared" si="13"/>
        <v>0.34213671702505899</v>
      </c>
      <c r="S287" s="785">
        <f t="shared" si="13"/>
        <v>0.36103092950939508</v>
      </c>
      <c r="T287" s="785">
        <f t="shared" si="13"/>
        <v>0.37992592759997629</v>
      </c>
      <c r="U287" s="785">
        <f t="shared" si="13"/>
        <v>0.39883722094539387</v>
      </c>
      <c r="V287" s="785">
        <f t="shared" si="13"/>
        <v>0.41056322656441807</v>
      </c>
      <c r="W287" s="785">
        <f t="shared" si="13"/>
        <v>0.41757150982592572</v>
      </c>
      <c r="X287" s="785">
        <f t="shared" si="13"/>
        <v>0.42458134377940931</v>
      </c>
      <c r="Y287" s="785">
        <f t="shared" si="13"/>
        <v>0.43159059942708955</v>
      </c>
      <c r="Z287" s="785">
        <f t="shared" si="13"/>
        <v>0.43860347446300096</v>
      </c>
      <c r="AA287" s="785">
        <f t="shared" si="13"/>
        <v>0.44561273011068109</v>
      </c>
      <c r="AB287" s="785">
        <f t="shared" si="13"/>
        <v>0.45262560514659267</v>
      </c>
      <c r="AC287" s="785">
        <f t="shared" si="13"/>
        <v>0.45963486079427296</v>
      </c>
      <c r="AD287" s="785">
        <f t="shared" si="13"/>
        <v>0.46664411644195319</v>
      </c>
      <c r="AE287" s="785">
        <f t="shared" si="13"/>
        <v>0.47365679240759184</v>
      </c>
      <c r="AF287" s="785">
        <f t="shared" si="13"/>
        <v>0.48066662636107554</v>
      </c>
      <c r="AG287" s="785">
        <f t="shared" si="13"/>
        <v>0.4876751086928558</v>
      </c>
      <c r="AH287" s="786">
        <f t="shared" si="13"/>
        <v>0.49468798372876721</v>
      </c>
      <c r="AI287" s="39"/>
      <c r="AJ287" s="39"/>
      <c r="AK287" s="39"/>
      <c r="AL287" s="39"/>
      <c r="AM287" s="39"/>
    </row>
    <row r="288" spans="2:39" ht="21.95" customHeight="1" x14ac:dyDescent="0.2">
      <c r="B288" s="1346" t="s">
        <v>41</v>
      </c>
      <c r="C288" s="220"/>
      <c r="D288" s="220"/>
      <c r="E288" s="220" t="s">
        <v>19</v>
      </c>
      <c r="F288" s="220"/>
      <c r="G288" s="775">
        <f>G184</f>
        <v>0</v>
      </c>
      <c r="H288" s="775">
        <f>H184</f>
        <v>0</v>
      </c>
      <c r="I288" s="775">
        <f t="shared" ref="I288:AH288" si="14">I184</f>
        <v>3.1008251896469705</v>
      </c>
      <c r="J288" s="775">
        <f t="shared" si="14"/>
        <v>3.2040577120596732</v>
      </c>
      <c r="K288" s="775">
        <f t="shared" si="14"/>
        <v>3.3760744032325016</v>
      </c>
      <c r="L288" s="775">
        <f t="shared" si="14"/>
        <v>3.6423517807131551</v>
      </c>
      <c r="M288" s="775">
        <f t="shared" si="14"/>
        <v>3.9087615269749292</v>
      </c>
      <c r="N288" s="775">
        <f t="shared" si="14"/>
        <v>4.1751713264577397</v>
      </c>
      <c r="O288" s="775">
        <f t="shared" si="14"/>
        <v>4.441448703938395</v>
      </c>
      <c r="P288" s="775">
        <f t="shared" si="14"/>
        <v>4.7079663510685013</v>
      </c>
      <c r="Q288" s="775">
        <f t="shared" si="14"/>
        <v>4.9677480493236379</v>
      </c>
      <c r="R288" s="775">
        <f t="shared" si="14"/>
        <v>5.227572557697199</v>
      </c>
      <c r="S288" s="775">
        <f t="shared" si="14"/>
        <v>5.4873470396943409</v>
      </c>
      <c r="T288" s="775">
        <f t="shared" si="14"/>
        <v>5.7471322648714782</v>
      </c>
      <c r="U288" s="775">
        <f t="shared" si="14"/>
        <v>6.0071296840412751</v>
      </c>
      <c r="V288" s="775">
        <f t="shared" si="14"/>
        <v>6.1725195252862601</v>
      </c>
      <c r="W288" s="775">
        <f t="shared" si="14"/>
        <v>6.2760153506689642</v>
      </c>
      <c r="X288" s="775">
        <f t="shared" si="14"/>
        <v>6.379538053629668</v>
      </c>
      <c r="Y288" s="775">
        <f t="shared" si="14"/>
        <v>6.4830502974423707</v>
      </c>
      <c r="Z288" s="775">
        <f t="shared" si="14"/>
        <v>6.5866100079773275</v>
      </c>
      <c r="AA288" s="775">
        <f t="shared" si="14"/>
        <v>6.6901222517900303</v>
      </c>
      <c r="AB288" s="775">
        <f t="shared" si="14"/>
        <v>6.793681962324988</v>
      </c>
      <c r="AC288" s="775">
        <f t="shared" si="14"/>
        <v>6.8971942061376925</v>
      </c>
      <c r="AD288" s="775">
        <f t="shared" si="14"/>
        <v>7.0007064499503935</v>
      </c>
      <c r="AE288" s="775">
        <f t="shared" si="14"/>
        <v>7.1042637281253507</v>
      </c>
      <c r="AF288" s="775">
        <f t="shared" si="14"/>
        <v>7.2077864310860553</v>
      </c>
      <c r="AG288" s="775">
        <f t="shared" si="14"/>
        <v>7.3112846888287555</v>
      </c>
      <c r="AH288" s="776">
        <f t="shared" si="14"/>
        <v>7.414844399363715</v>
      </c>
      <c r="AI288" s="39"/>
      <c r="AJ288" s="39"/>
      <c r="AK288" s="39"/>
      <c r="AL288" s="39"/>
      <c r="AM288" s="39"/>
    </row>
    <row r="289" spans="2:39" ht="21.95" customHeight="1" x14ac:dyDescent="0.2">
      <c r="B289" s="1346"/>
      <c r="C289" s="116"/>
      <c r="D289" s="116"/>
      <c r="E289" s="116" t="s">
        <v>467</v>
      </c>
      <c r="F289" s="116"/>
      <c r="G289" s="777">
        <f>G215</f>
        <v>0</v>
      </c>
      <c r="H289" s="777">
        <f>H215</f>
        <v>0</v>
      </c>
      <c r="I289" s="777">
        <f t="shared" ref="I289:AH289" si="15">I215</f>
        <v>0.77110789162121207</v>
      </c>
      <c r="J289" s="777">
        <f t="shared" si="15"/>
        <v>0.79922908406478033</v>
      </c>
      <c r="K289" s="777">
        <f t="shared" si="15"/>
        <v>0.844425114835053</v>
      </c>
      <c r="L289" s="777">
        <f t="shared" si="15"/>
        <v>0.9187945187502502</v>
      </c>
      <c r="M289" s="777">
        <f t="shared" si="15"/>
        <v>0.99319916252009088</v>
      </c>
      <c r="N289" s="777">
        <f t="shared" si="15"/>
        <v>1.0676085321733333</v>
      </c>
      <c r="O289" s="777">
        <f t="shared" si="15"/>
        <v>1.1419779360885305</v>
      </c>
      <c r="P289" s="777">
        <f t="shared" si="15"/>
        <v>1.216416215607697</v>
      </c>
      <c r="Q289" s="777">
        <f t="shared" si="15"/>
        <v>1.2930383130510759</v>
      </c>
      <c r="R289" s="777">
        <f t="shared" si="15"/>
        <v>1.3696734104389772</v>
      </c>
      <c r="S289" s="777">
        <f t="shared" si="15"/>
        <v>1.446293082249416</v>
      </c>
      <c r="T289" s="777">
        <f t="shared" si="15"/>
        <v>1.5229159418127955</v>
      </c>
      <c r="U289" s="777">
        <f t="shared" si="15"/>
        <v>1.5996052835877654</v>
      </c>
      <c r="V289" s="777">
        <f t="shared" si="15"/>
        <v>1.6470150615439543</v>
      </c>
      <c r="W289" s="777">
        <f t="shared" si="15"/>
        <v>1.6751928581875228</v>
      </c>
      <c r="X289" s="777">
        <f t="shared" si="15"/>
        <v>1.703376754711091</v>
      </c>
      <c r="Y289" s="777">
        <f t="shared" si="15"/>
        <v>1.731558391154659</v>
      </c>
      <c r="Z289" s="777">
        <f t="shared" si="15"/>
        <v>1.7597547827785307</v>
      </c>
      <c r="AA289" s="777">
        <f t="shared" si="15"/>
        <v>1.7879364192220983</v>
      </c>
      <c r="AB289" s="777">
        <f t="shared" si="15"/>
        <v>1.81613281084597</v>
      </c>
      <c r="AC289" s="777">
        <f t="shared" si="15"/>
        <v>1.8443144472895381</v>
      </c>
      <c r="AD289" s="777">
        <f t="shared" si="15"/>
        <v>1.8724960837331064</v>
      </c>
      <c r="AE289" s="777">
        <f t="shared" si="15"/>
        <v>1.900691657756977</v>
      </c>
      <c r="AF289" s="777">
        <f t="shared" si="15"/>
        <v>1.9288755542805454</v>
      </c>
      <c r="AG289" s="777">
        <f t="shared" si="15"/>
        <v>1.9570541685241138</v>
      </c>
      <c r="AH289" s="778">
        <f t="shared" si="15"/>
        <v>1.9852505601479848</v>
      </c>
      <c r="AI289" s="39"/>
      <c r="AJ289" s="39"/>
      <c r="AK289" s="39"/>
      <c r="AL289" s="39"/>
      <c r="AM289" s="39"/>
    </row>
    <row r="290" spans="2:39" ht="21.95" customHeight="1" x14ac:dyDescent="0.2">
      <c r="B290" s="1346"/>
      <c r="C290" s="116"/>
      <c r="D290" s="116"/>
      <c r="E290" s="772" t="s">
        <v>25</v>
      </c>
      <c r="F290" s="240"/>
      <c r="G290" s="793">
        <f>G288+G289</f>
        <v>0</v>
      </c>
      <c r="H290" s="793">
        <f>H288+H289</f>
        <v>0</v>
      </c>
      <c r="I290" s="793">
        <f t="shared" ref="I290:AH290" si="16">I288+I289</f>
        <v>3.8719330812681827</v>
      </c>
      <c r="J290" s="793">
        <f t="shared" si="16"/>
        <v>4.0032867961244536</v>
      </c>
      <c r="K290" s="793">
        <f t="shared" si="16"/>
        <v>4.2204995180675544</v>
      </c>
      <c r="L290" s="793">
        <f t="shared" si="16"/>
        <v>4.5611462994634051</v>
      </c>
      <c r="M290" s="793">
        <f t="shared" si="16"/>
        <v>4.9019606894950201</v>
      </c>
      <c r="N290" s="793">
        <f t="shared" si="16"/>
        <v>5.2427798586310725</v>
      </c>
      <c r="O290" s="793">
        <f t="shared" si="16"/>
        <v>5.583426640026925</v>
      </c>
      <c r="P290" s="793">
        <f t="shared" si="16"/>
        <v>5.924382566676198</v>
      </c>
      <c r="Q290" s="793">
        <f t="shared" si="16"/>
        <v>6.2607863623747138</v>
      </c>
      <c r="R290" s="793">
        <f t="shared" si="16"/>
        <v>6.5972459681361766</v>
      </c>
      <c r="S290" s="793">
        <f t="shared" si="16"/>
        <v>6.9336401219437569</v>
      </c>
      <c r="T290" s="793">
        <f t="shared" si="16"/>
        <v>7.2700482066842742</v>
      </c>
      <c r="U290" s="793">
        <f t="shared" si="16"/>
        <v>7.6067349676290403</v>
      </c>
      <c r="V290" s="793">
        <f t="shared" si="16"/>
        <v>7.8195345868302146</v>
      </c>
      <c r="W290" s="793">
        <f t="shared" si="16"/>
        <v>7.951208208856487</v>
      </c>
      <c r="X290" s="793">
        <f t="shared" si="16"/>
        <v>8.0829148083407585</v>
      </c>
      <c r="Y290" s="793">
        <f t="shared" si="16"/>
        <v>8.2146086885970302</v>
      </c>
      <c r="Z290" s="793">
        <f t="shared" si="16"/>
        <v>8.3463647907558585</v>
      </c>
      <c r="AA290" s="793">
        <f t="shared" si="16"/>
        <v>8.4780586710121284</v>
      </c>
      <c r="AB290" s="793">
        <f t="shared" si="16"/>
        <v>8.6098147731709584</v>
      </c>
      <c r="AC290" s="793">
        <f t="shared" si="16"/>
        <v>8.7415086534272302</v>
      </c>
      <c r="AD290" s="793">
        <f t="shared" si="16"/>
        <v>8.8732025336835001</v>
      </c>
      <c r="AE290" s="793">
        <f t="shared" si="16"/>
        <v>9.0049553858823277</v>
      </c>
      <c r="AF290" s="793">
        <f t="shared" si="16"/>
        <v>9.1366619853666009</v>
      </c>
      <c r="AG290" s="793">
        <f t="shared" si="16"/>
        <v>9.2683388573528696</v>
      </c>
      <c r="AH290" s="794">
        <f t="shared" si="16"/>
        <v>9.4000949595116996</v>
      </c>
      <c r="AI290" s="39"/>
      <c r="AJ290" s="39"/>
      <c r="AK290" s="39"/>
      <c r="AL290" s="39"/>
      <c r="AM290" s="39"/>
    </row>
    <row r="291" spans="2:39" ht="21.95" customHeight="1" x14ac:dyDescent="0.2">
      <c r="B291" s="1346" t="s">
        <v>40</v>
      </c>
      <c r="C291" s="220"/>
      <c r="D291" s="220"/>
      <c r="E291" s="220" t="s">
        <v>19</v>
      </c>
      <c r="F291" s="220"/>
      <c r="G291" s="777">
        <f>G246</f>
        <v>0</v>
      </c>
      <c r="H291" s="777">
        <f>H246</f>
        <v>0</v>
      </c>
      <c r="I291" s="777">
        <f t="shared" ref="I291:AH291" si="17">I246</f>
        <v>265263.86916475761</v>
      </c>
      <c r="J291" s="777">
        <f t="shared" si="17"/>
        <v>274095.02108207956</v>
      </c>
      <c r="K291" s="777">
        <f t="shared" si="17"/>
        <v>288810.39852862916</v>
      </c>
      <c r="L291" s="777">
        <f t="shared" si="17"/>
        <v>311589.42124083976</v>
      </c>
      <c r="M291" s="777">
        <f t="shared" si="17"/>
        <v>334379.76760172093</v>
      </c>
      <c r="N291" s="777">
        <f t="shared" si="17"/>
        <v>357170.11851546058</v>
      </c>
      <c r="O291" s="777">
        <f t="shared" si="17"/>
        <v>379949.14122767106</v>
      </c>
      <c r="P291" s="777">
        <f t="shared" si="17"/>
        <v>402748.71809980966</v>
      </c>
      <c r="Q291" s="777">
        <f t="shared" si="17"/>
        <v>424972.06001776998</v>
      </c>
      <c r="R291" s="777">
        <f t="shared" si="17"/>
        <v>447199.06417947478</v>
      </c>
      <c r="S291" s="777">
        <f t="shared" si="17"/>
        <v>469421.78877385205</v>
      </c>
      <c r="T291" s="777">
        <f t="shared" si="17"/>
        <v>491645.4324066526</v>
      </c>
      <c r="U291" s="777">
        <f t="shared" si="17"/>
        <v>513887.22843311069</v>
      </c>
      <c r="V291" s="777">
        <f t="shared" si="17"/>
        <v>528035.70392784965</v>
      </c>
      <c r="W291" s="777">
        <f t="shared" si="17"/>
        <v>536889.38041857188</v>
      </c>
      <c r="X291" s="777">
        <f t="shared" si="17"/>
        <v>545745.3561844537</v>
      </c>
      <c r="Y291" s="777">
        <f t="shared" si="17"/>
        <v>554600.43720977614</v>
      </c>
      <c r="Z291" s="777">
        <f t="shared" si="17"/>
        <v>563459.57883369073</v>
      </c>
      <c r="AA291" s="777">
        <f t="shared" si="17"/>
        <v>572314.65985901258</v>
      </c>
      <c r="AB291" s="777">
        <f t="shared" si="17"/>
        <v>581173.8014829274</v>
      </c>
      <c r="AC291" s="777">
        <f t="shared" si="17"/>
        <v>590028.8825082496</v>
      </c>
      <c r="AD291" s="777">
        <f t="shared" si="17"/>
        <v>598883.96353357169</v>
      </c>
      <c r="AE291" s="777">
        <f t="shared" si="17"/>
        <v>607742.89707828651</v>
      </c>
      <c r="AF291" s="777">
        <f t="shared" si="17"/>
        <v>616598.87284416822</v>
      </c>
      <c r="AG291" s="777">
        <f t="shared" si="17"/>
        <v>625452.7574140908</v>
      </c>
      <c r="AH291" s="778">
        <f t="shared" si="17"/>
        <v>634311.89903800515</v>
      </c>
      <c r="AI291" s="39"/>
      <c r="AJ291" s="39"/>
      <c r="AK291" s="39"/>
      <c r="AL291" s="39"/>
      <c r="AM291" s="39"/>
    </row>
    <row r="292" spans="2:39" ht="21.95" customHeight="1" x14ac:dyDescent="0.2">
      <c r="B292" s="1346"/>
      <c r="C292" s="116"/>
      <c r="D292" s="116"/>
      <c r="E292" s="116" t="s">
        <v>467</v>
      </c>
      <c r="F292" s="116"/>
      <c r="G292" s="777">
        <f>G277</f>
        <v>0</v>
      </c>
      <c r="H292" s="777">
        <f>H277</f>
        <v>0</v>
      </c>
      <c r="I292" s="777">
        <f t="shared" ref="I292:AH292" si="18">I277</f>
        <v>685283.58328377118</v>
      </c>
      <c r="J292" s="777">
        <f t="shared" si="18"/>
        <v>710274.88700837002</v>
      </c>
      <c r="K292" s="777">
        <f t="shared" si="18"/>
        <v>750440.59955391148</v>
      </c>
      <c r="L292" s="777">
        <f t="shared" si="18"/>
        <v>816532.6888133469</v>
      </c>
      <c r="M292" s="777">
        <f t="shared" si="18"/>
        <v>882656.09573160508</v>
      </c>
      <c r="N292" s="777">
        <f t="shared" si="18"/>
        <v>948783.7025424412</v>
      </c>
      <c r="O292" s="777">
        <f t="shared" si="18"/>
        <v>1014875.7918018767</v>
      </c>
      <c r="P292" s="777">
        <f t="shared" si="18"/>
        <v>1081029.0908105604</v>
      </c>
      <c r="Q292" s="777">
        <f t="shared" si="18"/>
        <v>1149123.1488084907</v>
      </c>
      <c r="R292" s="777">
        <f t="shared" si="18"/>
        <v>1217228.7598571188</v>
      </c>
      <c r="S292" s="777">
        <f t="shared" si="18"/>
        <v>1285320.6621950564</v>
      </c>
      <c r="T292" s="777">
        <f t="shared" si="18"/>
        <v>1353415.3974890311</v>
      </c>
      <c r="U292" s="777">
        <f t="shared" si="18"/>
        <v>1421569.2155244467</v>
      </c>
      <c r="V292" s="777">
        <f t="shared" si="18"/>
        <v>1463702.2851941125</v>
      </c>
      <c r="W292" s="777">
        <f t="shared" si="18"/>
        <v>1488743.893071251</v>
      </c>
      <c r="X292" s="777">
        <f t="shared" si="18"/>
        <v>1513790.9219117463</v>
      </c>
      <c r="Y292" s="777">
        <f t="shared" si="18"/>
        <v>1538835.9422191451</v>
      </c>
      <c r="Z292" s="777">
        <f t="shared" si="18"/>
        <v>1563894.07545528</v>
      </c>
      <c r="AA292" s="777">
        <f t="shared" si="18"/>
        <v>1588939.0957626784</v>
      </c>
      <c r="AB292" s="777">
        <f t="shared" si="18"/>
        <v>1613997.2289988133</v>
      </c>
      <c r="AC292" s="777">
        <f t="shared" si="18"/>
        <v>1639042.2493062119</v>
      </c>
      <c r="AD292" s="777">
        <f t="shared" si="18"/>
        <v>1664087.2696136115</v>
      </c>
      <c r="AE292" s="777">
        <f t="shared" si="18"/>
        <v>1689144.6762486256</v>
      </c>
      <c r="AF292" s="777">
        <f t="shared" si="18"/>
        <v>1714191.7050891204</v>
      </c>
      <c r="AG292" s="777">
        <f t="shared" si="18"/>
        <v>1739234.0395673797</v>
      </c>
      <c r="AH292" s="778">
        <f t="shared" si="18"/>
        <v>1764292.1728035139</v>
      </c>
      <c r="AI292" s="39"/>
      <c r="AJ292" s="39"/>
      <c r="AK292" s="39"/>
      <c r="AL292" s="39"/>
      <c r="AM292" s="39"/>
    </row>
    <row r="293" spans="2:39" ht="21.95" customHeight="1" thickBot="1" x14ac:dyDescent="0.25">
      <c r="B293" s="1347"/>
      <c r="C293" s="278"/>
      <c r="D293" s="278"/>
      <c r="E293" s="789" t="s">
        <v>25</v>
      </c>
      <c r="F293" s="789"/>
      <c r="G293" s="790">
        <f>G291+G292</f>
        <v>0</v>
      </c>
      <c r="H293" s="790">
        <f>H291+H292</f>
        <v>0</v>
      </c>
      <c r="I293" s="790">
        <f t="shared" ref="I293:AH293" si="19">I291+I292</f>
        <v>950547.45244852873</v>
      </c>
      <c r="J293" s="790">
        <f t="shared" si="19"/>
        <v>984369.90809044964</v>
      </c>
      <c r="K293" s="790">
        <f t="shared" si="19"/>
        <v>1039250.9980825407</v>
      </c>
      <c r="L293" s="790">
        <f t="shared" si="19"/>
        <v>1128122.1100541865</v>
      </c>
      <c r="M293" s="790">
        <f t="shared" si="19"/>
        <v>1217035.8633333261</v>
      </c>
      <c r="N293" s="790">
        <f t="shared" si="19"/>
        <v>1305953.8210579017</v>
      </c>
      <c r="O293" s="790">
        <f t="shared" si="19"/>
        <v>1394824.9330295478</v>
      </c>
      <c r="P293" s="790">
        <f t="shared" si="19"/>
        <v>1483777.8089103701</v>
      </c>
      <c r="Q293" s="790">
        <f t="shared" si="19"/>
        <v>1574095.2088262606</v>
      </c>
      <c r="R293" s="790">
        <f t="shared" si="19"/>
        <v>1664427.8240365935</v>
      </c>
      <c r="S293" s="790">
        <f t="shared" si="19"/>
        <v>1754742.4509689086</v>
      </c>
      <c r="T293" s="790">
        <f t="shared" si="19"/>
        <v>1845060.8298956836</v>
      </c>
      <c r="U293" s="790">
        <f t="shared" si="19"/>
        <v>1935456.4439575574</v>
      </c>
      <c r="V293" s="790">
        <f t="shared" si="19"/>
        <v>1991737.9891219621</v>
      </c>
      <c r="W293" s="790">
        <f t="shared" si="19"/>
        <v>2025633.2734898229</v>
      </c>
      <c r="X293" s="790">
        <f t="shared" si="19"/>
        <v>2059536.2780962</v>
      </c>
      <c r="Y293" s="790">
        <f t="shared" si="19"/>
        <v>2093436.3794289213</v>
      </c>
      <c r="Z293" s="790">
        <f t="shared" si="19"/>
        <v>2127353.6542889709</v>
      </c>
      <c r="AA293" s="790">
        <f t="shared" si="19"/>
        <v>2161253.7556216912</v>
      </c>
      <c r="AB293" s="790">
        <f t="shared" si="19"/>
        <v>2195171.0304817408</v>
      </c>
      <c r="AC293" s="790">
        <f t="shared" si="19"/>
        <v>2229071.1318144617</v>
      </c>
      <c r="AD293" s="790">
        <f t="shared" si="19"/>
        <v>2262971.2331471834</v>
      </c>
      <c r="AE293" s="790">
        <f t="shared" si="19"/>
        <v>2296887.5733269122</v>
      </c>
      <c r="AF293" s="790">
        <f t="shared" si="19"/>
        <v>2330790.5779332886</v>
      </c>
      <c r="AG293" s="790">
        <f t="shared" si="19"/>
        <v>2364686.7969814707</v>
      </c>
      <c r="AH293" s="791">
        <f t="shared" si="19"/>
        <v>2398604.0718415193</v>
      </c>
      <c r="AI293" s="39"/>
      <c r="AJ293" s="39"/>
      <c r="AK293" s="39"/>
      <c r="AL293" s="39"/>
      <c r="AM293" s="39"/>
    </row>
    <row r="294" spans="2:39" ht="21.95" customHeight="1" x14ac:dyDescent="0.2">
      <c r="F294"/>
      <c r="G294" s="24"/>
      <c r="H294" s="24"/>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row>
    <row r="295" spans="2:39" ht="21.95" customHeight="1" x14ac:dyDescent="0.2">
      <c r="F295"/>
      <c r="G295" s="24"/>
      <c r="H295" s="24"/>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row>
    <row r="296" spans="2:39" ht="21.95" customHeight="1" thickBot="1" x14ac:dyDescent="0.25">
      <c r="B296" s="548" t="s">
        <v>500</v>
      </c>
      <c r="F296"/>
      <c r="G296" s="24"/>
      <c r="H296" s="24"/>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row>
    <row r="297" spans="2:39" ht="21.95" customHeight="1" x14ac:dyDescent="0.2">
      <c r="B297" s="573"/>
      <c r="C297" s="482"/>
      <c r="D297" s="482"/>
      <c r="E297" s="482" t="s">
        <v>24</v>
      </c>
      <c r="F297" s="482"/>
      <c r="G297" s="482" cm="1">
        <f t="array" ref="G297:AH297">year</f>
        <v>2021</v>
      </c>
      <c r="H297" s="482">
        <v>2022</v>
      </c>
      <c r="I297" s="482">
        <v>2023</v>
      </c>
      <c r="J297" s="482">
        <v>2024</v>
      </c>
      <c r="K297" s="482">
        <v>2025</v>
      </c>
      <c r="L297" s="482">
        <v>2026</v>
      </c>
      <c r="M297" s="482">
        <v>2027</v>
      </c>
      <c r="N297" s="482">
        <v>2028</v>
      </c>
      <c r="O297" s="482">
        <v>2029</v>
      </c>
      <c r="P297" s="482">
        <v>2030</v>
      </c>
      <c r="Q297" s="482">
        <v>2031</v>
      </c>
      <c r="R297" s="482">
        <v>2032</v>
      </c>
      <c r="S297" s="482">
        <v>2033</v>
      </c>
      <c r="T297" s="482">
        <v>2034</v>
      </c>
      <c r="U297" s="482">
        <v>2035</v>
      </c>
      <c r="V297" s="482">
        <v>2036</v>
      </c>
      <c r="W297" s="482">
        <v>2037</v>
      </c>
      <c r="X297" s="482">
        <v>2038</v>
      </c>
      <c r="Y297" s="482">
        <v>2039</v>
      </c>
      <c r="Z297" s="482">
        <v>2040</v>
      </c>
      <c r="AA297" s="482">
        <v>2041</v>
      </c>
      <c r="AB297" s="482">
        <v>2042</v>
      </c>
      <c r="AC297" s="482">
        <v>2043</v>
      </c>
      <c r="AD297" s="482">
        <v>2044</v>
      </c>
      <c r="AE297" s="482">
        <v>2045</v>
      </c>
      <c r="AF297" s="482">
        <v>2046</v>
      </c>
      <c r="AG297" s="482">
        <v>2047</v>
      </c>
      <c r="AH297" s="494">
        <v>2048</v>
      </c>
      <c r="AI297" s="39"/>
      <c r="AJ297" s="39"/>
      <c r="AK297" s="39"/>
      <c r="AL297" s="39"/>
      <c r="AM297" s="39"/>
    </row>
    <row r="298" spans="2:39" ht="21.95" customHeight="1" x14ac:dyDescent="0.2">
      <c r="B298" s="1346" t="s">
        <v>43</v>
      </c>
      <c r="C298" s="220"/>
      <c r="D298" s="220"/>
      <c r="E298" s="220" t="s">
        <v>19</v>
      </c>
      <c r="F298" s="220"/>
      <c r="G298" s="799">
        <f t="shared" ref="G298:AH298" si="20">G282*G13</f>
        <v>0</v>
      </c>
      <c r="H298" s="799">
        <f t="shared" si="20"/>
        <v>0</v>
      </c>
      <c r="I298" s="799">
        <f t="shared" si="20"/>
        <v>1825036.2657371599</v>
      </c>
      <c r="J298" s="799">
        <f t="shared" si="20"/>
        <v>1908245.2287966821</v>
      </c>
      <c r="K298" s="799">
        <f t="shared" si="20"/>
        <v>2034348.6724177503</v>
      </c>
      <c r="L298" s="799">
        <f t="shared" si="20"/>
        <v>2233083.025557816</v>
      </c>
      <c r="M298" s="799">
        <f t="shared" si="20"/>
        <v>2451190.9229130824</v>
      </c>
      <c r="N298" s="799">
        <f t="shared" si="20"/>
        <v>2662138.3574121199</v>
      </c>
      <c r="O298" s="799">
        <f t="shared" si="20"/>
        <v>2894159.9447813146</v>
      </c>
      <c r="P298" s="799">
        <f t="shared" si="20"/>
        <v>3117310.6845607278</v>
      </c>
      <c r="Q298" s="799">
        <f t="shared" si="20"/>
        <v>3289321.3157412731</v>
      </c>
      <c r="R298" s="799">
        <f t="shared" si="20"/>
        <v>3461360.2930121762</v>
      </c>
      <c r="S298" s="799">
        <f t="shared" si="20"/>
        <v>3633366.1460536127</v>
      </c>
      <c r="T298" s="799">
        <f t="shared" si="20"/>
        <v>3805379.1125336946</v>
      </c>
      <c r="U298" s="799">
        <f t="shared" si="20"/>
        <v>3977532.5801455174</v>
      </c>
      <c r="V298" s="799">
        <f t="shared" si="20"/>
        <v>4087043.0313223363</v>
      </c>
      <c r="W298" s="799">
        <f t="shared" si="20"/>
        <v>4155571.2701020613</v>
      </c>
      <c r="X298" s="799">
        <f t="shared" si="20"/>
        <v>4224117.3054748001</v>
      </c>
      <c r="Y298" s="799">
        <f t="shared" si="20"/>
        <v>4292656.4154765019</v>
      </c>
      <c r="Z298" s="799">
        <f t="shared" si="20"/>
        <v>4361226.9548703041</v>
      </c>
      <c r="AA298" s="799">
        <f t="shared" si="20"/>
        <v>4429766.0648720069</v>
      </c>
      <c r="AB298" s="799">
        <f t="shared" si="20"/>
        <v>4498336.6042658091</v>
      </c>
      <c r="AC298" s="799">
        <f t="shared" si="20"/>
        <v>4566875.7142675109</v>
      </c>
      <c r="AD298" s="799">
        <f t="shared" si="20"/>
        <v>4635414.8242692128</v>
      </c>
      <c r="AE298" s="799">
        <f t="shared" si="20"/>
        <v>4703983.7531116111</v>
      </c>
      <c r="AF298" s="799">
        <f t="shared" si="20"/>
        <v>4772529.7884843489</v>
      </c>
      <c r="AG298" s="799">
        <f t="shared" si="20"/>
        <v>4841059.6378154783</v>
      </c>
      <c r="AH298" s="800">
        <f t="shared" si="20"/>
        <v>4909630.1772092814</v>
      </c>
      <c r="AI298" s="39"/>
      <c r="AJ298" s="39"/>
      <c r="AK298" s="39"/>
      <c r="AL298" s="39"/>
      <c r="AM298" s="39"/>
    </row>
    <row r="299" spans="2:39" ht="21.95" customHeight="1" x14ac:dyDescent="0.2">
      <c r="B299" s="1346"/>
      <c r="C299" s="116"/>
      <c r="D299" s="116"/>
      <c r="E299" s="116" t="s">
        <v>467</v>
      </c>
      <c r="F299" s="116"/>
      <c r="G299" s="810">
        <f t="shared" ref="G299:AH299" si="21">G283*G13</f>
        <v>0</v>
      </c>
      <c r="H299" s="810">
        <f t="shared" si="21"/>
        <v>0</v>
      </c>
      <c r="I299" s="810">
        <f t="shared" si="21"/>
        <v>248728.56152133824</v>
      </c>
      <c r="J299" s="810">
        <f t="shared" si="21"/>
        <v>260868.37303874432</v>
      </c>
      <c r="K299" s="810">
        <f t="shared" si="21"/>
        <v>278862.94992312795</v>
      </c>
      <c r="L299" s="810">
        <f t="shared" si="21"/>
        <v>308714.95830008399</v>
      </c>
      <c r="M299" s="810">
        <f t="shared" si="21"/>
        <v>341342.68817490479</v>
      </c>
      <c r="N299" s="810">
        <f t="shared" si="21"/>
        <v>373065.12548264966</v>
      </c>
      <c r="O299" s="810">
        <f t="shared" si="21"/>
        <v>407823.16053593601</v>
      </c>
      <c r="P299" s="810">
        <f t="shared" si="21"/>
        <v>441413.1163197211</v>
      </c>
      <c r="Q299" s="810">
        <f t="shared" si="21"/>
        <v>469217.74303997436</v>
      </c>
      <c r="R299" s="810">
        <f t="shared" si="21"/>
        <v>497027.08718009619</v>
      </c>
      <c r="S299" s="810">
        <f t="shared" si="21"/>
        <v>524830.83368666843</v>
      </c>
      <c r="T299" s="810">
        <f t="shared" si="21"/>
        <v>552635.73696502717</v>
      </c>
      <c r="U299" s="810">
        <f t="shared" si="21"/>
        <v>580464.76530832821</v>
      </c>
      <c r="V299" s="810">
        <f t="shared" si="21"/>
        <v>597668.82553307025</v>
      </c>
      <c r="W299" s="810">
        <f t="shared" si="21"/>
        <v>607893.98437908827</v>
      </c>
      <c r="X299" s="810">
        <f t="shared" si="21"/>
        <v>618121.35674956068</v>
      </c>
      <c r="Y299" s="810">
        <f t="shared" si="21"/>
        <v>628347.90898220299</v>
      </c>
      <c r="Z299" s="810">
        <f t="shared" si="21"/>
        <v>638579.81557467312</v>
      </c>
      <c r="AA299" s="810">
        <f t="shared" si="21"/>
        <v>648806.36780731496</v>
      </c>
      <c r="AB299" s="810">
        <f t="shared" si="21"/>
        <v>659038.27439978532</v>
      </c>
      <c r="AC299" s="810">
        <f t="shared" si="21"/>
        <v>669264.82663242752</v>
      </c>
      <c r="AD299" s="810">
        <f t="shared" si="21"/>
        <v>679491.37886506948</v>
      </c>
      <c r="AE299" s="810">
        <f t="shared" si="21"/>
        <v>689722.98876685195</v>
      </c>
      <c r="AF299" s="810">
        <f t="shared" si="21"/>
        <v>699950.36113732448</v>
      </c>
      <c r="AG299" s="810">
        <f t="shared" si="21"/>
        <v>710175.81667403027</v>
      </c>
      <c r="AH299" s="802">
        <f t="shared" si="21"/>
        <v>720407.72326650086</v>
      </c>
      <c r="AI299" s="39"/>
      <c r="AJ299" s="39"/>
      <c r="AK299" s="39"/>
      <c r="AL299" s="39"/>
      <c r="AM299" s="39"/>
    </row>
    <row r="300" spans="2:39" ht="21.95" customHeight="1" x14ac:dyDescent="0.2">
      <c r="B300" s="1346"/>
      <c r="C300" s="116"/>
      <c r="D300" s="116"/>
      <c r="E300" s="772" t="s">
        <v>25</v>
      </c>
      <c r="F300" s="240"/>
      <c r="G300" s="803">
        <f>G298+G299</f>
        <v>0</v>
      </c>
      <c r="H300" s="803">
        <f>H298+H299</f>
        <v>0</v>
      </c>
      <c r="I300" s="803">
        <f t="shared" ref="I300:AH300" si="22">I298+I299</f>
        <v>2073764.8272584982</v>
      </c>
      <c r="J300" s="803">
        <f t="shared" si="22"/>
        <v>2169113.6018354264</v>
      </c>
      <c r="K300" s="803">
        <f t="shared" si="22"/>
        <v>2313211.6223408785</v>
      </c>
      <c r="L300" s="803">
        <f t="shared" si="22"/>
        <v>2541797.9838578999</v>
      </c>
      <c r="M300" s="803">
        <f t="shared" si="22"/>
        <v>2792533.6110879872</v>
      </c>
      <c r="N300" s="803">
        <f t="shared" si="22"/>
        <v>3035203.4828947694</v>
      </c>
      <c r="O300" s="803">
        <f t="shared" si="22"/>
        <v>3301983.1053172508</v>
      </c>
      <c r="P300" s="803">
        <f t="shared" si="22"/>
        <v>3558723.8008804489</v>
      </c>
      <c r="Q300" s="803">
        <f t="shared" si="22"/>
        <v>3758539.0587812476</v>
      </c>
      <c r="R300" s="803">
        <f t="shared" si="22"/>
        <v>3958387.3801922724</v>
      </c>
      <c r="S300" s="803">
        <f t="shared" si="22"/>
        <v>4158196.9797402811</v>
      </c>
      <c r="T300" s="803">
        <f t="shared" si="22"/>
        <v>4358014.8494987218</v>
      </c>
      <c r="U300" s="803">
        <f t="shared" si="22"/>
        <v>4557997.3454538453</v>
      </c>
      <c r="V300" s="803">
        <f t="shared" si="22"/>
        <v>4684711.8568554064</v>
      </c>
      <c r="W300" s="803">
        <f t="shared" si="22"/>
        <v>4763465.2544811498</v>
      </c>
      <c r="X300" s="803">
        <f t="shared" si="22"/>
        <v>4842238.6622243607</v>
      </c>
      <c r="Y300" s="803">
        <f t="shared" si="22"/>
        <v>4921004.3244587053</v>
      </c>
      <c r="Z300" s="803">
        <f t="shared" si="22"/>
        <v>4999806.7704449771</v>
      </c>
      <c r="AA300" s="803">
        <f t="shared" si="22"/>
        <v>5078572.4326793216</v>
      </c>
      <c r="AB300" s="803">
        <f t="shared" si="22"/>
        <v>5157374.8786655944</v>
      </c>
      <c r="AC300" s="803">
        <f t="shared" si="22"/>
        <v>5236140.540899938</v>
      </c>
      <c r="AD300" s="803">
        <f t="shared" si="22"/>
        <v>5314906.2031342825</v>
      </c>
      <c r="AE300" s="803">
        <f t="shared" si="22"/>
        <v>5393706.741878463</v>
      </c>
      <c r="AF300" s="803">
        <f t="shared" si="22"/>
        <v>5472480.1496216729</v>
      </c>
      <c r="AG300" s="803">
        <f t="shared" si="22"/>
        <v>5551235.4544895086</v>
      </c>
      <c r="AH300" s="804">
        <f t="shared" si="22"/>
        <v>5630037.9004757823</v>
      </c>
      <c r="AI300" s="39"/>
      <c r="AJ300" s="39"/>
      <c r="AK300" s="39"/>
      <c r="AL300" s="39"/>
      <c r="AM300" s="39"/>
    </row>
    <row r="301" spans="2:39" ht="21.95" customHeight="1" x14ac:dyDescent="0.2">
      <c r="B301" s="1346" t="s">
        <v>438</v>
      </c>
      <c r="C301" s="220"/>
      <c r="D301" s="220"/>
      <c r="E301" s="220" t="s">
        <v>19</v>
      </c>
      <c r="F301" s="220"/>
      <c r="G301" s="810">
        <f t="shared" ref="G301:AH301" si="23">G285*G14</f>
        <v>0</v>
      </c>
      <c r="H301" s="810">
        <f t="shared" si="23"/>
        <v>0</v>
      </c>
      <c r="I301" s="810">
        <f t="shared" si="23"/>
        <v>1048.9708164363569</v>
      </c>
      <c r="J301" s="810">
        <f t="shared" si="23"/>
        <v>1105.5228980119919</v>
      </c>
      <c r="K301" s="810">
        <f t="shared" si="23"/>
        <v>1187.666296987692</v>
      </c>
      <c r="L301" s="810">
        <f t="shared" si="23"/>
        <v>1305.9283954732398</v>
      </c>
      <c r="M301" s="810">
        <f t="shared" si="23"/>
        <v>1427.8339915843655</v>
      </c>
      <c r="N301" s="810">
        <f t="shared" si="23"/>
        <v>1550.2048123287768</v>
      </c>
      <c r="O301" s="810">
        <f t="shared" si="23"/>
        <v>1679.0544017454993</v>
      </c>
      <c r="P301" s="810">
        <f t="shared" si="23"/>
        <v>1811.5915897442731</v>
      </c>
      <c r="Q301" s="810">
        <f t="shared" si="23"/>
        <v>1911.5537187475268</v>
      </c>
      <c r="R301" s="810">
        <f t="shared" si="23"/>
        <v>2011.5323207764379</v>
      </c>
      <c r="S301" s="810">
        <f t="shared" si="23"/>
        <v>2111.4916730155196</v>
      </c>
      <c r="T301" s="810">
        <f t="shared" si="23"/>
        <v>2211.4551591529917</v>
      </c>
      <c r="U301" s="810">
        <f t="shared" si="23"/>
        <v>2311.5002960126294</v>
      </c>
      <c r="V301" s="810">
        <f t="shared" si="23"/>
        <v>2375.1411173537922</v>
      </c>
      <c r="W301" s="810">
        <f t="shared" si="23"/>
        <v>2414.965566565158</v>
      </c>
      <c r="X301" s="810">
        <f t="shared" si="23"/>
        <v>2454.8003580752206</v>
      </c>
      <c r="Y301" s="810">
        <f t="shared" si="23"/>
        <v>2494.6311249803603</v>
      </c>
      <c r="Z301" s="810">
        <f t="shared" si="23"/>
        <v>2534.480156738819</v>
      </c>
      <c r="AA301" s="810">
        <f t="shared" si="23"/>
        <v>2574.3109236439586</v>
      </c>
      <c r="AB301" s="810">
        <f t="shared" si="23"/>
        <v>2614.1599554024169</v>
      </c>
      <c r="AC301" s="810">
        <f t="shared" si="23"/>
        <v>2653.9907223075566</v>
      </c>
      <c r="AD301" s="810">
        <f t="shared" si="23"/>
        <v>2693.8214892126975</v>
      </c>
      <c r="AE301" s="810">
        <f t="shared" si="23"/>
        <v>2733.669585016522</v>
      </c>
      <c r="AF301" s="810">
        <f t="shared" si="23"/>
        <v>2773.504376526585</v>
      </c>
      <c r="AG301" s="810">
        <f t="shared" si="23"/>
        <v>2813.3297616925834</v>
      </c>
      <c r="AH301" s="802">
        <f t="shared" si="23"/>
        <v>2853.1787934510412</v>
      </c>
      <c r="AI301" s="39"/>
      <c r="AJ301" s="39"/>
      <c r="AK301" s="39"/>
      <c r="AL301" s="39"/>
      <c r="AM301" s="39"/>
    </row>
    <row r="302" spans="2:39" ht="21.95" customHeight="1" x14ac:dyDescent="0.2">
      <c r="B302" s="1346"/>
      <c r="C302" s="116"/>
      <c r="D302" s="116"/>
      <c r="E302" s="116" t="s">
        <v>467</v>
      </c>
      <c r="F302" s="116"/>
      <c r="G302" s="810">
        <f t="shared" ref="G302:AH302" si="24">G286*G14</f>
        <v>0</v>
      </c>
      <c r="H302" s="810">
        <f t="shared" si="24"/>
        <v>0</v>
      </c>
      <c r="I302" s="810">
        <f t="shared" si="24"/>
        <v>7691.4918674769533</v>
      </c>
      <c r="J302" s="810">
        <f t="shared" si="24"/>
        <v>8131.0757450782385</v>
      </c>
      <c r="K302" s="810">
        <f t="shared" si="24"/>
        <v>8758.9667926016446</v>
      </c>
      <c r="L302" s="810">
        <f t="shared" si="24"/>
        <v>9713.2638898017085</v>
      </c>
      <c r="M302" s="810">
        <f t="shared" si="24"/>
        <v>10697.546955069216</v>
      </c>
      <c r="N302" s="810">
        <f t="shared" si="24"/>
        <v>11687.890398453703</v>
      </c>
      <c r="O302" s="810">
        <f t="shared" si="24"/>
        <v>12729.376885124419</v>
      </c>
      <c r="P302" s="810">
        <f t="shared" si="24"/>
        <v>13801.251229401169</v>
      </c>
      <c r="Q302" s="810">
        <f t="shared" si="24"/>
        <v>14670.592498426782</v>
      </c>
      <c r="R302" s="810">
        <f t="shared" si="24"/>
        <v>15540.081262609088</v>
      </c>
      <c r="S302" s="810">
        <f t="shared" si="24"/>
        <v>16409.39501081645</v>
      </c>
      <c r="T302" s="810">
        <f t="shared" si="24"/>
        <v>17278.744926725791</v>
      </c>
      <c r="U302" s="810">
        <f t="shared" si="24"/>
        <v>18148.849138486075</v>
      </c>
      <c r="V302" s="810">
        <f t="shared" si="24"/>
        <v>18686.752405400854</v>
      </c>
      <c r="W302" s="810">
        <f t="shared" si="24"/>
        <v>19006.452887504831</v>
      </c>
      <c r="X302" s="810">
        <f t="shared" si="24"/>
        <v>19326.222577808476</v>
      </c>
      <c r="Y302" s="810">
        <f t="shared" si="24"/>
        <v>19645.966625629331</v>
      </c>
      <c r="Z302" s="810">
        <f t="shared" si="24"/>
        <v>19965.878083213131</v>
      </c>
      <c r="AA302" s="810">
        <f t="shared" si="24"/>
        <v>20285.622131033982</v>
      </c>
      <c r="AB302" s="810">
        <f t="shared" si="24"/>
        <v>20605.533588617785</v>
      </c>
      <c r="AC302" s="810">
        <f t="shared" si="24"/>
        <v>20925.277636438648</v>
      </c>
      <c r="AD302" s="810">
        <f t="shared" si="24"/>
        <v>21245.021684259504</v>
      </c>
      <c r="AE302" s="810">
        <f t="shared" si="24"/>
        <v>21564.92386549294</v>
      </c>
      <c r="AF302" s="810">
        <f t="shared" si="24"/>
        <v>21884.693555796592</v>
      </c>
      <c r="AG302" s="810">
        <f t="shared" si="24"/>
        <v>22204.403314250918</v>
      </c>
      <c r="AH302" s="802">
        <f t="shared" si="24"/>
        <v>22524.314771834717</v>
      </c>
      <c r="AI302" s="39"/>
      <c r="AJ302" s="39"/>
      <c r="AK302" s="39"/>
      <c r="AL302" s="39"/>
      <c r="AM302" s="39"/>
    </row>
    <row r="303" spans="2:39" ht="21.95" customHeight="1" x14ac:dyDescent="0.2">
      <c r="B303" s="1346"/>
      <c r="C303" s="116"/>
      <c r="D303" s="116"/>
      <c r="E303" s="772" t="s">
        <v>25</v>
      </c>
      <c r="F303" s="240"/>
      <c r="G303" s="811">
        <f>G301+G302</f>
        <v>0</v>
      </c>
      <c r="H303" s="811">
        <f>H301+H302</f>
        <v>0</v>
      </c>
      <c r="I303" s="811">
        <f t="shared" ref="I303:AH303" si="25">I301+I302</f>
        <v>8740.4626839133107</v>
      </c>
      <c r="J303" s="811">
        <f t="shared" si="25"/>
        <v>9236.5986430902303</v>
      </c>
      <c r="K303" s="811">
        <f t="shared" si="25"/>
        <v>9946.633089589337</v>
      </c>
      <c r="L303" s="811">
        <f t="shared" si="25"/>
        <v>11019.192285274949</v>
      </c>
      <c r="M303" s="811">
        <f t="shared" si="25"/>
        <v>12125.380946653582</v>
      </c>
      <c r="N303" s="811">
        <f t="shared" si="25"/>
        <v>13238.09521078248</v>
      </c>
      <c r="O303" s="811">
        <f t="shared" si="25"/>
        <v>14408.431286869918</v>
      </c>
      <c r="P303" s="811">
        <f t="shared" si="25"/>
        <v>15612.842819145442</v>
      </c>
      <c r="Q303" s="811">
        <f t="shared" si="25"/>
        <v>16582.146217174308</v>
      </c>
      <c r="R303" s="811">
        <f t="shared" si="25"/>
        <v>17551.613583385526</v>
      </c>
      <c r="S303" s="811">
        <f t="shared" si="25"/>
        <v>18520.88668383197</v>
      </c>
      <c r="T303" s="811">
        <f t="shared" si="25"/>
        <v>19490.200085878783</v>
      </c>
      <c r="U303" s="811">
        <f t="shared" si="25"/>
        <v>20460.349434498705</v>
      </c>
      <c r="V303" s="811">
        <f t="shared" si="25"/>
        <v>21061.893522754646</v>
      </c>
      <c r="W303" s="811">
        <f t="shared" si="25"/>
        <v>21421.41845406999</v>
      </c>
      <c r="X303" s="811">
        <f t="shared" si="25"/>
        <v>21781.022935883695</v>
      </c>
      <c r="Y303" s="811">
        <f t="shared" si="25"/>
        <v>22140.59775060969</v>
      </c>
      <c r="Z303" s="811">
        <f t="shared" si="25"/>
        <v>22500.358239951951</v>
      </c>
      <c r="AA303" s="811">
        <f t="shared" si="25"/>
        <v>22859.933054677942</v>
      </c>
      <c r="AB303" s="811">
        <f t="shared" si="25"/>
        <v>23219.693544020203</v>
      </c>
      <c r="AC303" s="811">
        <f t="shared" si="25"/>
        <v>23579.268358746205</v>
      </c>
      <c r="AD303" s="811">
        <f t="shared" si="25"/>
        <v>23938.8431734722</v>
      </c>
      <c r="AE303" s="811">
        <f t="shared" si="25"/>
        <v>24298.593450509463</v>
      </c>
      <c r="AF303" s="811">
        <f t="shared" si="25"/>
        <v>24658.197932323175</v>
      </c>
      <c r="AG303" s="811">
        <f t="shared" si="25"/>
        <v>25017.733075943503</v>
      </c>
      <c r="AH303" s="805">
        <f t="shared" si="25"/>
        <v>25377.49356528576</v>
      </c>
      <c r="AI303" s="39"/>
      <c r="AJ303" s="39"/>
      <c r="AK303" s="39"/>
      <c r="AL303" s="39"/>
      <c r="AM303" s="39"/>
    </row>
    <row r="304" spans="2:39" ht="21.95" customHeight="1" x14ac:dyDescent="0.2">
      <c r="B304" s="1346" t="s">
        <v>41</v>
      </c>
      <c r="C304" s="220"/>
      <c r="D304" s="220"/>
      <c r="E304" s="220" t="s">
        <v>19</v>
      </c>
      <c r="F304" s="220"/>
      <c r="G304" s="799">
        <f t="shared" ref="G304:AH304" si="26">G288*G15</f>
        <v>0</v>
      </c>
      <c r="H304" s="799">
        <f t="shared" si="26"/>
        <v>0</v>
      </c>
      <c r="I304" s="799">
        <f t="shared" si="26"/>
        <v>2513218.8162088697</v>
      </c>
      <c r="J304" s="799">
        <f t="shared" si="26"/>
        <v>2641745.5835932004</v>
      </c>
      <c r="K304" s="799">
        <f t="shared" si="26"/>
        <v>2831851.2094314224</v>
      </c>
      <c r="L304" s="799">
        <f t="shared" si="26"/>
        <v>3103647.9523456795</v>
      </c>
      <c r="M304" s="799">
        <f t="shared" si="26"/>
        <v>3383423.9777494986</v>
      </c>
      <c r="N304" s="799">
        <f t="shared" si="26"/>
        <v>3671645.6644869363</v>
      </c>
      <c r="O304" s="799">
        <f t="shared" si="26"/>
        <v>3967990.2720985622</v>
      </c>
      <c r="P304" s="799">
        <f t="shared" si="26"/>
        <v>4272950.260229772</v>
      </c>
      <c r="Q304" s="799">
        <f t="shared" si="26"/>
        <v>4508728.129566134</v>
      </c>
      <c r="R304" s="799">
        <f t="shared" si="26"/>
        <v>4744544.8533659782</v>
      </c>
      <c r="S304" s="799">
        <f t="shared" si="26"/>
        <v>4980316.1732265837</v>
      </c>
      <c r="T304" s="799">
        <f t="shared" si="26"/>
        <v>5216097.2435973538</v>
      </c>
      <c r="U304" s="799">
        <f t="shared" si="26"/>
        <v>5452070.9012358617</v>
      </c>
      <c r="V304" s="799">
        <f t="shared" si="26"/>
        <v>5602178.7211498097</v>
      </c>
      <c r="W304" s="799">
        <f t="shared" si="26"/>
        <v>5696111.5322671523</v>
      </c>
      <c r="X304" s="799">
        <f t="shared" si="26"/>
        <v>5790068.7374742869</v>
      </c>
      <c r="Y304" s="799">
        <f t="shared" si="26"/>
        <v>5884016.449958696</v>
      </c>
      <c r="Z304" s="799">
        <f t="shared" si="26"/>
        <v>5978007.2432402223</v>
      </c>
      <c r="AA304" s="799">
        <f t="shared" si="26"/>
        <v>6071954.9557246314</v>
      </c>
      <c r="AB304" s="799">
        <f t="shared" si="26"/>
        <v>6165945.7490061587</v>
      </c>
      <c r="AC304" s="799">
        <f t="shared" si="26"/>
        <v>6259893.4614905696</v>
      </c>
      <c r="AD304" s="799">
        <f t="shared" si="26"/>
        <v>6353841.1739749769</v>
      </c>
      <c r="AE304" s="799">
        <f t="shared" si="26"/>
        <v>6447829.7596465684</v>
      </c>
      <c r="AF304" s="799">
        <f t="shared" si="26"/>
        <v>6541786.964853704</v>
      </c>
      <c r="AG304" s="799">
        <f t="shared" si="26"/>
        <v>6635721.9835809786</v>
      </c>
      <c r="AH304" s="800">
        <f t="shared" si="26"/>
        <v>6729712.7768625077</v>
      </c>
      <c r="AI304" s="39"/>
      <c r="AJ304" s="39"/>
      <c r="AK304" s="39"/>
      <c r="AL304" s="39"/>
      <c r="AM304" s="39"/>
    </row>
    <row r="305" spans="1:39" ht="21.95" customHeight="1" x14ac:dyDescent="0.2">
      <c r="B305" s="1346"/>
      <c r="C305" s="116"/>
      <c r="D305" s="116"/>
      <c r="E305" s="116" t="s">
        <v>467</v>
      </c>
      <c r="F305" s="116"/>
      <c r="G305" s="810">
        <f t="shared" ref="G305:AH305" si="27">G289*G15</f>
        <v>0</v>
      </c>
      <c r="H305" s="810">
        <f t="shared" si="27"/>
        <v>0</v>
      </c>
      <c r="I305" s="810">
        <f t="shared" si="27"/>
        <v>624982.94615899236</v>
      </c>
      <c r="J305" s="810">
        <f t="shared" si="27"/>
        <v>658964.37981141137</v>
      </c>
      <c r="K305" s="810">
        <f t="shared" si="27"/>
        <v>708303.78632364247</v>
      </c>
      <c r="L305" s="810">
        <f t="shared" si="27"/>
        <v>782904.80942708824</v>
      </c>
      <c r="M305" s="810">
        <f t="shared" si="27"/>
        <v>859713.19507739064</v>
      </c>
      <c r="N305" s="810">
        <f t="shared" si="27"/>
        <v>938854.94319322926</v>
      </c>
      <c r="O305" s="810">
        <f t="shared" si="27"/>
        <v>1020243.0881014932</v>
      </c>
      <c r="P305" s="810">
        <f t="shared" si="27"/>
        <v>1104019.3572855457</v>
      </c>
      <c r="Q305" s="810">
        <f t="shared" si="27"/>
        <v>1173561.5729251564</v>
      </c>
      <c r="R305" s="810">
        <f t="shared" si="27"/>
        <v>1243115.5873144157</v>
      </c>
      <c r="S305" s="810">
        <f t="shared" si="27"/>
        <v>1312655.6014495699</v>
      </c>
      <c r="T305" s="810">
        <f t="shared" si="27"/>
        <v>1382198.5087892932</v>
      </c>
      <c r="U305" s="810">
        <f t="shared" si="27"/>
        <v>1451801.7553842559</v>
      </c>
      <c r="V305" s="810">
        <f t="shared" si="27"/>
        <v>1494830.8698572929</v>
      </c>
      <c r="W305" s="810">
        <f t="shared" si="27"/>
        <v>1520405.0380909957</v>
      </c>
      <c r="X305" s="810">
        <f t="shared" si="27"/>
        <v>1545984.7425757861</v>
      </c>
      <c r="Y305" s="810">
        <f t="shared" si="27"/>
        <v>1571562.3958119685</v>
      </c>
      <c r="Z305" s="810">
        <f t="shared" si="27"/>
        <v>1597153.4408497945</v>
      </c>
      <c r="AA305" s="810">
        <f t="shared" si="27"/>
        <v>1622731.0940859765</v>
      </c>
      <c r="AB305" s="810">
        <f t="shared" si="27"/>
        <v>1648322.1391238023</v>
      </c>
      <c r="AC305" s="810">
        <f t="shared" si="27"/>
        <v>1673899.7923599847</v>
      </c>
      <c r="AD305" s="810">
        <f t="shared" si="27"/>
        <v>1699477.4455961674</v>
      </c>
      <c r="AE305" s="810">
        <f t="shared" si="27"/>
        <v>1725067.7485802323</v>
      </c>
      <c r="AF305" s="810">
        <f t="shared" si="27"/>
        <v>1750647.4530650231</v>
      </c>
      <c r="AG305" s="810">
        <f t="shared" si="27"/>
        <v>1776222.3633524857</v>
      </c>
      <c r="AH305" s="802">
        <f t="shared" si="27"/>
        <v>1801813.4083903111</v>
      </c>
      <c r="AI305" s="39"/>
      <c r="AJ305" s="39"/>
      <c r="AK305" s="39"/>
      <c r="AL305" s="39"/>
      <c r="AM305" s="39"/>
    </row>
    <row r="306" spans="1:39" ht="21.95" customHeight="1" x14ac:dyDescent="0.2">
      <c r="B306" s="1346"/>
      <c r="C306" s="116"/>
      <c r="D306" s="116"/>
      <c r="E306" s="772" t="s">
        <v>25</v>
      </c>
      <c r="F306" s="240"/>
      <c r="G306" s="803">
        <f>G304+G305</f>
        <v>0</v>
      </c>
      <c r="H306" s="803">
        <f>H304+H305</f>
        <v>0</v>
      </c>
      <c r="I306" s="803">
        <f t="shared" ref="I306:AH306" si="28">I304+I305</f>
        <v>3138201.7623678623</v>
      </c>
      <c r="J306" s="803">
        <f t="shared" si="28"/>
        <v>3300709.9634046117</v>
      </c>
      <c r="K306" s="803">
        <f t="shared" si="28"/>
        <v>3540154.9957550648</v>
      </c>
      <c r="L306" s="803">
        <f t="shared" si="28"/>
        <v>3886552.7617727676</v>
      </c>
      <c r="M306" s="803">
        <f t="shared" si="28"/>
        <v>4243137.172826889</v>
      </c>
      <c r="N306" s="803">
        <f t="shared" si="28"/>
        <v>4610500.6076801652</v>
      </c>
      <c r="O306" s="803">
        <f t="shared" si="28"/>
        <v>4988233.3602000549</v>
      </c>
      <c r="P306" s="803">
        <f t="shared" si="28"/>
        <v>5376969.6175153181</v>
      </c>
      <c r="Q306" s="803">
        <f t="shared" si="28"/>
        <v>5682289.7024912909</v>
      </c>
      <c r="R306" s="803">
        <f t="shared" si="28"/>
        <v>5987660.4406803939</v>
      </c>
      <c r="S306" s="803">
        <f t="shared" si="28"/>
        <v>6292971.7746761534</v>
      </c>
      <c r="T306" s="803">
        <f t="shared" si="28"/>
        <v>6598295.7523866473</v>
      </c>
      <c r="U306" s="803">
        <f t="shared" si="28"/>
        <v>6903872.6566201178</v>
      </c>
      <c r="V306" s="803">
        <f t="shared" si="28"/>
        <v>7097009.5910071023</v>
      </c>
      <c r="W306" s="803">
        <f t="shared" si="28"/>
        <v>7216516.5703581478</v>
      </c>
      <c r="X306" s="803">
        <f t="shared" si="28"/>
        <v>7336053.480050073</v>
      </c>
      <c r="Y306" s="803">
        <f t="shared" si="28"/>
        <v>7455578.8457706645</v>
      </c>
      <c r="Z306" s="803">
        <f t="shared" si="28"/>
        <v>7575160.6840900164</v>
      </c>
      <c r="AA306" s="803">
        <f t="shared" si="28"/>
        <v>7694686.0498106079</v>
      </c>
      <c r="AB306" s="803">
        <f t="shared" si="28"/>
        <v>7814267.8881299607</v>
      </c>
      <c r="AC306" s="803">
        <f t="shared" si="28"/>
        <v>7933793.2538505541</v>
      </c>
      <c r="AD306" s="803">
        <f t="shared" si="28"/>
        <v>8053318.6195711438</v>
      </c>
      <c r="AE306" s="803">
        <f t="shared" si="28"/>
        <v>8172897.5082268007</v>
      </c>
      <c r="AF306" s="803">
        <f t="shared" si="28"/>
        <v>8292434.4179187268</v>
      </c>
      <c r="AG306" s="803">
        <f t="shared" si="28"/>
        <v>8411944.3469334636</v>
      </c>
      <c r="AH306" s="804">
        <f t="shared" si="28"/>
        <v>8531526.1852528192</v>
      </c>
      <c r="AI306" s="39"/>
      <c r="AJ306" s="39"/>
      <c r="AK306" s="39"/>
      <c r="AL306" s="39"/>
      <c r="AM306" s="39"/>
    </row>
    <row r="307" spans="1:39" ht="21.95" customHeight="1" x14ac:dyDescent="0.2">
      <c r="B307" s="1346" t="s">
        <v>40</v>
      </c>
      <c r="C307" s="220"/>
      <c r="D307" s="220"/>
      <c r="E307" s="220" t="s">
        <v>19</v>
      </c>
      <c r="F307" s="220"/>
      <c r="G307" s="810">
        <f t="shared" ref="G307:AH307" si="29">G291*G16</f>
        <v>0</v>
      </c>
      <c r="H307" s="810">
        <f t="shared" si="29"/>
        <v>0</v>
      </c>
      <c r="I307" s="810">
        <f t="shared" si="29"/>
        <v>15120040.542391183</v>
      </c>
      <c r="J307" s="810">
        <f t="shared" si="29"/>
        <v>15897511.222760614</v>
      </c>
      <c r="K307" s="810">
        <f t="shared" si="29"/>
        <v>17039813.513189122</v>
      </c>
      <c r="L307" s="810">
        <f t="shared" si="29"/>
        <v>18695365.274450384</v>
      </c>
      <c r="M307" s="810">
        <f t="shared" si="29"/>
        <v>20397165.823704977</v>
      </c>
      <c r="N307" s="810">
        <f t="shared" si="29"/>
        <v>22144547.347958557</v>
      </c>
      <c r="O307" s="810">
        <f t="shared" si="29"/>
        <v>23936795.897343278</v>
      </c>
      <c r="P307" s="810">
        <f t="shared" si="29"/>
        <v>26178666.676487628</v>
      </c>
      <c r="Q307" s="810">
        <f t="shared" si="29"/>
        <v>28048155.961172819</v>
      </c>
      <c r="R307" s="810">
        <f t="shared" si="29"/>
        <v>29962337.300024811</v>
      </c>
      <c r="S307" s="810">
        <f t="shared" si="29"/>
        <v>31920681.636621941</v>
      </c>
      <c r="T307" s="810">
        <f t="shared" si="29"/>
        <v>33923534.836059026</v>
      </c>
      <c r="U307" s="810">
        <f t="shared" si="29"/>
        <v>35972105.990317747</v>
      </c>
      <c r="V307" s="810">
        <f t="shared" si="29"/>
        <v>38018570.682805173</v>
      </c>
      <c r="W307" s="810">
        <f t="shared" si="29"/>
        <v>39192924.77055575</v>
      </c>
      <c r="X307" s="810">
        <f t="shared" si="29"/>
        <v>40385156.357649572</v>
      </c>
      <c r="Y307" s="810">
        <f t="shared" si="29"/>
        <v>41595032.790733211</v>
      </c>
      <c r="Z307" s="810">
        <f t="shared" si="29"/>
        <v>42822927.991360493</v>
      </c>
      <c r="AA307" s="810">
        <f t="shared" si="29"/>
        <v>44640543.469002984</v>
      </c>
      <c r="AB307" s="810">
        <f t="shared" si="29"/>
        <v>45912730.317151263</v>
      </c>
      <c r="AC307" s="810">
        <f t="shared" si="29"/>
        <v>47202310.600659966</v>
      </c>
      <c r="AD307" s="810">
        <f t="shared" si="29"/>
        <v>48509601.046219304</v>
      </c>
      <c r="AE307" s="810">
        <f t="shared" si="29"/>
        <v>49834917.560419492</v>
      </c>
      <c r="AF307" s="810">
        <f t="shared" si="29"/>
        <v>51794305.318910129</v>
      </c>
      <c r="AG307" s="810">
        <f t="shared" si="29"/>
        <v>53163484.380197719</v>
      </c>
      <c r="AH307" s="802">
        <f t="shared" si="29"/>
        <v>54550823.317268446</v>
      </c>
      <c r="AI307" s="39"/>
      <c r="AJ307" s="39"/>
      <c r="AK307" s="39"/>
      <c r="AL307" s="39"/>
      <c r="AM307" s="39"/>
    </row>
    <row r="308" spans="1:39" ht="21.95" customHeight="1" x14ac:dyDescent="0.2">
      <c r="B308" s="1346"/>
      <c r="C308" s="116"/>
      <c r="D308" s="116"/>
      <c r="E308" s="116" t="s">
        <v>467</v>
      </c>
      <c r="F308" s="116"/>
      <c r="G308" s="810">
        <f t="shared" ref="G308:AH308" si="30">G292*G16</f>
        <v>0</v>
      </c>
      <c r="H308" s="810">
        <f t="shared" si="30"/>
        <v>0</v>
      </c>
      <c r="I308" s="810">
        <f t="shared" si="30"/>
        <v>39061164.247174956</v>
      </c>
      <c r="J308" s="810">
        <f t="shared" si="30"/>
        <v>41195943.44648546</v>
      </c>
      <c r="K308" s="810">
        <f t="shared" si="30"/>
        <v>44275995.373680778</v>
      </c>
      <c r="L308" s="810">
        <f t="shared" si="30"/>
        <v>48991961.328800812</v>
      </c>
      <c r="M308" s="810">
        <f t="shared" si="30"/>
        <v>53842021.839627907</v>
      </c>
      <c r="N308" s="810">
        <f t="shared" si="30"/>
        <v>58824589.557631351</v>
      </c>
      <c r="O308" s="810">
        <f t="shared" si="30"/>
        <v>63937174.883518234</v>
      </c>
      <c r="P308" s="810">
        <f t="shared" si="30"/>
        <v>70266890.902686432</v>
      </c>
      <c r="Q308" s="810">
        <f t="shared" si="30"/>
        <v>75842127.821360394</v>
      </c>
      <c r="R308" s="810">
        <f t="shared" si="30"/>
        <v>81554326.910426959</v>
      </c>
      <c r="S308" s="810">
        <f t="shared" si="30"/>
        <v>87401805.029263839</v>
      </c>
      <c r="T308" s="810">
        <f t="shared" si="30"/>
        <v>93385662.42674315</v>
      </c>
      <c r="U308" s="810">
        <f t="shared" si="30"/>
        <v>99509845.086711273</v>
      </c>
      <c r="V308" s="810">
        <f t="shared" si="30"/>
        <v>105386564.53397609</v>
      </c>
      <c r="W308" s="810">
        <f t="shared" si="30"/>
        <v>108678304.19420132</v>
      </c>
      <c r="X308" s="810">
        <f t="shared" si="30"/>
        <v>112020528.22146922</v>
      </c>
      <c r="Y308" s="810">
        <f t="shared" si="30"/>
        <v>115412695.66643588</v>
      </c>
      <c r="Z308" s="810">
        <f t="shared" si="30"/>
        <v>118855949.73460129</v>
      </c>
      <c r="AA308" s="810">
        <f t="shared" si="30"/>
        <v>123937249.46948892</v>
      </c>
      <c r="AB308" s="810">
        <f t="shared" si="30"/>
        <v>127505781.09090625</v>
      </c>
      <c r="AC308" s="810">
        <f t="shared" si="30"/>
        <v>131123379.94449696</v>
      </c>
      <c r="AD308" s="810">
        <f t="shared" si="30"/>
        <v>134791068.83870253</v>
      </c>
      <c r="AE308" s="810">
        <f t="shared" si="30"/>
        <v>138509863.4523873</v>
      </c>
      <c r="AF308" s="810">
        <f t="shared" si="30"/>
        <v>143992103.2274861</v>
      </c>
      <c r="AG308" s="810">
        <f t="shared" si="30"/>
        <v>147834893.36322728</v>
      </c>
      <c r="AH308" s="802">
        <f t="shared" si="30"/>
        <v>151729126.86110219</v>
      </c>
      <c r="AI308" s="39"/>
      <c r="AJ308" s="39"/>
      <c r="AK308" s="39"/>
      <c r="AL308" s="39"/>
      <c r="AM308" s="39"/>
    </row>
    <row r="309" spans="1:39" ht="21.95" customHeight="1" thickBot="1" x14ac:dyDescent="0.25">
      <c r="B309" s="1347"/>
      <c r="C309" s="278"/>
      <c r="D309" s="278"/>
      <c r="E309" s="789" t="s">
        <v>25</v>
      </c>
      <c r="F309" s="789"/>
      <c r="G309" s="806">
        <f>G307+G308</f>
        <v>0</v>
      </c>
      <c r="H309" s="806">
        <f>H307+H308</f>
        <v>0</v>
      </c>
      <c r="I309" s="806">
        <f t="shared" ref="I309:AH309" si="31">I307+I308</f>
        <v>54181204.789566137</v>
      </c>
      <c r="J309" s="806">
        <f t="shared" si="31"/>
        <v>57093454.669246078</v>
      </c>
      <c r="K309" s="806">
        <f t="shared" si="31"/>
        <v>61315808.8868699</v>
      </c>
      <c r="L309" s="806">
        <f t="shared" si="31"/>
        <v>67687326.603251189</v>
      </c>
      <c r="M309" s="806">
        <f t="shared" si="31"/>
        <v>74239187.66333288</v>
      </c>
      <c r="N309" s="806">
        <f t="shared" si="31"/>
        <v>80969136.905589908</v>
      </c>
      <c r="O309" s="806">
        <f t="shared" si="31"/>
        <v>87873970.780861512</v>
      </c>
      <c r="P309" s="806">
        <f t="shared" si="31"/>
        <v>96445557.579174057</v>
      </c>
      <c r="Q309" s="806">
        <f t="shared" si="31"/>
        <v>103890283.78253321</v>
      </c>
      <c r="R309" s="806">
        <f t="shared" si="31"/>
        <v>111516664.21045177</v>
      </c>
      <c r="S309" s="806">
        <f t="shared" si="31"/>
        <v>119322486.66588578</v>
      </c>
      <c r="T309" s="806">
        <f t="shared" si="31"/>
        <v>127309197.26280218</v>
      </c>
      <c r="U309" s="806">
        <f t="shared" si="31"/>
        <v>135481951.07702902</v>
      </c>
      <c r="V309" s="806">
        <f t="shared" si="31"/>
        <v>143405135.21678126</v>
      </c>
      <c r="W309" s="806">
        <f t="shared" si="31"/>
        <v>147871228.96475708</v>
      </c>
      <c r="X309" s="806">
        <f t="shared" si="31"/>
        <v>152405684.57911879</v>
      </c>
      <c r="Y309" s="806">
        <f t="shared" si="31"/>
        <v>157007728.45716909</v>
      </c>
      <c r="Z309" s="806">
        <f t="shared" si="31"/>
        <v>161678877.72596177</v>
      </c>
      <c r="AA309" s="806">
        <f t="shared" si="31"/>
        <v>168577792.93849191</v>
      </c>
      <c r="AB309" s="806">
        <f t="shared" si="31"/>
        <v>173418511.40805751</v>
      </c>
      <c r="AC309" s="806">
        <f t="shared" si="31"/>
        <v>178325690.54515693</v>
      </c>
      <c r="AD309" s="806">
        <f t="shared" si="31"/>
        <v>183300669.88492185</v>
      </c>
      <c r="AE309" s="806">
        <f t="shared" si="31"/>
        <v>188344781.0128068</v>
      </c>
      <c r="AF309" s="806">
        <f t="shared" si="31"/>
        <v>195786408.54639623</v>
      </c>
      <c r="AG309" s="806">
        <f t="shared" si="31"/>
        <v>200998377.74342501</v>
      </c>
      <c r="AH309" s="807">
        <f t="shared" si="31"/>
        <v>206279950.17837065</v>
      </c>
      <c r="AI309" s="39"/>
      <c r="AJ309" s="39"/>
      <c r="AK309" s="39"/>
      <c r="AL309" s="39"/>
      <c r="AM309" s="39"/>
    </row>
    <row r="310" spans="1:39" ht="21.95" customHeight="1" x14ac:dyDescent="0.2">
      <c r="B310" s="9"/>
      <c r="F310"/>
      <c r="G310" s="24"/>
      <c r="H310" s="24"/>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row>
    <row r="311" spans="1:39" ht="21.95" customHeight="1" x14ac:dyDescent="0.2">
      <c r="K311" s="2"/>
      <c r="L311" s="2"/>
      <c r="M311" s="2"/>
      <c r="N311" s="2"/>
      <c r="O311" s="2"/>
    </row>
    <row r="312" spans="1:39" ht="21.95" customHeight="1" x14ac:dyDescent="0.2">
      <c r="A312" s="226" t="s">
        <v>87</v>
      </c>
      <c r="B312" s="798" t="s">
        <v>485</v>
      </c>
      <c r="K312" s="2"/>
      <c r="L312" s="2"/>
      <c r="M312" s="2"/>
      <c r="N312" s="2"/>
      <c r="O312" s="2"/>
    </row>
    <row r="313" spans="1:39" ht="21.95" customHeight="1" x14ac:dyDescent="0.2">
      <c r="K313" s="2"/>
      <c r="L313" s="2"/>
      <c r="M313" s="2"/>
      <c r="N313" s="2"/>
      <c r="O313" s="2"/>
    </row>
    <row r="314" spans="1:39" ht="21.95" customHeight="1" x14ac:dyDescent="0.2">
      <c r="B314" s="466"/>
      <c r="C314" s="466"/>
      <c r="D314" s="466"/>
      <c r="E314" s="466"/>
      <c r="F314" s="466"/>
      <c r="G314" s="251"/>
      <c r="H314" s="251"/>
      <c r="I314" s="250"/>
      <c r="J314" s="250"/>
      <c r="K314" s="250"/>
      <c r="L314" s="250"/>
      <c r="M314" s="250"/>
      <c r="N314" s="250"/>
      <c r="O314" s="250"/>
      <c r="P314" s="250"/>
      <c r="Q314" s="250"/>
      <c r="R314" s="250"/>
      <c r="S314" s="250"/>
      <c r="T314" s="250"/>
      <c r="U314" s="250"/>
      <c r="V314" s="250"/>
      <c r="W314" s="250"/>
      <c r="X314" s="250"/>
      <c r="Y314" s="250"/>
      <c r="Z314" s="250"/>
      <c r="AA314" s="250"/>
      <c r="AB314" s="250"/>
      <c r="AC314" s="250"/>
      <c r="AD314" s="250"/>
      <c r="AE314" s="250"/>
      <c r="AF314" s="250"/>
      <c r="AG314" s="250"/>
      <c r="AH314" s="250"/>
      <c r="AI314" s="250"/>
      <c r="AJ314" s="250"/>
      <c r="AK314" s="250"/>
      <c r="AL314" s="250"/>
      <c r="AM314" s="250"/>
    </row>
    <row r="315" spans="1:39" ht="21.95" customHeight="1" thickBot="1" x14ac:dyDescent="0.25">
      <c r="B315" s="548" t="s">
        <v>498</v>
      </c>
      <c r="K315" s="2"/>
      <c r="L315" s="2"/>
      <c r="M315" s="2"/>
      <c r="N315" s="2"/>
      <c r="O315" s="2"/>
      <c r="AI315" s="40"/>
      <c r="AJ315" s="40"/>
      <c r="AK315" s="40"/>
      <c r="AL315" s="40"/>
      <c r="AM315" s="40"/>
    </row>
    <row r="316" spans="1:39" ht="21.95" customHeight="1" x14ac:dyDescent="0.2">
      <c r="B316" s="573" t="s">
        <v>328</v>
      </c>
      <c r="C316" s="1345" t="s">
        <v>18</v>
      </c>
      <c r="D316" s="1345"/>
      <c r="E316" s="482" t="s">
        <v>24</v>
      </c>
      <c r="F316" s="482" t="s">
        <v>42</v>
      </c>
      <c r="G316" s="482" cm="1">
        <f t="array" ref="G316:AH316">year</f>
        <v>2021</v>
      </c>
      <c r="H316" s="482">
        <v>2022</v>
      </c>
      <c r="I316" s="482">
        <v>2023</v>
      </c>
      <c r="J316" s="482">
        <v>2024</v>
      </c>
      <c r="K316" s="482">
        <v>2025</v>
      </c>
      <c r="L316" s="482">
        <v>2026</v>
      </c>
      <c r="M316" s="482">
        <v>2027</v>
      </c>
      <c r="N316" s="482">
        <v>2028</v>
      </c>
      <c r="O316" s="482">
        <v>2029</v>
      </c>
      <c r="P316" s="482">
        <v>2030</v>
      </c>
      <c r="Q316" s="482">
        <v>2031</v>
      </c>
      <c r="R316" s="482">
        <v>2032</v>
      </c>
      <c r="S316" s="482">
        <v>2033</v>
      </c>
      <c r="T316" s="482">
        <v>2034</v>
      </c>
      <c r="U316" s="482">
        <v>2035</v>
      </c>
      <c r="V316" s="482">
        <v>2036</v>
      </c>
      <c r="W316" s="482">
        <v>2037</v>
      </c>
      <c r="X316" s="482">
        <v>2038</v>
      </c>
      <c r="Y316" s="482">
        <v>2039</v>
      </c>
      <c r="Z316" s="482">
        <v>2040</v>
      </c>
      <c r="AA316" s="482">
        <v>2041</v>
      </c>
      <c r="AB316" s="482">
        <v>2042</v>
      </c>
      <c r="AC316" s="482">
        <v>2043</v>
      </c>
      <c r="AD316" s="482">
        <v>2044</v>
      </c>
      <c r="AE316" s="482">
        <v>2045</v>
      </c>
      <c r="AF316" s="482">
        <v>2046</v>
      </c>
      <c r="AG316" s="482">
        <v>2047</v>
      </c>
      <c r="AH316" s="494">
        <v>2048</v>
      </c>
      <c r="AI316" s="40"/>
      <c r="AJ316" s="40"/>
      <c r="AK316" s="40"/>
      <c r="AL316" s="40"/>
      <c r="AM316" s="40"/>
    </row>
    <row r="317" spans="1:39" ht="21.95" customHeight="1" x14ac:dyDescent="0.2">
      <c r="B317" s="1346" t="s">
        <v>331</v>
      </c>
      <c r="C317" s="220" t="s">
        <v>332</v>
      </c>
      <c r="D317" s="220" t="s">
        <v>282</v>
      </c>
      <c r="E317" s="220" t="s">
        <v>19</v>
      </c>
      <c r="F317" s="220" t="s">
        <v>43</v>
      </c>
      <c r="G317" s="775"/>
      <c r="H317" s="775"/>
      <c r="I317" s="775">
        <f>$E$21*$E$8*'Traffic Data'!AK36*annualizationFactor</f>
        <v>0.50885146399999992</v>
      </c>
      <c r="J317" s="775">
        <f>$E$21*$E$8*'Traffic Data'!AL36*annualizationFactor</f>
        <v>0.53198989416457487</v>
      </c>
      <c r="K317" s="775">
        <f>$E$21*$E$8*'Traffic Data'!AM36*annualizationFactor</f>
        <v>0.56458978123790005</v>
      </c>
      <c r="L317" s="775">
        <f>$E$21*$E$8*'Traffic Data'!AN36*annualizationFactor</f>
        <v>0.61254267107659988</v>
      </c>
      <c r="M317" s="775">
        <f>$E$21*$E$8*'Traffic Data'!AO36*annualizationFactor</f>
        <v>0.66051305268437488</v>
      </c>
      <c r="N317" s="775">
        <f>$E$21*$E$8*'Traffic Data'!AP36*annualizationFactor</f>
        <v>0.70848343429214977</v>
      </c>
      <c r="O317" s="775">
        <f>$E$21*$E$8*'Traffic Data'!AQ36*annualizationFactor</f>
        <v>0.75643632413084982</v>
      </c>
      <c r="P317" s="775">
        <f>$E$21*$E$8*'Traffic Data'!AR36*annualizationFactor</f>
        <v>0.80442419750769967</v>
      </c>
      <c r="Q317" s="775">
        <f>$E$21*$E$8*'Traffic Data'!AS36*annualizationFactor</f>
        <v>0.85184438347002489</v>
      </c>
      <c r="R317" s="775">
        <f>$E$21*$E$8*'Traffic Data'!AT36*annualizationFactor</f>
        <v>0.89927411039729988</v>
      </c>
      <c r="S317" s="775">
        <f>$E$21*$E$8*'Traffic Data'!AU36*annualizationFactor</f>
        <v>0.9466942963596251</v>
      </c>
      <c r="T317" s="775">
        <f>$E$21*$E$8*'Traffic Data'!AV36*annualizationFactor</f>
        <v>0.99411448232194988</v>
      </c>
      <c r="U317" s="775">
        <f>$E$21*$E$8*'Traffic Data'!AW36*annualizationFactor</f>
        <v>1.0415696518224249</v>
      </c>
      <c r="V317" s="775">
        <f>$E$21*$E$8*'Traffic Data'!AX36*annualizationFactor</f>
        <v>1.0736193432502998</v>
      </c>
      <c r="W317" s="775">
        <f>$E$21*$E$8*'Traffic Data'!AY36*annualizationFactor</f>
        <v>1.0967577734148748</v>
      </c>
      <c r="X317" s="775">
        <f>$E$21*$E$8*'Traffic Data'!AZ36*annualizationFactor</f>
        <v>1.1198962035794497</v>
      </c>
      <c r="Y317" s="775">
        <f>$E$21*$E$8*'Traffic Data'!BA36*annualizationFactor</f>
        <v>1.1430346337440247</v>
      </c>
      <c r="Z317" s="775">
        <f>$E$21*$E$8*'Traffic Data'!BB36*annualizationFactor</f>
        <v>1.166181014712725</v>
      </c>
      <c r="AA317" s="775">
        <f>$E$21*$E$8*'Traffic Data'!BC36*annualizationFactor</f>
        <v>1.1893194448772999</v>
      </c>
      <c r="AB317" s="775">
        <f>$E$21*$E$8*'Traffic Data'!BD36*annualizationFactor</f>
        <v>1.2124658258459995</v>
      </c>
      <c r="AC317" s="775">
        <f>$E$21*$E$8*'Traffic Data'!BE36*annualizationFactor</f>
        <v>1.2356042560105749</v>
      </c>
      <c r="AD317" s="775">
        <f>$E$21*$E$8*'Traffic Data'!BF36*annualizationFactor</f>
        <v>1.2587426861751496</v>
      </c>
      <c r="AE317" s="775">
        <f>$E$21*$E$8*'Traffic Data'!BG36*annualizationFactor</f>
        <v>1.2818890671438496</v>
      </c>
      <c r="AF317" s="775">
        <f>$E$21*$E$8*'Traffic Data'!BH36*annualizationFactor</f>
        <v>1.3050274973084248</v>
      </c>
      <c r="AG317" s="775">
        <f>$E$21*$E$8*'Traffic Data'!BI36*annualizationFactor</f>
        <v>1.3281659274729998</v>
      </c>
      <c r="AH317" s="776">
        <f>$E$21*$E$8*'Traffic Data'!BJ36*annualizationFactor</f>
        <v>1.3513123084416996</v>
      </c>
      <c r="AI317" s="40"/>
      <c r="AJ317" s="40"/>
      <c r="AK317" s="40"/>
      <c r="AL317" s="40"/>
      <c r="AM317" s="40"/>
    </row>
    <row r="318" spans="1:39" ht="21.95" customHeight="1" x14ac:dyDescent="0.2">
      <c r="B318" s="1346"/>
      <c r="C318" s="116" t="s">
        <v>282</v>
      </c>
      <c r="D318" s="116" t="s">
        <v>280</v>
      </c>
      <c r="E318" s="116" t="s">
        <v>19</v>
      </c>
      <c r="F318" s="116" t="s">
        <v>43</v>
      </c>
      <c r="G318" s="970"/>
      <c r="H318" s="970"/>
      <c r="I318" s="777">
        <f>$E$21*$E$8*'Traffic Data'!AK37*annualizationFactor</f>
        <v>16.362298383749998</v>
      </c>
      <c r="J318" s="777">
        <f>$E$21*$E$8*'Traffic Data'!AL37*annualizationFactor</f>
        <v>17.225985333991495</v>
      </c>
      <c r="K318" s="777">
        <f>$E$21*$E$8*'Traffic Data'!AM37*annualizationFactor</f>
        <v>18.52248537703575</v>
      </c>
      <c r="L318" s="777">
        <f>$E$21*$E$8*'Traffic Data'!AN37*annualizationFactor</f>
        <v>20.664492038783997</v>
      </c>
      <c r="M318" s="777">
        <f>$E$21*$E$8*'Traffic Data'!AO37*annualizationFactor</f>
        <v>22.807468318214248</v>
      </c>
      <c r="N318" s="777">
        <f>$E$21*$E$8*'Traffic Data'!AP37*annualizationFactor</f>
        <v>24.950323395434243</v>
      </c>
      <c r="O318" s="777">
        <f>$E$21*$E$8*'Traffic Data'!AQ37*annualizationFactor</f>
        <v>27.092330057182497</v>
      </c>
      <c r="P318" s="777">
        <f>$E$21*$E$8*'Traffic Data'!AR37*annualizationFactor</f>
        <v>29.236275954294744</v>
      </c>
      <c r="Q318" s="777">
        <f>$E$21*$E$8*'Traffic Data'!AS37*annualizationFactor</f>
        <v>31.399250598416241</v>
      </c>
      <c r="R318" s="777">
        <f>$E$21*$E$8*'Traffic Data'!AT37*annualizationFactor</f>
        <v>33.562952455799241</v>
      </c>
      <c r="S318" s="777">
        <f>$E$21*$E$8*'Traffic Data'!AU37*annualizationFactor</f>
        <v>35.725927099920739</v>
      </c>
      <c r="T318" s="777">
        <f>$E$21*$E$8*'Traffic Data'!AV37*annualizationFactor</f>
        <v>37.888901744042244</v>
      </c>
      <c r="U318" s="777">
        <f>$E$21*$E$8*'Traffic Data'!AW37*annualizationFactor</f>
        <v>40.05381562352774</v>
      </c>
      <c r="V318" s="777">
        <f>$E$21*$E$8*'Traffic Data'!AX37*annualizationFactor</f>
        <v>41.370314031263248</v>
      </c>
      <c r="W318" s="777">
        <f>$E$21*$E$8*'Traffic Data'!AY37*annualizationFactor</f>
        <v>42.234000981504735</v>
      </c>
      <c r="X318" s="777">
        <f>$E$21*$E$8*'Traffic Data'!AZ37*annualizationFactor</f>
        <v>43.097687931746243</v>
      </c>
      <c r="Y318" s="777">
        <f>$E$21*$E$8*'Traffic Data'!BA37*annualizationFactor</f>
        <v>43.961374881987759</v>
      </c>
      <c r="Z318" s="777">
        <f>$E$21*$E$8*'Traffic Data'!BB37*annualizationFactor</f>
        <v>44.82554664107024</v>
      </c>
      <c r="AA318" s="777">
        <f>$E$21*$E$8*'Traffic Data'!BC37*annualizationFactor</f>
        <v>45.689233591311741</v>
      </c>
      <c r="AB318" s="777">
        <f>$E$21*$E$8*'Traffic Data'!BD37*annualizationFactor</f>
        <v>46.55340535039425</v>
      </c>
      <c r="AC318" s="777">
        <f>$E$21*$E$8*'Traffic Data'!BE37*annualizationFactor</f>
        <v>47.417092300635744</v>
      </c>
      <c r="AD318" s="777">
        <f>$E$21*$E$8*'Traffic Data'!BF37*annualizationFactor</f>
        <v>48.280779250877252</v>
      </c>
      <c r="AE318" s="777">
        <f>$E$21*$E$8*'Traffic Data'!BG37*annualizationFactor</f>
        <v>49.144951009959755</v>
      </c>
      <c r="AF318" s="777">
        <f>$E$21*$E$8*'Traffic Data'!BH37*annualizationFactor</f>
        <v>50.008637960201241</v>
      </c>
      <c r="AG318" s="777">
        <f>$E$21*$E$8*'Traffic Data'!BI37*annualizationFactor</f>
        <v>50.872324910442742</v>
      </c>
      <c r="AH318" s="778">
        <f>$E$21*$E$8*'Traffic Data'!BJ37*annualizationFactor</f>
        <v>51.736496669525245</v>
      </c>
      <c r="AI318" s="40"/>
      <c r="AJ318" s="40"/>
      <c r="AK318" s="40"/>
      <c r="AL318" s="40"/>
      <c r="AM318" s="40"/>
    </row>
    <row r="319" spans="1:39" ht="21.95" customHeight="1" x14ac:dyDescent="0.2">
      <c r="B319" s="1346"/>
      <c r="C319" s="116" t="s">
        <v>280</v>
      </c>
      <c r="D319" s="116" t="s">
        <v>333</v>
      </c>
      <c r="E319" s="254" t="s">
        <v>19</v>
      </c>
      <c r="F319" s="254" t="s">
        <v>43</v>
      </c>
      <c r="G319" s="779"/>
      <c r="H319" s="779"/>
      <c r="I319" s="777">
        <f>$E$21*$E$8*'Traffic Data'!AK38*annualizationFactor</f>
        <v>0.38163859799999994</v>
      </c>
      <c r="J319" s="777">
        <f>$E$21*$E$8*'Traffic Data'!AL38*annualizationFactor</f>
        <v>0.39757518978814987</v>
      </c>
      <c r="K319" s="777">
        <f>$E$21*$E$8*'Traffic Data'!AM38*annualizationFactor</f>
        <v>0.41729954466144981</v>
      </c>
      <c r="L319" s="777">
        <f>$E$21*$E$8*'Traffic Data'!AN38*annualizationFactor</f>
        <v>0.44385523043894998</v>
      </c>
      <c r="M319" s="777">
        <f>$E$21*$E$8*'Traffic Data'!AO38*annualizationFactor</f>
        <v>0.47042045718139996</v>
      </c>
      <c r="N319" s="777">
        <f>$E$21*$E$8*'Traffic Data'!AP38*annualizationFactor</f>
        <v>0.49698250360220003</v>
      </c>
      <c r="O319" s="777">
        <f>$E$21*$E$8*'Traffic Data'!AQ38*annualizationFactor</f>
        <v>0.52353818937969998</v>
      </c>
      <c r="P319" s="777">
        <f>$E$21*$E$8*'Traffic Data'!AR38*annualizationFactor</f>
        <v>0.55011295708710006</v>
      </c>
      <c r="Q319" s="777">
        <f>$E$21*$E$8*'Traffic Data'!AS38*annualizationFactor</f>
        <v>0.57586084116549985</v>
      </c>
      <c r="R319" s="777">
        <f>$E$21*$E$8*'Traffic Data'!AT38*annualizationFactor</f>
        <v>0.60161826620884973</v>
      </c>
      <c r="S319" s="777">
        <f>$E$21*$E$8*'Traffic Data'!AU38*annualizationFactor</f>
        <v>0.62736615028724985</v>
      </c>
      <c r="T319" s="777">
        <f>$E$21*$E$8*'Traffic Data'!AV38*annualizationFactor</f>
        <v>0.65311403436564996</v>
      </c>
      <c r="U319" s="777">
        <f>$E$21*$E$8*'Traffic Data'!AW38*annualizationFactor</f>
        <v>0.67888100037395005</v>
      </c>
      <c r="V319" s="777">
        <f>$E$21*$E$8*'Traffic Data'!AX38*annualizationFactor</f>
        <v>0.69778801258319989</v>
      </c>
      <c r="W319" s="777">
        <f>$E$21*$E$8*'Traffic Data'!AY38*annualizationFactor</f>
        <v>0.71372460437134988</v>
      </c>
      <c r="X319" s="777">
        <f>$E$21*$E$8*'Traffic Data'!AZ38*annualizationFactor</f>
        <v>0.72966119615949976</v>
      </c>
      <c r="Y319" s="777">
        <f>$E$21*$E$8*'Traffic Data'!BA38*annualizationFactor</f>
        <v>0.74559778794764986</v>
      </c>
      <c r="Z319" s="777">
        <f>$E$21*$E$8*'Traffic Data'!BB38*annualizationFactor</f>
        <v>0.76154074037909991</v>
      </c>
      <c r="AA319" s="777">
        <f>$E$21*$E$8*'Traffic Data'!BC38*annualizationFactor</f>
        <v>0.77747733216724979</v>
      </c>
      <c r="AB319" s="777">
        <f>$E$21*$E$8*'Traffic Data'!BD38*annualizationFactor</f>
        <v>0.79342028459869995</v>
      </c>
      <c r="AC319" s="777">
        <f>$E$21*$E$8*'Traffic Data'!BE38*annualizationFactor</f>
        <v>0.80935687638685005</v>
      </c>
      <c r="AD319" s="777">
        <f>$E$21*$E$8*'Traffic Data'!BF38*annualizationFactor</f>
        <v>0.82529346817499971</v>
      </c>
      <c r="AE319" s="777">
        <f>$E$21*$E$8*'Traffic Data'!BG38*annualizationFactor</f>
        <v>0.84123642060644988</v>
      </c>
      <c r="AF319" s="777">
        <f>$E$21*$E$8*'Traffic Data'!BH38*annualizationFactor</f>
        <v>0.85717301239459986</v>
      </c>
      <c r="AG319" s="777">
        <f>$E$21*$E$8*'Traffic Data'!BI38*annualizationFactor</f>
        <v>0.87310960418274963</v>
      </c>
      <c r="AH319" s="778">
        <f>$E$21*$E$8*'Traffic Data'!BJ38*annualizationFactor</f>
        <v>0.88905255661419991</v>
      </c>
      <c r="AI319" s="40"/>
      <c r="AJ319" s="40"/>
      <c r="AK319" s="40"/>
      <c r="AL319" s="40"/>
      <c r="AM319" s="40"/>
    </row>
    <row r="320" spans="1:39" ht="21.95" customHeight="1" x14ac:dyDescent="0.2">
      <c r="B320" s="1346" t="s">
        <v>280</v>
      </c>
      <c r="C320" s="220" t="s">
        <v>281</v>
      </c>
      <c r="D320" s="220" t="s">
        <v>335</v>
      </c>
      <c r="E320" s="116" t="s">
        <v>19</v>
      </c>
      <c r="F320" s="116" t="s">
        <v>43</v>
      </c>
      <c r="G320" s="970"/>
      <c r="H320" s="970"/>
      <c r="I320" s="775">
        <f>$E$21*$F$8*'Traffic Data'!AK39*annualizationFactor</f>
        <v>3.15293132</v>
      </c>
      <c r="J320" s="775">
        <f>$E$21*$F$8*'Traffic Data'!AL39*annualizationFactor</f>
        <v>3.4718660876745999</v>
      </c>
      <c r="K320" s="775">
        <f>$E$21*$F$8*'Traffic Data'!AM39*annualizationFactor</f>
        <v>4.1849172703491995</v>
      </c>
      <c r="L320" s="775">
        <f>$E$21*$F$8*'Traffic Data'!AN39*annualizationFactor</f>
        <v>5.6171363224592001</v>
      </c>
      <c r="M320" s="775">
        <f>$E$21*$F$8*'Traffic Data'!AO39*annualizationFactor</f>
        <v>7.0502381953387996</v>
      </c>
      <c r="N320" s="775">
        <f>$E$21*$F$8*'Traffic Data'!AP39*annualizationFactor</f>
        <v>8.4831824216523977</v>
      </c>
      <c r="O320" s="775">
        <f>$E$21*$F$8*'Traffic Data'!AQ39*annualizationFactor</f>
        <v>9.9154014737623974</v>
      </c>
      <c r="P320" s="775">
        <f>$E$21*$F$8*'Traffic Data'!AR39*annualizationFactor</f>
        <v>11.349386167411598</v>
      </c>
      <c r="Q320" s="775">
        <f>$E$21*$F$8*'Traffic Data'!AS39*annualizationFactor</f>
        <v>12.756476356901198</v>
      </c>
      <c r="R320" s="775">
        <f>$E$21*$F$8*'Traffic Data'!AT39*annualizationFactor</f>
        <v>14.164275955937795</v>
      </c>
      <c r="S320" s="775">
        <f>$E$21*$F$8*'Traffic Data'!AU39*annualizationFactor</f>
        <v>15.571366145427396</v>
      </c>
      <c r="T320" s="775">
        <f>$E$21*$F$8*'Traffic Data'!AV39*annualizationFactor</f>
        <v>16.978456334916999</v>
      </c>
      <c r="U320" s="775">
        <f>$E$21*$F$8*'Traffic Data'!AW39*annualizationFactor</f>
        <v>18.387312165945797</v>
      </c>
      <c r="V320" s="775">
        <f>$E$21*$F$8*'Traffic Data'!AX39*annualizationFactor</f>
        <v>19.074351665230395</v>
      </c>
      <c r="W320" s="775">
        <f>$E$21*$F$8*'Traffic Data'!AY39*annualizationFactor</f>
        <v>19.393286432904997</v>
      </c>
      <c r="X320" s="775">
        <f>$E$21*$F$8*'Traffic Data'!AZ39*annualizationFactor</f>
        <v>19.712221200579599</v>
      </c>
      <c r="Y320" s="775">
        <f>$E$21*$F$8*'Traffic Data'!BA39*annualizationFactor</f>
        <v>20.031155968254197</v>
      </c>
      <c r="Z320" s="775">
        <f>$E$21*$F$8*'Traffic Data'!BB39*annualizationFactor</f>
        <v>20.350579440283397</v>
      </c>
      <c r="AA320" s="775">
        <f>$E$21*$F$8*'Traffic Data'!BC39*annualizationFactor</f>
        <v>20.669514207957999</v>
      </c>
      <c r="AB320" s="775">
        <f>$E$21*$F$8*'Traffic Data'!BD39*annualizationFactor</f>
        <v>20.988937679987195</v>
      </c>
      <c r="AC320" s="775">
        <f>$E$21*$F$8*'Traffic Data'!BE39*annualizationFactor</f>
        <v>21.307872447661794</v>
      </c>
      <c r="AD320" s="775">
        <f>$E$21*$F$8*'Traffic Data'!BF39*annualizationFactor</f>
        <v>21.626807215336395</v>
      </c>
      <c r="AE320" s="775">
        <f>$E$21*$F$8*'Traffic Data'!BG39*annualizationFactor</f>
        <v>21.946230687365599</v>
      </c>
      <c r="AF320" s="775">
        <f>$E$21*$F$8*'Traffic Data'!BH39*annualizationFactor</f>
        <v>22.265165455040197</v>
      </c>
      <c r="AG320" s="775">
        <f>$E$21*$F$8*'Traffic Data'!BI39*annualizationFactor</f>
        <v>22.584100222714792</v>
      </c>
      <c r="AH320" s="776">
        <f>$E$21*$F$8*'Traffic Data'!BJ39*annualizationFactor</f>
        <v>22.903523694743996</v>
      </c>
      <c r="AI320" s="40"/>
      <c r="AJ320" s="40"/>
      <c r="AK320" s="40"/>
      <c r="AL320" s="40"/>
      <c r="AM320" s="40"/>
    </row>
    <row r="321" spans="2:39" ht="21.95" customHeight="1" x14ac:dyDescent="0.2">
      <c r="B321" s="1346"/>
      <c r="C321" s="116" t="s">
        <v>335</v>
      </c>
      <c r="D321" s="116" t="s">
        <v>323</v>
      </c>
      <c r="E321" s="116" t="s">
        <v>19</v>
      </c>
      <c r="F321" s="116" t="s">
        <v>43</v>
      </c>
      <c r="G321" s="970"/>
      <c r="H321" s="970"/>
      <c r="I321" s="777">
        <f>$E$21*$F$8*'Traffic Data'!AK40*annualizationFactor</f>
        <v>0.36520439999999998</v>
      </c>
      <c r="J321" s="777">
        <f>$E$21*$F$8*'Traffic Data'!AL40*annualizationFactor</f>
        <v>0.40331956588000006</v>
      </c>
      <c r="K321" s="777">
        <f>$E$21*$F$8*'Traffic Data'!AM40*annualizationFactor</f>
        <v>0.4559363898099999</v>
      </c>
      <c r="L321" s="777">
        <f>$E$21*$F$8*'Traffic Data'!AN40*annualizationFactor</f>
        <v>0.55256338730999988</v>
      </c>
      <c r="M321" s="777">
        <f>$E$21*$F$8*'Traffic Data'!AO40*annualizationFactor</f>
        <v>0.64921777514000001</v>
      </c>
      <c r="N321" s="777">
        <f>$E$21*$F$8*'Traffic Data'!AP40*annualizationFactor</f>
        <v>0.74589042318999998</v>
      </c>
      <c r="O321" s="777">
        <f>$E$21*$F$8*'Traffic Data'!AQ40*annualizationFactor</f>
        <v>0.84251742068999991</v>
      </c>
      <c r="P321" s="777">
        <f>$E$21*$F$8*'Traffic Data'!AR40*annualizationFactor</f>
        <v>0.93923267592000004</v>
      </c>
      <c r="Q321" s="777">
        <f>$E$21*$F$8*'Traffic Data'!AS40*annualizationFactor</f>
        <v>1.0782964247</v>
      </c>
      <c r="R321" s="777">
        <f>$E$21*$F$8*'Traffic Data'!AT40*annualizationFactor</f>
        <v>1.2173906071799998</v>
      </c>
      <c r="S321" s="777">
        <f>$E$21*$F$8*'Traffic Data'!AU40*annualizationFactor</f>
        <v>1.3564269656299999</v>
      </c>
      <c r="T321" s="777">
        <f>$E$21*$F$8*'Traffic Data'!AV40*annualizationFactor</f>
        <v>1.49549071441</v>
      </c>
      <c r="U321" s="777">
        <f>$E$21*$F$8*'Traffic Data'!AW40*annualizationFactor</f>
        <v>1.6346427209200001</v>
      </c>
      <c r="V321" s="777">
        <f>$E$21*$F$8*'Traffic Data'!AX40*annualizationFactor</f>
        <v>1.7296080383999999</v>
      </c>
      <c r="W321" s="777">
        <f>$E$21*$F$8*'Traffic Data'!AY40*annualizationFactor</f>
        <v>1.76772320428</v>
      </c>
      <c r="X321" s="777">
        <f>$E$21*$F$8*'Traffic Data'!AZ40*annualizationFactor</f>
        <v>1.8058383701599998</v>
      </c>
      <c r="Y321" s="777">
        <f>$E$21*$F$8*'Traffic Data'!BA40*annualizationFactor</f>
        <v>1.8439535360400001</v>
      </c>
      <c r="Z321" s="777">
        <f>$E$21*$F$8*'Traffic Data'!BB40*annualizationFactor</f>
        <v>1.8820960922500003</v>
      </c>
      <c r="AA321" s="777">
        <f>$E$21*$F$8*'Traffic Data'!BC40*annualizationFactor</f>
        <v>1.9202112581299997</v>
      </c>
      <c r="AB321" s="777">
        <f>$E$21*$F$8*'Traffic Data'!BD40*annualizationFactor</f>
        <v>1.9583538143400001</v>
      </c>
      <c r="AC321" s="777">
        <f>$E$21*$F$8*'Traffic Data'!BE40*annualizationFactor</f>
        <v>1.99646898022</v>
      </c>
      <c r="AD321" s="777">
        <f>$E$21*$F$8*'Traffic Data'!BF40*annualizationFactor</f>
        <v>2.0345841460999998</v>
      </c>
      <c r="AE321" s="777">
        <f>$E$21*$F$8*'Traffic Data'!BG40*annualizationFactor</f>
        <v>2.0727267023099998</v>
      </c>
      <c r="AF321" s="777">
        <f>$E$21*$F$8*'Traffic Data'!BH40*annualizationFactor</f>
        <v>2.1108418681899996</v>
      </c>
      <c r="AG321" s="777">
        <f>$E$21*$F$8*'Traffic Data'!BI40*annualizationFactor</f>
        <v>2.1489570340699999</v>
      </c>
      <c r="AH321" s="778">
        <f>$E$21*$F$8*'Traffic Data'!BJ40*annualizationFactor</f>
        <v>2.1870995902799999</v>
      </c>
      <c r="AI321" s="40"/>
      <c r="AJ321" s="40"/>
      <c r="AK321" s="40"/>
      <c r="AL321" s="40"/>
      <c r="AM321" s="40"/>
    </row>
    <row r="322" spans="2:39" ht="21.95" customHeight="1" x14ac:dyDescent="0.2">
      <c r="B322" s="1346"/>
      <c r="C322" s="254" t="s">
        <v>323</v>
      </c>
      <c r="D322" s="254" t="s">
        <v>338</v>
      </c>
      <c r="E322" s="116" t="s">
        <v>19</v>
      </c>
      <c r="F322" s="116" t="s">
        <v>43</v>
      </c>
      <c r="G322" s="970"/>
      <c r="H322" s="970"/>
      <c r="I322" s="777">
        <f>$E$21*$F$8*'Traffic Data'!AK41*annualizationFactor</f>
        <v>4.8937389600000003</v>
      </c>
      <c r="J322" s="777">
        <f>$E$21*$F$8*'Traffic Data'!AL41*annualizationFactor</f>
        <v>5.0307799633432007</v>
      </c>
      <c r="K322" s="777">
        <f>$E$21*$F$8*'Traffic Data'!AM41*annualizationFactor</f>
        <v>5.2260727727735992</v>
      </c>
      <c r="L322" s="777">
        <f>$E$21*$F$8*'Traffic Data'!AN41*annualizationFactor</f>
        <v>5.5001710919231996</v>
      </c>
      <c r="M322" s="777">
        <f>$E$21*$F$8*'Traffic Data'!AO41*annualizationFactor</f>
        <v>5.7743835983151994</v>
      </c>
      <c r="N322" s="777">
        <f>$E$21*$F$8*'Traffic Data'!AP41*annualizationFactor</f>
        <v>6.0485716360124027</v>
      </c>
      <c r="O322" s="777">
        <f>$E$21*$F$8*'Traffic Data'!AQ41*annualizationFactor</f>
        <v>6.3226699551620014</v>
      </c>
      <c r="P322" s="777">
        <f>$E$21*$F$8*'Traffic Data'!AR41*annualizationFactor</f>
        <v>6.596988492564801</v>
      </c>
      <c r="Q322" s="777">
        <f>$E$21*$F$8*'Traffic Data'!AS41*annualizationFactor</f>
        <v>6.8739088678479998</v>
      </c>
      <c r="R322" s="777">
        <f>$E$21*$F$8*'Traffic Data'!AT41*annualizationFactor</f>
        <v>7.1509108054472001</v>
      </c>
      <c r="S322" s="777">
        <f>$E$21*$F$8*'Traffic Data'!AU41*annualizationFactor</f>
        <v>7.4278067120355988</v>
      </c>
      <c r="T322" s="777">
        <f>$E$21*$F$8*'Traffic Data'!AV41*annualizationFactor</f>
        <v>7.7047270873188003</v>
      </c>
      <c r="U322" s="777">
        <f>$E$21*$F$8*'Traffic Data'!AW41*annualizationFactor</f>
        <v>7.9818676808552018</v>
      </c>
      <c r="V322" s="777">
        <f>$E$21*$F$8*'Traffic Data'!AX41*annualizationFactor</f>
        <v>8.1798520467136004</v>
      </c>
      <c r="W322" s="777">
        <f>$E$21*$F$8*'Traffic Data'!AY41*annualizationFactor</f>
        <v>8.3168930500567999</v>
      </c>
      <c r="X322" s="777">
        <f>$E$21*$F$8*'Traffic Data'!AZ41*annualizationFactor</f>
        <v>8.4539340533999994</v>
      </c>
      <c r="Y322" s="777">
        <f>$E$21*$F$8*'Traffic Data'!BA41*annualizationFactor</f>
        <v>8.5909750567431988</v>
      </c>
      <c r="Z322" s="777">
        <f>$E$21*$F$8*'Traffic Data'!BB41*annualizationFactor</f>
        <v>8.7280813099391992</v>
      </c>
      <c r="AA322" s="777">
        <f>$E$21*$F$8*'Traffic Data'!BC41*annualizationFactor</f>
        <v>8.8651223132824004</v>
      </c>
      <c r="AB322" s="777">
        <f>$E$21*$F$8*'Traffic Data'!BD41*annualizationFactor</f>
        <v>9.0022285664784008</v>
      </c>
      <c r="AC322" s="777">
        <f>$E$21*$F$8*'Traffic Data'!BE41*annualizationFactor</f>
        <v>9.1392695698216002</v>
      </c>
      <c r="AD322" s="777">
        <f>$E$21*$F$8*'Traffic Data'!BF41*annualizationFactor</f>
        <v>9.2763105731648015</v>
      </c>
      <c r="AE322" s="777">
        <f>$E$21*$F$8*'Traffic Data'!BG41*annualizationFactor</f>
        <v>9.4134168263608</v>
      </c>
      <c r="AF322" s="777">
        <f>$E$21*$F$8*'Traffic Data'!BH41*annualizationFactor</f>
        <v>9.5504578297039995</v>
      </c>
      <c r="AG322" s="777">
        <f>$E$21*$F$8*'Traffic Data'!BI41*annualizationFactor</f>
        <v>9.6874988330471989</v>
      </c>
      <c r="AH322" s="778">
        <f>$E$21*$F$8*'Traffic Data'!BJ41*annualizationFactor</f>
        <v>9.8246050862431993</v>
      </c>
      <c r="AI322" s="40"/>
      <c r="AJ322" s="40"/>
      <c r="AK322" s="40"/>
      <c r="AL322" s="40"/>
      <c r="AM322" s="40"/>
    </row>
    <row r="323" spans="2:39" ht="21.95" customHeight="1" x14ac:dyDescent="0.2">
      <c r="B323" s="492" t="s">
        <v>339</v>
      </c>
      <c r="C323" s="116" t="s">
        <v>335</v>
      </c>
      <c r="D323" s="116" t="s">
        <v>323</v>
      </c>
      <c r="E323" s="277" t="s">
        <v>19</v>
      </c>
      <c r="F323" s="277" t="s">
        <v>43</v>
      </c>
      <c r="G323" s="780"/>
      <c r="H323" s="780"/>
      <c r="I323" s="775">
        <f>$E$21*$G$8*'Traffic Data'!AK42*annualizationFactor</f>
        <v>1.4303839E-2</v>
      </c>
      <c r="J323" s="775">
        <f>$E$21*$G$8*'Traffic Data'!AL42*annualizationFactor</f>
        <v>0.108408795781</v>
      </c>
      <c r="K323" s="775">
        <f>$E$21*$G$8*'Traffic Data'!AM42*annualizationFactor</f>
        <v>0.62806726665099999</v>
      </c>
      <c r="L323" s="775">
        <f>$E$21*$G$8*'Traffic Data'!AN42*annualizationFactor</f>
        <v>1.4465901495869999</v>
      </c>
      <c r="M323" s="775">
        <f>$E$21*$G$8*'Traffic Data'!AO42*annualizationFactor</f>
        <v>2.2656279707269995</v>
      </c>
      <c r="N323" s="775">
        <f>$E$21*$G$8*'Traffic Data'!AP42*annualizationFactor</f>
        <v>3.0847087033840004</v>
      </c>
      <c r="O323" s="775">
        <f>$E$21*$G$8*'Traffic Data'!AQ42*annualizationFactor</f>
        <v>3.90323158632</v>
      </c>
      <c r="P323" s="775">
        <f>$E$21*$G$8*'Traffic Data'!AR42*annualizationFactor</f>
        <v>4.7228415610200001</v>
      </c>
      <c r="Q323" s="775">
        <f>$E$21*$G$8*'Traffic Data'!AS42*annualizationFactor</f>
        <v>5.1830532770059996</v>
      </c>
      <c r="R323" s="775">
        <f>$E$21*$G$8*'Traffic Data'!AT42*annualizationFactor</f>
        <v>5.6434366390599999</v>
      </c>
      <c r="S323" s="775">
        <f>$E$21*$G$8*'Traffic Data'!AU42*annualizationFactor</f>
        <v>6.1037770895969992</v>
      </c>
      <c r="T323" s="775">
        <f>$E$21*$G$8*'Traffic Data'!AV42*annualizationFactor</f>
        <v>6.5639888055829987</v>
      </c>
      <c r="U323" s="775">
        <f>$E$21*$G$8*'Traffic Data'!AW42*annualizationFactor</f>
        <v>7.0252876133330009</v>
      </c>
      <c r="V323" s="775">
        <f>$E$21*$G$8*'Traffic Data'!AX42*annualizationFactor</f>
        <v>7.1861914982440016</v>
      </c>
      <c r="W323" s="775">
        <f>$E$21*$G$8*'Traffic Data'!AY42*annualizationFactor</f>
        <v>7.2802964550250007</v>
      </c>
      <c r="X323" s="775">
        <f>$E$21*$G$8*'Traffic Data'!AZ42*annualizationFactor</f>
        <v>7.3744014118060015</v>
      </c>
      <c r="Y323" s="775">
        <f>$E$21*$G$8*'Traffic Data'!BA42*annualizationFactor</f>
        <v>7.4685063685870015</v>
      </c>
      <c r="Z323" s="775">
        <f>$E$21*$G$8*'Traffic Data'!BB42*annualizationFactor</f>
        <v>7.5629832251820002</v>
      </c>
      <c r="AA323" s="775">
        <f>$E$21*$G$8*'Traffic Data'!BC42*annualizationFactor</f>
        <v>7.6570881819630019</v>
      </c>
      <c r="AB323" s="775">
        <f>$E$21*$G$8*'Traffic Data'!BD42*annualizationFactor</f>
        <v>7.7515650385580024</v>
      </c>
      <c r="AC323" s="775">
        <f>$E$21*$G$8*'Traffic Data'!BE42*annualizationFactor</f>
        <v>7.8456699953390006</v>
      </c>
      <c r="AD323" s="775">
        <f>$E$21*$G$8*'Traffic Data'!BF42*annualizationFactor</f>
        <v>7.9397749521200023</v>
      </c>
      <c r="AE323" s="775">
        <f>$E$21*$G$8*'Traffic Data'!BG42*annualizationFactor</f>
        <v>8.0342518087150019</v>
      </c>
      <c r="AF323" s="775">
        <f>$E$21*$G$8*'Traffic Data'!BH42*annualizationFactor</f>
        <v>8.1283567654960009</v>
      </c>
      <c r="AG323" s="775">
        <f>$E$21*$G$8*'Traffic Data'!BI42*annualizationFactor</f>
        <v>8.222461722277</v>
      </c>
      <c r="AH323" s="776">
        <f>$E$21*$G$8*'Traffic Data'!BJ42*annualizationFactor</f>
        <v>8.3169385788720014</v>
      </c>
      <c r="AI323" s="40"/>
      <c r="AJ323" s="40"/>
      <c r="AK323" s="40"/>
      <c r="AL323" s="40"/>
      <c r="AM323" s="40"/>
    </row>
    <row r="324" spans="2:39" ht="21.95" customHeight="1" x14ac:dyDescent="0.2">
      <c r="B324" s="1346" t="s">
        <v>323</v>
      </c>
      <c r="C324" s="220" t="s">
        <v>282</v>
      </c>
      <c r="D324" s="220" t="s">
        <v>339</v>
      </c>
      <c r="E324" s="116" t="s">
        <v>19</v>
      </c>
      <c r="F324" s="116" t="s">
        <v>43</v>
      </c>
      <c r="G324" s="970"/>
      <c r="H324" s="970"/>
      <c r="I324" s="775">
        <f>$E$21*$H$8*'Traffic Data'!AK43*annualizationFactor</f>
        <v>4.1085495E-2</v>
      </c>
      <c r="J324" s="775">
        <f>$E$21*$H$8*'Traffic Data'!AL43*annualizationFactor</f>
        <v>9.1312512637499982E-2</v>
      </c>
      <c r="K324" s="775">
        <f>$E$21*$H$8*'Traffic Data'!AM43*annualizationFactor</f>
        <v>0.38593659728250002</v>
      </c>
      <c r="L324" s="775">
        <f>$E$21*$H$8*'Traffic Data'!AN43*annualizationFactor</f>
        <v>0.8675613124199999</v>
      </c>
      <c r="M324" s="775">
        <f>$E$21*$H$8*'Traffic Data'!AO43*annualizationFactor</f>
        <v>1.349453083275</v>
      </c>
      <c r="N324" s="775">
        <f>$E$21*$H$8*'Traffic Data'!AP43*annualizationFactor</f>
        <v>1.8313653968774997</v>
      </c>
      <c r="O324" s="775">
        <f>$E$21*$H$8*'Traffic Data'!AQ43*annualizationFactor</f>
        <v>2.312990112015</v>
      </c>
      <c r="P324" s="775">
        <f>$E$21*$H$8*'Traffic Data'!AR43*annualizationFactor</f>
        <v>2.7951694813350003</v>
      </c>
      <c r="Q324" s="775">
        <f>$E$21*$H$8*'Traffic Data'!AS43*annualizationFactor</f>
        <v>3.1669932110849999</v>
      </c>
      <c r="R324" s="775">
        <f>$E$21*$H$8*'Traffic Data'!AT43*annualizationFactor</f>
        <v>3.5388785690775002</v>
      </c>
      <c r="S324" s="775">
        <f>$E$21*$H$8*'Traffic Data'!AU43*annualizationFactor</f>
        <v>3.9107022988274993</v>
      </c>
      <c r="T324" s="775">
        <f>$E$21*$H$8*'Traffic Data'!AV43*annualizationFactor</f>
        <v>4.2825260285774993</v>
      </c>
      <c r="U324" s="775">
        <f>$E$21*$H$8*'Traffic Data'!AW43*annualizationFactor</f>
        <v>4.6548427842675002</v>
      </c>
      <c r="V324" s="775">
        <f>$E$21*$H$8*'Traffic Data'!AX43*annualizationFactor</f>
        <v>4.8393782850599996</v>
      </c>
      <c r="W324" s="775">
        <f>$E$21*$H$8*'Traffic Data'!AY43*annualizationFactor</f>
        <v>4.8896053026975004</v>
      </c>
      <c r="X324" s="775">
        <f>$E$21*$H$8*'Traffic Data'!AZ43*annualizationFactor</f>
        <v>4.9398323203349994</v>
      </c>
      <c r="Y324" s="775">
        <f>$E$21*$H$8*'Traffic Data'!BA43*annualizationFactor</f>
        <v>4.9900593379725011</v>
      </c>
      <c r="Z324" s="775">
        <f>$E$21*$H$8*'Traffic Data'!BB43*annualizationFactor</f>
        <v>5.0404301548425003</v>
      </c>
      <c r="AA324" s="775">
        <f>$E$21*$H$8*'Traffic Data'!BC43*annualizationFactor</f>
        <v>5.0906571724800003</v>
      </c>
      <c r="AB324" s="775">
        <f>$E$21*$H$8*'Traffic Data'!BD43*annualizationFactor</f>
        <v>5.1410279893499986</v>
      </c>
      <c r="AC324" s="775">
        <f>$E$21*$H$8*'Traffic Data'!BE43*annualizationFactor</f>
        <v>5.1912550069874994</v>
      </c>
      <c r="AD324" s="775">
        <f>$E$21*$H$8*'Traffic Data'!BF43*annualizationFactor</f>
        <v>5.2414820246249993</v>
      </c>
      <c r="AE324" s="775">
        <f>$E$21*$H$8*'Traffic Data'!BG43*annualizationFactor</f>
        <v>5.2918528414949995</v>
      </c>
      <c r="AF324" s="775">
        <f>$E$21*$H$8*'Traffic Data'!BH43*annualizationFactor</f>
        <v>5.3420798591324994</v>
      </c>
      <c r="AG324" s="775">
        <f>$E$21*$H$8*'Traffic Data'!BI43*annualizationFactor</f>
        <v>5.3923068767699993</v>
      </c>
      <c r="AH324" s="776">
        <f>$E$21*$H$8*'Traffic Data'!BJ43*annualizationFactor</f>
        <v>5.4426776936400003</v>
      </c>
      <c r="AI324" s="40"/>
      <c r="AJ324" s="40"/>
      <c r="AK324" s="40"/>
      <c r="AL324" s="40"/>
      <c r="AM324" s="40"/>
    </row>
    <row r="325" spans="2:39" ht="21.95" customHeight="1" x14ac:dyDescent="0.2">
      <c r="B325" s="1346"/>
      <c r="C325" s="116" t="s">
        <v>339</v>
      </c>
      <c r="D325" s="116" t="s">
        <v>288</v>
      </c>
      <c r="E325" s="116" t="s">
        <v>19</v>
      </c>
      <c r="F325" s="116" t="s">
        <v>43</v>
      </c>
      <c r="G325" s="970"/>
      <c r="H325" s="970"/>
      <c r="I325" s="777">
        <f>$E$21*$H$8*'Traffic Data'!AK44*annualizationFactor</f>
        <v>0</v>
      </c>
      <c r="J325" s="777">
        <f>$E$21*$H$8*'Traffic Data'!AL44*annualizationFactor</f>
        <v>2.7950310079999999E-2</v>
      </c>
      <c r="K325" s="777">
        <f>$E$21*$H$8*'Traffic Data'!AM44*annualizationFactor</f>
        <v>8.0046109066000001E-2</v>
      </c>
      <c r="L325" s="777">
        <f>$E$21*$H$8*'Traffic Data'!AN44*annualizationFactor</f>
        <v>0.17993864257600004</v>
      </c>
      <c r="M325" s="777">
        <f>$E$21*$H$8*'Traffic Data'!AO44*annualizationFactor</f>
        <v>0.27988656542000001</v>
      </c>
      <c r="N325" s="777">
        <f>$E$21*$H$8*'Traffic Data'!AP44*annualizationFactor</f>
        <v>0.37983874898199993</v>
      </c>
      <c r="O325" s="777">
        <f>$E$21*$H$8*'Traffic Data'!AQ44*annualizationFactor</f>
        <v>0.47973128249199998</v>
      </c>
      <c r="P325" s="777">
        <f>$E$21*$H$8*'Traffic Data'!AR44*annualizationFactor</f>
        <v>0.57973885538800007</v>
      </c>
      <c r="Q325" s="777">
        <f>$E$21*$H$8*'Traffic Data'!AS44*annualizationFactor</f>
        <v>0.65685785118800022</v>
      </c>
      <c r="R325" s="777">
        <f>$E$21*$H$8*'Traffic Data'!AT44*annualizationFactor</f>
        <v>0.73398962914200006</v>
      </c>
      <c r="S325" s="777">
        <f>$E$21*$H$8*'Traffic Data'!AU44*annualizationFactor</f>
        <v>0.81110862494199998</v>
      </c>
      <c r="T325" s="777">
        <f>$E$21*$H$8*'Traffic Data'!AV44*annualizationFactor</f>
        <v>0.8882276207419999</v>
      </c>
      <c r="U325" s="777">
        <f>$E$21*$H$8*'Traffic Data'!AW44*annualizationFactor</f>
        <v>0.96544887377400002</v>
      </c>
      <c r="V325" s="777">
        <f>$E$21*$H$8*'Traffic Data'!AX44*annualizationFactor</f>
        <v>1.003722903568</v>
      </c>
      <c r="W325" s="777">
        <f>$E$21*$H$8*'Traffic Data'!AY44*annualizationFactor</f>
        <v>1.0141403590780003</v>
      </c>
      <c r="X325" s="777">
        <f>$E$21*$H$8*'Traffic Data'!AZ44*annualizationFactor</f>
        <v>1.0245578145880001</v>
      </c>
      <c r="Y325" s="777">
        <f>$E$21*$H$8*'Traffic Data'!BA44*annualizationFactor</f>
        <v>1.0349752700980002</v>
      </c>
      <c r="Z325" s="777">
        <f>$E$21*$H$8*'Traffic Data'!BB44*annualizationFactor</f>
        <v>1.045422550634</v>
      </c>
      <c r="AA325" s="777">
        <f>$E$21*$H$8*'Traffic Data'!BC44*annualizationFactor</f>
        <v>1.0558400061440001</v>
      </c>
      <c r="AB325" s="777">
        <f>$E$21*$H$8*'Traffic Data'!BD44*annualizationFactor</f>
        <v>1.0662872866799997</v>
      </c>
      <c r="AC325" s="777">
        <f>$E$21*$H$8*'Traffic Data'!BE44*annualizationFactor</f>
        <v>1.0767047421899998</v>
      </c>
      <c r="AD325" s="777">
        <f>$E$21*$H$8*'Traffic Data'!BF44*annualizationFactor</f>
        <v>1.0871221976999998</v>
      </c>
      <c r="AE325" s="777">
        <f>$E$21*$H$8*'Traffic Data'!BG44*annualizationFactor</f>
        <v>1.0975694782359999</v>
      </c>
      <c r="AF325" s="777">
        <f>$E$21*$H$8*'Traffic Data'!BH44*annualizationFactor</f>
        <v>1.107986933746</v>
      </c>
      <c r="AG325" s="777">
        <f>$E$21*$H$8*'Traffic Data'!BI44*annualizationFactor</f>
        <v>1.1184043892560001</v>
      </c>
      <c r="AH325" s="778">
        <f>$E$21*$H$8*'Traffic Data'!BJ44*annualizationFactor</f>
        <v>1.1288516697919999</v>
      </c>
      <c r="AI325" s="40"/>
      <c r="AJ325" s="40"/>
      <c r="AK325" s="40"/>
      <c r="AL325" s="40"/>
      <c r="AM325" s="40"/>
    </row>
    <row r="326" spans="2:39" ht="21.95" customHeight="1" x14ac:dyDescent="0.2">
      <c r="B326" s="1346"/>
      <c r="C326" s="116" t="s">
        <v>288</v>
      </c>
      <c r="D326" s="116" t="s">
        <v>340</v>
      </c>
      <c r="E326" s="116" t="s">
        <v>19</v>
      </c>
      <c r="F326" s="116" t="s">
        <v>43</v>
      </c>
      <c r="G326" s="970"/>
      <c r="H326" s="970"/>
      <c r="I326" s="777">
        <f>$E$21*$H$8*'Traffic Data'!AK45*annualizationFactor</f>
        <v>0</v>
      </c>
      <c r="J326" s="777">
        <f>$E$21*$H$8*'Traffic Data'!AL45*annualizationFactor</f>
        <v>7.2870451279999998E-2</v>
      </c>
      <c r="K326" s="777">
        <f>$E$21*$H$8*'Traffic Data'!AM45*annualizationFactor</f>
        <v>0.2086916414935</v>
      </c>
      <c r="L326" s="777">
        <f>$E$21*$H$8*'Traffic Data'!AN45*annualizationFactor</f>
        <v>0.46912574671599994</v>
      </c>
      <c r="M326" s="777">
        <f>$E$21*$H$8*'Traffic Data'!AO45*annualizationFactor</f>
        <v>0.72970425984500009</v>
      </c>
      <c r="N326" s="777">
        <f>$E$21*$H$8*'Traffic Data'!AP45*annualizationFactor</f>
        <v>0.9902938812744998</v>
      </c>
      <c r="O326" s="777">
        <f>$E$21*$H$8*'Traffic Data'!AQ45*annualizationFactor</f>
        <v>1.2507279864969998</v>
      </c>
      <c r="P326" s="777">
        <f>$E$21*$H$8*'Traffic Data'!AR45*annualizationFactor</f>
        <v>1.5114620158329997</v>
      </c>
      <c r="Q326" s="777">
        <f>$E$21*$H$8*'Traffic Data'!AS45*annualizationFactor</f>
        <v>1.7125222548830001</v>
      </c>
      <c r="R326" s="777">
        <f>$E$21*$H$8*'Traffic Data'!AT45*annualizationFactor</f>
        <v>1.9136158188344998</v>
      </c>
      <c r="S326" s="777">
        <f>$E$21*$H$8*'Traffic Data'!AU45*annualizationFactor</f>
        <v>2.1146760578844996</v>
      </c>
      <c r="T326" s="777">
        <f>$E$21*$H$8*'Traffic Data'!AV45*annualizationFactor</f>
        <v>2.3157362969344994</v>
      </c>
      <c r="U326" s="777">
        <f>$E$21*$H$8*'Traffic Data'!AW45*annualizationFactor</f>
        <v>2.5170631351965</v>
      </c>
      <c r="V326" s="777">
        <f>$E$21*$H$8*'Traffic Data'!AX45*annualizationFactor</f>
        <v>2.6168489985879999</v>
      </c>
      <c r="W326" s="777">
        <f>$E$21*$H$8*'Traffic Data'!AY45*annualizationFactor</f>
        <v>2.6440087933104999</v>
      </c>
      <c r="X326" s="777">
        <f>$E$21*$H$8*'Traffic Data'!AZ45*annualizationFactor</f>
        <v>2.6711685880329998</v>
      </c>
      <c r="Y326" s="777">
        <f>$E$21*$H$8*'Traffic Data'!BA45*annualizationFactor</f>
        <v>2.6983283827555002</v>
      </c>
      <c r="Z326" s="777">
        <f>$E$21*$H$8*'Traffic Data'!BB45*annualizationFactor</f>
        <v>2.7255659355815003</v>
      </c>
      <c r="AA326" s="777">
        <f>$E$21*$H$8*'Traffic Data'!BC45*annualizationFactor</f>
        <v>2.7527257303039998</v>
      </c>
      <c r="AB326" s="777">
        <f>$E$21*$H$8*'Traffic Data'!BD45*annualizationFactor</f>
        <v>2.779963283129999</v>
      </c>
      <c r="AC326" s="777">
        <f>$E$21*$H$8*'Traffic Data'!BE45*annualizationFactor</f>
        <v>2.8071230778524994</v>
      </c>
      <c r="AD326" s="777">
        <f>$E$21*$H$8*'Traffic Data'!BF45*annualizationFactor</f>
        <v>2.8342828725749993</v>
      </c>
      <c r="AE326" s="777">
        <f>$E$21*$H$8*'Traffic Data'!BG45*annualizationFactor</f>
        <v>2.8615204254009989</v>
      </c>
      <c r="AF326" s="777">
        <f>$E$21*$H$8*'Traffic Data'!BH45*annualizationFactor</f>
        <v>2.8886802201234998</v>
      </c>
      <c r="AG326" s="777">
        <f>$E$21*$H$8*'Traffic Data'!BI45*annualizationFactor</f>
        <v>2.9158400148459998</v>
      </c>
      <c r="AH326" s="778">
        <f>$E$21*$H$8*'Traffic Data'!BJ45*annualizationFactor</f>
        <v>2.9430775676719994</v>
      </c>
      <c r="AI326" s="40"/>
      <c r="AJ326" s="40"/>
      <c r="AK326" s="40"/>
      <c r="AL326" s="40"/>
      <c r="AM326" s="40"/>
    </row>
    <row r="327" spans="2:39" ht="21.95" customHeight="1" x14ac:dyDescent="0.2">
      <c r="B327" s="1346"/>
      <c r="C327" s="254" t="s">
        <v>340</v>
      </c>
      <c r="D327" s="254" t="s">
        <v>280</v>
      </c>
      <c r="E327" s="116" t="s">
        <v>19</v>
      </c>
      <c r="F327" s="116" t="s">
        <v>43</v>
      </c>
      <c r="G327" s="970"/>
      <c r="H327" s="970"/>
      <c r="I327" s="777">
        <f>$E$21*$H$8*'Traffic Data'!AK46*annualizationFactor</f>
        <v>9.5866154999999995E-2</v>
      </c>
      <c r="J327" s="777">
        <f>$E$21*$H$8*'Traffic Data'!AL46*annualizationFactor</f>
        <v>0.14290767725849998</v>
      </c>
      <c r="K327" s="777">
        <f>$E$21*$H$8*'Traffic Data'!AM46*annualizationFactor</f>
        <v>0.20120388611399997</v>
      </c>
      <c r="L327" s="777">
        <f>$E$21*$H$8*'Traffic Data'!AN46*annualizationFactor</f>
        <v>0.34857573065699993</v>
      </c>
      <c r="M327" s="777">
        <f>$E$21*$H$8*'Traffic Data'!AO46*annualizationFactor</f>
        <v>0.49596355289249994</v>
      </c>
      <c r="N327" s="777">
        <f>$E$21*$H$8*'Traffic Data'!AP46*annualizationFactor</f>
        <v>0.64342487251350011</v>
      </c>
      <c r="O327" s="777">
        <f>$E$21*$H$8*'Traffic Data'!AQ46*annualizationFactor</f>
        <v>0.7907967170564999</v>
      </c>
      <c r="P327" s="777">
        <f>$E$21*$H$8*'Traffic Data'!AR46*annualizationFactor</f>
        <v>0.93812062852199984</v>
      </c>
      <c r="Q327" s="777">
        <f>$E$21*$H$8*'Traffic Data'!AS46*annualizationFactor</f>
        <v>1.3131202670355</v>
      </c>
      <c r="R327" s="777">
        <f>$E$21*$H$8*'Traffic Data'!AT46*annualizationFactor</f>
        <v>1.6879729107779999</v>
      </c>
      <c r="S327" s="777">
        <f>$E$21*$H$8*'Traffic Data'!AU46*annualizationFactor</f>
        <v>2.062796794674</v>
      </c>
      <c r="T327" s="777">
        <f>$E$21*$H$8*'Traffic Data'!AV46*annualizationFactor</f>
        <v>2.4377964331874997</v>
      </c>
      <c r="U327" s="777">
        <f>$E$21*$H$8*'Traffic Data'!AW46*annualizationFactor</f>
        <v>2.8127481386234998</v>
      </c>
      <c r="V327" s="777">
        <f>$E$21*$H$8*'Traffic Data'!AX46*annualizationFactor</f>
        <v>3.0985602976020004</v>
      </c>
      <c r="W327" s="777">
        <f>$E$21*$H$8*'Traffic Data'!AY46*annualizationFactor</f>
        <v>3.1456018198604996</v>
      </c>
      <c r="X327" s="777">
        <f>$E$21*$H$8*'Traffic Data'!AZ46*annualizationFactor</f>
        <v>3.1926433421190001</v>
      </c>
      <c r="Y327" s="777">
        <f>$E$21*$H$8*'Traffic Data'!BA46*annualizationFactor</f>
        <v>3.2396848643775003</v>
      </c>
      <c r="Z327" s="777">
        <f>$E$21*$H$8*'Traffic Data'!BB46*annualizationFactor</f>
        <v>3.2865825874035002</v>
      </c>
      <c r="AA327" s="777">
        <f>$E$21*$H$8*'Traffic Data'!BC46*annualizationFactor</f>
        <v>3.3336241096619998</v>
      </c>
      <c r="AB327" s="777">
        <f>$E$21*$H$8*'Traffic Data'!BD46*annualizationFactor</f>
        <v>3.3805218326880007</v>
      </c>
      <c r="AC327" s="777">
        <f>$E$21*$H$8*'Traffic Data'!BE46*annualizationFactor</f>
        <v>3.4275633549464994</v>
      </c>
      <c r="AD327" s="777">
        <f>$E$21*$H$8*'Traffic Data'!BF46*annualizationFactor</f>
        <v>3.4746048772050004</v>
      </c>
      <c r="AE327" s="777">
        <f>$E$21*$H$8*'Traffic Data'!BG46*annualizationFactor</f>
        <v>3.5215026002309999</v>
      </c>
      <c r="AF327" s="777">
        <f>$E$21*$H$8*'Traffic Data'!BH46*annualizationFactor</f>
        <v>3.5685441224895005</v>
      </c>
      <c r="AG327" s="777">
        <f>$E$21*$H$8*'Traffic Data'!BI46*annualizationFactor</f>
        <v>3.6155856447480001</v>
      </c>
      <c r="AH327" s="778">
        <f>$E$21*$H$8*'Traffic Data'!BJ46*annualizationFactor</f>
        <v>3.6624833677740001</v>
      </c>
      <c r="AI327" s="40"/>
      <c r="AJ327" s="40"/>
      <c r="AK327" s="40"/>
      <c r="AL327" s="40"/>
      <c r="AM327" s="40"/>
    </row>
    <row r="328" spans="2:39" ht="21.95" customHeight="1" x14ac:dyDescent="0.2">
      <c r="B328" s="1346" t="s">
        <v>334</v>
      </c>
      <c r="C328" s="116" t="s">
        <v>336</v>
      </c>
      <c r="D328" s="116" t="s">
        <v>337</v>
      </c>
      <c r="E328" s="220" t="s">
        <v>19</v>
      </c>
      <c r="F328" s="220" t="s">
        <v>43</v>
      </c>
      <c r="G328" s="775"/>
      <c r="H328" s="775"/>
      <c r="I328" s="775">
        <f>$E$21*$I$8*'Traffic Data'!AK47*annualizationFactor</f>
        <v>2.9825026000000001</v>
      </c>
      <c r="J328" s="775">
        <f>$E$21*$I$8*'Traffic Data'!AL47*annualizationFactor</f>
        <v>3.0651179220199993</v>
      </c>
      <c r="K328" s="775">
        <f>$E$21*$I$8*'Traffic Data'!AM47*annualizationFactor</f>
        <v>3.1984464400349997</v>
      </c>
      <c r="L328" s="775">
        <f>$E$21*$I$8*'Traffic Data'!AN47*annualizationFactor</f>
        <v>3.3889218382249999</v>
      </c>
      <c r="M328" s="775">
        <f>$E$21*$I$8*'Traffic Data'!AO47*annualizationFactor</f>
        <v>3.5794824507750009</v>
      </c>
      <c r="N328" s="775">
        <f>$E$21*$I$8*'Traffic Data'!AP47*annualizationFactor</f>
        <v>3.7700324115300008</v>
      </c>
      <c r="O328" s="775">
        <f>$E$21*$I$8*'Traffic Data'!AQ47*annualizationFactor</f>
        <v>3.9605078097200015</v>
      </c>
      <c r="P328" s="775">
        <f>$E$21*$I$8*'Traffic Data'!AR47*annualizationFactor</f>
        <v>4.1511536366300001</v>
      </c>
      <c r="Q328" s="775">
        <f>$E$21*$I$8*'Traffic Data'!AS47*annualizationFactor</f>
        <v>4.3208473827749989</v>
      </c>
      <c r="R328" s="775">
        <f>$E$21*$I$8*'Traffic Data'!AT47*annualizationFactor</f>
        <v>4.4905943878949994</v>
      </c>
      <c r="S328" s="775">
        <f>$E$21*$I$8*'Traffic Data'!AU47*annualizationFactor</f>
        <v>4.6602881340399991</v>
      </c>
      <c r="T328" s="775">
        <f>$E$21*$I$8*'Traffic Data'!AV47*annualizationFactor</f>
        <v>4.8299818801849987</v>
      </c>
      <c r="U328" s="775">
        <f>$E$21*$I$8*'Traffic Data'!AW47*annualizationFactor</f>
        <v>4.9998460550499999</v>
      </c>
      <c r="V328" s="775">
        <f>$E$21*$I$8*'Traffic Data'!AX47*annualizationFactor</f>
        <v>5.1123077066600002</v>
      </c>
      <c r="W328" s="775">
        <f>$E$21*$I$8*'Traffic Data'!AY47*annualizationFactor</f>
        <v>5.1949230286799999</v>
      </c>
      <c r="X328" s="775">
        <f>$E$21*$I$8*'Traffic Data'!AZ47*annualizationFactor</f>
        <v>5.2775383506999995</v>
      </c>
      <c r="Y328" s="775">
        <f>$E$21*$I$8*'Traffic Data'!BA47*annualizationFactor</f>
        <v>5.3601536727199992</v>
      </c>
      <c r="Z328" s="775">
        <f>$E$21*$I$8*'Traffic Data'!BB47*annualizationFactor</f>
        <v>5.4428222537149997</v>
      </c>
      <c r="AA328" s="775">
        <f>$E$21*$I$8*'Traffic Data'!BC47*annualizationFactor</f>
        <v>5.5254375757350012</v>
      </c>
      <c r="AB328" s="775">
        <f>$E$21*$I$8*'Traffic Data'!BD47*annualizationFactor</f>
        <v>5.608106156729999</v>
      </c>
      <c r="AC328" s="775">
        <f>$E$21*$I$8*'Traffic Data'!BE47*annualizationFactor</f>
        <v>5.6907214787499987</v>
      </c>
      <c r="AD328" s="775">
        <f>$E$21*$I$8*'Traffic Data'!BF47*annualizationFactor</f>
        <v>5.7733368007699992</v>
      </c>
      <c r="AE328" s="775">
        <f>$E$21*$I$8*'Traffic Data'!BG47*annualizationFactor</f>
        <v>5.8560053817649997</v>
      </c>
      <c r="AF328" s="775">
        <f>$E$21*$I$8*'Traffic Data'!BH47*annualizationFactor</f>
        <v>5.9386207037849985</v>
      </c>
      <c r="AG328" s="775">
        <f>$E$21*$I$8*'Traffic Data'!BI47*annualizationFactor</f>
        <v>6.0212360258049991</v>
      </c>
      <c r="AH328" s="776">
        <f>$E$21*$I$8*'Traffic Data'!BJ47*annualizationFactor</f>
        <v>6.1039046067999987</v>
      </c>
      <c r="AI328" s="40"/>
      <c r="AJ328" s="40"/>
      <c r="AK328" s="40"/>
      <c r="AL328" s="40"/>
      <c r="AM328" s="40"/>
    </row>
    <row r="329" spans="2:39" ht="21.95" customHeight="1" x14ac:dyDescent="0.2">
      <c r="B329" s="1346"/>
      <c r="C329" s="116" t="s">
        <v>337</v>
      </c>
      <c r="D329" s="116" t="s">
        <v>386</v>
      </c>
      <c r="E329" s="116" t="s">
        <v>19</v>
      </c>
      <c r="F329" s="116" t="s">
        <v>43</v>
      </c>
      <c r="G329" s="970"/>
      <c r="H329" s="970"/>
      <c r="I329" s="777">
        <f>$E$21*$I$8*'Traffic Data'!AK48*annualizationFactor</f>
        <v>4.6867897999999997</v>
      </c>
      <c r="J329" s="777">
        <f>$E$21*$I$8*'Traffic Data'!AL48*annualizationFactor</f>
        <v>4.6961633795999997</v>
      </c>
      <c r="K329" s="777">
        <f>$E$21*$I$8*'Traffic Data'!AM48*annualizationFactor</f>
        <v>4.7055369591999998</v>
      </c>
      <c r="L329" s="777">
        <f>$E$21*$I$8*'Traffic Data'!AN48*annualizationFactor</f>
        <v>4.7149105387999999</v>
      </c>
      <c r="M329" s="777">
        <f>$E$21*$I$8*'Traffic Data'!AO48*annualizationFactor</f>
        <v>4.7242841184</v>
      </c>
      <c r="N329" s="777">
        <f>$E$21*$I$8*'Traffic Data'!AP48*annualizationFactor</f>
        <v>4.733657698</v>
      </c>
      <c r="O329" s="777">
        <f>$E$21*$I$8*'Traffic Data'!AQ48*annualizationFactor</f>
        <v>4.7430312776000001</v>
      </c>
      <c r="P329" s="777">
        <f>$E$21*$I$8*'Traffic Data'!AR48*annualizationFactor</f>
        <v>4.7524048571999993</v>
      </c>
      <c r="Q329" s="777">
        <f>$E$21*$I$8*'Traffic Data'!AS48*annualizationFactor</f>
        <v>4.7617784368000002</v>
      </c>
      <c r="R329" s="777">
        <f>$E$21*$I$8*'Traffic Data'!AT48*annualizationFactor</f>
        <v>4.7617784368000002</v>
      </c>
      <c r="S329" s="777">
        <f>$E$21*$I$8*'Traffic Data'!AU48*annualizationFactor</f>
        <v>4.8742379580509994</v>
      </c>
      <c r="T329" s="777">
        <f>$E$21*$I$8*'Traffic Data'!AV48*annualizationFactor</f>
        <v>4.9982887626209989</v>
      </c>
      <c r="U329" s="777">
        <f>$E$21*$I$8*'Traffic Data'!AW48*annualizationFactor</f>
        <v>5.1224162601149992</v>
      </c>
      <c r="V329" s="777">
        <f>$E$21*$I$8*'Traffic Data'!AX48*annualizationFactor</f>
        <v>5.2224813527039986</v>
      </c>
      <c r="W329" s="777">
        <f>$E$21*$I$8*'Traffic Data'!AY48*annualizationFactor</f>
        <v>5.3046386475389991</v>
      </c>
      <c r="X329" s="777">
        <f>$E$21*$I$8*'Traffic Data'!AZ48*annualizationFactor</f>
        <v>5.3867959423739986</v>
      </c>
      <c r="Y329" s="777">
        <f>$E$21*$I$8*'Traffic Data'!BA48*annualizationFactor</f>
        <v>5.4689532372089991</v>
      </c>
      <c r="Z329" s="777">
        <f>$E$21*$I$8*'Traffic Data'!BB48*annualizationFactor</f>
        <v>5.5511297052749988</v>
      </c>
      <c r="AA329" s="777">
        <f>$E$21*$I$8*'Traffic Data'!BC48*annualizationFactor</f>
        <v>5.6332870001099984</v>
      </c>
      <c r="AB329" s="777">
        <f>$E$21*$I$8*'Traffic Data'!BD48*annualizationFactor</f>
        <v>5.715463468175999</v>
      </c>
      <c r="AC329" s="777">
        <f>$E$21*$I$8*'Traffic Data'!BE48*annualizationFactor</f>
        <v>5.7976207630109995</v>
      </c>
      <c r="AD329" s="777">
        <f>$E$21*$I$8*'Traffic Data'!BF48*annualizationFactor</f>
        <v>5.8797780578459982</v>
      </c>
      <c r="AE329" s="777">
        <f>$E$21*$I$8*'Traffic Data'!BG48*annualizationFactor</f>
        <v>5.9619545259119988</v>
      </c>
      <c r="AF329" s="777">
        <f>$E$21*$I$8*'Traffic Data'!BH48*annualizationFactor</f>
        <v>6.0441118207469984</v>
      </c>
      <c r="AG329" s="777">
        <f>$E$21*$I$8*'Traffic Data'!BI48*annualizationFactor</f>
        <v>6.1262691155819988</v>
      </c>
      <c r="AH329" s="778">
        <f>$E$21*$I$8*'Traffic Data'!BJ48*annualizationFactor</f>
        <v>6.2084455836479986</v>
      </c>
      <c r="AI329" s="40"/>
      <c r="AJ329" s="40"/>
      <c r="AK329" s="40"/>
      <c r="AL329" s="40"/>
      <c r="AM329" s="40"/>
    </row>
    <row r="330" spans="2:39" ht="21.95" customHeight="1" x14ac:dyDescent="0.2">
      <c r="B330" s="1346"/>
      <c r="C330" s="116" t="s">
        <v>342</v>
      </c>
      <c r="D330" s="116" t="s">
        <v>341</v>
      </c>
      <c r="E330" s="116" t="s">
        <v>19</v>
      </c>
      <c r="F330" s="116" t="s">
        <v>43</v>
      </c>
      <c r="G330" s="970"/>
      <c r="H330" s="970"/>
      <c r="I330" s="777">
        <f>$E$21*$I$8*'Traffic Data'!AK49*annualizationFactor</f>
        <v>6.0928267399999996</v>
      </c>
      <c r="J330" s="777">
        <f>$E$21*$I$8*'Traffic Data'!AL49*annualizationFactor</f>
        <v>6.10501239348</v>
      </c>
      <c r="K330" s="777">
        <f>$E$21*$I$8*'Traffic Data'!AM49*annualizationFactor</f>
        <v>6.1171980469600005</v>
      </c>
      <c r="L330" s="777">
        <f>$E$21*$I$8*'Traffic Data'!AN49*annualizationFactor</f>
        <v>6.12938370044</v>
      </c>
      <c r="M330" s="777">
        <f>$E$21*$I$8*'Traffic Data'!AO49*annualizationFactor</f>
        <v>6.1415693539199996</v>
      </c>
      <c r="N330" s="777">
        <f>$E$21*$I$8*'Traffic Data'!AP49*annualizationFactor</f>
        <v>6.1537550073999991</v>
      </c>
      <c r="O330" s="777">
        <f>$E$21*$I$8*'Traffic Data'!AQ49*annualizationFactor</f>
        <v>6.1659406608800005</v>
      </c>
      <c r="P330" s="777">
        <f>$E$21*$I$8*'Traffic Data'!AR49*annualizationFactor</f>
        <v>6.17812631436</v>
      </c>
      <c r="Q330" s="777">
        <f>$E$21*$I$8*'Traffic Data'!AS49*annualizationFactor</f>
        <v>6.1903119678400005</v>
      </c>
      <c r="R330" s="777">
        <f>$E$21*$I$8*'Traffic Data'!AT49*annualizationFactor</f>
        <v>6.1903119678400005</v>
      </c>
      <c r="S330" s="777">
        <f>$E$21*$I$8*'Traffic Data'!AU49*annualizationFactor</f>
        <v>6.3365093454663004</v>
      </c>
      <c r="T330" s="777">
        <f>$E$21*$I$8*'Traffic Data'!AV49*annualizationFactor</f>
        <v>6.4977753914072984</v>
      </c>
      <c r="U330" s="777">
        <f>$E$21*$I$8*'Traffic Data'!AW49*annualizationFactor</f>
        <v>6.6591411381494989</v>
      </c>
      <c r="V330" s="777">
        <f>$E$21*$I$8*'Traffic Data'!AX49*annualizationFactor</f>
        <v>6.7892257585151992</v>
      </c>
      <c r="W330" s="777">
        <f>$E$21*$I$8*'Traffic Data'!AY49*annualizationFactor</f>
        <v>6.8960302418006982</v>
      </c>
      <c r="X330" s="777">
        <f>$E$21*$I$8*'Traffic Data'!AZ49*annualizationFactor</f>
        <v>7.0028347250861982</v>
      </c>
      <c r="Y330" s="777">
        <f>$E$21*$I$8*'Traffic Data'!BA49*annualizationFactor</f>
        <v>7.109639208371699</v>
      </c>
      <c r="Z330" s="777">
        <f>$E$21*$I$8*'Traffic Data'!BB49*annualizationFactor</f>
        <v>7.2164686168574992</v>
      </c>
      <c r="AA330" s="777">
        <f>$E$21*$I$8*'Traffic Data'!BC49*annualizationFactor</f>
        <v>7.3232731001429991</v>
      </c>
      <c r="AB330" s="777">
        <f>$E$21*$I$8*'Traffic Data'!BD49*annualizationFactor</f>
        <v>7.4301025086287993</v>
      </c>
      <c r="AC330" s="777">
        <f>$E$21*$I$8*'Traffic Data'!BE49*annualizationFactor</f>
        <v>7.5369069919143001</v>
      </c>
      <c r="AD330" s="777">
        <f>$E$21*$I$8*'Traffic Data'!BF49*annualizationFactor</f>
        <v>7.6437114751997974</v>
      </c>
      <c r="AE330" s="777">
        <f>$E$21*$I$8*'Traffic Data'!BG49*annualizationFactor</f>
        <v>7.7505408836855985</v>
      </c>
      <c r="AF330" s="777">
        <f>$E$21*$I$8*'Traffic Data'!BH49*annualizationFactor</f>
        <v>7.8573453669710984</v>
      </c>
      <c r="AG330" s="777">
        <f>$E$21*$I$8*'Traffic Data'!BI49*annualizationFactor</f>
        <v>7.9641498502565984</v>
      </c>
      <c r="AH330" s="778">
        <f>$E$21*$I$8*'Traffic Data'!BJ49*annualizationFactor</f>
        <v>8.0709792587423994</v>
      </c>
      <c r="AI330" s="40"/>
      <c r="AJ330" s="40"/>
      <c r="AK330" s="40"/>
      <c r="AL330" s="40"/>
      <c r="AM330" s="40"/>
    </row>
    <row r="331" spans="2:39" ht="21.95" customHeight="1" x14ac:dyDescent="0.2">
      <c r="B331" s="1346"/>
      <c r="C331" s="116" t="s">
        <v>341</v>
      </c>
      <c r="D331" s="116" t="s">
        <v>344</v>
      </c>
      <c r="E331" s="116" t="s">
        <v>19</v>
      </c>
      <c r="F331" s="116" t="s">
        <v>43</v>
      </c>
      <c r="G331" s="970"/>
      <c r="H331" s="970"/>
      <c r="I331" s="777">
        <f>$E$21*$I$8*'Traffic Data'!AK50*annualizationFactor</f>
        <v>6.7574987479999997</v>
      </c>
      <c r="J331" s="777">
        <f>$E$21*$I$8*'Traffic Data'!AL50*annualizationFactor</f>
        <v>6.7710137454959991</v>
      </c>
      <c r="K331" s="777">
        <f>$E$21*$I$8*'Traffic Data'!AM50*annualizationFactor</f>
        <v>6.7845287429920003</v>
      </c>
      <c r="L331" s="777">
        <f>$E$21*$I$8*'Traffic Data'!AN50*annualizationFactor</f>
        <v>6.7980437404879996</v>
      </c>
      <c r="M331" s="777">
        <f>$E$21*$I$8*'Traffic Data'!AO50*annualizationFactor</f>
        <v>6.8115587379839999</v>
      </c>
      <c r="N331" s="777">
        <f>$E$21*$I$8*'Traffic Data'!AP50*annualizationFactor</f>
        <v>6.8250737354799993</v>
      </c>
      <c r="O331" s="777">
        <f>$E$21*$I$8*'Traffic Data'!AQ50*annualizationFactor</f>
        <v>6.8385887329760005</v>
      </c>
      <c r="P331" s="777">
        <f>$E$21*$I$8*'Traffic Data'!AR50*annualizationFactor</f>
        <v>6.8521037304719998</v>
      </c>
      <c r="Q331" s="777">
        <f>$E$21*$I$8*'Traffic Data'!AS50*annualizationFactor</f>
        <v>6.8656187279679992</v>
      </c>
      <c r="R331" s="777">
        <f>$E$21*$I$8*'Traffic Data'!AT50*annualizationFactor</f>
        <v>6.8656187279679992</v>
      </c>
      <c r="S331" s="777">
        <f>$E$21*$I$8*'Traffic Data'!AU50*annualizationFactor</f>
        <v>6.8980215582337738</v>
      </c>
      <c r="T331" s="777">
        <f>$E$21*$I$8*'Traffic Data'!AV50*annualizationFactor</f>
        <v>7.0125991339572602</v>
      </c>
      <c r="U331" s="777">
        <f>$E$21*$I$8*'Traffic Data'!AW50*annualizationFactor</f>
        <v>7.1242565345679392</v>
      </c>
      <c r="V331" s="777">
        <f>$E$21*$I$8*'Traffic Data'!AX50*annualizationFactor</f>
        <v>7.1997127928377322</v>
      </c>
      <c r="W331" s="777">
        <f>$E$21*$I$8*'Traffic Data'!AY50*annualizationFactor</f>
        <v>7.2482582479972892</v>
      </c>
      <c r="X331" s="777">
        <f>$E$21*$I$8*'Traffic Data'!AZ50*annualizationFactor</f>
        <v>7.3605179756598309</v>
      </c>
      <c r="Y331" s="777">
        <f>$E$21*$I$8*'Traffic Data'!BA50*annualizationFactor</f>
        <v>7.4727777033223761</v>
      </c>
      <c r="Z331" s="777">
        <f>$E$21*$I$8*'Traffic Data'!BB50*annualizationFactor</f>
        <v>7.5850636292877605</v>
      </c>
      <c r="AA331" s="777">
        <f>$E$21*$I$8*'Traffic Data'!BC50*annualizationFactor</f>
        <v>7.697323356950303</v>
      </c>
      <c r="AB331" s="777">
        <f>$E$21*$I$8*'Traffic Data'!BD50*annualizationFactor</f>
        <v>7.8096092829156856</v>
      </c>
      <c r="AC331" s="777">
        <f>$E$21*$I$8*'Traffic Data'!BE50*annualizationFactor</f>
        <v>7.921869010578229</v>
      </c>
      <c r="AD331" s="777">
        <f>$E$21*$I$8*'Traffic Data'!BF50*annualizationFactor</f>
        <v>8.0341287382407724</v>
      </c>
      <c r="AE331" s="777">
        <f>$E$21*$I$8*'Traffic Data'!BG50*annualizationFactor</f>
        <v>8.146414664206155</v>
      </c>
      <c r="AF331" s="777">
        <f>$E$21*$I$8*'Traffic Data'!BH50*annualizationFactor</f>
        <v>8.2586743918686985</v>
      </c>
      <c r="AG331" s="777">
        <f>$E$21*$I$8*'Traffic Data'!BI50*annualizationFactor</f>
        <v>8.3709341195312437</v>
      </c>
      <c r="AH331" s="778">
        <f>$E$21*$I$8*'Traffic Data'!BJ50*annualizationFactor</f>
        <v>8.4832200454966262</v>
      </c>
      <c r="AI331" s="40"/>
      <c r="AJ331" s="40"/>
      <c r="AK331" s="40"/>
      <c r="AL331" s="40"/>
      <c r="AM331" s="40"/>
    </row>
    <row r="332" spans="2:39" ht="21.95" customHeight="1" x14ac:dyDescent="0.2">
      <c r="B332" s="1346"/>
      <c r="C332" s="116" t="s">
        <v>344</v>
      </c>
      <c r="D332" s="116" t="s">
        <v>345</v>
      </c>
      <c r="E332" s="116" t="s">
        <v>19</v>
      </c>
      <c r="F332" s="116" t="s">
        <v>43</v>
      </c>
      <c r="G332" s="970"/>
      <c r="H332" s="970"/>
      <c r="I332" s="777">
        <f>$E$21*$I$8*'Traffic Data'!AK51*annualizationFactor</f>
        <v>2.7694667000000002</v>
      </c>
      <c r="J332" s="777">
        <f>$E$21*$I$8*'Traffic Data'!AL51*annualizationFactor</f>
        <v>2.7750056333999997</v>
      </c>
      <c r="K332" s="777">
        <f>$E$21*$I$8*'Traffic Data'!AM51*annualizationFactor</f>
        <v>2.7805445667999997</v>
      </c>
      <c r="L332" s="777">
        <f>$E$21*$I$8*'Traffic Data'!AN51*annualizationFactor</f>
        <v>2.7860835001999997</v>
      </c>
      <c r="M332" s="777">
        <f>$E$21*$I$8*'Traffic Data'!AO51*annualizationFactor</f>
        <v>2.7916224335999997</v>
      </c>
      <c r="N332" s="777">
        <f>$E$21*$I$8*'Traffic Data'!AP51*annualizationFactor</f>
        <v>2.7971613669999997</v>
      </c>
      <c r="O332" s="777">
        <f>$E$21*$I$8*'Traffic Data'!AQ51*annualizationFactor</f>
        <v>2.8027003003999997</v>
      </c>
      <c r="P332" s="777">
        <f>$E$21*$I$8*'Traffic Data'!AR51*annualizationFactor</f>
        <v>2.8082392337999997</v>
      </c>
      <c r="Q332" s="777">
        <f>$E$21*$I$8*'Traffic Data'!AS51*annualizationFactor</f>
        <v>2.8137781672000002</v>
      </c>
      <c r="R332" s="777">
        <f>$E$21*$I$8*'Traffic Data'!AT51*annualizationFactor</f>
        <v>2.8137781672000002</v>
      </c>
      <c r="S332" s="777">
        <f>$E$21*$I$8*'Traffic Data'!AU51*annualizationFactor</f>
        <v>2.8270580156695795</v>
      </c>
      <c r="T332" s="777">
        <f>$E$21*$I$8*'Traffic Data'!AV51*annualizationFactor</f>
        <v>2.8740160385070737</v>
      </c>
      <c r="U332" s="777">
        <f>$E$21*$I$8*'Traffic Data'!AW51*annualizationFactor</f>
        <v>2.9197772682655492</v>
      </c>
      <c r="V332" s="777">
        <f>$E$21*$I$8*'Traffic Data'!AX51*annualizationFactor</f>
        <v>2.950701964277759</v>
      </c>
      <c r="W332" s="777">
        <f>$E$21*$I$8*'Traffic Data'!AY51*annualizationFactor</f>
        <v>2.9705976426218399</v>
      </c>
      <c r="X332" s="777">
        <f>$E$21*$I$8*'Traffic Data'!AZ51*annualizationFactor</f>
        <v>3.0166057277294391</v>
      </c>
      <c r="Y332" s="777">
        <f>$E$21*$I$8*'Traffic Data'!BA51*annualizationFactor</f>
        <v>3.0626138128370393</v>
      </c>
      <c r="Z332" s="777">
        <f>$E$21*$I$8*'Traffic Data'!BB51*annualizationFactor</f>
        <v>3.1086326349539997</v>
      </c>
      <c r="AA332" s="777">
        <f>$E$21*$I$8*'Traffic Data'!BC51*annualizationFactor</f>
        <v>3.1546407200615993</v>
      </c>
      <c r="AB332" s="777">
        <f>$E$21*$I$8*'Traffic Data'!BD51*annualizationFactor</f>
        <v>3.2006595421785597</v>
      </c>
      <c r="AC332" s="777">
        <f>$E$21*$I$8*'Traffic Data'!BE51*annualizationFactor</f>
        <v>3.2466676272861594</v>
      </c>
      <c r="AD332" s="777">
        <f>$E$21*$I$8*'Traffic Data'!BF51*annualizationFactor</f>
        <v>3.2926757123937596</v>
      </c>
      <c r="AE332" s="777">
        <f>$E$21*$I$8*'Traffic Data'!BG51*annualizationFactor</f>
        <v>3.33869453451072</v>
      </c>
      <c r="AF332" s="777">
        <f>$E$21*$I$8*'Traffic Data'!BH51*annualizationFactor</f>
        <v>3.3847026196183192</v>
      </c>
      <c r="AG332" s="777">
        <f>$E$21*$I$8*'Traffic Data'!BI51*annualizationFactor</f>
        <v>3.4307107047259198</v>
      </c>
      <c r="AH332" s="778">
        <f>$E$21*$I$8*'Traffic Data'!BJ51*annualizationFactor</f>
        <v>3.4767295268428802</v>
      </c>
      <c r="AI332" s="40"/>
      <c r="AJ332" s="40"/>
      <c r="AK332" s="40"/>
      <c r="AL332" s="40"/>
      <c r="AM332" s="40"/>
    </row>
    <row r="333" spans="2:39" ht="21.95" customHeight="1" x14ac:dyDescent="0.2">
      <c r="B333" s="1346"/>
      <c r="C333" s="116" t="s">
        <v>345</v>
      </c>
      <c r="D333" s="116" t="s">
        <v>323</v>
      </c>
      <c r="E333" s="116" t="s">
        <v>19</v>
      </c>
      <c r="F333" s="116" t="s">
        <v>43</v>
      </c>
      <c r="G333" s="970"/>
      <c r="H333" s="970"/>
      <c r="I333" s="777">
        <f>$E$21*$I$8*'Traffic Data'!AK52*annualizationFactor</f>
        <v>33.404029119999997</v>
      </c>
      <c r="J333" s="777">
        <f>$E$21*$I$8*'Traffic Data'!AL52*annualizationFactor</f>
        <v>34.170830538460002</v>
      </c>
      <c r="K333" s="777">
        <f>$E$21*$I$8*'Traffic Data'!AM52*annualizationFactor</f>
        <v>35.292430466215997</v>
      </c>
      <c r="L333" s="777">
        <f>$E$21*$I$8*'Traffic Data'!AN52*annualizationFactor</f>
        <v>36.637539138815995</v>
      </c>
      <c r="M333" s="777">
        <f>$E$21*$I$8*'Traffic Data'!AO52*annualizationFactor</f>
        <v>37.983005711727998</v>
      </c>
      <c r="N333" s="777">
        <f>$E$21*$I$8*'Traffic Data'!AP52*annualizationFactor</f>
        <v>39.328591584744011</v>
      </c>
      <c r="O333" s="777">
        <f>$E$21*$I$8*'Traffic Data'!AQ52*annualizationFactor</f>
        <v>40.673700257344002</v>
      </c>
      <c r="P333" s="777">
        <f>$E$21*$I$8*'Traffic Data'!AR52*annualizationFactor</f>
        <v>42.019524730568001</v>
      </c>
      <c r="Q333" s="777">
        <f>$E$21*$I$8*'Traffic Data'!AS52*annualizationFactor</f>
        <v>43.177332239887996</v>
      </c>
      <c r="R333" s="777">
        <f>$E$21*$I$8*'Traffic Data'!AT52*annualizationFactor</f>
        <v>44.335080099155995</v>
      </c>
      <c r="S333" s="777">
        <f>$E$21*$I$8*'Traffic Data'!AU52*annualizationFactor</f>
        <v>45.492887608475996</v>
      </c>
      <c r="T333" s="777">
        <f>$E$21*$I$8*'Traffic Data'!AV52*annualizationFactor</f>
        <v>46.650695117795983</v>
      </c>
      <c r="U333" s="777">
        <f>$E$21*$I$8*'Traffic Data'!AW52*annualizationFactor</f>
        <v>47.809218427739992</v>
      </c>
      <c r="V333" s="777">
        <f>$E$21*$I$8*'Traffic Data'!AX52*annualizationFactor</f>
        <v>48.743159291903986</v>
      </c>
      <c r="W333" s="777">
        <f>$E$21*$I$8*'Traffic Data'!AY52*annualizationFactor</f>
        <v>49.509960710363977</v>
      </c>
      <c r="X333" s="777">
        <f>$E$21*$I$8*'Traffic Data'!AZ52*annualizationFactor</f>
        <v>50.276762128823982</v>
      </c>
      <c r="Y333" s="777">
        <f>$E$21*$I$8*'Traffic Data'!BA52*annualizationFactor</f>
        <v>51.043563547283981</v>
      </c>
      <c r="Z333" s="777">
        <f>$E$21*$I$8*'Traffic Data'!BB52*annualizationFactor</f>
        <v>51.810543915899984</v>
      </c>
      <c r="AA333" s="777">
        <f>$E$21*$I$8*'Traffic Data'!BC52*annualizationFactor</f>
        <v>52.577345334359983</v>
      </c>
      <c r="AB333" s="777">
        <f>$E$21*$I$8*'Traffic Data'!BD52*annualizationFactor</f>
        <v>53.344325702975986</v>
      </c>
      <c r="AC333" s="777">
        <f>$E$21*$I$8*'Traffic Data'!BE52*annualizationFactor</f>
        <v>54.111127121435992</v>
      </c>
      <c r="AD333" s="777">
        <f>$E$21*$I$8*'Traffic Data'!BF52*annualizationFactor</f>
        <v>54.87792853989599</v>
      </c>
      <c r="AE333" s="777">
        <f>$E$21*$I$8*'Traffic Data'!BG52*annualizationFactor</f>
        <v>55.644908908511994</v>
      </c>
      <c r="AF333" s="777">
        <f>$E$21*$I$8*'Traffic Data'!BH52*annualizationFactor</f>
        <v>56.411710326971971</v>
      </c>
      <c r="AG333" s="777">
        <f>$E$21*$I$8*'Traffic Data'!BI52*annualizationFactor</f>
        <v>57.178511745431997</v>
      </c>
      <c r="AH333" s="778">
        <f>$E$21*$I$8*'Traffic Data'!BJ52*annualizationFactor</f>
        <v>57.945492114047994</v>
      </c>
      <c r="AI333" s="40"/>
      <c r="AJ333" s="40"/>
      <c r="AK333" s="40"/>
      <c r="AL333" s="40"/>
      <c r="AM333" s="40"/>
    </row>
    <row r="334" spans="2:39" ht="21.95" customHeight="1" x14ac:dyDescent="0.2">
      <c r="B334" s="1346"/>
      <c r="C334" s="116" t="s">
        <v>323</v>
      </c>
      <c r="D334" s="116" t="s">
        <v>347</v>
      </c>
      <c r="E334" s="116" t="s">
        <v>19</v>
      </c>
      <c r="F334" s="116" t="s">
        <v>43</v>
      </c>
      <c r="G334" s="970"/>
      <c r="H334" s="970"/>
      <c r="I334" s="777">
        <f>$E$21*$I$8*'Traffic Data'!AK53*annualizationFactor</f>
        <v>5.9650052000000002</v>
      </c>
      <c r="J334" s="777">
        <f>$E$21*$I$8*'Traffic Data'!AL53*annualizationFactor</f>
        <v>6.0968105113300002</v>
      </c>
      <c r="K334" s="777">
        <f>$E$21*$I$8*'Traffic Data'!AM53*annualizationFactor</f>
        <v>6.2919620475249998</v>
      </c>
      <c r="L334" s="777">
        <f>$E$21*$I$8*'Traffic Data'!AN53*annualizationFactor</f>
        <v>6.5396269330700001</v>
      </c>
      <c r="M334" s="777">
        <f>$E$21*$I$8*'Traffic Data'!AO53*annualizationFactor</f>
        <v>6.7873663811800009</v>
      </c>
      <c r="N334" s="777">
        <f>$E$21*$I$8*'Traffic Data'!AP53*annualizationFactor</f>
        <v>7.0350909167769995</v>
      </c>
      <c r="O334" s="777">
        <f>$E$21*$I$8*'Traffic Data'!AQ53*annualizationFactor</f>
        <v>7.282755802321998</v>
      </c>
      <c r="P334" s="777">
        <f>$E$21*$I$8*'Traffic Data'!AR53*annualizationFactor</f>
        <v>7.5305549004839989</v>
      </c>
      <c r="Q334" s="777">
        <f>$E$21*$I$8*'Traffic Data'!AS53*annualizationFactor</f>
        <v>7.7507488067239994</v>
      </c>
      <c r="R334" s="777">
        <f>$E$21*$I$8*'Traffic Data'!AT53*annualizationFactor</f>
        <v>7.9709640165539986</v>
      </c>
      <c r="S334" s="777">
        <f>$E$21*$I$8*'Traffic Data'!AU53*annualizationFactor</f>
        <v>8.1911579227939981</v>
      </c>
      <c r="T334" s="777">
        <f>$E$21*$I$8*'Traffic Data'!AV53*annualizationFactor</f>
        <v>8.4113518290340004</v>
      </c>
      <c r="U334" s="777">
        <f>$E$21*$I$8*'Traffic Data'!AW53*annualizationFactor</f>
        <v>8.6316479925059983</v>
      </c>
      <c r="V334" s="777">
        <f>$E$21*$I$8*'Traffic Data'!AX53*annualizationFactor</f>
        <v>8.7992688993439998</v>
      </c>
      <c r="W334" s="777">
        <f>$E$21*$I$8*'Traffic Data'!AY53*annualizationFactor</f>
        <v>8.9310742106739998</v>
      </c>
      <c r="X334" s="777">
        <f>$E$21*$I$8*'Traffic Data'!AZ53*annualizationFactor</f>
        <v>9.0628795220040015</v>
      </c>
      <c r="Y334" s="777">
        <f>$E$21*$I$8*'Traffic Data'!BA53*annualizationFactor</f>
        <v>9.1946848333340014</v>
      </c>
      <c r="Z334" s="777">
        <f>$E$21*$I$8*'Traffic Data'!BB53*annualizationFactor</f>
        <v>9.326511448254001</v>
      </c>
      <c r="AA334" s="777">
        <f>$E$21*$I$8*'Traffic Data'!BC53*annualizationFactor</f>
        <v>9.4583167595839974</v>
      </c>
      <c r="AB334" s="777">
        <f>$E$21*$I$8*'Traffic Data'!BD53*annualizationFactor</f>
        <v>9.5901433745040006</v>
      </c>
      <c r="AC334" s="777">
        <f>$E$21*$I$8*'Traffic Data'!BE53*annualizationFactor</f>
        <v>9.7219486858340023</v>
      </c>
      <c r="AD334" s="777">
        <f>$E$21*$I$8*'Traffic Data'!BF53*annualizationFactor</f>
        <v>9.8537539971640005</v>
      </c>
      <c r="AE334" s="777">
        <f>$E$21*$I$8*'Traffic Data'!BG53*annualizationFactor</f>
        <v>9.9855806120840001</v>
      </c>
      <c r="AF334" s="777">
        <f>$E$21*$I$8*'Traffic Data'!BH53*annualizationFactor</f>
        <v>10.117385923414004</v>
      </c>
      <c r="AG334" s="777">
        <f>$E$21*$I$8*'Traffic Data'!BI53*annualizationFactor</f>
        <v>10.249191234744002</v>
      </c>
      <c r="AH334" s="778">
        <f>$E$21*$I$8*'Traffic Data'!BJ53*annualizationFactor</f>
        <v>10.381017849664001</v>
      </c>
      <c r="AI334" s="40"/>
      <c r="AJ334" s="40"/>
      <c r="AK334" s="40"/>
      <c r="AL334" s="40"/>
      <c r="AM334" s="40"/>
    </row>
    <row r="335" spans="2:39" ht="21.95" customHeight="1" x14ac:dyDescent="0.2">
      <c r="B335" s="1346"/>
      <c r="C335" s="116" t="s">
        <v>347</v>
      </c>
      <c r="D335" s="116" t="s">
        <v>348</v>
      </c>
      <c r="E335" s="116" t="s">
        <v>19</v>
      </c>
      <c r="F335" s="116" t="s">
        <v>43</v>
      </c>
      <c r="G335" s="970"/>
      <c r="H335" s="970"/>
      <c r="I335" s="777">
        <f>$E$21*$I$8*'Traffic Data'!AK54*annualizationFactor</f>
        <v>4.1755036399999996</v>
      </c>
      <c r="J335" s="777">
        <f>$E$21*$I$8*'Traffic Data'!AL54*annualizationFactor</f>
        <v>4.2677673579310005</v>
      </c>
      <c r="K335" s="777">
        <f>$E$21*$I$8*'Traffic Data'!AM54*annualizationFactor</f>
        <v>4.4043734332674989</v>
      </c>
      <c r="L335" s="777">
        <f>$E$21*$I$8*'Traffic Data'!AN54*annualizationFactor</f>
        <v>4.5777388531489995</v>
      </c>
      <c r="M335" s="777">
        <f>$E$21*$I$8*'Traffic Data'!AO54*annualizationFactor</f>
        <v>4.751156466826</v>
      </c>
      <c r="N335" s="777">
        <f>$E$21*$I$8*'Traffic Data'!AP54*annualizationFactor</f>
        <v>4.9245636417438998</v>
      </c>
      <c r="O335" s="777">
        <f>$E$21*$I$8*'Traffic Data'!AQ54*annualizationFactor</f>
        <v>5.0979290616253987</v>
      </c>
      <c r="P335" s="777">
        <f>$E$21*$I$8*'Traffic Data'!AR54*annualizationFactor</f>
        <v>5.2713884303387983</v>
      </c>
      <c r="Q335" s="777">
        <f>$E$21*$I$8*'Traffic Data'!AS54*annualizationFactor</f>
        <v>5.4255241647067995</v>
      </c>
      <c r="R335" s="777">
        <f>$E$21*$I$8*'Traffic Data'!AT54*annualizationFactor</f>
        <v>5.5796748115877994</v>
      </c>
      <c r="S335" s="777">
        <f>$E$21*$I$8*'Traffic Data'!AU54*annualizationFactor</f>
        <v>5.7338105459557989</v>
      </c>
      <c r="T335" s="777">
        <f>$E$21*$I$8*'Traffic Data'!AV54*annualizationFactor</f>
        <v>5.8879462803238001</v>
      </c>
      <c r="U335" s="777">
        <f>$E$21*$I$8*'Traffic Data'!AW54*annualizationFactor</f>
        <v>6.0421535947541987</v>
      </c>
      <c r="V335" s="777">
        <f>$E$21*$I$8*'Traffic Data'!AX54*annualizationFactor</f>
        <v>6.1594882295407984</v>
      </c>
      <c r="W335" s="777">
        <f>$E$21*$I$8*'Traffic Data'!AY54*annualizationFactor</f>
        <v>6.2517519474717993</v>
      </c>
      <c r="X335" s="777">
        <f>$E$21*$I$8*'Traffic Data'!AZ54*annualizationFactor</f>
        <v>6.3440156654027993</v>
      </c>
      <c r="Y335" s="777">
        <f>$E$21*$I$8*'Traffic Data'!BA54*annualizationFactor</f>
        <v>6.436279383333801</v>
      </c>
      <c r="Z335" s="777">
        <f>$E$21*$I$8*'Traffic Data'!BB54*annualizationFactor</f>
        <v>6.5285580137778005</v>
      </c>
      <c r="AA335" s="777">
        <f>$E$21*$I$8*'Traffic Data'!BC54*annualizationFactor</f>
        <v>6.6208217317087978</v>
      </c>
      <c r="AB335" s="777">
        <f>$E$21*$I$8*'Traffic Data'!BD54*annualizationFactor</f>
        <v>6.7131003621528</v>
      </c>
      <c r="AC335" s="777">
        <f>$E$21*$I$8*'Traffic Data'!BE54*annualizationFactor</f>
        <v>6.8053640800838</v>
      </c>
      <c r="AD335" s="777">
        <f>$E$21*$I$8*'Traffic Data'!BF54*annualizationFactor</f>
        <v>6.8976277980147991</v>
      </c>
      <c r="AE335" s="777">
        <f>$E$21*$I$8*'Traffic Data'!BG54*annualizationFactor</f>
        <v>6.9899064284587995</v>
      </c>
      <c r="AF335" s="777">
        <f>$E$21*$I$8*'Traffic Data'!BH54*annualizationFactor</f>
        <v>7.0821701463898004</v>
      </c>
      <c r="AG335" s="777">
        <f>$E$21*$I$8*'Traffic Data'!BI54*annualizationFactor</f>
        <v>7.1744338643208021</v>
      </c>
      <c r="AH335" s="778">
        <f>$E$21*$I$8*'Traffic Data'!BJ54*annualizationFactor</f>
        <v>7.2667124947648007</v>
      </c>
      <c r="AI335" s="40"/>
      <c r="AJ335" s="40"/>
      <c r="AK335" s="40"/>
      <c r="AL335" s="40"/>
      <c r="AM335" s="40"/>
    </row>
    <row r="336" spans="2:39" ht="21.95" customHeight="1" x14ac:dyDescent="0.2">
      <c r="B336" s="1346"/>
      <c r="C336" s="254" t="s">
        <v>348</v>
      </c>
      <c r="D336" s="254" t="s">
        <v>349</v>
      </c>
      <c r="E336" s="254" t="s">
        <v>19</v>
      </c>
      <c r="F336" s="254" t="s">
        <v>43</v>
      </c>
      <c r="G336" s="779"/>
      <c r="H336" s="779"/>
      <c r="I336" s="777">
        <f>$E$21*$I$8*'Traffic Data'!AK55*annualizationFactor</f>
        <v>6.8171487999999991</v>
      </c>
      <c r="J336" s="777">
        <f>$E$21*$I$8*'Traffic Data'!AL55*annualizationFactor</f>
        <v>6.9799827901649998</v>
      </c>
      <c r="K336" s="777">
        <f>$E$21*$I$8*'Traffic Data'!AM55*annualizationFactor</f>
        <v>7.206173656989999</v>
      </c>
      <c r="L336" s="777">
        <f>$E$21*$I$8*'Traffic Data'!AN55*annualizationFactor</f>
        <v>7.5065755795799989</v>
      </c>
      <c r="M336" s="777">
        <f>$E$21*$I$8*'Traffic Data'!AO55*annualizationFactor</f>
        <v>7.8070627165300008</v>
      </c>
      <c r="N336" s="777">
        <f>$E$21*$I$8*'Traffic Data'!AP55*annualizationFactor</f>
        <v>8.1075711570699998</v>
      </c>
      <c r="O336" s="777">
        <f>$E$21*$I$8*'Traffic Data'!AQ55*annualizationFactor</f>
        <v>8.4079730796599996</v>
      </c>
      <c r="P336" s="777">
        <f>$E$21*$I$8*'Traffic Data'!AR55*annualizationFactor</f>
        <v>8.7085454309700019</v>
      </c>
      <c r="Q336" s="777">
        <f>$E$21*$I$8*'Traffic Data'!AS55*annualizationFactor</f>
        <v>8.9954195739100005</v>
      </c>
      <c r="R336" s="777">
        <f>$E$21*$I$8*'Traffic Data'!AT55*annualizationFactor</f>
        <v>9.2823043686449989</v>
      </c>
      <c r="S336" s="777">
        <f>$E$21*$I$8*'Traffic Data'!AU55*annualizationFactor</f>
        <v>9.5691785115849992</v>
      </c>
      <c r="T336" s="777">
        <f>$E$21*$I$8*'Traffic Data'!AV55*annualizationFactor</f>
        <v>9.8560526545249996</v>
      </c>
      <c r="U336" s="777">
        <f>$E$21*$I$8*'Traffic Data'!AW55*annualizationFactor</f>
        <v>10.143097226185001</v>
      </c>
      <c r="V336" s="777">
        <f>$E$21*$I$8*'Traffic Data'!AX55*annualizationFactor</f>
        <v>10.355675098999999</v>
      </c>
      <c r="W336" s="777">
        <f>$E$21*$I$8*'Traffic Data'!AY55*annualizationFactor</f>
        <v>10.518509089165001</v>
      </c>
      <c r="X336" s="777">
        <f>$E$21*$I$8*'Traffic Data'!AZ55*annualizationFactor</f>
        <v>10.681343079329999</v>
      </c>
      <c r="Y336" s="777">
        <f>$E$21*$I$8*'Traffic Data'!BA55*annualizationFactor</f>
        <v>10.844177069494998</v>
      </c>
      <c r="Z336" s="777">
        <f>$E$21*$I$8*'Traffic Data'!BB55*annualizationFactor</f>
        <v>11.007043015044999</v>
      </c>
      <c r="AA336" s="777">
        <f>$E$21*$I$8*'Traffic Data'!BC55*annualizationFactor</f>
        <v>11.169877005209997</v>
      </c>
      <c r="AB336" s="777">
        <f>$E$21*$I$8*'Traffic Data'!BD55*annualizationFactor</f>
        <v>11.33274295076</v>
      </c>
      <c r="AC336" s="777">
        <f>$E$21*$I$8*'Traffic Data'!BE55*annualizationFactor</f>
        <v>11.495576940925</v>
      </c>
      <c r="AD336" s="777">
        <f>$E$21*$I$8*'Traffic Data'!BF55*annualizationFactor</f>
        <v>11.65841093109</v>
      </c>
      <c r="AE336" s="777">
        <f>$E$21*$I$8*'Traffic Data'!BG55*annualizationFactor</f>
        <v>11.821276876639999</v>
      </c>
      <c r="AF336" s="777">
        <f>$E$21*$I$8*'Traffic Data'!BH55*annualizationFactor</f>
        <v>11.984110866804999</v>
      </c>
      <c r="AG336" s="777">
        <f>$E$21*$I$8*'Traffic Data'!BI55*annualizationFactor</f>
        <v>12.146944856969998</v>
      </c>
      <c r="AH336" s="778">
        <f>$E$21*$I$8*'Traffic Data'!BJ55*annualizationFactor</f>
        <v>12.309810802519998</v>
      </c>
      <c r="AI336" s="40"/>
      <c r="AJ336" s="40"/>
      <c r="AK336" s="40"/>
      <c r="AL336" s="40"/>
      <c r="AM336" s="40"/>
    </row>
    <row r="337" spans="2:39" ht="21.95" customHeight="1" x14ac:dyDescent="0.2">
      <c r="B337" s="492" t="s">
        <v>288</v>
      </c>
      <c r="C337" s="116" t="s">
        <v>323</v>
      </c>
      <c r="D337" s="116" t="s">
        <v>348</v>
      </c>
      <c r="E337" s="116" t="s">
        <v>19</v>
      </c>
      <c r="F337" s="116" t="s">
        <v>43</v>
      </c>
      <c r="G337" s="970"/>
      <c r="H337" s="970"/>
      <c r="I337" s="775">
        <f>$E$21*$J$8*'Traffic Data'!AK56*annualizationFactor</f>
        <v>0.54780660000000003</v>
      </c>
      <c r="J337" s="775">
        <f>$E$21*$J$8*'Traffic Data'!AL56*annualizationFactor</f>
        <v>0.58149061916</v>
      </c>
      <c r="K337" s="775">
        <f>$E$21*$J$8*'Traffic Data'!AM56*annualizationFactor</f>
        <v>0.62606685954999997</v>
      </c>
      <c r="L337" s="775">
        <f>$E$21*$J$8*'Traffic Data'!AN56*annualizationFactor</f>
        <v>0.68530605659999988</v>
      </c>
      <c r="M337" s="775">
        <f>$E$21*$J$8*'Traffic Data'!AO56*annualizationFactor</f>
        <v>0.74456351386999986</v>
      </c>
      <c r="N337" s="775">
        <f>$E$21*$J$8*'Traffic Data'!AP56*annualizationFactor</f>
        <v>0.80394879267999997</v>
      </c>
      <c r="O337" s="775">
        <f>$E$21*$J$8*'Traffic Data'!AQ56*annualizationFactor</f>
        <v>0.86318798972999988</v>
      </c>
      <c r="P337" s="775">
        <f>$E$21*$J$8*'Traffic Data'!AR56*annualizationFactor</f>
        <v>0.92249109754999981</v>
      </c>
      <c r="Q337" s="775">
        <f>$E$21*$J$8*'Traffic Data'!AS56*annualizationFactor</f>
        <v>0.97656569570999996</v>
      </c>
      <c r="R337" s="775">
        <f>$E$21*$J$8*'Traffic Data'!AT56*annualizationFactor</f>
        <v>1.0305946433200002</v>
      </c>
      <c r="S337" s="775">
        <f>$E$21*$J$8*'Traffic Data'!AU56*annualizationFactor</f>
        <v>1.0846722848499999</v>
      </c>
      <c r="T337" s="775">
        <f>$E$21*$J$8*'Traffic Data'!AV56*annualizationFactor</f>
        <v>1.13874688301</v>
      </c>
      <c r="U337" s="775">
        <f>$E$21*$J$8*'Traffic Data'!AW56*annualizationFactor</f>
        <v>1.19301321348</v>
      </c>
      <c r="V337" s="775">
        <f>$E$21*$J$8*'Traffic Data'!AX56*annualizationFactor</f>
        <v>1.2323822477999999</v>
      </c>
      <c r="W337" s="775">
        <f>$E$21*$J$8*'Traffic Data'!AY56*annualizationFactor</f>
        <v>1.26606626696</v>
      </c>
      <c r="X337" s="775">
        <f>$E$21*$J$8*'Traffic Data'!AZ56*annualizationFactor</f>
        <v>1.2997502861199997</v>
      </c>
      <c r="Y337" s="775">
        <f>$E$21*$J$8*'Traffic Data'!BA56*annualizationFactor</f>
        <v>1.3334343052799997</v>
      </c>
      <c r="Z337" s="775">
        <f>$E$21*$J$8*'Traffic Data'!BB56*annualizationFactor</f>
        <v>1.3671548448799999</v>
      </c>
      <c r="AA337" s="775">
        <f>$E$21*$J$8*'Traffic Data'!BC56*annualizationFactor</f>
        <v>1.4008388640399996</v>
      </c>
      <c r="AB337" s="775">
        <f>$E$21*$J$8*'Traffic Data'!BD56*annualizationFactor</f>
        <v>1.4346050541899997</v>
      </c>
      <c r="AC337" s="775">
        <f>$E$21*$J$8*'Traffic Data'!BE56*annualizationFactor</f>
        <v>1.4682890733499998</v>
      </c>
      <c r="AD337" s="775">
        <f>$E$21*$J$8*'Traffic Data'!BF56*annualizationFactor</f>
        <v>1.5019730925099999</v>
      </c>
      <c r="AE337" s="775">
        <f>$E$21*$J$8*'Traffic Data'!BG56*annualizationFactor</f>
        <v>1.5356936321099997</v>
      </c>
      <c r="AF337" s="775">
        <f>$E$21*$J$8*'Traffic Data'!BH56*annualizationFactor</f>
        <v>1.5693776512700002</v>
      </c>
      <c r="AG337" s="775">
        <f>$E$21*$J$8*'Traffic Data'!BI56*annualizationFactor</f>
        <v>1.6030616704299998</v>
      </c>
      <c r="AH337" s="776">
        <f>$E$21*$J$8*'Traffic Data'!BJ56*annualizationFactor</f>
        <v>1.6368278605799997</v>
      </c>
      <c r="AI337" s="40"/>
      <c r="AJ337" s="40"/>
      <c r="AK337" s="40"/>
      <c r="AL337" s="40"/>
      <c r="AM337" s="40"/>
    </row>
    <row r="338" spans="2:39" ht="21.95" customHeight="1" x14ac:dyDescent="0.2">
      <c r="B338" s="782" t="s">
        <v>340</v>
      </c>
      <c r="C338" s="277" t="s">
        <v>335</v>
      </c>
      <c r="D338" s="277" t="s">
        <v>323</v>
      </c>
      <c r="E338" s="277" t="s">
        <v>19</v>
      </c>
      <c r="F338" s="277" t="s">
        <v>43</v>
      </c>
      <c r="G338" s="780"/>
      <c r="H338" s="780"/>
      <c r="I338" s="775">
        <f>$E$21*$K$8*'Traffic Data'!AK57*annualizationFactor</f>
        <v>0</v>
      </c>
      <c r="J338" s="775">
        <f>$E$21*$K$8*'Traffic Data'!AL57*annualizationFactor</f>
        <v>0</v>
      </c>
      <c r="K338" s="775">
        <f>$E$21*$K$8*'Traffic Data'!AM57*annualizationFactor</f>
        <v>0</v>
      </c>
      <c r="L338" s="775">
        <f>$E$21*$K$8*'Traffic Data'!AN57*annualizationFactor</f>
        <v>0</v>
      </c>
      <c r="M338" s="775">
        <f>$E$21*$K$8*'Traffic Data'!AO57*annualizationFactor</f>
        <v>0</v>
      </c>
      <c r="N338" s="775">
        <f>$E$21*$K$8*'Traffic Data'!AP57*annualizationFactor</f>
        <v>0</v>
      </c>
      <c r="O338" s="775">
        <f>$E$21*$K$8*'Traffic Data'!AQ57*annualizationFactor</f>
        <v>0</v>
      </c>
      <c r="P338" s="775">
        <f>$E$21*$K$8*'Traffic Data'!AR57*annualizationFactor</f>
        <v>0</v>
      </c>
      <c r="Q338" s="775">
        <f>$E$21*$K$8*'Traffic Data'!AS57*annualizationFactor</f>
        <v>0</v>
      </c>
      <c r="R338" s="775">
        <f>$E$21*$K$8*'Traffic Data'!AT57*annualizationFactor</f>
        <v>0</v>
      </c>
      <c r="S338" s="775">
        <f>$E$21*$K$8*'Traffic Data'!AU57*annualizationFactor</f>
        <v>0</v>
      </c>
      <c r="T338" s="775">
        <f>$E$21*$K$8*'Traffic Data'!AV57*annualizationFactor</f>
        <v>0</v>
      </c>
      <c r="U338" s="775">
        <f>$E$21*$K$8*'Traffic Data'!AW57*annualizationFactor</f>
        <v>0</v>
      </c>
      <c r="V338" s="775">
        <f>$E$21*$K$8*'Traffic Data'!AX57*annualizationFactor</f>
        <v>0</v>
      </c>
      <c r="W338" s="775">
        <f>$E$21*$K$8*'Traffic Data'!AY57*annualizationFactor</f>
        <v>0</v>
      </c>
      <c r="X338" s="775">
        <f>$E$21*$K$8*'Traffic Data'!AZ57*annualizationFactor</f>
        <v>0</v>
      </c>
      <c r="Y338" s="775">
        <f>$E$21*$K$8*'Traffic Data'!BA57*annualizationFactor</f>
        <v>0</v>
      </c>
      <c r="Z338" s="775">
        <f>$E$21*$K$8*'Traffic Data'!BB57*annualizationFactor</f>
        <v>0</v>
      </c>
      <c r="AA338" s="775">
        <f>$E$21*$K$8*'Traffic Data'!BC57*annualizationFactor</f>
        <v>0</v>
      </c>
      <c r="AB338" s="775">
        <f>$E$21*$K$8*'Traffic Data'!BD57*annualizationFactor</f>
        <v>0</v>
      </c>
      <c r="AC338" s="775">
        <f>$E$21*$K$8*'Traffic Data'!BE57*annualizationFactor</f>
        <v>0</v>
      </c>
      <c r="AD338" s="775">
        <f>$E$21*$K$8*'Traffic Data'!BF57*annualizationFactor</f>
        <v>0</v>
      </c>
      <c r="AE338" s="775">
        <f>$E$21*$K$8*'Traffic Data'!BG57*annualizationFactor</f>
        <v>0</v>
      </c>
      <c r="AF338" s="775">
        <f>$E$21*$K$8*'Traffic Data'!BH57*annualizationFactor</f>
        <v>0</v>
      </c>
      <c r="AG338" s="775">
        <f>$E$21*$K$8*'Traffic Data'!BI57*annualizationFactor</f>
        <v>0</v>
      </c>
      <c r="AH338" s="776">
        <f>$E$21*$K$8*'Traffic Data'!BJ57*annualizationFactor</f>
        <v>0</v>
      </c>
      <c r="AI338" s="40"/>
      <c r="AJ338" s="40"/>
      <c r="AK338" s="40"/>
      <c r="AL338" s="40"/>
      <c r="AM338" s="40"/>
    </row>
    <row r="339" spans="2:39" ht="21.95" customHeight="1" x14ac:dyDescent="0.2">
      <c r="B339" s="782" t="s">
        <v>357</v>
      </c>
      <c r="C339" s="277" t="s">
        <v>338</v>
      </c>
      <c r="D339" s="277" t="s">
        <v>323</v>
      </c>
      <c r="E339" s="116" t="s">
        <v>19</v>
      </c>
      <c r="F339" s="116" t="s">
        <v>43</v>
      </c>
      <c r="G339" s="970"/>
      <c r="H339" s="970"/>
      <c r="I339" s="775">
        <f>$E$21*$L$8*'Traffic Data'!AK58*annualizationFactor</f>
        <v>1.0159322399999999</v>
      </c>
      <c r="J339" s="775">
        <f>$E$21*$L$8*'Traffic Data'!AL58*annualizationFactor</f>
        <v>1.0298815540619999</v>
      </c>
      <c r="K339" s="775">
        <f>$E$21*$L$8*'Traffic Data'!AM58*annualizationFactor</f>
        <v>1.0539930125579999</v>
      </c>
      <c r="L339" s="775">
        <f>$E$21*$L$8*'Traffic Data'!AN58*annualizationFactor</f>
        <v>1.0870954713780001</v>
      </c>
      <c r="M339" s="775">
        <f>$E$21*$L$8*'Traffic Data'!AO58*annualizationFactor</f>
        <v>1.120212040368</v>
      </c>
      <c r="N339" s="775">
        <f>$E$21*$L$8*'Traffic Data'!AP58*annualizationFactor</f>
        <v>1.1533765839359997</v>
      </c>
      <c r="O339" s="775">
        <f>$E$21*$L$8*'Traffic Data'!AQ58*annualizationFactor</f>
        <v>1.1864790427559999</v>
      </c>
      <c r="P339" s="775">
        <f>$E$21*$L$8*'Traffic Data'!AR58*annualizationFactor</f>
        <v>1.2196972049699999</v>
      </c>
      <c r="Q339" s="775">
        <f>$E$21*$L$8*'Traffic Data'!AS58*annualizationFactor</f>
        <v>1.242733468512</v>
      </c>
      <c r="R339" s="775">
        <f>$E$21*$L$8*'Traffic Data'!AT58*annualizationFactor</f>
        <v>1.2657725540879998</v>
      </c>
      <c r="S339" s="775">
        <f>$E$21*$L$8*'Traffic Data'!AU58*annualizationFactor</f>
        <v>1.288814461698</v>
      </c>
      <c r="T339" s="775">
        <f>$E$21*$L$8*'Traffic Data'!AV58*annualizationFactor</f>
        <v>1.3118507252400002</v>
      </c>
      <c r="U339" s="775">
        <f>$E$21*$L$8*'Traffic Data'!AW58*annualizationFactor</f>
        <v>1.3350506667539999</v>
      </c>
      <c r="V339" s="775">
        <f>$E$21*$L$8*'Traffic Data'!AX58*annualizationFactor</f>
        <v>1.3489999808159998</v>
      </c>
      <c r="W339" s="775">
        <f>$E$21*$L$8*'Traffic Data'!AY58*annualizationFactor</f>
        <v>1.3629492948779995</v>
      </c>
      <c r="X339" s="775">
        <f>$E$21*$L$8*'Traffic Data'!AZ58*annualizationFactor</f>
        <v>1.3768986089400002</v>
      </c>
      <c r="Y339" s="775">
        <f>$E$21*$L$8*'Traffic Data'!BA58*annualizationFactor</f>
        <v>1.3908479230019997</v>
      </c>
      <c r="Z339" s="775">
        <f>$E$21*$L$8*'Traffic Data'!BB58*annualizationFactor</f>
        <v>1.40489318622</v>
      </c>
      <c r="AA339" s="775">
        <f>$E$21*$L$8*'Traffic Data'!BC58*annualizationFactor</f>
        <v>1.418842500282</v>
      </c>
      <c r="AB339" s="775">
        <f>$E$21*$L$8*'Traffic Data'!BD58*annualizationFactor</f>
        <v>1.4328454329900002</v>
      </c>
      <c r="AC339" s="775">
        <f>$E$21*$L$8*'Traffic Data'!BE58*annualizationFactor</f>
        <v>1.4467947470519997</v>
      </c>
      <c r="AD339" s="775">
        <f>$E$21*$L$8*'Traffic Data'!BF58*annualizationFactor</f>
        <v>1.4607440611140001</v>
      </c>
      <c r="AE339" s="775">
        <f>$E$21*$L$8*'Traffic Data'!BG58*annualizationFactor</f>
        <v>1.4747893243319998</v>
      </c>
      <c r="AF339" s="775">
        <f>$E$21*$L$8*'Traffic Data'!BH58*annualizationFactor</f>
        <v>1.488738638394</v>
      </c>
      <c r="AG339" s="775">
        <f>$E$21*$L$8*'Traffic Data'!BI58*annualizationFactor</f>
        <v>1.502687952456</v>
      </c>
      <c r="AH339" s="776">
        <f>$E$21*$L$8*'Traffic Data'!BJ58*annualizationFactor</f>
        <v>1.516690885164</v>
      </c>
      <c r="AI339" s="40"/>
      <c r="AJ339" s="40"/>
      <c r="AK339" s="40"/>
      <c r="AL339" s="40"/>
      <c r="AM339" s="40"/>
    </row>
    <row r="340" spans="2:39" ht="21.95" customHeight="1" x14ac:dyDescent="0.2">
      <c r="B340" s="492" t="s">
        <v>338</v>
      </c>
      <c r="C340" s="116" t="s">
        <v>282</v>
      </c>
      <c r="D340" s="116" t="s">
        <v>357</v>
      </c>
      <c r="E340" s="220" t="s">
        <v>19</v>
      </c>
      <c r="F340" s="220" t="s">
        <v>43</v>
      </c>
      <c r="G340" s="775"/>
      <c r="H340" s="775"/>
      <c r="I340" s="775">
        <f>$E$21*$M$8*'Traffic Data'!AK59*annualizationFactor</f>
        <v>3.6485856249999999</v>
      </c>
      <c r="J340" s="775">
        <f>$E$21*$M$8*'Traffic Data'!AL59*annualizationFactor</f>
        <v>3.7537634028118756</v>
      </c>
      <c r="K340" s="775">
        <f>$E$21*$M$8*'Traffic Data'!AM59*annualizationFactor</f>
        <v>3.8676065714831251</v>
      </c>
      <c r="L340" s="775">
        <f>$E$21*$M$8*'Traffic Data'!AN59*annualizationFactor</f>
        <v>4.0186397734300003</v>
      </c>
      <c r="M340" s="775">
        <f>$E$21*$M$8*'Traffic Data'!AO59*annualizationFactor</f>
        <v>4.1696985154762496</v>
      </c>
      <c r="N340" s="775">
        <f>$E$21*$M$8*'Traffic Data'!AP59*annualizationFactor</f>
        <v>4.3208192834781247</v>
      </c>
      <c r="O340" s="775">
        <f>$E$21*$M$8*'Traffic Data'!AQ59*annualizationFactor</f>
        <v>4.4718524854250008</v>
      </c>
      <c r="P340" s="775">
        <f>$E$21*$M$8*'Traffic Data'!AR59*annualizationFactor</f>
        <v>4.6229258218137508</v>
      </c>
      <c r="Q340" s="775">
        <f>$E$21*$M$8*'Traffic Data'!AS59*annualizationFactor</f>
        <v>4.7891626800600005</v>
      </c>
      <c r="R340" s="775">
        <f>$E$21*$M$8*'Traffic Data'!AT59*annualizationFactor</f>
        <v>4.9553448095218746</v>
      </c>
      <c r="S340" s="775">
        <f>$E$21*$M$8*'Traffic Data'!AU59*annualizationFactor</f>
        <v>5.1215816677681252</v>
      </c>
      <c r="T340" s="775">
        <f>$E$21*$M$8*'Traffic Data'!AV59*annualizationFactor</f>
        <v>5.2878185260143749</v>
      </c>
      <c r="U340" s="775">
        <f>$E$21*$M$8*'Traffic Data'!AW59*annualizationFactor</f>
        <v>5.4541502474868757</v>
      </c>
      <c r="V340" s="775">
        <f>$E$21*$M$8*'Traffic Data'!AX59*annualizationFactor</f>
        <v>5.5831824781149999</v>
      </c>
      <c r="W340" s="775">
        <f>$E$21*$M$8*'Traffic Data'!AY59*annualizationFactor</f>
        <v>5.6883602559268747</v>
      </c>
      <c r="X340" s="775">
        <f>$E$21*$M$8*'Traffic Data'!AZ59*annualizationFactor</f>
        <v>5.7935380337387503</v>
      </c>
      <c r="Y340" s="775">
        <f>$E$21*$M$8*'Traffic Data'!BA59*annualizationFactor</f>
        <v>5.898715811550626</v>
      </c>
      <c r="Z340" s="775">
        <f>$E$21*$M$8*'Traffic Data'!BB59*annualizationFactor</f>
        <v>6.0038826436056256</v>
      </c>
      <c r="AA340" s="775">
        <f>$E$21*$M$8*'Traffic Data'!BC59*annualizationFactor</f>
        <v>6.1090604214174986</v>
      </c>
      <c r="AB340" s="775">
        <f>$E$21*$M$8*'Traffic Data'!BD59*annualizationFactor</f>
        <v>6.2142272534724974</v>
      </c>
      <c r="AC340" s="775">
        <f>$E$21*$M$8*'Traffic Data'!BE59*annualizationFactor</f>
        <v>6.3194050312843757</v>
      </c>
      <c r="AD340" s="775">
        <f>$E$21*$M$8*'Traffic Data'!BF59*annualizationFactor</f>
        <v>6.4245828090962513</v>
      </c>
      <c r="AE340" s="775">
        <f>$E$21*$M$8*'Traffic Data'!BG59*annualizationFactor</f>
        <v>6.529749641151251</v>
      </c>
      <c r="AF340" s="775">
        <f>$E$21*$M$8*'Traffic Data'!BH59*annualizationFactor</f>
        <v>6.6349274189631249</v>
      </c>
      <c r="AG340" s="775">
        <f>$E$21*$M$8*'Traffic Data'!BI59*annualizationFactor</f>
        <v>6.7401051967749996</v>
      </c>
      <c r="AH340" s="776">
        <f>$E$21*$M$8*'Traffic Data'!BJ59*annualizationFactor</f>
        <v>6.8452720288300011</v>
      </c>
      <c r="AI340" s="40"/>
      <c r="AJ340" s="40"/>
      <c r="AK340" s="40"/>
      <c r="AL340" s="40"/>
      <c r="AM340" s="40"/>
    </row>
    <row r="341" spans="2:39" ht="21.95" customHeight="1" x14ac:dyDescent="0.2">
      <c r="B341" s="492"/>
      <c r="C341" s="116" t="s">
        <v>357</v>
      </c>
      <c r="D341" s="116" t="s">
        <v>346</v>
      </c>
      <c r="E341" s="116" t="s">
        <v>19</v>
      </c>
      <c r="F341" s="116" t="s">
        <v>43</v>
      </c>
      <c r="G341" s="970"/>
      <c r="H341" s="970"/>
      <c r="I341" s="777">
        <f>$E$21*$M$8*'Traffic Data'!AK60*annualizationFactor</f>
        <v>0.5313677908333333</v>
      </c>
      <c r="J341" s="777">
        <f>$E$21*$M$8*'Traffic Data'!AL60*annualizationFactor</f>
        <v>0.5464488477389583</v>
      </c>
      <c r="K341" s="777">
        <f>$E$21*$M$8*'Traffic Data'!AM60*annualizationFactor</f>
        <v>0.56318483564577082</v>
      </c>
      <c r="L341" s="777">
        <f>$E$21*$M$8*'Traffic Data'!AN60*annualizationFactor</f>
        <v>0.58667548700947902</v>
      </c>
      <c r="M341" s="777">
        <f>$E$21*$M$8*'Traffic Data'!AO60*annualizationFactor</f>
        <v>0.6101703333820625</v>
      </c>
      <c r="N341" s="777">
        <f>$E$21*$M$8*'Traffic Data'!AP60*annualizationFactor</f>
        <v>0.63367007393166652</v>
      </c>
      <c r="O341" s="777">
        <f>$E$21*$M$8*'Traffic Data'!AQ60*annualizationFactor</f>
        <v>0.65716072529537495</v>
      </c>
      <c r="P341" s="777">
        <f>$E$21*$M$8*'Traffic Data'!AR60*annualizationFactor</f>
        <v>0.68065277499537491</v>
      </c>
      <c r="Q341" s="777">
        <f>$E$21*$M$8*'Traffic Data'!AS60*annualizationFactor</f>
        <v>0.70705686002277091</v>
      </c>
      <c r="R341" s="777">
        <f>$E$21*$M$8*'Traffic Data'!AT60*annualizationFactor</f>
        <v>0.73345185586427075</v>
      </c>
      <c r="S341" s="777">
        <f>$E$21*$M$8*'Traffic Data'!AU60*annualizationFactor</f>
        <v>0.75985594089166641</v>
      </c>
      <c r="T341" s="777">
        <f>$E$21*$M$8*'Traffic Data'!AV60*annualizationFactor</f>
        <v>0.7862600259190623</v>
      </c>
      <c r="U341" s="777">
        <f>$E$21*$M$8*'Traffic Data'!AW60*annualizationFactor</f>
        <v>0.81266830595533335</v>
      </c>
      <c r="V341" s="777">
        <f>$E$21*$M$8*'Traffic Data'!AX60*annualizationFactor</f>
        <v>0.83232052419841651</v>
      </c>
      <c r="W341" s="777">
        <f>$E$21*$M$8*'Traffic Data'!AY60*annualizationFactor</f>
        <v>0.84740158110404162</v>
      </c>
      <c r="X341" s="777">
        <f>$E$21*$M$8*'Traffic Data'!AZ60*annualizationFactor</f>
        <v>0.86248263800966674</v>
      </c>
      <c r="Y341" s="777">
        <f>$E$21*$M$8*'Traffic Data'!BA60*annualizationFactor</f>
        <v>0.87756369491529151</v>
      </c>
      <c r="Z341" s="777">
        <f>$E$21*$M$8*'Traffic Data'!BB60*annualizationFactor</f>
        <v>0.89263706097131224</v>
      </c>
      <c r="AA341" s="777">
        <f>$E$21*$M$8*'Traffic Data'!BC60*annualizationFactor</f>
        <v>0.90771811787693735</v>
      </c>
      <c r="AB341" s="777">
        <f>$E$21*$M$8*'Traffic Data'!BD60*annualizationFactor</f>
        <v>0.92279148393295829</v>
      </c>
      <c r="AC341" s="777">
        <f>$E$21*$M$8*'Traffic Data'!BE60*annualizationFactor</f>
        <v>0.93787254083858318</v>
      </c>
      <c r="AD341" s="777">
        <f>$E$21*$M$8*'Traffic Data'!BF60*annualizationFactor</f>
        <v>0.95295359774420829</v>
      </c>
      <c r="AE341" s="777">
        <f>$E$21*$M$8*'Traffic Data'!BG60*annualizationFactor</f>
        <v>0.96802696380022901</v>
      </c>
      <c r="AF341" s="777">
        <f>$E$21*$M$8*'Traffic Data'!BH60*annualizationFactor</f>
        <v>0.98310802070585412</v>
      </c>
      <c r="AG341" s="777">
        <f>$E$21*$M$8*'Traffic Data'!BI60*annualizationFactor</f>
        <v>0.9981890776114789</v>
      </c>
      <c r="AH341" s="778">
        <f>$E$21*$M$8*'Traffic Data'!BJ60*annualizationFactor</f>
        <v>1.0132624436674997</v>
      </c>
      <c r="AI341" s="40"/>
      <c r="AJ341" s="40"/>
      <c r="AK341" s="40"/>
      <c r="AL341" s="40"/>
      <c r="AM341" s="40"/>
    </row>
    <row r="342" spans="2:39" ht="21.95" customHeight="1" x14ac:dyDescent="0.2">
      <c r="B342" s="492"/>
      <c r="C342" s="116" t="s">
        <v>346</v>
      </c>
      <c r="D342" s="116" t="s">
        <v>343</v>
      </c>
      <c r="E342" s="116" t="s">
        <v>19</v>
      </c>
      <c r="F342" s="116" t="s">
        <v>43</v>
      </c>
      <c r="G342" s="970"/>
      <c r="H342" s="970"/>
      <c r="I342" s="777">
        <f>$E$21*$M$8*'Traffic Data'!AK61*annualizationFactor</f>
        <v>0.13141824999999999</v>
      </c>
      <c r="J342" s="777">
        <f>$E$21*$M$8*'Traffic Data'!AL61*annualizationFactor</f>
        <v>0.1351481074375</v>
      </c>
      <c r="K342" s="777">
        <f>$E$21*$M$8*'Traffic Data'!AM61*annualizationFactor</f>
        <v>0.13928726355624999</v>
      </c>
      <c r="L342" s="777">
        <f>$E$21*$M$8*'Traffic Data'!AN61*annualizationFactor</f>
        <v>0.14509698771874999</v>
      </c>
      <c r="M342" s="777">
        <f>$E$21*$M$8*'Traffic Data'!AO61*annualizationFactor</f>
        <v>0.15090774939374998</v>
      </c>
      <c r="N342" s="777">
        <f>$E$21*$M$8*'Traffic Data'!AP61*annualizationFactor</f>
        <v>0.15671972149999996</v>
      </c>
      <c r="O342" s="777">
        <f>$E$21*$M$8*'Traffic Data'!AQ61*annualizationFactor</f>
        <v>0.16252944566249999</v>
      </c>
      <c r="P342" s="777">
        <f>$E$21*$M$8*'Traffic Data'!AR61*annualizationFactor</f>
        <v>0.16833951566250002</v>
      </c>
      <c r="Q342" s="777">
        <f>$E$21*$M$8*'Traffic Data'!AS61*annualizationFactor</f>
        <v>0.17486979225625002</v>
      </c>
      <c r="R342" s="777">
        <f>$E$21*$M$8*'Traffic Data'!AT61*annualizationFactor</f>
        <v>0.18139782090624998</v>
      </c>
      <c r="S342" s="777">
        <f>$E$21*$M$8*'Traffic Data'!AU61*annualizationFactor</f>
        <v>0.18792809749999997</v>
      </c>
      <c r="T342" s="777">
        <f>$E$21*$M$8*'Traffic Data'!AV61*annualizationFactor</f>
        <v>0.19445837409374997</v>
      </c>
      <c r="U342" s="777">
        <f>$E$21*$M$8*'Traffic Data'!AW61*annualizationFactor</f>
        <v>0.20098968819999999</v>
      </c>
      <c r="V342" s="777">
        <f>$E$21*$M$8*'Traffic Data'!AX61*annualizationFactor</f>
        <v>0.20585008842499997</v>
      </c>
      <c r="W342" s="777">
        <f>$E$21*$M$8*'Traffic Data'!AY61*annualizationFactor</f>
        <v>0.20957994586249998</v>
      </c>
      <c r="X342" s="777">
        <f>$E$21*$M$8*'Traffic Data'!AZ61*annualizationFactor</f>
        <v>0.21330980329999999</v>
      </c>
      <c r="Y342" s="777">
        <f>$E$21*$M$8*'Traffic Data'!BA61*annualizationFactor</f>
        <v>0.21703966073749995</v>
      </c>
      <c r="Z342" s="777">
        <f>$E$21*$M$8*'Traffic Data'!BB61*annualizationFactor</f>
        <v>0.22076761606874995</v>
      </c>
      <c r="AA342" s="777">
        <f>$E$21*$M$8*'Traffic Data'!BC61*annualizationFactor</f>
        <v>0.22449747350624996</v>
      </c>
      <c r="AB342" s="777">
        <f>$E$21*$M$8*'Traffic Data'!BD61*annualizationFactor</f>
        <v>0.22822542883749999</v>
      </c>
      <c r="AC342" s="777">
        <f>$E$21*$M$8*'Traffic Data'!BE61*annualizationFactor</f>
        <v>0.23195528627499998</v>
      </c>
      <c r="AD342" s="777">
        <f>$E$21*$M$8*'Traffic Data'!BF61*annualizationFactor</f>
        <v>0.23568514371249996</v>
      </c>
      <c r="AE342" s="777">
        <f>$E$21*$M$8*'Traffic Data'!BG61*annualizationFactor</f>
        <v>0.23941309904374994</v>
      </c>
      <c r="AF342" s="777">
        <f>$E$21*$M$8*'Traffic Data'!BH61*annualizationFactor</f>
        <v>0.24314295648124998</v>
      </c>
      <c r="AG342" s="777">
        <f>$E$21*$M$8*'Traffic Data'!BI61*annualizationFactor</f>
        <v>0.24687281391874993</v>
      </c>
      <c r="AH342" s="778">
        <f>$E$21*$M$8*'Traffic Data'!BJ61*annualizationFactor</f>
        <v>0.25060076924999991</v>
      </c>
      <c r="AI342" s="40"/>
      <c r="AJ342" s="40"/>
      <c r="AK342" s="40"/>
      <c r="AL342" s="40"/>
      <c r="AM342" s="40"/>
    </row>
    <row r="343" spans="2:39" ht="21.95" customHeight="1" x14ac:dyDescent="0.2">
      <c r="B343" s="492"/>
      <c r="C343" s="116" t="s">
        <v>343</v>
      </c>
      <c r="D343" s="116" t="s">
        <v>350</v>
      </c>
      <c r="E343" s="116" t="s">
        <v>19</v>
      </c>
      <c r="F343" s="116" t="s">
        <v>43</v>
      </c>
      <c r="G343" s="970"/>
      <c r="H343" s="970"/>
      <c r="I343" s="777">
        <f>$E$21*$M$8*'Traffic Data'!AK62*annualizationFactor</f>
        <v>0.33719156250000004</v>
      </c>
      <c r="J343" s="777">
        <f>$E$21*$M$8*'Traffic Data'!AL62*annualizationFactor</f>
        <v>0.34675319124062498</v>
      </c>
      <c r="K343" s="777">
        <f>$E$21*$M$8*'Traffic Data'!AM62*annualizationFactor</f>
        <v>0.35764841261093744</v>
      </c>
      <c r="L343" s="777">
        <f>$E$21*$M$8*'Traffic Data'!AN62*annualizationFactor</f>
        <v>0.37156992825468749</v>
      </c>
      <c r="M343" s="777">
        <f>$E$21*$M$8*'Traffic Data'!AO62*annualizationFactor</f>
        <v>0.38549593978593749</v>
      </c>
      <c r="N343" s="777">
        <f>$E$21*$M$8*'Traffic Data'!AP62*annualizationFactor</f>
        <v>0.39941970337343757</v>
      </c>
      <c r="O343" s="777">
        <f>$E$21*$M$8*'Traffic Data'!AQ62*annualizationFactor</f>
        <v>0.41334121901718757</v>
      </c>
      <c r="P343" s="777">
        <f>$E$21*$M$8*'Traffic Data'!AR62*annualizationFactor</f>
        <v>0.42726554459062505</v>
      </c>
      <c r="Q343" s="777">
        <f>$E$21*$M$8*'Traffic Data'!AS62*annualizationFactor</f>
        <v>0.443003398784375</v>
      </c>
      <c r="R343" s="777">
        <f>$E$21*$M$8*'Traffic Data'!AT62*annualizationFactor</f>
        <v>0.45874069099218745</v>
      </c>
      <c r="S343" s="777">
        <f>$E$21*$M$8*'Traffic Data'!AU62*annualizationFactor</f>
        <v>0.47447629724218748</v>
      </c>
      <c r="T343" s="777">
        <f>$E$21*$M$8*'Traffic Data'!AV62*annualizationFactor</f>
        <v>0.4902141514359375</v>
      </c>
      <c r="U343" s="777">
        <f>$E$21*$M$8*'Traffic Data'!AW62*annualizationFactor</f>
        <v>0.50595481555937494</v>
      </c>
      <c r="V343" s="777">
        <f>$E$21*$M$8*'Traffic Data'!AX62*annualizationFactor</f>
        <v>0.51866581349375007</v>
      </c>
      <c r="W343" s="777">
        <f>$E$21*$M$8*'Traffic Data'!AY62*annualizationFactor</f>
        <v>0.52822744223437512</v>
      </c>
      <c r="X343" s="777">
        <f>$E$21*$M$8*'Traffic Data'!AZ62*annualizationFactor</f>
        <v>0.53778907097500017</v>
      </c>
      <c r="Y343" s="777">
        <f>$E$21*$M$8*'Traffic Data'!BA62*annualizationFactor</f>
        <v>0.54735069971562511</v>
      </c>
      <c r="Z343" s="777">
        <f>$E$21*$M$8*'Traffic Data'!BB62*annualizationFactor</f>
        <v>0.55690951852656256</v>
      </c>
      <c r="AA343" s="777">
        <f>$E$21*$M$8*'Traffic Data'!BC62*annualizationFactor</f>
        <v>0.56647114726718739</v>
      </c>
      <c r="AB343" s="777">
        <f>$E$21*$M$8*'Traffic Data'!BD62*annualizationFactor</f>
        <v>0.57602996607812484</v>
      </c>
      <c r="AC343" s="777">
        <f>$E$21*$M$8*'Traffic Data'!BE62*annualizationFactor</f>
        <v>0.58559159481874989</v>
      </c>
      <c r="AD343" s="777">
        <f>$E$21*$M$8*'Traffic Data'!BF62*annualizationFactor</f>
        <v>0.59515322355937483</v>
      </c>
      <c r="AE343" s="777">
        <f>$E$21*$M$8*'Traffic Data'!BG62*annualizationFactor</f>
        <v>0.60471204237031229</v>
      </c>
      <c r="AF343" s="777">
        <f>$E$21*$M$8*'Traffic Data'!BH62*annualizationFactor</f>
        <v>0.61427367111093745</v>
      </c>
      <c r="AG343" s="777">
        <f>$E$21*$M$8*'Traffic Data'!BI62*annualizationFactor</f>
        <v>0.62383529985156227</v>
      </c>
      <c r="AH343" s="778">
        <f>$E$21*$M$8*'Traffic Data'!BJ62*annualizationFactor</f>
        <v>0.63339411866249973</v>
      </c>
      <c r="AI343" s="40"/>
      <c r="AJ343" s="40"/>
      <c r="AK343" s="40"/>
      <c r="AL343" s="40"/>
      <c r="AM343" s="40"/>
    </row>
    <row r="344" spans="2:39" ht="21.95" customHeight="1" x14ac:dyDescent="0.2">
      <c r="B344" s="492"/>
      <c r="C344" s="116" t="s">
        <v>350</v>
      </c>
      <c r="D344" s="116" t="s">
        <v>280</v>
      </c>
      <c r="E344" s="116" t="s">
        <v>19</v>
      </c>
      <c r="F344" s="116" t="s">
        <v>43</v>
      </c>
      <c r="G344" s="970"/>
      <c r="H344" s="970"/>
      <c r="I344" s="777">
        <f>$E$21*$M$8*'Traffic Data'!AK63*annualizationFactor</f>
        <v>2.7995545624999996</v>
      </c>
      <c r="J344" s="777">
        <f>$E$21*$M$8*'Traffic Data'!AL63*annualizationFactor</f>
        <v>2.8789405980439589</v>
      </c>
      <c r="K344" s="777">
        <f>$E$21*$M$8*'Traffic Data'!AM63*annualizationFactor</f>
        <v>2.9693988718826039</v>
      </c>
      <c r="L344" s="777">
        <f>$E$21*$M$8*'Traffic Data'!AN63*annualizationFactor</f>
        <v>3.0849831479196879</v>
      </c>
      <c r="M344" s="777">
        <f>$E$21*$M$8*'Traffic Data'!AO63*annualizationFactor</f>
        <v>3.2006047513509377</v>
      </c>
      <c r="N344" s="777">
        <f>$E$21*$M$8*'Traffic Data'!AP63*annualizationFactor</f>
        <v>3.3162076910851059</v>
      </c>
      <c r="O344" s="777">
        <f>$E$21*$M$8*'Traffic Data'!AQ63*annualizationFactor</f>
        <v>3.4317919671221877</v>
      </c>
      <c r="P344" s="777">
        <f>$E$21*$M$8*'Traffic Data'!AR63*annualizationFactor</f>
        <v>3.5473995727806256</v>
      </c>
      <c r="Q344" s="777">
        <f>$E$21*$M$8*'Traffic Data'!AS63*annualizationFactor</f>
        <v>3.6780641160610417</v>
      </c>
      <c r="R344" s="777">
        <f>$E$21*$M$8*'Traffic Data'!AT63*annualizationFactor</f>
        <v>3.8087239934171877</v>
      </c>
      <c r="S344" s="777">
        <f>$E$21*$M$8*'Traffic Data'!AU63*annualizationFactor</f>
        <v>3.9393698730005209</v>
      </c>
      <c r="T344" s="777">
        <f>$E$21*$M$8*'Traffic Data'!AV63*annualizationFactor</f>
        <v>4.0700344162809383</v>
      </c>
      <c r="U344" s="777">
        <f>$E$21*$M$8*'Traffic Data'!AW63*annualizationFactor</f>
        <v>4.2007222891827078</v>
      </c>
      <c r="V344" s="777">
        <f>$E$21*$M$8*'Traffic Data'!AX63*annualizationFactor</f>
        <v>4.3062561643404171</v>
      </c>
      <c r="W344" s="777">
        <f>$E$21*$M$8*'Traffic Data'!AY63*annualizationFactor</f>
        <v>4.3856421998843755</v>
      </c>
      <c r="X344" s="777">
        <f>$E$21*$M$8*'Traffic Data'!AZ63*annualizationFactor</f>
        <v>4.4650282354283339</v>
      </c>
      <c r="Y344" s="777">
        <f>$E$21*$M$8*'Traffic Data'!BA63*annualizationFactor</f>
        <v>4.5444142709722923</v>
      </c>
      <c r="Z344" s="777">
        <f>$E$21*$M$8*'Traffic Data'!BB63*annualizationFactor</f>
        <v>4.6237769768948969</v>
      </c>
      <c r="AA344" s="777">
        <f>$E$21*$M$8*'Traffic Data'!BC63*annualizationFactor</f>
        <v>4.7031630124388526</v>
      </c>
      <c r="AB344" s="777">
        <f>$E$21*$M$8*'Traffic Data'!BD63*annualizationFactor</f>
        <v>4.7825257183614571</v>
      </c>
      <c r="AC344" s="777">
        <f>$E$21*$M$8*'Traffic Data'!BE63*annualizationFactor</f>
        <v>4.8619117539054155</v>
      </c>
      <c r="AD344" s="777">
        <f>$E$21*$M$8*'Traffic Data'!BF63*annualizationFactor</f>
        <v>4.9412977894493739</v>
      </c>
      <c r="AE344" s="777">
        <f>$E$21*$M$8*'Traffic Data'!BG63*annualizationFactor</f>
        <v>5.0206604953719776</v>
      </c>
      <c r="AF344" s="777">
        <f>$E$21*$M$8*'Traffic Data'!BH63*annualizationFactor</f>
        <v>5.1000465309159368</v>
      </c>
      <c r="AG344" s="777">
        <f>$E$21*$M$8*'Traffic Data'!BI63*annualizationFactor</f>
        <v>5.1794325664598944</v>
      </c>
      <c r="AH344" s="778">
        <f>$E$21*$M$8*'Traffic Data'!BJ63*annualizationFactor</f>
        <v>5.2587952723824989</v>
      </c>
      <c r="AI344" s="40"/>
      <c r="AJ344" s="40"/>
      <c r="AK344" s="40"/>
      <c r="AL344" s="40"/>
      <c r="AM344" s="40"/>
    </row>
    <row r="345" spans="2:39" ht="21.95" customHeight="1" x14ac:dyDescent="0.2">
      <c r="B345" s="493"/>
      <c r="C345" s="254" t="s">
        <v>280</v>
      </c>
      <c r="D345" s="254" t="s">
        <v>333</v>
      </c>
      <c r="E345" s="254" t="s">
        <v>19</v>
      </c>
      <c r="F345" s="254" t="s">
        <v>43</v>
      </c>
      <c r="G345" s="779"/>
      <c r="H345" s="779"/>
      <c r="I345" s="779">
        <f>$E$21*$M$8*'Traffic Data'!AK64*annualizationFactor</f>
        <v>6.9167499999999993E-2</v>
      </c>
      <c r="J345" s="779">
        <f>$E$21*$M$8*'Traffic Data'!AL64*annualizationFactor</f>
        <v>7.1128859741666675E-2</v>
      </c>
      <c r="K345" s="779">
        <f>$E$21*$M$8*'Traffic Data'!AM64*annualizationFactor</f>
        <v>7.336377694583332E-2</v>
      </c>
      <c r="L345" s="779">
        <f>$E$21*$M$8*'Traffic Data'!AN64*annualizationFactor</f>
        <v>7.6219472462500007E-2</v>
      </c>
      <c r="M345" s="779">
        <f>$E$21*$M$8*'Traffic Data'!AO64*annualizationFactor</f>
        <v>7.9076090212499991E-2</v>
      </c>
      <c r="N345" s="779">
        <f>$E$21*$M$8*'Traffic Data'!AP64*annualizationFactor</f>
        <v>8.1932246845833362E-2</v>
      </c>
      <c r="O345" s="779">
        <f>$E$21*$M$8*'Traffic Data'!AQ64*annualizationFactor</f>
        <v>8.4787942362500021E-2</v>
      </c>
      <c r="P345" s="779">
        <f>$E$21*$M$8*'Traffic Data'!AR64*annualizationFactor</f>
        <v>8.7644214275000021E-2</v>
      </c>
      <c r="Q345" s="779">
        <f>$E$21*$M$8*'Traffic Data'!AS64*annualizationFactor</f>
        <v>9.0872492058333337E-2</v>
      </c>
      <c r="R345" s="779">
        <f>$E$21*$M$8*'Traffic Data'!AT64*annualizationFactor</f>
        <v>9.4100654562500011E-2</v>
      </c>
      <c r="S345" s="779">
        <f>$E$21*$M$8*'Traffic Data'!AU64*annualizationFactor</f>
        <v>9.7328471229166658E-2</v>
      </c>
      <c r="T345" s="779">
        <f>$E$21*$M$8*'Traffic Data'!AV64*annualizationFactor</f>
        <v>0.10055674901250003</v>
      </c>
      <c r="U345" s="779">
        <f>$E$21*$M$8*'Traffic Data'!AW64*annualizationFactor</f>
        <v>0.10378560319166666</v>
      </c>
      <c r="V345" s="779">
        <f>$E$21*$M$8*'Traffic Data'!AX64*annualizationFactor</f>
        <v>0.10639298738333335</v>
      </c>
      <c r="W345" s="779">
        <f>$E$21*$M$8*'Traffic Data'!AY64*annualizationFactor</f>
        <v>0.10835434712500003</v>
      </c>
      <c r="X345" s="779">
        <f>$E$21*$M$8*'Traffic Data'!AZ64*annualizationFactor</f>
        <v>0.1103157068666667</v>
      </c>
      <c r="Y345" s="779">
        <f>$E$21*$M$8*'Traffic Data'!BA64*annualizationFactor</f>
        <v>0.11227706660833336</v>
      </c>
      <c r="Z345" s="779">
        <f>$E$21*$M$8*'Traffic Data'!BB64*annualizationFactor</f>
        <v>0.11423784995416668</v>
      </c>
      <c r="AA345" s="779">
        <f>$E$21*$M$8*'Traffic Data'!BC64*annualizationFactor</f>
        <v>0.11619920969583329</v>
      </c>
      <c r="AB345" s="779">
        <f>$E$21*$M$8*'Traffic Data'!BD64*annualizationFactor</f>
        <v>0.11815999304166663</v>
      </c>
      <c r="AC345" s="779">
        <f>$E$21*$M$8*'Traffic Data'!BE64*annualizationFactor</f>
        <v>0.12012135278333329</v>
      </c>
      <c r="AD345" s="779">
        <f>$E$21*$M$8*'Traffic Data'!BF64*annualizationFactor</f>
        <v>0.12208271252499997</v>
      </c>
      <c r="AE345" s="779">
        <f>$E$21*$M$8*'Traffic Data'!BG64*annualizationFactor</f>
        <v>0.12404349587083331</v>
      </c>
      <c r="AF345" s="779">
        <f>$E$21*$M$8*'Traffic Data'!BH64*annualizationFactor</f>
        <v>0.12600485561249999</v>
      </c>
      <c r="AG345" s="779">
        <f>$E$21*$M$8*'Traffic Data'!BI64*annualizationFactor</f>
        <v>0.12796621535416663</v>
      </c>
      <c r="AH345" s="783">
        <f>$E$21*$M$8*'Traffic Data'!BJ64*annualizationFactor</f>
        <v>0.12992699869999999</v>
      </c>
      <c r="AI345" s="40"/>
      <c r="AJ345" s="40"/>
      <c r="AK345" s="40"/>
      <c r="AL345" s="40"/>
      <c r="AM345" s="40"/>
    </row>
    <row r="346" spans="2:39" ht="21.95" customHeight="1" x14ac:dyDescent="0.2">
      <c r="B346" s="1109" t="s">
        <v>490</v>
      </c>
      <c r="C346" s="240"/>
      <c r="D346" s="240"/>
      <c r="E346" s="240"/>
      <c r="F346" s="240"/>
      <c r="G346" s="969">
        <f>SUM(G317:G345)</f>
        <v>0</v>
      </c>
      <c r="H346" s="969">
        <f>SUM(H317:H345)</f>
        <v>0</v>
      </c>
      <c r="I346" s="785">
        <f t="shared" ref="I346:AH346" si="32">SUM(I317:I345)</f>
        <v>108.54771409358332</v>
      </c>
      <c r="J346" s="785">
        <f t="shared" si="32"/>
        <v>111.77622523399759</v>
      </c>
      <c r="K346" s="785">
        <f t="shared" si="32"/>
        <v>117.30699060069293</v>
      </c>
      <c r="L346" s="785">
        <f t="shared" si="32"/>
        <v>125.83696247148902</v>
      </c>
      <c r="M346" s="785">
        <f t="shared" si="32"/>
        <v>134.37071413381597</v>
      </c>
      <c r="N346" s="785">
        <f t="shared" si="32"/>
        <v>142.90465703378996</v>
      </c>
      <c r="O346" s="785">
        <f t="shared" si="32"/>
        <v>151.43462890458608</v>
      </c>
      <c r="P346" s="785">
        <f t="shared" si="32"/>
        <v>159.97220999834457</v>
      </c>
      <c r="Q346" s="785">
        <f t="shared" si="32"/>
        <v>167.97187230497505</v>
      </c>
      <c r="R346" s="785">
        <f t="shared" si="32"/>
        <v>175.93254777418045</v>
      </c>
      <c r="S346" s="785">
        <f t="shared" si="32"/>
        <v>184.19582493003665</v>
      </c>
      <c r="T346" s="785">
        <f t="shared" si="32"/>
        <v>192.60172652176314</v>
      </c>
      <c r="U346" s="785">
        <f t="shared" si="32"/>
        <v>201.01136871578271</v>
      </c>
      <c r="V346" s="785">
        <f t="shared" si="32"/>
        <v>206.3363064998581</v>
      </c>
      <c r="W346" s="785">
        <f t="shared" si="32"/>
        <v>209.71836387679303</v>
      </c>
      <c r="X346" s="785">
        <f t="shared" si="32"/>
        <v>213.19024793299445</v>
      </c>
      <c r="Y346" s="785">
        <f t="shared" si="32"/>
        <v>216.66213198919593</v>
      </c>
      <c r="Z346" s="785">
        <f t="shared" si="32"/>
        <v>220.13604262246548</v>
      </c>
      <c r="AA346" s="785">
        <f t="shared" si="32"/>
        <v>223.6079266786669</v>
      </c>
      <c r="AB346" s="785">
        <f t="shared" si="32"/>
        <v>227.08184063197663</v>
      </c>
      <c r="AC346" s="785">
        <f t="shared" si="32"/>
        <v>230.55372468817797</v>
      </c>
      <c r="AD346" s="785">
        <f t="shared" si="32"/>
        <v>234.02560874437944</v>
      </c>
      <c r="AE346" s="785">
        <f t="shared" si="32"/>
        <v>237.49951937764911</v>
      </c>
      <c r="AF346" s="785">
        <f t="shared" si="32"/>
        <v>240.97140343385044</v>
      </c>
      <c r="AG346" s="785">
        <f t="shared" si="32"/>
        <v>244.44328749005189</v>
      </c>
      <c r="AH346" s="786">
        <f t="shared" si="32"/>
        <v>247.91720144336156</v>
      </c>
      <c r="AI346" s="40"/>
      <c r="AJ346" s="40"/>
      <c r="AK346" s="40"/>
      <c r="AL346" s="40"/>
      <c r="AM346" s="40"/>
    </row>
    <row r="347" spans="2:39" ht="21.95" customHeight="1" x14ac:dyDescent="0.2">
      <c r="B347" s="787" t="s">
        <v>328</v>
      </c>
      <c r="C347" s="1344" t="s">
        <v>18</v>
      </c>
      <c r="D347" s="1344"/>
      <c r="E347" s="46" t="s">
        <v>24</v>
      </c>
      <c r="F347" s="46" t="s">
        <v>42</v>
      </c>
      <c r="G347" s="123" cm="1">
        <f t="array" ref="G347:AH347">year</f>
        <v>2021</v>
      </c>
      <c r="H347" s="123">
        <v>2022</v>
      </c>
      <c r="I347" s="46">
        <v>2023</v>
      </c>
      <c r="J347" s="46">
        <v>2024</v>
      </c>
      <c r="K347" s="46">
        <v>2025</v>
      </c>
      <c r="L347" s="46">
        <v>2026</v>
      </c>
      <c r="M347" s="46">
        <v>2027</v>
      </c>
      <c r="N347" s="46">
        <v>2028</v>
      </c>
      <c r="O347" s="46">
        <v>2029</v>
      </c>
      <c r="P347" s="46">
        <v>2030</v>
      </c>
      <c r="Q347" s="46">
        <v>2031</v>
      </c>
      <c r="R347" s="46">
        <v>2032</v>
      </c>
      <c r="S347" s="46">
        <v>2033</v>
      </c>
      <c r="T347" s="46">
        <v>2034</v>
      </c>
      <c r="U347" s="46">
        <v>2035</v>
      </c>
      <c r="V347" s="46">
        <v>2036</v>
      </c>
      <c r="W347" s="46">
        <v>2037</v>
      </c>
      <c r="X347" s="46">
        <v>2038</v>
      </c>
      <c r="Y347" s="46">
        <v>2039</v>
      </c>
      <c r="Z347" s="46">
        <v>2040</v>
      </c>
      <c r="AA347" s="46">
        <v>2041</v>
      </c>
      <c r="AB347" s="46">
        <v>2042</v>
      </c>
      <c r="AC347" s="46">
        <v>2043</v>
      </c>
      <c r="AD347" s="46">
        <v>2044</v>
      </c>
      <c r="AE347" s="46">
        <v>2045</v>
      </c>
      <c r="AF347" s="46">
        <v>2046</v>
      </c>
      <c r="AG347" s="46">
        <v>2047</v>
      </c>
      <c r="AH347" s="495">
        <v>2048</v>
      </c>
      <c r="AI347" s="40"/>
      <c r="AJ347" s="40"/>
      <c r="AK347" s="40"/>
      <c r="AL347" s="40"/>
      <c r="AM347" s="40"/>
    </row>
    <row r="348" spans="2:39" ht="21.95" customHeight="1" x14ac:dyDescent="0.2">
      <c r="B348" s="1346" t="s">
        <v>331</v>
      </c>
      <c r="C348" s="220" t="s">
        <v>332</v>
      </c>
      <c r="D348" s="220" t="s">
        <v>282</v>
      </c>
      <c r="E348" s="220" t="s">
        <v>467</v>
      </c>
      <c r="F348" s="220" t="s">
        <v>43</v>
      </c>
      <c r="G348" s="775"/>
      <c r="H348" s="775"/>
      <c r="I348" s="775">
        <f>$E$22*$E$9*'Traffic Data'!AK36*annualizationFactor</f>
        <v>8.3086848000000005E-2</v>
      </c>
      <c r="J348" s="775">
        <f>$E$22*$E$9*'Traffic Data'!AL36*annualizationFactor</f>
        <v>8.6864962766400017E-2</v>
      </c>
      <c r="K348" s="775">
        <f>$E$22*$E$9*'Traffic Data'!AM36*annualizationFactor</f>
        <v>9.2187973612800025E-2</v>
      </c>
      <c r="L348" s="775">
        <f>$E$22*$E$9*'Traffic Data'!AN36*annualizationFactor</f>
        <v>0.10001787045120002</v>
      </c>
      <c r="M348" s="775">
        <f>$E$22*$E$9*'Traffic Data'!AO36*annualizationFactor</f>
        <v>0.1078506234</v>
      </c>
      <c r="N348" s="775">
        <f>$E$22*$E$9*'Traffic Data'!AP36*annualizationFactor</f>
        <v>0.11568337634879999</v>
      </c>
      <c r="O348" s="775">
        <f>$E$22*$E$9*'Traffic Data'!AQ36*annualizationFactor</f>
        <v>0.1235132731872</v>
      </c>
      <c r="P348" s="775">
        <f>$E$22*$E$9*'Traffic Data'!AR36*annualizationFactor</f>
        <v>0.13134888224639998</v>
      </c>
      <c r="Q348" s="775">
        <f>$E$22*$E$9*'Traffic Data'!AS36*annualizationFactor</f>
        <v>0.13909179754080001</v>
      </c>
      <c r="R348" s="775">
        <f>$E$22*$E$9*'Traffic Data'!AT36*annualizationFactor</f>
        <v>0.1468362707136</v>
      </c>
      <c r="S348" s="775">
        <f>$E$22*$E$9*'Traffic Data'!AU36*annualizationFactor</f>
        <v>0.15457918600800002</v>
      </c>
      <c r="T348" s="775">
        <f>$E$22*$E$9*'Traffic Data'!AV36*annualizationFactor</f>
        <v>0.16232210130240002</v>
      </c>
      <c r="U348" s="775">
        <f>$E$22*$E$9*'Traffic Data'!AW36*annualizationFactor</f>
        <v>0.17007072881760002</v>
      </c>
      <c r="V348" s="775">
        <f>$E$22*$E$9*'Traffic Data'!AX36*annualizationFactor</f>
        <v>0.17530390200960005</v>
      </c>
      <c r="W348" s="775">
        <f>$E$22*$E$9*'Traffic Data'!AY36*annualizationFactor</f>
        <v>0.17908201677600002</v>
      </c>
      <c r="X348" s="775">
        <f>$E$22*$E$9*'Traffic Data'!AZ36*annualizationFactor</f>
        <v>0.1828601315424</v>
      </c>
      <c r="Y348" s="775">
        <f>$E$22*$E$9*'Traffic Data'!BA36*annualizationFactor</f>
        <v>0.18663824630880002</v>
      </c>
      <c r="Z348" s="775">
        <f>$E$22*$E$9*'Traffic Data'!BB36*annualizationFactor</f>
        <v>0.19041765930720003</v>
      </c>
      <c r="AA348" s="775">
        <f>$E$22*$E$9*'Traffic Data'!BC36*annualizationFactor</f>
        <v>0.19419577407360006</v>
      </c>
      <c r="AB348" s="775">
        <f>$E$22*$E$9*'Traffic Data'!BD36*annualizationFactor</f>
        <v>0.19797518707199996</v>
      </c>
      <c r="AC348" s="775">
        <f>$E$22*$E$9*'Traffic Data'!BE36*annualizationFactor</f>
        <v>0.20175330183840007</v>
      </c>
      <c r="AD348" s="775">
        <f>$E$22*$E$9*'Traffic Data'!BF36*annualizationFactor</f>
        <v>0.20553141660479998</v>
      </c>
      <c r="AE348" s="775">
        <f>$E$22*$E$9*'Traffic Data'!BG36*annualizationFactor</f>
        <v>0.20931082960319997</v>
      </c>
      <c r="AF348" s="775">
        <f>$E$22*$E$9*'Traffic Data'!BH36*annualizationFactor</f>
        <v>0.21308894436959999</v>
      </c>
      <c r="AG348" s="775">
        <f>$E$22*$E$9*'Traffic Data'!BI36*annualizationFactor</f>
        <v>0.21686705913599999</v>
      </c>
      <c r="AH348" s="776">
        <f>$E$22*$E$9*'Traffic Data'!BJ36*annualizationFactor</f>
        <v>0.22064647213439997</v>
      </c>
      <c r="AI348" s="40"/>
      <c r="AJ348" s="40"/>
      <c r="AK348" s="40"/>
      <c r="AL348" s="40"/>
      <c r="AM348" s="40"/>
    </row>
    <row r="349" spans="2:39" ht="21.95" customHeight="1" x14ac:dyDescent="0.2">
      <c r="B349" s="1346"/>
      <c r="C349" s="116" t="s">
        <v>282</v>
      </c>
      <c r="D349" s="116" t="s">
        <v>280</v>
      </c>
      <c r="E349" s="116" t="s">
        <v>467</v>
      </c>
      <c r="F349" s="116" t="s">
        <v>43</v>
      </c>
      <c r="G349" s="970"/>
      <c r="H349" s="970"/>
      <c r="I349" s="777">
        <f>$E$22*$E$9*'Traffic Data'!AK37*annualizationFactor</f>
        <v>2.6716869163636368</v>
      </c>
      <c r="J349" s="777">
        <f>$E$22*$E$9*'Traffic Data'!AL37*annualizationFactor</f>
        <v>2.8127124050007271</v>
      </c>
      <c r="K349" s="777">
        <f>$E$22*$E$9*'Traffic Data'!AM37*annualizationFactor</f>
        <v>3.0244089601440005</v>
      </c>
      <c r="L349" s="777">
        <f>$E$22*$E$9*'Traffic Data'!AN37*annualizationFactor</f>
        <v>3.3741624629061824</v>
      </c>
      <c r="M349" s="777">
        <f>$E$22*$E$9*'Traffic Data'!AO37*annualizationFactor</f>
        <v>3.7240742878560007</v>
      </c>
      <c r="N349" s="777">
        <f>$E$22*$E$9*'Traffic Data'!AP37*annualizationFactor</f>
        <v>4.073966322532363</v>
      </c>
      <c r="O349" s="777">
        <f>$E$22*$E$9*'Traffic Data'!AQ37*annualizationFactor</f>
        <v>4.4237198252945467</v>
      </c>
      <c r="P349" s="777">
        <f>$E$22*$E$9*'Traffic Data'!AR37*annualizationFactor</f>
        <v>4.7737899724319997</v>
      </c>
      <c r="Q349" s="777">
        <f>$E$22*$E$9*'Traffic Data'!AS37*annualizationFactor</f>
        <v>5.1269671925018185</v>
      </c>
      <c r="R349" s="777">
        <f>$E$22*$E$9*'Traffic Data'!AT37*annualizationFactor</f>
        <v>5.4802631542123637</v>
      </c>
      <c r="S349" s="777">
        <f>$E$22*$E$9*'Traffic Data'!AU37*annualizationFactor</f>
        <v>5.8334403742821817</v>
      </c>
      <c r="T349" s="777">
        <f>$E$22*$E$9*'Traffic Data'!AV37*annualizationFactor</f>
        <v>6.1866175943519996</v>
      </c>
      <c r="U349" s="777">
        <f>$E$22*$E$9*'Traffic Data'!AW37*annualizationFactor</f>
        <v>6.5401114587970914</v>
      </c>
      <c r="V349" s="777">
        <f>$E$22*$E$9*'Traffic Data'!AX37*annualizationFactor</f>
        <v>6.7550734090603655</v>
      </c>
      <c r="W349" s="777">
        <f>$E$22*$E$9*'Traffic Data'!AY37*annualizationFactor</f>
        <v>6.8960988976974535</v>
      </c>
      <c r="X349" s="777">
        <f>$E$22*$E$9*'Traffic Data'!AZ37*annualizationFactor</f>
        <v>7.0371243863345461</v>
      </c>
      <c r="Y349" s="777">
        <f>$E$22*$E$9*'Traffic Data'!BA37*annualizationFactor</f>
        <v>7.1781498749716386</v>
      </c>
      <c r="Z349" s="777">
        <f>$E$22*$E$9*'Traffic Data'!BB37*annualizationFactor</f>
        <v>7.3192545247025462</v>
      </c>
      <c r="AA349" s="777">
        <f>$E$22*$E$9*'Traffic Data'!BC37*annualizationFactor</f>
        <v>7.4602800133396361</v>
      </c>
      <c r="AB349" s="777">
        <f>$E$22*$E$9*'Traffic Data'!BD37*annualizationFactor</f>
        <v>7.6013846630705473</v>
      </c>
      <c r="AC349" s="777">
        <f>$E$22*$E$9*'Traffic Data'!BE37*annualizationFactor</f>
        <v>7.742410151707638</v>
      </c>
      <c r="AD349" s="777">
        <f>$E$22*$E$9*'Traffic Data'!BF37*annualizationFactor</f>
        <v>7.8834356403447297</v>
      </c>
      <c r="AE349" s="777">
        <f>$E$22*$E$9*'Traffic Data'!BG37*annualizationFactor</f>
        <v>8.0245402900756382</v>
      </c>
      <c r="AF349" s="777">
        <f>$E$22*$E$9*'Traffic Data'!BH37*annualizationFactor</f>
        <v>8.1655657787127272</v>
      </c>
      <c r="AG349" s="777">
        <f>$E$22*$E$9*'Traffic Data'!BI37*annualizationFactor</f>
        <v>8.3065912673498197</v>
      </c>
      <c r="AH349" s="778">
        <f>$E$22*$E$9*'Traffic Data'!BJ37*annualizationFactor</f>
        <v>8.4476959170807291</v>
      </c>
      <c r="AI349" s="40"/>
      <c r="AJ349" s="40"/>
      <c r="AK349" s="40"/>
      <c r="AL349" s="40"/>
      <c r="AM349" s="40"/>
    </row>
    <row r="350" spans="2:39" ht="21.95" customHeight="1" x14ac:dyDescent="0.2">
      <c r="B350" s="1346"/>
      <c r="C350" s="116" t="s">
        <v>280</v>
      </c>
      <c r="D350" s="116" t="s">
        <v>333</v>
      </c>
      <c r="E350" s="254" t="s">
        <v>467</v>
      </c>
      <c r="F350" s="254" t="s">
        <v>43</v>
      </c>
      <c r="G350" s="779"/>
      <c r="H350" s="779"/>
      <c r="I350" s="777">
        <f>$E$22*$E$9*'Traffic Data'!AK38*annualizationFactor</f>
        <v>6.2315136E-2</v>
      </c>
      <c r="J350" s="777">
        <f>$E$22*$E$9*'Traffic Data'!AL38*annualizationFactor</f>
        <v>6.4917312220799994E-2</v>
      </c>
      <c r="K350" s="777">
        <f>$E$22*$E$9*'Traffic Data'!AM38*annualizationFactor</f>
        <v>6.8137966166399999E-2</v>
      </c>
      <c r="L350" s="777">
        <f>$E$22*$E$9*'Traffic Data'!AN38*annualizationFactor</f>
        <v>7.2474061046400015E-2</v>
      </c>
      <c r="M350" s="777">
        <f>$E$22*$E$9*'Traffic Data'!AO38*annualizationFactor</f>
        <v>7.6811713804800022E-2</v>
      </c>
      <c r="N350" s="777">
        <f>$E$22*$E$9*'Traffic Data'!AP38*annualizationFactor</f>
        <v>8.1148847270400032E-2</v>
      </c>
      <c r="O350" s="777">
        <f>$E$22*$E$9*'Traffic Data'!AQ38*annualizationFactor</f>
        <v>8.548494215040002E-2</v>
      </c>
      <c r="P350" s="777">
        <f>$E$22*$E$9*'Traffic Data'!AR38*annualizationFactor</f>
        <v>8.9824152787200046E-2</v>
      </c>
      <c r="Q350" s="777">
        <f>$E$22*$E$9*'Traffic Data'!AS38*annualizationFactor</f>
        <v>9.4028347296000001E-2</v>
      </c>
      <c r="R350" s="777">
        <f>$E$22*$E$9*'Traffic Data'!AT38*annualizationFactor</f>
        <v>9.8234099683199988E-2</v>
      </c>
      <c r="S350" s="777">
        <f>$E$22*$E$9*'Traffic Data'!AU38*annualizationFactor</f>
        <v>0.10243829419200001</v>
      </c>
      <c r="T350" s="777">
        <f>$E$22*$E$9*'Traffic Data'!AV38*annualizationFactor</f>
        <v>0.10664248870080001</v>
      </c>
      <c r="U350" s="777">
        <f>$E$22*$E$9*'Traffic Data'!AW38*annualizationFactor</f>
        <v>0.11084979896640001</v>
      </c>
      <c r="V350" s="777">
        <f>$E$22*$E$9*'Traffic Data'!AX38*annualizationFactor</f>
        <v>0.1139369946624</v>
      </c>
      <c r="W350" s="777">
        <f>$E$22*$E$9*'Traffic Data'!AY38*annualizationFactor</f>
        <v>0.11653917088320001</v>
      </c>
      <c r="X350" s="777">
        <f>$E$22*$E$9*'Traffic Data'!AZ38*annualizationFactor</f>
        <v>0.11914134710399998</v>
      </c>
      <c r="Y350" s="777">
        <f>$E$22*$E$9*'Traffic Data'!BA38*annualizationFactor</f>
        <v>0.12174352332480001</v>
      </c>
      <c r="Z350" s="777">
        <f>$E$22*$E$9*'Traffic Data'!BB38*annualizationFactor</f>
        <v>0.12434673813120001</v>
      </c>
      <c r="AA350" s="777">
        <f>$E$22*$E$9*'Traffic Data'!BC38*annualizationFactor</f>
        <v>0.12694891435200001</v>
      </c>
      <c r="AB350" s="777">
        <f>$E$22*$E$9*'Traffic Data'!BD38*annualizationFactor</f>
        <v>0.1295521291584</v>
      </c>
      <c r="AC350" s="777">
        <f>$E$22*$E$9*'Traffic Data'!BE38*annualizationFactor</f>
        <v>0.13215430537920006</v>
      </c>
      <c r="AD350" s="777">
        <f>$E$22*$E$9*'Traffic Data'!BF38*annualizationFactor</f>
        <v>0.13475648159999998</v>
      </c>
      <c r="AE350" s="777">
        <f>$E$22*$E$9*'Traffic Data'!BG38*annualizationFactor</f>
        <v>0.13735969640640003</v>
      </c>
      <c r="AF350" s="777">
        <f>$E$22*$E$9*'Traffic Data'!BH38*annualizationFactor</f>
        <v>0.1399618726272</v>
      </c>
      <c r="AG350" s="777">
        <f>$E$22*$E$9*'Traffic Data'!BI38*annualizationFactor</f>
        <v>0.14256404884799997</v>
      </c>
      <c r="AH350" s="778">
        <f>$E$22*$E$9*'Traffic Data'!BJ38*annualizationFactor</f>
        <v>0.14516726365440002</v>
      </c>
      <c r="AI350" s="40"/>
      <c r="AJ350" s="40"/>
      <c r="AK350" s="40"/>
      <c r="AL350" s="40"/>
      <c r="AM350" s="40"/>
    </row>
    <row r="351" spans="2:39" ht="21.95" customHeight="1" x14ac:dyDescent="0.2">
      <c r="B351" s="1346" t="s">
        <v>280</v>
      </c>
      <c r="C351" s="220" t="s">
        <v>281</v>
      </c>
      <c r="D351" s="220" t="s">
        <v>335</v>
      </c>
      <c r="E351" s="116" t="s">
        <v>467</v>
      </c>
      <c r="F351" s="116" t="s">
        <v>43</v>
      </c>
      <c r="G351" s="970"/>
      <c r="H351" s="970"/>
      <c r="I351" s="775">
        <f>$E$22*$F$9*'Traffic Data'!AK39*annualizationFactor</f>
        <v>0.58082304000000007</v>
      </c>
      <c r="J351" s="775">
        <f>$E$22*$F$9*'Traffic Data'!AL39*annualizationFactor</f>
        <v>0.63957619461119997</v>
      </c>
      <c r="K351" s="775">
        <f>$E$22*$F$9*'Traffic Data'!AM39*annualizationFactor</f>
        <v>0.7709322292223999</v>
      </c>
      <c r="L351" s="775">
        <f>$E$22*$F$9*'Traffic Data'!AN39*annualizationFactor</f>
        <v>1.0347710951424001</v>
      </c>
      <c r="M351" s="775">
        <f>$E$22*$F$9*'Traffic Data'!AO39*annualizationFactor</f>
        <v>1.2987725915135997</v>
      </c>
      <c r="N351" s="775">
        <f>$E$22*$F$9*'Traffic Data'!AP39*annualizationFactor</f>
        <v>1.5627450467327997</v>
      </c>
      <c r="O351" s="775">
        <f>$E$22*$F$9*'Traffic Data'!AQ39*annualizationFactor</f>
        <v>1.8265839126527998</v>
      </c>
      <c r="P351" s="775">
        <f>$E$22*$F$9*'Traffic Data'!AR39*annualizationFactor</f>
        <v>2.0907480394751996</v>
      </c>
      <c r="Q351" s="775">
        <f>$E$22*$F$9*'Traffic Data'!AS39*annualizationFactor</f>
        <v>2.3499577457663996</v>
      </c>
      <c r="R351" s="775">
        <f>$E$22*$F$9*'Traffic Data'!AT39*annualizationFactor</f>
        <v>2.6092981372415989</v>
      </c>
      <c r="S351" s="775">
        <f>$E$22*$F$9*'Traffic Data'!AU39*annualizationFactor</f>
        <v>2.8685078435327993</v>
      </c>
      <c r="T351" s="775">
        <f>$E$22*$F$9*'Traffic Data'!AV39*annualizationFactor</f>
        <v>3.1277175498239997</v>
      </c>
      <c r="U351" s="775">
        <f>$E$22*$F$9*'Traffic Data'!AW39*annualizationFactor</f>
        <v>3.3872525170175996</v>
      </c>
      <c r="V351" s="775">
        <f>$E$22*$F$9*'Traffic Data'!AX39*annualizationFactor</f>
        <v>3.5138167615487994</v>
      </c>
      <c r="W351" s="775">
        <f>$E$22*$F$9*'Traffic Data'!AY39*annualizationFactor</f>
        <v>3.5725699161599995</v>
      </c>
      <c r="X351" s="775">
        <f>$E$22*$F$9*'Traffic Data'!AZ39*annualizationFactor</f>
        <v>3.6313230707711996</v>
      </c>
      <c r="Y351" s="775">
        <f>$E$22*$F$9*'Traffic Data'!BA39*annualizationFactor</f>
        <v>3.6900762253823989</v>
      </c>
      <c r="Z351" s="775">
        <f>$E$22*$F$9*'Traffic Data'!BB39*annualizationFactor</f>
        <v>3.7489194075648</v>
      </c>
      <c r="AA351" s="775">
        <f>$E$22*$F$9*'Traffic Data'!BC39*annualizationFactor</f>
        <v>3.8076725621760001</v>
      </c>
      <c r="AB351" s="775">
        <f>$E$22*$F$9*'Traffic Data'!BD39*annualizationFactor</f>
        <v>3.8665157443583986</v>
      </c>
      <c r="AC351" s="775">
        <f>$E$22*$F$9*'Traffic Data'!BE39*annualizationFactor</f>
        <v>3.9252688989695992</v>
      </c>
      <c r="AD351" s="775">
        <f>$E$22*$F$9*'Traffic Data'!BF39*annualizationFactor</f>
        <v>3.9840220535807993</v>
      </c>
      <c r="AE351" s="775">
        <f>$E$22*$F$9*'Traffic Data'!BG39*annualizationFactor</f>
        <v>4.0428652357632</v>
      </c>
      <c r="AF351" s="775">
        <f>$E$22*$F$9*'Traffic Data'!BH39*annualizationFactor</f>
        <v>4.1016183903743997</v>
      </c>
      <c r="AG351" s="775">
        <f>$E$22*$F$9*'Traffic Data'!BI39*annualizationFactor</f>
        <v>4.1603715449855994</v>
      </c>
      <c r="AH351" s="776">
        <f>$E$22*$F$9*'Traffic Data'!BJ39*annualizationFactor</f>
        <v>4.2192147271679987</v>
      </c>
      <c r="AI351" s="40"/>
      <c r="AJ351" s="40"/>
      <c r="AK351" s="40"/>
      <c r="AL351" s="40"/>
      <c r="AM351" s="40"/>
    </row>
    <row r="352" spans="2:39" ht="21.95" customHeight="1" x14ac:dyDescent="0.2">
      <c r="B352" s="1346"/>
      <c r="C352" s="116" t="s">
        <v>335</v>
      </c>
      <c r="D352" s="116" t="s">
        <v>323</v>
      </c>
      <c r="E352" s="116" t="s">
        <v>467</v>
      </c>
      <c r="F352" s="116" t="s">
        <v>43</v>
      </c>
      <c r="G352" s="970"/>
      <c r="H352" s="970"/>
      <c r="I352" s="777">
        <f>$E$22*$F$9*'Traffic Data'!AK40*annualizationFactor</f>
        <v>6.7276799999999998E-2</v>
      </c>
      <c r="J352" s="777">
        <f>$E$22*$F$9*'Traffic Data'!AL40*annualizationFactor</f>
        <v>7.429825536000001E-2</v>
      </c>
      <c r="K352" s="777">
        <f>$E$22*$F$9*'Traffic Data'!AM40*annualizationFactor</f>
        <v>8.3991160319999994E-2</v>
      </c>
      <c r="L352" s="777">
        <f>$E$22*$F$9*'Traffic Data'!AN40*annualizationFactor</f>
        <v>0.10179148031999999</v>
      </c>
      <c r="M352" s="777">
        <f>$E$22*$F$9*'Traffic Data'!AO40*annualizationFactor</f>
        <v>0.11959684608</v>
      </c>
      <c r="N352" s="777">
        <f>$E$22*$F$9*'Traffic Data'!AP40*annualizationFactor</f>
        <v>0.13740557568</v>
      </c>
      <c r="O352" s="777">
        <f>$E$22*$F$9*'Traffic Data'!AQ40*annualizationFactor</f>
        <v>0.15520589567999998</v>
      </c>
      <c r="P352" s="777">
        <f>$E$22*$F$9*'Traffic Data'!AR40*annualizationFactor</f>
        <v>0.17302247424</v>
      </c>
      <c r="Q352" s="777">
        <f>$E$22*$F$9*'Traffic Data'!AS40*annualizationFactor</f>
        <v>0.19864035839999999</v>
      </c>
      <c r="R352" s="777">
        <f>$E$22*$F$9*'Traffic Data'!AT40*annualizationFactor</f>
        <v>0.22426384896000001</v>
      </c>
      <c r="S352" s="777">
        <f>$E$22*$F$9*'Traffic Data'!AU40*annualizationFactor</f>
        <v>0.24987668735999999</v>
      </c>
      <c r="T352" s="777">
        <f>$E$22*$F$9*'Traffic Data'!AV40*annualizationFactor</f>
        <v>0.27549457152000001</v>
      </c>
      <c r="U352" s="777">
        <f>$E$22*$F$9*'Traffic Data'!AW40*annualizationFactor</f>
        <v>0.30112871424000004</v>
      </c>
      <c r="V352" s="777">
        <f>$E$22*$F$9*'Traffic Data'!AX40*annualizationFactor</f>
        <v>0.31862292479999998</v>
      </c>
      <c r="W352" s="777">
        <f>$E$22*$F$9*'Traffic Data'!AY40*annualizationFactor</f>
        <v>0.32564438016000002</v>
      </c>
      <c r="X352" s="777">
        <f>$E$22*$F$9*'Traffic Data'!AZ40*annualizationFactor</f>
        <v>0.33266583552000001</v>
      </c>
      <c r="Y352" s="777">
        <f>$E$22*$F$9*'Traffic Data'!BA40*annualizationFactor</f>
        <v>0.33968729087999999</v>
      </c>
      <c r="Z352" s="777">
        <f>$E$22*$F$9*'Traffic Data'!BB40*annualizationFactor</f>
        <v>0.34671379200000002</v>
      </c>
      <c r="AA352" s="777">
        <f>$E$22*$F$9*'Traffic Data'!BC40*annualizationFactor</f>
        <v>0.35373524736</v>
      </c>
      <c r="AB352" s="777">
        <f>$E$22*$F$9*'Traffic Data'!BD40*annualizationFactor</f>
        <v>0.36076174848000003</v>
      </c>
      <c r="AC352" s="777">
        <f>$E$22*$F$9*'Traffic Data'!BE40*annualizationFactor</f>
        <v>0.36778320384000002</v>
      </c>
      <c r="AD352" s="777">
        <f>$E$22*$F$9*'Traffic Data'!BF40*annualizationFactor</f>
        <v>0.3748046592</v>
      </c>
      <c r="AE352" s="777">
        <f>$E$22*$F$9*'Traffic Data'!BG40*annualizationFactor</f>
        <v>0.38183116032000003</v>
      </c>
      <c r="AF352" s="777">
        <f>$E$22*$F$9*'Traffic Data'!BH40*annualizationFactor</f>
        <v>0.38885261568000001</v>
      </c>
      <c r="AG352" s="777">
        <f>$E$22*$F$9*'Traffic Data'!BI40*annualizationFactor</f>
        <v>0.39587407104</v>
      </c>
      <c r="AH352" s="778">
        <f>$E$22*$F$9*'Traffic Data'!BJ40*annualizationFactor</f>
        <v>0.40290057216000003</v>
      </c>
      <c r="AI352" s="40"/>
      <c r="AJ352" s="40"/>
      <c r="AK352" s="40"/>
      <c r="AL352" s="40"/>
      <c r="AM352" s="40"/>
    </row>
    <row r="353" spans="2:39" ht="21.95" customHeight="1" x14ac:dyDescent="0.2">
      <c r="B353" s="1346"/>
      <c r="C353" s="254" t="s">
        <v>323</v>
      </c>
      <c r="D353" s="254" t="s">
        <v>338</v>
      </c>
      <c r="E353" s="116" t="s">
        <v>467</v>
      </c>
      <c r="F353" s="116" t="s">
        <v>43</v>
      </c>
      <c r="G353" s="970"/>
      <c r="H353" s="970"/>
      <c r="I353" s="777">
        <f>$E$22*$F$9*'Traffic Data'!AK41*annualizationFactor</f>
        <v>0.90150912000000016</v>
      </c>
      <c r="J353" s="777">
        <f>$E$22*$F$9*'Traffic Data'!AL41*annualizationFactor</f>
        <v>0.92675438039040003</v>
      </c>
      <c r="K353" s="777">
        <f>$E$22*$F$9*'Traffic Data'!AM41*annualizationFactor</f>
        <v>0.96273060433919999</v>
      </c>
      <c r="L353" s="777">
        <f>$E$22*$F$9*'Traffic Data'!AN41*annualizationFactor</f>
        <v>1.0132241301503999</v>
      </c>
      <c r="M353" s="777">
        <f>$E$22*$F$9*'Traffic Data'!AO41*annualizationFactor</f>
        <v>1.0637386911743998</v>
      </c>
      <c r="N353" s="777">
        <f>$E$22*$F$9*'Traffic Data'!AP41*annualizationFactor</f>
        <v>1.1142487446528004</v>
      </c>
      <c r="O353" s="777">
        <f>$E$22*$F$9*'Traffic Data'!AQ41*annualizationFactor</f>
        <v>1.1647422704640005</v>
      </c>
      <c r="P353" s="777">
        <f>$E$22*$F$9*'Traffic Data'!AR41*annualizationFactor</f>
        <v>1.2152763641856001</v>
      </c>
      <c r="Q353" s="777">
        <f>$E$22*$F$9*'Traffic Data'!AS41*annualizationFactor</f>
        <v>1.2662897602559999</v>
      </c>
      <c r="R353" s="777">
        <f>$E$22*$F$9*'Traffic Data'!AT41*annualizationFactor</f>
        <v>1.3173181814784001</v>
      </c>
      <c r="S353" s="777">
        <f>$E$22*$F$9*'Traffic Data'!AU41*annualizationFactor</f>
        <v>1.3683270700032</v>
      </c>
      <c r="T353" s="777">
        <f>$E$22*$F$9*'Traffic Data'!AV41*annualizationFactor</f>
        <v>1.4193404660736</v>
      </c>
      <c r="U353" s="777">
        <f>$E$22*$F$9*'Traffic Data'!AW41*annualizationFactor</f>
        <v>1.4703944300544003</v>
      </c>
      <c r="V353" s="777">
        <f>$E$22*$F$9*'Traffic Data'!AX41*annualizationFactor</f>
        <v>1.5068664840192001</v>
      </c>
      <c r="W353" s="777">
        <f>$E$22*$F$9*'Traffic Data'!AY41*annualizationFactor</f>
        <v>1.5321117444095997</v>
      </c>
      <c r="X353" s="777">
        <f>$E$22*$F$9*'Traffic Data'!AZ41*annualizationFactor</f>
        <v>1.5573570047999998</v>
      </c>
      <c r="Y353" s="777">
        <f>$E$22*$F$9*'Traffic Data'!BA41*annualizationFactor</f>
        <v>1.5826022651903997</v>
      </c>
      <c r="Z353" s="777">
        <f>$E$22*$F$9*'Traffic Data'!BB41*annualizationFactor</f>
        <v>1.6078595457024001</v>
      </c>
      <c r="AA353" s="777">
        <f>$E$22*$F$9*'Traffic Data'!BC41*annualizationFactor</f>
        <v>1.6331048060928002</v>
      </c>
      <c r="AB353" s="777">
        <f>$E$22*$F$9*'Traffic Data'!BD41*annualizationFactor</f>
        <v>1.6583620866048001</v>
      </c>
      <c r="AC353" s="777">
        <f>$E$22*$F$9*'Traffic Data'!BE41*annualizationFactor</f>
        <v>1.6836073469952002</v>
      </c>
      <c r="AD353" s="777">
        <f>$E$22*$F$9*'Traffic Data'!BF41*annualizationFactor</f>
        <v>1.7088526073856001</v>
      </c>
      <c r="AE353" s="777">
        <f>$E$22*$F$9*'Traffic Data'!BG41*annualizationFactor</f>
        <v>1.7341098878975998</v>
      </c>
      <c r="AF353" s="777">
        <f>$E$22*$F$9*'Traffic Data'!BH41*annualizationFactor</f>
        <v>1.7593551482879997</v>
      </c>
      <c r="AG353" s="777">
        <f>$E$22*$F$9*'Traffic Data'!BI41*annualizationFactor</f>
        <v>1.7846004086783998</v>
      </c>
      <c r="AH353" s="778">
        <f>$E$22*$F$9*'Traffic Data'!BJ41*annualizationFactor</f>
        <v>1.8098576891903997</v>
      </c>
      <c r="AI353" s="40"/>
      <c r="AJ353" s="40"/>
      <c r="AK353" s="40"/>
      <c r="AL353" s="40"/>
      <c r="AM353" s="40"/>
    </row>
    <row r="354" spans="2:39" ht="21.95" customHeight="1" x14ac:dyDescent="0.2">
      <c r="B354" s="492" t="s">
        <v>339</v>
      </c>
      <c r="C354" s="116" t="s">
        <v>335</v>
      </c>
      <c r="D354" s="116" t="s">
        <v>323</v>
      </c>
      <c r="E354" s="277" t="s">
        <v>467</v>
      </c>
      <c r="F354" s="277" t="s">
        <v>43</v>
      </c>
      <c r="G354" s="780"/>
      <c r="H354" s="780"/>
      <c r="I354" s="775">
        <f>$E$22*$G$9*'Traffic Data'!AK42*annualizationFactor</f>
        <v>2.6350080000000003E-3</v>
      </c>
      <c r="J354" s="775">
        <f>$E$22*$G$9*'Traffic Data'!AL42*annualizationFactor</f>
        <v>1.9970725631999999E-2</v>
      </c>
      <c r="K354" s="775">
        <f>$E$22*$G$9*'Traffic Data'!AM42*annualizationFactor</f>
        <v>0.11570056627200001</v>
      </c>
      <c r="L354" s="775">
        <f>$E$22*$G$9*'Traffic Data'!AN42*annualizationFactor</f>
        <v>0.266486264064</v>
      </c>
      <c r="M354" s="775">
        <f>$E$22*$G$9*'Traffic Data'!AO42*annualizationFactor</f>
        <v>0.41736682214399995</v>
      </c>
      <c r="N354" s="775">
        <f>$E$22*$G$9*'Traffic Data'!AP42*annualizationFactor</f>
        <v>0.56825528524800017</v>
      </c>
      <c r="O354" s="775">
        <f>$E$22*$G$9*'Traffic Data'!AQ42*annualizationFactor</f>
        <v>0.71904098304000008</v>
      </c>
      <c r="P354" s="775">
        <f>$E$22*$G$9*'Traffic Data'!AR42*annualizationFactor</f>
        <v>0.87002694144000003</v>
      </c>
      <c r="Q354" s="775">
        <f>$E$22*$G$9*'Traffic Data'!AS42*annualizationFactor</f>
        <v>0.9548056888319999</v>
      </c>
      <c r="R354" s="775">
        <f>$E$22*$G$9*'Traffic Data'!AT42*annualizationFactor</f>
        <v>1.0396160563199999</v>
      </c>
      <c r="S354" s="775">
        <f>$E$22*$G$9*'Traffic Data'!AU42*annualizationFactor</f>
        <v>1.1244185187839999</v>
      </c>
      <c r="T354" s="775">
        <f>$E$22*$G$9*'Traffic Data'!AV42*annualizationFactor</f>
        <v>1.2091972661759998</v>
      </c>
      <c r="U354" s="775">
        <f>$E$22*$G$9*'Traffic Data'!AW42*annualizationFactor</f>
        <v>1.2941762741760003</v>
      </c>
      <c r="V354" s="775">
        <f>$E$22*$G$9*'Traffic Data'!AX42*annualizationFactor</f>
        <v>1.3238174791680004</v>
      </c>
      <c r="W354" s="775">
        <f>$E$22*$G$9*'Traffic Data'!AY42*annualizationFactor</f>
        <v>1.3411531967999999</v>
      </c>
      <c r="X354" s="775">
        <f>$E$22*$G$9*'Traffic Data'!AZ42*annualizationFactor</f>
        <v>1.3584889144320003</v>
      </c>
      <c r="Y354" s="775">
        <f>$E$22*$G$9*'Traffic Data'!BA42*annualizationFactor</f>
        <v>1.3758246320640002</v>
      </c>
      <c r="Z354" s="775">
        <f>$E$22*$G$9*'Traffic Data'!BB42*annualizationFactor</f>
        <v>1.3932288599039999</v>
      </c>
      <c r="AA354" s="775">
        <f>$E$22*$G$9*'Traffic Data'!BC42*annualizationFactor</f>
        <v>1.4105645775360003</v>
      </c>
      <c r="AB354" s="775">
        <f>$E$22*$G$9*'Traffic Data'!BD42*annualizationFactor</f>
        <v>1.4279688053760007</v>
      </c>
      <c r="AC354" s="775">
        <f>$E$22*$G$9*'Traffic Data'!BE42*annualizationFactor</f>
        <v>1.4453045230080002</v>
      </c>
      <c r="AD354" s="775">
        <f>$E$22*$G$9*'Traffic Data'!BF42*annualizationFactor</f>
        <v>1.4626402406400003</v>
      </c>
      <c r="AE354" s="775">
        <f>$E$22*$G$9*'Traffic Data'!BG42*annualizationFactor</f>
        <v>1.4800444684800005</v>
      </c>
      <c r="AF354" s="775">
        <f>$E$22*$G$9*'Traffic Data'!BH42*annualizationFactor</f>
        <v>1.4973801861120002</v>
      </c>
      <c r="AG354" s="775">
        <f>$E$22*$G$9*'Traffic Data'!BI42*annualizationFactor</f>
        <v>1.5147159037439999</v>
      </c>
      <c r="AH354" s="776">
        <f>$E$22*$G$9*'Traffic Data'!BJ42*annualizationFactor</f>
        <v>1.5321201315840005</v>
      </c>
      <c r="AI354" s="40"/>
      <c r="AJ354" s="40"/>
      <c r="AK354" s="40"/>
      <c r="AL354" s="40"/>
      <c r="AM354" s="40"/>
    </row>
    <row r="355" spans="2:39" ht="21.95" customHeight="1" x14ac:dyDescent="0.2">
      <c r="B355" s="1346" t="s">
        <v>323</v>
      </c>
      <c r="C355" s="220" t="s">
        <v>282</v>
      </c>
      <c r="D355" s="220" t="s">
        <v>339</v>
      </c>
      <c r="E355" s="116" t="s">
        <v>467</v>
      </c>
      <c r="F355" s="116" t="s">
        <v>43</v>
      </c>
      <c r="G355" s="970"/>
      <c r="H355" s="970"/>
      <c r="I355" s="775">
        <f>$E$22*$H$9*'Traffic Data'!AK43*annualizationFactor</f>
        <v>7.5686399999999997E-3</v>
      </c>
      <c r="J355" s="775">
        <f>$E$22*$H$9*'Traffic Data'!AL43*annualizationFactor</f>
        <v>1.6821302399999998E-2</v>
      </c>
      <c r="K355" s="775">
        <f>$E$22*$H$9*'Traffic Data'!AM43*annualizationFactor</f>
        <v>7.109601984000001E-2</v>
      </c>
      <c r="L355" s="775">
        <f>$E$22*$H$9*'Traffic Data'!AN43*annualizationFactor</f>
        <v>0.15981940223999999</v>
      </c>
      <c r="M355" s="775">
        <f>$E$22*$H$9*'Traffic Data'!AO43*annualizationFactor</f>
        <v>0.24859198080000006</v>
      </c>
      <c r="N355" s="775">
        <f>$E$22*$H$9*'Traffic Data'!AP43*annualizationFactor</f>
        <v>0.33736834367999996</v>
      </c>
      <c r="O355" s="775">
        <f>$E$22*$H$9*'Traffic Data'!AQ43*annualizationFactor</f>
        <v>0.42609172608000007</v>
      </c>
      <c r="P355" s="775">
        <f>$E$22*$H$9*'Traffic Data'!AR43*annualizationFactor</f>
        <v>0.51491728512000012</v>
      </c>
      <c r="Q355" s="775">
        <f>$E$22*$H$9*'Traffic Data'!AS43*annualizationFactor</f>
        <v>0.58341347712000013</v>
      </c>
      <c r="R355" s="775">
        <f>$E$22*$H$9*'Traffic Data'!AT43*annualizationFactor</f>
        <v>0.65192102208000013</v>
      </c>
      <c r="S355" s="775">
        <f>$E$22*$H$9*'Traffic Data'!AU43*annualizationFactor</f>
        <v>0.72041721407999992</v>
      </c>
      <c r="T355" s="775">
        <f>$E$22*$H$9*'Traffic Data'!AV43*annualizationFactor</f>
        <v>0.78891340608000005</v>
      </c>
      <c r="U355" s="775">
        <f>$E$22*$H$9*'Traffic Data'!AW43*annualizationFactor</f>
        <v>0.85750042176000008</v>
      </c>
      <c r="V355" s="775">
        <f>$E$22*$H$9*'Traffic Data'!AX43*annualizationFactor</f>
        <v>0.89149496831999997</v>
      </c>
      <c r="W355" s="775">
        <f>$E$22*$H$9*'Traffic Data'!AY43*annualizationFactor</f>
        <v>0.90074763072000019</v>
      </c>
      <c r="X355" s="775">
        <f>$E$22*$H$9*'Traffic Data'!AZ43*annualizationFactor</f>
        <v>0.91000029312000008</v>
      </c>
      <c r="Y355" s="775">
        <f>$E$22*$H$9*'Traffic Data'!BA43*annualizationFactor</f>
        <v>0.91925295552000019</v>
      </c>
      <c r="Z355" s="775">
        <f>$E$22*$H$9*'Traffic Data'!BB43*annualizationFactor</f>
        <v>0.92853210816000009</v>
      </c>
      <c r="AA355" s="775">
        <f>$E$22*$H$9*'Traffic Data'!BC43*annualizationFactor</f>
        <v>0.93778477056000009</v>
      </c>
      <c r="AB355" s="775">
        <f>$E$22*$H$9*'Traffic Data'!BD43*annualizationFactor</f>
        <v>0.94706392319999966</v>
      </c>
      <c r="AC355" s="775">
        <f>$E$22*$H$9*'Traffic Data'!BE43*annualizationFactor</f>
        <v>0.95631658559999988</v>
      </c>
      <c r="AD355" s="775">
        <f>$E$22*$H$9*'Traffic Data'!BF43*annualizationFactor</f>
        <v>0.96556924799999999</v>
      </c>
      <c r="AE355" s="775">
        <f>$E$22*$H$9*'Traffic Data'!BG43*annualizationFactor</f>
        <v>0.97484840063999989</v>
      </c>
      <c r="AF355" s="775">
        <f>$E$22*$H$9*'Traffic Data'!BH43*annualizationFactor</f>
        <v>0.98410106304</v>
      </c>
      <c r="AG355" s="775">
        <f>$E$22*$H$9*'Traffic Data'!BI43*annualizationFactor</f>
        <v>0.99335372544</v>
      </c>
      <c r="AH355" s="776">
        <f>$E$22*$H$9*'Traffic Data'!BJ43*annualizationFactor</f>
        <v>1.00263287808</v>
      </c>
      <c r="AI355" s="40"/>
      <c r="AJ355" s="40"/>
      <c r="AK355" s="40"/>
      <c r="AL355" s="40"/>
      <c r="AM355" s="40"/>
    </row>
    <row r="356" spans="2:39" ht="21.95" customHeight="1" x14ac:dyDescent="0.2">
      <c r="B356" s="1346"/>
      <c r="C356" s="116" t="s">
        <v>339</v>
      </c>
      <c r="D356" s="116" t="s">
        <v>288</v>
      </c>
      <c r="E356" s="116" t="s">
        <v>467</v>
      </c>
      <c r="F356" s="116" t="s">
        <v>43</v>
      </c>
      <c r="G356" s="970"/>
      <c r="H356" s="970"/>
      <c r="I356" s="777">
        <f>$E$22*$H$9*'Traffic Data'!AK44*annualizationFactor</f>
        <v>0</v>
      </c>
      <c r="J356" s="777">
        <f>$E$22*$H$9*'Traffic Data'!AL44*annualizationFactor</f>
        <v>5.1489177599999998E-3</v>
      </c>
      <c r="K356" s="777">
        <f>$E$22*$H$9*'Traffic Data'!AM44*annualizationFactor</f>
        <v>1.4745841152000002E-2</v>
      </c>
      <c r="L356" s="777">
        <f>$E$22*$H$9*'Traffic Data'!AN44*annualizationFactor</f>
        <v>3.3147727872000002E-2</v>
      </c>
      <c r="M356" s="777">
        <f>$E$22*$H$9*'Traffic Data'!AO44*annualizationFactor</f>
        <v>5.1559818240000013E-2</v>
      </c>
      <c r="N356" s="777">
        <f>$E$22*$H$9*'Traffic Data'!AP44*annualizationFactor</f>
        <v>6.9972693503999997E-2</v>
      </c>
      <c r="O356" s="777">
        <f>$E$22*$H$9*'Traffic Data'!AQ44*annualizationFactor</f>
        <v>8.8374580223999993E-2</v>
      </c>
      <c r="P356" s="777">
        <f>$E$22*$H$9*'Traffic Data'!AR44*annualizationFactor</f>
        <v>0.10679765913600001</v>
      </c>
      <c r="Q356" s="777">
        <f>$E$22*$H$9*'Traffic Data'!AS44*annualizationFactor</f>
        <v>0.12100427673600003</v>
      </c>
      <c r="R356" s="777">
        <f>$E$22*$H$9*'Traffic Data'!AT44*annualizationFactor</f>
        <v>0.13521324902400003</v>
      </c>
      <c r="S356" s="777">
        <f>$E$22*$H$9*'Traffic Data'!AU44*annualizationFactor</f>
        <v>0.149419866624</v>
      </c>
      <c r="T356" s="777">
        <f>$E$22*$H$9*'Traffic Data'!AV44*annualizationFactor</f>
        <v>0.163626484224</v>
      </c>
      <c r="U356" s="777">
        <f>$E$22*$H$9*'Traffic Data'!AW44*annualizationFactor</f>
        <v>0.177851939328</v>
      </c>
      <c r="V356" s="777">
        <f>$E$22*$H$9*'Traffic Data'!AX44*annualizationFactor</f>
        <v>0.18490266009600001</v>
      </c>
      <c r="W356" s="777">
        <f>$E$22*$H$9*'Traffic Data'!AY44*annualizationFactor</f>
        <v>0.18682173081600006</v>
      </c>
      <c r="X356" s="777">
        <f>$E$22*$H$9*'Traffic Data'!AZ44*annualizationFactor</f>
        <v>0.18874080153600001</v>
      </c>
      <c r="Y356" s="777">
        <f>$E$22*$H$9*'Traffic Data'!BA44*annualizationFactor</f>
        <v>0.19065987225600003</v>
      </c>
      <c r="Z356" s="777">
        <f>$E$22*$H$9*'Traffic Data'!BB44*annualizationFactor</f>
        <v>0.19258443724800003</v>
      </c>
      <c r="AA356" s="777">
        <f>$E$22*$H$9*'Traffic Data'!BC44*annualizationFactor</f>
        <v>0.19450350796800003</v>
      </c>
      <c r="AB356" s="777">
        <f>$E$22*$H$9*'Traffic Data'!BD44*annualizationFactor</f>
        <v>0.19642807295999995</v>
      </c>
      <c r="AC356" s="777">
        <f>$E$22*$H$9*'Traffic Data'!BE44*annualizationFactor</f>
        <v>0.19834714367999998</v>
      </c>
      <c r="AD356" s="777">
        <f>$E$22*$H$9*'Traffic Data'!BF44*annualizationFactor</f>
        <v>0.2002662144</v>
      </c>
      <c r="AE356" s="777">
        <f>$E$22*$H$9*'Traffic Data'!BG44*annualizationFactor</f>
        <v>0.20219077939199998</v>
      </c>
      <c r="AF356" s="777">
        <f>$E$22*$H$9*'Traffic Data'!BH44*annualizationFactor</f>
        <v>0.204109850112</v>
      </c>
      <c r="AG356" s="777">
        <f>$E$22*$H$9*'Traffic Data'!BI44*annualizationFactor</f>
        <v>0.20602892083199997</v>
      </c>
      <c r="AH356" s="778">
        <f>$E$22*$H$9*'Traffic Data'!BJ44*annualizationFactor</f>
        <v>0.207953485824</v>
      </c>
      <c r="AI356" s="40"/>
      <c r="AJ356" s="40"/>
      <c r="AK356" s="40"/>
      <c r="AL356" s="40"/>
      <c r="AM356" s="40"/>
    </row>
    <row r="357" spans="2:39" ht="21.95" customHeight="1" x14ac:dyDescent="0.2">
      <c r="B357" s="1346"/>
      <c r="C357" s="116" t="s">
        <v>288</v>
      </c>
      <c r="D357" s="116" t="s">
        <v>340</v>
      </c>
      <c r="E357" s="116" t="s">
        <v>467</v>
      </c>
      <c r="F357" s="116" t="s">
        <v>43</v>
      </c>
      <c r="G357" s="970"/>
      <c r="H357" s="970"/>
      <c r="I357" s="777">
        <f>$E$22*$H$9*'Traffic Data'!AK45*annualizationFactor</f>
        <v>0</v>
      </c>
      <c r="J357" s="777">
        <f>$E$22*$H$9*'Traffic Data'!AL45*annualizationFactor</f>
        <v>1.3423964160000001E-2</v>
      </c>
      <c r="K357" s="777">
        <f>$E$22*$H$9*'Traffic Data'!AM45*annualizationFactor</f>
        <v>3.8444514431999997E-2</v>
      </c>
      <c r="L357" s="777">
        <f>$E$22*$H$9*'Traffic Data'!AN45*annualizationFactor</f>
        <v>8.6420861951999994E-2</v>
      </c>
      <c r="M357" s="777">
        <f>$E$22*$H$9*'Traffic Data'!AO45*annualizationFactor</f>
        <v>0.13442381184000002</v>
      </c>
      <c r="N357" s="777">
        <f>$E$22*$H$9*'Traffic Data'!AP45*annualizationFactor</f>
        <v>0.18242880806399997</v>
      </c>
      <c r="O357" s="777">
        <f>$E$22*$H$9*'Traffic Data'!AQ45*annualizationFactor</f>
        <v>0.23040515558399996</v>
      </c>
      <c r="P357" s="777">
        <f>$E$22*$H$9*'Traffic Data'!AR45*annualizationFactor</f>
        <v>0.278436754176</v>
      </c>
      <c r="Q357" s="777">
        <f>$E$22*$H$9*'Traffic Data'!AS45*annualizationFactor</f>
        <v>0.31547543577600007</v>
      </c>
      <c r="R357" s="777">
        <f>$E$22*$H$9*'Traffic Data'!AT45*annualizationFactor</f>
        <v>0.35252025638400003</v>
      </c>
      <c r="S357" s="777">
        <f>$E$22*$H$9*'Traffic Data'!AU45*annualizationFactor</f>
        <v>0.38955893798399993</v>
      </c>
      <c r="T357" s="777">
        <f>$E$22*$H$9*'Traffic Data'!AV45*annualizationFactor</f>
        <v>0.42659761958399994</v>
      </c>
      <c r="U357" s="777">
        <f>$E$22*$H$9*'Traffic Data'!AW45*annualizationFactor</f>
        <v>0.46368541324800006</v>
      </c>
      <c r="V357" s="777">
        <f>$E$22*$H$9*'Traffic Data'!AX45*annualizationFactor</f>
        <v>0.48206764953600001</v>
      </c>
      <c r="W357" s="777">
        <f>$E$22*$H$9*'Traffic Data'!AY45*annualizationFactor</f>
        <v>0.48707094105599996</v>
      </c>
      <c r="X357" s="777">
        <f>$E$22*$H$9*'Traffic Data'!AZ45*annualizationFactor</f>
        <v>0.49207423257599997</v>
      </c>
      <c r="Y357" s="777">
        <f>$E$22*$H$9*'Traffic Data'!BA45*annualizationFactor</f>
        <v>0.49707752409600003</v>
      </c>
      <c r="Z357" s="777">
        <f>$E$22*$H$9*'Traffic Data'!BB45*annualizationFactor</f>
        <v>0.50209513996800015</v>
      </c>
      <c r="AA357" s="777">
        <f>$E$22*$H$9*'Traffic Data'!BC45*annualizationFactor</f>
        <v>0.50709843148800005</v>
      </c>
      <c r="AB357" s="777">
        <f>$E$22*$H$9*'Traffic Data'!BD45*annualizationFactor</f>
        <v>0.51211604735999983</v>
      </c>
      <c r="AC357" s="777">
        <f>$E$22*$H$9*'Traffic Data'!BE45*annualizationFactor</f>
        <v>0.51711933887999995</v>
      </c>
      <c r="AD357" s="777">
        <f>$E$22*$H$9*'Traffic Data'!BF45*annualizationFactor</f>
        <v>0.52212263039999995</v>
      </c>
      <c r="AE357" s="777">
        <f>$E$22*$H$9*'Traffic Data'!BG45*annualizationFactor</f>
        <v>0.52714024627199985</v>
      </c>
      <c r="AF357" s="777">
        <f>$E$22*$H$9*'Traffic Data'!BH45*annualizationFactor</f>
        <v>0.53214353779199985</v>
      </c>
      <c r="AG357" s="777">
        <f>$E$22*$H$9*'Traffic Data'!BI45*annualizationFactor</f>
        <v>0.53714682931199997</v>
      </c>
      <c r="AH357" s="778">
        <f>$E$22*$H$9*'Traffic Data'!BJ45*annualizationFactor</f>
        <v>0.54216444518399987</v>
      </c>
      <c r="AI357" s="40"/>
      <c r="AJ357" s="40"/>
      <c r="AK357" s="40"/>
      <c r="AL357" s="40"/>
      <c r="AM357" s="40"/>
    </row>
    <row r="358" spans="2:39" ht="21.95" customHeight="1" x14ac:dyDescent="0.2">
      <c r="B358" s="1346"/>
      <c r="C358" s="254" t="s">
        <v>340</v>
      </c>
      <c r="D358" s="254" t="s">
        <v>280</v>
      </c>
      <c r="E358" s="116" t="s">
        <v>467</v>
      </c>
      <c r="F358" s="116" t="s">
        <v>43</v>
      </c>
      <c r="G358" s="970"/>
      <c r="H358" s="970"/>
      <c r="I358" s="777">
        <f>$E$22*$H$9*'Traffic Data'!AK46*annualizationFactor</f>
        <v>1.7660160000000001E-2</v>
      </c>
      <c r="J358" s="777">
        <f>$E$22*$H$9*'Traffic Data'!AL46*annualizationFactor</f>
        <v>2.6326000512E-2</v>
      </c>
      <c r="K358" s="777">
        <f>$E$22*$H$9*'Traffic Data'!AM46*annualizationFactor</f>
        <v>3.7065143807999995E-2</v>
      </c>
      <c r="L358" s="777">
        <f>$E$22*$H$9*'Traffic Data'!AN46*annualizationFactor</f>
        <v>6.4213519104E-2</v>
      </c>
      <c r="M358" s="777">
        <f>$E$22*$H$9*'Traffic Data'!AO46*annualizationFactor</f>
        <v>9.1364837759999984E-2</v>
      </c>
      <c r="N358" s="777">
        <f>$E$22*$H$9*'Traffic Data'!AP46*annualizationFactor</f>
        <v>0.11852969587200003</v>
      </c>
      <c r="O358" s="777">
        <f>$E$22*$H$9*'Traffic Data'!AQ46*annualizationFactor</f>
        <v>0.145678071168</v>
      </c>
      <c r="P358" s="777">
        <f>$E$22*$H$9*'Traffic Data'!AR46*annualizationFactor</f>
        <v>0.17281761638400001</v>
      </c>
      <c r="Q358" s="777">
        <f>$E$22*$H$9*'Traffic Data'!AS46*annualizationFactor</f>
        <v>0.24189886425599999</v>
      </c>
      <c r="R358" s="777">
        <f>$E$22*$H$9*'Traffic Data'!AT46*annualizationFactor</f>
        <v>0.31095303321599999</v>
      </c>
      <c r="S358" s="777">
        <f>$E$22*$H$9*'Traffic Data'!AU46*annualizationFactor</f>
        <v>0.380001904128</v>
      </c>
      <c r="T358" s="777">
        <f>$E$22*$H$9*'Traffic Data'!AV46*annualizationFactor</f>
        <v>0.44908315199999999</v>
      </c>
      <c r="U358" s="777">
        <f>$E$22*$H$9*'Traffic Data'!AW46*annualizationFactor</f>
        <v>0.51815556979200006</v>
      </c>
      <c r="V358" s="777">
        <f>$E$22*$H$9*'Traffic Data'!AX46*annualizationFactor</f>
        <v>0.57080698214400016</v>
      </c>
      <c r="W358" s="777">
        <f>$E$22*$H$9*'Traffic Data'!AY46*annualizationFactor</f>
        <v>0.57947282265599998</v>
      </c>
      <c r="X358" s="777">
        <f>$E$22*$H$9*'Traffic Data'!AZ46*annualizationFactor</f>
        <v>0.58813866316800001</v>
      </c>
      <c r="Y358" s="777">
        <f>$E$22*$H$9*'Traffic Data'!BA46*annualizationFactor</f>
        <v>0.59680450368000004</v>
      </c>
      <c r="Z358" s="777">
        <f>$E$22*$H$9*'Traffic Data'!BB46*annualizationFactor</f>
        <v>0.60544385395200007</v>
      </c>
      <c r="AA358" s="777">
        <f>$E$22*$H$9*'Traffic Data'!BC46*annualizationFactor</f>
        <v>0.61410969446399999</v>
      </c>
      <c r="AB358" s="777">
        <f>$E$22*$H$9*'Traffic Data'!BD46*annualizationFactor</f>
        <v>0.62274904473600012</v>
      </c>
      <c r="AC358" s="777">
        <f>$E$22*$H$9*'Traffic Data'!BE46*annualizationFactor</f>
        <v>0.63141488524800005</v>
      </c>
      <c r="AD358" s="777">
        <f>$E$22*$H$9*'Traffic Data'!BF46*annualizationFactor</f>
        <v>0.64008072576000008</v>
      </c>
      <c r="AE358" s="777">
        <f>$E$22*$H$9*'Traffic Data'!BG46*annualizationFactor</f>
        <v>0.64872007603199999</v>
      </c>
      <c r="AF358" s="777">
        <f>$E$22*$H$9*'Traffic Data'!BH46*annualizationFactor</f>
        <v>0.65738591654400003</v>
      </c>
      <c r="AG358" s="777">
        <f>$E$22*$H$9*'Traffic Data'!BI46*annualizationFactor</f>
        <v>0.66605175705599995</v>
      </c>
      <c r="AH358" s="778">
        <f>$E$22*$H$9*'Traffic Data'!BJ46*annualizationFactor</f>
        <v>0.67469110732799997</v>
      </c>
      <c r="AI358" s="40"/>
      <c r="AJ358" s="40"/>
      <c r="AK358" s="40"/>
      <c r="AL358" s="40"/>
      <c r="AM358" s="40"/>
    </row>
    <row r="359" spans="2:39" ht="21.95" customHeight="1" x14ac:dyDescent="0.2">
      <c r="B359" s="1346" t="s">
        <v>334</v>
      </c>
      <c r="C359" s="116" t="s">
        <v>336</v>
      </c>
      <c r="D359" s="116" t="s">
        <v>337</v>
      </c>
      <c r="E359" s="220" t="s">
        <v>467</v>
      </c>
      <c r="F359" s="220" t="s">
        <v>43</v>
      </c>
      <c r="G359" s="775"/>
      <c r="H359" s="775"/>
      <c r="I359" s="775">
        <f>$E$22*$I$9*'Traffic Data'!AK47*annualizationFactor</f>
        <v>0.35320319999999999</v>
      </c>
      <c r="J359" s="775">
        <f>$E$22*$I$9*'Traffic Data'!AL47*annualizationFactor</f>
        <v>0.36298692863999998</v>
      </c>
      <c r="K359" s="775">
        <f>$E$22*$I$9*'Traffic Data'!AM47*annualizationFactor</f>
        <v>0.37877637312000001</v>
      </c>
      <c r="L359" s="775">
        <f>$E$22*$I$9*'Traffic Data'!AN47*annualizationFactor</f>
        <v>0.40133344320000003</v>
      </c>
      <c r="M359" s="775">
        <f>$E$22*$I$9*'Traffic Data'!AO47*annualizationFactor</f>
        <v>0.42390060480000014</v>
      </c>
      <c r="N359" s="775">
        <f>$E$22*$I$9*'Traffic Data'!AP47*annualizationFactor</f>
        <v>0.44646650496000012</v>
      </c>
      <c r="O359" s="775">
        <f>$E$22*$I$9*'Traffic Data'!AQ47*annualizationFactor</f>
        <v>0.4690235750400002</v>
      </c>
      <c r="P359" s="775">
        <f>$E$22*$I$9*'Traffic Data'!AR47*annualizationFactor</f>
        <v>0.49160082816000006</v>
      </c>
      <c r="Q359" s="775">
        <f>$E$22*$I$9*'Traffic Data'!AS47*annualizationFactor</f>
        <v>0.51169682879999989</v>
      </c>
      <c r="R359" s="775">
        <f>$E$22*$I$9*'Traffic Data'!AT47*annualizationFactor</f>
        <v>0.53179913664</v>
      </c>
      <c r="S359" s="775">
        <f>$E$22*$I$9*'Traffic Data'!AU47*annualizationFactor</f>
        <v>0.55189513727999995</v>
      </c>
      <c r="T359" s="775">
        <f>$E$22*$I$9*'Traffic Data'!AV47*annualizationFactor</f>
        <v>0.57199113792</v>
      </c>
      <c r="U359" s="775">
        <f>$E$22*$I$9*'Traffic Data'!AW47*annualizationFactor</f>
        <v>0.59210732160000001</v>
      </c>
      <c r="V359" s="775">
        <f>$E$22*$I$9*'Traffic Data'!AX47*annualizationFactor</f>
        <v>0.60542560511999999</v>
      </c>
      <c r="W359" s="775">
        <f>$E$22*$I$9*'Traffic Data'!AY47*annualizationFactor</f>
        <v>0.61520933375999998</v>
      </c>
      <c r="X359" s="775">
        <f>$E$22*$I$9*'Traffic Data'!AZ47*annualizationFactor</f>
        <v>0.62499306239999997</v>
      </c>
      <c r="Y359" s="775">
        <f>$E$22*$I$9*'Traffic Data'!BA47*annualizationFactor</f>
        <v>0.63477679103999995</v>
      </c>
      <c r="Z359" s="775">
        <f>$E$22*$I$9*'Traffic Data'!BB47*annualizationFactor</f>
        <v>0.64456682688</v>
      </c>
      <c r="AA359" s="775">
        <f>$E$22*$I$9*'Traffic Data'!BC47*annualizationFactor</f>
        <v>0.6543505555200001</v>
      </c>
      <c r="AB359" s="775">
        <f>$E$22*$I$9*'Traffic Data'!BD47*annualizationFactor</f>
        <v>0.66414059135999992</v>
      </c>
      <c r="AC359" s="775">
        <f>$E$22*$I$9*'Traffic Data'!BE47*annualizationFactor</f>
        <v>0.67392431999999991</v>
      </c>
      <c r="AD359" s="775">
        <f>$E$22*$I$9*'Traffic Data'!BF47*annualizationFactor</f>
        <v>0.6837080486399999</v>
      </c>
      <c r="AE359" s="775">
        <f>$E$22*$I$9*'Traffic Data'!BG47*annualizationFactor</f>
        <v>0.69349808447999994</v>
      </c>
      <c r="AF359" s="775">
        <f>$E$22*$I$9*'Traffic Data'!BH47*annualizationFactor</f>
        <v>0.70328181311999982</v>
      </c>
      <c r="AG359" s="775">
        <f>$E$22*$I$9*'Traffic Data'!BI47*annualizationFactor</f>
        <v>0.71306554175999992</v>
      </c>
      <c r="AH359" s="776">
        <f>$E$22*$I$9*'Traffic Data'!BJ47*annualizationFactor</f>
        <v>0.72285557759999997</v>
      </c>
      <c r="AI359" s="40"/>
      <c r="AJ359" s="40"/>
      <c r="AK359" s="40"/>
      <c r="AL359" s="40"/>
      <c r="AM359" s="40"/>
    </row>
    <row r="360" spans="2:39" ht="21.95" customHeight="1" x14ac:dyDescent="0.2">
      <c r="B360" s="1346"/>
      <c r="C360" s="116" t="s">
        <v>337</v>
      </c>
      <c r="D360" s="116" t="s">
        <v>386</v>
      </c>
      <c r="E360" s="116" t="s">
        <v>467</v>
      </c>
      <c r="F360" s="116" t="s">
        <v>43</v>
      </c>
      <c r="G360" s="970"/>
      <c r="H360" s="970"/>
      <c r="I360" s="777">
        <f>$E$22*$I$9*'Traffic Data'!AK48*annualizationFactor</f>
        <v>0.55503360000000002</v>
      </c>
      <c r="J360" s="777">
        <f>$E$22*$I$9*'Traffic Data'!AL48*annualizationFactor</f>
        <v>0.55614366719999997</v>
      </c>
      <c r="K360" s="777">
        <f>$E$22*$I$9*'Traffic Data'!AM48*annualizationFactor</f>
        <v>0.55725373440000003</v>
      </c>
      <c r="L360" s="777">
        <f>$E$22*$I$9*'Traffic Data'!AN48*annualizationFactor</f>
        <v>0.55836380159999999</v>
      </c>
      <c r="M360" s="777">
        <f>$E$22*$I$9*'Traffic Data'!AO48*annualizationFactor</f>
        <v>0.55947386879999994</v>
      </c>
      <c r="N360" s="777">
        <f>$E$22*$I$9*'Traffic Data'!AP48*annualizationFactor</f>
        <v>0.560583936</v>
      </c>
      <c r="O360" s="777">
        <f>$E$22*$I$9*'Traffic Data'!AQ48*annualizationFactor</f>
        <v>0.56169400319999996</v>
      </c>
      <c r="P360" s="777">
        <f>$E$22*$I$9*'Traffic Data'!AR48*annualizationFactor</f>
        <v>0.56280407040000002</v>
      </c>
      <c r="Q360" s="777">
        <f>$E$22*$I$9*'Traffic Data'!AS48*annualizationFactor</f>
        <v>0.56391413759999998</v>
      </c>
      <c r="R360" s="777">
        <f>$E$22*$I$9*'Traffic Data'!AT48*annualizationFactor</f>
        <v>0.56391413759999998</v>
      </c>
      <c r="S360" s="777">
        <f>$E$22*$I$9*'Traffic Data'!AU48*annualizationFactor</f>
        <v>0.57723216883200001</v>
      </c>
      <c r="T360" s="777">
        <f>$E$22*$I$9*'Traffic Data'!AV48*annualizationFactor</f>
        <v>0.5919228990719998</v>
      </c>
      <c r="U360" s="777">
        <f>$E$22*$I$9*'Traffic Data'!AW48*annualizationFactor</f>
        <v>0.60662271167999982</v>
      </c>
      <c r="V360" s="777">
        <f>$E$22*$I$9*'Traffic Data'!AX48*annualizationFactor</f>
        <v>0.61847293132799996</v>
      </c>
      <c r="W360" s="777">
        <f>$E$22*$I$9*'Traffic Data'!AY48*annualizationFactor</f>
        <v>0.62820241804799981</v>
      </c>
      <c r="X360" s="777">
        <f>$E$22*$I$9*'Traffic Data'!AZ48*annualizationFactor</f>
        <v>0.63793190476799977</v>
      </c>
      <c r="Y360" s="777">
        <f>$E$22*$I$9*'Traffic Data'!BA48*annualizationFactor</f>
        <v>0.64766139148799984</v>
      </c>
      <c r="Z360" s="777">
        <f>$E$22*$I$9*'Traffic Data'!BB48*annualizationFactor</f>
        <v>0.65739314879999999</v>
      </c>
      <c r="AA360" s="777">
        <f>$E$22*$I$9*'Traffic Data'!BC48*annualizationFactor</f>
        <v>0.66712263551999984</v>
      </c>
      <c r="AB360" s="777">
        <f>$E$22*$I$9*'Traffic Data'!BD48*annualizationFactor</f>
        <v>0.67685439283199988</v>
      </c>
      <c r="AC360" s="777">
        <f>$E$22*$I$9*'Traffic Data'!BE48*annualizationFactor</f>
        <v>0.68658387955199995</v>
      </c>
      <c r="AD360" s="777">
        <f>$E$22*$I$9*'Traffic Data'!BF48*annualizationFactor</f>
        <v>0.69631336627199991</v>
      </c>
      <c r="AE360" s="777">
        <f>$E$22*$I$9*'Traffic Data'!BG48*annualizationFactor</f>
        <v>0.70604512358399996</v>
      </c>
      <c r="AF360" s="777">
        <f>$E$22*$I$9*'Traffic Data'!BH48*annualizationFactor</f>
        <v>0.7157746103039998</v>
      </c>
      <c r="AG360" s="777">
        <f>$E$22*$I$9*'Traffic Data'!BI48*annualizationFactor</f>
        <v>0.72550409702399987</v>
      </c>
      <c r="AH360" s="778">
        <f>$E$22*$I$9*'Traffic Data'!BJ48*annualizationFactor</f>
        <v>0.73523585433599992</v>
      </c>
      <c r="AI360" s="40"/>
      <c r="AJ360" s="40"/>
      <c r="AK360" s="40"/>
      <c r="AL360" s="40"/>
      <c r="AM360" s="40"/>
    </row>
    <row r="361" spans="2:39" ht="21.95" customHeight="1" x14ac:dyDescent="0.2">
      <c r="B361" s="1346"/>
      <c r="C361" s="116" t="s">
        <v>342</v>
      </c>
      <c r="D361" s="116" t="s">
        <v>341</v>
      </c>
      <c r="E361" s="116" t="s">
        <v>467</v>
      </c>
      <c r="F361" s="116" t="s">
        <v>43</v>
      </c>
      <c r="G361" s="970"/>
      <c r="H361" s="970"/>
      <c r="I361" s="777">
        <f>$E$22*$I$9*'Traffic Data'!AK49*annualizationFactor</f>
        <v>0.72154368000000002</v>
      </c>
      <c r="J361" s="777">
        <f>$E$22*$I$9*'Traffic Data'!AL49*annualizationFactor</f>
        <v>0.72298676736</v>
      </c>
      <c r="K361" s="777">
        <f>$E$22*$I$9*'Traffic Data'!AM49*annualizationFactor</f>
        <v>0.72442985471999999</v>
      </c>
      <c r="L361" s="777">
        <f>$E$22*$I$9*'Traffic Data'!AN49*annualizationFactor</f>
        <v>0.72587294208000008</v>
      </c>
      <c r="M361" s="777">
        <f>$E$22*$I$9*'Traffic Data'!AO49*annualizationFactor</f>
        <v>0.72731602943999996</v>
      </c>
      <c r="N361" s="777">
        <f>$E$22*$I$9*'Traffic Data'!AP49*annualizationFactor</f>
        <v>0.72875911679999994</v>
      </c>
      <c r="O361" s="777">
        <f>$E$22*$I$9*'Traffic Data'!AQ49*annualizationFactor</f>
        <v>0.73020220415999992</v>
      </c>
      <c r="P361" s="777">
        <f>$E$22*$I$9*'Traffic Data'!AR49*annualizationFactor</f>
        <v>0.73164529152000002</v>
      </c>
      <c r="Q361" s="777">
        <f>$E$22*$I$9*'Traffic Data'!AS49*annualizationFactor</f>
        <v>0.73308837888</v>
      </c>
      <c r="R361" s="777">
        <f>$E$22*$I$9*'Traffic Data'!AT49*annualizationFactor</f>
        <v>0.73308837888</v>
      </c>
      <c r="S361" s="777">
        <f>$E$22*$I$9*'Traffic Data'!AU49*annualizationFactor</f>
        <v>0.75040181948160001</v>
      </c>
      <c r="T361" s="777">
        <f>$E$22*$I$9*'Traffic Data'!AV49*annualizationFactor</f>
        <v>0.76949976879359983</v>
      </c>
      <c r="U361" s="777">
        <f>$E$22*$I$9*'Traffic Data'!AW49*annualizationFactor</f>
        <v>0.78860952518399985</v>
      </c>
      <c r="V361" s="777">
        <f>$E$22*$I$9*'Traffic Data'!AX49*annualizationFactor</f>
        <v>0.8040148107263998</v>
      </c>
      <c r="W361" s="777">
        <f>$E$22*$I$9*'Traffic Data'!AY49*annualizationFactor</f>
        <v>0.81666314346239988</v>
      </c>
      <c r="X361" s="777">
        <f>$E$22*$I$9*'Traffic Data'!AZ49*annualizationFactor</f>
        <v>0.82931147619839984</v>
      </c>
      <c r="Y361" s="777">
        <f>$E$22*$I$9*'Traffic Data'!BA49*annualizationFactor</f>
        <v>0.84195980893439981</v>
      </c>
      <c r="Z361" s="777">
        <f>$E$22*$I$9*'Traffic Data'!BB49*annualizationFactor</f>
        <v>0.85461109343999997</v>
      </c>
      <c r="AA361" s="777">
        <f>$E$22*$I$9*'Traffic Data'!BC49*annualizationFactor</f>
        <v>0.86725942617599994</v>
      </c>
      <c r="AB361" s="777">
        <f>$E$22*$I$9*'Traffic Data'!BD49*annualizationFactor</f>
        <v>0.87991071068159987</v>
      </c>
      <c r="AC361" s="777">
        <f>$E$22*$I$9*'Traffic Data'!BE49*annualizationFactor</f>
        <v>0.89255904341759984</v>
      </c>
      <c r="AD361" s="777">
        <f>$E$22*$I$9*'Traffic Data'!BF49*annualizationFactor</f>
        <v>0.9052073761535997</v>
      </c>
      <c r="AE361" s="777">
        <f>$E$22*$I$9*'Traffic Data'!BG49*annualizationFactor</f>
        <v>0.91785866065919997</v>
      </c>
      <c r="AF361" s="777">
        <f>$E$22*$I$9*'Traffic Data'!BH49*annualizationFactor</f>
        <v>0.93050699339519982</v>
      </c>
      <c r="AG361" s="777">
        <f>$E$22*$I$9*'Traffic Data'!BI49*annualizationFactor</f>
        <v>0.94315532613119979</v>
      </c>
      <c r="AH361" s="778">
        <f>$E$22*$I$9*'Traffic Data'!BJ49*annualizationFactor</f>
        <v>0.95580661063679995</v>
      </c>
      <c r="AI361" s="40"/>
      <c r="AJ361" s="40"/>
      <c r="AK361" s="40"/>
      <c r="AL361" s="40"/>
      <c r="AM361" s="40"/>
    </row>
    <row r="362" spans="2:39" ht="21.95" customHeight="1" x14ac:dyDescent="0.2">
      <c r="B362" s="1346"/>
      <c r="C362" s="116" t="s">
        <v>341</v>
      </c>
      <c r="D362" s="116" t="s">
        <v>344</v>
      </c>
      <c r="E362" s="116" t="s">
        <v>467</v>
      </c>
      <c r="F362" s="116" t="s">
        <v>43</v>
      </c>
      <c r="G362" s="970"/>
      <c r="H362" s="970"/>
      <c r="I362" s="777">
        <f>$E$22*$I$9*'Traffic Data'!AK50*annualizationFactor</f>
        <v>0.80025753600000005</v>
      </c>
      <c r="J362" s="777">
        <f>$E$22*$I$9*'Traffic Data'!AL50*annualizationFactor</f>
        <v>0.80185805107200003</v>
      </c>
      <c r="K362" s="777">
        <f>$E$22*$I$9*'Traffic Data'!AM50*annualizationFactor</f>
        <v>0.80345856614400002</v>
      </c>
      <c r="L362" s="777">
        <f>$E$22*$I$9*'Traffic Data'!AN50*annualizationFactor</f>
        <v>0.80505908121600001</v>
      </c>
      <c r="M362" s="777">
        <f>$E$22*$I$9*'Traffic Data'!AO50*annualizationFactor</f>
        <v>0.80665959628799988</v>
      </c>
      <c r="N362" s="777">
        <f>$E$22*$I$9*'Traffic Data'!AP50*annualizationFactor</f>
        <v>0.80826011136000009</v>
      </c>
      <c r="O362" s="777">
        <f>$E$22*$I$9*'Traffic Data'!AQ50*annualizationFactor</f>
        <v>0.80986062643200007</v>
      </c>
      <c r="P362" s="777">
        <f>$E$22*$I$9*'Traffic Data'!AR50*annualizationFactor</f>
        <v>0.81146114150399995</v>
      </c>
      <c r="Q362" s="777">
        <f>$E$22*$I$9*'Traffic Data'!AS50*annualizationFactor</f>
        <v>0.81306165657599994</v>
      </c>
      <c r="R362" s="777">
        <f>$E$22*$I$9*'Traffic Data'!AT50*annualizationFactor</f>
        <v>0.81306165657599994</v>
      </c>
      <c r="S362" s="777">
        <f>$E$22*$I$9*'Traffic Data'!AU50*annualizationFactor</f>
        <v>0.81689896533104622</v>
      </c>
      <c r="T362" s="777">
        <f>$E$22*$I$9*'Traffic Data'!AV50*annualizationFactor</f>
        <v>0.83046782739801561</v>
      </c>
      <c r="U362" s="777">
        <f>$E$22*$I$9*'Traffic Data'!AW50*annualizationFactor</f>
        <v>0.84369086740454358</v>
      </c>
      <c r="V362" s="777">
        <f>$E$22*$I$9*'Traffic Data'!AX50*annualizationFactor</f>
        <v>0.8526267831287806</v>
      </c>
      <c r="W362" s="777">
        <f>$E$22*$I$9*'Traffic Data'!AY50*annualizationFactor</f>
        <v>0.85837578402078718</v>
      </c>
      <c r="X362" s="777">
        <f>$E$22*$I$9*'Traffic Data'!AZ50*annualizationFactor</f>
        <v>0.87167015467499498</v>
      </c>
      <c r="Y362" s="777">
        <f>$E$22*$I$9*'Traffic Data'!BA50*annualizationFactor</f>
        <v>0.884964525329203</v>
      </c>
      <c r="Z362" s="777">
        <f>$E$22*$I$9*'Traffic Data'!BB50*annualizationFactor</f>
        <v>0.89826199852032007</v>
      </c>
      <c r="AA362" s="777">
        <f>$E$22*$I$9*'Traffic Data'!BC50*annualizationFactor</f>
        <v>0.91155636917452798</v>
      </c>
      <c r="AB362" s="777">
        <f>$E$22*$I$9*'Traffic Data'!BD50*annualizationFactor</f>
        <v>0.92485384236564483</v>
      </c>
      <c r="AC362" s="777">
        <f>$E$22*$I$9*'Traffic Data'!BE50*annualizationFactor</f>
        <v>0.93814821301985274</v>
      </c>
      <c r="AD362" s="777">
        <f>$E$22*$I$9*'Traffic Data'!BF50*annualizationFactor</f>
        <v>0.95144258367406076</v>
      </c>
      <c r="AE362" s="777">
        <f>$E$22*$I$9*'Traffic Data'!BG50*annualizationFactor</f>
        <v>0.9647400568651775</v>
      </c>
      <c r="AF362" s="777">
        <f>$E$22*$I$9*'Traffic Data'!BH50*annualizationFactor</f>
        <v>0.9780344275193853</v>
      </c>
      <c r="AG362" s="777">
        <f>$E$22*$I$9*'Traffic Data'!BI50*annualizationFactor</f>
        <v>0.99132879817359354</v>
      </c>
      <c r="AH362" s="778">
        <f>$E$22*$I$9*'Traffic Data'!BJ50*annualizationFactor</f>
        <v>1.0046262713647103</v>
      </c>
      <c r="AI362" s="40"/>
      <c r="AJ362" s="40"/>
      <c r="AK362" s="40"/>
      <c r="AL362" s="40"/>
      <c r="AM362" s="40"/>
    </row>
    <row r="363" spans="2:39" ht="21.95" customHeight="1" x14ac:dyDescent="0.2">
      <c r="B363" s="1346"/>
      <c r="C363" s="116" t="s">
        <v>344</v>
      </c>
      <c r="D363" s="116" t="s">
        <v>345</v>
      </c>
      <c r="E363" s="116" t="s">
        <v>467</v>
      </c>
      <c r="F363" s="116" t="s">
        <v>43</v>
      </c>
      <c r="G363" s="970"/>
      <c r="H363" s="970"/>
      <c r="I363" s="777">
        <f>$E$22*$I$9*'Traffic Data'!AK51*annualizationFactor</f>
        <v>0.3279744</v>
      </c>
      <c r="J363" s="777">
        <f>$E$22*$I$9*'Traffic Data'!AL51*annualizationFactor</f>
        <v>0.32863034880000003</v>
      </c>
      <c r="K363" s="777">
        <f>$E$22*$I$9*'Traffic Data'!AM51*annualizationFactor</f>
        <v>0.3292862976</v>
      </c>
      <c r="L363" s="777">
        <f>$E$22*$I$9*'Traffic Data'!AN51*annualizationFactor</f>
        <v>0.32994224640000003</v>
      </c>
      <c r="M363" s="777">
        <f>$E$22*$I$9*'Traffic Data'!AO51*annualizationFactor</f>
        <v>0.3305981952</v>
      </c>
      <c r="N363" s="777">
        <f>$E$22*$I$9*'Traffic Data'!AP51*annualizationFactor</f>
        <v>0.33125414400000003</v>
      </c>
      <c r="O363" s="777">
        <f>$E$22*$I$9*'Traffic Data'!AQ51*annualizationFactor</f>
        <v>0.3319100928</v>
      </c>
      <c r="P363" s="777">
        <f>$E$22*$I$9*'Traffic Data'!AR51*annualizationFactor</f>
        <v>0.33256604159999997</v>
      </c>
      <c r="Q363" s="777">
        <f>$E$22*$I$9*'Traffic Data'!AS51*annualizationFactor</f>
        <v>0.3332219904</v>
      </c>
      <c r="R363" s="777">
        <f>$E$22*$I$9*'Traffic Data'!AT51*annualizationFactor</f>
        <v>0.3332219904</v>
      </c>
      <c r="S363" s="777">
        <f>$E$22*$I$9*'Traffic Data'!AU51*annualizationFactor</f>
        <v>0.33479465792255997</v>
      </c>
      <c r="T363" s="777">
        <f>$E$22*$I$9*'Traffic Data'!AV51*annualizationFactor</f>
        <v>0.34035566696639991</v>
      </c>
      <c r="U363" s="777">
        <f>$E$22*$I$9*'Traffic Data'!AW51*annualizationFactor</f>
        <v>0.34577494565759992</v>
      </c>
      <c r="V363" s="777">
        <f>$E$22*$I$9*'Traffic Data'!AX51*annualizationFactor</f>
        <v>0.34943720620031993</v>
      </c>
      <c r="W363" s="777">
        <f>$E$22*$I$9*'Traffic Data'!AY51*annualizationFactor</f>
        <v>0.35179335410688001</v>
      </c>
      <c r="X363" s="777">
        <f>$E$22*$I$9*'Traffic Data'!AZ51*annualizationFactor</f>
        <v>0.35724186667007995</v>
      </c>
      <c r="Y363" s="777">
        <f>$E$22*$I$9*'Traffic Data'!BA51*annualizationFactor</f>
        <v>0.36269037923327996</v>
      </c>
      <c r="Z363" s="777">
        <f>$E$22*$I$9*'Traffic Data'!BB51*annualizationFactor</f>
        <v>0.36814016332799998</v>
      </c>
      <c r="AA363" s="777">
        <f>$E$22*$I$9*'Traffic Data'!BC51*annualizationFactor</f>
        <v>0.37358867589119998</v>
      </c>
      <c r="AB363" s="777">
        <f>$E$22*$I$9*'Traffic Data'!BD51*annualizationFactor</f>
        <v>0.37903845998592001</v>
      </c>
      <c r="AC363" s="777">
        <f>$E$22*$I$9*'Traffic Data'!BE51*annualizationFactor</f>
        <v>0.38448697254911995</v>
      </c>
      <c r="AD363" s="777">
        <f>$E$22*$I$9*'Traffic Data'!BF51*annualizationFactor</f>
        <v>0.38993548511231996</v>
      </c>
      <c r="AE363" s="777">
        <f>$E$22*$I$9*'Traffic Data'!BG51*annualizationFactor</f>
        <v>0.39538526920703998</v>
      </c>
      <c r="AF363" s="777">
        <f>$E$22*$I$9*'Traffic Data'!BH51*annualizationFactor</f>
        <v>0.40083378177023993</v>
      </c>
      <c r="AG363" s="777">
        <f>$E$22*$I$9*'Traffic Data'!BI51*annualizationFactor</f>
        <v>0.40628229433343999</v>
      </c>
      <c r="AH363" s="778">
        <f>$E$22*$I$9*'Traffic Data'!BJ51*annualizationFactor</f>
        <v>0.41173207842816001</v>
      </c>
      <c r="AI363" s="40"/>
      <c r="AJ363" s="40"/>
      <c r="AK363" s="40"/>
      <c r="AL363" s="40"/>
      <c r="AM363" s="40"/>
    </row>
    <row r="364" spans="2:39" ht="21.95" customHeight="1" x14ac:dyDescent="0.2">
      <c r="B364" s="1346"/>
      <c r="C364" s="116" t="s">
        <v>345</v>
      </c>
      <c r="D364" s="116" t="s">
        <v>323</v>
      </c>
      <c r="E364" s="116" t="s">
        <v>467</v>
      </c>
      <c r="F364" s="116" t="s">
        <v>43</v>
      </c>
      <c r="G364" s="970"/>
      <c r="H364" s="970"/>
      <c r="I364" s="777">
        <f>$E$22*$I$9*'Traffic Data'!AK52*annualizationFactor</f>
        <v>3.95587584</v>
      </c>
      <c r="J364" s="777">
        <f>$E$22*$I$9*'Traffic Data'!AL52*annualizationFactor</f>
        <v>4.0466843827199996</v>
      </c>
      <c r="K364" s="777">
        <f>$E$22*$I$9*'Traffic Data'!AM52*annualizationFactor</f>
        <v>4.1795099781119998</v>
      </c>
      <c r="L364" s="777">
        <f>$E$22*$I$9*'Traffic Data'!AN52*annualizationFactor</f>
        <v>4.3388046213119997</v>
      </c>
      <c r="M364" s="777">
        <f>$E$22*$I$9*'Traffic Data'!AO52*annualizationFactor</f>
        <v>4.4981416488959995</v>
      </c>
      <c r="N364" s="777">
        <f>$E$22*$I$9*'Traffic Data'!AP52*annualizationFactor</f>
        <v>4.6574928046080011</v>
      </c>
      <c r="O364" s="777">
        <f>$E$22*$I$9*'Traffic Data'!AQ52*annualizationFactor</f>
        <v>4.8167874478080011</v>
      </c>
      <c r="P364" s="777">
        <f>$E$22*$I$9*'Traffic Data'!AR52*annualizationFactor</f>
        <v>4.9761668597760007</v>
      </c>
      <c r="Q364" s="777">
        <f>$E$22*$I$9*'Traffic Data'!AS52*annualizationFactor</f>
        <v>5.1132803420159991</v>
      </c>
      <c r="R364" s="777">
        <f>$E$22*$I$9*'Traffic Data'!AT52*annualizationFactor</f>
        <v>5.2503867601919998</v>
      </c>
      <c r="S364" s="777">
        <f>$E$22*$I$9*'Traffic Data'!AU52*annualizationFactor</f>
        <v>5.3875002424319991</v>
      </c>
      <c r="T364" s="777">
        <f>$E$22*$I$9*'Traffic Data'!AV52*annualizationFactor</f>
        <v>5.5246137246719984</v>
      </c>
      <c r="U364" s="777">
        <f>$E$22*$I$9*'Traffic Data'!AW52*annualizationFactor</f>
        <v>5.6618119756799992</v>
      </c>
      <c r="V364" s="777">
        <f>$E$22*$I$9*'Traffic Data'!AX52*annualizationFactor</f>
        <v>5.7724140257279988</v>
      </c>
      <c r="W364" s="777">
        <f>$E$22*$I$9*'Traffic Data'!AY52*annualizationFactor</f>
        <v>5.8632225684479984</v>
      </c>
      <c r="X364" s="777">
        <f>$E$22*$I$9*'Traffic Data'!AZ52*annualizationFactor</f>
        <v>5.9540311111679989</v>
      </c>
      <c r="Y364" s="777">
        <f>$E$22*$I$9*'Traffic Data'!BA52*annualizationFactor</f>
        <v>6.0448396538879976</v>
      </c>
      <c r="Z364" s="777">
        <f>$E$22*$I$9*'Traffic Data'!BB52*annualizationFactor</f>
        <v>6.1356693887999976</v>
      </c>
      <c r="AA364" s="777">
        <f>$E$22*$I$9*'Traffic Data'!BC52*annualizationFactor</f>
        <v>6.2264779315199981</v>
      </c>
      <c r="AB364" s="777">
        <f>$E$22*$I$9*'Traffic Data'!BD52*annualizationFactor</f>
        <v>6.317307666431998</v>
      </c>
      <c r="AC364" s="777">
        <f>$E$22*$I$9*'Traffic Data'!BE52*annualizationFactor</f>
        <v>6.4081162091519985</v>
      </c>
      <c r="AD364" s="777">
        <f>$E$22*$I$9*'Traffic Data'!BF52*annualizationFactor</f>
        <v>6.4989247518719981</v>
      </c>
      <c r="AE364" s="777">
        <f>$E$22*$I$9*'Traffic Data'!BG52*annualizationFactor</f>
        <v>6.589754486783999</v>
      </c>
      <c r="AF364" s="777">
        <f>$E$22*$I$9*'Traffic Data'!BH52*annualizationFactor</f>
        <v>6.6805630295039977</v>
      </c>
      <c r="AG364" s="777">
        <f>$E$22*$I$9*'Traffic Data'!BI52*annualizationFactor</f>
        <v>6.7713715722239991</v>
      </c>
      <c r="AH364" s="778">
        <f>$E$22*$I$9*'Traffic Data'!BJ52*annualizationFactor</f>
        <v>6.8622013071359991</v>
      </c>
      <c r="AI364" s="40"/>
      <c r="AJ364" s="40"/>
      <c r="AK364" s="40"/>
      <c r="AL364" s="40"/>
      <c r="AM364" s="40"/>
    </row>
    <row r="365" spans="2:39" ht="21.95" customHeight="1" x14ac:dyDescent="0.2">
      <c r="B365" s="1346"/>
      <c r="C365" s="116" t="s">
        <v>323</v>
      </c>
      <c r="D365" s="116" t="s">
        <v>347</v>
      </c>
      <c r="E365" s="116" t="s">
        <v>467</v>
      </c>
      <c r="F365" s="116" t="s">
        <v>43</v>
      </c>
      <c r="G365" s="970"/>
      <c r="H365" s="970"/>
      <c r="I365" s="777">
        <f>$E$22*$I$9*'Traffic Data'!AK53*annualizationFactor</f>
        <v>0.70640639999999999</v>
      </c>
      <c r="J365" s="777">
        <f>$E$22*$I$9*'Traffic Data'!AL53*annualizationFactor</f>
        <v>0.72201545855999993</v>
      </c>
      <c r="K365" s="777">
        <f>$E$22*$I$9*'Traffic Data'!AM53*annualizationFactor</f>
        <v>0.74512630079999997</v>
      </c>
      <c r="L365" s="777">
        <f>$E$22*$I$9*'Traffic Data'!AN53*annualizationFactor</f>
        <v>0.77445604224000009</v>
      </c>
      <c r="M365" s="777">
        <f>$E$22*$I$9*'Traffic Data'!AO53*annualizationFactor</f>
        <v>0.80379461376000017</v>
      </c>
      <c r="N365" s="777">
        <f>$E$22*$I$9*'Traffic Data'!AP53*annualizationFactor</f>
        <v>0.83313141926400003</v>
      </c>
      <c r="O365" s="777">
        <f>$E$22*$I$9*'Traffic Data'!AQ53*annualizationFactor</f>
        <v>0.86246116070399981</v>
      </c>
      <c r="P365" s="777">
        <f>$E$22*$I$9*'Traffic Data'!AR53*annualizationFactor</f>
        <v>0.89180679628799986</v>
      </c>
      <c r="Q365" s="777">
        <f>$E$22*$I$9*'Traffic Data'!AS53*annualizationFactor</f>
        <v>0.91788328396800001</v>
      </c>
      <c r="R365" s="777">
        <f>$E$22*$I$9*'Traffic Data'!AT53*annualizationFactor</f>
        <v>0.94396229452799996</v>
      </c>
      <c r="S365" s="777">
        <f>$E$22*$I$9*'Traffic Data'!AU53*annualizationFactor</f>
        <v>0.97003878220799988</v>
      </c>
      <c r="T365" s="777">
        <f>$E$22*$I$9*'Traffic Data'!AV53*annualizationFactor</f>
        <v>0.99611526988800003</v>
      </c>
      <c r="U365" s="777">
        <f>$E$22*$I$9*'Traffic Data'!AW53*annualizationFactor</f>
        <v>1.022203867392</v>
      </c>
      <c r="V365" s="777">
        <f>$E$22*$I$9*'Traffic Data'!AX53*annualizationFactor</f>
        <v>1.0420543918079999</v>
      </c>
      <c r="W365" s="777">
        <f>$E$22*$I$9*'Traffic Data'!AY53*annualizationFactor</f>
        <v>1.057663450368</v>
      </c>
      <c r="X365" s="777">
        <f>$E$22*$I$9*'Traffic Data'!AZ53*annualizationFactor</f>
        <v>1.0732725089280002</v>
      </c>
      <c r="Y365" s="777">
        <f>$E$22*$I$9*'Traffic Data'!BA53*annualizationFactor</f>
        <v>1.0888815674880001</v>
      </c>
      <c r="Z365" s="777">
        <f>$E$22*$I$9*'Traffic Data'!BB53*annualizationFactor</f>
        <v>1.1044931489280001</v>
      </c>
      <c r="AA365" s="777">
        <f>$E$22*$I$9*'Traffic Data'!BC53*annualizationFactor</f>
        <v>1.120102207488</v>
      </c>
      <c r="AB365" s="777">
        <f>$E$22*$I$9*'Traffic Data'!BD53*annualizationFactor</f>
        <v>1.135713788928</v>
      </c>
      <c r="AC365" s="777">
        <f>$E$22*$I$9*'Traffic Data'!BE53*annualizationFactor</f>
        <v>1.1513228474880002</v>
      </c>
      <c r="AD365" s="777">
        <f>$E$22*$I$9*'Traffic Data'!BF53*annualizationFactor</f>
        <v>1.1669319060480001</v>
      </c>
      <c r="AE365" s="777">
        <f>$E$22*$I$9*'Traffic Data'!BG53*annualizationFactor</f>
        <v>1.1825434874880001</v>
      </c>
      <c r="AF365" s="777">
        <f>$E$22*$I$9*'Traffic Data'!BH53*annualizationFactor</f>
        <v>1.1981525460480003</v>
      </c>
      <c r="AG365" s="777">
        <f>$E$22*$I$9*'Traffic Data'!BI53*annualizationFactor</f>
        <v>1.2137616046080002</v>
      </c>
      <c r="AH365" s="778">
        <f>$E$22*$I$9*'Traffic Data'!BJ53*annualizationFactor</f>
        <v>1.2293731860480002</v>
      </c>
      <c r="AI365" s="40"/>
      <c r="AJ365" s="40"/>
      <c r="AK365" s="40"/>
      <c r="AL365" s="40"/>
      <c r="AM365" s="40"/>
    </row>
    <row r="366" spans="2:39" ht="21.95" customHeight="1" x14ac:dyDescent="0.2">
      <c r="B366" s="1346"/>
      <c r="C366" s="116" t="s">
        <v>347</v>
      </c>
      <c r="D366" s="116" t="s">
        <v>348</v>
      </c>
      <c r="E366" s="116" t="s">
        <v>467</v>
      </c>
      <c r="F366" s="116" t="s">
        <v>43</v>
      </c>
      <c r="G366" s="970"/>
      <c r="H366" s="970"/>
      <c r="I366" s="777">
        <f>$E$22*$I$9*'Traffic Data'!AK54*annualizationFactor</f>
        <v>0.49448448</v>
      </c>
      <c r="J366" s="777">
        <f>$E$22*$I$9*'Traffic Data'!AL54*annualizationFactor</f>
        <v>0.50541082099200008</v>
      </c>
      <c r="K366" s="777">
        <f>$E$22*$I$9*'Traffic Data'!AM54*annualizationFactor</f>
        <v>0.52158841055999994</v>
      </c>
      <c r="L366" s="777">
        <f>$E$22*$I$9*'Traffic Data'!AN54*annualizationFactor</f>
        <v>0.54211922956799985</v>
      </c>
      <c r="M366" s="777">
        <f>$E$22*$I$9*'Traffic Data'!AO54*annualizationFactor</f>
        <v>0.56265622963200013</v>
      </c>
      <c r="N366" s="777">
        <f>$E$22*$I$9*'Traffic Data'!AP54*annualizationFactor</f>
        <v>0.5831919934848</v>
      </c>
      <c r="O366" s="777">
        <f>$E$22*$I$9*'Traffic Data'!AQ54*annualizationFactor</f>
        <v>0.60372281249279991</v>
      </c>
      <c r="P366" s="777">
        <f>$E$22*$I$9*'Traffic Data'!AR54*annualizationFactor</f>
        <v>0.62426475740159981</v>
      </c>
      <c r="Q366" s="777">
        <f>$E$22*$I$9*'Traffic Data'!AS54*annualizationFactor</f>
        <v>0.64251829877759992</v>
      </c>
      <c r="R366" s="777">
        <f>$E$22*$I$9*'Traffic Data'!AT54*annualizationFactor</f>
        <v>0.6607736061695999</v>
      </c>
      <c r="S366" s="777">
        <f>$E$22*$I$9*'Traffic Data'!AU54*annualizationFactor</f>
        <v>0.6790271475455999</v>
      </c>
      <c r="T366" s="777">
        <f>$E$22*$I$9*'Traffic Data'!AV54*annualizationFactor</f>
        <v>0.6972806889216</v>
      </c>
      <c r="U366" s="777">
        <f>$E$22*$I$9*'Traffic Data'!AW54*annualizationFactor</f>
        <v>0.71554270717439994</v>
      </c>
      <c r="V366" s="777">
        <f>$E$22*$I$9*'Traffic Data'!AX54*annualizationFactor</f>
        <v>0.72943807426560003</v>
      </c>
      <c r="W366" s="777">
        <f>$E$22*$I$9*'Traffic Data'!AY54*annualizationFactor</f>
        <v>0.74036441525759999</v>
      </c>
      <c r="X366" s="777">
        <f>$E$22*$I$9*'Traffic Data'!AZ54*annualizationFactor</f>
        <v>0.75129075624959996</v>
      </c>
      <c r="Y366" s="777">
        <f>$E$22*$I$9*'Traffic Data'!BA54*annualizationFactor</f>
        <v>0.76221709724160014</v>
      </c>
      <c r="Z366" s="777">
        <f>$E$22*$I$9*'Traffic Data'!BB54*annualizationFactor</f>
        <v>0.77314520424959998</v>
      </c>
      <c r="AA366" s="777">
        <f>$E$22*$I$9*'Traffic Data'!BC54*annualizationFactor</f>
        <v>0.78407154524159983</v>
      </c>
      <c r="AB366" s="777">
        <f>$E$22*$I$9*'Traffic Data'!BD54*annualizationFactor</f>
        <v>0.79499965224960001</v>
      </c>
      <c r="AC366" s="777">
        <f>$E$22*$I$9*'Traffic Data'!BE54*annualizationFactor</f>
        <v>0.80592599324160008</v>
      </c>
      <c r="AD366" s="777">
        <f>$E$22*$I$9*'Traffic Data'!BF54*annualizationFactor</f>
        <v>0.81685233423360004</v>
      </c>
      <c r="AE366" s="777">
        <f>$E$22*$I$9*'Traffic Data'!BG54*annualizationFactor</f>
        <v>0.82778044124159988</v>
      </c>
      <c r="AF366" s="777">
        <f>$E$22*$I$9*'Traffic Data'!BH54*annualizationFactor</f>
        <v>0.83870678223360007</v>
      </c>
      <c r="AG366" s="777">
        <f>$E$22*$I$9*'Traffic Data'!BI54*annualizationFactor</f>
        <v>0.84963312322560025</v>
      </c>
      <c r="AH366" s="778">
        <f>$E$22*$I$9*'Traffic Data'!BJ54*annualizationFactor</f>
        <v>0.86056123023360009</v>
      </c>
      <c r="AI366" s="40"/>
      <c r="AJ366" s="40"/>
      <c r="AK366" s="40"/>
      <c r="AL366" s="40"/>
      <c r="AM366" s="40"/>
    </row>
    <row r="367" spans="2:39" ht="21.95" customHeight="1" x14ac:dyDescent="0.2">
      <c r="B367" s="1346"/>
      <c r="C367" s="254" t="s">
        <v>348</v>
      </c>
      <c r="D367" s="254" t="s">
        <v>349</v>
      </c>
      <c r="E367" s="254" t="s">
        <v>467</v>
      </c>
      <c r="F367" s="254" t="s">
        <v>43</v>
      </c>
      <c r="G367" s="779"/>
      <c r="H367" s="779"/>
      <c r="I367" s="777">
        <f>$E$22*$I$9*'Traffic Data'!AK55*annualizationFactor</f>
        <v>0.80732159999999997</v>
      </c>
      <c r="J367" s="777">
        <f>$E$22*$I$9*'Traffic Data'!AL55*annualizationFactor</f>
        <v>0.82660523327999991</v>
      </c>
      <c r="K367" s="777">
        <f>$E$22*$I$9*'Traffic Data'!AM55*annualizationFactor</f>
        <v>0.85339191167999995</v>
      </c>
      <c r="L367" s="777">
        <f>$E$22*$I$9*'Traffic Data'!AN55*annualizationFactor</f>
        <v>0.88896704255999992</v>
      </c>
      <c r="M367" s="777">
        <f>$E$22*$I$9*'Traffic Data'!AO55*annualizationFactor</f>
        <v>0.92455226496000009</v>
      </c>
      <c r="N367" s="777">
        <f>$E$22*$I$9*'Traffic Data'!AP55*annualizationFactor</f>
        <v>0.96014001024000006</v>
      </c>
      <c r="O367" s="777">
        <f>$E$22*$I$9*'Traffic Data'!AQ55*annualizationFactor</f>
        <v>0.99571514112000004</v>
      </c>
      <c r="P367" s="777">
        <f>$E$22*$I$9*'Traffic Data'!AR55*annualizationFactor</f>
        <v>1.0313104550400001</v>
      </c>
      <c r="Q367" s="777">
        <f>$E$22*$I$9*'Traffic Data'!AS55*annualizationFactor</f>
        <v>1.0652835571200001</v>
      </c>
      <c r="R367" s="777">
        <f>$E$22*$I$9*'Traffic Data'!AT55*annualizationFactor</f>
        <v>1.0992579206399999</v>
      </c>
      <c r="S367" s="777">
        <f>$E$22*$I$9*'Traffic Data'!AU55*annualizationFactor</f>
        <v>1.1332310227199998</v>
      </c>
      <c r="T367" s="777">
        <f>$E$22*$I$9*'Traffic Data'!AV55*annualizationFactor</f>
        <v>1.1672041248</v>
      </c>
      <c r="U367" s="777">
        <f>$E$22*$I$9*'Traffic Data'!AW55*annualizationFactor</f>
        <v>1.20119740992</v>
      </c>
      <c r="V367" s="777">
        <f>$E$22*$I$9*'Traffic Data'!AX55*annualizationFactor</f>
        <v>1.226371968</v>
      </c>
      <c r="W367" s="777">
        <f>$E$22*$I$9*'Traffic Data'!AY55*annualizationFactor</f>
        <v>1.24565560128</v>
      </c>
      <c r="X367" s="777">
        <f>$E$22*$I$9*'Traffic Data'!AZ55*annualizationFactor</f>
        <v>1.2649392345599999</v>
      </c>
      <c r="Y367" s="777">
        <f>$E$22*$I$9*'Traffic Data'!BA55*annualizationFactor</f>
        <v>1.2842228678399998</v>
      </c>
      <c r="Z367" s="777">
        <f>$E$22*$I$9*'Traffic Data'!BB55*annualizationFactor</f>
        <v>1.30351028544</v>
      </c>
      <c r="AA367" s="777">
        <f>$E$22*$I$9*'Traffic Data'!BC55*annualizationFactor</f>
        <v>1.3227939187199997</v>
      </c>
      <c r="AB367" s="777">
        <f>$E$22*$I$9*'Traffic Data'!BD55*annualizationFactor</f>
        <v>1.3420813363199999</v>
      </c>
      <c r="AC367" s="777">
        <f>$E$22*$I$9*'Traffic Data'!BE55*annualizationFactor</f>
        <v>1.3613649696000001</v>
      </c>
      <c r="AD367" s="777">
        <f>$E$22*$I$9*'Traffic Data'!BF55*annualizationFactor</f>
        <v>1.3806486028799998</v>
      </c>
      <c r="AE367" s="777">
        <f>$E$22*$I$9*'Traffic Data'!BG55*annualizationFactor</f>
        <v>1.39993602048</v>
      </c>
      <c r="AF367" s="777">
        <f>$E$22*$I$9*'Traffic Data'!BH55*annualizationFactor</f>
        <v>1.4192196537599999</v>
      </c>
      <c r="AG367" s="777">
        <f>$E$22*$I$9*'Traffic Data'!BI55*annualizationFactor</f>
        <v>1.4385032870399999</v>
      </c>
      <c r="AH367" s="778">
        <f>$E$22*$I$9*'Traffic Data'!BJ55*annualizationFactor</f>
        <v>1.4577907046399998</v>
      </c>
      <c r="AI367" s="40"/>
      <c r="AJ367" s="40"/>
      <c r="AK367" s="40"/>
      <c r="AL367" s="40"/>
      <c r="AM367" s="40"/>
    </row>
    <row r="368" spans="2:39" ht="21.95" customHeight="1" x14ac:dyDescent="0.2">
      <c r="B368" s="492" t="s">
        <v>288</v>
      </c>
      <c r="C368" s="116" t="s">
        <v>323</v>
      </c>
      <c r="D368" s="116" t="s">
        <v>348</v>
      </c>
      <c r="E368" s="116" t="s">
        <v>467</v>
      </c>
      <c r="F368" s="116" t="s">
        <v>43</v>
      </c>
      <c r="G368" s="970"/>
      <c r="H368" s="970"/>
      <c r="I368" s="775">
        <f>$E$22*$J$9*'Traffic Data'!AK56*annualizationFactor</f>
        <v>0.1009152</v>
      </c>
      <c r="J368" s="775">
        <f>$E$22*$J$9*'Traffic Data'!AL56*annualizationFactor</f>
        <v>0.10712036352</v>
      </c>
      <c r="K368" s="775">
        <f>$E$22*$J$9*'Traffic Data'!AM56*annualizationFactor</f>
        <v>0.11533205760000001</v>
      </c>
      <c r="L368" s="775">
        <f>$E$22*$J$9*'Traffic Data'!AN56*annualizationFactor</f>
        <v>0.12624491519999997</v>
      </c>
      <c r="M368" s="775">
        <f>$E$22*$J$9*'Traffic Data'!AO56*annualizationFactor</f>
        <v>0.13716113663999999</v>
      </c>
      <c r="N368" s="775">
        <f>$E$22*$J$9*'Traffic Data'!AP56*annualizationFactor</f>
        <v>0.14810090496000003</v>
      </c>
      <c r="O368" s="775">
        <f>$E$22*$J$9*'Traffic Data'!AQ56*annualizationFactor</f>
        <v>0.15901376255999997</v>
      </c>
      <c r="P368" s="775">
        <f>$E$22*$J$9*'Traffic Data'!AR56*annualizationFactor</f>
        <v>0.16993839359999999</v>
      </c>
      <c r="Q368" s="775">
        <f>$E$22*$J$9*'Traffic Data'!AS56*annualizationFactor</f>
        <v>0.17989984511999998</v>
      </c>
      <c r="R368" s="775">
        <f>$E$22*$J$9*'Traffic Data'!AT56*annualizationFactor</f>
        <v>0.18985288704000003</v>
      </c>
      <c r="S368" s="775">
        <f>$E$22*$J$9*'Traffic Data'!AU56*annualizationFactor</f>
        <v>0.19981489919999998</v>
      </c>
      <c r="T368" s="775">
        <f>$E$22*$J$9*'Traffic Data'!AV56*annualizationFactor</f>
        <v>0.20977635071999998</v>
      </c>
      <c r="U368" s="775">
        <f>$E$22*$J$9*'Traffic Data'!AW56*annualizationFactor</f>
        <v>0.21977312255999998</v>
      </c>
      <c r="V368" s="775">
        <f>$E$22*$J$9*'Traffic Data'!AX56*annualizationFactor</f>
        <v>0.22702556159999998</v>
      </c>
      <c r="W368" s="775">
        <f>$E$22*$J$9*'Traffic Data'!AY56*annualizationFactor</f>
        <v>0.23323072512000001</v>
      </c>
      <c r="X368" s="775">
        <f>$E$22*$J$9*'Traffic Data'!AZ56*annualizationFactor</f>
        <v>0.23943588863999996</v>
      </c>
      <c r="Y368" s="775">
        <f>$E$22*$J$9*'Traffic Data'!BA56*annualizationFactor</f>
        <v>0.24564105215999998</v>
      </c>
      <c r="Z368" s="775">
        <f>$E$22*$J$9*'Traffic Data'!BB56*annualizationFactor</f>
        <v>0.25185294335999997</v>
      </c>
      <c r="AA368" s="775">
        <f>$E$22*$J$9*'Traffic Data'!BC56*annualizationFactor</f>
        <v>0.25805810687999997</v>
      </c>
      <c r="AB368" s="775">
        <f>$E$22*$J$9*'Traffic Data'!BD56*annualizationFactor</f>
        <v>0.26427840767999999</v>
      </c>
      <c r="AC368" s="775">
        <f>$E$22*$J$9*'Traffic Data'!BE56*annualizationFactor</f>
        <v>0.27048357119999994</v>
      </c>
      <c r="AD368" s="775">
        <f>$E$22*$J$9*'Traffic Data'!BF56*annualizationFactor</f>
        <v>0.27668873472</v>
      </c>
      <c r="AE368" s="775">
        <f>$E$22*$J$9*'Traffic Data'!BG56*annualizationFactor</f>
        <v>0.28290062591999993</v>
      </c>
      <c r="AF368" s="775">
        <f>$E$22*$J$9*'Traffic Data'!BH56*annualizationFactor</f>
        <v>0.28910578943999998</v>
      </c>
      <c r="AG368" s="775">
        <f>$E$22*$J$9*'Traffic Data'!BI56*annualizationFactor</f>
        <v>0.29531095295999993</v>
      </c>
      <c r="AH368" s="776">
        <f>$E$22*$J$9*'Traffic Data'!BJ56*annualizationFactor</f>
        <v>0.30153125375999995</v>
      </c>
      <c r="AI368" s="40"/>
      <c r="AJ368" s="40"/>
      <c r="AK368" s="40"/>
      <c r="AL368" s="40"/>
      <c r="AM368" s="40"/>
    </row>
    <row r="369" spans="2:39" ht="21.95" customHeight="1" x14ac:dyDescent="0.2">
      <c r="B369" s="782" t="s">
        <v>340</v>
      </c>
      <c r="C369" s="277" t="s">
        <v>335</v>
      </c>
      <c r="D369" s="277" t="s">
        <v>323</v>
      </c>
      <c r="E369" s="277" t="s">
        <v>467</v>
      </c>
      <c r="F369" s="277" t="s">
        <v>43</v>
      </c>
      <c r="G369" s="780"/>
      <c r="H369" s="780"/>
      <c r="I369" s="775">
        <f>$E$22*$K$9*'Traffic Data'!AK57*annualizationFactor</f>
        <v>0</v>
      </c>
      <c r="J369" s="775">
        <f>$E$22*$K$9*'Traffic Data'!AL57*annualizationFactor</f>
        <v>0</v>
      </c>
      <c r="K369" s="775">
        <f>$E$22*$K$9*'Traffic Data'!AM57*annualizationFactor</f>
        <v>0</v>
      </c>
      <c r="L369" s="775">
        <f>$E$22*$K$9*'Traffic Data'!AN57*annualizationFactor</f>
        <v>0</v>
      </c>
      <c r="M369" s="775">
        <f>$E$22*$K$9*'Traffic Data'!AO57*annualizationFactor</f>
        <v>0</v>
      </c>
      <c r="N369" s="775">
        <f>$E$22*$K$9*'Traffic Data'!AP57*annualizationFactor</f>
        <v>0</v>
      </c>
      <c r="O369" s="775">
        <f>$E$22*$K$9*'Traffic Data'!AQ57*annualizationFactor</f>
        <v>0</v>
      </c>
      <c r="P369" s="775">
        <f>$E$22*$K$9*'Traffic Data'!AR57*annualizationFactor</f>
        <v>0</v>
      </c>
      <c r="Q369" s="775">
        <f>$E$22*$K$9*'Traffic Data'!AS57*annualizationFactor</f>
        <v>0</v>
      </c>
      <c r="R369" s="775">
        <f>$E$22*$K$9*'Traffic Data'!AT57*annualizationFactor</f>
        <v>0</v>
      </c>
      <c r="S369" s="775">
        <f>$E$22*$K$9*'Traffic Data'!AU57*annualizationFactor</f>
        <v>0</v>
      </c>
      <c r="T369" s="775">
        <f>$E$22*$K$9*'Traffic Data'!AV57*annualizationFactor</f>
        <v>0</v>
      </c>
      <c r="U369" s="775">
        <f>$E$22*$K$9*'Traffic Data'!AW57*annualizationFactor</f>
        <v>0</v>
      </c>
      <c r="V369" s="775">
        <f>$E$22*$K$9*'Traffic Data'!AX57*annualizationFactor</f>
        <v>0</v>
      </c>
      <c r="W369" s="775">
        <f>$E$22*$K$9*'Traffic Data'!AY57*annualizationFactor</f>
        <v>0</v>
      </c>
      <c r="X369" s="775">
        <f>$E$22*$K$9*'Traffic Data'!AZ57*annualizationFactor</f>
        <v>0</v>
      </c>
      <c r="Y369" s="775">
        <f>$E$22*$K$9*'Traffic Data'!BA57*annualizationFactor</f>
        <v>0</v>
      </c>
      <c r="Z369" s="775">
        <f>$E$22*$K$9*'Traffic Data'!BB57*annualizationFactor</f>
        <v>0</v>
      </c>
      <c r="AA369" s="775">
        <f>$E$22*$K$9*'Traffic Data'!BC57*annualizationFactor</f>
        <v>0</v>
      </c>
      <c r="AB369" s="775">
        <f>$E$22*$K$9*'Traffic Data'!BD57*annualizationFactor</f>
        <v>0</v>
      </c>
      <c r="AC369" s="775">
        <f>$E$22*$K$9*'Traffic Data'!BE57*annualizationFactor</f>
        <v>0</v>
      </c>
      <c r="AD369" s="775">
        <f>$E$22*$K$9*'Traffic Data'!BF57*annualizationFactor</f>
        <v>0</v>
      </c>
      <c r="AE369" s="775">
        <f>$E$22*$K$9*'Traffic Data'!BG57*annualizationFactor</f>
        <v>0</v>
      </c>
      <c r="AF369" s="775">
        <f>$E$22*$K$9*'Traffic Data'!BH57*annualizationFactor</f>
        <v>0</v>
      </c>
      <c r="AG369" s="775">
        <f>$E$22*$K$9*'Traffic Data'!BI57*annualizationFactor</f>
        <v>0</v>
      </c>
      <c r="AH369" s="776">
        <f>$E$22*$K$9*'Traffic Data'!BJ57*annualizationFactor</f>
        <v>0</v>
      </c>
      <c r="AI369" s="40"/>
      <c r="AJ369" s="40"/>
      <c r="AK369" s="40"/>
      <c r="AL369" s="40"/>
      <c r="AM369" s="40"/>
    </row>
    <row r="370" spans="2:39" ht="21.95" customHeight="1" x14ac:dyDescent="0.2">
      <c r="B370" s="782" t="s">
        <v>357</v>
      </c>
      <c r="C370" s="277" t="s">
        <v>338</v>
      </c>
      <c r="D370" s="277" t="s">
        <v>323</v>
      </c>
      <c r="E370" s="116" t="s">
        <v>467</v>
      </c>
      <c r="F370" s="116" t="s">
        <v>43</v>
      </c>
      <c r="G370" s="970"/>
      <c r="H370" s="970"/>
      <c r="I370" s="775">
        <f>$E$22*$L$9*'Traffic Data'!AK58*annualizationFactor</f>
        <v>0.18715182545454545</v>
      </c>
      <c r="J370" s="775">
        <f>$E$22*$L$9*'Traffic Data'!AL58*annualizationFactor</f>
        <v>0.18972152399127271</v>
      </c>
      <c r="K370" s="775">
        <f>$E$22*$L$9*'Traffic Data'!AM58*annualizationFactor</f>
        <v>0.19416326064872727</v>
      </c>
      <c r="L370" s="775">
        <f>$E$22*$L$9*'Traffic Data'!AN58*annualizationFactor</f>
        <v>0.20026129096145456</v>
      </c>
      <c r="M370" s="775">
        <f>$E$22*$L$9*'Traffic Data'!AO58*annualizationFactor</f>
        <v>0.20636192060509093</v>
      </c>
      <c r="N370" s="775">
        <f>$E$22*$L$9*'Traffic Data'!AP58*annualizationFactor</f>
        <v>0.21247138797381815</v>
      </c>
      <c r="O370" s="775">
        <f>$E$22*$L$9*'Traffic Data'!AQ58*annualizationFactor</f>
        <v>0.21856941828654547</v>
      </c>
      <c r="P370" s="775">
        <f>$E$22*$L$9*'Traffic Data'!AR58*annualizationFactor</f>
        <v>0.22468876311272729</v>
      </c>
      <c r="Q370" s="775">
        <f>$E$22*$L$9*'Traffic Data'!AS58*annualizationFactor</f>
        <v>0.2289324307549091</v>
      </c>
      <c r="R370" s="775">
        <f>$E$22*$L$9*'Traffic Data'!AT58*annualizationFactor</f>
        <v>0.23317661826327268</v>
      </c>
      <c r="S370" s="775">
        <f>$E$22*$L$9*'Traffic Data'!AU58*annualizationFactor</f>
        <v>0.2374213256378182</v>
      </c>
      <c r="T370" s="775">
        <f>$E$22*$L$9*'Traffic Data'!AV58*annualizationFactor</f>
        <v>0.24166499328000005</v>
      </c>
      <c r="U370" s="775">
        <f>$E$22*$L$9*'Traffic Data'!AW58*annualizationFactor</f>
        <v>0.24593881316072724</v>
      </c>
      <c r="V370" s="775">
        <f>$E$22*$L$9*'Traffic Data'!AX58*annualizationFactor</f>
        <v>0.2485085116974545</v>
      </c>
      <c r="W370" s="775">
        <f>$E$22*$L$9*'Traffic Data'!AY58*annualizationFactor</f>
        <v>0.25107821023418175</v>
      </c>
      <c r="X370" s="775">
        <f>$E$22*$L$9*'Traffic Data'!AZ58*annualizationFactor</f>
        <v>0.25364790877090909</v>
      </c>
      <c r="Y370" s="775">
        <f>$E$22*$L$9*'Traffic Data'!BA58*annualizationFactor</f>
        <v>0.25621760730763632</v>
      </c>
      <c r="Z370" s="775">
        <f>$E$22*$L$9*'Traffic Data'!BB58*annualizationFactor</f>
        <v>0.25880498129454549</v>
      </c>
      <c r="AA370" s="775">
        <f>$E$22*$L$9*'Traffic Data'!BC58*annualizationFactor</f>
        <v>0.26137467983127272</v>
      </c>
      <c r="AB370" s="775">
        <f>$E$22*$L$9*'Traffic Data'!BD58*annualizationFactor</f>
        <v>0.26395425582545456</v>
      </c>
      <c r="AC370" s="775">
        <f>$E$22*$L$9*'Traffic Data'!BE58*annualizationFactor</f>
        <v>0.26652395436218179</v>
      </c>
      <c r="AD370" s="775">
        <f>$E$22*$L$9*'Traffic Data'!BF58*annualizationFactor</f>
        <v>0.26909365289890913</v>
      </c>
      <c r="AE370" s="775">
        <f>$E$22*$L$9*'Traffic Data'!BG58*annualizationFactor</f>
        <v>0.27168102688581819</v>
      </c>
      <c r="AF370" s="775">
        <f>$E$22*$L$9*'Traffic Data'!BH58*annualizationFactor</f>
        <v>0.27425072542254547</v>
      </c>
      <c r="AG370" s="775">
        <f>$E$22*$L$9*'Traffic Data'!BI58*annualizationFactor</f>
        <v>0.27682042395927275</v>
      </c>
      <c r="AH370" s="776">
        <f>$E$22*$L$9*'Traffic Data'!BJ58*annualizationFactor</f>
        <v>0.27939999995345455</v>
      </c>
      <c r="AI370" s="40"/>
      <c r="AJ370" s="40"/>
      <c r="AK370" s="40"/>
      <c r="AL370" s="40"/>
      <c r="AM370" s="40"/>
    </row>
    <row r="371" spans="2:39" ht="21.95" customHeight="1" x14ac:dyDescent="0.2">
      <c r="B371" s="492" t="s">
        <v>338</v>
      </c>
      <c r="C371" s="116" t="s">
        <v>282</v>
      </c>
      <c r="D371" s="116" t="s">
        <v>357</v>
      </c>
      <c r="E371" s="220" t="s">
        <v>467</v>
      </c>
      <c r="F371" s="220" t="s">
        <v>43</v>
      </c>
      <c r="G371" s="775"/>
      <c r="H371" s="775"/>
      <c r="I371" s="775">
        <f>$E$22*$M$9*'Traffic Data'!AK59*annualizationFactor</f>
        <v>0.67213090909090911</v>
      </c>
      <c r="J371" s="775">
        <f>$E$22*$M$9*'Traffic Data'!AL59*annualizationFactor</f>
        <v>0.69150642680727292</v>
      </c>
      <c r="K371" s="775">
        <f>$E$22*$M$9*'Traffic Data'!AM59*annualizationFactor</f>
        <v>0.71247825543272736</v>
      </c>
      <c r="L371" s="775">
        <f>$E$22*$M$9*'Traffic Data'!AN59*annualizationFactor</f>
        <v>0.7403011144145456</v>
      </c>
      <c r="M371" s="775">
        <f>$E$22*$M$9*'Traffic Data'!AO59*annualizationFactor</f>
        <v>0.76812867831272724</v>
      </c>
      <c r="N371" s="775">
        <f>$E$22*$M$9*'Traffic Data'!AP59*annualizationFactor</f>
        <v>0.79596766843636368</v>
      </c>
      <c r="O371" s="775">
        <f>$E$22*$M$9*'Traffic Data'!AQ59*annualizationFactor</f>
        <v>0.82379052741818193</v>
      </c>
      <c r="P371" s="775">
        <f>$E$22*$M$9*'Traffic Data'!AR59*annualizationFactor</f>
        <v>0.85162077984000017</v>
      </c>
      <c r="Q371" s="775">
        <f>$E$22*$M$9*'Traffic Data'!AS59*annualizationFactor</f>
        <v>0.88224440832000017</v>
      </c>
      <c r="R371" s="775">
        <f>$E$22*$M$9*'Traffic Data'!AT59*annualizationFactor</f>
        <v>0.91285795483636367</v>
      </c>
      <c r="S371" s="775">
        <f>$E$22*$M$9*'Traffic Data'!AU59*annualizationFactor</f>
        <v>0.94348158331636378</v>
      </c>
      <c r="T371" s="775">
        <f>$E$22*$M$9*'Traffic Data'!AV59*annualizationFactor</f>
        <v>0.97410521179636378</v>
      </c>
      <c r="U371" s="775">
        <f>$E$22*$M$9*'Traffic Data'!AW59*annualizationFactor</f>
        <v>1.0047463156800001</v>
      </c>
      <c r="V371" s="775">
        <f>$E$22*$M$9*'Traffic Data'!AX59*annualizationFactor</f>
        <v>1.02851622528</v>
      </c>
      <c r="W371" s="775">
        <f>$E$22*$M$9*'Traffic Data'!AY59*annualizationFactor</f>
        <v>1.0478917429963637</v>
      </c>
      <c r="X371" s="775">
        <f>$E$22*$M$9*'Traffic Data'!AZ59*annualizationFactor</f>
        <v>1.0672672607127274</v>
      </c>
      <c r="Y371" s="775">
        <f>$E$22*$M$9*'Traffic Data'!BA59*annualizationFactor</f>
        <v>1.0866427784290911</v>
      </c>
      <c r="Z371" s="775">
        <f>$E$22*$M$9*'Traffic Data'!BB59*annualizationFactor</f>
        <v>1.1060162797527273</v>
      </c>
      <c r="AA371" s="775">
        <f>$E$22*$M$9*'Traffic Data'!BC59*annualizationFactor</f>
        <v>1.1253917974690906</v>
      </c>
      <c r="AB371" s="775">
        <f>$E$22*$M$9*'Traffic Data'!BD59*annualizationFactor</f>
        <v>1.1447652987927268</v>
      </c>
      <c r="AC371" s="775">
        <f>$E$22*$M$9*'Traffic Data'!BE59*annualizationFactor</f>
        <v>1.1641408165090912</v>
      </c>
      <c r="AD371" s="775">
        <f>$E$22*$M$9*'Traffic Data'!BF59*annualizationFactor</f>
        <v>1.1835163342254549</v>
      </c>
      <c r="AE371" s="775">
        <f>$E$22*$M$9*'Traffic Data'!BG59*annualizationFactor</f>
        <v>1.2028898355490911</v>
      </c>
      <c r="AF371" s="775">
        <f>$E$22*$M$9*'Traffic Data'!BH59*annualizationFactor</f>
        <v>1.2222653532654546</v>
      </c>
      <c r="AG371" s="775">
        <f>$E$22*$M$9*'Traffic Data'!BI59*annualizationFactor</f>
        <v>1.2416408709818183</v>
      </c>
      <c r="AH371" s="776">
        <f>$E$22*$M$9*'Traffic Data'!BJ59*annualizationFactor</f>
        <v>1.2610143723054548</v>
      </c>
      <c r="AI371" s="40"/>
      <c r="AJ371" s="40"/>
      <c r="AK371" s="40"/>
      <c r="AL371" s="40"/>
      <c r="AM371" s="40"/>
    </row>
    <row r="372" spans="2:39" ht="21.95" customHeight="1" x14ac:dyDescent="0.2">
      <c r="B372" s="492"/>
      <c r="C372" s="116" t="s">
        <v>357</v>
      </c>
      <c r="D372" s="116" t="s">
        <v>346</v>
      </c>
      <c r="E372" s="116" t="s">
        <v>467</v>
      </c>
      <c r="F372" s="116" t="s">
        <v>43</v>
      </c>
      <c r="G372" s="970"/>
      <c r="H372" s="970"/>
      <c r="I372" s="777">
        <f>$E$22*$M$9*'Traffic Data'!AK60*annualizationFactor</f>
        <v>9.7886894545454559E-2</v>
      </c>
      <c r="J372" s="777">
        <f>$E$22*$M$9*'Traffic Data'!AL60*annualizationFactor</f>
        <v>0.10066507917090908</v>
      </c>
      <c r="K372" s="777">
        <f>$E$22*$M$9*'Traffic Data'!AM60*annualizationFactor</f>
        <v>0.10374812995345453</v>
      </c>
      <c r="L372" s="777">
        <f>$E$22*$M$9*'Traffic Data'!AN60*annualizationFactor</f>
        <v>0.10807550348363636</v>
      </c>
      <c r="M372" s="777">
        <f>$E$22*$M$9*'Traffic Data'!AO60*annualizationFactor</f>
        <v>0.1124036498050909</v>
      </c>
      <c r="N372" s="777">
        <f>$E$22*$M$9*'Traffic Data'!AP60*annualizationFactor</f>
        <v>0.1167326977163636</v>
      </c>
      <c r="O372" s="777">
        <f>$E$22*$M$9*'Traffic Data'!AQ60*annualizationFactor</f>
        <v>0.12106007124654546</v>
      </c>
      <c r="P372" s="777">
        <f>$E$22*$M$9*'Traffic Data'!AR60*annualizationFactor</f>
        <v>0.12538770237381816</v>
      </c>
      <c r="Q372" s="777">
        <f>$E$22*$M$9*'Traffic Data'!AS60*annualizationFactor</f>
        <v>0.13025177944290911</v>
      </c>
      <c r="R372" s="777">
        <f>$E$22*$M$9*'Traffic Data'!AT60*annualizationFactor</f>
        <v>0.13511418213090906</v>
      </c>
      <c r="S372" s="777">
        <f>$E$22*$M$9*'Traffic Data'!AU60*annualizationFactor</f>
        <v>0.13997825919999998</v>
      </c>
      <c r="T372" s="777">
        <f>$E$22*$M$9*'Traffic Data'!AV60*annualizationFactor</f>
        <v>0.14484233626909088</v>
      </c>
      <c r="U372" s="777">
        <f>$E$22*$M$9*'Traffic Data'!AW60*annualizationFactor</f>
        <v>0.14970718612945455</v>
      </c>
      <c r="V372" s="777">
        <f>$E$22*$M$9*'Traffic Data'!AX60*annualizationFactor</f>
        <v>0.1533274556450909</v>
      </c>
      <c r="W372" s="777">
        <f>$E$22*$M$9*'Traffic Data'!AY60*annualizationFactor</f>
        <v>0.15610564027054544</v>
      </c>
      <c r="X372" s="777">
        <f>$E$22*$M$9*'Traffic Data'!AZ60*annualizationFactor</f>
        <v>0.15888382489600003</v>
      </c>
      <c r="Y372" s="777">
        <f>$E$22*$M$9*'Traffic Data'!BA60*annualizationFactor</f>
        <v>0.16166200952145454</v>
      </c>
      <c r="Z372" s="777">
        <f>$E$22*$M$9*'Traffic Data'!BB60*annualizationFactor</f>
        <v>0.16443877736290907</v>
      </c>
      <c r="AA372" s="777">
        <f>$E$22*$M$9*'Traffic Data'!BC60*annualizationFactor</f>
        <v>0.16721696198836361</v>
      </c>
      <c r="AB372" s="777">
        <f>$E$22*$M$9*'Traffic Data'!BD60*annualizationFactor</f>
        <v>0.16999372982981817</v>
      </c>
      <c r="AC372" s="777">
        <f>$E$22*$M$9*'Traffic Data'!BE60*annualizationFactor</f>
        <v>0.17277191445527271</v>
      </c>
      <c r="AD372" s="777">
        <f>$E$22*$M$9*'Traffic Data'!BF60*annualizationFactor</f>
        <v>0.17555009908072725</v>
      </c>
      <c r="AE372" s="777">
        <f>$E$22*$M$9*'Traffic Data'!BG60*annualizationFactor</f>
        <v>0.17832686692218178</v>
      </c>
      <c r="AF372" s="777">
        <f>$E$22*$M$9*'Traffic Data'!BH60*annualizationFactor</f>
        <v>0.18110505154763634</v>
      </c>
      <c r="AG372" s="777">
        <f>$E$22*$M$9*'Traffic Data'!BI60*annualizationFactor</f>
        <v>0.18388323617309085</v>
      </c>
      <c r="AH372" s="778">
        <f>$E$22*$M$9*'Traffic Data'!BJ60*annualizationFactor</f>
        <v>0.18666000401454541</v>
      </c>
      <c r="AI372" s="40"/>
      <c r="AJ372" s="40"/>
      <c r="AK372" s="40"/>
      <c r="AL372" s="40"/>
      <c r="AM372" s="40"/>
    </row>
    <row r="373" spans="2:39" ht="21.95" customHeight="1" x14ac:dyDescent="0.2">
      <c r="B373" s="492"/>
      <c r="C373" s="116" t="s">
        <v>346</v>
      </c>
      <c r="D373" s="116" t="s">
        <v>343</v>
      </c>
      <c r="E373" s="116" t="s">
        <v>467</v>
      </c>
      <c r="F373" s="116" t="s">
        <v>43</v>
      </c>
      <c r="G373" s="970"/>
      <c r="H373" s="970"/>
      <c r="I373" s="777">
        <f>$E$22*$M$9*'Traffic Data'!AK61*annualizationFactor</f>
        <v>2.4209454545454544E-2</v>
      </c>
      <c r="J373" s="777">
        <f>$E$22*$M$9*'Traffic Data'!AL61*annualizationFactor</f>
        <v>2.4896557090909089E-2</v>
      </c>
      <c r="K373" s="777">
        <f>$E$22*$M$9*'Traffic Data'!AM61*annualizationFactor</f>
        <v>2.5659059345454545E-2</v>
      </c>
      <c r="L373" s="777">
        <f>$E$22*$M$9*'Traffic Data'!AN61*annualizationFactor</f>
        <v>2.6729308363636361E-2</v>
      </c>
      <c r="M373" s="777">
        <f>$E$22*$M$9*'Traffic Data'!AO61*annualizationFactor</f>
        <v>2.7799748509090907E-2</v>
      </c>
      <c r="N373" s="777">
        <f>$E$22*$M$9*'Traffic Data'!AP61*annualizationFactor</f>
        <v>2.8870411636363634E-2</v>
      </c>
      <c r="O373" s="777">
        <f>$E$22*$M$9*'Traffic Data'!AQ61*annualizationFactor</f>
        <v>2.9940660654545453E-2</v>
      </c>
      <c r="P373" s="777">
        <f>$E$22*$M$9*'Traffic Data'!AR61*annualizationFactor</f>
        <v>3.1010973381818185E-2</v>
      </c>
      <c r="Q373" s="777">
        <f>$E$22*$M$9*'Traffic Data'!AS61*annualizationFactor</f>
        <v>3.2213960290909095E-2</v>
      </c>
      <c r="R373" s="777">
        <f>$E$22*$M$9*'Traffic Data'!AT61*annualizationFactor</f>
        <v>3.3416533090909084E-2</v>
      </c>
      <c r="S373" s="777">
        <f>$E$22*$M$9*'Traffic Data'!AU61*annualizationFactor</f>
        <v>3.4619519999999994E-2</v>
      </c>
      <c r="T373" s="777">
        <f>$E$22*$M$9*'Traffic Data'!AV61*annualizationFactor</f>
        <v>3.5822506909090904E-2</v>
      </c>
      <c r="U373" s="777">
        <f>$E$22*$M$9*'Traffic Data'!AW61*annualizationFactor</f>
        <v>3.7025684945454544E-2</v>
      </c>
      <c r="V373" s="777">
        <f>$E$22*$M$9*'Traffic Data'!AX61*annualizationFactor</f>
        <v>3.7921052509090905E-2</v>
      </c>
      <c r="W373" s="777">
        <f>$E$22*$M$9*'Traffic Data'!AY61*annualizationFactor</f>
        <v>3.860815505454545E-2</v>
      </c>
      <c r="X373" s="777">
        <f>$E$22*$M$9*'Traffic Data'!AZ61*annualizationFactor</f>
        <v>3.9295257600000001E-2</v>
      </c>
      <c r="Y373" s="777">
        <f>$E$22*$M$9*'Traffic Data'!BA61*annualizationFactor</f>
        <v>3.9982360145454546E-2</v>
      </c>
      <c r="Z373" s="777">
        <f>$E$22*$M$9*'Traffic Data'!BB61*annualizationFactor</f>
        <v>4.0669112290909082E-2</v>
      </c>
      <c r="AA373" s="777">
        <f>$E$22*$M$9*'Traffic Data'!BC61*annualizationFactor</f>
        <v>4.1356214836363626E-2</v>
      </c>
      <c r="AB373" s="777">
        <f>$E$22*$M$9*'Traffic Data'!BD61*annualizationFactor</f>
        <v>4.2042966981818183E-2</v>
      </c>
      <c r="AC373" s="777">
        <f>$E$22*$M$9*'Traffic Data'!BE61*annualizationFactor</f>
        <v>4.2730069527272728E-2</v>
      </c>
      <c r="AD373" s="777">
        <f>$E$22*$M$9*'Traffic Data'!BF61*annualizationFactor</f>
        <v>4.3417172072727273E-2</v>
      </c>
      <c r="AE373" s="777">
        <f>$E$22*$M$9*'Traffic Data'!BG61*annualizationFactor</f>
        <v>4.4103924218181809E-2</v>
      </c>
      <c r="AF373" s="777">
        <f>$E$22*$M$9*'Traffic Data'!BH61*annualizationFactor</f>
        <v>4.4791026763636353E-2</v>
      </c>
      <c r="AG373" s="777">
        <f>$E$22*$M$9*'Traffic Data'!BI61*annualizationFactor</f>
        <v>4.5478129309090898E-2</v>
      </c>
      <c r="AH373" s="778">
        <f>$E$22*$M$9*'Traffic Data'!BJ61*annualizationFactor</f>
        <v>4.6164881454545448E-2</v>
      </c>
      <c r="AI373" s="40"/>
      <c r="AJ373" s="40"/>
      <c r="AK373" s="40"/>
      <c r="AL373" s="40"/>
      <c r="AM373" s="40"/>
    </row>
    <row r="374" spans="2:39" ht="21.95" customHeight="1" x14ac:dyDescent="0.2">
      <c r="B374" s="492"/>
      <c r="C374" s="116" t="s">
        <v>343</v>
      </c>
      <c r="D374" s="116" t="s">
        <v>350</v>
      </c>
      <c r="E374" s="116" t="s">
        <v>467</v>
      </c>
      <c r="F374" s="116" t="s">
        <v>43</v>
      </c>
      <c r="G374" s="970"/>
      <c r="H374" s="970"/>
      <c r="I374" s="777">
        <f>$E$22*$M$9*'Traffic Data'!AK62*annualizationFactor</f>
        <v>6.2116363636363636E-2</v>
      </c>
      <c r="J374" s="777">
        <f>$E$22*$M$9*'Traffic Data'!AL62*annualizationFactor</f>
        <v>6.3877776654545457E-2</v>
      </c>
      <c r="K374" s="777">
        <f>$E$22*$M$9*'Traffic Data'!AM62*annualizationFactor</f>
        <v>6.5884859890909087E-2</v>
      </c>
      <c r="L374" s="777">
        <f>$E$22*$M$9*'Traffic Data'!AN62*annualizationFactor</f>
        <v>6.8449437490909093E-2</v>
      </c>
      <c r="M374" s="777">
        <f>$E$22*$M$9*'Traffic Data'!AO62*annualizationFactor</f>
        <v>7.1014843309090914E-2</v>
      </c>
      <c r="N374" s="777">
        <f>$E$22*$M$9*'Traffic Data'!AP62*annualizationFactor</f>
        <v>7.3579835018181841E-2</v>
      </c>
      <c r="O374" s="777">
        <f>$E$22*$M$9*'Traffic Data'!AQ62*annualizationFactor</f>
        <v>7.6144412618181834E-2</v>
      </c>
      <c r="P374" s="777">
        <f>$E$22*$M$9*'Traffic Data'!AR62*annualizationFactor</f>
        <v>7.8709507854545474E-2</v>
      </c>
      <c r="Q374" s="777">
        <f>$E$22*$M$9*'Traffic Data'!AS62*annualizationFactor</f>
        <v>8.1608685599999994E-2</v>
      </c>
      <c r="R374" s="777">
        <f>$E$22*$M$9*'Traffic Data'!AT62*annualizationFactor</f>
        <v>8.4507759818181816E-2</v>
      </c>
      <c r="S374" s="777">
        <f>$E$22*$M$9*'Traffic Data'!AU62*annualizationFactor</f>
        <v>8.7406523454545457E-2</v>
      </c>
      <c r="T374" s="777">
        <f>$E$22*$M$9*'Traffic Data'!AV62*annualizationFactor</f>
        <v>9.0305701200000005E-2</v>
      </c>
      <c r="U374" s="777">
        <f>$E$22*$M$9*'Traffic Data'!AW62*annualizationFactor</f>
        <v>9.3205396581818173E-2</v>
      </c>
      <c r="V374" s="777">
        <f>$E$22*$M$9*'Traffic Data'!AX62*annualizationFactor</f>
        <v>9.5546976436363645E-2</v>
      </c>
      <c r="W374" s="777">
        <f>$E$22*$M$9*'Traffic Data'!AY62*annualizationFactor</f>
        <v>9.7308389454545466E-2</v>
      </c>
      <c r="X374" s="777">
        <f>$E$22*$M$9*'Traffic Data'!AZ62*annualizationFactor</f>
        <v>9.90698024727273E-2</v>
      </c>
      <c r="Y374" s="777">
        <f>$E$22*$M$9*'Traffic Data'!BA62*annualizationFactor</f>
        <v>0.10083121549090911</v>
      </c>
      <c r="Z374" s="777">
        <f>$E$22*$M$9*'Traffic Data'!BB62*annualizationFactor</f>
        <v>0.10259211087272729</v>
      </c>
      <c r="AA374" s="777">
        <f>$E$22*$M$9*'Traffic Data'!BC62*annualizationFactor</f>
        <v>0.10435352389090907</v>
      </c>
      <c r="AB374" s="777">
        <f>$E$22*$M$9*'Traffic Data'!BD62*annualizationFactor</f>
        <v>0.10611441927272726</v>
      </c>
      <c r="AC374" s="777">
        <f>$E$22*$M$9*'Traffic Data'!BE62*annualizationFactor</f>
        <v>0.10787583229090907</v>
      </c>
      <c r="AD374" s="777">
        <f>$E$22*$M$9*'Traffic Data'!BF62*annualizationFactor</f>
        <v>0.1096372453090909</v>
      </c>
      <c r="AE374" s="777">
        <f>$E$22*$M$9*'Traffic Data'!BG62*annualizationFactor</f>
        <v>0.11139814069090907</v>
      </c>
      <c r="AF374" s="777">
        <f>$E$22*$M$9*'Traffic Data'!BH62*annualizationFactor</f>
        <v>0.11315955370909089</v>
      </c>
      <c r="AG374" s="777">
        <f>$E$22*$M$9*'Traffic Data'!BI62*annualizationFactor</f>
        <v>0.1149209667272727</v>
      </c>
      <c r="AH374" s="778">
        <f>$E$22*$M$9*'Traffic Data'!BJ62*annualizationFactor</f>
        <v>0.11668186210909087</v>
      </c>
      <c r="AI374" s="40"/>
      <c r="AJ374" s="40"/>
      <c r="AK374" s="40"/>
      <c r="AL374" s="40"/>
      <c r="AM374" s="40"/>
    </row>
    <row r="375" spans="2:39" ht="21.95" customHeight="1" x14ac:dyDescent="0.2">
      <c r="B375" s="492"/>
      <c r="C375" s="116" t="s">
        <v>350</v>
      </c>
      <c r="D375" s="116" t="s">
        <v>280</v>
      </c>
      <c r="E375" s="116" t="s">
        <v>467</v>
      </c>
      <c r="F375" s="116" t="s">
        <v>43</v>
      </c>
      <c r="G375" s="970"/>
      <c r="H375" s="970"/>
      <c r="I375" s="777">
        <f>$E$22*$M$9*'Traffic Data'!AK63*annualizationFactor</f>
        <v>0.51572509090909091</v>
      </c>
      <c r="J375" s="777">
        <f>$E$22*$M$9*'Traffic Data'!AL63*annualizationFactor</f>
        <v>0.53034933540363638</v>
      </c>
      <c r="K375" s="777">
        <f>$E$22*$M$9*'Traffic Data'!AM63*annualizationFactor</f>
        <v>0.54701327263272725</v>
      </c>
      <c r="L375" s="777">
        <f>$E$22*$M$9*'Traffic Data'!AN63*annualizationFactor</f>
        <v>0.56830584255272731</v>
      </c>
      <c r="M375" s="777">
        <f>$E$22*$M$9*'Traffic Data'!AO63*annualizationFactor</f>
        <v>0.58960528880727281</v>
      </c>
      <c r="N375" s="777">
        <f>$E$22*$M$9*'Traffic Data'!AP63*annualizationFactor</f>
        <v>0.61090129689454575</v>
      </c>
      <c r="O375" s="777">
        <f>$E$22*$M$9*'Traffic Data'!AQ63*annualizationFactor</f>
        <v>0.63219386681454548</v>
      </c>
      <c r="P375" s="777">
        <f>$E$22*$M$9*'Traffic Data'!AR63*annualizationFactor</f>
        <v>0.65349073444363648</v>
      </c>
      <c r="Q375" s="777">
        <f>$E$22*$M$9*'Traffic Data'!AS63*annualizationFactor</f>
        <v>0.67756134351999986</v>
      </c>
      <c r="R375" s="777">
        <f>$E$22*$M$9*'Traffic Data'!AT63*annualizationFactor</f>
        <v>0.70163109305454552</v>
      </c>
      <c r="S375" s="777">
        <f>$E$22*$M$9*'Traffic Data'!AU63*annualizationFactor</f>
        <v>0.72569826396363635</v>
      </c>
      <c r="T375" s="777">
        <f>$E$22*$M$9*'Traffic Data'!AV63*annualizationFactor</f>
        <v>0.74976887304000006</v>
      </c>
      <c r="U375" s="777">
        <f>$E$22*$M$9*'Traffic Data'!AW63*annualizationFactor</f>
        <v>0.77384377982545449</v>
      </c>
      <c r="V375" s="777">
        <f>$E$22*$M$9*'Traffic Data'!AX63*annualizationFactor</f>
        <v>0.79328489666909097</v>
      </c>
      <c r="W375" s="777">
        <f>$E$22*$M$9*'Traffic Data'!AY63*annualizationFactor</f>
        <v>0.80790914116363655</v>
      </c>
      <c r="X375" s="777">
        <f>$E$22*$M$9*'Traffic Data'!AZ63*annualizationFactor</f>
        <v>0.82253338565818201</v>
      </c>
      <c r="Y375" s="777">
        <f>$E$22*$M$9*'Traffic Data'!BA63*annualizationFactor</f>
        <v>0.83715763015272748</v>
      </c>
      <c r="Z375" s="777">
        <f>$E$22*$M$9*'Traffic Data'!BB63*annualizationFactor</f>
        <v>0.85177757693818201</v>
      </c>
      <c r="AA375" s="777">
        <f>$E$22*$M$9*'Traffic Data'!BC63*annualizationFactor</f>
        <v>0.86640182143272715</v>
      </c>
      <c r="AB375" s="777">
        <f>$E$22*$M$9*'Traffic Data'!BD63*annualizationFactor</f>
        <v>0.88102176821818168</v>
      </c>
      <c r="AC375" s="777">
        <f>$E$22*$M$9*'Traffic Data'!BE63*annualizationFactor</f>
        <v>0.89564601271272715</v>
      </c>
      <c r="AD375" s="777">
        <f>$E$22*$M$9*'Traffic Data'!BF63*annualizationFactor</f>
        <v>0.91027025720727273</v>
      </c>
      <c r="AE375" s="777">
        <f>$E$22*$M$9*'Traffic Data'!BG63*annualizationFactor</f>
        <v>0.92489020399272714</v>
      </c>
      <c r="AF375" s="777">
        <f>$E$22*$M$9*'Traffic Data'!BH63*annualizationFactor</f>
        <v>0.93951444848727272</v>
      </c>
      <c r="AG375" s="777">
        <f>$E$22*$M$9*'Traffic Data'!BI63*annualizationFactor</f>
        <v>0.95413869298181797</v>
      </c>
      <c r="AH375" s="778">
        <f>$E$22*$M$9*'Traffic Data'!BJ63*annualizationFactor</f>
        <v>0.9687586397672725</v>
      </c>
      <c r="AI375" s="40"/>
      <c r="AJ375" s="40"/>
      <c r="AK375" s="40"/>
      <c r="AL375" s="40"/>
      <c r="AM375" s="40"/>
    </row>
    <row r="376" spans="2:39" ht="21.95" customHeight="1" x14ac:dyDescent="0.2">
      <c r="B376" s="493"/>
      <c r="C376" s="254" t="s">
        <v>280</v>
      </c>
      <c r="D376" s="254" t="s">
        <v>333</v>
      </c>
      <c r="E376" s="254" t="s">
        <v>467</v>
      </c>
      <c r="F376" s="254" t="s">
        <v>43</v>
      </c>
      <c r="G376" s="779"/>
      <c r="H376" s="779"/>
      <c r="I376" s="779">
        <f>$E$22*$M$9*'Traffic Data'!AK64*annualizationFactor</f>
        <v>1.2741818181818182E-2</v>
      </c>
      <c r="J376" s="779">
        <f>$E$22*$M$9*'Traffic Data'!AL64*annualizationFactor</f>
        <v>1.3103133672727276E-2</v>
      </c>
      <c r="K376" s="779">
        <f>$E$22*$M$9*'Traffic Data'!AM64*annualizationFactor</f>
        <v>1.3514843054545454E-2</v>
      </c>
      <c r="L376" s="779">
        <f>$E$22*$M$9*'Traffic Data'!AN64*annualizationFactor</f>
        <v>1.4040910254545458E-2</v>
      </c>
      <c r="M376" s="779">
        <f>$E$22*$M$9*'Traffic Data'!AO64*annualizationFactor</f>
        <v>1.4567147345454542E-2</v>
      </c>
      <c r="N376" s="779">
        <f>$E$22*$M$9*'Traffic Data'!AP64*annualizationFactor</f>
        <v>1.5093299490909094E-2</v>
      </c>
      <c r="O376" s="779">
        <f>$E$22*$M$9*'Traffic Data'!AQ64*annualizationFactor</f>
        <v>1.5619366690909095E-2</v>
      </c>
      <c r="P376" s="779">
        <f>$E$22*$M$9*'Traffic Data'!AR64*annualizationFactor</f>
        <v>1.6145540072727275E-2</v>
      </c>
      <c r="Q376" s="779">
        <f>$E$22*$M$9*'Traffic Data'!AS64*annualizationFactor</f>
        <v>1.6740243200000001E-2</v>
      </c>
      <c r="R376" s="779">
        <f>$E$22*$M$9*'Traffic Data'!AT64*annualizationFactor</f>
        <v>1.7334925090909094E-2</v>
      </c>
      <c r="S376" s="779">
        <f>$E$22*$M$9*'Traffic Data'!AU64*annualizationFactor</f>
        <v>1.7929543272727274E-2</v>
      </c>
      <c r="T376" s="779">
        <f>$E$22*$M$9*'Traffic Data'!AV64*annualizationFactor</f>
        <v>1.8524246400000006E-2</v>
      </c>
      <c r="U376" s="779">
        <f>$E$22*$M$9*'Traffic Data'!AW64*annualizationFactor</f>
        <v>1.911905570909091E-2</v>
      </c>
      <c r="V376" s="779">
        <f>$E$22*$M$9*'Traffic Data'!AX64*annualizationFactor</f>
        <v>1.9599379781818183E-2</v>
      </c>
      <c r="W376" s="779">
        <f>$E$22*$M$9*'Traffic Data'!AY64*annualizationFactor</f>
        <v>1.9960695272727279E-2</v>
      </c>
      <c r="X376" s="779">
        <f>$E$22*$M$9*'Traffic Data'!AZ64*annualizationFactor</f>
        <v>2.0322010763636371E-2</v>
      </c>
      <c r="Y376" s="779">
        <f>$E$22*$M$9*'Traffic Data'!BA64*annualizationFactor</f>
        <v>2.0683326254545456E-2</v>
      </c>
      <c r="Z376" s="779">
        <f>$E$22*$M$9*'Traffic Data'!BB64*annualizationFactor</f>
        <v>2.1044535563636366E-2</v>
      </c>
      <c r="AA376" s="779">
        <f>$E$22*$M$9*'Traffic Data'!BC64*annualizationFactor</f>
        <v>2.1405851054545448E-2</v>
      </c>
      <c r="AB376" s="779">
        <f>$E$22*$M$9*'Traffic Data'!BD64*annualizationFactor</f>
        <v>2.1767060363636362E-2</v>
      </c>
      <c r="AC376" s="779">
        <f>$E$22*$M$9*'Traffic Data'!BE64*annualizationFactor</f>
        <v>2.2128375854545447E-2</v>
      </c>
      <c r="AD376" s="779">
        <f>$E$22*$M$9*'Traffic Data'!BF64*annualizationFactor</f>
        <v>2.2489691345454539E-2</v>
      </c>
      <c r="AE376" s="779">
        <f>$E$22*$M$9*'Traffic Data'!BG64*annualizationFactor</f>
        <v>2.2850900654545449E-2</v>
      </c>
      <c r="AF376" s="779">
        <f>$E$22*$M$9*'Traffic Data'!BH64*annualizationFactor</f>
        <v>2.3212216145454545E-2</v>
      </c>
      <c r="AG376" s="779">
        <f>$E$22*$M$9*'Traffic Data'!BI64*annualizationFactor</f>
        <v>2.3573531636363634E-2</v>
      </c>
      <c r="AH376" s="783">
        <f>$E$22*$M$9*'Traffic Data'!BJ64*annualizationFactor</f>
        <v>2.3934740945454544E-2</v>
      </c>
      <c r="AI376" s="40"/>
      <c r="AJ376" s="40"/>
      <c r="AK376" s="40"/>
      <c r="AL376" s="40"/>
      <c r="AM376" s="40"/>
    </row>
    <row r="377" spans="2:39" ht="21.95" customHeight="1" x14ac:dyDescent="0.2">
      <c r="B377" s="784" t="s">
        <v>491</v>
      </c>
      <c r="C377" s="240"/>
      <c r="D377" s="240"/>
      <c r="E377" s="240"/>
      <c r="F377" s="240"/>
      <c r="G377" s="969">
        <f>SUM(G348:G376)</f>
        <v>0</v>
      </c>
      <c r="H377" s="969">
        <f>SUM(H348:H376)</f>
        <v>0</v>
      </c>
      <c r="I377" s="785">
        <f t="shared" ref="I377:AH377" si="33">SUM(I348:I376)</f>
        <v>14.789539960727273</v>
      </c>
      <c r="J377" s="785">
        <f t="shared" si="33"/>
        <v>15.2813762757488</v>
      </c>
      <c r="K377" s="785">
        <f t="shared" si="33"/>
        <v>16.150056145003344</v>
      </c>
      <c r="L377" s="785">
        <f t="shared" si="33"/>
        <v>17.523855648146036</v>
      </c>
      <c r="M377" s="785">
        <f t="shared" si="33"/>
        <v>18.89828748972262</v>
      </c>
      <c r="N377" s="785">
        <f t="shared" si="33"/>
        <v>20.272750282428515</v>
      </c>
      <c r="O377" s="785">
        <f t="shared" si="33"/>
        <v>21.646549785571207</v>
      </c>
      <c r="P377" s="785">
        <f t="shared" si="33"/>
        <v>23.021624777991274</v>
      </c>
      <c r="Q377" s="785">
        <f t="shared" si="33"/>
        <v>24.314974114867347</v>
      </c>
      <c r="R377" s="785">
        <f t="shared" si="33"/>
        <v>25.603795144263852</v>
      </c>
      <c r="S377" s="785">
        <f t="shared" si="33"/>
        <v>26.928355758776078</v>
      </c>
      <c r="T377" s="785">
        <f t="shared" si="33"/>
        <v>28.269814027882958</v>
      </c>
      <c r="U377" s="785">
        <f t="shared" si="33"/>
        <v>29.612097952481633</v>
      </c>
      <c r="V377" s="785">
        <f t="shared" si="33"/>
        <v>30.440696071288386</v>
      </c>
      <c r="W377" s="785">
        <f t="shared" si="33"/>
        <v>30.946555216452467</v>
      </c>
      <c r="X377" s="785">
        <f t="shared" si="33"/>
        <v>31.463052096035398</v>
      </c>
      <c r="Y377" s="785">
        <f t="shared" si="33"/>
        <v>31.979548975618339</v>
      </c>
      <c r="Z377" s="785">
        <f t="shared" si="33"/>
        <v>32.496383642461701</v>
      </c>
      <c r="AA377" s="785">
        <f t="shared" si="33"/>
        <v>33.012880522044625</v>
      </c>
      <c r="AB377" s="785">
        <f t="shared" si="33"/>
        <v>33.529715800495268</v>
      </c>
      <c r="AC377" s="785">
        <f t="shared" si="33"/>
        <v>34.046212680078206</v>
      </c>
      <c r="AD377" s="785">
        <f t="shared" si="33"/>
        <v>34.562709559661144</v>
      </c>
      <c r="AE377" s="785">
        <f t="shared" si="33"/>
        <v>35.079544226504517</v>
      </c>
      <c r="AF377" s="785">
        <f t="shared" si="33"/>
        <v>35.596041106087441</v>
      </c>
      <c r="AG377" s="785">
        <f t="shared" si="33"/>
        <v>36.112537985670379</v>
      </c>
      <c r="AH377" s="786">
        <f t="shared" si="33"/>
        <v>36.629373264121007</v>
      </c>
      <c r="AI377" s="40"/>
      <c r="AJ377" s="40"/>
      <c r="AK377" s="40"/>
      <c r="AL377" s="40"/>
      <c r="AM377" s="40"/>
    </row>
    <row r="378" spans="2:39" ht="21.95" customHeight="1" x14ac:dyDescent="0.2">
      <c r="B378" s="787" t="s">
        <v>328</v>
      </c>
      <c r="C378" s="1344" t="s">
        <v>18</v>
      </c>
      <c r="D378" s="1344"/>
      <c r="E378" s="46" t="s">
        <v>24</v>
      </c>
      <c r="F378" s="46" t="s">
        <v>42</v>
      </c>
      <c r="G378" s="123" cm="1">
        <f t="array" ref="G378:AH378">year</f>
        <v>2021</v>
      </c>
      <c r="H378" s="123">
        <v>2022</v>
      </c>
      <c r="I378" s="46">
        <v>2023</v>
      </c>
      <c r="J378" s="46">
        <v>2024</v>
      </c>
      <c r="K378" s="46">
        <v>2025</v>
      </c>
      <c r="L378" s="46">
        <v>2026</v>
      </c>
      <c r="M378" s="46">
        <v>2027</v>
      </c>
      <c r="N378" s="46">
        <v>2028</v>
      </c>
      <c r="O378" s="46">
        <v>2029</v>
      </c>
      <c r="P378" s="46">
        <v>2030</v>
      </c>
      <c r="Q378" s="46">
        <v>2031</v>
      </c>
      <c r="R378" s="46">
        <v>2032</v>
      </c>
      <c r="S378" s="46">
        <v>2033</v>
      </c>
      <c r="T378" s="46">
        <v>2034</v>
      </c>
      <c r="U378" s="46">
        <v>2035</v>
      </c>
      <c r="V378" s="46">
        <v>2036</v>
      </c>
      <c r="W378" s="46">
        <v>2037</v>
      </c>
      <c r="X378" s="46">
        <v>2038</v>
      </c>
      <c r="Y378" s="46">
        <v>2039</v>
      </c>
      <c r="Z378" s="46">
        <v>2040</v>
      </c>
      <c r="AA378" s="46">
        <v>2041</v>
      </c>
      <c r="AB378" s="46">
        <v>2042</v>
      </c>
      <c r="AC378" s="46">
        <v>2043</v>
      </c>
      <c r="AD378" s="46">
        <v>2044</v>
      </c>
      <c r="AE378" s="46">
        <v>2045</v>
      </c>
      <c r="AF378" s="46">
        <v>2046</v>
      </c>
      <c r="AG378" s="46">
        <v>2047</v>
      </c>
      <c r="AH378" s="495">
        <v>2048</v>
      </c>
      <c r="AI378" s="40"/>
      <c r="AJ378" s="40"/>
      <c r="AK378" s="40"/>
      <c r="AL378" s="40"/>
      <c r="AM378" s="40"/>
    </row>
    <row r="379" spans="2:39" ht="21.95" customHeight="1" x14ac:dyDescent="0.2">
      <c r="B379" s="1346" t="s">
        <v>331</v>
      </c>
      <c r="C379" s="220" t="s">
        <v>332</v>
      </c>
      <c r="D379" s="220" t="s">
        <v>282</v>
      </c>
      <c r="E379" s="220" t="s">
        <v>19</v>
      </c>
      <c r="F379" s="220" t="s">
        <v>438</v>
      </c>
      <c r="G379" s="775"/>
      <c r="H379" s="775"/>
      <c r="I379" s="775">
        <f>$F$21*$E$8*'Traffic Data'!AK36*annualizationFactor</f>
        <v>1.0894710016080001E-4</v>
      </c>
      <c r="J379" s="775">
        <f>$F$21*$E$8*'Traffic Data'!AL36*annualizationFactor</f>
        <v>1.1390112908092438E-4</v>
      </c>
      <c r="K379" s="775">
        <f>$F$21*$E$8*'Traffic Data'!AM36*annualizationFactor</f>
        <v>1.2088089314466365E-4</v>
      </c>
      <c r="L379" s="775">
        <f>$F$21*$E$8*'Traffic Data'!AN36*annualizationFactor</f>
        <v>1.3114779549606705E-4</v>
      </c>
      <c r="M379" s="775">
        <f>$F$21*$E$8*'Traffic Data'!AO36*annualizationFactor</f>
        <v>1.4141844290403843E-4</v>
      </c>
      <c r="N379" s="775">
        <f>$F$21*$E$8*'Traffic Data'!AP36*annualizationFactor</f>
        <v>1.5168909031200984E-4</v>
      </c>
      <c r="O379" s="775">
        <f>$F$21*$E$8*'Traffic Data'!AQ36*annualizationFactor</f>
        <v>1.6195599266341322E-4</v>
      </c>
      <c r="P379" s="775">
        <f>$F$21*$E$8*'Traffic Data'!AR36*annualizationFactor</f>
        <v>1.7223038512795266E-4</v>
      </c>
      <c r="Q379" s="775">
        <f>$F$21*$E$8*'Traffic Data'!AS36*annualizationFactor</f>
        <v>1.8238323348387526E-4</v>
      </c>
      <c r="R379" s="775">
        <f>$F$21*$E$8*'Traffic Data'!AT36*annualizationFactor</f>
        <v>1.9253812459792583E-4</v>
      </c>
      <c r="S379" s="775">
        <f>$F$21*$E$8*'Traffic Data'!AU36*annualizationFactor</f>
        <v>2.026909729538484E-4</v>
      </c>
      <c r="T379" s="775">
        <f>$F$21*$E$8*'Traffic Data'!AV36*annualizationFactor</f>
        <v>2.1284382130977092E-4</v>
      </c>
      <c r="U379" s="775">
        <f>$F$21*$E$8*'Traffic Data'!AW36*annualizationFactor</f>
        <v>2.2300415977882955E-4</v>
      </c>
      <c r="V379" s="775">
        <f>$F$21*$E$8*'Traffic Data'!AX36*annualizationFactor</f>
        <v>2.2986612479051997E-4</v>
      </c>
      <c r="W379" s="775">
        <f>$F$21*$E$8*'Traffic Data'!AY36*annualizationFactor</f>
        <v>2.3482015371064432E-4</v>
      </c>
      <c r="X379" s="775">
        <f>$F$21*$E$8*'Traffic Data'!AZ36*annualizationFactor</f>
        <v>2.3977418263076863E-4</v>
      </c>
      <c r="Y379" s="775">
        <f>$F$21*$E$8*'Traffic Data'!BA36*annualizationFactor</f>
        <v>2.4472821155089301E-4</v>
      </c>
      <c r="Z379" s="775">
        <f>$F$21*$E$8*'Traffic Data'!BB36*annualizationFactor</f>
        <v>2.4968394276945745E-4</v>
      </c>
      <c r="AA379" s="775">
        <f>$F$21*$E$8*'Traffic Data'!BC36*annualizationFactor</f>
        <v>2.5463797168958187E-4</v>
      </c>
      <c r="AB379" s="775">
        <f>$F$21*$E$8*'Traffic Data'!BD36*annualizationFactor</f>
        <v>2.5959370290814615E-4</v>
      </c>
      <c r="AC379" s="775">
        <f>$F$21*$E$8*'Traffic Data'!BE36*annualizationFactor</f>
        <v>2.6454773182827063E-4</v>
      </c>
      <c r="AD379" s="775">
        <f>$F$21*$E$8*'Traffic Data'!BF36*annualizationFactor</f>
        <v>2.6950176074839495E-4</v>
      </c>
      <c r="AE379" s="775">
        <f>$F$21*$E$8*'Traffic Data'!BG36*annualizationFactor</f>
        <v>2.7445749196695928E-4</v>
      </c>
      <c r="AF379" s="775">
        <f>$F$21*$E$8*'Traffic Data'!BH36*annualizationFactor</f>
        <v>2.7941152088708371E-4</v>
      </c>
      <c r="AG379" s="775">
        <f>$F$21*$E$8*'Traffic Data'!BI36*annualizationFactor</f>
        <v>2.8436554980720814E-4</v>
      </c>
      <c r="AH379" s="776">
        <f>$F$21*$E$8*'Traffic Data'!BJ36*annualizationFactor</f>
        <v>2.8932128102577247E-4</v>
      </c>
      <c r="AI379" s="40"/>
      <c r="AJ379" s="40"/>
      <c r="AK379" s="40"/>
      <c r="AL379" s="40"/>
      <c r="AM379" s="40"/>
    </row>
    <row r="380" spans="2:39" ht="21.95" customHeight="1" x14ac:dyDescent="0.2">
      <c r="B380" s="1346"/>
      <c r="C380" s="116" t="s">
        <v>282</v>
      </c>
      <c r="D380" s="116" t="s">
        <v>280</v>
      </c>
      <c r="E380" s="116" t="s">
        <v>19</v>
      </c>
      <c r="F380" s="116" t="s">
        <v>438</v>
      </c>
      <c r="G380" s="970"/>
      <c r="H380" s="970"/>
      <c r="I380" s="777">
        <f>$F$21*$E$8*'Traffic Data'!AK37*annualizationFactor</f>
        <v>3.5032324499223752E-3</v>
      </c>
      <c r="J380" s="777">
        <f>$F$21*$E$8*'Traffic Data'!AL37*annualizationFactor</f>
        <v>3.6881512235382775E-3</v>
      </c>
      <c r="K380" s="777">
        <f>$F$21*$E$8*'Traffic Data'!AM37*annualizationFactor</f>
        <v>3.9657369829221275E-3</v>
      </c>
      <c r="L380" s="777">
        <f>$F$21*$E$8*'Traffic Data'!AN37*annualizationFactor</f>
        <v>4.424349035421965E-3</v>
      </c>
      <c r="M380" s="777">
        <f>$F$21*$E$8*'Traffic Data'!AO37*annualizationFactor</f>
        <v>4.8831686868817982E-3</v>
      </c>
      <c r="N380" s="777">
        <f>$F$21*$E$8*'Traffic Data'!AP37*annualizationFactor</f>
        <v>5.341962388471632E-3</v>
      </c>
      <c r="O380" s="777">
        <f>$F$21*$E$8*'Traffic Data'!AQ37*annualizationFactor</f>
        <v>5.8005744409714713E-3</v>
      </c>
      <c r="P380" s="777">
        <f>$F$21*$E$8*'Traffic Data'!AR37*annualizationFactor</f>
        <v>6.2596016913912993E-3</v>
      </c>
      <c r="Q380" s="777">
        <f>$F$21*$E$8*'Traffic Data'!AS37*annualizationFactor</f>
        <v>6.722703071401037E-3</v>
      </c>
      <c r="R380" s="777">
        <f>$F$21*$E$8*'Traffic Data'!AT37*annualizationFactor</f>
        <v>7.1859601506307725E-3</v>
      </c>
      <c r="S380" s="777">
        <f>$F$21*$E$8*'Traffic Data'!AU37*annualizationFactor</f>
        <v>7.6490615306405102E-3</v>
      </c>
      <c r="T380" s="777">
        <f>$F$21*$E$8*'Traffic Data'!AV37*annualizationFactor</f>
        <v>8.1121629106502488E-3</v>
      </c>
      <c r="U380" s="777">
        <f>$F$21*$E$8*'Traffic Data'!AW37*annualizationFactor</f>
        <v>8.5756794885799795E-3</v>
      </c>
      <c r="V380" s="777">
        <f>$F$21*$E$8*'Traffic Data'!AX37*annualizationFactor</f>
        <v>8.8575469765137353E-3</v>
      </c>
      <c r="W380" s="777">
        <f>$F$21*$E$8*'Traffic Data'!AY37*annualizationFactor</f>
        <v>9.042465750129635E-3</v>
      </c>
      <c r="X380" s="777">
        <f>$F$21*$E$8*'Traffic Data'!AZ37*annualizationFactor</f>
        <v>9.2273845237455399E-3</v>
      </c>
      <c r="Y380" s="777">
        <f>$F$21*$E$8*'Traffic Data'!BA37*annualizationFactor</f>
        <v>9.4123032973614448E-3</v>
      </c>
      <c r="Z380" s="777">
        <f>$F$21*$E$8*'Traffic Data'!BB37*annualizationFactor</f>
        <v>9.5973258704573419E-3</v>
      </c>
      <c r="AA380" s="777">
        <f>$F$21*$E$8*'Traffic Data'!BC37*annualizationFactor</f>
        <v>9.7822446440732434E-3</v>
      </c>
      <c r="AB380" s="777">
        <f>$F$21*$E$8*'Traffic Data'!BD37*annualizationFactor</f>
        <v>9.9672672171691457E-3</v>
      </c>
      <c r="AC380" s="777">
        <f>$F$21*$E$8*'Traffic Data'!BE37*annualizationFactor</f>
        <v>1.0152185990785049E-2</v>
      </c>
      <c r="AD380" s="777">
        <f>$F$21*$E$8*'Traffic Data'!BF37*annualizationFactor</f>
        <v>1.033710476440095E-2</v>
      </c>
      <c r="AE380" s="777">
        <f>$F$21*$E$8*'Traffic Data'!BG37*annualizationFactor</f>
        <v>1.0522127337496853E-2</v>
      </c>
      <c r="AF380" s="777">
        <f>$F$21*$E$8*'Traffic Data'!BH37*annualizationFactor</f>
        <v>1.0707046111112752E-2</v>
      </c>
      <c r="AG380" s="777">
        <f>$F$21*$E$8*'Traffic Data'!BI37*annualizationFactor</f>
        <v>1.0891964884728655E-2</v>
      </c>
      <c r="AH380" s="778">
        <f>$F$21*$E$8*'Traffic Data'!BJ37*annualizationFactor</f>
        <v>1.1076987457824556E-2</v>
      </c>
      <c r="AI380" s="40"/>
      <c r="AJ380" s="40"/>
      <c r="AK380" s="40"/>
      <c r="AL380" s="40"/>
      <c r="AM380" s="40"/>
    </row>
    <row r="381" spans="2:39" ht="21.95" customHeight="1" x14ac:dyDescent="0.2">
      <c r="B381" s="1346"/>
      <c r="C381" s="116" t="s">
        <v>280</v>
      </c>
      <c r="D381" s="116" t="s">
        <v>333</v>
      </c>
      <c r="E381" s="254" t="s">
        <v>19</v>
      </c>
      <c r="F381" s="254" t="s">
        <v>438</v>
      </c>
      <c r="G381" s="779"/>
      <c r="H381" s="779"/>
      <c r="I381" s="777">
        <f>$F$21*$E$8*'Traffic Data'!AK38*annualizationFactor</f>
        <v>8.1710325120600013E-5</v>
      </c>
      <c r="J381" s="777">
        <f>$F$21*$E$8*'Traffic Data'!AL38*annualizationFactor</f>
        <v>8.5122412113761048E-5</v>
      </c>
      <c r="K381" s="777">
        <f>$F$21*$E$8*'Traffic Data'!AM38*annualizationFactor</f>
        <v>8.9345474083744056E-5</v>
      </c>
      <c r="L381" s="777">
        <f>$F$21*$E$8*'Traffic Data'!AN38*annualizationFactor</f>
        <v>9.5031150873385825E-5</v>
      </c>
      <c r="M381" s="777">
        <f>$F$21*$E$8*'Traffic Data'!AO38*annualizationFactor</f>
        <v>1.007188704211556E-4</v>
      </c>
      <c r="N381" s="777">
        <f>$F$21*$E$8*'Traffic Data'!AP38*annualizationFactor</f>
        <v>1.0640590904954938E-4</v>
      </c>
      <c r="O381" s="777">
        <f>$F$21*$E$8*'Traffic Data'!AQ38*annualizationFactor</f>
        <v>1.1209158583919112E-4</v>
      </c>
      <c r="P381" s="777">
        <f>$F$21*$E$8*'Traffic Data'!AR38*annualizationFactor</f>
        <v>1.1778134814508891E-4</v>
      </c>
      <c r="Q381" s="777">
        <f>$F$21*$E$8*'Traffic Data'!AS38*annualizationFactor</f>
        <v>1.2329407141322535E-4</v>
      </c>
      <c r="R381" s="777">
        <f>$F$21*$E$8*'Traffic Data'!AT38*annualizationFactor</f>
        <v>1.2880883743948983E-4</v>
      </c>
      <c r="S381" s="777">
        <f>$F$21*$E$8*'Traffic Data'!AU38*annualizationFactor</f>
        <v>1.3432156070762634E-4</v>
      </c>
      <c r="T381" s="777">
        <f>$F$21*$E$8*'Traffic Data'!AV38*annualizationFactor</f>
        <v>1.398342839757628E-4</v>
      </c>
      <c r="U381" s="777">
        <f>$F$21*$E$8*'Traffic Data'!AW38*annualizationFactor</f>
        <v>1.4535109276015532E-4</v>
      </c>
      <c r="V381" s="777">
        <f>$F$21*$E$8*'Traffic Data'!AX38*annualizationFactor</f>
        <v>1.4939915845050503E-4</v>
      </c>
      <c r="W381" s="777">
        <f>$F$21*$E$8*'Traffic Data'!AY38*annualizationFactor</f>
        <v>1.5281124544366611E-4</v>
      </c>
      <c r="X381" s="777">
        <f>$F$21*$E$8*'Traffic Data'!AZ38*annualizationFactor</f>
        <v>1.5622333243682713E-4</v>
      </c>
      <c r="Y381" s="777">
        <f>$F$21*$E$8*'Traffic Data'!BA38*annualizationFactor</f>
        <v>1.596354194299882E-4</v>
      </c>
      <c r="Z381" s="777">
        <f>$F$21*$E$8*'Traffic Data'!BB38*annualizationFactor</f>
        <v>1.6304886826190129E-4</v>
      </c>
      <c r="AA381" s="777">
        <f>$F$21*$E$8*'Traffic Data'!BC38*annualizationFactor</f>
        <v>1.6646095525506234E-4</v>
      </c>
      <c r="AB381" s="777">
        <f>$F$21*$E$8*'Traffic Data'!BD38*annualizationFactor</f>
        <v>1.6987440408697539E-4</v>
      </c>
      <c r="AC381" s="777">
        <f>$F$21*$E$8*'Traffic Data'!BE38*annualizationFactor</f>
        <v>1.732864910801365E-4</v>
      </c>
      <c r="AD381" s="777">
        <f>$F$21*$E$8*'Traffic Data'!BF38*annualizationFactor</f>
        <v>1.7669857807329746E-4</v>
      </c>
      <c r="AE381" s="777">
        <f>$F$21*$E$8*'Traffic Data'!BG38*annualizationFactor</f>
        <v>1.801120269052106E-4</v>
      </c>
      <c r="AF381" s="777">
        <f>$F$21*$E$8*'Traffic Data'!BH38*annualizationFactor</f>
        <v>1.8352411389837165E-4</v>
      </c>
      <c r="AG381" s="777">
        <f>$F$21*$E$8*'Traffic Data'!BI38*annualizationFactor</f>
        <v>1.8693620089153264E-4</v>
      </c>
      <c r="AH381" s="778">
        <f>$F$21*$E$8*'Traffic Data'!BJ38*annualizationFactor</f>
        <v>1.9034964972344576E-4</v>
      </c>
      <c r="AI381" s="40"/>
      <c r="AJ381" s="40"/>
      <c r="AK381" s="40"/>
      <c r="AL381" s="40"/>
      <c r="AM381" s="40"/>
    </row>
    <row r="382" spans="2:39" ht="21.95" customHeight="1" x14ac:dyDescent="0.2">
      <c r="B382" s="1346" t="s">
        <v>280</v>
      </c>
      <c r="C382" s="220" t="s">
        <v>281</v>
      </c>
      <c r="D382" s="220" t="s">
        <v>335</v>
      </c>
      <c r="E382" s="116" t="s">
        <v>19</v>
      </c>
      <c r="F382" s="220" t="s">
        <v>438</v>
      </c>
      <c r="G382" s="970"/>
      <c r="H382" s="970"/>
      <c r="I382" s="775">
        <f>$F$21*$F$8*'Traffic Data'!AK39*annualizationFactor</f>
        <v>6.7505499860400007E-4</v>
      </c>
      <c r="J382" s="775">
        <f>$F$21*$F$8*'Traffic Data'!AL39*annualizationFactor</f>
        <v>7.4334018698778766E-4</v>
      </c>
      <c r="K382" s="775">
        <f>$F$21*$F$8*'Traffic Data'!AM39*annualizationFactor</f>
        <v>8.9600725019707529E-4</v>
      </c>
      <c r="L382" s="775">
        <f>$F$21*$F$8*'Traffic Data'!AN39*annualizationFactor</f>
        <v>1.2026509833129426E-3</v>
      </c>
      <c r="M382" s="775">
        <f>$F$21*$F$8*'Traffic Data'!AO39*annualizationFactor</f>
        <v>1.5094837318284182E-3</v>
      </c>
      <c r="N382" s="775">
        <f>$F$21*$F$8*'Traffic Data'!AP39*annualizationFactor</f>
        <v>1.816282727593964E-3</v>
      </c>
      <c r="O382" s="775">
        <f>$F$21*$F$8*'Traffic Data'!AQ39*annualizationFactor</f>
        <v>2.1229264607098312E-3</v>
      </c>
      <c r="P382" s="775">
        <f>$F$21*$F$8*'Traffic Data'!AR39*annualizationFactor</f>
        <v>2.4299482246249167E-3</v>
      </c>
      <c r="Q382" s="775">
        <f>$F$21*$F$8*'Traffic Data'!AS39*annualizationFactor</f>
        <v>2.7312117694019097E-3</v>
      </c>
      <c r="R382" s="775">
        <f>$F$21*$F$8*'Traffic Data'!AT39*annualizationFactor</f>
        <v>3.032627201553588E-3</v>
      </c>
      <c r="S382" s="775">
        <f>$F$21*$F$8*'Traffic Data'!AU39*annualizationFactor</f>
        <v>3.3338907463305815E-3</v>
      </c>
      <c r="T382" s="775">
        <f>$F$21*$F$8*'Traffic Data'!AV39*annualizationFactor</f>
        <v>3.6351542911075754E-3</v>
      </c>
      <c r="U382" s="775">
        <f>$F$21*$F$8*'Traffic Data'!AW39*annualizationFactor</f>
        <v>3.9367958666837862E-3</v>
      </c>
      <c r="V382" s="775">
        <f>$F$21*$F$8*'Traffic Data'!AX39*annualizationFactor</f>
        <v>4.0838937261545903E-3</v>
      </c>
      <c r="W382" s="775">
        <f>$F$21*$F$8*'Traffic Data'!AY39*annualizationFactor</f>
        <v>4.1521789145383785E-3</v>
      </c>
      <c r="X382" s="775">
        <f>$F$21*$F$8*'Traffic Data'!AZ39*annualizationFactor</f>
        <v>4.2204641029221657E-3</v>
      </c>
      <c r="Y382" s="775">
        <f>$F$21*$F$8*'Traffic Data'!BA39*annualizationFactor</f>
        <v>4.288749291305953E-3</v>
      </c>
      <c r="Z382" s="775">
        <f>$F$21*$F$8*'Traffic Data'!BB39*annualizationFactor</f>
        <v>4.3571391132145249E-3</v>
      </c>
      <c r="AA382" s="775">
        <f>$F$21*$F$8*'Traffic Data'!BC39*annualizationFactor</f>
        <v>4.425424301598313E-3</v>
      </c>
      <c r="AB382" s="775">
        <f>$F$21*$F$8*'Traffic Data'!BD39*annualizationFactor</f>
        <v>4.4938141235068832E-3</v>
      </c>
      <c r="AC382" s="775">
        <f>$F$21*$F$8*'Traffic Data'!BE39*annualizationFactor</f>
        <v>4.5620993118906713E-3</v>
      </c>
      <c r="AD382" s="775">
        <f>$F$21*$F$8*'Traffic Data'!BF39*annualizationFactor</f>
        <v>4.6303845002744586E-3</v>
      </c>
      <c r="AE382" s="775">
        <f>$F$21*$F$8*'Traffic Data'!BG39*annualizationFactor</f>
        <v>4.6987743221830304E-3</v>
      </c>
      <c r="AF382" s="775">
        <f>$F$21*$F$8*'Traffic Data'!BH39*annualizationFactor</f>
        <v>4.7670595105668177E-3</v>
      </c>
      <c r="AG382" s="775">
        <f>$F$21*$F$8*'Traffic Data'!BI39*annualizationFactor</f>
        <v>4.835344698950605E-3</v>
      </c>
      <c r="AH382" s="776">
        <f>$F$21*$F$8*'Traffic Data'!BJ39*annualizationFactor</f>
        <v>4.903734520859176E-3</v>
      </c>
      <c r="AI382" s="40"/>
      <c r="AJ382" s="40"/>
      <c r="AK382" s="40"/>
      <c r="AL382" s="40"/>
      <c r="AM382" s="40"/>
    </row>
    <row r="383" spans="2:39" ht="21.95" customHeight="1" x14ac:dyDescent="0.2">
      <c r="B383" s="1346"/>
      <c r="C383" s="116" t="s">
        <v>335</v>
      </c>
      <c r="D383" s="116" t="s">
        <v>323</v>
      </c>
      <c r="E383" s="116" t="s">
        <v>19</v>
      </c>
      <c r="F383" s="116" t="s">
        <v>438</v>
      </c>
      <c r="G383" s="970"/>
      <c r="H383" s="970"/>
      <c r="I383" s="777">
        <f>$F$21*$F$8*'Traffic Data'!AK40*annualizationFactor</f>
        <v>7.8191698680000015E-5</v>
      </c>
      <c r="J383" s="777">
        <f>$F$21*$F$8*'Traffic Data'!AL40*annualizationFactor</f>
        <v>8.6352305632236021E-5</v>
      </c>
      <c r="K383" s="777">
        <f>$F$21*$F$8*'Traffic Data'!AM40*annualizationFactor</f>
        <v>9.7617774619556999E-5</v>
      </c>
      <c r="L383" s="777">
        <f>$F$21*$F$8*'Traffic Data'!AN40*annualizationFactor</f>
        <v>1.1830599489530701E-4</v>
      </c>
      <c r="M383" s="777">
        <f>$F$21*$F$8*'Traffic Data'!AO40*annualizationFactor</f>
        <v>1.3900007954845803E-4</v>
      </c>
      <c r="N383" s="777">
        <f>$F$21*$F$8*'Traffic Data'!AP40*annualizationFactor</f>
        <v>1.5969807378654304E-4</v>
      </c>
      <c r="O383" s="777">
        <f>$F$21*$F$8*'Traffic Data'!AQ40*annualizationFactor</f>
        <v>1.8038629406229301E-4</v>
      </c>
      <c r="P383" s="777">
        <f>$F$21*$F$8*'Traffic Data'!AR40*annualizationFactor</f>
        <v>2.0109341066522406E-4</v>
      </c>
      <c r="Q383" s="777">
        <f>$F$21*$F$8*'Traffic Data'!AS40*annualizationFactor</f>
        <v>2.3086750632759001E-4</v>
      </c>
      <c r="R383" s="777">
        <f>$F$21*$F$8*'Traffic Data'!AT40*annualizationFactor</f>
        <v>2.60648117964846E-4</v>
      </c>
      <c r="S383" s="777">
        <f>$F$21*$F$8*'Traffic Data'!AU40*annualizationFactor</f>
        <v>2.9041634924981103E-4</v>
      </c>
      <c r="T383" s="777">
        <f>$F$21*$F$8*'Traffic Data'!AV40*annualizationFactor</f>
        <v>3.2019044491217701E-4</v>
      </c>
      <c r="U383" s="777">
        <f>$F$21*$F$8*'Traffic Data'!AW40*annualizationFactor</f>
        <v>3.4998343690172411E-4</v>
      </c>
      <c r="V383" s="777">
        <f>$F$21*$F$8*'Traffic Data'!AX40*annualizationFactor</f>
        <v>3.7031588494848002E-4</v>
      </c>
      <c r="W383" s="777">
        <f>$F$21*$F$8*'Traffic Data'!AY40*annualizationFactor</f>
        <v>3.7847649190071606E-4</v>
      </c>
      <c r="X383" s="777">
        <f>$F$21*$F$8*'Traffic Data'!AZ40*annualizationFactor</f>
        <v>3.8663709885295203E-4</v>
      </c>
      <c r="Y383" s="777">
        <f>$F$21*$F$8*'Traffic Data'!BA40*annualizationFactor</f>
        <v>3.9479770580518801E-4</v>
      </c>
      <c r="Z383" s="777">
        <f>$F$21*$F$8*'Traffic Data'!BB40*annualizationFactor</f>
        <v>4.029641771348251E-4</v>
      </c>
      <c r="AA383" s="777">
        <f>$F$21*$F$8*'Traffic Data'!BC40*annualizationFactor</f>
        <v>4.1112478408706103E-4</v>
      </c>
      <c r="AB383" s="777">
        <f>$F$21*$F$8*'Traffic Data'!BD40*annualizationFactor</f>
        <v>4.1929125541669807E-4</v>
      </c>
      <c r="AC383" s="777">
        <f>$F$21*$F$8*'Traffic Data'!BE40*annualizationFactor</f>
        <v>4.274518623689341E-4</v>
      </c>
      <c r="AD383" s="777">
        <f>$F$21*$F$8*'Traffic Data'!BF40*annualizationFactor</f>
        <v>4.3561246932117008E-4</v>
      </c>
      <c r="AE383" s="777">
        <f>$F$21*$F$8*'Traffic Data'!BG40*annualizationFactor</f>
        <v>4.4377894065080701E-4</v>
      </c>
      <c r="AF383" s="777">
        <f>$F$21*$F$8*'Traffic Data'!BH40*annualizationFactor</f>
        <v>4.5193954760304304E-4</v>
      </c>
      <c r="AG383" s="777">
        <f>$F$21*$F$8*'Traffic Data'!BI40*annualizationFactor</f>
        <v>4.6010015455527913E-4</v>
      </c>
      <c r="AH383" s="778">
        <f>$F$21*$F$8*'Traffic Data'!BJ40*annualizationFactor</f>
        <v>4.68266625884916E-4</v>
      </c>
      <c r="AI383" s="40"/>
      <c r="AJ383" s="40"/>
      <c r="AK383" s="40"/>
      <c r="AL383" s="40"/>
      <c r="AM383" s="40"/>
    </row>
    <row r="384" spans="2:39" ht="21.95" customHeight="1" x14ac:dyDescent="0.2">
      <c r="B384" s="1346"/>
      <c r="C384" s="254" t="s">
        <v>323</v>
      </c>
      <c r="D384" s="254" t="s">
        <v>338</v>
      </c>
      <c r="E384" s="116" t="s">
        <v>19</v>
      </c>
      <c r="F384" s="254" t="s">
        <v>438</v>
      </c>
      <c r="G384" s="970"/>
      <c r="H384" s="970"/>
      <c r="I384" s="777">
        <f>$F$21*$F$8*'Traffic Data'!AK41*annualizationFactor</f>
        <v>1.0477687623120001E-3</v>
      </c>
      <c r="J384" s="777">
        <f>$F$21*$F$8*'Traffic Data'!AL41*annualizationFactor</f>
        <v>1.0771097802192773E-3</v>
      </c>
      <c r="K384" s="777">
        <f>$F$21*$F$8*'Traffic Data'!AM41*annualizationFactor</f>
        <v>1.118922738960608E-3</v>
      </c>
      <c r="L384" s="777">
        <f>$F$21*$F$8*'Traffic Data'!AN41*annualizationFactor</f>
        <v>1.1776082673377031E-3</v>
      </c>
      <c r="M384" s="777">
        <f>$F$21*$F$8*'Traffic Data'!AO41*annualizationFactor</f>
        <v>1.2363182436525854E-3</v>
      </c>
      <c r="N384" s="777">
        <f>$F$21*$F$8*'Traffic Data'!AP41*annualizationFactor</f>
        <v>1.295022981123657E-3</v>
      </c>
      <c r="O384" s="777">
        <f>$F$21*$F$8*'Traffic Data'!AQ41*annualizationFactor</f>
        <v>1.3537085095007518E-3</v>
      </c>
      <c r="P384" s="777">
        <f>$F$21*$F$8*'Traffic Data'!AR41*annualizationFactor</f>
        <v>1.412441187472151E-3</v>
      </c>
      <c r="Q384" s="777">
        <f>$F$21*$F$8*'Traffic Data'!AS41*annualizationFactor</f>
        <v>1.4717309291688457E-3</v>
      </c>
      <c r="R384" s="777">
        <f>$F$21*$F$8*'Traffic Data'!AT41*annualizationFactor</f>
        <v>1.531038133678246E-3</v>
      </c>
      <c r="S384" s="777">
        <f>$F$21*$F$8*'Traffic Data'!AU41*annualizationFactor</f>
        <v>1.5903226365311294E-3</v>
      </c>
      <c r="T384" s="777">
        <f>$F$21*$F$8*'Traffic Data'!AV41*annualizationFactor</f>
        <v>1.6496123782278244E-3</v>
      </c>
      <c r="U384" s="777">
        <f>$F$21*$F$8*'Traffic Data'!AW41*annualizationFactor</f>
        <v>1.7089492695188241E-3</v>
      </c>
      <c r="V384" s="777">
        <f>$F$21*$F$8*'Traffic Data'!AX41*annualizationFactor</f>
        <v>1.7513385010794263E-3</v>
      </c>
      <c r="W384" s="777">
        <f>$F$21*$F$8*'Traffic Data'!AY41*annualizationFactor</f>
        <v>1.7806795189867033E-3</v>
      </c>
      <c r="X384" s="777">
        <f>$F$21*$F$8*'Traffic Data'!AZ41*annualizationFactor</f>
        <v>1.8100205368939801E-3</v>
      </c>
      <c r="Y384" s="777">
        <f>$F$21*$F$8*'Traffic Data'!BA41*annualizationFactor</f>
        <v>1.8393615548012571E-3</v>
      </c>
      <c r="Z384" s="777">
        <f>$F$21*$F$8*'Traffic Data'!BB41*annualizationFactor</f>
        <v>1.8687165429586983E-3</v>
      </c>
      <c r="AA384" s="777">
        <f>$F$21*$F$8*'Traffic Data'!BC41*annualizationFactor</f>
        <v>1.8980575608659759E-3</v>
      </c>
      <c r="AB384" s="777">
        <f>$F$21*$F$8*'Traffic Data'!BD41*annualizationFactor</f>
        <v>1.9274125490234171E-3</v>
      </c>
      <c r="AC384" s="777">
        <f>$F$21*$F$8*'Traffic Data'!BE41*annualizationFactor</f>
        <v>1.9567535669306941E-3</v>
      </c>
      <c r="AD384" s="777">
        <f>$F$21*$F$8*'Traffic Data'!BF41*annualizationFactor</f>
        <v>1.9860945848379709E-3</v>
      </c>
      <c r="AE384" s="777">
        <f>$F$21*$F$8*'Traffic Data'!BG41*annualizationFactor</f>
        <v>2.0154495729954119E-3</v>
      </c>
      <c r="AF384" s="777">
        <f>$F$21*$F$8*'Traffic Data'!BH41*annualizationFactor</f>
        <v>2.0447905909026886E-3</v>
      </c>
      <c r="AG384" s="777">
        <f>$F$21*$F$8*'Traffic Data'!BI41*annualizationFactor</f>
        <v>2.0741316088099659E-3</v>
      </c>
      <c r="AH384" s="778">
        <f>$F$21*$F$8*'Traffic Data'!BJ41*annualizationFactor</f>
        <v>2.1034865969674068E-3</v>
      </c>
      <c r="AI384" s="40"/>
      <c r="AJ384" s="40"/>
      <c r="AK384" s="40"/>
      <c r="AL384" s="40"/>
      <c r="AM384" s="40"/>
    </row>
    <row r="385" spans="2:39" ht="21.95" customHeight="1" x14ac:dyDescent="0.2">
      <c r="B385" s="492" t="s">
        <v>339</v>
      </c>
      <c r="C385" s="116" t="s">
        <v>335</v>
      </c>
      <c r="D385" s="116" t="s">
        <v>323</v>
      </c>
      <c r="E385" s="277" t="s">
        <v>19</v>
      </c>
      <c r="F385" s="277" t="s">
        <v>438</v>
      </c>
      <c r="G385" s="780"/>
      <c r="H385" s="780"/>
      <c r="I385" s="775">
        <f>$F$21*$G$8*'Traffic Data'!AK42*annualizationFactor</f>
        <v>3.0625081983000006E-6</v>
      </c>
      <c r="J385" s="775">
        <f>$F$21*$G$8*'Traffic Data'!AL42*annualizationFactor</f>
        <v>2.3210749634915706E-5</v>
      </c>
      <c r="K385" s="775">
        <f>$F$21*$G$8*'Traffic Data'!AM42*annualizationFactor</f>
        <v>1.3447167247915471E-4</v>
      </c>
      <c r="L385" s="775">
        <f>$F$21*$G$8*'Traffic Data'!AN42*annualizationFactor</f>
        <v>3.0972064161867397E-4</v>
      </c>
      <c r="M385" s="775">
        <f>$F$21*$G$8*'Traffic Data'!AO42*annualizationFactor</f>
        <v>4.8507986105333196E-4</v>
      </c>
      <c r="N385" s="775">
        <f>$F$21*$G$8*'Traffic Data'!AP42*annualizationFactor</f>
        <v>6.60448268012585E-4</v>
      </c>
      <c r="O385" s="775">
        <f>$F$21*$G$8*'Traffic Data'!AQ42*annualizationFactor</f>
        <v>8.3569723715210421E-4</v>
      </c>
      <c r="P385" s="775">
        <f>$F$21*$G$8*'Traffic Data'!AR42*annualizationFactor</f>
        <v>1.0111789569146941E-3</v>
      </c>
      <c r="Q385" s="775">
        <f>$F$21*$G$8*'Traffic Data'!AS42*annualizationFactor</f>
        <v>1.1097120956867982E-3</v>
      </c>
      <c r="R385" s="775">
        <f>$F$21*$G$8*'Traffic Data'!AT42*annualizationFactor</f>
        <v>1.2082819845572821E-3</v>
      </c>
      <c r="S385" s="775">
        <f>$F$21*$G$8*'Traffic Data'!AU42*annualizationFactor</f>
        <v>1.306842685903171E-3</v>
      </c>
      <c r="T385" s="775">
        <f>$F$21*$G$8*'Traffic Data'!AV42*annualizationFactor</f>
        <v>1.4053758246752751E-3</v>
      </c>
      <c r="U385" s="775">
        <f>$F$21*$G$8*'Traffic Data'!AW42*annualizationFactor</f>
        <v>1.5041417140704506E-3</v>
      </c>
      <c r="V385" s="775">
        <f>$F$21*$G$8*'Traffic Data'!AX42*annualizationFactor</f>
        <v>1.5385918687931275E-3</v>
      </c>
      <c r="W385" s="775">
        <f>$F$21*$G$8*'Traffic Data'!AY42*annualizationFactor</f>
        <v>1.5587401102297427E-3</v>
      </c>
      <c r="X385" s="775">
        <f>$F$21*$G$8*'Traffic Data'!AZ42*annualizationFactor</f>
        <v>1.5788883516663584E-3</v>
      </c>
      <c r="Y385" s="775">
        <f>$F$21*$G$8*'Traffic Data'!BA42*annualizationFactor</f>
        <v>1.5990365931029741E-3</v>
      </c>
      <c r="Z385" s="775">
        <f>$F$21*$G$8*'Traffic Data'!BB42*annualizationFactor</f>
        <v>1.6192644597527457E-3</v>
      </c>
      <c r="AA385" s="775">
        <f>$F$21*$G$8*'Traffic Data'!BC42*annualizationFactor</f>
        <v>1.6394127011893614E-3</v>
      </c>
      <c r="AB385" s="775">
        <f>$F$21*$G$8*'Traffic Data'!BD42*annualizationFactor</f>
        <v>1.6596405678391333E-3</v>
      </c>
      <c r="AC385" s="775">
        <f>$F$21*$G$8*'Traffic Data'!BE42*annualizationFactor</f>
        <v>1.6797888092757488E-3</v>
      </c>
      <c r="AD385" s="775">
        <f>$F$21*$G$8*'Traffic Data'!BF42*annualizationFactor</f>
        <v>1.6999370507123645E-3</v>
      </c>
      <c r="AE385" s="775">
        <f>$F$21*$G$8*'Traffic Data'!BG42*annualizationFactor</f>
        <v>1.7201649173621363E-3</v>
      </c>
      <c r="AF385" s="775">
        <f>$F$21*$G$8*'Traffic Data'!BH42*annualizationFactor</f>
        <v>1.7403131587987513E-3</v>
      </c>
      <c r="AG385" s="775">
        <f>$F$21*$G$8*'Traffic Data'!BI42*annualizationFactor</f>
        <v>1.760461400235367E-3</v>
      </c>
      <c r="AH385" s="776">
        <f>$F$21*$G$8*'Traffic Data'!BJ42*annualizationFactor</f>
        <v>1.780689266885139E-3</v>
      </c>
      <c r="AI385" s="40"/>
      <c r="AJ385" s="40"/>
      <c r="AK385" s="40"/>
      <c r="AL385" s="40"/>
      <c r="AM385" s="40"/>
    </row>
    <row r="386" spans="2:39" ht="21.95" customHeight="1" x14ac:dyDescent="0.2">
      <c r="B386" s="1346" t="s">
        <v>323</v>
      </c>
      <c r="C386" s="220" t="s">
        <v>282</v>
      </c>
      <c r="D386" s="220" t="s">
        <v>339</v>
      </c>
      <c r="E386" s="116" t="s">
        <v>19</v>
      </c>
      <c r="F386" s="116" t="s">
        <v>438</v>
      </c>
      <c r="G386" s="970"/>
      <c r="H386" s="970"/>
      <c r="I386" s="775">
        <f>$F$21*$H$8*'Traffic Data'!AK43*annualizationFactor</f>
        <v>8.7965661015000022E-6</v>
      </c>
      <c r="J386" s="775">
        <f>$F$21*$H$8*'Traffic Data'!AL43*annualizationFactor</f>
        <v>1.9550368160583749E-5</v>
      </c>
      <c r="K386" s="775">
        <f>$F$21*$H$8*'Traffic Data'!AM43*annualizationFactor</f>
        <v>8.2630543674440266E-5</v>
      </c>
      <c r="L386" s="775">
        <f>$F$21*$H$8*'Traffic Data'!AN43*annualizationFactor</f>
        <v>1.85748289799274E-4</v>
      </c>
      <c r="M386" s="775">
        <f>$F$21*$H$8*'Traffic Data'!AO43*annualizationFactor</f>
        <v>2.8892321360376755E-4</v>
      </c>
      <c r="N386" s="775">
        <f>$F$21*$H$8*'Traffic Data'!AP43*annualizationFactor</f>
        <v>3.9210253569131175E-4</v>
      </c>
      <c r="O386" s="775">
        <f>$F$21*$H$8*'Traffic Data'!AQ43*annualizationFactor</f>
        <v>4.9522028181614561E-4</v>
      </c>
      <c r="P386" s="775">
        <f>$F$21*$H$8*'Traffic Data'!AR43*annualizationFactor</f>
        <v>5.9845678158334961E-4</v>
      </c>
      <c r="Q386" s="775">
        <f>$F$21*$H$8*'Traffic Data'!AS43*annualizationFactor</f>
        <v>6.7806570480192466E-4</v>
      </c>
      <c r="R386" s="775">
        <f>$F$21*$H$8*'Traffic Data'!AT43*annualizationFactor</f>
        <v>7.5768782286965192E-4</v>
      </c>
      <c r="S386" s="775">
        <f>$F$21*$H$8*'Traffic Data'!AU43*annualizationFactor</f>
        <v>8.3729674608822675E-4</v>
      </c>
      <c r="T386" s="775">
        <f>$F$21*$H$8*'Traffic Data'!AV43*annualizationFactor</f>
        <v>9.169056693068018E-4</v>
      </c>
      <c r="U386" s="775">
        <f>$F$21*$H$8*'Traffic Data'!AW43*annualizationFactor</f>
        <v>9.9662015131859495E-4</v>
      </c>
      <c r="V386" s="775">
        <f>$F$21*$H$8*'Traffic Data'!AX43*annualizationFactor</f>
        <v>1.0361299279634819E-3</v>
      </c>
      <c r="W386" s="775">
        <f>$F$21*$H$8*'Traffic Data'!AY43*annualizationFactor</f>
        <v>1.046883730022566E-3</v>
      </c>
      <c r="X386" s="775">
        <f>$F$21*$H$8*'Traffic Data'!AZ43*annualizationFactor</f>
        <v>1.0576375320816495E-3</v>
      </c>
      <c r="Y386" s="775">
        <f>$F$21*$H$8*'Traffic Data'!BA43*annualizationFactor</f>
        <v>1.0683913341407337E-3</v>
      </c>
      <c r="Z386" s="775">
        <f>$F$21*$H$8*'Traffic Data'!BB43*annualizationFactor</f>
        <v>1.0791759241811725E-3</v>
      </c>
      <c r="AA386" s="775">
        <f>$F$21*$H$8*'Traffic Data'!BC43*annualizationFactor</f>
        <v>1.0899297262402562E-3</v>
      </c>
      <c r="AB386" s="775">
        <f>$F$21*$H$8*'Traffic Data'!BD43*annualizationFactor</f>
        <v>1.1007143162806948E-3</v>
      </c>
      <c r="AC386" s="775">
        <f>$F$21*$H$8*'Traffic Data'!BE43*annualizationFactor</f>
        <v>1.1114681183397787E-3</v>
      </c>
      <c r="AD386" s="775">
        <f>$F$21*$H$8*'Traffic Data'!BF43*annualizationFactor</f>
        <v>1.1222219203988627E-3</v>
      </c>
      <c r="AE386" s="775">
        <f>$F$21*$H$8*'Traffic Data'!BG43*annualizationFactor</f>
        <v>1.1330065104393015E-3</v>
      </c>
      <c r="AF386" s="775">
        <f>$F$21*$H$8*'Traffic Data'!BH43*annualizationFactor</f>
        <v>1.1437603124983854E-3</v>
      </c>
      <c r="AG386" s="775">
        <f>$F$21*$H$8*'Traffic Data'!BI43*annualizationFactor</f>
        <v>1.1545141145574691E-3</v>
      </c>
      <c r="AH386" s="776">
        <f>$F$21*$H$8*'Traffic Data'!BJ43*annualizationFactor</f>
        <v>1.1652987045979082E-3</v>
      </c>
      <c r="AI386" s="40"/>
      <c r="AJ386" s="40"/>
      <c r="AK386" s="40"/>
      <c r="AL386" s="40"/>
      <c r="AM386" s="40"/>
    </row>
    <row r="387" spans="2:39" ht="21.95" customHeight="1" x14ac:dyDescent="0.2">
      <c r="B387" s="1346"/>
      <c r="C387" s="116" t="s">
        <v>339</v>
      </c>
      <c r="D387" s="116" t="s">
        <v>288</v>
      </c>
      <c r="E387" s="116" t="s">
        <v>19</v>
      </c>
      <c r="F387" s="116" t="s">
        <v>438</v>
      </c>
      <c r="G387" s="970"/>
      <c r="H387" s="970"/>
      <c r="I387" s="777">
        <f>$F$21*$H$8*'Traffic Data'!AK44*annualizationFactor</f>
        <v>0</v>
      </c>
      <c r="J387" s="777">
        <f>$F$21*$H$8*'Traffic Data'!AL44*annualizationFactor</f>
        <v>5.9842713389760009E-6</v>
      </c>
      <c r="K387" s="777">
        <f>$F$21*$H$8*'Traffic Data'!AM44*annualizationFactor</f>
        <v>1.7138186836180205E-5</v>
      </c>
      <c r="L387" s="777">
        <f>$F$21*$H$8*'Traffic Data'!AN44*annualizationFactor</f>
        <v>3.8525571217627209E-5</v>
      </c>
      <c r="M387" s="777">
        <f>$F$21*$H$8*'Traffic Data'!AO44*annualizationFactor</f>
        <v>5.992481467337402E-5</v>
      </c>
      <c r="N387" s="777">
        <f>$F$21*$H$8*'Traffic Data'!AP44*annualizationFactor</f>
        <v>8.1324970365605396E-5</v>
      </c>
      <c r="O387" s="777">
        <f>$F$21*$H$8*'Traffic Data'!AQ44*annualizationFactor</f>
        <v>1.0271235474705241E-4</v>
      </c>
      <c r="P387" s="777">
        <f>$F$21*$H$8*'Traffic Data'!AR44*annualizationFactor</f>
        <v>1.2412436951358361E-4</v>
      </c>
      <c r="Q387" s="777">
        <f>$F$21*$H$8*'Traffic Data'!AS44*annualizationFactor</f>
        <v>1.4063584988484364E-4</v>
      </c>
      <c r="R387" s="777">
        <f>$F$21*$H$8*'Traffic Data'!AT44*annualizationFactor</f>
        <v>1.5715006696555745E-4</v>
      </c>
      <c r="S387" s="777">
        <f>$F$21*$H$8*'Traffic Data'!AU44*annualizationFactor</f>
        <v>1.7366154733681742E-4</v>
      </c>
      <c r="T387" s="777">
        <f>$F$21*$H$8*'Traffic Data'!AV44*annualizationFactor</f>
        <v>1.9017302770807742E-4</v>
      </c>
      <c r="U387" s="777">
        <f>$F$21*$H$8*'Traffic Data'!AW44*annualizationFactor</f>
        <v>2.067064017549678E-4</v>
      </c>
      <c r="V387" s="777">
        <f>$F$21*$H$8*'Traffic Data'!AX44*annualizationFactor</f>
        <v>2.1490102209612962E-4</v>
      </c>
      <c r="W387" s="777">
        <f>$F$21*$H$8*'Traffic Data'!AY44*annualizationFactor</f>
        <v>2.1713144030097666E-4</v>
      </c>
      <c r="X387" s="777">
        <f>$F$21*$H$8*'Traffic Data'!AZ44*annualizationFactor</f>
        <v>2.1936185850582364E-4</v>
      </c>
      <c r="Y387" s="777">
        <f>$F$21*$H$8*'Traffic Data'!BA44*annualizationFactor</f>
        <v>2.2159227671067068E-4</v>
      </c>
      <c r="Z387" s="777">
        <f>$F$21*$H$8*'Traffic Data'!BB44*annualizationFactor</f>
        <v>2.2382908057090988E-4</v>
      </c>
      <c r="AA387" s="777">
        <f>$F$21*$H$8*'Traffic Data'!BC44*annualizationFactor</f>
        <v>2.2605949877575683E-4</v>
      </c>
      <c r="AB387" s="777">
        <f>$F$21*$H$8*'Traffic Data'!BD44*annualizationFactor</f>
        <v>2.2829630263599597E-4</v>
      </c>
      <c r="AC387" s="777">
        <f>$F$21*$H$8*'Traffic Data'!BE44*annualizationFactor</f>
        <v>2.3052672084084301E-4</v>
      </c>
      <c r="AD387" s="777">
        <f>$F$21*$H$8*'Traffic Data'!BF44*annualizationFactor</f>
        <v>2.3275713904569002E-4</v>
      </c>
      <c r="AE387" s="777">
        <f>$F$21*$H$8*'Traffic Data'!BG44*annualizationFactor</f>
        <v>2.3499394290592922E-4</v>
      </c>
      <c r="AF387" s="777">
        <f>$F$21*$H$8*'Traffic Data'!BH44*annualizationFactor</f>
        <v>2.372243611107762E-4</v>
      </c>
      <c r="AG387" s="777">
        <f>$F$21*$H$8*'Traffic Data'!BI44*annualizationFactor</f>
        <v>2.3945477931562324E-4</v>
      </c>
      <c r="AH387" s="778">
        <f>$F$21*$H$8*'Traffic Data'!BJ44*annualizationFactor</f>
        <v>2.4169158317586241E-4</v>
      </c>
      <c r="AI387" s="40"/>
      <c r="AJ387" s="40"/>
      <c r="AK387" s="40"/>
      <c r="AL387" s="40"/>
      <c r="AM387" s="40"/>
    </row>
    <row r="388" spans="2:39" ht="21.95" customHeight="1" x14ac:dyDescent="0.2">
      <c r="B388" s="1346"/>
      <c r="C388" s="116" t="s">
        <v>288</v>
      </c>
      <c r="D388" s="116" t="s">
        <v>340</v>
      </c>
      <c r="E388" s="116" t="s">
        <v>19</v>
      </c>
      <c r="F388" s="116" t="s">
        <v>438</v>
      </c>
      <c r="G388" s="970"/>
      <c r="H388" s="970"/>
      <c r="I388" s="777">
        <f>$F$21*$H$8*'Traffic Data'!AK45*annualizationFactor</f>
        <v>0</v>
      </c>
      <c r="J388" s="777">
        <f>$F$21*$H$8*'Traffic Data'!AL45*annualizationFactor</f>
        <v>1.5601850276616001E-5</v>
      </c>
      <c r="K388" s="777">
        <f>$F$21*$H$8*'Traffic Data'!AM45*annualizationFactor</f>
        <v>4.4681701394326958E-5</v>
      </c>
      <c r="L388" s="777">
        <f>$F$21*$H$8*'Traffic Data'!AN45*annualizationFactor</f>
        <v>1.004416678173852E-4</v>
      </c>
      <c r="M388" s="777">
        <f>$F$21*$H$8*'Traffic Data'!AO45*annualizationFactor</f>
        <v>1.5623255254129653E-4</v>
      </c>
      <c r="N388" s="777">
        <f>$F$21*$H$8*'Traffic Data'!AP45*annualizationFactor</f>
        <v>2.120258155960426E-4</v>
      </c>
      <c r="O388" s="777">
        <f>$F$21*$H$8*'Traffic Data'!AQ45*annualizationFactor</f>
        <v>2.6778578201910088E-4</v>
      </c>
      <c r="P388" s="777">
        <f>$F$21*$H$8*'Traffic Data'!AR45*annualizationFactor</f>
        <v>3.2360996337470009E-4</v>
      </c>
      <c r="Q388" s="777">
        <f>$F$21*$H$8*'Traffic Data'!AS45*annualizationFactor</f>
        <v>3.6665775148548516E-4</v>
      </c>
      <c r="R388" s="777">
        <f>$F$21*$H$8*'Traffic Data'!AT45*annualizationFactor</f>
        <v>4.0971267458877472E-4</v>
      </c>
      <c r="S388" s="777">
        <f>$F$21*$H$8*'Traffic Data'!AU45*annualizationFactor</f>
        <v>4.5276046269955962E-4</v>
      </c>
      <c r="T388" s="777">
        <f>$F$21*$H$8*'Traffic Data'!AV45*annualizationFactor</f>
        <v>4.9580825081034464E-4</v>
      </c>
      <c r="U388" s="777">
        <f>$F$21*$H$8*'Traffic Data'!AW45*annualizationFactor</f>
        <v>5.3891311886116616E-4</v>
      </c>
      <c r="V388" s="777">
        <f>$F$21*$H$8*'Traffic Data'!AX45*annualizationFactor</f>
        <v>5.6027766475062355E-4</v>
      </c>
      <c r="W388" s="777">
        <f>$F$21*$H$8*'Traffic Data'!AY45*annualizationFactor</f>
        <v>5.6609268364183197E-4</v>
      </c>
      <c r="X388" s="777">
        <f>$F$21*$H$8*'Traffic Data'!AZ45*annualizationFactor</f>
        <v>5.7190770253304018E-4</v>
      </c>
      <c r="Y388" s="777">
        <f>$F$21*$H$8*'Traffic Data'!BA45*annualizationFactor</f>
        <v>5.7772272142424838E-4</v>
      </c>
      <c r="Z388" s="777">
        <f>$F$21*$H$8*'Traffic Data'!BB45*annualizationFactor</f>
        <v>5.8355438863130066E-4</v>
      </c>
      <c r="AA388" s="777">
        <f>$F$21*$H$8*'Traffic Data'!BC45*annualizationFactor</f>
        <v>5.8936940752250886E-4</v>
      </c>
      <c r="AB388" s="777">
        <f>$F$21*$H$8*'Traffic Data'!BD45*annualizationFactor</f>
        <v>5.9520107472956093E-4</v>
      </c>
      <c r="AC388" s="777">
        <f>$F$21*$H$8*'Traffic Data'!BE45*annualizationFactor</f>
        <v>6.0101609362076924E-4</v>
      </c>
      <c r="AD388" s="777">
        <f>$F$21*$H$8*'Traffic Data'!BF45*annualizationFactor</f>
        <v>6.0683111251197744E-4</v>
      </c>
      <c r="AE388" s="777">
        <f>$F$21*$H$8*'Traffic Data'!BG45*annualizationFactor</f>
        <v>6.1266277971902961E-4</v>
      </c>
      <c r="AF388" s="777">
        <f>$F$21*$H$8*'Traffic Data'!BH45*annualizationFactor</f>
        <v>6.1847779861023792E-4</v>
      </c>
      <c r="AG388" s="777">
        <f>$F$21*$H$8*'Traffic Data'!BI45*annualizationFactor</f>
        <v>6.2429281750144613E-4</v>
      </c>
      <c r="AH388" s="778">
        <f>$F$21*$H$8*'Traffic Data'!BJ45*annualizationFactor</f>
        <v>6.301244847084983E-4</v>
      </c>
      <c r="AI388" s="40"/>
      <c r="AJ388" s="40"/>
      <c r="AK388" s="40"/>
      <c r="AL388" s="40"/>
      <c r="AM388" s="40"/>
    </row>
    <row r="389" spans="2:39" ht="21.95" customHeight="1" x14ac:dyDescent="0.2">
      <c r="B389" s="1346"/>
      <c r="C389" s="254" t="s">
        <v>340</v>
      </c>
      <c r="D389" s="254" t="s">
        <v>280</v>
      </c>
      <c r="E389" s="116" t="s">
        <v>19</v>
      </c>
      <c r="F389" s="254" t="s">
        <v>438</v>
      </c>
      <c r="G389" s="970"/>
      <c r="H389" s="970"/>
      <c r="I389" s="777">
        <f>$F$21*$H$8*'Traffic Data'!AK46*annualizationFactor</f>
        <v>2.0525320903500002E-5</v>
      </c>
      <c r="J389" s="777">
        <f>$F$21*$H$8*'Traffic Data'!AL46*annualizationFactor</f>
        <v>3.0597095870847453E-5</v>
      </c>
      <c r="K389" s="777">
        <f>$F$21*$H$8*'Traffic Data'!AM46*annualizationFactor</f>
        <v>4.3078543512265803E-5</v>
      </c>
      <c r="L389" s="777">
        <f>$F$21*$H$8*'Traffic Data'!AN46*annualizationFactor</f>
        <v>7.4631435159852892E-5</v>
      </c>
      <c r="M389" s="777">
        <f>$F$21*$H$8*'Traffic Data'!AO46*annualizationFactor</f>
        <v>1.0618774769425725E-4</v>
      </c>
      <c r="N389" s="777">
        <f>$F$21*$H$8*'Traffic Data'!AP46*annualizationFactor</f>
        <v>1.3775979630802101E-4</v>
      </c>
      <c r="O389" s="777">
        <f>$F$21*$H$8*'Traffic Data'!AQ46*annualizationFactor</f>
        <v>1.6931268795560808E-4</v>
      </c>
      <c r="P389" s="777">
        <f>$F$21*$H$8*'Traffic Data'!AR46*annualizationFactor</f>
        <v>2.0085531694274343E-4</v>
      </c>
      <c r="Q389" s="777">
        <f>$F$21*$H$8*'Traffic Data'!AS46*annualizationFactor</f>
        <v>2.8114421472096436E-4</v>
      </c>
      <c r="R389" s="777">
        <f>$F$21*$H$8*'Traffic Data'!AT46*annualizationFactor</f>
        <v>3.6140164034046665E-4</v>
      </c>
      <c r="S389" s="777">
        <f>$F$21*$H$8*'Traffic Data'!AU46*annualizationFactor</f>
        <v>4.4165290836369791E-4</v>
      </c>
      <c r="T389" s="777">
        <f>$F$21*$H$8*'Traffic Data'!AV46*annualizationFactor</f>
        <v>5.2194180614191879E-4</v>
      </c>
      <c r="U389" s="777">
        <f>$F$21*$H$8*'Traffic Data'!AW46*annualizationFactor</f>
        <v>6.0222044125968796E-4</v>
      </c>
      <c r="V389" s="777">
        <f>$F$21*$H$8*'Traffic Data'!AX46*annualizationFactor</f>
        <v>6.6341394882401953E-4</v>
      </c>
      <c r="W389" s="777">
        <f>$F$21*$H$8*'Traffic Data'!AY46*annualizationFactor</f>
        <v>6.7348572379136683E-4</v>
      </c>
      <c r="X389" s="777">
        <f>$F$21*$H$8*'Traffic Data'!AZ46*annualizationFactor</f>
        <v>6.8355749875871434E-4</v>
      </c>
      <c r="Y389" s="777">
        <f>$F$21*$H$8*'Traffic Data'!BA46*annualizationFactor</f>
        <v>6.9362927372606186E-4</v>
      </c>
      <c r="Z389" s="777">
        <f>$F$21*$H$8*'Traffic Data'!BB46*annualizationFactor</f>
        <v>7.0367026071205404E-4</v>
      </c>
      <c r="AA389" s="777">
        <f>$F$21*$H$8*'Traffic Data'!BC46*annualizationFactor</f>
        <v>7.1374203567940156E-4</v>
      </c>
      <c r="AB389" s="777">
        <f>$F$21*$H$8*'Traffic Data'!BD46*annualizationFactor</f>
        <v>7.2378302266539385E-4</v>
      </c>
      <c r="AC389" s="777">
        <f>$F$21*$H$8*'Traffic Data'!BE46*annualizationFactor</f>
        <v>7.3385479763274125E-4</v>
      </c>
      <c r="AD389" s="777">
        <f>$F$21*$H$8*'Traffic Data'!BF46*annualizationFactor</f>
        <v>7.4392657260008866E-4</v>
      </c>
      <c r="AE389" s="777">
        <f>$F$21*$H$8*'Traffic Data'!BG46*annualizationFactor</f>
        <v>7.5396755958608073E-4</v>
      </c>
      <c r="AF389" s="777">
        <f>$F$21*$H$8*'Traffic Data'!BH46*annualizationFactor</f>
        <v>7.6403933455342836E-4</v>
      </c>
      <c r="AG389" s="777">
        <f>$F$21*$H$8*'Traffic Data'!BI46*annualizationFactor</f>
        <v>7.7411110952077566E-4</v>
      </c>
      <c r="AH389" s="778">
        <f>$F$21*$H$8*'Traffic Data'!BJ46*annualizationFactor</f>
        <v>7.8415209650676784E-4</v>
      </c>
      <c r="AI389" s="40"/>
      <c r="AJ389" s="40"/>
      <c r="AK389" s="40"/>
      <c r="AL389" s="40"/>
      <c r="AM389" s="40"/>
    </row>
    <row r="390" spans="2:39" ht="21.95" customHeight="1" x14ac:dyDescent="0.2">
      <c r="B390" s="1346" t="s">
        <v>334</v>
      </c>
      <c r="C390" s="116" t="s">
        <v>336</v>
      </c>
      <c r="D390" s="116" t="s">
        <v>337</v>
      </c>
      <c r="E390" s="220" t="s">
        <v>19</v>
      </c>
      <c r="F390" s="116" t="s">
        <v>438</v>
      </c>
      <c r="G390" s="775"/>
      <c r="H390" s="775"/>
      <c r="I390" s="775">
        <f>$F$21*$I$8*'Traffic Data'!AK47*annualizationFactor</f>
        <v>6.3856553922000004E-4</v>
      </c>
      <c r="J390" s="775">
        <f>$F$21*$I$8*'Traffic Data'!AL47*annualizationFactor</f>
        <v>6.5625380465639401E-4</v>
      </c>
      <c r="K390" s="775">
        <f>$F$21*$I$8*'Traffic Data'!AM47*annualizationFactor</f>
        <v>6.847999648507396E-4</v>
      </c>
      <c r="L390" s="775">
        <f>$F$21*$I$8*'Traffic Data'!AN47*annualizationFactor</f>
        <v>7.2558149689478258E-4</v>
      </c>
      <c r="M390" s="775">
        <f>$F$21*$I$8*'Traffic Data'!AO47*annualizationFactor</f>
        <v>7.6638127366851776E-4</v>
      </c>
      <c r="N390" s="775">
        <f>$F$21*$I$8*'Traffic Data'!AP47*annualizationFactor</f>
        <v>8.0717876985104129E-4</v>
      </c>
      <c r="O390" s="775">
        <f>$F$21*$I$8*'Traffic Data'!AQ47*annualizationFactor</f>
        <v>8.4796030189508438E-4</v>
      </c>
      <c r="P390" s="775">
        <f>$F$21*$I$8*'Traffic Data'!AR47*annualizationFactor</f>
        <v>8.8877832339851121E-4</v>
      </c>
      <c r="Q390" s="775">
        <f>$F$21*$I$8*'Traffic Data'!AS47*annualizationFactor</f>
        <v>9.2511042198891748E-4</v>
      </c>
      <c r="R390" s="775">
        <f>$F$21*$I$8*'Traffic Data'!AT47*annualizationFactor</f>
        <v>9.6145392353538155E-4</v>
      </c>
      <c r="S390" s="775">
        <f>$F$21*$I$8*'Traffic Data'!AU47*annualizationFactor</f>
        <v>9.9778602212578804E-4</v>
      </c>
      <c r="T390" s="775">
        <f>$F$21*$I$8*'Traffic Data'!AV47*annualizationFactor</f>
        <v>1.0341181207161945E-3</v>
      </c>
      <c r="U390" s="775">
        <f>$F$21*$I$8*'Traffic Data'!AW47*annualizationFactor</f>
        <v>1.0704867087659852E-3</v>
      </c>
      <c r="V390" s="775">
        <f>$F$21*$I$8*'Traffic Data'!AX47*annualizationFactor</f>
        <v>1.0945651907770021E-3</v>
      </c>
      <c r="W390" s="775">
        <f>$F$21*$I$8*'Traffic Data'!AY47*annualizationFactor</f>
        <v>1.1122534562133962E-3</v>
      </c>
      <c r="X390" s="775">
        <f>$F$21*$I$8*'Traffic Data'!AZ47*annualizationFactor</f>
        <v>1.1299417216497902E-3</v>
      </c>
      <c r="Y390" s="775">
        <f>$F$21*$I$8*'Traffic Data'!BA47*annualizationFactor</f>
        <v>1.1476299870861841E-3</v>
      </c>
      <c r="Z390" s="775">
        <f>$F$21*$I$8*'Traffic Data'!BB47*annualizationFactor</f>
        <v>1.1653296554786357E-3</v>
      </c>
      <c r="AA390" s="775">
        <f>$F$21*$I$8*'Traffic Data'!BC47*annualizationFactor</f>
        <v>1.18301792091503E-3</v>
      </c>
      <c r="AB390" s="775">
        <f>$F$21*$I$8*'Traffic Data'!BD47*annualizationFactor</f>
        <v>1.2007175893074811E-3</v>
      </c>
      <c r="AC390" s="775">
        <f>$F$21*$I$8*'Traffic Data'!BE47*annualizationFactor</f>
        <v>1.2184058547438752E-3</v>
      </c>
      <c r="AD390" s="775">
        <f>$F$21*$I$8*'Traffic Data'!BF47*annualizationFactor</f>
        <v>1.236094120180269E-3</v>
      </c>
      <c r="AE390" s="775">
        <f>$F$21*$I$8*'Traffic Data'!BG47*annualizationFactor</f>
        <v>1.2537937885727206E-3</v>
      </c>
      <c r="AF390" s="775">
        <f>$F$21*$I$8*'Traffic Data'!BH47*annualizationFactor</f>
        <v>1.2714820540091144E-3</v>
      </c>
      <c r="AG390" s="775">
        <f>$F$21*$I$8*'Traffic Data'!BI47*annualizationFactor</f>
        <v>1.2891703194455085E-3</v>
      </c>
      <c r="AH390" s="776">
        <f>$F$21*$I$8*'Traffic Data'!BJ47*annualizationFactor</f>
        <v>1.3068699878379601E-3</v>
      </c>
      <c r="AI390" s="40"/>
      <c r="AJ390" s="40"/>
      <c r="AK390" s="40"/>
      <c r="AL390" s="40"/>
      <c r="AM390" s="40"/>
    </row>
    <row r="391" spans="2:39" ht="21.95" customHeight="1" x14ac:dyDescent="0.2">
      <c r="B391" s="1346"/>
      <c r="C391" s="116" t="s">
        <v>337</v>
      </c>
      <c r="D391" s="116" t="s">
        <v>386</v>
      </c>
      <c r="E391" s="116" t="s">
        <v>19</v>
      </c>
      <c r="F391" s="116" t="s">
        <v>438</v>
      </c>
      <c r="G391" s="970"/>
      <c r="H391" s="970"/>
      <c r="I391" s="777">
        <f>$F$21*$I$8*'Traffic Data'!AK48*annualizationFactor</f>
        <v>1.0034601330600002E-3</v>
      </c>
      <c r="J391" s="777">
        <f>$F$21*$I$8*'Traffic Data'!AL48*annualizationFactor</f>
        <v>1.0054670533261201E-3</v>
      </c>
      <c r="K391" s="777">
        <f>$F$21*$I$8*'Traffic Data'!AM48*annualizationFactor</f>
        <v>1.0074739735922401E-3</v>
      </c>
      <c r="L391" s="777">
        <f>$F$21*$I$8*'Traffic Data'!AN48*annualizationFactor</f>
        <v>1.00948089385836E-3</v>
      </c>
      <c r="M391" s="777">
        <f>$F$21*$I$8*'Traffic Data'!AO48*annualizationFactor</f>
        <v>1.0114878141244802E-3</v>
      </c>
      <c r="N391" s="777">
        <f>$F$21*$I$8*'Traffic Data'!AP48*annualizationFactor</f>
        <v>1.0134947343906002E-3</v>
      </c>
      <c r="O391" s="777">
        <f>$F$21*$I$8*'Traffic Data'!AQ48*annualizationFactor</f>
        <v>1.0155016546567201E-3</v>
      </c>
      <c r="P391" s="777">
        <f>$F$21*$I$8*'Traffic Data'!AR48*annualizationFactor</f>
        <v>1.0175085749228401E-3</v>
      </c>
      <c r="Q391" s="777">
        <f>$F$21*$I$8*'Traffic Data'!AS48*annualizationFactor</f>
        <v>1.0195154951889601E-3</v>
      </c>
      <c r="R391" s="777">
        <f>$F$21*$I$8*'Traffic Data'!AT48*annualizationFactor</f>
        <v>1.0195154951889601E-3</v>
      </c>
      <c r="S391" s="777">
        <f>$F$21*$I$8*'Traffic Data'!AU48*annualizationFactor</f>
        <v>1.0435935210817348E-3</v>
      </c>
      <c r="T391" s="777">
        <f>$F$21*$I$8*'Traffic Data'!AV48*annualizationFactor</f>
        <v>1.0701532863308637E-3</v>
      </c>
      <c r="U391" s="777">
        <f>$F$21*$I$8*'Traffic Data'!AW48*annualizationFactor</f>
        <v>1.0967294718367154E-3</v>
      </c>
      <c r="V391" s="777">
        <f>$F$21*$I$8*'Traffic Data'!AX48*annualizationFactor</f>
        <v>1.1181538017957888E-3</v>
      </c>
      <c r="W391" s="777">
        <f>$F$21*$I$8*'Traffic Data'!AY48*annualizationFactor</f>
        <v>1.1357440018100883E-3</v>
      </c>
      <c r="X391" s="777">
        <f>$F$21*$I$8*'Traffic Data'!AZ48*annualizationFactor</f>
        <v>1.1533342018243877E-3</v>
      </c>
      <c r="Y391" s="777">
        <f>$F$21*$I$8*'Traffic Data'!BA48*annualizationFactor</f>
        <v>1.1709244018386874E-3</v>
      </c>
      <c r="Z391" s="777">
        <f>$F$21*$I$8*'Traffic Data'!BB48*annualizationFactor</f>
        <v>1.1885187069171676E-3</v>
      </c>
      <c r="AA391" s="777">
        <f>$F$21*$I$8*'Traffic Data'!BC48*annualizationFactor</f>
        <v>1.206108906931467E-3</v>
      </c>
      <c r="AB391" s="777">
        <f>$F$21*$I$8*'Traffic Data'!BD48*annualizationFactor</f>
        <v>1.2237032120099472E-3</v>
      </c>
      <c r="AC391" s="777">
        <f>$F$21*$I$8*'Traffic Data'!BE48*annualizationFactor</f>
        <v>1.2412934120242468E-3</v>
      </c>
      <c r="AD391" s="777">
        <f>$F$21*$I$8*'Traffic Data'!BF48*annualizationFactor</f>
        <v>1.2588836120385461E-3</v>
      </c>
      <c r="AE391" s="777">
        <f>$F$21*$I$8*'Traffic Data'!BG48*annualizationFactor</f>
        <v>1.2764779171170265E-3</v>
      </c>
      <c r="AF391" s="777">
        <f>$F$21*$I$8*'Traffic Data'!BH48*annualizationFactor</f>
        <v>1.2940681171313257E-3</v>
      </c>
      <c r="AG391" s="777">
        <f>$F$21*$I$8*'Traffic Data'!BI48*annualizationFactor</f>
        <v>1.3116583171456254E-3</v>
      </c>
      <c r="AH391" s="778">
        <f>$F$21*$I$8*'Traffic Data'!BJ48*annualizationFactor</f>
        <v>1.3292526222241057E-3</v>
      </c>
      <c r="AI391" s="40"/>
      <c r="AJ391" s="40"/>
      <c r="AK391" s="40"/>
      <c r="AL391" s="40"/>
      <c r="AM391" s="40"/>
    </row>
    <row r="392" spans="2:39" ht="21.95" customHeight="1" x14ac:dyDescent="0.2">
      <c r="B392" s="1346"/>
      <c r="C392" s="116" t="s">
        <v>342</v>
      </c>
      <c r="D392" s="116" t="s">
        <v>341</v>
      </c>
      <c r="E392" s="116" t="s">
        <v>19</v>
      </c>
      <c r="F392" s="116" t="s">
        <v>438</v>
      </c>
      <c r="G392" s="970"/>
      <c r="H392" s="970"/>
      <c r="I392" s="777">
        <f>$F$21*$I$8*'Traffic Data'!AK49*annualizationFactor</f>
        <v>1.3044981729780003E-3</v>
      </c>
      <c r="J392" s="777">
        <f>$F$21*$I$8*'Traffic Data'!AL49*annualizationFactor</f>
        <v>1.3071071693239562E-3</v>
      </c>
      <c r="K392" s="777">
        <f>$F$21*$I$8*'Traffic Data'!AM49*annualizationFactor</f>
        <v>1.3097161656699123E-3</v>
      </c>
      <c r="L392" s="777">
        <f>$F$21*$I$8*'Traffic Data'!AN49*annualizationFactor</f>
        <v>1.3123251620158684E-3</v>
      </c>
      <c r="M392" s="777">
        <f>$F$21*$I$8*'Traffic Data'!AO49*annualizationFactor</f>
        <v>1.3149341583618241E-3</v>
      </c>
      <c r="N392" s="777">
        <f>$F$21*$I$8*'Traffic Data'!AP49*annualizationFactor</f>
        <v>1.3175431547077802E-3</v>
      </c>
      <c r="O392" s="777">
        <f>$F$21*$I$8*'Traffic Data'!AQ49*annualizationFactor</f>
        <v>1.3201521510537361E-3</v>
      </c>
      <c r="P392" s="777">
        <f>$F$21*$I$8*'Traffic Data'!AR49*annualizationFactor</f>
        <v>1.3227611473996923E-3</v>
      </c>
      <c r="Q392" s="777">
        <f>$F$21*$I$8*'Traffic Data'!AS49*annualizationFactor</f>
        <v>1.3253701437456484E-3</v>
      </c>
      <c r="R392" s="777">
        <f>$F$21*$I$8*'Traffic Data'!AT49*annualizationFactor</f>
        <v>1.3253701437456484E-3</v>
      </c>
      <c r="S392" s="777">
        <f>$F$21*$I$8*'Traffic Data'!AU49*annualizationFactor</f>
        <v>1.3566715774062552E-3</v>
      </c>
      <c r="T392" s="777">
        <f>$F$21*$I$8*'Traffic Data'!AV49*annualizationFactor</f>
        <v>1.3911992722301229E-3</v>
      </c>
      <c r="U392" s="777">
        <f>$F$21*$I$8*'Traffic Data'!AW49*annualizationFactor</f>
        <v>1.4257483133877302E-3</v>
      </c>
      <c r="V392" s="777">
        <f>$F$21*$I$8*'Traffic Data'!AX49*annualizationFactor</f>
        <v>1.4535999423345254E-3</v>
      </c>
      <c r="W392" s="777">
        <f>$F$21*$I$8*'Traffic Data'!AY49*annualizationFactor</f>
        <v>1.4764672023531147E-3</v>
      </c>
      <c r="X392" s="777">
        <f>$F$21*$I$8*'Traffic Data'!AZ49*annualizationFactor</f>
        <v>1.499334462371704E-3</v>
      </c>
      <c r="Y392" s="777">
        <f>$F$21*$I$8*'Traffic Data'!BA49*annualizationFactor</f>
        <v>1.5222017223902934E-3</v>
      </c>
      <c r="Z392" s="777">
        <f>$F$21*$I$8*'Traffic Data'!BB49*annualizationFactor</f>
        <v>1.5450743189923178E-3</v>
      </c>
      <c r="AA392" s="777">
        <f>$F$21*$I$8*'Traffic Data'!BC49*annualizationFactor</f>
        <v>1.5679415790109074E-3</v>
      </c>
      <c r="AB392" s="777">
        <f>$F$21*$I$8*'Traffic Data'!BD49*annualizationFactor</f>
        <v>1.5908141756129314E-3</v>
      </c>
      <c r="AC392" s="777">
        <f>$F$21*$I$8*'Traffic Data'!BE49*annualizationFactor</f>
        <v>1.6136814356315207E-3</v>
      </c>
      <c r="AD392" s="777">
        <f>$F$21*$I$8*'Traffic Data'!BF49*annualizationFactor</f>
        <v>1.6365486956501098E-3</v>
      </c>
      <c r="AE392" s="777">
        <f>$F$21*$I$8*'Traffic Data'!BG49*annualizationFactor</f>
        <v>1.6594212922521345E-3</v>
      </c>
      <c r="AF392" s="777">
        <f>$F$21*$I$8*'Traffic Data'!BH49*annualizationFactor</f>
        <v>1.6822885522707236E-3</v>
      </c>
      <c r="AG392" s="777">
        <f>$F$21*$I$8*'Traffic Data'!BI49*annualizationFactor</f>
        <v>1.7051558122893129E-3</v>
      </c>
      <c r="AH392" s="778">
        <f>$F$21*$I$8*'Traffic Data'!BJ49*annualizationFactor</f>
        <v>1.7280284088913374E-3</v>
      </c>
      <c r="AI392" s="40"/>
      <c r="AJ392" s="40"/>
      <c r="AK392" s="40"/>
      <c r="AL392" s="40"/>
      <c r="AM392" s="40"/>
    </row>
    <row r="393" spans="2:39" ht="21.95" customHeight="1" x14ac:dyDescent="0.2">
      <c r="B393" s="1346"/>
      <c r="C393" s="116" t="s">
        <v>341</v>
      </c>
      <c r="D393" s="116" t="s">
        <v>344</v>
      </c>
      <c r="E393" s="116" t="s">
        <v>19</v>
      </c>
      <c r="F393" s="116" t="s">
        <v>438</v>
      </c>
      <c r="G393" s="970"/>
      <c r="H393" s="970"/>
      <c r="I393" s="777">
        <f>$F$21*$I$8*'Traffic Data'!AK50*annualizationFactor</f>
        <v>1.4468070645756001E-3</v>
      </c>
      <c r="J393" s="777">
        <f>$F$21*$I$8*'Traffic Data'!AL50*annualizationFactor</f>
        <v>1.4497006787047512E-3</v>
      </c>
      <c r="K393" s="777">
        <f>$F$21*$I$8*'Traffic Data'!AM50*annualizationFactor</f>
        <v>1.4525942928339027E-3</v>
      </c>
      <c r="L393" s="777">
        <f>$F$21*$I$8*'Traffic Data'!AN50*annualizationFactor</f>
        <v>1.4554879069630538E-3</v>
      </c>
      <c r="M393" s="777">
        <f>$F$21*$I$8*'Traffic Data'!AO50*annualizationFactor</f>
        <v>1.4583815210922049E-3</v>
      </c>
      <c r="N393" s="777">
        <f>$F$21*$I$8*'Traffic Data'!AP50*annualizationFactor</f>
        <v>1.4612751352213564E-3</v>
      </c>
      <c r="O393" s="777">
        <f>$F$21*$I$8*'Traffic Data'!AQ50*annualizationFactor</f>
        <v>1.4641687493505075E-3</v>
      </c>
      <c r="P393" s="777">
        <f>$F$21*$I$8*'Traffic Data'!AR50*annualizationFactor</f>
        <v>1.4670623634796586E-3</v>
      </c>
      <c r="Q393" s="777">
        <f>$F$21*$I$8*'Traffic Data'!AS50*annualizationFactor</f>
        <v>1.4699559776088097E-3</v>
      </c>
      <c r="R393" s="777">
        <f>$F$21*$I$8*'Traffic Data'!AT50*annualizationFactor</f>
        <v>1.4699559776088097E-3</v>
      </c>
      <c r="S393" s="777">
        <f>$F$21*$I$8*'Traffic Data'!AU50*annualizationFactor</f>
        <v>1.4768935510348709E-3</v>
      </c>
      <c r="T393" s="777">
        <f>$F$21*$I$8*'Traffic Data'!AV50*annualizationFactor</f>
        <v>1.5014250607222014E-3</v>
      </c>
      <c r="U393" s="777">
        <f>$F$21*$I$8*'Traffic Data'!AW50*annualizationFactor</f>
        <v>1.5253313494305036E-3</v>
      </c>
      <c r="V393" s="777">
        <f>$F$21*$I$8*'Traffic Data'!AX50*annualizationFactor</f>
        <v>1.5414868311556743E-3</v>
      </c>
      <c r="W393" s="777">
        <f>$F$21*$I$8*'Traffic Data'!AY50*annualizationFactor</f>
        <v>1.5518806040733049E-3</v>
      </c>
      <c r="X393" s="777">
        <f>$F$21*$I$8*'Traffic Data'!AZ50*annualizationFactor</f>
        <v>1.5759158533728433E-3</v>
      </c>
      <c r="Y393" s="777">
        <f>$F$21*$I$8*'Traffic Data'!BA50*annualizationFactor</f>
        <v>1.5999511026723824E-3</v>
      </c>
      <c r="Z393" s="777">
        <f>$F$21*$I$8*'Traffic Data'!BB50*annualizationFactor</f>
        <v>1.6239919611316178E-3</v>
      </c>
      <c r="AA393" s="777">
        <f>$F$21*$I$8*'Traffic Data'!BC50*annualizationFactor</f>
        <v>1.6480272104311565E-3</v>
      </c>
      <c r="AB393" s="777">
        <f>$F$21*$I$8*'Traffic Data'!BD50*annualizationFactor</f>
        <v>1.6720680688903922E-3</v>
      </c>
      <c r="AC393" s="777">
        <f>$F$21*$I$8*'Traffic Data'!BE50*annualizationFactor</f>
        <v>1.6961033181899306E-3</v>
      </c>
      <c r="AD393" s="777">
        <f>$F$21*$I$8*'Traffic Data'!BF50*annualizationFactor</f>
        <v>1.7201385674894697E-3</v>
      </c>
      <c r="AE393" s="777">
        <f>$F$21*$I$8*'Traffic Data'!BG50*annualizationFactor</f>
        <v>1.7441794259487047E-3</v>
      </c>
      <c r="AF393" s="777">
        <f>$F$21*$I$8*'Traffic Data'!BH50*annualizationFactor</f>
        <v>1.7682146752482433E-3</v>
      </c>
      <c r="AG393" s="777">
        <f>$F$21*$I$8*'Traffic Data'!BI50*annualizationFactor</f>
        <v>1.7922499245477826E-3</v>
      </c>
      <c r="AH393" s="778">
        <f>$F$21*$I$8*'Traffic Data'!BJ50*annualizationFactor</f>
        <v>1.8162907830070179E-3</v>
      </c>
      <c r="AI393" s="40"/>
      <c r="AJ393" s="40"/>
      <c r="AK393" s="40"/>
      <c r="AL393" s="40"/>
      <c r="AM393" s="40"/>
    </row>
    <row r="394" spans="2:39" ht="21.95" customHeight="1" x14ac:dyDescent="0.2">
      <c r="B394" s="1346"/>
      <c r="C394" s="116" t="s">
        <v>344</v>
      </c>
      <c r="D394" s="116" t="s">
        <v>345</v>
      </c>
      <c r="E394" s="116" t="s">
        <v>19</v>
      </c>
      <c r="F394" s="116" t="s">
        <v>438</v>
      </c>
      <c r="G394" s="970"/>
      <c r="H394" s="970"/>
      <c r="I394" s="777">
        <f>$F$21*$I$8*'Traffic Data'!AK51*annualizationFactor</f>
        <v>5.9295371499000005E-4</v>
      </c>
      <c r="J394" s="777">
        <f>$F$21*$I$8*'Traffic Data'!AL51*annualizationFactor</f>
        <v>5.9413962241998007E-4</v>
      </c>
      <c r="K394" s="777">
        <f>$F$21*$I$8*'Traffic Data'!AM51*annualizationFactor</f>
        <v>5.9532552984996009E-4</v>
      </c>
      <c r="L394" s="777">
        <f>$F$21*$I$8*'Traffic Data'!AN51*annualizationFactor</f>
        <v>5.965114372799401E-4</v>
      </c>
      <c r="M394" s="777">
        <f>$F$21*$I$8*'Traffic Data'!AO51*annualizationFactor</f>
        <v>5.9769734470992012E-4</v>
      </c>
      <c r="N394" s="777">
        <f>$F$21*$I$8*'Traffic Data'!AP51*annualizationFactor</f>
        <v>5.9888325213990003E-4</v>
      </c>
      <c r="O394" s="777">
        <f>$F$21*$I$8*'Traffic Data'!AQ51*annualizationFactor</f>
        <v>6.0006915956988005E-4</v>
      </c>
      <c r="P394" s="777">
        <f>$F$21*$I$8*'Traffic Data'!AR51*annualizationFactor</f>
        <v>6.0125506699986006E-4</v>
      </c>
      <c r="Q394" s="777">
        <f>$F$21*$I$8*'Traffic Data'!AS51*annualizationFactor</f>
        <v>6.0244097442984008E-4</v>
      </c>
      <c r="R394" s="777">
        <f>$F$21*$I$8*'Traffic Data'!AT51*annualizationFactor</f>
        <v>6.0244097442984008E-4</v>
      </c>
      <c r="S394" s="777">
        <f>$F$21*$I$8*'Traffic Data'!AU51*annualizationFactor</f>
        <v>6.0528424222740609E-4</v>
      </c>
      <c r="T394" s="777">
        <f>$F$21*$I$8*'Traffic Data'!AV51*annualizationFactor</f>
        <v>6.1533813964024652E-4</v>
      </c>
      <c r="U394" s="777">
        <f>$F$21*$I$8*'Traffic Data'!AW51*annualizationFactor</f>
        <v>6.2513579894692779E-4</v>
      </c>
      <c r="V394" s="777">
        <f>$F$21*$I$8*'Traffic Data'!AX51*annualizationFactor</f>
        <v>6.317568980146207E-4</v>
      </c>
      <c r="W394" s="777">
        <f>$F$21*$I$8*'Traffic Data'!AY51*annualizationFactor</f>
        <v>6.3601664101364959E-4</v>
      </c>
      <c r="X394" s="777">
        <f>$F$21*$I$8*'Traffic Data'!AZ51*annualizationFactor</f>
        <v>6.4586715302165714E-4</v>
      </c>
      <c r="Y394" s="777">
        <f>$F$21*$I$8*'Traffic Data'!BA51*annualizationFactor</f>
        <v>6.557176650296648E-4</v>
      </c>
      <c r="Z394" s="777">
        <f>$F$21*$I$8*'Traffic Data'!BB51*annualizationFactor</f>
        <v>6.6557047587361394E-4</v>
      </c>
      <c r="AA394" s="777">
        <f>$F$21*$I$8*'Traffic Data'!BC51*annualizationFactor</f>
        <v>6.7542098788162148E-4</v>
      </c>
      <c r="AB394" s="777">
        <f>$F$21*$I$8*'Traffic Data'!BD51*annualizationFactor</f>
        <v>6.8527379872557052E-4</v>
      </c>
      <c r="AC394" s="777">
        <f>$F$21*$I$8*'Traffic Data'!BE51*annualizationFactor</f>
        <v>6.9512431073357828E-4</v>
      </c>
      <c r="AD394" s="777">
        <f>$F$21*$I$8*'Traffic Data'!BF51*annualizationFactor</f>
        <v>7.0497482274158594E-4</v>
      </c>
      <c r="AE394" s="777">
        <f>$F$21*$I$8*'Traffic Data'!BG51*annualizationFactor</f>
        <v>7.1482763358553486E-4</v>
      </c>
      <c r="AF394" s="777">
        <f>$F$21*$I$8*'Traffic Data'!BH51*annualizationFactor</f>
        <v>7.2467814559354241E-4</v>
      </c>
      <c r="AG394" s="777">
        <f>$F$21*$I$8*'Traffic Data'!BI51*annualizationFactor</f>
        <v>7.3452865760155039E-4</v>
      </c>
      <c r="AH394" s="778">
        <f>$F$21*$I$8*'Traffic Data'!BJ51*annualizationFactor</f>
        <v>7.4438146844549931E-4</v>
      </c>
      <c r="AI394" s="40"/>
      <c r="AJ394" s="40"/>
      <c r="AK394" s="40"/>
      <c r="AL394" s="40"/>
      <c r="AM394" s="40"/>
    </row>
    <row r="395" spans="2:39" ht="21.95" customHeight="1" x14ac:dyDescent="0.2">
      <c r="B395" s="1346"/>
      <c r="C395" s="116" t="s">
        <v>345</v>
      </c>
      <c r="D395" s="116" t="s">
        <v>323</v>
      </c>
      <c r="E395" s="116" t="s">
        <v>19</v>
      </c>
      <c r="F395" s="116" t="s">
        <v>438</v>
      </c>
      <c r="G395" s="970"/>
      <c r="H395" s="970"/>
      <c r="I395" s="777">
        <f>$F$21*$I$8*'Traffic Data'!AK52*annualizationFactor</f>
        <v>7.1519340392640013E-3</v>
      </c>
      <c r="J395" s="777">
        <f>$F$21*$I$8*'Traffic Data'!AL52*annualizationFactor</f>
        <v>7.3161092393974631E-3</v>
      </c>
      <c r="K395" s="777">
        <f>$F$21*$I$8*'Traffic Data'!AM52*annualizationFactor</f>
        <v>7.556248196076535E-3</v>
      </c>
      <c r="L395" s="777">
        <f>$F$21*$I$8*'Traffic Data'!AN52*annualizationFactor</f>
        <v>7.8442412542647551E-3</v>
      </c>
      <c r="M395" s="777">
        <f>$F$21*$I$8*'Traffic Data'!AO52*annualizationFactor</f>
        <v>8.1323109403176816E-3</v>
      </c>
      <c r="N395" s="777">
        <f>$F$21*$I$8*'Traffic Data'!AP52*annualizationFactor</f>
        <v>8.4204061689921814E-3</v>
      </c>
      <c r="O395" s="777">
        <f>$F$21*$I$8*'Traffic Data'!AQ52*annualizationFactor</f>
        <v>8.7083992271803998E-3</v>
      </c>
      <c r="P395" s="777">
        <f>$F$21*$I$8*'Traffic Data'!AR52*annualizationFactor</f>
        <v>8.9965455410980309E-3</v>
      </c>
      <c r="Q395" s="777">
        <f>$F$21*$I$8*'Traffic Data'!AS52*annualizationFactor</f>
        <v>9.2444366834232346E-3</v>
      </c>
      <c r="R395" s="777">
        <f>$F$21*$I$8*'Traffic Data'!AT52*annualizationFactor</f>
        <v>9.4923150544376535E-3</v>
      </c>
      <c r="S395" s="777">
        <f>$F$21*$I$8*'Traffic Data'!AU52*annualizationFactor</f>
        <v>9.740206196762859E-3</v>
      </c>
      <c r="T395" s="777">
        <f>$F$21*$I$8*'Traffic Data'!AV52*annualizationFactor</f>
        <v>9.9880973390880593E-3</v>
      </c>
      <c r="U395" s="777">
        <f>$F$21*$I$8*'Traffic Data'!AW52*annualizationFactor</f>
        <v>1.0236141737142677E-2</v>
      </c>
      <c r="V395" s="777">
        <f>$F$21*$I$8*'Traffic Data'!AX52*annualizationFactor</f>
        <v>1.0436102150094028E-2</v>
      </c>
      <c r="W395" s="777">
        <f>$F$21*$I$8*'Traffic Data'!AY52*annualizationFactor</f>
        <v>1.0600277350227489E-2</v>
      </c>
      <c r="X395" s="777">
        <f>$F$21*$I$8*'Traffic Data'!AZ52*annualizationFactor</f>
        <v>1.0764452550360952E-2</v>
      </c>
      <c r="Y395" s="777">
        <f>$F$21*$I$8*'Traffic Data'!BA52*annualizationFactor</f>
        <v>1.0928627750494413E-2</v>
      </c>
      <c r="Z395" s="777">
        <f>$F$21*$I$8*'Traffic Data'!BB52*annualizationFactor</f>
        <v>1.1092841264560229E-2</v>
      </c>
      <c r="AA395" s="777">
        <f>$F$21*$I$8*'Traffic Data'!BC52*annualizationFactor</f>
        <v>1.1257016464693691E-2</v>
      </c>
      <c r="AB395" s="777">
        <f>$F$21*$I$8*'Traffic Data'!BD52*annualizationFactor</f>
        <v>1.1421229978759505E-2</v>
      </c>
      <c r="AC395" s="777">
        <f>$F$21*$I$8*'Traffic Data'!BE52*annualizationFactor</f>
        <v>1.1585405178892968E-2</v>
      </c>
      <c r="AD395" s="777">
        <f>$F$21*$I$8*'Traffic Data'!BF52*annualizationFactor</f>
        <v>1.1749580379026431E-2</v>
      </c>
      <c r="AE395" s="777">
        <f>$F$21*$I$8*'Traffic Data'!BG52*annualizationFactor</f>
        <v>1.1913793893092247E-2</v>
      </c>
      <c r="AF395" s="777">
        <f>$F$21*$I$8*'Traffic Data'!BH52*annualizationFactor</f>
        <v>1.2077969093225706E-2</v>
      </c>
      <c r="AG395" s="777">
        <f>$F$21*$I$8*'Traffic Data'!BI52*annualizationFactor</f>
        <v>1.2242144293359172E-2</v>
      </c>
      <c r="AH395" s="778">
        <f>$F$21*$I$8*'Traffic Data'!BJ52*annualizationFactor</f>
        <v>1.2406357807424986E-2</v>
      </c>
      <c r="AI395" s="40"/>
      <c r="AJ395" s="40"/>
      <c r="AK395" s="40"/>
      <c r="AL395" s="40"/>
      <c r="AM395" s="40"/>
    </row>
    <row r="396" spans="2:39" ht="21.95" customHeight="1" x14ac:dyDescent="0.2">
      <c r="B396" s="1346"/>
      <c r="C396" s="116" t="s">
        <v>323</v>
      </c>
      <c r="D396" s="116" t="s">
        <v>347</v>
      </c>
      <c r="E396" s="116" t="s">
        <v>19</v>
      </c>
      <c r="F396" s="116" t="s">
        <v>438</v>
      </c>
      <c r="G396" s="970"/>
      <c r="H396" s="970"/>
      <c r="I396" s="777">
        <f>$F$21*$I$8*'Traffic Data'!AK53*annualizationFactor</f>
        <v>1.2771310784400001E-3</v>
      </c>
      <c r="J396" s="777">
        <f>$F$21*$I$8*'Traffic Data'!AL53*annualizationFactor</f>
        <v>1.3053511140911011E-3</v>
      </c>
      <c r="K396" s="777">
        <f>$F$21*$I$8*'Traffic Data'!AM53*annualizationFactor</f>
        <v>1.3471338256769926E-3</v>
      </c>
      <c r="L396" s="777">
        <f>$F$21*$I$8*'Traffic Data'!AN53*annualizationFactor</f>
        <v>1.4001598519355792E-3</v>
      </c>
      <c r="M396" s="777">
        <f>$F$21*$I$8*'Traffic Data'!AO53*annualizationFactor</f>
        <v>1.4532018423326464E-3</v>
      </c>
      <c r="N396" s="777">
        <f>$F$21*$I$8*'Traffic Data'!AP53*annualizationFactor</f>
        <v>1.5062406399020168E-3</v>
      </c>
      <c r="O396" s="777">
        <f>$F$21*$I$8*'Traffic Data'!AQ53*annualizationFactor</f>
        <v>1.5592666661606034E-3</v>
      </c>
      <c r="P396" s="777">
        <f>$F$21*$I$8*'Traffic Data'!AR53*annualizationFactor</f>
        <v>1.6123214278684548E-3</v>
      </c>
      <c r="Q396" s="777">
        <f>$F$21*$I$8*'Traffic Data'!AS53*annualizationFactor</f>
        <v>1.6594658093925831E-3</v>
      </c>
      <c r="R396" s="777">
        <f>$F$21*$I$8*'Traffic Data'!AT53*annualizationFactor</f>
        <v>1.7066147520991338E-3</v>
      </c>
      <c r="S396" s="777">
        <f>$F$21*$I$8*'Traffic Data'!AU53*annualizationFactor</f>
        <v>1.7537591336232617E-3</v>
      </c>
      <c r="T396" s="777">
        <f>$F$21*$I$8*'Traffic Data'!AV53*annualizationFactor</f>
        <v>1.8009035151473902E-3</v>
      </c>
      <c r="U396" s="777">
        <f>$F$21*$I$8*'Traffic Data'!AW53*annualizationFactor</f>
        <v>1.8480697903471483E-3</v>
      </c>
      <c r="V396" s="777">
        <f>$F$21*$I$8*'Traffic Data'!AX53*annualizationFactor</f>
        <v>1.8839580858877969E-3</v>
      </c>
      <c r="W396" s="777">
        <f>$F$21*$I$8*'Traffic Data'!AY53*annualizationFactor</f>
        <v>1.9121781215388981E-3</v>
      </c>
      <c r="X396" s="777">
        <f>$F$21*$I$8*'Traffic Data'!AZ53*annualizationFactor</f>
        <v>1.9403981571899994E-3</v>
      </c>
      <c r="Y396" s="777">
        <f>$F$21*$I$8*'Traffic Data'!BA53*annualizationFactor</f>
        <v>1.9686181928411004E-3</v>
      </c>
      <c r="Z396" s="777">
        <f>$F$21*$I$8*'Traffic Data'!BB53*annualizationFactor</f>
        <v>1.9968427896746243E-3</v>
      </c>
      <c r="AA396" s="777">
        <f>$F$21*$I$8*'Traffic Data'!BC53*annualizationFactor</f>
        <v>2.0250628253257246E-3</v>
      </c>
      <c r="AB396" s="777">
        <f>$F$21*$I$8*'Traffic Data'!BD53*annualizationFactor</f>
        <v>2.0532874221592494E-3</v>
      </c>
      <c r="AC396" s="777">
        <f>$F$21*$I$8*'Traffic Data'!BE53*annualizationFactor</f>
        <v>2.0815074578103506E-3</v>
      </c>
      <c r="AD396" s="777">
        <f>$F$21*$I$8*'Traffic Data'!BF53*annualizationFactor</f>
        <v>2.1097274934614514E-3</v>
      </c>
      <c r="AE396" s="777">
        <f>$F$21*$I$8*'Traffic Data'!BG53*annualizationFactor</f>
        <v>2.1379520902949753E-3</v>
      </c>
      <c r="AF396" s="777">
        <f>$F$21*$I$8*'Traffic Data'!BH53*annualizationFactor</f>
        <v>2.1661721259460765E-3</v>
      </c>
      <c r="AG396" s="777">
        <f>$F$21*$I$8*'Traffic Data'!BI53*annualizationFactor</f>
        <v>2.1943921615971774E-3</v>
      </c>
      <c r="AH396" s="778">
        <f>$F$21*$I$8*'Traffic Data'!BJ53*annualizationFactor</f>
        <v>2.2226167584307012E-3</v>
      </c>
      <c r="AI396" s="40"/>
      <c r="AJ396" s="40"/>
      <c r="AK396" s="40"/>
      <c r="AL396" s="40"/>
      <c r="AM396" s="40"/>
    </row>
    <row r="397" spans="2:39" ht="21.95" customHeight="1" x14ac:dyDescent="0.2">
      <c r="B397" s="1346"/>
      <c r="C397" s="116" t="s">
        <v>347</v>
      </c>
      <c r="D397" s="116" t="s">
        <v>348</v>
      </c>
      <c r="E397" s="116" t="s">
        <v>19</v>
      </c>
      <c r="F397" s="116" t="s">
        <v>438</v>
      </c>
      <c r="G397" s="970"/>
      <c r="H397" s="970"/>
      <c r="I397" s="777">
        <f>$F$21*$I$8*'Traffic Data'!AK54*annualizationFactor</f>
        <v>8.9399175490800017E-4</v>
      </c>
      <c r="J397" s="777">
        <f>$F$21*$I$8*'Traffic Data'!AL54*annualizationFactor</f>
        <v>9.1374577986377077E-4</v>
      </c>
      <c r="K397" s="777">
        <f>$F$21*$I$8*'Traffic Data'!AM54*annualizationFactor</f>
        <v>9.4299367797389473E-4</v>
      </c>
      <c r="L397" s="777">
        <f>$F$21*$I$8*'Traffic Data'!AN54*annualizationFactor</f>
        <v>9.8011189635490532E-4</v>
      </c>
      <c r="M397" s="777">
        <f>$F$21*$I$8*'Traffic Data'!AO54*annualizationFactor</f>
        <v>1.0172412896328525E-3</v>
      </c>
      <c r="N397" s="777">
        <f>$F$21*$I$8*'Traffic Data'!AP54*annualizationFactor</f>
        <v>1.054368447931412E-3</v>
      </c>
      <c r="O397" s="777">
        <f>$F$21*$I$8*'Traffic Data'!AQ54*annualizationFactor</f>
        <v>1.0914866663124224E-3</v>
      </c>
      <c r="P397" s="777">
        <f>$F$21*$I$8*'Traffic Data'!AR54*annualizationFactor</f>
        <v>1.1286249995079182E-3</v>
      </c>
      <c r="Q397" s="777">
        <f>$F$21*$I$8*'Traffic Data'!AS54*annualizationFactor</f>
        <v>1.1616260665748082E-3</v>
      </c>
      <c r="R397" s="777">
        <f>$F$21*$I$8*'Traffic Data'!AT54*annualizationFactor</f>
        <v>1.1946303264693937E-3</v>
      </c>
      <c r="S397" s="777">
        <f>$F$21*$I$8*'Traffic Data'!AU54*annualizationFactor</f>
        <v>1.2276313935362831E-3</v>
      </c>
      <c r="T397" s="777">
        <f>$F$21*$I$8*'Traffic Data'!AV54*annualizationFactor</f>
        <v>1.260632460603173E-3</v>
      </c>
      <c r="U397" s="777">
        <f>$F$21*$I$8*'Traffic Data'!AW54*annualizationFactor</f>
        <v>1.2936488532430037E-3</v>
      </c>
      <c r="V397" s="777">
        <f>$F$21*$I$8*'Traffic Data'!AX54*annualizationFactor</f>
        <v>1.3187706601214576E-3</v>
      </c>
      <c r="W397" s="777">
        <f>$F$21*$I$8*'Traffic Data'!AY54*annualizationFactor</f>
        <v>1.3385246850772285E-3</v>
      </c>
      <c r="X397" s="777">
        <f>$F$21*$I$8*'Traffic Data'!AZ54*annualizationFactor</f>
        <v>1.3582787100329993E-3</v>
      </c>
      <c r="Y397" s="777">
        <f>$F$21*$I$8*'Traffic Data'!BA54*annualizationFactor</f>
        <v>1.3780327349887703E-3</v>
      </c>
      <c r="Z397" s="777">
        <f>$F$21*$I$8*'Traffic Data'!BB54*annualizationFactor</f>
        <v>1.3977899527722367E-3</v>
      </c>
      <c r="AA397" s="777">
        <f>$F$21*$I$8*'Traffic Data'!BC54*annualizationFactor</f>
        <v>1.4175439777280073E-3</v>
      </c>
      <c r="AB397" s="777">
        <f>$F$21*$I$8*'Traffic Data'!BD54*annualizationFactor</f>
        <v>1.4373011955114744E-3</v>
      </c>
      <c r="AC397" s="777">
        <f>$F$21*$I$8*'Traffic Data'!BE54*annualizationFactor</f>
        <v>1.4570552204672452E-3</v>
      </c>
      <c r="AD397" s="777">
        <f>$F$21*$I$8*'Traffic Data'!BF54*annualizationFactor</f>
        <v>1.4768092454230158E-3</v>
      </c>
      <c r="AE397" s="777">
        <f>$F$21*$I$8*'Traffic Data'!BG54*annualizationFactor</f>
        <v>1.4965664632064827E-3</v>
      </c>
      <c r="AF397" s="777">
        <f>$F$21*$I$8*'Traffic Data'!BH54*annualizationFactor</f>
        <v>1.5163204881622535E-3</v>
      </c>
      <c r="AG397" s="777">
        <f>$F$21*$I$8*'Traffic Data'!BI54*annualizationFactor</f>
        <v>1.5360745131180243E-3</v>
      </c>
      <c r="AH397" s="778">
        <f>$F$21*$I$8*'Traffic Data'!BJ54*annualizationFactor</f>
        <v>1.5558317309014909E-3</v>
      </c>
      <c r="AI397" s="40"/>
      <c r="AJ397" s="40"/>
      <c r="AK397" s="40"/>
      <c r="AL397" s="40"/>
      <c r="AM397" s="40"/>
    </row>
    <row r="398" spans="2:39" ht="21.95" customHeight="1" x14ac:dyDescent="0.2">
      <c r="B398" s="1346"/>
      <c r="C398" s="254" t="s">
        <v>348</v>
      </c>
      <c r="D398" s="254" t="s">
        <v>349</v>
      </c>
      <c r="E398" s="254" t="s">
        <v>19</v>
      </c>
      <c r="F398" s="254" t="s">
        <v>438</v>
      </c>
      <c r="G398" s="779"/>
      <c r="H398" s="779"/>
      <c r="I398" s="777">
        <f>$F$21*$I$8*'Traffic Data'!AK55*annualizationFactor</f>
        <v>1.4595783753600002E-3</v>
      </c>
      <c r="J398" s="777">
        <f>$F$21*$I$8*'Traffic Data'!AL55*annualizationFactor</f>
        <v>1.4944417732102007E-3</v>
      </c>
      <c r="K398" s="777">
        <f>$F$21*$I$8*'Traffic Data'!AM55*annualizationFactor</f>
        <v>1.542870127586403E-3</v>
      </c>
      <c r="L398" s="777">
        <f>$F$21*$I$8*'Traffic Data'!AN55*annualizationFactor</f>
        <v>1.607187360933126E-3</v>
      </c>
      <c r="M398" s="777">
        <f>$F$21*$I$8*'Traffic Data'!AO55*annualizationFactor</f>
        <v>1.6715228390095415E-3</v>
      </c>
      <c r="N398" s="777">
        <f>$F$21*$I$8*'Traffic Data'!AP55*annualizationFactor</f>
        <v>1.7358628782683794E-3</v>
      </c>
      <c r="O398" s="777">
        <f>$F$21*$I$8*'Traffic Data'!AQ55*annualizationFactor</f>
        <v>1.8001801116151023E-3</v>
      </c>
      <c r="P398" s="777">
        <f>$F$21*$I$8*'Traffic Data'!AR55*annualizationFactor</f>
        <v>1.8645338344212097E-3</v>
      </c>
      <c r="Q398" s="777">
        <f>$F$21*$I$8*'Traffic Data'!AS55*annualizationFactor</f>
        <v>1.9259547169293274E-3</v>
      </c>
      <c r="R398" s="777">
        <f>$F$21*$I$8*'Traffic Data'!AT55*annualizationFactor</f>
        <v>1.9873778800286565E-3</v>
      </c>
      <c r="S398" s="777">
        <f>$F$21*$I$8*'Traffic Data'!AU55*annualizationFactor</f>
        <v>2.0487987625367743E-3</v>
      </c>
      <c r="T398" s="777">
        <f>$F$21*$I$8*'Traffic Data'!AV55*annualizationFactor</f>
        <v>2.1102196450448929E-3</v>
      </c>
      <c r="U398" s="777">
        <f>$F$21*$I$8*'Traffic Data'!AW55*annualizationFactor</f>
        <v>2.1716770170123949E-3</v>
      </c>
      <c r="V398" s="777">
        <f>$F$21*$I$8*'Traffic Data'!AX55*annualizationFactor</f>
        <v>2.2171907758203003E-3</v>
      </c>
      <c r="W398" s="777">
        <f>$F$21*$I$8*'Traffic Data'!AY55*annualizationFactor</f>
        <v>2.2520541736705006E-3</v>
      </c>
      <c r="X398" s="777">
        <f>$F$21*$I$8*'Traffic Data'!AZ55*annualizationFactor</f>
        <v>2.2869175715207013E-3</v>
      </c>
      <c r="Y398" s="777">
        <f>$F$21*$I$8*'Traffic Data'!BA55*annualizationFactor</f>
        <v>2.3217809693709015E-3</v>
      </c>
      <c r="Z398" s="777">
        <f>$F$21*$I$8*'Traffic Data'!BB55*annualizationFactor</f>
        <v>2.3566512089947369E-3</v>
      </c>
      <c r="AA398" s="777">
        <f>$F$21*$I$8*'Traffic Data'!BC55*annualizationFactor</f>
        <v>2.3915146068449371E-3</v>
      </c>
      <c r="AB398" s="777">
        <f>$F$21*$I$8*'Traffic Data'!BD55*annualizationFactor</f>
        <v>2.4263848464687724E-3</v>
      </c>
      <c r="AC398" s="777">
        <f>$F$21*$I$8*'Traffic Data'!BE55*annualizationFactor</f>
        <v>2.4612482443189727E-3</v>
      </c>
      <c r="AD398" s="777">
        <f>$F$21*$I$8*'Traffic Data'!BF55*annualizationFactor</f>
        <v>2.4961116421691734E-3</v>
      </c>
      <c r="AE398" s="777">
        <f>$F$21*$I$8*'Traffic Data'!BG55*annualizationFactor</f>
        <v>2.5309818817930083E-3</v>
      </c>
      <c r="AF398" s="777">
        <f>$F$21*$I$8*'Traffic Data'!BH55*annualizationFactor</f>
        <v>2.565845279643209E-3</v>
      </c>
      <c r="AG398" s="777">
        <f>$F$21*$I$8*'Traffic Data'!BI55*annualizationFactor</f>
        <v>2.6007086774934092E-3</v>
      </c>
      <c r="AH398" s="778">
        <f>$F$21*$I$8*'Traffic Data'!BJ55*annualizationFactor</f>
        <v>2.6355789171172441E-3</v>
      </c>
      <c r="AI398" s="40"/>
      <c r="AJ398" s="40"/>
      <c r="AK398" s="40"/>
      <c r="AL398" s="40"/>
      <c r="AM398" s="40"/>
    </row>
    <row r="399" spans="2:39" ht="21.95" customHeight="1" x14ac:dyDescent="0.2">
      <c r="B399" s="492" t="s">
        <v>288</v>
      </c>
      <c r="C399" s="116" t="s">
        <v>323</v>
      </c>
      <c r="D399" s="116" t="s">
        <v>348</v>
      </c>
      <c r="E399" s="116" t="s">
        <v>19</v>
      </c>
      <c r="F399" s="254" t="s">
        <v>438</v>
      </c>
      <c r="G399" s="970"/>
      <c r="H399" s="970"/>
      <c r="I399" s="775">
        <f>$F$21*$J$8*'Traffic Data'!AK56*annualizationFactor</f>
        <v>1.1728754802E-4</v>
      </c>
      <c r="J399" s="775">
        <f>$F$21*$J$8*'Traffic Data'!AL56*annualizationFactor</f>
        <v>1.2449942902825203E-4</v>
      </c>
      <c r="K399" s="775">
        <f>$F$21*$J$8*'Traffic Data'!AM56*annualizationFactor</f>
        <v>1.3404337744963503E-4</v>
      </c>
      <c r="L399" s="775">
        <f>$F$21*$J$8*'Traffic Data'!AN56*annualizationFactor</f>
        <v>1.4672672257301999E-4</v>
      </c>
      <c r="M399" s="775">
        <f>$F$21*$J$8*'Traffic Data'!AO56*annualizationFactor</f>
        <v>1.5941397728133901E-4</v>
      </c>
      <c r="N399" s="775">
        <f>$F$21*$J$8*'Traffic Data'!AP56*annualizationFactor</f>
        <v>1.7212859908419603E-4</v>
      </c>
      <c r="O399" s="775">
        <f>$F$21*$J$8*'Traffic Data'!AQ56*annualizationFactor</f>
        <v>1.8481194420758097E-4</v>
      </c>
      <c r="P399" s="775">
        <f>$F$21*$J$8*'Traffic Data'!AR56*annualizationFactor</f>
        <v>1.97508972878235E-4</v>
      </c>
      <c r="Q399" s="775">
        <f>$F$21*$J$8*'Traffic Data'!AS56*annualizationFactor</f>
        <v>2.09086557062787E-4</v>
      </c>
      <c r="R399" s="775">
        <f>$F$21*$J$8*'Traffic Data'!AT56*annualizationFactor</f>
        <v>2.2065436728500404E-4</v>
      </c>
      <c r="S399" s="775">
        <f>$F$21*$J$8*'Traffic Data'!AU56*annualizationFactor</f>
        <v>2.32232603067045E-4</v>
      </c>
      <c r="T399" s="775">
        <f>$F$21*$J$8*'Traffic Data'!AV56*annualizationFactor</f>
        <v>2.43810187251597E-4</v>
      </c>
      <c r="U399" s="775">
        <f>$F$21*$J$8*'Traffic Data'!AW56*annualizationFactor</f>
        <v>2.5542882207795598E-4</v>
      </c>
      <c r="V399" s="775">
        <f>$F$21*$J$8*'Traffic Data'!AX56*annualizationFactor</f>
        <v>2.6385788719566003E-4</v>
      </c>
      <c r="W399" s="775">
        <f>$F$21*$J$8*'Traffic Data'!AY56*annualizationFactor</f>
        <v>2.7106976820391203E-4</v>
      </c>
      <c r="X399" s="775">
        <f>$F$21*$J$8*'Traffic Data'!AZ56*annualizationFactor</f>
        <v>2.7828164921216397E-4</v>
      </c>
      <c r="Y399" s="775">
        <f>$F$21*$J$8*'Traffic Data'!BA56*annualizationFactor</f>
        <v>2.8549353022041602E-4</v>
      </c>
      <c r="Z399" s="775">
        <f>$F$21*$J$8*'Traffic Data'!BB56*annualizationFactor</f>
        <v>2.9271323039853603E-4</v>
      </c>
      <c r="AA399" s="775">
        <f>$F$21*$J$8*'Traffic Data'!BC56*annualizationFactor</f>
        <v>2.9992511140678797E-4</v>
      </c>
      <c r="AB399" s="775">
        <f>$F$21*$J$8*'Traffic Data'!BD56*annualizationFactor</f>
        <v>3.0715458554724304E-4</v>
      </c>
      <c r="AC399" s="775">
        <f>$F$21*$J$8*'Traffic Data'!BE56*annualizationFactor</f>
        <v>3.1436646655549498E-4</v>
      </c>
      <c r="AD399" s="775">
        <f>$F$21*$J$8*'Traffic Data'!BF56*annualizationFactor</f>
        <v>3.2157834756374703E-4</v>
      </c>
      <c r="AE399" s="775">
        <f>$F$21*$J$8*'Traffic Data'!BG56*annualizationFactor</f>
        <v>3.2879804774186693E-4</v>
      </c>
      <c r="AF399" s="775">
        <f>$F$21*$J$8*'Traffic Data'!BH56*annualizationFactor</f>
        <v>3.3600992875011904E-4</v>
      </c>
      <c r="AG399" s="775">
        <f>$F$21*$J$8*'Traffic Data'!BI56*annualizationFactor</f>
        <v>3.4322180975837103E-4</v>
      </c>
      <c r="AH399" s="776">
        <f>$F$21*$J$8*'Traffic Data'!BJ56*annualizationFactor</f>
        <v>3.5045128389882599E-4</v>
      </c>
      <c r="AI399" s="40"/>
      <c r="AJ399" s="40"/>
      <c r="AK399" s="40"/>
      <c r="AL399" s="40"/>
      <c r="AM399" s="40"/>
    </row>
    <row r="400" spans="2:39" ht="21.95" customHeight="1" x14ac:dyDescent="0.2">
      <c r="B400" s="782" t="s">
        <v>340</v>
      </c>
      <c r="C400" s="277" t="s">
        <v>335</v>
      </c>
      <c r="D400" s="277" t="s">
        <v>323</v>
      </c>
      <c r="E400" s="277" t="s">
        <v>19</v>
      </c>
      <c r="F400" s="277" t="s">
        <v>438</v>
      </c>
      <c r="G400" s="780"/>
      <c r="H400" s="780"/>
      <c r="I400" s="775">
        <f>$F$21*$K$8*'Traffic Data'!AK57*annualizationFactor</f>
        <v>0</v>
      </c>
      <c r="J400" s="775">
        <f>$F$21*$K$8*'Traffic Data'!AL57*annualizationFactor</f>
        <v>0</v>
      </c>
      <c r="K400" s="775">
        <f>$F$21*$K$8*'Traffic Data'!AM57*annualizationFactor</f>
        <v>0</v>
      </c>
      <c r="L400" s="775">
        <f>$F$21*$K$8*'Traffic Data'!AN57*annualizationFactor</f>
        <v>0</v>
      </c>
      <c r="M400" s="775">
        <f>$F$21*$K$8*'Traffic Data'!AO57*annualizationFactor</f>
        <v>0</v>
      </c>
      <c r="N400" s="775">
        <f>$F$21*$K$8*'Traffic Data'!AP57*annualizationFactor</f>
        <v>0</v>
      </c>
      <c r="O400" s="775">
        <f>$F$21*$K$8*'Traffic Data'!AQ57*annualizationFactor</f>
        <v>0</v>
      </c>
      <c r="P400" s="775">
        <f>$F$21*$K$8*'Traffic Data'!AR57*annualizationFactor</f>
        <v>0</v>
      </c>
      <c r="Q400" s="775">
        <f>$F$21*$K$8*'Traffic Data'!AS57*annualizationFactor</f>
        <v>0</v>
      </c>
      <c r="R400" s="775">
        <f>$F$21*$K$8*'Traffic Data'!AT57*annualizationFactor</f>
        <v>0</v>
      </c>
      <c r="S400" s="775">
        <f>$F$21*$K$8*'Traffic Data'!AU57*annualizationFactor</f>
        <v>0</v>
      </c>
      <c r="T400" s="775">
        <f>$F$21*$K$8*'Traffic Data'!AV57*annualizationFactor</f>
        <v>0</v>
      </c>
      <c r="U400" s="775">
        <f>$F$21*$K$8*'Traffic Data'!AW57*annualizationFactor</f>
        <v>0</v>
      </c>
      <c r="V400" s="775">
        <f>$F$21*$K$8*'Traffic Data'!AX57*annualizationFactor</f>
        <v>0</v>
      </c>
      <c r="W400" s="775">
        <f>$F$21*$K$8*'Traffic Data'!AY57*annualizationFactor</f>
        <v>0</v>
      </c>
      <c r="X400" s="775">
        <f>$F$21*$K$8*'Traffic Data'!AZ57*annualizationFactor</f>
        <v>0</v>
      </c>
      <c r="Y400" s="775">
        <f>$F$21*$K$8*'Traffic Data'!BA57*annualizationFactor</f>
        <v>0</v>
      </c>
      <c r="Z400" s="775">
        <f>$F$21*$K$8*'Traffic Data'!BB57*annualizationFactor</f>
        <v>0</v>
      </c>
      <c r="AA400" s="775">
        <f>$F$21*$K$8*'Traffic Data'!BC57*annualizationFactor</f>
        <v>0</v>
      </c>
      <c r="AB400" s="775">
        <f>$F$21*$K$8*'Traffic Data'!BD57*annualizationFactor</f>
        <v>0</v>
      </c>
      <c r="AC400" s="775">
        <f>$F$21*$K$8*'Traffic Data'!BE57*annualizationFactor</f>
        <v>0</v>
      </c>
      <c r="AD400" s="775">
        <f>$F$21*$K$8*'Traffic Data'!BF57*annualizationFactor</f>
        <v>0</v>
      </c>
      <c r="AE400" s="775">
        <f>$F$21*$K$8*'Traffic Data'!BG57*annualizationFactor</f>
        <v>0</v>
      </c>
      <c r="AF400" s="775">
        <f>$F$21*$K$8*'Traffic Data'!BH57*annualizationFactor</f>
        <v>0</v>
      </c>
      <c r="AG400" s="775">
        <f>$F$21*$K$8*'Traffic Data'!BI57*annualizationFactor</f>
        <v>0</v>
      </c>
      <c r="AH400" s="776">
        <f>$F$21*$K$8*'Traffic Data'!BJ57*annualizationFactor</f>
        <v>0</v>
      </c>
      <c r="AI400" s="40"/>
      <c r="AJ400" s="40"/>
      <c r="AK400" s="40"/>
      <c r="AL400" s="40"/>
      <c r="AM400" s="40"/>
    </row>
    <row r="401" spans="2:39" ht="21.95" customHeight="1" x14ac:dyDescent="0.2">
      <c r="B401" s="782" t="s">
        <v>357</v>
      </c>
      <c r="C401" s="277" t="s">
        <v>338</v>
      </c>
      <c r="D401" s="277" t="s">
        <v>323</v>
      </c>
      <c r="E401" s="116" t="s">
        <v>19</v>
      </c>
      <c r="F401" s="277" t="s">
        <v>438</v>
      </c>
      <c r="G401" s="970"/>
      <c r="H401" s="970"/>
      <c r="I401" s="775">
        <f>$F$21*$L$8*'Traffic Data'!AK58*annualizationFactor</f>
        <v>2.1751508905527275E-4</v>
      </c>
      <c r="J401" s="775">
        <f>$F$21*$L$8*'Traffic Data'!AL58*annualizationFactor</f>
        <v>2.2050169206971776E-4</v>
      </c>
      <c r="K401" s="775">
        <f>$F$21*$L$8*'Traffic Data'!AM58*annualizationFactor</f>
        <v>2.2566405018329625E-4</v>
      </c>
      <c r="L401" s="775">
        <f>$F$21*$L$8*'Traffic Data'!AN58*annualizationFactor</f>
        <v>2.3275141683501392E-4</v>
      </c>
      <c r="M401" s="775">
        <f>$F$21*$L$8*'Traffic Data'!AO58*annualizationFactor</f>
        <v>2.3984180452963507E-4</v>
      </c>
      <c r="N401" s="775">
        <f>$F$21*$L$8*'Traffic Data'!AP58*annualizationFactor</f>
        <v>2.4694246377012831E-4</v>
      </c>
      <c r="O401" s="775">
        <f>$F$21*$L$8*'Traffic Data'!AQ58*annualizationFactor</f>
        <v>2.5402983042184594E-4</v>
      </c>
      <c r="P401" s="775">
        <f>$F$21*$L$8*'Traffic Data'!AR58*annualizationFactor</f>
        <v>2.6114196962537267E-4</v>
      </c>
      <c r="Q401" s="775">
        <f>$F$21*$L$8*'Traffic Data'!AS58*annualizationFactor</f>
        <v>2.6607412426970096E-4</v>
      </c>
      <c r="R401" s="775">
        <f>$F$21*$L$8*'Traffic Data'!AT58*annualizationFactor</f>
        <v>2.7100688312260994E-4</v>
      </c>
      <c r="S401" s="775">
        <f>$F$21*$L$8*'Traffic Data'!AU58*annualizationFactor</f>
        <v>2.7594024618409971E-4</v>
      </c>
      <c r="T401" s="775">
        <f>$F$21*$L$8*'Traffic Data'!AV58*annualizationFactor</f>
        <v>2.8087240082842806E-4</v>
      </c>
      <c r="U401" s="775">
        <f>$F$21*$L$8*'Traffic Data'!AW58*annualizationFactor</f>
        <v>2.8583959957043743E-4</v>
      </c>
      <c r="V401" s="775">
        <f>$F$21*$L$8*'Traffic Data'!AX58*annualizationFactor</f>
        <v>2.8882620258488247E-4</v>
      </c>
      <c r="W401" s="775">
        <f>$F$21*$L$8*'Traffic Data'!AY58*annualizationFactor</f>
        <v>2.9181280559932744E-4</v>
      </c>
      <c r="X401" s="775">
        <f>$F$21*$L$8*'Traffic Data'!AZ58*annualizationFactor</f>
        <v>2.9479940861377259E-4</v>
      </c>
      <c r="Y401" s="775">
        <f>$F$21*$L$8*'Traffic Data'!BA58*annualizationFactor</f>
        <v>2.9778601162821751E-4</v>
      </c>
      <c r="Z401" s="775">
        <f>$F$21*$L$8*'Traffic Data'!BB58*annualizationFactor</f>
        <v>3.007931577344068E-4</v>
      </c>
      <c r="AA401" s="775">
        <f>$F$21*$L$8*'Traffic Data'!BC58*annualizationFactor</f>
        <v>3.0377976074885178E-4</v>
      </c>
      <c r="AB401" s="775">
        <f>$F$21*$L$8*'Traffic Data'!BD58*annualizationFactor</f>
        <v>3.0677784372633033E-4</v>
      </c>
      <c r="AC401" s="775">
        <f>$F$21*$L$8*'Traffic Data'!BE58*annualizationFactor</f>
        <v>3.0976444674077531E-4</v>
      </c>
      <c r="AD401" s="775">
        <f>$F$21*$L$8*'Traffic Data'!BF58*annualizationFactor</f>
        <v>3.1275104975522045E-4</v>
      </c>
      <c r="AE401" s="775">
        <f>$F$21*$L$8*'Traffic Data'!BG58*annualizationFactor</f>
        <v>3.1575819586140952E-4</v>
      </c>
      <c r="AF401" s="775">
        <f>$F$21*$L$8*'Traffic Data'!BH58*annualizationFactor</f>
        <v>3.1874479887585461E-4</v>
      </c>
      <c r="AG401" s="775">
        <f>$F$21*$L$8*'Traffic Data'!BI58*annualizationFactor</f>
        <v>3.2173140189029959E-4</v>
      </c>
      <c r="AH401" s="776">
        <f>$F$21*$L$8*'Traffic Data'!BJ58*annualizationFactor</f>
        <v>3.2472948486777809E-4</v>
      </c>
      <c r="AI401" s="40"/>
      <c r="AJ401" s="40"/>
      <c r="AK401" s="40"/>
      <c r="AL401" s="40"/>
      <c r="AM401" s="40"/>
    </row>
    <row r="402" spans="2:39" ht="21.95" customHeight="1" x14ac:dyDescent="0.2">
      <c r="B402" s="492" t="s">
        <v>338</v>
      </c>
      <c r="C402" s="116" t="s">
        <v>282</v>
      </c>
      <c r="D402" s="116" t="s">
        <v>357</v>
      </c>
      <c r="E402" s="220" t="s">
        <v>19</v>
      </c>
      <c r="F402" s="116" t="s">
        <v>438</v>
      </c>
      <c r="G402" s="775"/>
      <c r="H402" s="775"/>
      <c r="I402" s="775">
        <f>$F$21*$M$8*'Traffic Data'!AK59*annualizationFactor</f>
        <v>7.8117653510795465E-4</v>
      </c>
      <c r="J402" s="775">
        <f>$F$21*$M$8*'Traffic Data'!AL59*annualizationFactor</f>
        <v>8.0369551108551191E-4</v>
      </c>
      <c r="K402" s="775">
        <f>$F$21*$M$8*'Traffic Data'!AM59*annualizationFactor</f>
        <v>8.2806978133395019E-4</v>
      </c>
      <c r="L402" s="775">
        <f>$F$21*$M$8*'Traffic Data'!AN59*annualizationFactor</f>
        <v>8.6040658400474395E-4</v>
      </c>
      <c r="M402" s="775">
        <f>$F$21*$M$8*'Traffic Data'!AO59*annualizationFactor</f>
        <v>8.9274885491128322E-4</v>
      </c>
      <c r="N402" s="775">
        <f>$F$21*$M$8*'Traffic Data'!AP59*annualizationFactor</f>
        <v>9.2510440581891965E-4</v>
      </c>
      <c r="O402" s="775">
        <f>$F$21*$M$8*'Traffic Data'!AQ59*annualizationFactor</f>
        <v>9.5744120848971373E-4</v>
      </c>
      <c r="P402" s="775">
        <f>$F$21*$M$8*'Traffic Data'!AR59*annualizationFactor</f>
        <v>9.8978660410239364E-4</v>
      </c>
      <c r="Q402" s="775">
        <f>$F$21*$M$8*'Traffic Data'!AS59*annualizationFactor</f>
        <v>1.0253785693949823E-3</v>
      </c>
      <c r="R402" s="775">
        <f>$F$21*$M$8*'Traffic Data'!AT59*annualizationFactor</f>
        <v>1.060958817039544E-3</v>
      </c>
      <c r="S402" s="775">
        <f>$F$21*$M$8*'Traffic Data'!AU59*annualizationFactor</f>
        <v>1.0965507823321328E-3</v>
      </c>
      <c r="T402" s="775">
        <f>$F$21*$M$8*'Traffic Data'!AV59*annualizationFactor</f>
        <v>1.1321427476247213E-3</v>
      </c>
      <c r="U402" s="775">
        <f>$F$21*$M$8*'Traffic Data'!AW59*annualizationFactor</f>
        <v>1.167755023507223E-3</v>
      </c>
      <c r="V402" s="775">
        <f>$F$21*$M$8*'Traffic Data'!AX59*annualizationFactor</f>
        <v>1.1953813316713155E-3</v>
      </c>
      <c r="W402" s="775">
        <f>$F$21*$M$8*'Traffic Data'!AY59*annualizationFactor</f>
        <v>1.2179003076488728E-3</v>
      </c>
      <c r="X402" s="775">
        <f>$F$21*$M$8*'Traffic Data'!AZ59*annualizationFactor</f>
        <v>1.2404192836264301E-3</v>
      </c>
      <c r="Y402" s="775">
        <f>$F$21*$M$8*'Traffic Data'!BA59*annualizationFactor</f>
        <v>1.2629382596039869E-3</v>
      </c>
      <c r="Z402" s="775">
        <f>$F$21*$M$8*'Traffic Data'!BB59*annualizationFactor</f>
        <v>1.2854548920519385E-3</v>
      </c>
      <c r="AA402" s="775">
        <f>$F$21*$M$8*'Traffic Data'!BC59*annualizationFactor</f>
        <v>1.3079738680294951E-3</v>
      </c>
      <c r="AB402" s="775">
        <f>$F$21*$M$8*'Traffic Data'!BD59*annualizationFactor</f>
        <v>1.3304905004774465E-3</v>
      </c>
      <c r="AC402" s="775">
        <f>$F$21*$M$8*'Traffic Data'!BE59*annualizationFactor</f>
        <v>1.3530094764550042E-3</v>
      </c>
      <c r="AD402" s="775">
        <f>$F$21*$M$8*'Traffic Data'!BF59*annualizationFactor</f>
        <v>1.3755284524325615E-3</v>
      </c>
      <c r="AE402" s="775">
        <f>$F$21*$M$8*'Traffic Data'!BG59*annualizationFactor</f>
        <v>1.3980450848805129E-3</v>
      </c>
      <c r="AF402" s="775">
        <f>$F$21*$M$8*'Traffic Data'!BH59*annualizationFactor</f>
        <v>1.4205640608580699E-3</v>
      </c>
      <c r="AG402" s="775">
        <f>$F$21*$M$8*'Traffic Data'!BI59*annualizationFactor</f>
        <v>1.4430830368356269E-3</v>
      </c>
      <c r="AH402" s="776">
        <f>$F$21*$M$8*'Traffic Data'!BJ59*annualizationFactor</f>
        <v>1.4655996692835786E-3</v>
      </c>
      <c r="AI402" s="40"/>
      <c r="AJ402" s="40"/>
      <c r="AK402" s="40"/>
      <c r="AL402" s="40"/>
      <c r="AM402" s="40"/>
    </row>
    <row r="403" spans="2:39" ht="21.95" customHeight="1" x14ac:dyDescent="0.2">
      <c r="B403" s="492"/>
      <c r="C403" s="116" t="s">
        <v>357</v>
      </c>
      <c r="D403" s="116" t="s">
        <v>346</v>
      </c>
      <c r="E403" s="116" t="s">
        <v>19</v>
      </c>
      <c r="F403" s="116" t="s">
        <v>438</v>
      </c>
      <c r="G403" s="970"/>
      <c r="H403" s="970"/>
      <c r="I403" s="777">
        <f>$F$21*$M$8*'Traffic Data'!AK60*annualizationFactor</f>
        <v>1.1376793431047729E-4</v>
      </c>
      <c r="J403" s="777">
        <f>$F$21*$M$8*'Traffic Data'!AL60*annualizationFactor</f>
        <v>1.1699684791978913E-4</v>
      </c>
      <c r="K403" s="777">
        <f>$F$21*$M$8*'Traffic Data'!AM60*annualizationFactor</f>
        <v>1.2058008876661793E-4</v>
      </c>
      <c r="L403" s="777">
        <f>$F$21*$M$8*'Traffic Data'!AN60*annualizationFactor</f>
        <v>1.2560952963104345E-4</v>
      </c>
      <c r="M403" s="777">
        <f>$F$21*$M$8*'Traffic Data'!AO60*annualizationFactor</f>
        <v>1.3063986866337148E-4</v>
      </c>
      <c r="N403" s="777">
        <f>$F$21*$M$8*'Traffic Data'!AP60*annualizationFactor</f>
        <v>1.3567125555825229E-4</v>
      </c>
      <c r="O403" s="777">
        <f>$F$21*$M$8*'Traffic Data'!AQ60*annualizationFactor</f>
        <v>1.4070069642267789E-4</v>
      </c>
      <c r="P403" s="777">
        <f>$F$21*$M$8*'Traffic Data'!AR60*annualizationFactor</f>
        <v>1.4573043667640424E-4</v>
      </c>
      <c r="Q403" s="777">
        <f>$F$21*$M$8*'Traffic Data'!AS60*annualizationFactor</f>
        <v>1.5138365514908214E-4</v>
      </c>
      <c r="R403" s="777">
        <f>$F$21*$M$8*'Traffic Data'!AT60*annualizationFactor</f>
        <v>1.5703492759130464E-4</v>
      </c>
      <c r="S403" s="777">
        <f>$F$21*$M$8*'Traffic Data'!AU60*annualizationFactor</f>
        <v>1.6268814606398249E-4</v>
      </c>
      <c r="T403" s="777">
        <f>$F$21*$M$8*'Traffic Data'!AV60*annualizationFactor</f>
        <v>1.6834136453666035E-4</v>
      </c>
      <c r="U403" s="777">
        <f>$F$21*$M$8*'Traffic Data'!AW60*annualizationFactor</f>
        <v>1.7399548117724069E-4</v>
      </c>
      <c r="V403" s="777">
        <f>$F$21*$M$8*'Traffic Data'!AX60*annualizationFactor</f>
        <v>1.7820309841092341E-4</v>
      </c>
      <c r="W403" s="777">
        <f>$F$21*$M$8*'Traffic Data'!AY60*annualizationFactor</f>
        <v>1.8143201202023526E-4</v>
      </c>
      <c r="X403" s="777">
        <f>$F$21*$M$8*'Traffic Data'!AZ60*annualizationFactor</f>
        <v>1.8466092562954712E-4</v>
      </c>
      <c r="Y403" s="777">
        <f>$F$21*$M$8*'Traffic Data'!BA60*annualizationFactor</f>
        <v>1.8788983923885894E-4</v>
      </c>
      <c r="Z403" s="777">
        <f>$F$21*$M$8*'Traffic Data'!BB60*annualizationFactor</f>
        <v>1.9111710620701625E-4</v>
      </c>
      <c r="AA403" s="777">
        <f>$F$21*$M$8*'Traffic Data'!BC60*annualizationFactor</f>
        <v>1.9434601981632813E-4</v>
      </c>
      <c r="AB403" s="777">
        <f>$F$21*$M$8*'Traffic Data'!BD60*annualizationFactor</f>
        <v>1.9757328678448547E-4</v>
      </c>
      <c r="AC403" s="777">
        <f>$F$21*$M$8*'Traffic Data'!BE60*annualizationFactor</f>
        <v>2.0080220039379729E-4</v>
      </c>
      <c r="AD403" s="777">
        <f>$F$21*$M$8*'Traffic Data'!BF60*annualizationFactor</f>
        <v>2.0403111400310914E-4</v>
      </c>
      <c r="AE403" s="777">
        <f>$F$21*$M$8*'Traffic Data'!BG60*annualizationFactor</f>
        <v>2.0725838097126643E-4</v>
      </c>
      <c r="AF403" s="777">
        <f>$F$21*$M$8*'Traffic Data'!BH60*annualizationFactor</f>
        <v>2.1048729458057828E-4</v>
      </c>
      <c r="AG403" s="777">
        <f>$F$21*$M$8*'Traffic Data'!BI60*annualizationFactor</f>
        <v>2.137162081898901E-4</v>
      </c>
      <c r="AH403" s="778">
        <f>$F$21*$M$8*'Traffic Data'!BJ60*annualizationFactor</f>
        <v>2.1694347515804744E-4</v>
      </c>
      <c r="AI403" s="40"/>
      <c r="AJ403" s="40"/>
      <c r="AK403" s="40"/>
      <c r="AL403" s="40"/>
      <c r="AM403" s="40"/>
    </row>
    <row r="404" spans="2:39" ht="21.95" customHeight="1" x14ac:dyDescent="0.2">
      <c r="B404" s="492"/>
      <c r="C404" s="116" t="s">
        <v>346</v>
      </c>
      <c r="D404" s="116" t="s">
        <v>343</v>
      </c>
      <c r="E404" s="116" t="s">
        <v>19</v>
      </c>
      <c r="F404" s="116" t="s">
        <v>438</v>
      </c>
      <c r="G404" s="970"/>
      <c r="H404" s="970"/>
      <c r="I404" s="777">
        <f>$F$21*$M$8*'Traffic Data'!AK61*annualizationFactor</f>
        <v>2.8137164297727277E-5</v>
      </c>
      <c r="J404" s="777">
        <f>$F$21*$M$8*'Traffic Data'!AL61*annualizationFactor</f>
        <v>2.8935741447598298E-5</v>
      </c>
      <c r="K404" s="777">
        <f>$F$21*$M$8*'Traffic Data'!AM61*annualizationFactor</f>
        <v>2.9821951055222899E-5</v>
      </c>
      <c r="L404" s="777">
        <f>$F$21*$M$8*'Traffic Data'!AN61*annualizationFactor</f>
        <v>3.1065835852690056E-5</v>
      </c>
      <c r="M404" s="777">
        <f>$F$21*$M$8*'Traffic Data'!AO61*annualizationFactor</f>
        <v>3.2309942785664829E-5</v>
      </c>
      <c r="N404" s="777">
        <f>$F$21*$M$8*'Traffic Data'!AP61*annualizationFactor</f>
        <v>3.3554308876731813E-5</v>
      </c>
      <c r="O404" s="777">
        <f>$F$21*$M$8*'Traffic Data'!AQ61*annualizationFactor</f>
        <v>3.479819367419898E-5</v>
      </c>
      <c r="P404" s="777">
        <f>$F$21*$M$8*'Traffic Data'!AR61*annualizationFactor</f>
        <v>3.6042152516835348E-5</v>
      </c>
      <c r="Q404" s="777">
        <f>$F$21*$M$8*'Traffic Data'!AS61*annualizationFactor</f>
        <v>3.7440310424340178E-5</v>
      </c>
      <c r="R404" s="777">
        <f>$F$21*$M$8*'Traffic Data'!AT61*annualizationFactor</f>
        <v>3.8837987038245165E-5</v>
      </c>
      <c r="S404" s="777">
        <f>$F$21*$M$8*'Traffic Data'!AU61*annualizationFactor</f>
        <v>4.0236144945749995E-5</v>
      </c>
      <c r="T404" s="777">
        <f>$F$21*$M$8*'Traffic Data'!AV61*annualizationFactor</f>
        <v>4.1634302853254825E-5</v>
      </c>
      <c r="U404" s="777">
        <f>$F$21*$M$8*'Traffic Data'!AW61*annualizationFactor</f>
        <v>4.3032682896267276E-5</v>
      </c>
      <c r="V404" s="777">
        <f>$F$21*$M$8*'Traffic Data'!AX61*annualizationFactor</f>
        <v>4.4073313704267949E-5</v>
      </c>
      <c r="W404" s="777">
        <f>$F$21*$M$8*'Traffic Data'!AY61*annualizationFactor</f>
        <v>4.487189085413897E-5</v>
      </c>
      <c r="X404" s="777">
        <f>$F$21*$M$8*'Traffic Data'!AZ61*annualizationFactor</f>
        <v>4.5670468004010005E-5</v>
      </c>
      <c r="Y404" s="777">
        <f>$F$21*$M$8*'Traffic Data'!BA61*annualizationFactor</f>
        <v>4.6469045153881019E-5</v>
      </c>
      <c r="Z404" s="777">
        <f>$F$21*$M$8*'Traffic Data'!BB61*annualizationFactor</f>
        <v>4.7267215055321417E-5</v>
      </c>
      <c r="AA404" s="777">
        <f>$F$21*$M$8*'Traffic Data'!BC61*annualizationFactor</f>
        <v>4.8065792205192438E-5</v>
      </c>
      <c r="AB404" s="777">
        <f>$F$21*$M$8*'Traffic Data'!BD61*annualizationFactor</f>
        <v>4.8863962106632843E-5</v>
      </c>
      <c r="AC404" s="777">
        <f>$F$21*$M$8*'Traffic Data'!BE61*annualizationFactor</f>
        <v>4.9662539256503871E-5</v>
      </c>
      <c r="AD404" s="777">
        <f>$F$21*$M$8*'Traffic Data'!BF61*annualizationFactor</f>
        <v>5.0461116406374893E-5</v>
      </c>
      <c r="AE404" s="777">
        <f>$F$21*$M$8*'Traffic Data'!BG61*annualizationFactor</f>
        <v>5.1259286307815277E-5</v>
      </c>
      <c r="AF404" s="777">
        <f>$F$21*$M$8*'Traffic Data'!BH61*annualizationFactor</f>
        <v>5.2057863457686305E-5</v>
      </c>
      <c r="AG404" s="777">
        <f>$F$21*$M$8*'Traffic Data'!BI61*annualizationFactor</f>
        <v>5.2856440607557319E-5</v>
      </c>
      <c r="AH404" s="778">
        <f>$F$21*$M$8*'Traffic Data'!BJ61*annualizationFactor</f>
        <v>5.3654610508997724E-5</v>
      </c>
      <c r="AI404" s="40"/>
      <c r="AJ404" s="40"/>
      <c r="AK404" s="40"/>
      <c r="AL404" s="40"/>
      <c r="AM404" s="40"/>
    </row>
    <row r="405" spans="2:39" ht="21.95" customHeight="1" x14ac:dyDescent="0.2">
      <c r="B405" s="492"/>
      <c r="C405" s="116" t="s">
        <v>343</v>
      </c>
      <c r="D405" s="116" t="s">
        <v>350</v>
      </c>
      <c r="E405" s="116" t="s">
        <v>19</v>
      </c>
      <c r="F405" s="116" t="s">
        <v>438</v>
      </c>
      <c r="G405" s="970"/>
      <c r="H405" s="970"/>
      <c r="I405" s="777">
        <f>$F$21*$M$8*'Traffic Data'!AK62*annualizationFactor</f>
        <v>7.2194039974431826E-5</v>
      </c>
      <c r="J405" s="777">
        <f>$F$21*$M$8*'Traffic Data'!AL62*annualizationFactor</f>
        <v>7.4241222301306794E-5</v>
      </c>
      <c r="K405" s="777">
        <f>$F$21*$M$8*'Traffic Data'!AM62*annualizationFactor</f>
        <v>7.657393205628064E-5</v>
      </c>
      <c r="L405" s="777">
        <f>$F$21*$M$8*'Traffic Data'!AN62*annualizationFactor</f>
        <v>7.9554583320025018E-5</v>
      </c>
      <c r="M405" s="777">
        <f>$F$21*$M$8*'Traffic Data'!AO62*annualizationFactor</f>
        <v>8.2536197170969056E-5</v>
      </c>
      <c r="N405" s="777">
        <f>$F$21*$M$8*'Traffic Data'!AP62*annualizationFactor</f>
        <v>8.5517329728313285E-5</v>
      </c>
      <c r="O405" s="777">
        <f>$F$21*$M$8*'Traffic Data'!AQ62*annualizationFactor</f>
        <v>8.8497980992057664E-5</v>
      </c>
      <c r="P405" s="777">
        <f>$F$21*$M$8*'Traffic Data'!AR62*annualizationFactor</f>
        <v>9.1479233872801804E-5</v>
      </c>
      <c r="Q405" s="777">
        <f>$F$21*$M$8*'Traffic Data'!AS62*annualizationFactor</f>
        <v>9.4848770365208444E-5</v>
      </c>
      <c r="R405" s="777">
        <f>$F$21*$M$8*'Traffic Data'!AT62*annualizationFactor</f>
        <v>9.8218186534215144E-5</v>
      </c>
      <c r="S405" s="777">
        <f>$F$21*$M$8*'Traffic Data'!AU62*annualizationFactor</f>
        <v>1.0158724173302196E-4</v>
      </c>
      <c r="T405" s="777">
        <f>$F$21*$M$8*'Traffic Data'!AV62*annualizationFactor</f>
        <v>1.0495677822542861E-4</v>
      </c>
      <c r="U405" s="777">
        <f>$F$21*$M$8*'Traffic Data'!AW62*annualizationFactor</f>
        <v>1.0832691633483504E-4</v>
      </c>
      <c r="V405" s="777">
        <f>$F$21*$M$8*'Traffic Data'!AX62*annualizationFactor</f>
        <v>1.1104839099507121E-4</v>
      </c>
      <c r="W405" s="777">
        <f>$F$21*$M$8*'Traffic Data'!AY62*annualizationFactor</f>
        <v>1.1309557332194621E-4</v>
      </c>
      <c r="X405" s="777">
        <f>$F$21*$M$8*'Traffic Data'!AZ62*annualizationFactor</f>
        <v>1.1514275564882119E-4</v>
      </c>
      <c r="Y405" s="777">
        <f>$F$21*$M$8*'Traffic Data'!BA62*annualizationFactor</f>
        <v>1.1718993797569613E-4</v>
      </c>
      <c r="Z405" s="777">
        <f>$F$21*$M$8*'Traffic Data'!BB62*annualizationFactor</f>
        <v>1.1923651868557134E-4</v>
      </c>
      <c r="AA405" s="777">
        <f>$F$21*$M$8*'Traffic Data'!BC62*annualizationFactor</f>
        <v>1.2128370101244626E-4</v>
      </c>
      <c r="AB405" s="777">
        <f>$F$21*$M$8*'Traffic Data'!BD62*annualizationFactor</f>
        <v>1.2333028172232142E-4</v>
      </c>
      <c r="AC405" s="777">
        <f>$F$21*$M$8*'Traffic Data'!BE62*annualizationFactor</f>
        <v>1.2537746404919642E-4</v>
      </c>
      <c r="AD405" s="777">
        <f>$F$21*$M$8*'Traffic Data'!BF62*annualizationFactor</f>
        <v>1.2742464637607141E-4</v>
      </c>
      <c r="AE405" s="777">
        <f>$F$21*$M$8*'Traffic Data'!BG62*annualizationFactor</f>
        <v>1.2947122708594657E-4</v>
      </c>
      <c r="AF405" s="777">
        <f>$F$21*$M$8*'Traffic Data'!BH62*annualizationFactor</f>
        <v>1.3151840941282155E-4</v>
      </c>
      <c r="AG405" s="777">
        <f>$F$21*$M$8*'Traffic Data'!BI62*annualizationFactor</f>
        <v>1.3356559173969651E-4</v>
      </c>
      <c r="AH405" s="778">
        <f>$F$21*$M$8*'Traffic Data'!BJ62*annualizationFactor</f>
        <v>1.3561217244957167E-4</v>
      </c>
      <c r="AI405" s="40"/>
      <c r="AJ405" s="40"/>
      <c r="AK405" s="40"/>
      <c r="AL405" s="40"/>
      <c r="AM405" s="40"/>
    </row>
    <row r="406" spans="2:39" ht="21.95" customHeight="1" x14ac:dyDescent="0.2">
      <c r="B406" s="492"/>
      <c r="C406" s="116" t="s">
        <v>350</v>
      </c>
      <c r="D406" s="116" t="s">
        <v>280</v>
      </c>
      <c r="E406" s="116" t="s">
        <v>19</v>
      </c>
      <c r="F406" s="116" t="s">
        <v>438</v>
      </c>
      <c r="G406" s="970"/>
      <c r="H406" s="970"/>
      <c r="I406" s="777">
        <f>$F$21*$M$8*'Traffic Data'!AK63*annualizationFactor</f>
        <v>5.9939564471079545E-4</v>
      </c>
      <c r="J406" s="777">
        <f>$F$21*$M$8*'Traffic Data'!AL63*annualizationFactor</f>
        <v>6.1639250720931145E-4</v>
      </c>
      <c r="K406" s="777">
        <f>$F$21*$M$8*'Traffic Data'!AM63*annualizationFactor</f>
        <v>6.3575997948265824E-4</v>
      </c>
      <c r="L406" s="777">
        <f>$F$21*$M$8*'Traffic Data'!AN63*annualizationFactor</f>
        <v>6.6050702766728476E-4</v>
      </c>
      <c r="M406" s="777">
        <f>$F$21*$M$8*'Traffic Data'!AO63*annualizationFactor</f>
        <v>6.852620677938406E-4</v>
      </c>
      <c r="N406" s="777">
        <f>$F$21*$M$8*'Traffic Data'!AP63*annualizationFactor</f>
        <v>7.1001311194943194E-4</v>
      </c>
      <c r="O406" s="777">
        <f>$F$21*$M$8*'Traffic Data'!AQ63*annualizationFactor</f>
        <v>7.3476016013405802E-4</v>
      </c>
      <c r="P406" s="777">
        <f>$F$21*$M$8*'Traffic Data'!AR63*annualizationFactor</f>
        <v>7.5951220328239054E-4</v>
      </c>
      <c r="Q406" s="777">
        <f>$F$21*$M$8*'Traffic Data'!AS63*annualizationFactor</f>
        <v>7.8748799600652543E-4</v>
      </c>
      <c r="R406" s="777">
        <f>$F$21*$M$8*'Traffic Data'!AT63*annualizationFactor</f>
        <v>8.1546278973791957E-4</v>
      </c>
      <c r="S406" s="777">
        <f>$F$21*$M$8*'Traffic Data'!AU63*annualizationFactor</f>
        <v>8.4343458649109007E-4</v>
      </c>
      <c r="T406" s="777">
        <f>$F$21*$M$8*'Traffic Data'!AV63*annualizationFactor</f>
        <v>8.7141037921522528E-4</v>
      </c>
      <c r="U406" s="777">
        <f>$F$21*$M$8*'Traffic Data'!AW63*annualizationFactor</f>
        <v>8.9939116690306627E-4</v>
      </c>
      <c r="V406" s="777">
        <f>$F$21*$M$8*'Traffic Data'!AX63*annualizationFactor</f>
        <v>9.2198638472318101E-4</v>
      </c>
      <c r="W406" s="777">
        <f>$F$21*$M$8*'Traffic Data'!AY63*annualizationFactor</f>
        <v>9.3898324722169679E-4</v>
      </c>
      <c r="X406" s="777">
        <f>$F$21*$M$8*'Traffic Data'!AZ63*annualizationFactor</f>
        <v>9.5598010972021278E-4</v>
      </c>
      <c r="Y406" s="777">
        <f>$F$21*$M$8*'Traffic Data'!BA63*annualizationFactor</f>
        <v>9.7297697221872845E-4</v>
      </c>
      <c r="Z406" s="777">
        <f>$F$21*$M$8*'Traffic Data'!BB63*annualizationFactor</f>
        <v>9.8996883975353833E-4</v>
      </c>
      <c r="AA406" s="777">
        <f>$F$21*$M$8*'Traffic Data'!BC63*annualizationFactor</f>
        <v>1.0069657022520537E-3</v>
      </c>
      <c r="AB406" s="777">
        <f>$F$21*$M$8*'Traffic Data'!BD63*annualizationFactor</f>
        <v>1.0239575697868636E-3</v>
      </c>
      <c r="AC406" s="777">
        <f>$F$21*$M$8*'Traffic Data'!BE63*annualizationFactor</f>
        <v>1.0409544322853793E-3</v>
      </c>
      <c r="AD406" s="777">
        <f>$F$21*$M$8*'Traffic Data'!BF63*annualizationFactor</f>
        <v>1.0579512947838953E-3</v>
      </c>
      <c r="AE406" s="777">
        <f>$F$21*$M$8*'Traffic Data'!BG63*annualizationFactor</f>
        <v>1.074943162318705E-3</v>
      </c>
      <c r="AF406" s="777">
        <f>$F$21*$M$8*'Traffic Data'!BH63*annualizationFactor</f>
        <v>1.091940024817221E-3</v>
      </c>
      <c r="AG406" s="777">
        <f>$F$21*$M$8*'Traffic Data'!BI63*annualizationFactor</f>
        <v>1.1089368873157365E-3</v>
      </c>
      <c r="AH406" s="778">
        <f>$F$21*$M$8*'Traffic Data'!BJ63*annualizationFactor</f>
        <v>1.1259287548505464E-3</v>
      </c>
      <c r="AI406" s="40"/>
      <c r="AJ406" s="40"/>
      <c r="AK406" s="40"/>
      <c r="AL406" s="40"/>
      <c r="AM406" s="40"/>
    </row>
    <row r="407" spans="2:39" ht="21.95" customHeight="1" x14ac:dyDescent="0.2">
      <c r="B407" s="493"/>
      <c r="C407" s="254" t="s">
        <v>280</v>
      </c>
      <c r="D407" s="254" t="s">
        <v>333</v>
      </c>
      <c r="E407" s="254" t="s">
        <v>19</v>
      </c>
      <c r="F407" s="254" t="s">
        <v>438</v>
      </c>
      <c r="G407" s="779"/>
      <c r="H407" s="779"/>
      <c r="I407" s="779">
        <f>$F$21*$M$8*'Traffic Data'!AK64*annualizationFactor</f>
        <v>1.4809033840909094E-5</v>
      </c>
      <c r="J407" s="779">
        <f>$F$21*$M$8*'Traffic Data'!AL64*annualizationFactor</f>
        <v>1.5228968677191142E-5</v>
      </c>
      <c r="K407" s="779">
        <f>$F$21*$M$8*'Traffic Data'!AM64*annualizationFactor</f>
        <v>1.5707473242313979E-5</v>
      </c>
      <c r="L407" s="779">
        <f>$F$21*$M$8*'Traffic Data'!AN64*annualizationFactor</f>
        <v>1.6318888886158982E-5</v>
      </c>
      <c r="M407" s="779">
        <f>$F$21*$M$8*'Traffic Data'!AO64*annualizationFactor</f>
        <v>1.6930501983788523E-5</v>
      </c>
      <c r="N407" s="779">
        <f>$F$21*$M$8*'Traffic Data'!AP64*annualizationFactor</f>
        <v>1.7542016354525806E-5</v>
      </c>
      <c r="O407" s="779">
        <f>$F$21*$M$8*'Traffic Data'!AQ64*annualizationFactor</f>
        <v>1.8153431998370802E-5</v>
      </c>
      <c r="P407" s="779">
        <f>$F$21*$M$8*'Traffic Data'!AR64*annualizationFactor</f>
        <v>1.8764971050831143E-5</v>
      </c>
      <c r="Q407" s="779">
        <f>$F$21*$M$8*'Traffic Data'!AS64*annualizationFactor</f>
        <v>1.9456158023632504E-5</v>
      </c>
      <c r="R407" s="779">
        <f>$F$21*$M$8*'Traffic Data'!AT64*annualizationFactor</f>
        <v>2.01473203147108E-5</v>
      </c>
      <c r="S407" s="779">
        <f>$F$21*$M$8*'Traffic Data'!AU64*annualizationFactor</f>
        <v>2.0838408560619888E-5</v>
      </c>
      <c r="T407" s="779">
        <f>$F$21*$M$8*'Traffic Data'!AV64*annualizationFactor</f>
        <v>2.1529595533421256E-5</v>
      </c>
      <c r="U407" s="779">
        <f>$F$21*$M$8*'Traffic Data'!AW64*annualizationFactor</f>
        <v>2.2220905914837955E-5</v>
      </c>
      <c r="V407" s="779">
        <f>$F$21*$M$8*'Traffic Data'!AX64*annualizationFactor</f>
        <v>2.2779157127194095E-5</v>
      </c>
      <c r="W407" s="779">
        <f>$F$21*$M$8*'Traffic Data'!AY64*annualizationFactor</f>
        <v>2.3199091963476147E-5</v>
      </c>
      <c r="X407" s="779">
        <f>$F$21*$M$8*'Traffic Data'!AZ64*annualizationFactor</f>
        <v>2.3619026799758192E-5</v>
      </c>
      <c r="Y407" s="779">
        <f>$F$21*$M$8*'Traffic Data'!BA64*annualizationFactor</f>
        <v>2.4038961636040233E-5</v>
      </c>
      <c r="Z407" s="779">
        <f>$F$21*$M$8*'Traffic Data'!BB64*annualizationFactor</f>
        <v>2.4458773063706937E-5</v>
      </c>
      <c r="AA407" s="779">
        <f>$F$21*$M$8*'Traffic Data'!BC64*annualizationFactor</f>
        <v>2.4878707899988975E-5</v>
      </c>
      <c r="AB407" s="779">
        <f>$F$21*$M$8*'Traffic Data'!BD64*annualizationFactor</f>
        <v>2.5298519327655682E-5</v>
      </c>
      <c r="AC407" s="779">
        <f>$F$21*$M$8*'Traffic Data'!BE64*annualizationFactor</f>
        <v>2.5718454163937723E-5</v>
      </c>
      <c r="AD407" s="779">
        <f>$F$21*$M$8*'Traffic Data'!BF64*annualizationFactor</f>
        <v>2.6138389000219768E-5</v>
      </c>
      <c r="AE407" s="779">
        <f>$F$21*$M$8*'Traffic Data'!BG64*annualizationFactor</f>
        <v>2.6558200427886475E-5</v>
      </c>
      <c r="AF407" s="779">
        <f>$F$21*$M$8*'Traffic Data'!BH64*annualizationFactor</f>
        <v>2.6978135264168527E-5</v>
      </c>
      <c r="AG407" s="779">
        <f>$F$21*$M$8*'Traffic Data'!BI64*annualizationFactor</f>
        <v>2.7398070100450565E-5</v>
      </c>
      <c r="AH407" s="783">
        <f>$F$21*$M$8*'Traffic Data'!BJ64*annualizationFactor</f>
        <v>2.7817881528117272E-5</v>
      </c>
      <c r="AI407" s="40"/>
      <c r="AJ407" s="40"/>
      <c r="AK407" s="40"/>
      <c r="AL407" s="40"/>
      <c r="AM407" s="40"/>
    </row>
    <row r="408" spans="2:39" ht="21.95" customHeight="1" x14ac:dyDescent="0.2">
      <c r="B408" s="1109" t="s">
        <v>492</v>
      </c>
      <c r="C408" s="240"/>
      <c r="D408" s="240"/>
      <c r="E408" s="240"/>
      <c r="F408" s="240"/>
      <c r="G408" s="969">
        <f>SUM(G379:G407)</f>
        <v>0</v>
      </c>
      <c r="H408" s="969">
        <f>SUM(H379:H407)</f>
        <v>0</v>
      </c>
      <c r="I408" s="785">
        <f t="shared" ref="I408:AH408" si="34">SUM(I379:I407)</f>
        <v>2.3240492592116246E-2</v>
      </c>
      <c r="J408" s="785">
        <f t="shared" si="34"/>
        <v>2.3931729527586619E-2</v>
      </c>
      <c r="K408" s="785">
        <f t="shared" si="34"/>
        <v>2.5115888149504693E-2</v>
      </c>
      <c r="L408" s="785">
        <f t="shared" si="34"/>
        <v>2.6942188682220539E-2</v>
      </c>
      <c r="M408" s="785">
        <f t="shared" si="34"/>
        <v>2.8769298483172036E-2</v>
      </c>
      <c r="N408" s="785">
        <f t="shared" si="34"/>
        <v>3.0596449228856088E-2</v>
      </c>
      <c r="O408" s="785">
        <f t="shared" si="34"/>
        <v>3.242274976157191E-2</v>
      </c>
      <c r="P408" s="785">
        <f t="shared" si="34"/>
        <v>3.4250679458857146E-2</v>
      </c>
      <c r="Q408" s="785">
        <f t="shared" si="34"/>
        <v>3.5963438627754883E-2</v>
      </c>
      <c r="R408" s="785">
        <f t="shared" si="34"/>
        <v>3.7667850561393629E-2</v>
      </c>
      <c r="S408" s="785">
        <f t="shared" si="34"/>
        <v>3.943705070651795E-2</v>
      </c>
      <c r="T408" s="785">
        <f t="shared" si="34"/>
        <v>4.1236787304417662E-2</v>
      </c>
      <c r="U408" s="785">
        <f t="shared" si="34"/>
        <v>4.3037324779983122E-2</v>
      </c>
      <c r="V408" s="785">
        <f t="shared" si="34"/>
        <v>4.4177414906778331E-2</v>
      </c>
      <c r="W408" s="785">
        <f t="shared" si="34"/>
        <v>4.4901526695507496E-2</v>
      </c>
      <c r="X408" s="785">
        <f t="shared" si="34"/>
        <v>4.5644870729627564E-2</v>
      </c>
      <c r="Y408" s="785">
        <f t="shared" si="34"/>
        <v>4.6388214763747639E-2</v>
      </c>
      <c r="Z408" s="785">
        <f t="shared" si="34"/>
        <v>4.7131992695990145E-2</v>
      </c>
      <c r="AA408" s="785">
        <f t="shared" si="34"/>
        <v>4.7875336730110206E-2</v>
      </c>
      <c r="AB408" s="785">
        <f t="shared" si="34"/>
        <v>4.8619115373186354E-2</v>
      </c>
      <c r="AC408" s="785">
        <f t="shared" si="34"/>
        <v>4.9362459407306408E-2</v>
      </c>
      <c r="AD408" s="785">
        <f t="shared" si="34"/>
        <v>5.0105803441426476E-2</v>
      </c>
      <c r="AE408" s="785">
        <f t="shared" si="34"/>
        <v>5.0849581373668983E-2</v>
      </c>
      <c r="AF408" s="785">
        <f t="shared" si="34"/>
        <v>5.1592925407789057E-2</v>
      </c>
      <c r="AG408" s="785">
        <f t="shared" si="34"/>
        <v>5.2336269441909118E-2</v>
      </c>
      <c r="AH408" s="786">
        <f t="shared" si="34"/>
        <v>5.3080048084985253E-2</v>
      </c>
      <c r="AI408" s="40"/>
      <c r="AJ408" s="40"/>
      <c r="AK408" s="40"/>
      <c r="AL408" s="40"/>
      <c r="AM408" s="40"/>
    </row>
    <row r="409" spans="2:39" ht="21.95" customHeight="1" x14ac:dyDescent="0.2">
      <c r="B409" s="787" t="s">
        <v>328</v>
      </c>
      <c r="C409" s="1344" t="s">
        <v>18</v>
      </c>
      <c r="D409" s="1344"/>
      <c r="E409" s="46" t="s">
        <v>24</v>
      </c>
      <c r="F409" s="46" t="s">
        <v>42</v>
      </c>
      <c r="G409" s="123" cm="1">
        <f t="array" ref="G409:AH409">year</f>
        <v>2021</v>
      </c>
      <c r="H409" s="123">
        <v>2022</v>
      </c>
      <c r="I409" s="46">
        <v>2023</v>
      </c>
      <c r="J409" s="46">
        <v>2024</v>
      </c>
      <c r="K409" s="46">
        <v>2025</v>
      </c>
      <c r="L409" s="46">
        <v>2026</v>
      </c>
      <c r="M409" s="46">
        <v>2027</v>
      </c>
      <c r="N409" s="46">
        <v>2028</v>
      </c>
      <c r="O409" s="46">
        <v>2029</v>
      </c>
      <c r="P409" s="46">
        <v>2030</v>
      </c>
      <c r="Q409" s="46">
        <v>2031</v>
      </c>
      <c r="R409" s="46">
        <v>2032</v>
      </c>
      <c r="S409" s="46">
        <v>2033</v>
      </c>
      <c r="T409" s="46">
        <v>2034</v>
      </c>
      <c r="U409" s="46">
        <v>2035</v>
      </c>
      <c r="V409" s="46">
        <v>2036</v>
      </c>
      <c r="W409" s="46">
        <v>2037</v>
      </c>
      <c r="X409" s="46">
        <v>2038</v>
      </c>
      <c r="Y409" s="46">
        <v>2039</v>
      </c>
      <c r="Z409" s="46">
        <v>2040</v>
      </c>
      <c r="AA409" s="46">
        <v>2041</v>
      </c>
      <c r="AB409" s="46">
        <v>2042</v>
      </c>
      <c r="AC409" s="46">
        <v>2043</v>
      </c>
      <c r="AD409" s="46">
        <v>2044</v>
      </c>
      <c r="AE409" s="46">
        <v>2045</v>
      </c>
      <c r="AF409" s="46">
        <v>2046</v>
      </c>
      <c r="AG409" s="46">
        <v>2047</v>
      </c>
      <c r="AH409" s="495">
        <v>2048</v>
      </c>
      <c r="AI409" s="40"/>
      <c r="AJ409" s="40"/>
      <c r="AK409" s="40"/>
      <c r="AL409" s="40"/>
      <c r="AM409" s="40"/>
    </row>
    <row r="410" spans="2:39" ht="21.95" customHeight="1" x14ac:dyDescent="0.2">
      <c r="B410" s="1346" t="s">
        <v>331</v>
      </c>
      <c r="C410" s="220" t="s">
        <v>332</v>
      </c>
      <c r="D410" s="220" t="s">
        <v>282</v>
      </c>
      <c r="E410" s="220" t="s">
        <v>467</v>
      </c>
      <c r="F410" s="220" t="s">
        <v>438</v>
      </c>
      <c r="G410" s="775"/>
      <c r="H410" s="775"/>
      <c r="I410" s="775">
        <f>$F$22*$E$9*'Traffic Data'!AK36*annualizationFactor</f>
        <v>9.5708376777624011E-4</v>
      </c>
      <c r="J410" s="775">
        <f>$F$22*$E$9*'Traffic Data'!AL36*annualizationFactor</f>
        <v>1.0006041612290904E-3</v>
      </c>
      <c r="K410" s="775">
        <f>$F$22*$E$9*'Traffic Data'!AM36*annualizationFactor</f>
        <v>1.0619203309890301E-3</v>
      </c>
      <c r="L410" s="775">
        <f>$F$22*$E$9*'Traffic Data'!AN36*annualizationFactor</f>
        <v>1.1521135125548434E-3</v>
      </c>
      <c r="M410" s="775">
        <f>$F$22*$E$9*'Traffic Data'!AO36*annualizationFactor</f>
        <v>1.2423395938751742E-3</v>
      </c>
      <c r="N410" s="775">
        <f>$F$22*$E$9*'Traffic Data'!AP36*annualizationFactor</f>
        <v>1.3325656751955047E-3</v>
      </c>
      <c r="O410" s="775">
        <f>$F$22*$E$9*'Traffic Data'!AQ36*annualizationFactor</f>
        <v>1.4227588567613182E-3</v>
      </c>
      <c r="P410" s="775">
        <f>$F$22*$E$9*'Traffic Data'!AR36*annualizationFactor</f>
        <v>1.5130178378361661E-3</v>
      </c>
      <c r="Q410" s="775">
        <f>$F$22*$E$9*'Traffic Data'!AS36*annualizationFactor</f>
        <v>1.6022090723325892E-3</v>
      </c>
      <c r="R410" s="775">
        <f>$F$22*$E$9*'Traffic Data'!AT36*annualizationFactor</f>
        <v>1.6914182521496576E-3</v>
      </c>
      <c r="S410" s="775">
        <f>$F$22*$E$9*'Traffic Data'!AU36*annualizationFactor</f>
        <v>1.7806094866460805E-3</v>
      </c>
      <c r="T410" s="775">
        <f>$F$22*$E$9*'Traffic Data'!AV36*annualizationFactor</f>
        <v>1.8698007211425029E-3</v>
      </c>
      <c r="U410" s="775">
        <f>$F$22*$E$9*'Traffic Data'!AW36*annualizationFactor</f>
        <v>1.9590577551479599E-3</v>
      </c>
      <c r="V410" s="775">
        <f>$F$22*$E$9*'Traffic Data'!AX36*annualizationFactor</f>
        <v>2.0193390780839922E-3</v>
      </c>
      <c r="W410" s="775">
        <f>$F$22*$E$9*'Traffic Data'!AY36*annualizationFactor</f>
        <v>2.0628594715368423E-3</v>
      </c>
      <c r="X410" s="775">
        <f>$F$22*$E$9*'Traffic Data'!AZ36*annualizationFactor</f>
        <v>2.1063798649896917E-3</v>
      </c>
      <c r="Y410" s="775">
        <f>$F$22*$E$9*'Traffic Data'!BA36*annualizationFactor</f>
        <v>2.1499002584425423E-3</v>
      </c>
      <c r="Z410" s="775">
        <f>$F$22*$E$9*'Traffic Data'!BB36*annualizationFactor</f>
        <v>2.1934356063292642E-3</v>
      </c>
      <c r="AA410" s="775">
        <f>$F$22*$E$9*'Traffic Data'!BC36*annualizationFactor</f>
        <v>2.2369559997821148E-3</v>
      </c>
      <c r="AB410" s="775">
        <f>$F$22*$E$9*'Traffic Data'!BD36*annualizationFactor</f>
        <v>2.2804913476688355E-3</v>
      </c>
      <c r="AC410" s="775">
        <f>$F$22*$E$9*'Traffic Data'!BE36*annualizationFactor</f>
        <v>2.3240117411216865E-3</v>
      </c>
      <c r="AD410" s="775">
        <f>$F$22*$E$9*'Traffic Data'!BF36*annualizationFactor</f>
        <v>2.3675321345745363E-3</v>
      </c>
      <c r="AE410" s="775">
        <f>$F$22*$E$9*'Traffic Data'!BG36*annualizationFactor</f>
        <v>2.4110674824612578E-3</v>
      </c>
      <c r="AF410" s="775">
        <f>$F$22*$E$9*'Traffic Data'!BH36*annualizationFactor</f>
        <v>2.4545878759141084E-3</v>
      </c>
      <c r="AG410" s="775">
        <f>$F$22*$E$9*'Traffic Data'!BI36*annualizationFactor</f>
        <v>2.4981082693669586E-3</v>
      </c>
      <c r="AH410" s="776">
        <f>$F$22*$E$9*'Traffic Data'!BJ36*annualizationFactor</f>
        <v>2.5416436172536801E-3</v>
      </c>
      <c r="AI410" s="40"/>
      <c r="AJ410" s="40"/>
      <c r="AK410" s="40"/>
      <c r="AL410" s="40"/>
      <c r="AM410" s="40"/>
    </row>
    <row r="411" spans="2:39" ht="21.95" customHeight="1" x14ac:dyDescent="0.2">
      <c r="B411" s="1346"/>
      <c r="C411" s="116" t="s">
        <v>282</v>
      </c>
      <c r="D411" s="116" t="s">
        <v>280</v>
      </c>
      <c r="E411" s="116" t="s">
        <v>467</v>
      </c>
      <c r="F411" s="116" t="s">
        <v>438</v>
      </c>
      <c r="G411" s="970"/>
      <c r="H411" s="970"/>
      <c r="I411" s="777">
        <f>$F$22*$E$9*'Traffic Data'!AK37*annualizationFactor</f>
        <v>3.0775366279772631E-2</v>
      </c>
      <c r="J411" s="777">
        <f>$F$22*$E$9*'Traffic Data'!AL37*annualizationFactor</f>
        <v>3.2399849687992324E-2</v>
      </c>
      <c r="K411" s="777">
        <f>$F$22*$E$9*'Traffic Data'!AM37*annualizationFactor</f>
        <v>3.4838398525731055E-2</v>
      </c>
      <c r="L411" s="777">
        <f>$F$22*$E$9*'Traffic Data'!AN37*annualizationFactor</f>
        <v>3.8867235920267508E-2</v>
      </c>
      <c r="M411" s="777">
        <f>$F$22*$E$9*'Traffic Data'!AO37*annualizationFactor</f>
        <v>4.2897897040213136E-2</v>
      </c>
      <c r="N411" s="777">
        <f>$F$22*$E$9*'Traffic Data'!AP37*annualizationFactor</f>
        <v>4.6928330194482608E-2</v>
      </c>
      <c r="O411" s="777">
        <f>$F$22*$E$9*'Traffic Data'!AQ37*annualizationFactor</f>
        <v>5.0957167589019074E-2</v>
      </c>
      <c r="P411" s="777">
        <f>$F$22*$E$9*'Traffic Data'!AR37*annualizationFactor</f>
        <v>5.4989652434373863E-2</v>
      </c>
      <c r="Q411" s="777">
        <f>$F$22*$E$9*'Traffic Data'!AS37*annualizationFactor</f>
        <v>5.9057927890883669E-2</v>
      </c>
      <c r="R411" s="777">
        <f>$F$22*$E$9*'Traffic Data'!AT37*annualizationFactor</f>
        <v>6.3127571141450331E-2</v>
      </c>
      <c r="S411" s="777">
        <f>$F$22*$E$9*'Traffic Data'!AU37*annualizationFactor</f>
        <v>6.7195846597960129E-2</v>
      </c>
      <c r="T411" s="777">
        <f>$F$22*$E$9*'Traffic Data'!AV37*annualizationFactor</f>
        <v>7.1264122054469928E-2</v>
      </c>
      <c r="U411" s="777">
        <f>$F$22*$E$9*'Traffic Data'!AW37*annualizationFactor</f>
        <v>7.5336044961798063E-2</v>
      </c>
      <c r="V411" s="777">
        <f>$F$22*$E$9*'Traffic Data'!AX37*annualizationFactor</f>
        <v>7.7812208136100972E-2</v>
      </c>
      <c r="W411" s="777">
        <f>$F$22*$E$9*'Traffic Data'!AY37*annualizationFactor</f>
        <v>7.9436691544320648E-2</v>
      </c>
      <c r="X411" s="777">
        <f>$F$22*$E$9*'Traffic Data'!AZ37*annualizationFactor</f>
        <v>8.1061174952540366E-2</v>
      </c>
      <c r="Y411" s="777">
        <f>$F$22*$E$9*'Traffic Data'!BA37*annualizationFactor</f>
        <v>8.2685658360760084E-2</v>
      </c>
      <c r="Z411" s="777">
        <f>$F$22*$E$9*'Traffic Data'!BB37*annualizationFactor</f>
        <v>8.4311053631684355E-2</v>
      </c>
      <c r="AA411" s="777">
        <f>$F$22*$E$9*'Traffic Data'!BC37*annualizationFactor</f>
        <v>8.5935537039904045E-2</v>
      </c>
      <c r="AB411" s="777">
        <f>$F$22*$E$9*'Traffic Data'!BD37*annualizationFactor</f>
        <v>8.7560932310828343E-2</v>
      </c>
      <c r="AC411" s="777">
        <f>$F$22*$E$9*'Traffic Data'!BE37*annualizationFactor</f>
        <v>8.9185415719048047E-2</v>
      </c>
      <c r="AD411" s="777">
        <f>$F$22*$E$9*'Traffic Data'!BF37*annualizationFactor</f>
        <v>9.0809899127267751E-2</v>
      </c>
      <c r="AE411" s="777">
        <f>$F$22*$E$9*'Traffic Data'!BG37*annualizationFactor</f>
        <v>9.243529439819205E-2</v>
      </c>
      <c r="AF411" s="777">
        <f>$F$22*$E$9*'Traffic Data'!BH37*annualizationFactor</f>
        <v>9.405977780641174E-2</v>
      </c>
      <c r="AG411" s="777">
        <f>$F$22*$E$9*'Traffic Data'!BI37*annualizationFactor</f>
        <v>9.568426121463143E-2</v>
      </c>
      <c r="AH411" s="778">
        <f>$F$22*$E$9*'Traffic Data'!BJ37*annualizationFactor</f>
        <v>9.7309656485555729E-2</v>
      </c>
      <c r="AI411" s="40"/>
      <c r="AJ411" s="40"/>
      <c r="AK411" s="40"/>
      <c r="AL411" s="40"/>
      <c r="AM411" s="40"/>
    </row>
    <row r="412" spans="2:39" ht="21.95" customHeight="1" x14ac:dyDescent="0.2">
      <c r="B412" s="1346"/>
      <c r="C412" s="116" t="s">
        <v>280</v>
      </c>
      <c r="D412" s="116" t="s">
        <v>333</v>
      </c>
      <c r="E412" s="254" t="s">
        <v>467</v>
      </c>
      <c r="F412" s="254" t="s">
        <v>438</v>
      </c>
      <c r="G412" s="779"/>
      <c r="H412" s="779"/>
      <c r="I412" s="777">
        <f>$F$22*$E$9*'Traffic Data'!AK38*annualizationFactor</f>
        <v>7.1781282583218006E-4</v>
      </c>
      <c r="J412" s="777">
        <f>$F$22*$E$9*'Traffic Data'!AL38*annualizationFactor</f>
        <v>7.4778749308422219E-4</v>
      </c>
      <c r="K412" s="777">
        <f>$F$22*$E$9*'Traffic Data'!AM38*annualizationFactor</f>
        <v>7.8488645263264853E-4</v>
      </c>
      <c r="L412" s="777">
        <f>$F$22*$E$9*'Traffic Data'!AN38*annualizationFactor</f>
        <v>8.3483426176347126E-4</v>
      </c>
      <c r="M412" s="777">
        <f>$F$22*$E$9*'Traffic Data'!AO38*annualizationFactor</f>
        <v>8.848000162149397E-4</v>
      </c>
      <c r="N412" s="777">
        <f>$F$22*$E$9*'Traffic Data'!AP38*annualizationFactor</f>
        <v>9.3475978889285953E-4</v>
      </c>
      <c r="O412" s="777">
        <f>$F$22*$E$9*'Traffic Data'!AQ38*annualizationFactor</f>
        <v>9.8470759802368204E-4</v>
      </c>
      <c r="P412" s="777">
        <f>$F$22*$E$9*'Traffic Data'!AR38*annualizationFactor</f>
        <v>1.0346912977957964E-3</v>
      </c>
      <c r="Q412" s="777">
        <f>$F$22*$E$9*'Traffic Data'!AS38*annualizationFactor</f>
        <v>1.0831197364452737E-3</v>
      </c>
      <c r="R412" s="777">
        <f>$F$22*$E$9*'Traffic Data'!AT38*annualizationFactor</f>
        <v>1.1315661204153969E-3</v>
      </c>
      <c r="S412" s="777">
        <f>$F$22*$E$9*'Traffic Data'!AU38*annualizationFactor</f>
        <v>1.1799945590648749E-3</v>
      </c>
      <c r="T412" s="777">
        <f>$F$22*$E$9*'Traffic Data'!AV38*annualizationFactor</f>
        <v>1.2284229977143528E-3</v>
      </c>
      <c r="U412" s="777">
        <f>$F$22*$E$9*'Traffic Data'!AW38*annualizationFactor</f>
        <v>1.2768873270051222E-3</v>
      </c>
      <c r="V412" s="777">
        <f>$F$22*$E$9*'Traffic Data'!AX38*annualizationFactor</f>
        <v>1.3124489707515578E-3</v>
      </c>
      <c r="W412" s="777">
        <f>$F$22*$E$9*'Traffic Data'!AY38*annualizationFactor</f>
        <v>1.3424236380036002E-3</v>
      </c>
      <c r="X412" s="777">
        <f>$F$22*$E$9*'Traffic Data'!AZ38*annualizationFactor</f>
        <v>1.3723983052556419E-3</v>
      </c>
      <c r="Y412" s="777">
        <f>$F$22*$E$9*'Traffic Data'!BA38*annualizationFactor</f>
        <v>1.4023729725076844E-3</v>
      </c>
      <c r="Z412" s="777">
        <f>$F$22*$E$9*'Traffic Data'!BB38*annualizationFactor</f>
        <v>1.4323596033068238E-3</v>
      </c>
      <c r="AA412" s="777">
        <f>$F$22*$E$9*'Traffic Data'!BC38*annualizationFactor</f>
        <v>1.4623342705588657E-3</v>
      </c>
      <c r="AB412" s="777">
        <f>$F$22*$E$9*'Traffic Data'!BD38*annualizationFactor</f>
        <v>1.492320901358005E-3</v>
      </c>
      <c r="AC412" s="777">
        <f>$F$22*$E$9*'Traffic Data'!BE38*annualizationFactor</f>
        <v>1.5222955686100476E-3</v>
      </c>
      <c r="AD412" s="777">
        <f>$F$22*$E$9*'Traffic Data'!BF38*annualizationFactor</f>
        <v>1.5522702358620891E-3</v>
      </c>
      <c r="AE412" s="777">
        <f>$F$22*$E$9*'Traffic Data'!BG38*annualizationFactor</f>
        <v>1.5822568666612289E-3</v>
      </c>
      <c r="AF412" s="777">
        <f>$F$22*$E$9*'Traffic Data'!BH38*annualizationFactor</f>
        <v>1.6122315339132708E-3</v>
      </c>
      <c r="AG412" s="777">
        <f>$F$22*$E$9*'Traffic Data'!BI38*annualizationFactor</f>
        <v>1.6422062011653127E-3</v>
      </c>
      <c r="AH412" s="778">
        <f>$F$22*$E$9*'Traffic Data'!BJ38*annualizationFactor</f>
        <v>1.6721928319644523E-3</v>
      </c>
      <c r="AI412" s="40"/>
      <c r="AJ412" s="40"/>
      <c r="AK412" s="40"/>
      <c r="AL412" s="40"/>
      <c r="AM412" s="40"/>
    </row>
    <row r="413" spans="2:39" ht="21.95" customHeight="1" x14ac:dyDescent="0.2">
      <c r="B413" s="1346" t="s">
        <v>280</v>
      </c>
      <c r="C413" s="220" t="s">
        <v>281</v>
      </c>
      <c r="D413" s="220" t="s">
        <v>335</v>
      </c>
      <c r="E413" s="116" t="s">
        <v>467</v>
      </c>
      <c r="F413" s="220" t="s">
        <v>438</v>
      </c>
      <c r="G413" s="970"/>
      <c r="H413" s="970"/>
      <c r="I413" s="775">
        <f>$F$22*$F$9*'Traffic Data'!AK39*annualizationFactor</f>
        <v>6.6905450972752E-3</v>
      </c>
      <c r="J413" s="775">
        <f>$F$22*$F$9*'Traffic Data'!AL39*annualizationFactor</f>
        <v>7.367327186590074E-3</v>
      </c>
      <c r="K413" s="775">
        <f>$F$22*$F$9*'Traffic Data'!AM39*annualizationFactor</f>
        <v>8.8804274130643446E-3</v>
      </c>
      <c r="L413" s="775">
        <f>$F$22*$F$9*'Traffic Data'!AN39*annualizationFactor</f>
        <v>1.1919607523501607E-2</v>
      </c>
      <c r="M413" s="775">
        <f>$F$22*$F$9*'Traffic Data'!AO39*annualizationFactor</f>
        <v>1.4960660986566102E-2</v>
      </c>
      <c r="N413" s="775">
        <f>$F$22*$F$9*'Traffic Data'!AP39*annualizationFactor</f>
        <v>1.8001379922375733E-2</v>
      </c>
      <c r="O413" s="775">
        <f>$F$22*$F$9*'Traffic Data'!AQ39*annualizationFactor</f>
        <v>2.1040560032812992E-2</v>
      </c>
      <c r="P413" s="775">
        <f>$F$22*$F$9*'Traffic Data'!AR39*annualizationFactor</f>
        <v>2.4083486848504733E-2</v>
      </c>
      <c r="Q413" s="775">
        <f>$F$22*$F$9*'Traffic Data'!AS39*annualizationFactor</f>
        <v>2.7069343314516704E-2</v>
      </c>
      <c r="R413" s="775">
        <f>$F$22*$F$9*'Traffic Data'!AT39*annualizationFactor</f>
        <v>3.0056705153175562E-2</v>
      </c>
      <c r="S413" s="775">
        <f>$F$22*$F$9*'Traffic Data'!AU39*annualizationFactor</f>
        <v>3.304256161918754E-2</v>
      </c>
      <c r="T413" s="775">
        <f>$F$22*$F$9*'Traffic Data'!AV39*annualizationFactor</f>
        <v>3.6028418085199521E-2</v>
      </c>
      <c r="U413" s="775">
        <f>$F$22*$F$9*'Traffic Data'!AW39*annualizationFactor</f>
        <v>3.9018021256465973E-2</v>
      </c>
      <c r="V413" s="775">
        <f>$F$22*$F$9*'Traffic Data'!AX39*annualizationFactor</f>
        <v>4.0475924485887715E-2</v>
      </c>
      <c r="W413" s="775">
        <f>$F$22*$F$9*'Traffic Data'!AY39*annualizationFactor</f>
        <v>4.1152706575202591E-2</v>
      </c>
      <c r="X413" s="775">
        <f>$F$22*$F$9*'Traffic Data'!AZ39*annualizationFactor</f>
        <v>4.1829488664517474E-2</v>
      </c>
      <c r="Y413" s="775">
        <f>$F$22*$F$9*'Traffic Data'!BA39*annualizationFactor</f>
        <v>4.2506270753832336E-2</v>
      </c>
      <c r="Z413" s="775">
        <f>$F$22*$F$9*'Traffic Data'!BB39*annualizationFactor</f>
        <v>4.3184089877637291E-2</v>
      </c>
      <c r="AA413" s="775">
        <f>$F$22*$F$9*'Traffic Data'!BC39*annualizationFactor</f>
        <v>4.3860871966952167E-2</v>
      </c>
      <c r="AB413" s="775">
        <f>$F$22*$F$9*'Traffic Data'!BD39*annualizationFactor</f>
        <v>4.4538691090757108E-2</v>
      </c>
      <c r="AC413" s="775">
        <f>$F$22*$F$9*'Traffic Data'!BE39*annualizationFactor</f>
        <v>4.5215473180071984E-2</v>
      </c>
      <c r="AD413" s="775">
        <f>$F$22*$F$9*'Traffic Data'!BF39*annualizationFactor</f>
        <v>4.589225526938686E-2</v>
      </c>
      <c r="AE413" s="775">
        <f>$F$22*$F$9*'Traffic Data'!BG39*annualizationFactor</f>
        <v>4.6570074393191815E-2</v>
      </c>
      <c r="AF413" s="775">
        <f>$F$22*$F$9*'Traffic Data'!BH39*annualizationFactor</f>
        <v>4.7246856482506684E-2</v>
      </c>
      <c r="AG413" s="775">
        <f>$F$22*$F$9*'Traffic Data'!BI39*annualizationFactor</f>
        <v>4.7923638571821553E-2</v>
      </c>
      <c r="AH413" s="776">
        <f>$F$22*$F$9*'Traffic Data'!BJ39*annualizationFactor</f>
        <v>4.8601457695626502E-2</v>
      </c>
      <c r="AI413" s="40"/>
      <c r="AJ413" s="40"/>
      <c r="AK413" s="40"/>
      <c r="AL413" s="40"/>
      <c r="AM413" s="40"/>
    </row>
    <row r="414" spans="2:39" ht="21.95" customHeight="1" x14ac:dyDescent="0.2">
      <c r="B414" s="1346"/>
      <c r="C414" s="116" t="s">
        <v>335</v>
      </c>
      <c r="D414" s="116" t="s">
        <v>323</v>
      </c>
      <c r="E414" s="116" t="s">
        <v>467</v>
      </c>
      <c r="F414" s="116" t="s">
        <v>438</v>
      </c>
      <c r="G414" s="970"/>
      <c r="H414" s="970"/>
      <c r="I414" s="777">
        <f>$F$22*$F$9*'Traffic Data'!AK40*annualizationFactor</f>
        <v>7.749666135840001E-4</v>
      </c>
      <c r="J414" s="777">
        <f>$F$22*$F$9*'Traffic Data'!AL40*annualizationFactor</f>
        <v>8.5584729582171702E-4</v>
      </c>
      <c r="K414" s="777">
        <f>$F$22*$F$9*'Traffic Data'!AM40*annualizationFactor</f>
        <v>9.6750061067383164E-4</v>
      </c>
      <c r="L414" s="777">
        <f>$F$22*$F$9*'Traffic Data'!AN40*annualizationFactor</f>
        <v>1.1725438605179317E-3</v>
      </c>
      <c r="M414" s="777">
        <f>$F$22*$F$9*'Traffic Data'!AO40*annualizationFactor</f>
        <v>1.3776452328580506E-3</v>
      </c>
      <c r="N414" s="777">
        <f>$F$22*$F$9*'Traffic Data'!AP40*annualizationFactor</f>
        <v>1.5827853535288487E-3</v>
      </c>
      <c r="O414" s="777">
        <f>$F$22*$F$9*'Traffic Data'!AQ40*annualizationFactor</f>
        <v>1.7878286033729484E-3</v>
      </c>
      <c r="P414" s="777">
        <f>$F$22*$F$9*'Traffic Data'!AR40*annualizationFactor</f>
        <v>1.9930591368153313E-3</v>
      </c>
      <c r="Q414" s="777">
        <f>$F$22*$F$9*'Traffic Data'!AS40*annualizationFactor</f>
        <v>2.2881535071578923E-3</v>
      </c>
      <c r="R414" s="777">
        <f>$F$22*$F$9*'Traffic Data'!AT40*annualizationFactor</f>
        <v>2.5833124580515849E-3</v>
      </c>
      <c r="S414" s="777">
        <f>$F$22*$F$9*'Traffic Data'!AU40*annualizationFactor</f>
        <v>2.878348705898127E-3</v>
      </c>
      <c r="T414" s="777">
        <f>$F$22*$F$9*'Traffic Data'!AV40*annualizationFactor</f>
        <v>3.173443076240688E-3</v>
      </c>
      <c r="U414" s="777">
        <f>$F$22*$F$9*'Traffic Data'!AW40*annualizationFactor</f>
        <v>3.4687247301815323E-3</v>
      </c>
      <c r="V414" s="777">
        <f>$F$22*$F$9*'Traffic Data'!AX40*annualizationFactor</f>
        <v>3.6702418819338244E-3</v>
      </c>
      <c r="W414" s="777">
        <f>$F$22*$F$9*'Traffic Data'!AY40*annualizationFactor</f>
        <v>3.7511225641715419E-3</v>
      </c>
      <c r="X414" s="777">
        <f>$F$22*$F$9*'Traffic Data'!AZ40*annualizationFactor</f>
        <v>3.8320032464092581E-3</v>
      </c>
      <c r="Y414" s="777">
        <f>$F$22*$F$9*'Traffic Data'!BA40*annualizationFactor</f>
        <v>3.9128839286469751E-3</v>
      </c>
      <c r="Z414" s="777">
        <f>$F$22*$F$9*'Traffic Data'!BB40*annualizationFactor</f>
        <v>3.9938227333807114E-3</v>
      </c>
      <c r="AA414" s="777">
        <f>$F$22*$F$9*'Traffic Data'!BC40*annualizationFactor</f>
        <v>4.0747034156184267E-3</v>
      </c>
      <c r="AB414" s="777">
        <f>$F$22*$F$9*'Traffic Data'!BD40*annualizationFactor</f>
        <v>4.1556422203521629E-3</v>
      </c>
      <c r="AC414" s="777">
        <f>$F$22*$F$9*'Traffic Data'!BE40*annualizationFactor</f>
        <v>4.23652290258988E-3</v>
      </c>
      <c r="AD414" s="777">
        <f>$F$22*$F$9*'Traffic Data'!BF40*annualizationFactor</f>
        <v>4.317403584827597E-3</v>
      </c>
      <c r="AE414" s="777">
        <f>$F$22*$F$9*'Traffic Data'!BG40*annualizationFactor</f>
        <v>4.3983423895613324E-3</v>
      </c>
      <c r="AF414" s="777">
        <f>$F$22*$F$9*'Traffic Data'!BH40*annualizationFactor</f>
        <v>4.4792230717990485E-3</v>
      </c>
      <c r="AG414" s="777">
        <f>$F$22*$F$9*'Traffic Data'!BI40*annualizationFactor</f>
        <v>4.5601037540367664E-3</v>
      </c>
      <c r="AH414" s="778">
        <f>$F$22*$F$9*'Traffic Data'!BJ40*annualizationFactor</f>
        <v>4.641042558770501E-3</v>
      </c>
      <c r="AI414" s="40"/>
      <c r="AJ414" s="40"/>
      <c r="AK414" s="40"/>
      <c r="AL414" s="40"/>
      <c r="AM414" s="40"/>
    </row>
    <row r="415" spans="2:39" ht="21.95" customHeight="1" x14ac:dyDescent="0.2">
      <c r="B415" s="1346"/>
      <c r="C415" s="254" t="s">
        <v>323</v>
      </c>
      <c r="D415" s="254" t="s">
        <v>338</v>
      </c>
      <c r="E415" s="116" t="s">
        <v>467</v>
      </c>
      <c r="F415" s="254" t="s">
        <v>438</v>
      </c>
      <c r="G415" s="970"/>
      <c r="H415" s="970"/>
      <c r="I415" s="777">
        <f>$F$22*$F$9*'Traffic Data'!AK41*annualizationFactor</f>
        <v>1.0384552622025603E-2</v>
      </c>
      <c r="J415" s="777">
        <f>$F$22*$F$9*'Traffic Data'!AL41*annualizationFactor</f>
        <v>1.0675354710617726E-2</v>
      </c>
      <c r="K415" s="777">
        <f>$F$22*$F$9*'Traffic Data'!AM41*annualizationFactor</f>
        <v>1.1089767590587361E-2</v>
      </c>
      <c r="L415" s="777">
        <f>$F$22*$F$9*'Traffic Data'!AN41*annualizationFactor</f>
        <v>1.1671406382947015E-2</v>
      </c>
      <c r="M415" s="777">
        <f>$F$22*$F$9*'Traffic Data'!AO41*annualizationFactor</f>
        <v>1.2253287481534512E-2</v>
      </c>
      <c r="N415" s="777">
        <f>$F$22*$F$9*'Traffic Data'!AP41*annualizationFactor</f>
        <v>1.2835116657358911E-2</v>
      </c>
      <c r="O415" s="777">
        <f>$F$22*$F$9*'Traffic Data'!AQ41*annualizationFactor</f>
        <v>1.3416755449718563E-2</v>
      </c>
      <c r="P415" s="777">
        <f>$F$22*$F$9*'Traffic Data'!AR41*annualizationFactor</f>
        <v>1.3998861546946207E-2</v>
      </c>
      <c r="Q415" s="777">
        <f>$F$22*$F$9*'Traffic Data'!AS41*annualizationFactor</f>
        <v>1.4586488764651226E-2</v>
      </c>
      <c r="R415" s="777">
        <f>$F$22*$F$9*'Traffic Data'!AT41*annualizationFactor</f>
        <v>1.5174289058233282E-2</v>
      </c>
      <c r="S415" s="777">
        <f>$F$22*$F$9*'Traffic Data'!AU41*annualizationFactor</f>
        <v>1.5761864353175194E-2</v>
      </c>
      <c r="T415" s="777">
        <f>$F$22*$F$9*'Traffic Data'!AV41*annualizationFactor</f>
        <v>1.6349491570880219E-2</v>
      </c>
      <c r="U415" s="777">
        <f>$F$22*$F$9*'Traffic Data'!AW41*annualizationFactor</f>
        <v>1.6937586093453232E-2</v>
      </c>
      <c r="V415" s="777">
        <f>$F$22*$F$9*'Traffic Data'!AX41*annualizationFactor</f>
        <v>1.7357710477364979E-2</v>
      </c>
      <c r="W415" s="777">
        <f>$F$22*$F$9*'Traffic Data'!AY41*annualizationFactor</f>
        <v>1.7648512565957102E-2</v>
      </c>
      <c r="X415" s="777">
        <f>$F$22*$F$9*'Traffic Data'!AZ41*annualizationFactor</f>
        <v>1.7939314654549225E-2</v>
      </c>
      <c r="Y415" s="777">
        <f>$F$22*$F$9*'Traffic Data'!BA41*annualizationFactor</f>
        <v>1.8230116743141348E-2</v>
      </c>
      <c r="Z415" s="777">
        <f>$F$22*$F$9*'Traffic Data'!BB41*annualizationFactor</f>
        <v>1.8521057292435101E-2</v>
      </c>
      <c r="AA415" s="777">
        <f>$F$22*$F$9*'Traffic Data'!BC41*annualizationFactor</f>
        <v>1.8811859381027227E-2</v>
      </c>
      <c r="AB415" s="777">
        <f>$F$22*$F$9*'Traffic Data'!BD41*annualizationFactor</f>
        <v>1.9102799930320977E-2</v>
      </c>
      <c r="AC415" s="777">
        <f>$F$22*$F$9*'Traffic Data'!BE41*annualizationFactor</f>
        <v>1.93936020189131E-2</v>
      </c>
      <c r="AD415" s="777">
        <f>$F$22*$F$9*'Traffic Data'!BF41*annualizationFactor</f>
        <v>1.9684404107505223E-2</v>
      </c>
      <c r="AE415" s="777">
        <f>$F$22*$F$9*'Traffic Data'!BG41*annualizationFactor</f>
        <v>1.9975344656798972E-2</v>
      </c>
      <c r="AF415" s="777">
        <f>$F$22*$F$9*'Traffic Data'!BH41*annualizationFactor</f>
        <v>2.0266146745391091E-2</v>
      </c>
      <c r="AG415" s="777">
        <f>$F$22*$F$9*'Traffic Data'!BI41*annualizationFactor</f>
        <v>2.0556948833983214E-2</v>
      </c>
      <c r="AH415" s="778">
        <f>$F$22*$F$9*'Traffic Data'!BJ41*annualizationFactor</f>
        <v>2.0847889383276971E-2</v>
      </c>
      <c r="AI415" s="40"/>
      <c r="AJ415" s="40"/>
      <c r="AK415" s="40"/>
      <c r="AL415" s="40"/>
      <c r="AM415" s="40"/>
    </row>
    <row r="416" spans="2:39" ht="21.95" customHeight="1" x14ac:dyDescent="0.2">
      <c r="B416" s="492" t="s">
        <v>339</v>
      </c>
      <c r="C416" s="116" t="s">
        <v>335</v>
      </c>
      <c r="D416" s="116" t="s">
        <v>323</v>
      </c>
      <c r="E416" s="277" t="s">
        <v>467</v>
      </c>
      <c r="F416" s="277" t="s">
        <v>438</v>
      </c>
      <c r="G416" s="780"/>
      <c r="H416" s="780"/>
      <c r="I416" s="775">
        <f>$F$22*$G$9*'Traffic Data'!AK42*annualizationFactor</f>
        <v>3.0352859032040004E-5</v>
      </c>
      <c r="J416" s="775">
        <f>$F$22*$G$9*'Traffic Data'!AL42*annualizationFactor</f>
        <v>2.3004431860383119E-4</v>
      </c>
      <c r="K416" s="775">
        <f>$F$22*$G$9*'Traffic Data'!AM42*annualizationFactor</f>
        <v>1.3327636872378444E-3</v>
      </c>
      <c r="L416" s="775">
        <f>$F$22*$G$9*'Traffic Data'!AN42*annualizationFactor</f>
        <v>3.0696756924873019E-3</v>
      </c>
      <c r="M416" s="775">
        <f>$F$22*$G$9*'Traffic Data'!AO42*annualizationFactor</f>
        <v>4.8076804006619116E-3</v>
      </c>
      <c r="N416" s="775">
        <f>$F$22*$G$9*'Traffic Data'!AP42*annualizationFactor</f>
        <v>6.5457761674136208E-3</v>
      </c>
      <c r="O416" s="775">
        <f>$F$22*$G$9*'Traffic Data'!AQ42*annualizationFactor</f>
        <v>8.2826881726630764E-3</v>
      </c>
      <c r="P416" s="775">
        <f>$F$22*$G$9*'Traffic Data'!AR42*annualizationFactor</f>
        <v>1.0021906995198969E-2</v>
      </c>
      <c r="Q416" s="775">
        <f>$F$22*$G$9*'Traffic Data'!AS42*annualizationFactor</f>
        <v>1.0998479881695822E-2</v>
      </c>
      <c r="R416" s="775">
        <f>$F$22*$G$9*'Traffic Data'!AT42*annualizationFactor</f>
        <v>1.1975417002501064E-2</v>
      </c>
      <c r="S416" s="775">
        <f>$F$22*$G$9*'Traffic Data'!AU42*annualizationFactor</f>
        <v>1.2952263064729207E-2</v>
      </c>
      <c r="T416" s="775">
        <f>$F$22*$G$9*'Traffic Data'!AV42*annualizationFactor</f>
        <v>1.3928835951226059E-2</v>
      </c>
      <c r="U416" s="775">
        <f>$F$22*$G$9*'Traffic Data'!AW42*annualizationFactor</f>
        <v>1.4907715655009356E-2</v>
      </c>
      <c r="V416" s="775">
        <f>$F$22*$G$9*'Traffic Data'!AX42*annualizationFactor</f>
        <v>1.5249154966260775E-2</v>
      </c>
      <c r="W416" s="775">
        <f>$F$22*$G$9*'Traffic Data'!AY42*annualizationFactor</f>
        <v>1.5448846425832561E-2</v>
      </c>
      <c r="X416" s="775">
        <f>$F$22*$G$9*'Traffic Data'!AZ42*annualizationFactor</f>
        <v>1.5648537885404355E-2</v>
      </c>
      <c r="Y416" s="775">
        <f>$F$22*$G$9*'Traffic Data'!BA42*annualizationFactor</f>
        <v>1.5848229344976147E-2</v>
      </c>
      <c r="Z416" s="775">
        <f>$F$22*$G$9*'Traffic Data'!BB42*annualizationFactor</f>
        <v>1.6048709978882768E-2</v>
      </c>
      <c r="AA416" s="775">
        <f>$F$22*$G$9*'Traffic Data'!BC42*annualizationFactor</f>
        <v>1.624840143845456E-2</v>
      </c>
      <c r="AB416" s="775">
        <f>$F$22*$G$9*'Traffic Data'!BD42*annualizationFactor</f>
        <v>1.6448882072361188E-2</v>
      </c>
      <c r="AC416" s="775">
        <f>$F$22*$G$9*'Traffic Data'!BE42*annualizationFactor</f>
        <v>1.6648573531932973E-2</v>
      </c>
      <c r="AD416" s="775">
        <f>$F$22*$G$9*'Traffic Data'!BF42*annualizationFactor</f>
        <v>1.6848264991504769E-2</v>
      </c>
      <c r="AE416" s="775">
        <f>$F$22*$G$9*'Traffic Data'!BG42*annualizationFactor</f>
        <v>1.7048745625411397E-2</v>
      </c>
      <c r="AF416" s="775">
        <f>$F$22*$G$9*'Traffic Data'!BH42*annualizationFactor</f>
        <v>1.7248437084983182E-2</v>
      </c>
      <c r="AG416" s="775">
        <f>$F$22*$G$9*'Traffic Data'!BI42*annualizationFactor</f>
        <v>1.7448128544554974E-2</v>
      </c>
      <c r="AH416" s="776">
        <f>$F$22*$G$9*'Traffic Data'!BJ42*annualizationFactor</f>
        <v>1.7648609178461599E-2</v>
      </c>
      <c r="AI416" s="40"/>
      <c r="AJ416" s="40"/>
      <c r="AK416" s="40"/>
      <c r="AL416" s="40"/>
      <c r="AM416" s="40"/>
    </row>
    <row r="417" spans="2:39" ht="21.95" customHeight="1" x14ac:dyDescent="0.2">
      <c r="B417" s="1346" t="s">
        <v>323</v>
      </c>
      <c r="C417" s="220" t="s">
        <v>282</v>
      </c>
      <c r="D417" s="220" t="s">
        <v>339</v>
      </c>
      <c r="E417" s="116" t="s">
        <v>467</v>
      </c>
      <c r="F417" s="116" t="s">
        <v>438</v>
      </c>
      <c r="G417" s="970"/>
      <c r="H417" s="970"/>
      <c r="I417" s="775">
        <f>$F$22*$H$9*'Traffic Data'!AK43*annualizationFactor</f>
        <v>8.7183744028199994E-5</v>
      </c>
      <c r="J417" s="775">
        <f>$F$22*$H$9*'Traffic Data'!AL43*annualizationFactor</f>
        <v>1.9376587110267449E-4</v>
      </c>
      <c r="K417" s="775">
        <f>$F$22*$H$9*'Traffic Data'!AM43*annualizationFactor</f>
        <v>8.1896049952889696E-4</v>
      </c>
      <c r="L417" s="775">
        <f>$F$22*$H$9*'Traffic Data'!AN43*annualizationFactor</f>
        <v>1.8409719388994712E-3</v>
      </c>
      <c r="M417" s="775">
        <f>$F$22*$H$9*'Traffic Data'!AO43*annualizationFactor</f>
        <v>2.8635500726062295E-3</v>
      </c>
      <c r="N417" s="775">
        <f>$F$22*$H$9*'Traffic Data'!AP43*annualizationFactor</f>
        <v>3.8861717981850006E-3</v>
      </c>
      <c r="O417" s="775">
        <f>$F$22*$H$9*'Traffic Data'!AQ43*annualizationFactor</f>
        <v>4.9081832375555759E-3</v>
      </c>
      <c r="P417" s="775">
        <f>$F$22*$H$9*'Traffic Data'!AR43*annualizationFactor</f>
        <v>5.9313716574705324E-3</v>
      </c>
      <c r="Q417" s="775">
        <f>$F$22*$H$9*'Traffic Data'!AS43*annualizationFactor</f>
        <v>6.7203845409257428E-3</v>
      </c>
      <c r="R417" s="775">
        <f>$F$22*$H$9*'Traffic Data'!AT43*annualizationFactor</f>
        <v>7.5095281999969943E-3</v>
      </c>
      <c r="S417" s="775">
        <f>$F$22*$H$9*'Traffic Data'!AU43*annualizationFactor</f>
        <v>8.298541083452203E-3</v>
      </c>
      <c r="T417" s="775">
        <f>$F$22*$H$9*'Traffic Data'!AV43*annualizationFactor</f>
        <v>9.0875539669074135E-3</v>
      </c>
      <c r="U417" s="775">
        <f>$F$22*$H$9*'Traffic Data'!AW43*annualizationFactor</f>
        <v>9.8776130552909631E-3</v>
      </c>
      <c r="V417" s="775">
        <f>$F$22*$H$9*'Traffic Data'!AX43*annualizationFactor</f>
        <v>1.0269198841593623E-2</v>
      </c>
      <c r="W417" s="775">
        <f>$F$22*$H$9*'Traffic Data'!AY43*annualizationFactor</f>
        <v>1.03757809686681E-2</v>
      </c>
      <c r="X417" s="775">
        <f>$F$22*$H$9*'Traffic Data'!AZ43*annualizationFactor</f>
        <v>1.0482363095742572E-2</v>
      </c>
      <c r="Y417" s="775">
        <f>$F$22*$H$9*'Traffic Data'!BA43*annualizationFactor</f>
        <v>1.0588945222817048E-2</v>
      </c>
      <c r="Z417" s="775">
        <f>$F$22*$H$9*'Traffic Data'!BB43*annualizationFactor</f>
        <v>1.0695832492995621E-2</v>
      </c>
      <c r="AA417" s="775">
        <f>$F$22*$H$9*'Traffic Data'!BC43*annualizationFactor</f>
        <v>1.0802414620070094E-2</v>
      </c>
      <c r="AB417" s="775">
        <f>$F$22*$H$9*'Traffic Data'!BD43*annualizationFactor</f>
        <v>1.0909301890248664E-2</v>
      </c>
      <c r="AC417" s="775">
        <f>$F$22*$H$9*'Traffic Data'!BE43*annualizationFactor</f>
        <v>1.101588401732314E-2</v>
      </c>
      <c r="AD417" s="775">
        <f>$F$22*$H$9*'Traffic Data'!BF43*annualizationFactor</f>
        <v>1.1122466144397616E-2</v>
      </c>
      <c r="AE417" s="775">
        <f>$F$22*$H$9*'Traffic Data'!BG43*annualizationFactor</f>
        <v>1.1229353414576189E-2</v>
      </c>
      <c r="AF417" s="775">
        <f>$F$22*$H$9*'Traffic Data'!BH43*annualizationFactor</f>
        <v>1.1335935541650664E-2</v>
      </c>
      <c r="AG417" s="775">
        <f>$F$22*$H$9*'Traffic Data'!BI43*annualizationFactor</f>
        <v>1.1442517668725137E-2</v>
      </c>
      <c r="AH417" s="776">
        <f>$F$22*$H$9*'Traffic Data'!BJ43*annualizationFactor</f>
        <v>1.1549404938903711E-2</v>
      </c>
      <c r="AI417" s="40"/>
      <c r="AJ417" s="40"/>
      <c r="AK417" s="40"/>
      <c r="AL417" s="40"/>
      <c r="AM417" s="40"/>
    </row>
    <row r="418" spans="2:39" ht="21.95" customHeight="1" x14ac:dyDescent="0.2">
      <c r="B418" s="1346"/>
      <c r="C418" s="116" t="s">
        <v>339</v>
      </c>
      <c r="D418" s="116" t="s">
        <v>288</v>
      </c>
      <c r="E418" s="116" t="s">
        <v>467</v>
      </c>
      <c r="F418" s="116" t="s">
        <v>438</v>
      </c>
      <c r="G418" s="970"/>
      <c r="H418" s="970"/>
      <c r="I418" s="777">
        <f>$F$22*$H$9*'Traffic Data'!AK44*annualizationFactor</f>
        <v>0</v>
      </c>
      <c r="J418" s="777">
        <f>$F$22*$H$9*'Traffic Data'!AL44*annualizationFactor</f>
        <v>5.9310778159628808E-5</v>
      </c>
      <c r="K418" s="777">
        <f>$F$22*$H$9*'Traffic Data'!AM44*annualizationFactor</f>
        <v>1.698584739763638E-4</v>
      </c>
      <c r="L418" s="777">
        <f>$F$22*$H$9*'Traffic Data'!AN44*annualizationFactor</f>
        <v>3.8183121695692737E-4</v>
      </c>
      <c r="M418" s="777">
        <f>$F$22*$H$9*'Traffic Data'!AO44*annualizationFactor</f>
        <v>5.9392149654055137E-4</v>
      </c>
      <c r="N418" s="777">
        <f>$F$22*$H$9*'Traffic Data'!AP44*annualizationFactor</f>
        <v>8.0602081740133353E-4</v>
      </c>
      <c r="O418" s="777">
        <f>$F$22*$H$9*'Traffic Data'!AQ44*annualizationFactor</f>
        <v>1.0179935603818974E-3</v>
      </c>
      <c r="P418" s="777">
        <f>$F$22*$H$9*'Traffic Data'!AR44*annualizationFactor</f>
        <v>1.23021041784574E-3</v>
      </c>
      <c r="Q418" s="777">
        <f>$F$22*$H$9*'Traffic Data'!AS44*annualizationFactor</f>
        <v>1.3938575344142282E-3</v>
      </c>
      <c r="R418" s="777">
        <f>$F$22*$H$9*'Traffic Data'!AT44*annualizationFactor</f>
        <v>1.5575317748141918E-3</v>
      </c>
      <c r="S418" s="777">
        <f>$F$22*$H$9*'Traffic Data'!AU44*annualizationFactor</f>
        <v>1.7211788913826795E-3</v>
      </c>
      <c r="T418" s="777">
        <f>$F$22*$H$9*'Traffic Data'!AV44*annualizationFactor</f>
        <v>1.8848260079511673E-3</v>
      </c>
      <c r="U418" s="777">
        <f>$F$22*$H$9*'Traffic Data'!AW44*annualizationFactor</f>
        <v>2.0486901151714589E-3</v>
      </c>
      <c r="V418" s="777">
        <f>$F$22*$H$9*'Traffic Data'!AX44*annualizationFactor</f>
        <v>2.1299079078860848E-3</v>
      </c>
      <c r="W418" s="777">
        <f>$F$22*$H$9*'Traffic Data'!AY44*annualizationFactor</f>
        <v>2.1520138305385688E-3</v>
      </c>
      <c r="X418" s="777">
        <f>$F$22*$H$9*'Traffic Data'!AZ44*annualizationFactor</f>
        <v>2.1741197531910525E-3</v>
      </c>
      <c r="Y418" s="777">
        <f>$F$22*$H$9*'Traffic Data'!BA44*annualizationFactor</f>
        <v>2.1962256758435361E-3</v>
      </c>
      <c r="Z418" s="777">
        <f>$F$22*$H$9*'Traffic Data'!BB44*annualizationFactor</f>
        <v>2.2183948874361292E-3</v>
      </c>
      <c r="AA418" s="777">
        <f>$F$22*$H$9*'Traffic Data'!BC44*annualizationFactor</f>
        <v>2.2405008100886124E-3</v>
      </c>
      <c r="AB418" s="777">
        <f>$F$22*$H$9*'Traffic Data'!BD44*annualizationFactor</f>
        <v>2.2626700216812046E-3</v>
      </c>
      <c r="AC418" s="777">
        <f>$F$22*$H$9*'Traffic Data'!BE44*annualizationFactor</f>
        <v>2.2847759443336887E-3</v>
      </c>
      <c r="AD418" s="777">
        <f>$F$22*$H$9*'Traffic Data'!BF44*annualizationFactor</f>
        <v>2.3068818669861719E-3</v>
      </c>
      <c r="AE418" s="777">
        <f>$F$22*$H$9*'Traffic Data'!BG44*annualizationFactor</f>
        <v>2.329051078578765E-3</v>
      </c>
      <c r="AF418" s="777">
        <f>$F$22*$H$9*'Traffic Data'!BH44*annualizationFactor</f>
        <v>2.351157001231249E-3</v>
      </c>
      <c r="AG418" s="777">
        <f>$F$22*$H$9*'Traffic Data'!BI44*annualizationFactor</f>
        <v>2.3732629238837322E-3</v>
      </c>
      <c r="AH418" s="778">
        <f>$F$22*$H$9*'Traffic Data'!BJ44*annualizationFactor</f>
        <v>2.3954321354763253E-3</v>
      </c>
      <c r="AI418" s="40"/>
      <c r="AJ418" s="40"/>
      <c r="AK418" s="40"/>
      <c r="AL418" s="40"/>
      <c r="AM418" s="40"/>
    </row>
    <row r="419" spans="2:39" ht="21.95" customHeight="1" x14ac:dyDescent="0.2">
      <c r="B419" s="1346"/>
      <c r="C419" s="116" t="s">
        <v>288</v>
      </c>
      <c r="D419" s="116" t="s">
        <v>340</v>
      </c>
      <c r="E419" s="116" t="s">
        <v>467</v>
      </c>
      <c r="F419" s="116" t="s">
        <v>438</v>
      </c>
      <c r="G419" s="970"/>
      <c r="H419" s="970"/>
      <c r="I419" s="777">
        <f>$F$22*$H$9*'Traffic Data'!AK45*annualizationFactor</f>
        <v>0</v>
      </c>
      <c r="J419" s="777">
        <f>$F$22*$H$9*'Traffic Data'!AL45*annualizationFactor</f>
        <v>1.5463167163046082E-4</v>
      </c>
      <c r="K419" s="777">
        <f>$F$22*$H$9*'Traffic Data'!AM45*annualizationFactor</f>
        <v>4.4284530715266271E-4</v>
      </c>
      <c r="L419" s="777">
        <f>$F$22*$H$9*'Traffic Data'!AN45*annualizationFactor</f>
        <v>9.9548852992341775E-4</v>
      </c>
      <c r="M419" s="777">
        <f>$F$22*$H$9*'Traffic Data'!AO45*annualizationFactor</f>
        <v>1.5484381874092945E-3</v>
      </c>
      <c r="N419" s="777">
        <f>$F$22*$H$9*'Traffic Data'!AP45*annualizationFactor</f>
        <v>2.1014114167963336E-3</v>
      </c>
      <c r="O419" s="777">
        <f>$F$22*$H$9*'Traffic Data'!AQ45*annualizationFactor</f>
        <v>2.6540546395670888E-3</v>
      </c>
      <c r="P419" s="777">
        <f>$F$22*$H$9*'Traffic Data'!AR45*annualizationFactor</f>
        <v>3.20733430366925E-3</v>
      </c>
      <c r="Q419" s="777">
        <f>$F$22*$H$9*'Traffic Data'!AS45*annualizationFactor</f>
        <v>3.6339857147228089E-3</v>
      </c>
      <c r="R419" s="777">
        <f>$F$22*$H$9*'Traffic Data'!AT45*annualizationFactor</f>
        <v>4.0607078414798556E-3</v>
      </c>
      <c r="S419" s="777">
        <f>$F$22*$H$9*'Traffic Data'!AU45*annualizationFactor</f>
        <v>4.4873592525334132E-3</v>
      </c>
      <c r="T419" s="777">
        <f>$F$22*$H$9*'Traffic Data'!AV45*annualizationFactor</f>
        <v>4.9140106635869709E-3</v>
      </c>
      <c r="U419" s="777">
        <f>$F$22*$H$9*'Traffic Data'!AW45*annualizationFactor</f>
        <v>5.3412278002684466E-3</v>
      </c>
      <c r="V419" s="777">
        <f>$F$22*$H$9*'Traffic Data'!AX45*annualizationFactor</f>
        <v>5.5529741884172918E-3</v>
      </c>
      <c r="W419" s="777">
        <f>$F$22*$H$9*'Traffic Data'!AY45*annualizationFactor</f>
        <v>5.6106074867612668E-3</v>
      </c>
      <c r="X419" s="777">
        <f>$F$22*$H$9*'Traffic Data'!AZ45*annualizationFactor</f>
        <v>5.6682407851052418E-3</v>
      </c>
      <c r="Y419" s="777">
        <f>$F$22*$H$9*'Traffic Data'!BA45*annualizationFactor</f>
        <v>5.7258740834492177E-3</v>
      </c>
      <c r="Z419" s="777">
        <f>$F$22*$H$9*'Traffic Data'!BB45*annualizationFactor</f>
        <v>5.7836723851013355E-3</v>
      </c>
      <c r="AA419" s="777">
        <f>$F$22*$H$9*'Traffic Data'!BC45*annualizationFactor</f>
        <v>5.8413056834453097E-3</v>
      </c>
      <c r="AB419" s="777">
        <f>$F$22*$H$9*'Traffic Data'!BD45*annualizationFactor</f>
        <v>5.8991039850974265E-3</v>
      </c>
      <c r="AC419" s="777">
        <f>$F$22*$H$9*'Traffic Data'!BE45*annualizationFactor</f>
        <v>5.9567372834414007E-3</v>
      </c>
      <c r="AD419" s="777">
        <f>$F$22*$H$9*'Traffic Data'!BF45*annualizationFactor</f>
        <v>6.0143705817853775E-3</v>
      </c>
      <c r="AE419" s="777">
        <f>$F$22*$H$9*'Traffic Data'!BG45*annualizationFactor</f>
        <v>6.0721688834374935E-3</v>
      </c>
      <c r="AF419" s="777">
        <f>$F$22*$H$9*'Traffic Data'!BH45*annualizationFactor</f>
        <v>6.1298021817814685E-3</v>
      </c>
      <c r="AG419" s="777">
        <f>$F$22*$H$9*'Traffic Data'!BI45*annualizationFactor</f>
        <v>6.1874354801254453E-3</v>
      </c>
      <c r="AH419" s="778">
        <f>$F$22*$H$9*'Traffic Data'!BJ45*annualizationFactor</f>
        <v>6.2452337817775613E-3</v>
      </c>
      <c r="AI419" s="40"/>
      <c r="AJ419" s="40"/>
      <c r="AK419" s="40"/>
      <c r="AL419" s="40"/>
      <c r="AM419" s="40"/>
    </row>
    <row r="420" spans="2:39" ht="21.95" customHeight="1" x14ac:dyDescent="0.2">
      <c r="B420" s="1346"/>
      <c r="C420" s="254" t="s">
        <v>340</v>
      </c>
      <c r="D420" s="254" t="s">
        <v>280</v>
      </c>
      <c r="E420" s="116" t="s">
        <v>467</v>
      </c>
      <c r="F420" s="254" t="s">
        <v>438</v>
      </c>
      <c r="G420" s="970"/>
      <c r="H420" s="970"/>
      <c r="I420" s="777">
        <f>$F$22*$H$9*'Traffic Data'!AK46*annualizationFactor</f>
        <v>2.0342873606580002E-4</v>
      </c>
      <c r="J420" s="777">
        <f>$F$22*$H$9*'Traffic Data'!AL46*annualizationFactor</f>
        <v>3.0325121685328808E-4</v>
      </c>
      <c r="K420" s="777">
        <f>$F$22*$H$9*'Traffic Data'!AM46*annualizationFactor</f>
        <v>4.2695623125490106E-4</v>
      </c>
      <c r="L420" s="777">
        <f>$F$22*$H$9*'Traffic Data'!AN46*annualizationFactor</f>
        <v>7.3968044625098651E-4</v>
      </c>
      <c r="M420" s="777">
        <f>$F$22*$H$9*'Traffic Data'!AO46*annualizationFactor</f>
        <v>1.0524385660364165E-3</v>
      </c>
      <c r="N420" s="777">
        <f>$F$22*$H$9*'Traffic Data'!AP46*annualizationFactor</f>
        <v>1.3653526478528304E-3</v>
      </c>
      <c r="O420" s="777">
        <f>$F$22*$H$9*'Traffic Data'!AQ46*annualizationFactor</f>
        <v>1.6780768628489157E-3</v>
      </c>
      <c r="P420" s="777">
        <f>$F$22*$H$9*'Traffic Data'!AR46*annualizationFactor</f>
        <v>1.990699363476968E-3</v>
      </c>
      <c r="Q420" s="777">
        <f>$F$22*$H$9*'Traffic Data'!AS46*annualizationFactor</f>
        <v>2.7864515503455579E-3</v>
      </c>
      <c r="R420" s="777">
        <f>$F$22*$H$9*'Traffic Data'!AT46*annualizationFactor</f>
        <v>3.5818918131521808E-3</v>
      </c>
      <c r="S420" s="777">
        <f>$F$22*$H$9*'Traffic Data'!AU46*annualizationFactor</f>
        <v>4.3772710473379836E-3</v>
      </c>
      <c r="T420" s="777">
        <f>$F$22*$H$9*'Traffic Data'!AV46*annualizationFactor</f>
        <v>5.1730232342065731E-3</v>
      </c>
      <c r="U420" s="777">
        <f>$F$22*$H$9*'Traffic Data'!AW46*annualizationFactor</f>
        <v>5.9686737067071302E-3</v>
      </c>
      <c r="V420" s="777">
        <f>$F$22*$H$9*'Traffic Data'!AX46*annualizationFactor</f>
        <v>6.575169359455838E-3</v>
      </c>
      <c r="W420" s="777">
        <f>$F$22*$H$9*'Traffic Data'!AY46*annualizationFactor</f>
        <v>6.6749918402433245E-3</v>
      </c>
      <c r="X420" s="777">
        <f>$F$22*$H$9*'Traffic Data'!AZ46*annualizationFactor</f>
        <v>6.7748143210308136E-3</v>
      </c>
      <c r="Y420" s="777">
        <f>$F$22*$H$9*'Traffic Data'!BA46*annualizationFactor</f>
        <v>6.8746368018183027E-3</v>
      </c>
      <c r="Z420" s="777">
        <f>$F$22*$H$9*'Traffic Data'!BB46*annualizationFactor</f>
        <v>6.9741541395016912E-3</v>
      </c>
      <c r="AA420" s="777">
        <f>$F$22*$H$9*'Traffic Data'!BC46*annualizationFactor</f>
        <v>7.0739766202891786E-3</v>
      </c>
      <c r="AB420" s="777">
        <f>$F$22*$H$9*'Traffic Data'!BD46*annualizationFactor</f>
        <v>7.1734939579725706E-3</v>
      </c>
      <c r="AC420" s="777">
        <f>$F$22*$H$9*'Traffic Data'!BE46*annualizationFactor</f>
        <v>7.2733164387600562E-3</v>
      </c>
      <c r="AD420" s="777">
        <f>$F$22*$H$9*'Traffic Data'!BF46*annualizationFactor</f>
        <v>7.3731389195475453E-3</v>
      </c>
      <c r="AE420" s="777">
        <f>$F$22*$H$9*'Traffic Data'!BG46*annualizationFactor</f>
        <v>7.4726562572309339E-3</v>
      </c>
      <c r="AF420" s="777">
        <f>$F$22*$H$9*'Traffic Data'!BH46*annualizationFactor</f>
        <v>7.572478738018423E-3</v>
      </c>
      <c r="AG420" s="777">
        <f>$F$22*$H$9*'Traffic Data'!BI46*annualizationFactor</f>
        <v>7.6723012188059094E-3</v>
      </c>
      <c r="AH420" s="778">
        <f>$F$22*$H$9*'Traffic Data'!BJ46*annualizationFactor</f>
        <v>7.7718185564892997E-3</v>
      </c>
      <c r="AI420" s="40"/>
      <c r="AJ420" s="40"/>
      <c r="AK420" s="40"/>
      <c r="AL420" s="40"/>
      <c r="AM420" s="40"/>
    </row>
    <row r="421" spans="2:39" ht="21.95" customHeight="1" x14ac:dyDescent="0.2">
      <c r="B421" s="1346" t="s">
        <v>334</v>
      </c>
      <c r="C421" s="116" t="s">
        <v>336</v>
      </c>
      <c r="D421" s="116" t="s">
        <v>337</v>
      </c>
      <c r="E421" s="220" t="s">
        <v>467</v>
      </c>
      <c r="F421" s="116" t="s">
        <v>438</v>
      </c>
      <c r="G421" s="775"/>
      <c r="H421" s="775"/>
      <c r="I421" s="775">
        <f>$F$22*$I$9*'Traffic Data'!AK47*annualizationFactor</f>
        <v>4.0685747213160001E-3</v>
      </c>
      <c r="J421" s="775">
        <f>$F$22*$I$9*'Traffic Data'!AL47*annualizationFactor</f>
        <v>4.1812742410964523E-3</v>
      </c>
      <c r="K421" s="775">
        <f>$F$22*$I$9*'Traffic Data'!AM47*annualizationFactor</f>
        <v>4.363154061763283E-3</v>
      </c>
      <c r="L421" s="775">
        <f>$F$22*$I$9*'Traffic Data'!AN47*annualizationFactor</f>
        <v>4.6229906802153281E-3</v>
      </c>
      <c r="M421" s="775">
        <f>$F$22*$I$9*'Traffic Data'!AO47*annualizationFactor</f>
        <v>4.8829435436594125E-3</v>
      </c>
      <c r="N421" s="775">
        <f>$F$22*$I$9*'Traffic Data'!AP47*annualizationFactor</f>
        <v>5.1428818764794907E-3</v>
      </c>
      <c r="O421" s="775">
        <f>$F$22*$I$9*'Traffic Data'!AQ47*annualizationFactor</f>
        <v>5.4027184949315367E-3</v>
      </c>
      <c r="P421" s="775">
        <f>$F$22*$I$9*'Traffic Data'!AR47*annualizationFactor</f>
        <v>5.662787603367656E-3</v>
      </c>
      <c r="Q421" s="775">
        <f>$F$22*$I$9*'Traffic Data'!AS47*annualizationFactor</f>
        <v>5.8942749743865312E-3</v>
      </c>
      <c r="R421" s="775">
        <f>$F$22*$I$9*'Traffic Data'!AT47*annualizationFactor</f>
        <v>6.12583499852543E-3</v>
      </c>
      <c r="S421" s="775">
        <f>$F$22*$I$9*'Traffic Data'!AU47*annualizationFactor</f>
        <v>6.3573223695443061E-3</v>
      </c>
      <c r="T421" s="775">
        <f>$F$22*$I$9*'Traffic Data'!AV47*annualizationFactor</f>
        <v>6.5888097405631812E-3</v>
      </c>
      <c r="U421" s="775">
        <f>$F$22*$I$9*'Traffic Data'!AW47*annualizationFactor</f>
        <v>6.8205296015661325E-3</v>
      </c>
      <c r="V421" s="775">
        <f>$F$22*$I$9*'Traffic Data'!AX47*annualizationFactor</f>
        <v>6.9739439298077558E-3</v>
      </c>
      <c r="W421" s="775">
        <f>$F$22*$I$9*'Traffic Data'!AY47*annualizationFactor</f>
        <v>7.0866434495882088E-3</v>
      </c>
      <c r="X421" s="775">
        <f>$F$22*$I$9*'Traffic Data'!AZ47*annualizationFactor</f>
        <v>7.1993429693686618E-3</v>
      </c>
      <c r="Y421" s="775">
        <f>$F$22*$I$9*'Traffic Data'!BA47*annualizationFactor</f>
        <v>7.3120424891491148E-3</v>
      </c>
      <c r="Z421" s="775">
        <f>$F$22*$I$9*'Traffic Data'!BB47*annualizationFactor</f>
        <v>7.4248146620495914E-3</v>
      </c>
      <c r="AA421" s="775">
        <f>$F$22*$I$9*'Traffic Data'!BC47*annualizationFactor</f>
        <v>7.5375141818300462E-3</v>
      </c>
      <c r="AB421" s="775">
        <f>$F$22*$I$9*'Traffic Data'!BD47*annualizationFactor</f>
        <v>7.6502863547305202E-3</v>
      </c>
      <c r="AC421" s="775">
        <f>$F$22*$I$9*'Traffic Data'!BE47*annualizationFactor</f>
        <v>7.7629858745109732E-3</v>
      </c>
      <c r="AD421" s="775">
        <f>$F$22*$I$9*'Traffic Data'!BF47*annualizationFactor</f>
        <v>7.875685394291428E-3</v>
      </c>
      <c r="AE421" s="775">
        <f>$F$22*$I$9*'Traffic Data'!BG47*annualizationFactor</f>
        <v>7.9884575671919037E-3</v>
      </c>
      <c r="AF421" s="775">
        <f>$F$22*$I$9*'Traffic Data'!BH47*annualizationFactor</f>
        <v>8.1011570869723559E-3</v>
      </c>
      <c r="AG421" s="775">
        <f>$F$22*$I$9*'Traffic Data'!BI47*annualizationFactor</f>
        <v>8.2138566067528097E-3</v>
      </c>
      <c r="AH421" s="776">
        <f>$F$22*$I$9*'Traffic Data'!BJ47*annualizationFactor</f>
        <v>8.3266287796532855E-3</v>
      </c>
      <c r="AI421" s="40"/>
      <c r="AJ421" s="40"/>
      <c r="AK421" s="40"/>
      <c r="AL421" s="40"/>
      <c r="AM421" s="40"/>
    </row>
    <row r="422" spans="2:39" ht="21.95" customHeight="1" x14ac:dyDescent="0.2">
      <c r="B422" s="1346"/>
      <c r="C422" s="116" t="s">
        <v>337</v>
      </c>
      <c r="D422" s="116" t="s">
        <v>386</v>
      </c>
      <c r="E422" s="116" t="s">
        <v>467</v>
      </c>
      <c r="F422" s="116" t="s">
        <v>438</v>
      </c>
      <c r="G422" s="970"/>
      <c r="H422" s="970"/>
      <c r="I422" s="777">
        <f>$F$22*$I$9*'Traffic Data'!AK48*annualizationFactor</f>
        <v>6.3934745620680003E-3</v>
      </c>
      <c r="J422" s="777">
        <f>$F$22*$I$9*'Traffic Data'!AL48*annualizationFactor</f>
        <v>6.4062615111921354E-3</v>
      </c>
      <c r="K422" s="777">
        <f>$F$22*$I$9*'Traffic Data'!AM48*annualizationFactor</f>
        <v>6.4190484603162722E-3</v>
      </c>
      <c r="L422" s="777">
        <f>$F$22*$I$9*'Traffic Data'!AN48*annualizationFactor</f>
        <v>6.4318354094404073E-3</v>
      </c>
      <c r="M422" s="777">
        <f>$F$22*$I$9*'Traffic Data'!AO48*annualizationFactor</f>
        <v>6.4446223585645441E-3</v>
      </c>
      <c r="N422" s="777">
        <f>$F$22*$I$9*'Traffic Data'!AP48*annualizationFactor</f>
        <v>6.45740930768868E-3</v>
      </c>
      <c r="O422" s="777">
        <f>$F$22*$I$9*'Traffic Data'!AQ48*annualizationFactor</f>
        <v>6.470196256812815E-3</v>
      </c>
      <c r="P422" s="777">
        <f>$F$22*$I$9*'Traffic Data'!AR48*annualizationFactor</f>
        <v>6.4829832059369518E-3</v>
      </c>
      <c r="Q422" s="777">
        <f>$F$22*$I$9*'Traffic Data'!AS48*annualizationFactor</f>
        <v>6.4957701550610869E-3</v>
      </c>
      <c r="R422" s="777">
        <f>$F$22*$I$9*'Traffic Data'!AT48*annualizationFactor</f>
        <v>6.4957701550610869E-3</v>
      </c>
      <c r="S422" s="777">
        <f>$F$22*$I$9*'Traffic Data'!AU48*annualizationFactor</f>
        <v>6.6491815771779093E-3</v>
      </c>
      <c r="T422" s="777">
        <f>$F$22*$I$9*'Traffic Data'!AV48*annualizationFactor</f>
        <v>6.8184052243366444E-3</v>
      </c>
      <c r="U422" s="777">
        <f>$F$22*$I$9*'Traffic Data'!AW48*annualizationFactor</f>
        <v>6.9877334919882144E-3</v>
      </c>
      <c r="V422" s="777">
        <f>$F$22*$I$9*'Traffic Data'!AX48*annualizationFactor</f>
        <v>7.1242370800131674E-3</v>
      </c>
      <c r="W422" s="777">
        <f>$F$22*$I$9*'Traffic Data'!AY48*annualizationFactor</f>
        <v>7.2363117829614184E-3</v>
      </c>
      <c r="X422" s="777">
        <f>$F$22*$I$9*'Traffic Data'!AZ48*annualizationFactor</f>
        <v>7.3483864859096686E-3</v>
      </c>
      <c r="Y422" s="777">
        <f>$F$22*$I$9*'Traffic Data'!BA48*annualizationFactor</f>
        <v>7.4604611888579196E-3</v>
      </c>
      <c r="Z422" s="777">
        <f>$F$22*$I$9*'Traffic Data'!BB48*annualizationFactor</f>
        <v>7.5725620469293802E-3</v>
      </c>
      <c r="AA422" s="777">
        <f>$F$22*$I$9*'Traffic Data'!BC48*annualizationFactor</f>
        <v>7.6846367498776304E-3</v>
      </c>
      <c r="AB422" s="777">
        <f>$F$22*$I$9*'Traffic Data'!BD48*annualizationFactor</f>
        <v>7.796737607949091E-3</v>
      </c>
      <c r="AC422" s="777">
        <f>$F$22*$I$9*'Traffic Data'!BE48*annualizationFactor</f>
        <v>7.908812310897342E-3</v>
      </c>
      <c r="AD422" s="777">
        <f>$F$22*$I$9*'Traffic Data'!BF48*annualizationFactor</f>
        <v>8.0208870138455922E-3</v>
      </c>
      <c r="AE422" s="777">
        <f>$F$22*$I$9*'Traffic Data'!BG48*annualizationFactor</f>
        <v>8.132987871917052E-3</v>
      </c>
      <c r="AF422" s="777">
        <f>$F$22*$I$9*'Traffic Data'!BH48*annualizationFactor</f>
        <v>8.2450625748653021E-3</v>
      </c>
      <c r="AG422" s="777">
        <f>$F$22*$I$9*'Traffic Data'!BI48*annualizationFactor</f>
        <v>8.357137277813554E-3</v>
      </c>
      <c r="AH422" s="778">
        <f>$F$22*$I$9*'Traffic Data'!BJ48*annualizationFactor</f>
        <v>8.4692381358850138E-3</v>
      </c>
      <c r="AI422" s="40"/>
      <c r="AJ422" s="40"/>
      <c r="AK422" s="40"/>
      <c r="AL422" s="40"/>
      <c r="AM422" s="40"/>
    </row>
    <row r="423" spans="2:39" ht="21.95" customHeight="1" x14ac:dyDescent="0.2">
      <c r="B423" s="1346"/>
      <c r="C423" s="116" t="s">
        <v>342</v>
      </c>
      <c r="D423" s="116" t="s">
        <v>341</v>
      </c>
      <c r="E423" s="116" t="s">
        <v>467</v>
      </c>
      <c r="F423" s="116" t="s">
        <v>438</v>
      </c>
      <c r="G423" s="970"/>
      <c r="H423" s="970"/>
      <c r="I423" s="777">
        <f>$F$22*$I$9*'Traffic Data'!AK49*annualizationFactor</f>
        <v>8.3115169306883993E-3</v>
      </c>
      <c r="J423" s="777">
        <f>$F$22*$I$9*'Traffic Data'!AL49*annualizationFactor</f>
        <v>8.3281399645497769E-3</v>
      </c>
      <c r="K423" s="777">
        <f>$F$22*$I$9*'Traffic Data'!AM49*annualizationFactor</f>
        <v>8.3447629984111527E-3</v>
      </c>
      <c r="L423" s="777">
        <f>$F$22*$I$9*'Traffic Data'!AN49*annualizationFactor</f>
        <v>8.3613860322725303E-3</v>
      </c>
      <c r="M423" s="777">
        <f>$F$22*$I$9*'Traffic Data'!AO49*annualizationFactor</f>
        <v>8.3780090661339061E-3</v>
      </c>
      <c r="N423" s="777">
        <f>$F$22*$I$9*'Traffic Data'!AP49*annualizationFactor</f>
        <v>8.3946320999952837E-3</v>
      </c>
      <c r="O423" s="777">
        <f>$F$22*$I$9*'Traffic Data'!AQ49*annualizationFactor</f>
        <v>8.4112551338566613E-3</v>
      </c>
      <c r="P423" s="777">
        <f>$F$22*$I$9*'Traffic Data'!AR49*annualizationFactor</f>
        <v>8.4278781677180371E-3</v>
      </c>
      <c r="Q423" s="777">
        <f>$F$22*$I$9*'Traffic Data'!AS49*annualizationFactor</f>
        <v>8.4445012015794147E-3</v>
      </c>
      <c r="R423" s="777">
        <f>$F$22*$I$9*'Traffic Data'!AT49*annualizationFactor</f>
        <v>8.4445012015794147E-3</v>
      </c>
      <c r="S423" s="777">
        <f>$F$22*$I$9*'Traffic Data'!AU49*annualizationFactor</f>
        <v>8.6439360503312822E-3</v>
      </c>
      <c r="T423" s="777">
        <f>$F$22*$I$9*'Traffic Data'!AV49*annualizationFactor</f>
        <v>8.8639267916376385E-3</v>
      </c>
      <c r="U423" s="777">
        <f>$F$22*$I$9*'Traffic Data'!AW49*annualizationFactor</f>
        <v>9.0840535395846772E-3</v>
      </c>
      <c r="V423" s="777">
        <f>$F$22*$I$9*'Traffic Data'!AX49*annualizationFactor</f>
        <v>9.2615082040171173E-3</v>
      </c>
      <c r="W423" s="777">
        <f>$F$22*$I$9*'Traffic Data'!AY49*annualizationFactor</f>
        <v>9.4072053178498437E-3</v>
      </c>
      <c r="X423" s="777">
        <f>$F$22*$I$9*'Traffic Data'!AZ49*annualizationFactor</f>
        <v>9.5529024316825702E-3</v>
      </c>
      <c r="Y423" s="777">
        <f>$F$22*$I$9*'Traffic Data'!BA49*annualizationFactor</f>
        <v>9.6985995455152966E-3</v>
      </c>
      <c r="Z423" s="777">
        <f>$F$22*$I$9*'Traffic Data'!BB49*annualizationFactor</f>
        <v>9.8443306610081945E-3</v>
      </c>
      <c r="AA423" s="777">
        <f>$F$22*$I$9*'Traffic Data'!BC49*annualizationFactor</f>
        <v>9.9900277748409209E-3</v>
      </c>
      <c r="AB423" s="777">
        <f>$F$22*$I$9*'Traffic Data'!BD49*annualizationFactor</f>
        <v>1.0135758890333819E-2</v>
      </c>
      <c r="AC423" s="777">
        <f>$F$22*$I$9*'Traffic Data'!BE49*annualizationFactor</f>
        <v>1.0281456004166545E-2</v>
      </c>
      <c r="AD423" s="777">
        <f>$F$22*$I$9*'Traffic Data'!BF49*annualizationFactor</f>
        <v>1.042715311799927E-2</v>
      </c>
      <c r="AE423" s="777">
        <f>$F$22*$I$9*'Traffic Data'!BG49*annualizationFactor</f>
        <v>1.0572884233492169E-2</v>
      </c>
      <c r="AF423" s="777">
        <f>$F$22*$I$9*'Traffic Data'!BH49*annualizationFactor</f>
        <v>1.0718581347324894E-2</v>
      </c>
      <c r="AG423" s="777">
        <f>$F$22*$I$9*'Traffic Data'!BI49*annualizationFactor</f>
        <v>1.0864278461157621E-2</v>
      </c>
      <c r="AH423" s="778">
        <f>$F$22*$I$9*'Traffic Data'!BJ49*annualizationFactor</f>
        <v>1.101000957665052E-2</v>
      </c>
      <c r="AI423" s="40"/>
      <c r="AJ423" s="40"/>
      <c r="AK423" s="40"/>
      <c r="AL423" s="40"/>
      <c r="AM423" s="40"/>
    </row>
    <row r="424" spans="2:39" ht="21.95" customHeight="1" x14ac:dyDescent="0.2">
      <c r="B424" s="1346"/>
      <c r="C424" s="116" t="s">
        <v>341</v>
      </c>
      <c r="D424" s="116" t="s">
        <v>344</v>
      </c>
      <c r="E424" s="116" t="s">
        <v>467</v>
      </c>
      <c r="F424" s="116" t="s">
        <v>438</v>
      </c>
      <c r="G424" s="970"/>
      <c r="H424" s="970"/>
      <c r="I424" s="777">
        <f>$F$22*$I$9*'Traffic Data'!AK50*annualizationFactor</f>
        <v>9.2182278685816795E-3</v>
      </c>
      <c r="J424" s="777">
        <f>$F$22*$I$9*'Traffic Data'!AL50*annualizationFactor</f>
        <v>9.2366643243188429E-3</v>
      </c>
      <c r="K424" s="777">
        <f>$F$22*$I$9*'Traffic Data'!AM50*annualizationFactor</f>
        <v>9.2551007800560064E-3</v>
      </c>
      <c r="L424" s="777">
        <f>$F$22*$I$9*'Traffic Data'!AN50*annualizationFactor</f>
        <v>9.2735372357931698E-3</v>
      </c>
      <c r="M424" s="777">
        <f>$F$22*$I$9*'Traffic Data'!AO50*annualizationFactor</f>
        <v>9.2919736915303332E-3</v>
      </c>
      <c r="N424" s="777">
        <f>$F$22*$I$9*'Traffic Data'!AP50*annualizationFactor</f>
        <v>9.3104101472674967E-3</v>
      </c>
      <c r="O424" s="777">
        <f>$F$22*$I$9*'Traffic Data'!AQ50*annualizationFactor</f>
        <v>9.3288466030046601E-3</v>
      </c>
      <c r="P424" s="777">
        <f>$F$22*$I$9*'Traffic Data'!AR50*annualizationFactor</f>
        <v>9.3472830587418235E-3</v>
      </c>
      <c r="Q424" s="777">
        <f>$F$22*$I$9*'Traffic Data'!AS50*annualizationFactor</f>
        <v>9.365719514478987E-3</v>
      </c>
      <c r="R424" s="777">
        <f>$F$22*$I$9*'Traffic Data'!AT50*annualizationFactor</f>
        <v>9.365719514478987E-3</v>
      </c>
      <c r="S424" s="777">
        <f>$F$22*$I$9*'Traffic Data'!AU50*annualizationFactor</f>
        <v>9.4099217680221753E-3</v>
      </c>
      <c r="T424" s="777">
        <f>$F$22*$I$9*'Traffic Data'!AV50*annualizationFactor</f>
        <v>9.5662225297443101E-3</v>
      </c>
      <c r="U424" s="777">
        <f>$F$22*$I$9*'Traffic Data'!AW50*annualizationFactor</f>
        <v>9.7185397406572074E-3</v>
      </c>
      <c r="V424" s="777">
        <f>$F$22*$I$9*'Traffic Data'!AX50*annualizationFactor</f>
        <v>9.8214732385061513E-3</v>
      </c>
      <c r="W424" s="777">
        <f>$F$22*$I$9*'Traffic Data'!AY50*annualizationFactor</f>
        <v>9.8876964202384843E-3</v>
      </c>
      <c r="X424" s="777">
        <f>$F$22*$I$9*'Traffic Data'!AZ50*annualizationFactor</f>
        <v>1.0040835294346972E-2</v>
      </c>
      <c r="Y424" s="777">
        <f>$F$22*$I$9*'Traffic Data'!BA50*annualizationFactor</f>
        <v>1.0193974168455463E-2</v>
      </c>
      <c r="Z424" s="777">
        <f>$F$22*$I$9*'Traffic Data'!BB50*annualizationFactor</f>
        <v>1.0347148780924307E-2</v>
      </c>
      <c r="AA424" s="777">
        <f>$F$22*$I$9*'Traffic Data'!BC50*annualizationFactor</f>
        <v>1.0500287655032796E-2</v>
      </c>
      <c r="AB424" s="777">
        <f>$F$22*$I$9*'Traffic Data'!BD50*annualizationFactor</f>
        <v>1.065346226750164E-2</v>
      </c>
      <c r="AC424" s="777">
        <f>$F$22*$I$9*'Traffic Data'!BE50*annualizationFactor</f>
        <v>1.0806601141610127E-2</v>
      </c>
      <c r="AD424" s="777">
        <f>$F$22*$I$9*'Traffic Data'!BF50*annualizationFactor</f>
        <v>1.0959740015718618E-2</v>
      </c>
      <c r="AE424" s="777">
        <f>$F$22*$I$9*'Traffic Data'!BG50*annualizationFactor</f>
        <v>1.111291462818746E-2</v>
      </c>
      <c r="AF424" s="777">
        <f>$F$22*$I$9*'Traffic Data'!BH50*annualizationFactor</f>
        <v>1.1266053502295948E-2</v>
      </c>
      <c r="AG424" s="777">
        <f>$F$22*$I$9*'Traffic Data'!BI50*annualizationFactor</f>
        <v>1.141919237640444E-2</v>
      </c>
      <c r="AH424" s="778">
        <f>$F$22*$I$9*'Traffic Data'!BJ50*annualizationFactor</f>
        <v>1.1572366988873282E-2</v>
      </c>
      <c r="AI424" s="40"/>
      <c r="AJ424" s="40"/>
      <c r="AK424" s="40"/>
      <c r="AL424" s="40"/>
      <c r="AM424" s="40"/>
    </row>
    <row r="425" spans="2:39" ht="21.95" customHeight="1" x14ac:dyDescent="0.2">
      <c r="B425" s="1346"/>
      <c r="C425" s="116" t="s">
        <v>344</v>
      </c>
      <c r="D425" s="116" t="s">
        <v>345</v>
      </c>
      <c r="E425" s="116" t="s">
        <v>467</v>
      </c>
      <c r="F425" s="116" t="s">
        <v>438</v>
      </c>
      <c r="G425" s="970"/>
      <c r="H425" s="970"/>
      <c r="I425" s="777">
        <f>$F$22*$I$9*'Traffic Data'!AK51*annualizationFactor</f>
        <v>3.777962241222E-3</v>
      </c>
      <c r="J425" s="777">
        <f>$F$22*$I$9*'Traffic Data'!AL51*annualizationFactor</f>
        <v>3.7855181657044435E-3</v>
      </c>
      <c r="K425" s="777">
        <f>$F$22*$I$9*'Traffic Data'!AM51*annualizationFactor</f>
        <v>3.7930740901868879E-3</v>
      </c>
      <c r="L425" s="777">
        <f>$F$22*$I$9*'Traffic Data'!AN51*annualizationFactor</f>
        <v>3.8006300146693314E-3</v>
      </c>
      <c r="M425" s="777">
        <f>$F$22*$I$9*'Traffic Data'!AO51*annualizationFactor</f>
        <v>3.8081859391517758E-3</v>
      </c>
      <c r="N425" s="777">
        <f>$F$22*$I$9*'Traffic Data'!AP51*annualizationFactor</f>
        <v>3.8157418636342198E-3</v>
      </c>
      <c r="O425" s="777">
        <f>$F$22*$I$9*'Traffic Data'!AQ51*annualizationFactor</f>
        <v>3.8232977881166642E-3</v>
      </c>
      <c r="P425" s="777">
        <f>$F$22*$I$9*'Traffic Data'!AR51*annualizationFactor</f>
        <v>3.8308537125991077E-3</v>
      </c>
      <c r="Q425" s="777">
        <f>$F$22*$I$9*'Traffic Data'!AS51*annualizationFactor</f>
        <v>3.8384096370815521E-3</v>
      </c>
      <c r="R425" s="777">
        <f>$F$22*$I$9*'Traffic Data'!AT51*annualizationFactor</f>
        <v>3.8384096370815521E-3</v>
      </c>
      <c r="S425" s="777">
        <f>$F$22*$I$9*'Traffic Data'!AU51*annualizationFactor</f>
        <v>3.8565253147631868E-3</v>
      </c>
      <c r="T425" s="777">
        <f>$F$22*$I$9*'Traffic Data'!AV51*annualizationFactor</f>
        <v>3.9205830039935703E-3</v>
      </c>
      <c r="U425" s="777">
        <f>$F$22*$I$9*'Traffic Data'!AW51*annualizationFactor</f>
        <v>3.9830080904332821E-3</v>
      </c>
      <c r="V425" s="777">
        <f>$F$22*$I$9*'Traffic Data'!AX51*annualizationFactor</f>
        <v>4.0251939502074395E-3</v>
      </c>
      <c r="W425" s="777">
        <f>$F$22*$I$9*'Traffic Data'!AY51*annualizationFactor</f>
        <v>4.0523345984583951E-3</v>
      </c>
      <c r="X425" s="777">
        <f>$F$22*$I$9*'Traffic Data'!AZ51*annualizationFactor</f>
        <v>4.1150964321094146E-3</v>
      </c>
      <c r="Y425" s="777">
        <f>$F$22*$I$9*'Traffic Data'!BA51*annualizationFactor</f>
        <v>4.1778582657604349E-3</v>
      </c>
      <c r="Z425" s="777">
        <f>$F$22*$I$9*'Traffic Data'!BB51*annualizationFactor</f>
        <v>4.2406347462804533E-3</v>
      </c>
      <c r="AA425" s="777">
        <f>$F$22*$I$9*'Traffic Data'!BC51*annualizationFactor</f>
        <v>4.3033965799314736E-3</v>
      </c>
      <c r="AB425" s="777">
        <f>$F$22*$I$9*'Traffic Data'!BD51*annualizationFactor</f>
        <v>4.3661730604514911E-3</v>
      </c>
      <c r="AC425" s="777">
        <f>$F$22*$I$9*'Traffic Data'!BE51*annualizationFactor</f>
        <v>4.4289348941025123E-3</v>
      </c>
      <c r="AD425" s="777">
        <f>$F$22*$I$9*'Traffic Data'!BF51*annualizationFactor</f>
        <v>4.4916967277535327E-3</v>
      </c>
      <c r="AE425" s="777">
        <f>$F$22*$I$9*'Traffic Data'!BG51*annualizationFactor</f>
        <v>4.5544732082735493E-3</v>
      </c>
      <c r="AF425" s="777">
        <f>$F$22*$I$9*'Traffic Data'!BH51*annualizationFactor</f>
        <v>4.6172350419245696E-3</v>
      </c>
      <c r="AG425" s="777">
        <f>$F$22*$I$9*'Traffic Data'!BI51*annualizationFactor</f>
        <v>4.6799968755755908E-3</v>
      </c>
      <c r="AH425" s="778">
        <f>$F$22*$I$9*'Traffic Data'!BJ51*annualizationFactor</f>
        <v>4.7427733560956083E-3</v>
      </c>
      <c r="AI425" s="40"/>
      <c r="AJ425" s="40"/>
      <c r="AK425" s="40"/>
      <c r="AL425" s="40"/>
      <c r="AM425" s="40"/>
    </row>
    <row r="426" spans="2:39" ht="21.95" customHeight="1" x14ac:dyDescent="0.2">
      <c r="B426" s="1346"/>
      <c r="C426" s="116" t="s">
        <v>345</v>
      </c>
      <c r="D426" s="116" t="s">
        <v>323</v>
      </c>
      <c r="E426" s="116" t="s">
        <v>467</v>
      </c>
      <c r="F426" s="116" t="s">
        <v>438</v>
      </c>
      <c r="G426" s="970"/>
      <c r="H426" s="970"/>
      <c r="I426" s="777">
        <f>$F$22*$I$9*'Traffic Data'!AK52*annualizationFactor</f>
        <v>4.5568036878739199E-2</v>
      </c>
      <c r="J426" s="777">
        <f>$F$22*$I$9*'Traffic Data'!AL52*annualizationFactor</f>
        <v>4.6614067439589534E-2</v>
      </c>
      <c r="K426" s="777">
        <f>$F$22*$I$9*'Traffic Data'!AM52*annualizationFactor</f>
        <v>4.8144095649287628E-2</v>
      </c>
      <c r="L426" s="777">
        <f>$F$22*$I$9*'Traffic Data'!AN52*annualizationFactor</f>
        <v>4.9979022848601146E-2</v>
      </c>
      <c r="M426" s="777">
        <f>$F$22*$I$9*'Traffic Data'!AO52*annualizationFactor</f>
        <v>5.1814438276881217E-2</v>
      </c>
      <c r="N426" s="777">
        <f>$F$22*$I$9*'Traffic Data'!AP52*annualizationFactor</f>
        <v>5.3650016448150172E-2</v>
      </c>
      <c r="O426" s="777">
        <f>$F$22*$I$9*'Traffic Data'!AQ52*annualizationFactor</f>
        <v>5.5484943647463675E-2</v>
      </c>
      <c r="P426" s="777">
        <f>$F$22*$I$9*'Traffic Data'!AR52*annualizationFactor</f>
        <v>5.7320847304710307E-2</v>
      </c>
      <c r="Q426" s="777">
        <f>$F$22*$I$9*'Traffic Data'!AS52*annualizationFactor</f>
        <v>5.8900268011525168E-2</v>
      </c>
      <c r="R426" s="777">
        <f>$F$22*$I$9*'Traffic Data'!AT52*annualizationFactor</f>
        <v>6.0479607346845619E-2</v>
      </c>
      <c r="S426" s="777">
        <f>$F$22*$I$9*'Traffic Data'!AU52*annualizationFactor</f>
        <v>6.2059028053660481E-2</v>
      </c>
      <c r="T426" s="777">
        <f>$F$22*$I$9*'Traffic Data'!AV52*annualizationFactor</f>
        <v>6.363844876047535E-2</v>
      </c>
      <c r="U426" s="777">
        <f>$F$22*$I$9*'Traffic Data'!AW52*annualizationFactor</f>
        <v>6.5218845925223326E-2</v>
      </c>
      <c r="V426" s="777">
        <f>$F$22*$I$9*'Traffic Data'!AX52*annualizationFactor</f>
        <v>6.6492879413456232E-2</v>
      </c>
      <c r="W426" s="777">
        <f>$F$22*$I$9*'Traffic Data'!AY52*annualizationFactor</f>
        <v>6.753890997430656E-2</v>
      </c>
      <c r="X426" s="777">
        <f>$F$22*$I$9*'Traffic Data'!AZ52*annualizationFactor</f>
        <v>6.8584940535156902E-2</v>
      </c>
      <c r="Y426" s="777">
        <f>$F$22*$I$9*'Traffic Data'!BA52*annualizationFactor</f>
        <v>6.9630971096007244E-2</v>
      </c>
      <c r="Z426" s="777">
        <f>$F$22*$I$9*'Traffic Data'!BB52*annualizationFactor</f>
        <v>7.0677245771340866E-2</v>
      </c>
      <c r="AA426" s="777">
        <f>$F$22*$I$9*'Traffic Data'!BC52*annualizationFactor</f>
        <v>7.1723276332191221E-2</v>
      </c>
      <c r="AB426" s="777">
        <f>$F$22*$I$9*'Traffic Data'!BD52*annualizationFactor</f>
        <v>7.2769551007524844E-2</v>
      </c>
      <c r="AC426" s="777">
        <f>$F$22*$I$9*'Traffic Data'!BE52*annualizationFactor</f>
        <v>7.3815581568375185E-2</v>
      </c>
      <c r="AD426" s="777">
        <f>$F$22*$I$9*'Traffic Data'!BF52*annualizationFactor</f>
        <v>7.4861612129225527E-2</v>
      </c>
      <c r="AE426" s="777">
        <f>$F$22*$I$9*'Traffic Data'!BG52*annualizationFactor</f>
        <v>7.5907886804559149E-2</v>
      </c>
      <c r="AF426" s="777">
        <f>$F$22*$I$9*'Traffic Data'!BH52*annualizationFactor</f>
        <v>7.6953917365409477E-2</v>
      </c>
      <c r="AG426" s="777">
        <f>$F$22*$I$9*'Traffic Data'!BI52*annualizationFactor</f>
        <v>7.7999947926259847E-2</v>
      </c>
      <c r="AH426" s="778">
        <f>$F$22*$I$9*'Traffic Data'!BJ52*annualizationFactor</f>
        <v>7.9046222601593469E-2</v>
      </c>
      <c r="AI426" s="40"/>
      <c r="AJ426" s="40"/>
      <c r="AK426" s="40"/>
      <c r="AL426" s="40"/>
      <c r="AM426" s="40"/>
    </row>
    <row r="427" spans="2:39" ht="21.95" customHeight="1" x14ac:dyDescent="0.2">
      <c r="B427" s="1346"/>
      <c r="C427" s="116" t="s">
        <v>323</v>
      </c>
      <c r="D427" s="116" t="s">
        <v>347</v>
      </c>
      <c r="E427" s="116" t="s">
        <v>467</v>
      </c>
      <c r="F427" s="116" t="s">
        <v>438</v>
      </c>
      <c r="G427" s="970"/>
      <c r="H427" s="970"/>
      <c r="I427" s="777">
        <f>$F$22*$I$9*'Traffic Data'!AK53*annualizationFactor</f>
        <v>8.1371494426320003E-3</v>
      </c>
      <c r="J427" s="777">
        <f>$F$22*$I$9*'Traffic Data'!AL53*annualizationFactor</f>
        <v>8.3169513840661586E-3</v>
      </c>
      <c r="K427" s="777">
        <f>$F$22*$I$9*'Traffic Data'!AM53*annualizationFactor</f>
        <v>8.5831669464562655E-3</v>
      </c>
      <c r="L427" s="777">
        <f>$F$22*$I$9*'Traffic Data'!AN53*annualizationFactor</f>
        <v>8.9210184851895458E-3</v>
      </c>
      <c r="M427" s="777">
        <f>$F$22*$I$9*'Traffic Data'!AO53*annualizationFactor</f>
        <v>9.2589717382908603E-3</v>
      </c>
      <c r="N427" s="777">
        <f>$F$22*$I$9*'Traffic Data'!AP53*annualizationFactor</f>
        <v>9.5969046485185634E-3</v>
      </c>
      <c r="O427" s="777">
        <f>$F$22*$I$9*'Traffic Data'!AQ53*annualizationFactor</f>
        <v>9.934756187251842E-3</v>
      </c>
      <c r="P427" s="777">
        <f>$F$22*$I$9*'Traffic Data'!AR53*annualizationFactor</f>
        <v>1.0272790811847581E-2</v>
      </c>
      <c r="Q427" s="777">
        <f>$F$22*$I$9*'Traffic Data'!AS53*annualizationFactor</f>
        <v>1.0573167871272743E-2</v>
      </c>
      <c r="R427" s="777">
        <f>$F$22*$I$9*'Traffic Data'!AT53*annualizationFactor</f>
        <v>1.0873573991945908E-2</v>
      </c>
      <c r="S427" s="777">
        <f>$F$22*$I$9*'Traffic Data'!AU53*annualizationFactor</f>
        <v>1.1173951051371065E-2</v>
      </c>
      <c r="T427" s="777">
        <f>$F$22*$I$9*'Traffic Data'!AV53*annualizationFactor</f>
        <v>1.1474328110796225E-2</v>
      </c>
      <c r="U427" s="777">
        <f>$F$22*$I$9*'Traffic Data'!AW53*annualizationFactor</f>
        <v>1.1774844664211829E-2</v>
      </c>
      <c r="V427" s="777">
        <f>$F$22*$I$9*'Traffic Data'!AX53*annualizationFactor</f>
        <v>1.200350437579939E-2</v>
      </c>
      <c r="W427" s="777">
        <f>$F$22*$I$9*'Traffic Data'!AY53*annualizationFactor</f>
        <v>1.2183306317233548E-2</v>
      </c>
      <c r="X427" s="777">
        <f>$F$22*$I$9*'Traffic Data'!AZ53*annualizationFactor</f>
        <v>1.2363108258667706E-2</v>
      </c>
      <c r="Y427" s="777">
        <f>$F$22*$I$9*'Traffic Data'!BA53*annualizationFactor</f>
        <v>1.2542910200101866E-2</v>
      </c>
      <c r="Z427" s="777">
        <f>$F$22*$I$9*'Traffic Data'!BB53*annualizationFactor</f>
        <v>1.2722741202784034E-2</v>
      </c>
      <c r="AA427" s="777">
        <f>$F$22*$I$9*'Traffic Data'!BC53*annualizationFactor</f>
        <v>1.2902543144218187E-2</v>
      </c>
      <c r="AB427" s="777">
        <f>$F$22*$I$9*'Traffic Data'!BD53*annualizationFactor</f>
        <v>1.3082374146900357E-2</v>
      </c>
      <c r="AC427" s="777">
        <f>$F$22*$I$9*'Traffic Data'!BE53*annualizationFactor</f>
        <v>1.3262176088334516E-2</v>
      </c>
      <c r="AD427" s="777">
        <f>$F$22*$I$9*'Traffic Data'!BF53*annualizationFactor</f>
        <v>1.3441978029768674E-2</v>
      </c>
      <c r="AE427" s="777">
        <f>$F$22*$I$9*'Traffic Data'!BG53*annualizationFactor</f>
        <v>1.3621809032450839E-2</v>
      </c>
      <c r="AF427" s="777">
        <f>$F$22*$I$9*'Traffic Data'!BH53*annualizationFactor</f>
        <v>1.3801610973885001E-2</v>
      </c>
      <c r="AG427" s="777">
        <f>$F$22*$I$9*'Traffic Data'!BI53*annualizationFactor</f>
        <v>1.3981412915319156E-2</v>
      </c>
      <c r="AH427" s="778">
        <f>$F$22*$I$9*'Traffic Data'!BJ53*annualizationFactor</f>
        <v>1.4161243918001325E-2</v>
      </c>
      <c r="AI427" s="40"/>
      <c r="AJ427" s="40"/>
      <c r="AK427" s="40"/>
      <c r="AL427" s="40"/>
      <c r="AM427" s="40"/>
    </row>
    <row r="428" spans="2:39" ht="21.95" customHeight="1" x14ac:dyDescent="0.2">
      <c r="B428" s="1346"/>
      <c r="C428" s="116" t="s">
        <v>347</v>
      </c>
      <c r="D428" s="116" t="s">
        <v>348</v>
      </c>
      <c r="E428" s="116" t="s">
        <v>467</v>
      </c>
      <c r="F428" s="116" t="s">
        <v>438</v>
      </c>
      <c r="G428" s="970"/>
      <c r="H428" s="970"/>
      <c r="I428" s="777">
        <f>$F$22*$I$9*'Traffic Data'!AK54*annualizationFactor</f>
        <v>5.6960046098423998E-3</v>
      </c>
      <c r="J428" s="777">
        <f>$F$22*$I$9*'Traffic Data'!AL54*annualizationFactor</f>
        <v>5.8218659688463103E-3</v>
      </c>
      <c r="K428" s="777">
        <f>$F$22*$I$9*'Traffic Data'!AM54*annualizationFactor</f>
        <v>6.008216862519386E-3</v>
      </c>
      <c r="L428" s="777">
        <f>$F$22*$I$9*'Traffic Data'!AN54*annualizationFactor</f>
        <v>6.2447129396326819E-3</v>
      </c>
      <c r="M428" s="777">
        <f>$F$22*$I$9*'Traffic Data'!AO54*annualizationFactor</f>
        <v>6.4812802168036018E-3</v>
      </c>
      <c r="N428" s="777">
        <f>$F$22*$I$9*'Traffic Data'!AP54*annualizationFactor</f>
        <v>6.717833253962995E-3</v>
      </c>
      <c r="O428" s="777">
        <f>$F$22*$I$9*'Traffic Data'!AQ54*annualizationFactor</f>
        <v>6.9543293310762901E-3</v>
      </c>
      <c r="P428" s="777">
        <f>$F$22*$I$9*'Traffic Data'!AR54*annualizationFactor</f>
        <v>7.1909535682933064E-3</v>
      </c>
      <c r="Q428" s="777">
        <f>$F$22*$I$9*'Traffic Data'!AS54*annualizationFactor</f>
        <v>7.4012175098909184E-3</v>
      </c>
      <c r="R428" s="777">
        <f>$F$22*$I$9*'Traffic Data'!AT54*annualizationFactor</f>
        <v>7.6115017943621365E-3</v>
      </c>
      <c r="S428" s="777">
        <f>$F$22*$I$9*'Traffic Data'!AU54*annualizationFactor</f>
        <v>7.8217657359597459E-3</v>
      </c>
      <c r="T428" s="777">
        <f>$F$22*$I$9*'Traffic Data'!AV54*annualizationFactor</f>
        <v>8.0320296775573587E-3</v>
      </c>
      <c r="U428" s="777">
        <f>$F$22*$I$9*'Traffic Data'!AW54*annualizationFactor</f>
        <v>8.2423912649482785E-3</v>
      </c>
      <c r="V428" s="777">
        <f>$F$22*$I$9*'Traffic Data'!AX54*annualizationFactor</f>
        <v>8.4024530630595722E-3</v>
      </c>
      <c r="W428" s="777">
        <f>$F$22*$I$9*'Traffic Data'!AY54*annualizationFactor</f>
        <v>8.5283144220634818E-3</v>
      </c>
      <c r="X428" s="777">
        <f>$F$22*$I$9*'Traffic Data'!AZ54*annualizationFactor</f>
        <v>8.6541757810673949E-3</v>
      </c>
      <c r="Y428" s="777">
        <f>$F$22*$I$9*'Traffic Data'!BA54*annualizationFactor</f>
        <v>8.7800371400713062E-3</v>
      </c>
      <c r="Z428" s="777">
        <f>$F$22*$I$9*'Traffic Data'!BB54*annualizationFactor</f>
        <v>8.9059188419488219E-3</v>
      </c>
      <c r="AA428" s="777">
        <f>$F$22*$I$9*'Traffic Data'!BC54*annualizationFactor</f>
        <v>9.0317802009527298E-3</v>
      </c>
      <c r="AB428" s="777">
        <f>$F$22*$I$9*'Traffic Data'!BD54*annualizationFactor</f>
        <v>9.157661902830249E-3</v>
      </c>
      <c r="AC428" s="777">
        <f>$F$22*$I$9*'Traffic Data'!BE54*annualizationFactor</f>
        <v>9.2835232618341604E-3</v>
      </c>
      <c r="AD428" s="777">
        <f>$F$22*$I$9*'Traffic Data'!BF54*annualizationFactor</f>
        <v>9.40938462083807E-3</v>
      </c>
      <c r="AE428" s="777">
        <f>$F$22*$I$9*'Traffic Data'!BG54*annualizationFactor</f>
        <v>9.5352663227155875E-3</v>
      </c>
      <c r="AF428" s="777">
        <f>$F$22*$I$9*'Traffic Data'!BH54*annualizationFactor</f>
        <v>9.6611276817194988E-3</v>
      </c>
      <c r="AG428" s="777">
        <f>$F$22*$I$9*'Traffic Data'!BI54*annualizationFactor</f>
        <v>9.7869890407234102E-3</v>
      </c>
      <c r="AH428" s="778">
        <f>$F$22*$I$9*'Traffic Data'!BJ54*annualizationFactor</f>
        <v>9.9128707426009259E-3</v>
      </c>
      <c r="AI428" s="40"/>
      <c r="AJ428" s="40"/>
      <c r="AK428" s="40"/>
      <c r="AL428" s="40"/>
      <c r="AM428" s="40"/>
    </row>
    <row r="429" spans="2:39" ht="21.95" customHeight="1" x14ac:dyDescent="0.2">
      <c r="B429" s="1346"/>
      <c r="C429" s="254" t="s">
        <v>348</v>
      </c>
      <c r="D429" s="254" t="s">
        <v>349</v>
      </c>
      <c r="E429" s="254" t="s">
        <v>467</v>
      </c>
      <c r="F429" s="254" t="s">
        <v>438</v>
      </c>
      <c r="G429" s="779"/>
      <c r="H429" s="779"/>
      <c r="I429" s="777">
        <f>$F$22*$I$9*'Traffic Data'!AK55*annualizationFactor</f>
        <v>9.2995993630079991E-3</v>
      </c>
      <c r="J429" s="777">
        <f>$F$22*$I$9*'Traffic Data'!AL55*annualizationFactor</f>
        <v>9.5217290121678479E-3</v>
      </c>
      <c r="K429" s="777">
        <f>$F$22*$I$9*'Traffic Data'!AM55*annualizationFactor</f>
        <v>9.8302868129076532E-3</v>
      </c>
      <c r="L429" s="777">
        <f>$F$22*$I$9*'Traffic Data'!AN55*annualizationFactor</f>
        <v>1.0240079471088202E-2</v>
      </c>
      <c r="M429" s="777">
        <f>$F$22*$I$9*'Traffic Data'!AO55*annualizationFactor</f>
        <v>1.0649988374260792E-2</v>
      </c>
      <c r="N429" s="777">
        <f>$F$22*$I$9*'Traffic Data'!AP55*annualizationFactor</f>
        <v>1.1059926338681386E-2</v>
      </c>
      <c r="O429" s="777">
        <f>$F$22*$I$9*'Traffic Data'!AQ55*annualizationFactor</f>
        <v>1.1469718996861935E-2</v>
      </c>
      <c r="P429" s="777">
        <f>$F$22*$I$9*'Traffic Data'!AR55*annualizationFactor</f>
        <v>1.1879744145026563E-2</v>
      </c>
      <c r="Q429" s="777">
        <f>$F$22*$I$9*'Traffic Data'!AS55*annualizationFactor</f>
        <v>1.227108291072114E-2</v>
      </c>
      <c r="R429" s="777">
        <f>$F$22*$I$9*'Traffic Data'!AT55*annualizationFactor</f>
        <v>1.2662436207039723E-2</v>
      </c>
      <c r="S429" s="777">
        <f>$F$22*$I$9*'Traffic Data'!AU55*annualizationFactor</f>
        <v>1.3053774972734303E-2</v>
      </c>
      <c r="T429" s="777">
        <f>$F$22*$I$9*'Traffic Data'!AV55*annualizationFactor</f>
        <v>1.3445113738428886E-2</v>
      </c>
      <c r="U429" s="777">
        <f>$F$22*$I$9*'Traffic Data'!AW55*annualizationFactor</f>
        <v>1.3836684994107543E-2</v>
      </c>
      <c r="V429" s="777">
        <f>$F$22*$I$9*'Traffic Data'!AX55*annualizationFactor</f>
        <v>1.4126672657369339E-2</v>
      </c>
      <c r="W429" s="777">
        <f>$F$22*$I$9*'Traffic Data'!AY55*annualizationFactor</f>
        <v>1.4348802306529188E-2</v>
      </c>
      <c r="X429" s="777">
        <f>$F$22*$I$9*'Traffic Data'!AZ55*annualizationFactor</f>
        <v>1.4570931955689037E-2</v>
      </c>
      <c r="Y429" s="777">
        <f>$F$22*$I$9*'Traffic Data'!BA55*annualizationFactor</f>
        <v>1.4793061604848884E-2</v>
      </c>
      <c r="Z429" s="777">
        <f>$F$22*$I$9*'Traffic Data'!BB55*annualizationFactor</f>
        <v>1.5015234845880746E-2</v>
      </c>
      <c r="AA429" s="777">
        <f>$F$22*$I$9*'Traffic Data'!BC55*annualizationFactor</f>
        <v>1.5237364495040595E-2</v>
      </c>
      <c r="AB429" s="777">
        <f>$F$22*$I$9*'Traffic Data'!BD55*annualizationFactor</f>
        <v>1.5459537736072462E-2</v>
      </c>
      <c r="AC429" s="777">
        <f>$F$22*$I$9*'Traffic Data'!BE55*annualizationFactor</f>
        <v>1.5681667385232311E-2</v>
      </c>
      <c r="AD429" s="777">
        <f>$F$22*$I$9*'Traffic Data'!BF55*annualizationFactor</f>
        <v>1.590379703439216E-2</v>
      </c>
      <c r="AE429" s="777">
        <f>$F$22*$I$9*'Traffic Data'!BG55*annualizationFactor</f>
        <v>1.612597027542402E-2</v>
      </c>
      <c r="AF429" s="777">
        <f>$F$22*$I$9*'Traffic Data'!BH55*annualizationFactor</f>
        <v>1.6348099924583869E-2</v>
      </c>
      <c r="AG429" s="777">
        <f>$F$22*$I$9*'Traffic Data'!BI55*annualizationFactor</f>
        <v>1.6570229573743718E-2</v>
      </c>
      <c r="AH429" s="778">
        <f>$F$22*$I$9*'Traffic Data'!BJ55*annualizationFactor</f>
        <v>1.6792402814775582E-2</v>
      </c>
      <c r="AI429" s="40"/>
      <c r="AJ429" s="40"/>
      <c r="AK429" s="40"/>
      <c r="AL429" s="40"/>
      <c r="AM429" s="40"/>
    </row>
    <row r="430" spans="2:39" ht="21.95" customHeight="1" x14ac:dyDescent="0.2">
      <c r="B430" s="492" t="s">
        <v>288</v>
      </c>
      <c r="C430" s="116" t="s">
        <v>323</v>
      </c>
      <c r="D430" s="116" t="s">
        <v>348</v>
      </c>
      <c r="E430" s="116" t="s">
        <v>467</v>
      </c>
      <c r="F430" s="254" t="s">
        <v>438</v>
      </c>
      <c r="G430" s="970"/>
      <c r="H430" s="970"/>
      <c r="I430" s="775">
        <f>$F$22*$J$9*'Traffic Data'!AK56*annualizationFactor</f>
        <v>1.1624499203760001E-3</v>
      </c>
      <c r="J430" s="775">
        <f>$F$22*$J$9*'Traffic Data'!AL56*annualizationFactor</f>
        <v>1.2339276743688979E-3</v>
      </c>
      <c r="K430" s="775">
        <f>$F$22*$J$9*'Traffic Data'!AM56*annualizationFactor</f>
        <v>1.3285188076119381E-3</v>
      </c>
      <c r="L430" s="775">
        <f>$F$22*$J$9*'Traffic Data'!AN56*annualizationFactor</f>
        <v>1.454224850390376E-3</v>
      </c>
      <c r="M430" s="775">
        <f>$F$22*$J$9*'Traffic Data'!AO56*annualizationFactor</f>
        <v>1.5799696414994931E-3</v>
      </c>
      <c r="N430" s="775">
        <f>$F$22*$J$9*'Traffic Data'!AP56*annualizationFactor</f>
        <v>1.7059856709233652E-3</v>
      </c>
      <c r="O430" s="775">
        <f>$F$22*$J$9*'Traffic Data'!AQ56*annualizationFactor</f>
        <v>1.8316917137018026E-3</v>
      </c>
      <c r="P430" s="775">
        <f>$F$22*$J$9*'Traffic Data'!AR56*annualizationFactor</f>
        <v>1.9575333756376178E-3</v>
      </c>
      <c r="Q430" s="775">
        <f>$F$22*$J$9*'Traffic Data'!AS56*annualizationFactor</f>
        <v>2.0722800988889557E-3</v>
      </c>
      <c r="R430" s="775">
        <f>$F$22*$J$9*'Traffic Data'!AT56*annualizationFactor</f>
        <v>2.1869299513135954E-3</v>
      </c>
      <c r="S430" s="775">
        <f>$F$22*$J$9*'Traffic Data'!AU56*annualizationFactor</f>
        <v>2.3016831326200461E-3</v>
      </c>
      <c r="T430" s="775">
        <f>$F$22*$J$9*'Traffic Data'!AV56*annualizationFactor</f>
        <v>2.4164298558713841E-3</v>
      </c>
      <c r="U430" s="775">
        <f>$F$22*$J$9*'Traffic Data'!AW56*annualizationFactor</f>
        <v>2.5315834365948532E-3</v>
      </c>
      <c r="V430" s="775">
        <f>$F$22*$J$9*'Traffic Data'!AX56*annualizationFactor</f>
        <v>2.6151248375392085E-3</v>
      </c>
      <c r="W430" s="775">
        <f>$F$22*$J$9*'Traffic Data'!AY56*annualizationFactor</f>
        <v>2.686602591532106E-3</v>
      </c>
      <c r="X430" s="775">
        <f>$F$22*$J$9*'Traffic Data'!AZ56*annualizationFactor</f>
        <v>2.7580803455250031E-3</v>
      </c>
      <c r="Y430" s="775">
        <f>$F$22*$J$9*'Traffic Data'!BA56*annualizationFactor</f>
        <v>2.8295580995179011E-3</v>
      </c>
      <c r="Z430" s="775">
        <f>$F$22*$J$9*'Traffic Data'!BB56*annualizationFactor</f>
        <v>2.9011133501721568E-3</v>
      </c>
      <c r="AA430" s="775">
        <f>$F$22*$J$9*'Traffic Data'!BC56*annualizationFactor</f>
        <v>2.9725911041650543E-3</v>
      </c>
      <c r="AB430" s="775">
        <f>$F$22*$J$9*'Traffic Data'!BD56*annualizationFactor</f>
        <v>3.0442432256460087E-3</v>
      </c>
      <c r="AC430" s="775">
        <f>$F$22*$J$9*'Traffic Data'!BE56*annualizationFactor</f>
        <v>3.1157209796389058E-3</v>
      </c>
      <c r="AD430" s="775">
        <f>$F$22*$J$9*'Traffic Data'!BF56*annualizationFactor</f>
        <v>3.1871987336318038E-3</v>
      </c>
      <c r="AE430" s="775">
        <f>$F$22*$J$9*'Traffic Data'!BG56*annualizationFactor</f>
        <v>3.258753984286059E-3</v>
      </c>
      <c r="AF430" s="775">
        <f>$F$22*$J$9*'Traffic Data'!BH56*annualizationFactor</f>
        <v>3.3302317382789578E-3</v>
      </c>
      <c r="AG430" s="775">
        <f>$F$22*$J$9*'Traffic Data'!BI56*annualizationFactor</f>
        <v>3.4017094922718549E-3</v>
      </c>
      <c r="AH430" s="776">
        <f>$F$22*$J$9*'Traffic Data'!BJ56*annualizationFactor</f>
        <v>3.4733616137528085E-3</v>
      </c>
      <c r="AI430" s="40"/>
      <c r="AJ430" s="40"/>
      <c r="AK430" s="40"/>
      <c r="AL430" s="40"/>
      <c r="AM430" s="40"/>
    </row>
    <row r="431" spans="2:39" ht="21.95" customHeight="1" x14ac:dyDescent="0.2">
      <c r="B431" s="782" t="s">
        <v>340</v>
      </c>
      <c r="C431" s="277" t="s">
        <v>335</v>
      </c>
      <c r="D431" s="277" t="s">
        <v>323</v>
      </c>
      <c r="E431" s="277" t="s">
        <v>467</v>
      </c>
      <c r="F431" s="277" t="s">
        <v>438</v>
      </c>
      <c r="G431" s="780"/>
      <c r="H431" s="780"/>
      <c r="I431" s="775">
        <f>$F$22*$K$9*'Traffic Data'!AK57*annualizationFactor</f>
        <v>0</v>
      </c>
      <c r="J431" s="775">
        <f>$F$22*$K$9*'Traffic Data'!AL57*annualizationFactor</f>
        <v>0</v>
      </c>
      <c r="K431" s="775">
        <f>$F$22*$K$9*'Traffic Data'!AM57*annualizationFactor</f>
        <v>0</v>
      </c>
      <c r="L431" s="775">
        <f>$F$22*$K$9*'Traffic Data'!AN57*annualizationFactor</f>
        <v>0</v>
      </c>
      <c r="M431" s="775">
        <f>$F$22*$K$9*'Traffic Data'!AO57*annualizationFactor</f>
        <v>0</v>
      </c>
      <c r="N431" s="775">
        <f>$F$22*$K$9*'Traffic Data'!AP57*annualizationFactor</f>
        <v>0</v>
      </c>
      <c r="O431" s="775">
        <f>$F$22*$K$9*'Traffic Data'!AQ57*annualizationFactor</f>
        <v>0</v>
      </c>
      <c r="P431" s="775">
        <f>$F$22*$K$9*'Traffic Data'!AR57*annualizationFactor</f>
        <v>0</v>
      </c>
      <c r="Q431" s="775">
        <f>$F$22*$K$9*'Traffic Data'!AS57*annualizationFactor</f>
        <v>0</v>
      </c>
      <c r="R431" s="775">
        <f>$F$22*$K$9*'Traffic Data'!AT57*annualizationFactor</f>
        <v>0</v>
      </c>
      <c r="S431" s="775">
        <f>$F$22*$K$9*'Traffic Data'!AU57*annualizationFactor</f>
        <v>0</v>
      </c>
      <c r="T431" s="775">
        <f>$F$22*$K$9*'Traffic Data'!AV57*annualizationFactor</f>
        <v>0</v>
      </c>
      <c r="U431" s="775">
        <f>$F$22*$K$9*'Traffic Data'!AW57*annualizationFactor</f>
        <v>0</v>
      </c>
      <c r="V431" s="775">
        <f>$F$22*$K$9*'Traffic Data'!AX57*annualizationFactor</f>
        <v>0</v>
      </c>
      <c r="W431" s="775">
        <f>$F$22*$K$9*'Traffic Data'!AY57*annualizationFactor</f>
        <v>0</v>
      </c>
      <c r="X431" s="775">
        <f>$F$22*$K$9*'Traffic Data'!AZ57*annualizationFactor</f>
        <v>0</v>
      </c>
      <c r="Y431" s="775">
        <f>$F$22*$K$9*'Traffic Data'!BA57*annualizationFactor</f>
        <v>0</v>
      </c>
      <c r="Z431" s="775">
        <f>$F$22*$K$9*'Traffic Data'!BB57*annualizationFactor</f>
        <v>0</v>
      </c>
      <c r="AA431" s="775">
        <f>$F$22*$K$9*'Traffic Data'!BC57*annualizationFactor</f>
        <v>0</v>
      </c>
      <c r="AB431" s="775">
        <f>$F$22*$K$9*'Traffic Data'!BD57*annualizationFactor</f>
        <v>0</v>
      </c>
      <c r="AC431" s="775">
        <f>$F$22*$K$9*'Traffic Data'!BE57*annualizationFactor</f>
        <v>0</v>
      </c>
      <c r="AD431" s="775">
        <f>$F$22*$K$9*'Traffic Data'!BF57*annualizationFactor</f>
        <v>0</v>
      </c>
      <c r="AE431" s="775">
        <f>$F$22*$K$9*'Traffic Data'!BG57*annualizationFactor</f>
        <v>0</v>
      </c>
      <c r="AF431" s="775">
        <f>$F$22*$K$9*'Traffic Data'!BH57*annualizationFactor</f>
        <v>0</v>
      </c>
      <c r="AG431" s="775">
        <f>$F$22*$K$9*'Traffic Data'!BI57*annualizationFactor</f>
        <v>0</v>
      </c>
      <c r="AH431" s="776">
        <f>$F$22*$K$9*'Traffic Data'!BJ57*annualizationFactor</f>
        <v>0</v>
      </c>
      <c r="AI431" s="40"/>
      <c r="AJ431" s="40"/>
      <c r="AK431" s="40"/>
      <c r="AL431" s="40"/>
      <c r="AM431" s="40"/>
    </row>
    <row r="432" spans="2:39" ht="21.95" customHeight="1" x14ac:dyDescent="0.2">
      <c r="B432" s="782" t="s">
        <v>357</v>
      </c>
      <c r="C432" s="277" t="s">
        <v>338</v>
      </c>
      <c r="D432" s="277" t="s">
        <v>323</v>
      </c>
      <c r="E432" s="116" t="s">
        <v>467</v>
      </c>
      <c r="F432" s="277" t="s">
        <v>438</v>
      </c>
      <c r="G432" s="970"/>
      <c r="H432" s="970"/>
      <c r="I432" s="775">
        <f>$F$22*$L$9*'Traffic Data'!AK58*annualizationFactor</f>
        <v>2.1558162159700366E-3</v>
      </c>
      <c r="J432" s="775">
        <f>$F$22*$L$9*'Traffic Data'!AL58*annualizationFactor</f>
        <v>2.1854167702909807E-3</v>
      </c>
      <c r="K432" s="775">
        <f>$F$22*$L$9*'Traffic Data'!AM58*annualizationFactor</f>
        <v>2.2365814751500027E-3</v>
      </c>
      <c r="L432" s="775">
        <f>$F$22*$L$9*'Traffic Data'!AN58*annualizationFactor</f>
        <v>2.3068251535203602E-3</v>
      </c>
      <c r="M432" s="775">
        <f>$F$22*$L$9*'Traffic Data'!AO58*annualizationFactor</f>
        <v>2.3770987737826055E-3</v>
      </c>
      <c r="N432" s="775">
        <f>$F$22*$L$9*'Traffic Data'!AP58*annualizationFactor</f>
        <v>2.4474741964772713E-3</v>
      </c>
      <c r="O432" s="775">
        <f>$F$22*$L$9*'Traffic Data'!AQ58*annualizationFactor</f>
        <v>2.5177178748476288E-3</v>
      </c>
      <c r="P432" s="775">
        <f>$F$22*$L$9*'Traffic Data'!AR58*annualizationFactor</f>
        <v>2.5882070767314714E-3</v>
      </c>
      <c r="Q432" s="775">
        <f>$F$22*$L$9*'Traffic Data'!AS58*annualizationFactor</f>
        <v>2.637090209428592E-3</v>
      </c>
      <c r="R432" s="775">
        <f>$F$22*$L$9*'Traffic Data'!AT58*annualizationFactor</f>
        <v>2.6859793305040896E-3</v>
      </c>
      <c r="S432" s="775">
        <f>$F$22*$L$9*'Traffic Data'!AU58*annualizationFactor</f>
        <v>2.7348744399579663E-3</v>
      </c>
      <c r="T432" s="775">
        <f>$F$22*$L$9*'Traffic Data'!AV58*annualizationFactor</f>
        <v>2.783757572655087E-3</v>
      </c>
      <c r="U432" s="775">
        <f>$F$22*$L$9*'Traffic Data'!AW58*annualizationFactor</f>
        <v>2.8329880312981132E-3</v>
      </c>
      <c r="V432" s="775">
        <f>$F$22*$L$9*'Traffic Data'!AX58*annualizationFactor</f>
        <v>2.8625885856190568E-3</v>
      </c>
      <c r="W432" s="775">
        <f>$F$22*$L$9*'Traffic Data'!AY58*annualizationFactor</f>
        <v>2.8921891399400009E-3</v>
      </c>
      <c r="X432" s="775">
        <f>$F$22*$L$9*'Traffic Data'!AZ58*annualizationFactor</f>
        <v>2.9217896942609458E-3</v>
      </c>
      <c r="Y432" s="775">
        <f>$F$22*$L$9*'Traffic Data'!BA58*annualizationFactor</f>
        <v>2.9513902485818894E-3</v>
      </c>
      <c r="Z432" s="775">
        <f>$F$22*$L$9*'Traffic Data'!BB58*annualizationFactor</f>
        <v>2.9811944077676759E-3</v>
      </c>
      <c r="AA432" s="775">
        <f>$F$22*$L$9*'Traffic Data'!BC58*annualizationFactor</f>
        <v>3.0107949620886199E-3</v>
      </c>
      <c r="AB432" s="775">
        <f>$F$22*$L$9*'Traffic Data'!BD58*annualizationFactor</f>
        <v>3.0405092955987406E-3</v>
      </c>
      <c r="AC432" s="775">
        <f>$F$22*$L$9*'Traffic Data'!BE58*annualizationFactor</f>
        <v>3.0701098499196842E-3</v>
      </c>
      <c r="AD432" s="775">
        <f>$F$22*$L$9*'Traffic Data'!BF58*annualizationFactor</f>
        <v>3.0997104042406287E-3</v>
      </c>
      <c r="AE432" s="775">
        <f>$F$22*$L$9*'Traffic Data'!BG58*annualizationFactor</f>
        <v>3.1295145634264144E-3</v>
      </c>
      <c r="AF432" s="775">
        <f>$F$22*$L$9*'Traffic Data'!BH58*annualizationFactor</f>
        <v>3.1591151177473588E-3</v>
      </c>
      <c r="AG432" s="775">
        <f>$F$22*$L$9*'Traffic Data'!BI58*annualizationFactor</f>
        <v>3.1887156720683033E-3</v>
      </c>
      <c r="AH432" s="776">
        <f>$F$22*$L$9*'Traffic Data'!BJ58*annualizationFactor</f>
        <v>3.2184300055784231E-3</v>
      </c>
      <c r="AI432" s="40"/>
      <c r="AJ432" s="40"/>
      <c r="AK432" s="40"/>
      <c r="AL432" s="40"/>
      <c r="AM432" s="40"/>
    </row>
    <row r="433" spans="2:39" ht="21.95" customHeight="1" x14ac:dyDescent="0.2">
      <c r="B433" s="492" t="s">
        <v>338</v>
      </c>
      <c r="C433" s="116" t="s">
        <v>282</v>
      </c>
      <c r="D433" s="116" t="s">
        <v>357</v>
      </c>
      <c r="E433" s="220" t="s">
        <v>467</v>
      </c>
      <c r="F433" s="116" t="s">
        <v>438</v>
      </c>
      <c r="G433" s="775"/>
      <c r="H433" s="775"/>
      <c r="I433" s="775">
        <f>$F$22*$M$9*'Traffic Data'!AK59*annualizationFactor</f>
        <v>7.7423274368477275E-3</v>
      </c>
      <c r="J433" s="775">
        <f>$F$22*$M$9*'Traffic Data'!AL59*annualizationFactor</f>
        <v>7.9655155098697396E-3</v>
      </c>
      <c r="K433" s="775">
        <f>$F$22*$M$9*'Traffic Data'!AM59*annualizationFactor</f>
        <v>8.2070916105542614E-3</v>
      </c>
      <c r="L433" s="775">
        <f>$F$22*$M$9*'Traffic Data'!AN59*annualizationFactor</f>
        <v>8.5275852548025739E-3</v>
      </c>
      <c r="M433" s="775">
        <f>$F$22*$M$9*'Traffic Data'!AO59*annualizationFactor</f>
        <v>8.8481330953429412E-3</v>
      </c>
      <c r="N433" s="775">
        <f>$F$22*$M$9*'Traffic Data'!AP59*annualizationFactor</f>
        <v>9.1688125554497367E-3</v>
      </c>
      <c r="O433" s="775">
        <f>$F$22*$M$9*'Traffic Data'!AQ59*annualizationFactor</f>
        <v>9.4893061996980509E-3</v>
      </c>
      <c r="P433" s="775">
        <f>$F$22*$M$9*'Traffic Data'!AR59*annualizationFactor</f>
        <v>9.8098850095481686E-3</v>
      </c>
      <c r="Q433" s="775">
        <f>$F$22*$M$9*'Traffic Data'!AS59*annualizationFactor</f>
        <v>1.0162640932225825E-2</v>
      </c>
      <c r="R433" s="775">
        <f>$F$22*$M$9*'Traffic Data'!AT59*annualizationFactor</f>
        <v>1.0515280719991926E-2</v>
      </c>
      <c r="S433" s="775">
        <f>$F$22*$M$9*'Traffic Data'!AU59*annualizationFactor</f>
        <v>1.0868036642669584E-2</v>
      </c>
      <c r="T433" s="775">
        <f>$F$22*$M$9*'Traffic Data'!AV59*annualizationFactor</f>
        <v>1.1220792565347238E-2</v>
      </c>
      <c r="U433" s="775">
        <f>$F$22*$M$9*'Traffic Data'!AW59*annualizationFactor</f>
        <v>1.1573749788538253E-2</v>
      </c>
      <c r="V433" s="775">
        <f>$F$22*$M$9*'Traffic Data'!AX59*annualizationFactor</f>
        <v>1.1847557198342374E-2</v>
      </c>
      <c r="W433" s="775">
        <f>$F$22*$M$9*'Traffic Data'!AY59*annualizationFactor</f>
        <v>1.2070745271364383E-2</v>
      </c>
      <c r="X433" s="775">
        <f>$F$22*$M$9*'Traffic Data'!AZ59*annualizationFactor</f>
        <v>1.2293933344386394E-2</v>
      </c>
      <c r="Y433" s="775">
        <f>$F$22*$M$9*'Traffic Data'!BA59*annualizationFactor</f>
        <v>1.2517121417408404E-2</v>
      </c>
      <c r="Z433" s="775">
        <f>$F$22*$M$9*'Traffic Data'!BB59*annualizationFactor</f>
        <v>1.27402862634481E-2</v>
      </c>
      <c r="AA433" s="775">
        <f>$F$22*$M$9*'Traffic Data'!BC59*annualizationFactor</f>
        <v>1.2963474336470108E-2</v>
      </c>
      <c r="AB433" s="775">
        <f>$F$22*$M$9*'Traffic Data'!BD59*annualizationFactor</f>
        <v>1.3186639182509804E-2</v>
      </c>
      <c r="AC433" s="775">
        <f>$F$22*$M$9*'Traffic Data'!BE59*annualizationFactor</f>
        <v>1.3409827255531822E-2</v>
      </c>
      <c r="AD433" s="775">
        <f>$F$22*$M$9*'Traffic Data'!BF59*annualizationFactor</f>
        <v>1.3633015328553832E-2</v>
      </c>
      <c r="AE433" s="775">
        <f>$F$22*$M$9*'Traffic Data'!BG59*annualizationFactor</f>
        <v>1.3856180174593528E-2</v>
      </c>
      <c r="AF433" s="775">
        <f>$F$22*$M$9*'Traffic Data'!BH59*annualizationFactor</f>
        <v>1.4079368247615538E-2</v>
      </c>
      <c r="AG433" s="775">
        <f>$F$22*$M$9*'Traffic Data'!BI59*annualizationFactor</f>
        <v>1.4302556320637547E-2</v>
      </c>
      <c r="AH433" s="776">
        <f>$F$22*$M$9*'Traffic Data'!BJ59*annualizationFactor</f>
        <v>1.4525721166677249E-2</v>
      </c>
      <c r="AI433" s="40"/>
      <c r="AJ433" s="40"/>
      <c r="AK433" s="40"/>
      <c r="AL433" s="40"/>
      <c r="AM433" s="40"/>
    </row>
    <row r="434" spans="2:39" ht="21.95" customHeight="1" x14ac:dyDescent="0.2">
      <c r="B434" s="492"/>
      <c r="C434" s="116" t="s">
        <v>357</v>
      </c>
      <c r="D434" s="116" t="s">
        <v>346</v>
      </c>
      <c r="E434" s="116" t="s">
        <v>467</v>
      </c>
      <c r="F434" s="116" t="s">
        <v>438</v>
      </c>
      <c r="G434" s="970"/>
      <c r="H434" s="970"/>
      <c r="I434" s="777">
        <f>$F$22*$M$9*'Traffic Data'!AK60*annualizationFactor</f>
        <v>1.1275666378327304E-3</v>
      </c>
      <c r="J434" s="777">
        <f>$F$22*$M$9*'Traffic Data'!AL60*annualizationFactor</f>
        <v>1.1595687593827988E-3</v>
      </c>
      <c r="K434" s="777">
        <f>$F$22*$M$9*'Traffic Data'!AM60*annualizationFactor</f>
        <v>1.1950826575535909E-3</v>
      </c>
      <c r="L434" s="777">
        <f>$F$22*$M$9*'Traffic Data'!AN60*annualizationFactor</f>
        <v>1.2449300047876752E-3</v>
      </c>
      <c r="M434" s="777">
        <f>$F$22*$M$9*'Traffic Data'!AO60*annualizationFactor</f>
        <v>1.2947862538636374E-3</v>
      </c>
      <c r="N434" s="777">
        <f>$F$22*$M$9*'Traffic Data'!AP60*annualizationFactor</f>
        <v>1.3446528884217895E-3</v>
      </c>
      <c r="O434" s="777">
        <f>$F$22*$M$9*'Traffic Data'!AQ60*annualizationFactor</f>
        <v>1.3945002356558743E-3</v>
      </c>
      <c r="P434" s="777">
        <f>$F$22*$M$9*'Traffic Data'!AR60*annualizationFactor</f>
        <v>1.4443505501705843E-3</v>
      </c>
      <c r="Q434" s="777">
        <f>$F$22*$M$9*'Traffic Data'!AS60*annualizationFactor</f>
        <v>1.5003802265886807E-3</v>
      </c>
      <c r="R434" s="777">
        <f>$F$22*$M$9*'Traffic Data'!AT60*annualizationFactor</f>
        <v>1.5563906156827083E-3</v>
      </c>
      <c r="S434" s="777">
        <f>$F$22*$M$9*'Traffic Data'!AU60*annualizationFactor</f>
        <v>1.6124202921008041E-3</v>
      </c>
      <c r="T434" s="777">
        <f>$F$22*$M$9*'Traffic Data'!AV60*annualizationFactor</f>
        <v>1.6684499685189003E-3</v>
      </c>
      <c r="U434" s="777">
        <f>$F$22*$M$9*'Traffic Data'!AW60*annualizationFactor</f>
        <v>1.7244885467788745E-3</v>
      </c>
      <c r="V434" s="777">
        <f>$F$22*$M$9*'Traffic Data'!AX60*annualizationFactor</f>
        <v>1.7661907086949299E-3</v>
      </c>
      <c r="W434" s="777">
        <f>$F$22*$M$9*'Traffic Data'!AY60*annualizationFactor</f>
        <v>1.7981928302449985E-3</v>
      </c>
      <c r="X434" s="777">
        <f>$F$22*$M$9*'Traffic Data'!AZ60*annualizationFactor</f>
        <v>1.8301949517950673E-3</v>
      </c>
      <c r="Y434" s="777">
        <f>$F$22*$M$9*'Traffic Data'!BA60*annualizationFactor</f>
        <v>1.8621970733451354E-3</v>
      </c>
      <c r="Z434" s="777">
        <f>$F$22*$M$9*'Traffic Data'!BB60*annualizationFactor</f>
        <v>1.894182874851761E-3</v>
      </c>
      <c r="AA434" s="777">
        <f>$F$22*$M$9*'Traffic Data'!BC60*annualizationFactor</f>
        <v>1.9261849964018298E-3</v>
      </c>
      <c r="AB434" s="777">
        <f>$F$22*$M$9*'Traffic Data'!BD60*annualizationFactor</f>
        <v>1.9581707979084558E-3</v>
      </c>
      <c r="AC434" s="777">
        <f>$F$22*$M$9*'Traffic Data'!BE60*annualizationFactor</f>
        <v>1.9901729194585246E-3</v>
      </c>
      <c r="AD434" s="777">
        <f>$F$22*$M$9*'Traffic Data'!BF60*annualizationFactor</f>
        <v>2.0221750410085925E-3</v>
      </c>
      <c r="AE434" s="777">
        <f>$F$22*$M$9*'Traffic Data'!BG60*annualizationFactor</f>
        <v>2.0541608425152184E-3</v>
      </c>
      <c r="AF434" s="777">
        <f>$F$22*$M$9*'Traffic Data'!BH60*annualizationFactor</f>
        <v>2.0861629640652871E-3</v>
      </c>
      <c r="AG434" s="777">
        <f>$F$22*$M$9*'Traffic Data'!BI60*annualizationFactor</f>
        <v>2.1181650856153555E-3</v>
      </c>
      <c r="AH434" s="778">
        <f>$F$22*$M$9*'Traffic Data'!BJ60*annualizationFactor</f>
        <v>2.1501508871219818E-3</v>
      </c>
      <c r="AI434" s="40"/>
      <c r="AJ434" s="40"/>
      <c r="AK434" s="40"/>
      <c r="AL434" s="40"/>
      <c r="AM434" s="40"/>
    </row>
    <row r="435" spans="2:39" ht="21.95" customHeight="1" x14ac:dyDescent="0.2">
      <c r="B435" s="492"/>
      <c r="C435" s="116" t="s">
        <v>346</v>
      </c>
      <c r="D435" s="116" t="s">
        <v>343</v>
      </c>
      <c r="E435" s="116" t="s">
        <v>467</v>
      </c>
      <c r="F435" s="116" t="s">
        <v>438</v>
      </c>
      <c r="G435" s="970"/>
      <c r="H435" s="970"/>
      <c r="I435" s="777">
        <f>$F$22*$M$9*'Traffic Data'!AK61*annualizationFactor</f>
        <v>2.7887056170636362E-4</v>
      </c>
      <c r="J435" s="777">
        <f>$F$22*$M$9*'Traffic Data'!AL61*annualizationFactor</f>
        <v>2.8678534856952981E-4</v>
      </c>
      <c r="K435" s="777">
        <f>$F$22*$M$9*'Traffic Data'!AM61*annualizationFactor</f>
        <v>2.9556867045843141E-4</v>
      </c>
      <c r="L435" s="777">
        <f>$F$22*$M$9*'Traffic Data'!AN61*annualizationFactor</f>
        <v>3.0789695089555034E-4</v>
      </c>
      <c r="M435" s="777">
        <f>$F$22*$M$9*'Traffic Data'!AO61*annualizationFactor</f>
        <v>3.2022743294236698E-4</v>
      </c>
      <c r="N435" s="777">
        <f>$F$22*$M$9*'Traffic Data'!AP61*annualizationFactor</f>
        <v>3.325604835338309E-4</v>
      </c>
      <c r="O435" s="777">
        <f>$F$22*$M$9*'Traffic Data'!AQ61*annualizationFactor</f>
        <v>3.4488876397094988E-4</v>
      </c>
      <c r="P435" s="777">
        <f>$F$22*$M$9*'Traffic Data'!AR61*annualizationFactor</f>
        <v>3.5721777827796817E-4</v>
      </c>
      <c r="Q435" s="777">
        <f>$F$22*$M$9*'Traffic Data'!AS61*annualizationFactor</f>
        <v>3.7107507665012712E-4</v>
      </c>
      <c r="R435" s="777">
        <f>$F$22*$M$9*'Traffic Data'!AT61*annualizationFactor</f>
        <v>3.8492760486794102E-4</v>
      </c>
      <c r="S435" s="777">
        <f>$F$22*$M$9*'Traffic Data'!AU61*annualizationFactor</f>
        <v>3.9878490324009997E-4</v>
      </c>
      <c r="T435" s="777">
        <f>$F$22*$M$9*'Traffic Data'!AV61*annualizationFactor</f>
        <v>4.1264220161225896E-4</v>
      </c>
      <c r="U435" s="777">
        <f>$F$22*$M$9*'Traffic Data'!AW61*annualizationFactor</f>
        <v>4.2650170159411562E-4</v>
      </c>
      <c r="V435" s="777">
        <f>$F$22*$M$9*'Traffic Data'!AX61*annualizationFactor</f>
        <v>4.368155091578557E-4</v>
      </c>
      <c r="W435" s="777">
        <f>$F$22*$M$9*'Traffic Data'!AY61*annualizationFactor</f>
        <v>4.4473029602102183E-4</v>
      </c>
      <c r="X435" s="777">
        <f>$F$22*$M$9*'Traffic Data'!AZ61*annualizationFactor</f>
        <v>4.5264508288418801E-4</v>
      </c>
      <c r="Y435" s="777">
        <f>$F$22*$M$9*'Traffic Data'!BA61*annualizationFactor</f>
        <v>4.6055986974735409E-4</v>
      </c>
      <c r="Z435" s="777">
        <f>$F$22*$M$9*'Traffic Data'!BB61*annualizationFactor</f>
        <v>4.6847062032607444E-4</v>
      </c>
      <c r="AA435" s="777">
        <f>$F$22*$M$9*'Traffic Data'!BC61*annualizationFactor</f>
        <v>4.7638540718924062E-4</v>
      </c>
      <c r="AB435" s="777">
        <f>$F$22*$M$9*'Traffic Data'!BD61*annualizationFactor</f>
        <v>4.8429615776796108E-4</v>
      </c>
      <c r="AC435" s="777">
        <f>$F$22*$M$9*'Traffic Data'!BE61*annualizationFactor</f>
        <v>4.922109446311272E-4</v>
      </c>
      <c r="AD435" s="777">
        <f>$F$22*$M$9*'Traffic Data'!BF61*annualizationFactor</f>
        <v>5.0012573149429333E-4</v>
      </c>
      <c r="AE435" s="777">
        <f>$F$22*$M$9*'Traffic Data'!BG61*annualizationFactor</f>
        <v>5.0803648207301357E-4</v>
      </c>
      <c r="AF435" s="777">
        <f>$F$22*$M$9*'Traffic Data'!BH61*annualizationFactor</f>
        <v>5.1595126893617981E-4</v>
      </c>
      <c r="AG435" s="777">
        <f>$F$22*$M$9*'Traffic Data'!BI61*annualizationFactor</f>
        <v>5.2386605579934594E-4</v>
      </c>
      <c r="AH435" s="778">
        <f>$F$22*$M$9*'Traffic Data'!BJ61*annualizationFactor</f>
        <v>5.3177680637806629E-4</v>
      </c>
      <c r="AI435" s="40"/>
      <c r="AJ435" s="40"/>
      <c r="AK435" s="40"/>
      <c r="AL435" s="40"/>
      <c r="AM435" s="40"/>
    </row>
    <row r="436" spans="2:39" ht="21.95" customHeight="1" x14ac:dyDescent="0.2">
      <c r="B436" s="492"/>
      <c r="C436" s="116" t="s">
        <v>343</v>
      </c>
      <c r="D436" s="116" t="s">
        <v>350</v>
      </c>
      <c r="E436" s="116" t="s">
        <v>467</v>
      </c>
      <c r="F436" s="116" t="s">
        <v>438</v>
      </c>
      <c r="G436" s="970"/>
      <c r="H436" s="970"/>
      <c r="I436" s="777">
        <f>$F$22*$M$9*'Traffic Data'!AK62*annualizationFactor</f>
        <v>7.1552315174659101E-4</v>
      </c>
      <c r="J436" s="777">
        <f>$F$22*$M$9*'Traffic Data'!AL62*annualizationFactor</f>
        <v>7.3581300325295182E-4</v>
      </c>
      <c r="K436" s="777">
        <f>$F$22*$M$9*'Traffic Data'!AM62*annualizationFactor</f>
        <v>7.5893274882447034E-4</v>
      </c>
      <c r="L436" s="777">
        <f>$F$22*$M$9*'Traffic Data'!AN62*annualizationFactor</f>
        <v>7.8847431468291476E-4</v>
      </c>
      <c r="M436" s="777">
        <f>$F$22*$M$9*'Traffic Data'!AO62*annualizationFactor</f>
        <v>8.1802542085004893E-4</v>
      </c>
      <c r="N436" s="777">
        <f>$F$22*$M$9*'Traffic Data'!AP62*annualizationFactor</f>
        <v>8.4757175686283844E-4</v>
      </c>
      <c r="O436" s="777">
        <f>$F$22*$M$9*'Traffic Data'!AQ62*annualizationFactor</f>
        <v>8.7711332272128253E-4</v>
      </c>
      <c r="P436" s="777">
        <f>$F$22*$M$9*'Traffic Data'!AR62*annualizationFactor</f>
        <v>9.0666085127265794E-4</v>
      </c>
      <c r="Q436" s="777">
        <f>$F$22*$M$9*'Traffic Data'!AS62*annualizationFactor</f>
        <v>9.4005670184184374E-4</v>
      </c>
      <c r="R436" s="777">
        <f>$F$22*$M$9*'Traffic Data'!AT62*annualizationFactor</f>
        <v>9.7345135987244333E-4</v>
      </c>
      <c r="S436" s="777">
        <f>$F$22*$M$9*'Traffic Data'!AU62*annualizationFactor</f>
        <v>1.0068424402872843E-3</v>
      </c>
      <c r="T436" s="777">
        <f>$F$22*$M$9*'Traffic Data'!AV62*annualizationFactor</f>
        <v>1.0402382908564702E-3</v>
      </c>
      <c r="U436" s="777">
        <f>$F$22*$M$9*'Traffic Data'!AW62*annualizationFactor</f>
        <v>1.0736401041185873E-3</v>
      </c>
      <c r="V436" s="777">
        <f>$F$22*$M$9*'Traffic Data'!AX62*annualizationFactor</f>
        <v>1.1006129418622613E-3</v>
      </c>
      <c r="W436" s="777">
        <f>$F$22*$M$9*'Traffic Data'!AY62*annualizationFactor</f>
        <v>1.1209027933686223E-3</v>
      </c>
      <c r="X436" s="777">
        <f>$F$22*$M$9*'Traffic Data'!AZ62*annualizationFactor</f>
        <v>1.1411926448749833E-3</v>
      </c>
      <c r="Y436" s="777">
        <f>$F$22*$M$9*'Traffic Data'!BA62*annualizationFactor</f>
        <v>1.1614824963813439E-3</v>
      </c>
      <c r="Z436" s="777">
        <f>$F$22*$M$9*'Traffic Data'!BB62*annualizationFactor</f>
        <v>1.1817663851947735E-3</v>
      </c>
      <c r="AA436" s="777">
        <f>$F$22*$M$9*'Traffic Data'!BC62*annualizationFactor</f>
        <v>1.2020562367011341E-3</v>
      </c>
      <c r="AB436" s="777">
        <f>$F$22*$M$9*'Traffic Data'!BD62*annualizationFactor</f>
        <v>1.2223401255145635E-3</v>
      </c>
      <c r="AC436" s="777">
        <f>$F$22*$M$9*'Traffic Data'!BE62*annualizationFactor</f>
        <v>1.2426299770209243E-3</v>
      </c>
      <c r="AD436" s="777">
        <f>$F$22*$M$9*'Traffic Data'!BF62*annualizationFactor</f>
        <v>1.2629198285272853E-3</v>
      </c>
      <c r="AE436" s="777">
        <f>$F$22*$M$9*'Traffic Data'!BG62*annualizationFactor</f>
        <v>1.2832037173407147E-3</v>
      </c>
      <c r="AF436" s="777">
        <f>$F$22*$M$9*'Traffic Data'!BH62*annualizationFactor</f>
        <v>1.3034935688470757E-3</v>
      </c>
      <c r="AG436" s="777">
        <f>$F$22*$M$9*'Traffic Data'!BI62*annualizationFactor</f>
        <v>1.3237834203534366E-3</v>
      </c>
      <c r="AH436" s="778">
        <f>$F$22*$M$9*'Traffic Data'!BJ62*annualizationFactor</f>
        <v>1.3440673091668659E-3</v>
      </c>
      <c r="AI436" s="40"/>
      <c r="AJ436" s="40"/>
      <c r="AK436" s="40"/>
      <c r="AL436" s="40"/>
      <c r="AM436" s="40"/>
    </row>
    <row r="437" spans="2:39" ht="21.95" customHeight="1" x14ac:dyDescent="0.2">
      <c r="B437" s="492"/>
      <c r="C437" s="116" t="s">
        <v>350</v>
      </c>
      <c r="D437" s="116" t="s">
        <v>280</v>
      </c>
      <c r="E437" s="116" t="s">
        <v>467</v>
      </c>
      <c r="F437" s="116" t="s">
        <v>438</v>
      </c>
      <c r="G437" s="970"/>
      <c r="H437" s="970"/>
      <c r="I437" s="777">
        <f>$F$22*$M$9*'Traffic Data'!AK63*annualizationFactor</f>
        <v>5.9406768342447737E-3</v>
      </c>
      <c r="J437" s="777">
        <f>$F$22*$M$9*'Traffic Data'!AL63*annualizationFactor</f>
        <v>6.1091346270078419E-3</v>
      </c>
      <c r="K437" s="777">
        <f>$F$22*$M$9*'Traffic Data'!AM63*annualizationFactor</f>
        <v>6.3010877966503467E-3</v>
      </c>
      <c r="L437" s="777">
        <f>$F$22*$M$9*'Traffic Data'!AN63*annualizationFactor</f>
        <v>6.5463585408801995E-3</v>
      </c>
      <c r="M437" s="777">
        <f>$F$22*$M$9*'Traffic Data'!AO63*annualizationFactor</f>
        <v>6.7917084941345081E-3</v>
      </c>
      <c r="N437" s="777">
        <f>$F$22*$M$9*'Traffic Data'!AP63*annualizationFactor</f>
        <v>7.0370188428765931E-3</v>
      </c>
      <c r="O437" s="777">
        <f>$F$22*$M$9*'Traffic Data'!AQ63*annualizationFactor</f>
        <v>7.2822895871064433E-3</v>
      </c>
      <c r="P437" s="777">
        <f>$F$22*$M$9*'Traffic Data'!AR63*annualizationFactor</f>
        <v>7.5276098369765811E-3</v>
      </c>
      <c r="Q437" s="777">
        <f>$F$22*$M$9*'Traffic Data'!AS63*annualizationFactor</f>
        <v>7.8048810270868975E-3</v>
      </c>
      <c r="R437" s="777">
        <f>$F$22*$M$9*'Traffic Data'!AT63*annualizationFactor</f>
        <v>8.0821423160691592E-3</v>
      </c>
      <c r="S437" s="777">
        <f>$F$22*$M$9*'Traffic Data'!AU63*annualizationFactor</f>
        <v>8.3593739016672476E-3</v>
      </c>
      <c r="T437" s="777">
        <f>$F$22*$M$9*'Traffic Data'!AV63*annualizationFactor</f>
        <v>8.6366450917775665E-3</v>
      </c>
      <c r="U437" s="777">
        <f>$F$22*$M$9*'Traffic Data'!AW63*annualizationFactor</f>
        <v>8.9139657875281688E-3</v>
      </c>
      <c r="V437" s="777">
        <f>$F$22*$M$9*'Traffic Data'!AX63*annualizationFactor</f>
        <v>9.1379095019230826E-3</v>
      </c>
      <c r="W437" s="777">
        <f>$F$22*$M$9*'Traffic Data'!AY63*annualizationFactor</f>
        <v>9.3063672946861516E-3</v>
      </c>
      <c r="X437" s="777">
        <f>$F$22*$M$9*'Traffic Data'!AZ63*annualizationFactor</f>
        <v>9.4748250874492207E-3</v>
      </c>
      <c r="Y437" s="777">
        <f>$F$22*$M$9*'Traffic Data'!BA63*annualizationFactor</f>
        <v>9.643282880212288E-3</v>
      </c>
      <c r="Z437" s="777">
        <f>$F$22*$M$9*'Traffic Data'!BB63*annualizationFactor</f>
        <v>9.8116911673350703E-3</v>
      </c>
      <c r="AA437" s="777">
        <f>$F$22*$M$9*'Traffic Data'!BC63*annualizationFactor</f>
        <v>9.9801489600981324E-3</v>
      </c>
      <c r="AB437" s="777">
        <f>$F$22*$M$9*'Traffic Data'!BD63*annualizationFactor</f>
        <v>1.0148557247220916E-2</v>
      </c>
      <c r="AC437" s="777">
        <f>$F$22*$M$9*'Traffic Data'!BE63*annualizationFactor</f>
        <v>1.0317015039983984E-2</v>
      </c>
      <c r="AD437" s="777">
        <f>$F$22*$M$9*'Traffic Data'!BF63*annualizationFactor</f>
        <v>1.0485472832747053E-2</v>
      </c>
      <c r="AE437" s="777">
        <f>$F$22*$M$9*'Traffic Data'!BG63*annualizationFactor</f>
        <v>1.0653881119869832E-2</v>
      </c>
      <c r="AF437" s="777">
        <f>$F$22*$M$9*'Traffic Data'!BH63*annualizationFactor</f>
        <v>1.0822338912632902E-2</v>
      </c>
      <c r="AG437" s="777">
        <f>$F$22*$M$9*'Traffic Data'!BI63*annualizationFactor</f>
        <v>1.0990796705395966E-2</v>
      </c>
      <c r="AH437" s="778">
        <f>$F$22*$M$9*'Traffic Data'!BJ63*annualizationFactor</f>
        <v>1.115920499251875E-2</v>
      </c>
      <c r="AI437" s="40"/>
      <c r="AJ437" s="40"/>
      <c r="AK437" s="40"/>
      <c r="AL437" s="40"/>
      <c r="AM437" s="40"/>
    </row>
    <row r="438" spans="2:39" ht="21.95" customHeight="1" x14ac:dyDescent="0.2">
      <c r="B438" s="493"/>
      <c r="C438" s="254" t="s">
        <v>280</v>
      </c>
      <c r="D438" s="254" t="s">
        <v>333</v>
      </c>
      <c r="E438" s="254" t="s">
        <v>467</v>
      </c>
      <c r="F438" s="254" t="s">
        <v>438</v>
      </c>
      <c r="G438" s="779"/>
      <c r="H438" s="779"/>
      <c r="I438" s="779">
        <f>$F$22*$M$9*'Traffic Data'!AK64*annualizationFactor</f>
        <v>1.4677397984545458E-4</v>
      </c>
      <c r="J438" s="779">
        <f>$F$22*$M$9*'Traffic Data'!AL64*annualizationFactor</f>
        <v>1.5093600066727221E-4</v>
      </c>
      <c r="K438" s="779">
        <f>$F$22*$M$9*'Traffic Data'!AM64*annualizationFactor</f>
        <v>1.5567851257937851E-4</v>
      </c>
      <c r="L438" s="779">
        <f>$F$22*$M$9*'Traffic Data'!AN64*annualizationFactor</f>
        <v>1.6173832096059792E-4</v>
      </c>
      <c r="M438" s="779">
        <f>$F$22*$M$9*'Traffic Data'!AO64*annualizationFactor</f>
        <v>1.6780008632821512E-4</v>
      </c>
      <c r="N438" s="779">
        <f>$F$22*$M$9*'Traffic Data'!AP64*annualizationFactor</f>
        <v>1.7386087320263351E-4</v>
      </c>
      <c r="O438" s="779">
        <f>$F$22*$M$9*'Traffic Data'!AQ64*annualizationFactor</f>
        <v>1.7992068158385286E-4</v>
      </c>
      <c r="P438" s="779">
        <f>$F$22*$M$9*'Traffic Data'!AR64*annualizationFactor</f>
        <v>1.8598171308157089E-4</v>
      </c>
      <c r="Q438" s="779">
        <f>$F$22*$M$9*'Traffic Data'!AS64*annualizationFactor</f>
        <v>1.928321439675577E-4</v>
      </c>
      <c r="R438" s="779">
        <f>$F$22*$M$9*'Traffic Data'!AT64*annualizationFactor</f>
        <v>1.996823302302448E-4</v>
      </c>
      <c r="S438" s="779">
        <f>$F$22*$M$9*'Traffic Data'!AU64*annualizationFactor</f>
        <v>2.0653178262303268E-4</v>
      </c>
      <c r="T438" s="779">
        <f>$F$22*$M$9*'Traffic Data'!AV64*annualizationFactor</f>
        <v>2.1338221350901957E-4</v>
      </c>
      <c r="U438" s="779">
        <f>$F$22*$M$9*'Traffic Data'!AW64*annualizationFactor</f>
        <v>2.2023386751150506E-4</v>
      </c>
      <c r="V438" s="779">
        <f>$F$22*$M$9*'Traffic Data'!AX64*annualizationFactor</f>
        <v>2.2576675730507926E-4</v>
      </c>
      <c r="W438" s="779">
        <f>$F$22*$M$9*'Traffic Data'!AY64*annualizationFactor</f>
        <v>2.2992877812689691E-4</v>
      </c>
      <c r="X438" s="779">
        <f>$F$22*$M$9*'Traffic Data'!AZ64*annualizationFactor</f>
        <v>2.3409079894871454E-4</v>
      </c>
      <c r="Y438" s="779">
        <f>$F$22*$M$9*'Traffic Data'!BA64*annualizationFactor</f>
        <v>2.382528197705321E-4</v>
      </c>
      <c r="Z438" s="779">
        <f>$F$22*$M$9*'Traffic Data'!BB64*annualizationFactor</f>
        <v>2.4241361747585099E-4</v>
      </c>
      <c r="AA438" s="779">
        <f>$F$22*$M$9*'Traffic Data'!BC64*annualizationFactor</f>
        <v>2.4657563829766848E-4</v>
      </c>
      <c r="AB438" s="779">
        <f>$F$22*$M$9*'Traffic Data'!BD64*annualizationFactor</f>
        <v>2.507364360029874E-4</v>
      </c>
      <c r="AC438" s="779">
        <f>$F$22*$M$9*'Traffic Data'!BE64*annualizationFactor</f>
        <v>2.5489845682480497E-4</v>
      </c>
      <c r="AD438" s="779">
        <f>$F$22*$M$9*'Traffic Data'!BF64*annualizationFactor</f>
        <v>2.5906047764662259E-4</v>
      </c>
      <c r="AE438" s="779">
        <f>$F$22*$M$9*'Traffic Data'!BG64*annualizationFactor</f>
        <v>2.632212753519415E-4</v>
      </c>
      <c r="AF438" s="779">
        <f>$F$22*$M$9*'Traffic Data'!BH64*annualizationFactor</f>
        <v>2.6738329617375913E-4</v>
      </c>
      <c r="AG438" s="779">
        <f>$F$22*$M$9*'Traffic Data'!BI64*annualizationFactor</f>
        <v>2.715453169955767E-4</v>
      </c>
      <c r="AH438" s="783">
        <f>$F$22*$M$9*'Traffic Data'!BJ64*annualizationFactor</f>
        <v>2.7570611470089561E-4</v>
      </c>
      <c r="AI438" s="40"/>
      <c r="AJ438" s="40"/>
      <c r="AK438" s="40"/>
      <c r="AL438" s="40"/>
      <c r="AM438" s="40"/>
    </row>
    <row r="439" spans="2:39" ht="21.95" customHeight="1" x14ac:dyDescent="0.2">
      <c r="B439" s="784" t="s">
        <v>493</v>
      </c>
      <c r="C439" s="240"/>
      <c r="D439" s="240"/>
      <c r="E439" s="240"/>
      <c r="F439" s="240"/>
      <c r="G439" s="969">
        <f>SUM(G410:G438)</f>
        <v>0</v>
      </c>
      <c r="H439" s="969">
        <f>SUM(H410:H438)</f>
        <v>0</v>
      </c>
      <c r="I439" s="785">
        <f t="shared" ref="I439:AH439" si="35">SUM(I410:I438)</f>
        <v>0.17036184390205916</v>
      </c>
      <c r="J439" s="785">
        <f t="shared" si="35"/>
        <v>0.17602734409662654</v>
      </c>
      <c r="K439" s="785">
        <f t="shared" si="35"/>
        <v>0.18603373406411591</v>
      </c>
      <c r="L439" s="785">
        <f t="shared" si="35"/>
        <v>0.20185863579389304</v>
      </c>
      <c r="M439" s="785">
        <f t="shared" si="35"/>
        <v>0.21769082147853661</v>
      </c>
      <c r="N439" s="785">
        <f t="shared" si="35"/>
        <v>0.23352336369160995</v>
      </c>
      <c r="O439" s="785">
        <f t="shared" si="35"/>
        <v>0.24934826542138711</v>
      </c>
      <c r="P439" s="785">
        <f t="shared" si="35"/>
        <v>0.26518785960987151</v>
      </c>
      <c r="Q439" s="785">
        <f t="shared" si="35"/>
        <v>0.28008604971076745</v>
      </c>
      <c r="R439" s="785">
        <f t="shared" si="35"/>
        <v>0.29493207789087206</v>
      </c>
      <c r="S439" s="785">
        <f t="shared" si="35"/>
        <v>0.31018979309009792</v>
      </c>
      <c r="T439" s="785">
        <f t="shared" si="35"/>
        <v>0.32564215366720645</v>
      </c>
      <c r="U439" s="785">
        <f t="shared" si="35"/>
        <v>0.34110402503318227</v>
      </c>
      <c r="V439" s="785">
        <f t="shared" si="35"/>
        <v>0.35064871024641669</v>
      </c>
      <c r="W439" s="785">
        <f t="shared" si="35"/>
        <v>0.35647574049574932</v>
      </c>
      <c r="X439" s="785">
        <f t="shared" si="35"/>
        <v>0.36242530762285857</v>
      </c>
      <c r="Y439" s="785">
        <f t="shared" si="35"/>
        <v>0.36837487474996755</v>
      </c>
      <c r="Z439" s="785">
        <f t="shared" si="35"/>
        <v>0.37432833287440898</v>
      </c>
      <c r="AA439" s="785">
        <f t="shared" si="35"/>
        <v>0.38027790000151801</v>
      </c>
      <c r="AB439" s="785">
        <f t="shared" si="35"/>
        <v>0.38623136517111034</v>
      </c>
      <c r="AC439" s="785">
        <f t="shared" si="35"/>
        <v>0.39218093229821949</v>
      </c>
      <c r="AD439" s="785">
        <f t="shared" si="35"/>
        <v>0.39813049942532847</v>
      </c>
      <c r="AE439" s="785">
        <f t="shared" si="35"/>
        <v>0.40408395754976978</v>
      </c>
      <c r="AF439" s="785">
        <f t="shared" si="35"/>
        <v>0.41003352467687881</v>
      </c>
      <c r="AG439" s="785">
        <f t="shared" si="35"/>
        <v>0.41598309180398801</v>
      </c>
      <c r="AH439" s="786">
        <f t="shared" si="35"/>
        <v>0.42193655697358051</v>
      </c>
      <c r="AI439" s="40"/>
      <c r="AJ439" s="40"/>
      <c r="AK439" s="40"/>
      <c r="AL439" s="40"/>
      <c r="AM439" s="40"/>
    </row>
    <row r="440" spans="2:39" ht="21.95" customHeight="1" x14ac:dyDescent="0.2">
      <c r="B440" s="787" t="s">
        <v>328</v>
      </c>
      <c r="C440" s="1344" t="s">
        <v>18</v>
      </c>
      <c r="D440" s="1344"/>
      <c r="E440" s="46" t="s">
        <v>24</v>
      </c>
      <c r="F440" s="46" t="s">
        <v>42</v>
      </c>
      <c r="G440" s="123" cm="1">
        <f t="array" ref="G440:AH440">year</f>
        <v>2021</v>
      </c>
      <c r="H440" s="123">
        <v>2022</v>
      </c>
      <c r="I440" s="46">
        <v>2023</v>
      </c>
      <c r="J440" s="46">
        <v>2024</v>
      </c>
      <c r="K440" s="46">
        <v>2025</v>
      </c>
      <c r="L440" s="46">
        <v>2026</v>
      </c>
      <c r="M440" s="46">
        <v>2027</v>
      </c>
      <c r="N440" s="46">
        <v>2028</v>
      </c>
      <c r="O440" s="46">
        <v>2029</v>
      </c>
      <c r="P440" s="46">
        <v>2030</v>
      </c>
      <c r="Q440" s="46">
        <v>2031</v>
      </c>
      <c r="R440" s="46">
        <v>2032</v>
      </c>
      <c r="S440" s="46">
        <v>2033</v>
      </c>
      <c r="T440" s="46">
        <v>2034</v>
      </c>
      <c r="U440" s="46">
        <v>2035</v>
      </c>
      <c r="V440" s="46">
        <v>2036</v>
      </c>
      <c r="W440" s="46">
        <v>2037</v>
      </c>
      <c r="X440" s="46">
        <v>2038</v>
      </c>
      <c r="Y440" s="46">
        <v>2039</v>
      </c>
      <c r="Z440" s="46">
        <v>2040</v>
      </c>
      <c r="AA440" s="46">
        <v>2041</v>
      </c>
      <c r="AB440" s="46">
        <v>2042</v>
      </c>
      <c r="AC440" s="46">
        <v>2043</v>
      </c>
      <c r="AD440" s="46">
        <v>2044</v>
      </c>
      <c r="AE440" s="46">
        <v>2045</v>
      </c>
      <c r="AF440" s="46">
        <v>2046</v>
      </c>
      <c r="AG440" s="46">
        <v>2047</v>
      </c>
      <c r="AH440" s="495">
        <v>2048</v>
      </c>
      <c r="AI440" s="40"/>
      <c r="AJ440" s="40"/>
      <c r="AK440" s="40"/>
      <c r="AL440" s="40"/>
      <c r="AM440" s="40"/>
    </row>
    <row r="441" spans="2:39" ht="21.95" customHeight="1" x14ac:dyDescent="0.2">
      <c r="B441" s="1346" t="s">
        <v>331</v>
      </c>
      <c r="C441" s="220" t="s">
        <v>332</v>
      </c>
      <c r="D441" s="220" t="s">
        <v>282</v>
      </c>
      <c r="E441" s="220" t="s">
        <v>19</v>
      </c>
      <c r="F441" s="220" t="s">
        <v>41</v>
      </c>
      <c r="G441" s="775"/>
      <c r="H441" s="775"/>
      <c r="I441" s="775">
        <f>$G$21*$E$8*'Traffic Data'!AK36*annualizationFactor</f>
        <v>1.4524664E-2</v>
      </c>
      <c r="J441" s="775">
        <f>$G$21*$E$8*'Traffic Data'!AL36*annualizationFactor</f>
        <v>1.5185127705825001E-2</v>
      </c>
      <c r="K441" s="775">
        <f>$G$21*$E$8*'Traffic Data'!AM36*annualizationFactor</f>
        <v>1.6115659382900004E-2</v>
      </c>
      <c r="L441" s="775">
        <f>$G$21*$E$8*'Traffic Data'!AN36*annualizationFactor</f>
        <v>1.74844274066E-2</v>
      </c>
      <c r="M441" s="775">
        <f>$G$21*$E$8*'Traffic Data'!AO36*annualizationFactor</f>
        <v>1.8853694715625001E-2</v>
      </c>
      <c r="N441" s="775">
        <f>$G$21*$E$8*'Traffic Data'!AP36*annualizationFactor</f>
        <v>2.0222962024649998E-2</v>
      </c>
      <c r="O441" s="775">
        <f>$G$21*$E$8*'Traffic Data'!AQ36*annualizationFactor</f>
        <v>2.1591730048349998E-2</v>
      </c>
      <c r="P441" s="775">
        <f>$G$21*$E$8*'Traffic Data'!AR36*annualizationFactor</f>
        <v>2.2961496642699999E-2</v>
      </c>
      <c r="Q441" s="775">
        <f>$G$21*$E$8*'Traffic Data'!AS36*annualizationFactor</f>
        <v>2.4315059158775004E-2</v>
      </c>
      <c r="R441" s="775">
        <f>$G$21*$E$8*'Traffic Data'!AT36*annualizationFactor</f>
        <v>2.5668894012300002E-2</v>
      </c>
      <c r="S441" s="775">
        <f>$G$21*$E$8*'Traffic Data'!AU36*annualizationFactor</f>
        <v>2.7022456528375004E-2</v>
      </c>
      <c r="T441" s="775">
        <f>$G$21*$E$8*'Traffic Data'!AV36*annualizationFactor</f>
        <v>2.8376019044449998E-2</v>
      </c>
      <c r="U441" s="775">
        <f>$G$21*$E$8*'Traffic Data'!AW36*annualizationFactor</f>
        <v>2.9730580131175001E-2</v>
      </c>
      <c r="V441" s="775">
        <f>$G$21*$E$8*'Traffic Data'!AX36*annualizationFactor</f>
        <v>3.0645407015300004E-2</v>
      </c>
      <c r="W441" s="775">
        <f>$G$21*$E$8*'Traffic Data'!AY36*annualizationFactor</f>
        <v>3.1305870721125006E-2</v>
      </c>
      <c r="X441" s="775">
        <f>$G$21*$E$8*'Traffic Data'!AZ36*annualizationFactor</f>
        <v>3.1966334426949995E-2</v>
      </c>
      <c r="Y441" s="775">
        <f>$G$21*$E$8*'Traffic Data'!BA36*annualizationFactor</f>
        <v>3.2626798132774998E-2</v>
      </c>
      <c r="Z441" s="775">
        <f>$G$21*$E$8*'Traffic Data'!BB36*annualizationFactor</f>
        <v>3.3287488786475E-2</v>
      </c>
      <c r="AA441" s="775">
        <f>$G$21*$E$8*'Traffic Data'!BC36*annualizationFactor</f>
        <v>3.394795249230001E-2</v>
      </c>
      <c r="AB441" s="775">
        <f>$G$21*$E$8*'Traffic Data'!BD36*annualizationFactor</f>
        <v>3.4608643145999991E-2</v>
      </c>
      <c r="AC441" s="775">
        <f>$G$21*$E$8*'Traffic Data'!BE36*annualizationFactor</f>
        <v>3.5269106851825008E-2</v>
      </c>
      <c r="AD441" s="775">
        <f>$G$21*$E$8*'Traffic Data'!BF36*annualizationFactor</f>
        <v>3.5929570557649997E-2</v>
      </c>
      <c r="AE441" s="775">
        <f>$G$21*$E$8*'Traffic Data'!BG36*annualizationFactor</f>
        <v>3.6590261211349999E-2</v>
      </c>
      <c r="AF441" s="775">
        <f>$G$21*$E$8*'Traffic Data'!BH36*annualizationFactor</f>
        <v>3.7250724917174995E-2</v>
      </c>
      <c r="AG441" s="775">
        <f>$G$21*$E$8*'Traffic Data'!BI36*annualizationFactor</f>
        <v>3.7911188622999997E-2</v>
      </c>
      <c r="AH441" s="776">
        <f>$G$21*$E$8*'Traffic Data'!BJ36*annualizationFactor</f>
        <v>3.8571879276699993E-2</v>
      </c>
      <c r="AI441" s="40"/>
      <c r="AJ441" s="40"/>
      <c r="AK441" s="40"/>
      <c r="AL441" s="40"/>
      <c r="AM441" s="40"/>
    </row>
    <row r="442" spans="2:39" ht="21.95" customHeight="1" x14ac:dyDescent="0.2">
      <c r="B442" s="1346"/>
      <c r="C442" s="116" t="s">
        <v>282</v>
      </c>
      <c r="D442" s="116" t="s">
        <v>280</v>
      </c>
      <c r="E442" s="116" t="s">
        <v>19</v>
      </c>
      <c r="F442" s="116" t="s">
        <v>41</v>
      </c>
      <c r="G442" s="970"/>
      <c r="H442" s="970"/>
      <c r="I442" s="777">
        <f>$G$21*$E$8*'Traffic Data'!AK37*annualizationFactor</f>
        <v>0.46704569625000003</v>
      </c>
      <c r="J442" s="777">
        <f>$G$21*$E$8*'Traffic Data'!AL37*annualizationFactor</f>
        <v>0.49169878981649995</v>
      </c>
      <c r="K442" s="777">
        <f>$G$21*$E$8*'Traffic Data'!AM37*annualizationFactor</f>
        <v>0.52870610694825004</v>
      </c>
      <c r="L442" s="777">
        <f>$G$21*$E$8*'Traffic Data'!AN37*annualizationFactor</f>
        <v>0.589847577984</v>
      </c>
      <c r="M442" s="777">
        <f>$G$21*$E$8*'Traffic Data'!AO37*annualizationFactor</f>
        <v>0.65101672580175007</v>
      </c>
      <c r="N442" s="777">
        <f>$G$21*$E$8*'Traffic Data'!AP37*annualizationFactor</f>
        <v>0.71218241402174998</v>
      </c>
      <c r="O442" s="777">
        <f>$G$21*$E$8*'Traffic Data'!AQ37*annualizationFactor</f>
        <v>0.77332388505750016</v>
      </c>
      <c r="P442" s="777">
        <f>$G$21*$E$8*'Traffic Data'!AR37*annualizationFactor</f>
        <v>0.83452070965724989</v>
      </c>
      <c r="Q442" s="777">
        <f>$G$21*$E$8*'Traffic Data'!AS37*annualizationFactor</f>
        <v>0.89626069110374995</v>
      </c>
      <c r="R442" s="777">
        <f>$G$21*$E$8*'Traffic Data'!AT37*annualizationFactor</f>
        <v>0.95802143013674979</v>
      </c>
      <c r="S442" s="777">
        <f>$G$21*$E$8*'Traffic Data'!AU37*annualizationFactor</f>
        <v>1.0197614115832498</v>
      </c>
      <c r="T442" s="777">
        <f>$G$21*$E$8*'Traffic Data'!AV37*annualizationFactor</f>
        <v>1.0815013930297499</v>
      </c>
      <c r="U442" s="777">
        <f>$G$21*$E$8*'Traffic Data'!AW37*annualizationFactor</f>
        <v>1.14329672804025</v>
      </c>
      <c r="V442" s="777">
        <f>$G$21*$E$8*'Traffic Data'!AX37*annualizationFactor</f>
        <v>1.1808748788007501</v>
      </c>
      <c r="W442" s="777">
        <f>$G$21*$E$8*'Traffic Data'!AY37*annualizationFactor</f>
        <v>1.2055279723672498</v>
      </c>
      <c r="X442" s="777">
        <f>$G$21*$E$8*'Traffic Data'!AZ37*annualizationFactor</f>
        <v>1.23018106593375</v>
      </c>
      <c r="Y442" s="777">
        <f>$G$21*$E$8*'Traffic Data'!BA37*annualizationFactor</f>
        <v>1.2548341595002503</v>
      </c>
      <c r="Z442" s="777">
        <f>$G$21*$E$8*'Traffic Data'!BB37*annualizationFactor</f>
        <v>1.27950109145775</v>
      </c>
      <c r="AA442" s="777">
        <f>$G$21*$E$8*'Traffic Data'!BC37*annualizationFactor</f>
        <v>1.30415418502425</v>
      </c>
      <c r="AB442" s="777">
        <f>$G$21*$E$8*'Traffic Data'!BD37*annualizationFactor</f>
        <v>1.3288211169817501</v>
      </c>
      <c r="AC442" s="777">
        <f>$G$21*$E$8*'Traffic Data'!BE37*annualizationFactor</f>
        <v>1.3534742105482502</v>
      </c>
      <c r="AD442" s="777">
        <f>$G$21*$E$8*'Traffic Data'!BF37*annualizationFactor</f>
        <v>1.3781273041147502</v>
      </c>
      <c r="AE442" s="777">
        <f>$G$21*$E$8*'Traffic Data'!BG37*annualizationFactor</f>
        <v>1.4027942360722503</v>
      </c>
      <c r="AF442" s="777">
        <f>$G$21*$E$8*'Traffic Data'!BH37*annualizationFactor</f>
        <v>1.42744732963875</v>
      </c>
      <c r="AG442" s="777">
        <f>$G$21*$E$8*'Traffic Data'!BI37*annualizationFactor</f>
        <v>1.4521004232052499</v>
      </c>
      <c r="AH442" s="778">
        <f>$G$21*$E$8*'Traffic Data'!BJ37*annualizationFactor</f>
        <v>1.47676735516275</v>
      </c>
      <c r="AI442" s="40"/>
      <c r="AJ442" s="40"/>
      <c r="AK442" s="40"/>
      <c r="AL442" s="40"/>
      <c r="AM442" s="40"/>
    </row>
    <row r="443" spans="2:39" ht="21.95" customHeight="1" x14ac:dyDescent="0.2">
      <c r="B443" s="1346"/>
      <c r="C443" s="116" t="s">
        <v>280</v>
      </c>
      <c r="D443" s="116" t="s">
        <v>333</v>
      </c>
      <c r="E443" s="254" t="s">
        <v>19</v>
      </c>
      <c r="F443" s="254" t="s">
        <v>41</v>
      </c>
      <c r="G443" s="779"/>
      <c r="H443" s="779"/>
      <c r="I443" s="777">
        <f>$G$21*$E$8*'Traffic Data'!AK38*annualizationFactor</f>
        <v>1.0893498E-2</v>
      </c>
      <c r="J443" s="777">
        <f>$G$21*$E$8*'Traffic Data'!AL38*annualizationFactor</f>
        <v>1.134839232065E-2</v>
      </c>
      <c r="K443" s="777">
        <f>$G$21*$E$8*'Traffic Data'!AM38*annualizationFactor</f>
        <v>1.1911404608949999E-2</v>
      </c>
      <c r="L443" s="777">
        <f>$G$21*$E$8*'Traffic Data'!AN38*annualizationFactor</f>
        <v>1.2669410511449999E-2</v>
      </c>
      <c r="M443" s="777">
        <f>$G$21*$E$8*'Traffic Data'!AO38*annualizationFactor</f>
        <v>1.3427688751400003E-2</v>
      </c>
      <c r="N443" s="777">
        <f>$G$21*$E$8*'Traffic Data'!AP38*annualizationFactor</f>
        <v>1.4185876212200004E-2</v>
      </c>
      <c r="O443" s="777">
        <f>$G$21*$E$8*'Traffic Data'!AQ38*annualizationFactor</f>
        <v>1.4943882114700003E-2</v>
      </c>
      <c r="P443" s="777">
        <f>$G$21*$E$8*'Traffic Data'!AR38*annualizationFactor</f>
        <v>1.5702432692100005E-2</v>
      </c>
      <c r="Q443" s="777">
        <f>$G$21*$E$8*'Traffic Data'!AS38*annualizationFactor</f>
        <v>1.6437380690500002E-2</v>
      </c>
      <c r="R443" s="777">
        <f>$G$21*$E$8*'Traffic Data'!AT38*annualizationFactor</f>
        <v>1.7172601026349994E-2</v>
      </c>
      <c r="S443" s="777">
        <f>$G$21*$E$8*'Traffic Data'!AU38*annualizationFactor</f>
        <v>1.7907549024749999E-2</v>
      </c>
      <c r="T443" s="777">
        <f>$G$21*$E$8*'Traffic Data'!AV38*annualizationFactor</f>
        <v>1.864249702315E-2</v>
      </c>
      <c r="U443" s="777">
        <f>$G$21*$E$8*'Traffic Data'!AW38*annualizationFactor</f>
        <v>1.937798969645E-2</v>
      </c>
      <c r="V443" s="777">
        <f>$G$21*$E$8*'Traffic Data'!AX38*annualizationFactor</f>
        <v>1.9917671743199996E-2</v>
      </c>
      <c r="W443" s="777">
        <f>$G$21*$E$8*'Traffic Data'!AY38*annualizationFactor</f>
        <v>2.037256606385E-2</v>
      </c>
      <c r="X443" s="777">
        <f>$G$21*$E$8*'Traffic Data'!AZ38*annualizationFactor</f>
        <v>2.0827460384499993E-2</v>
      </c>
      <c r="Y443" s="777">
        <f>$G$21*$E$8*'Traffic Data'!BA38*annualizationFactor</f>
        <v>2.1282354705149997E-2</v>
      </c>
      <c r="Z443" s="777">
        <f>$G$21*$E$8*'Traffic Data'!BB38*annualizationFactor</f>
        <v>2.1737430584100003E-2</v>
      </c>
      <c r="AA443" s="777">
        <f>$G$21*$E$8*'Traffic Data'!BC38*annualizationFactor</f>
        <v>2.219232490475E-2</v>
      </c>
      <c r="AB443" s="777">
        <f>$G$21*$E$8*'Traffic Data'!BD38*annualizationFactor</f>
        <v>2.2647400783700002E-2</v>
      </c>
      <c r="AC443" s="777">
        <f>$G$21*$E$8*'Traffic Data'!BE38*annualizationFactor</f>
        <v>2.3102295104350006E-2</v>
      </c>
      <c r="AD443" s="777">
        <f>$G$21*$E$8*'Traffic Data'!BF38*annualizationFactor</f>
        <v>2.3557189424999996E-2</v>
      </c>
      <c r="AE443" s="777">
        <f>$G$21*$E$8*'Traffic Data'!BG38*annualizationFactor</f>
        <v>2.4012265303950002E-2</v>
      </c>
      <c r="AF443" s="777">
        <f>$G$21*$E$8*'Traffic Data'!BH38*annualizationFactor</f>
        <v>2.4467159624599999E-2</v>
      </c>
      <c r="AG443" s="777">
        <f>$G$21*$E$8*'Traffic Data'!BI38*annualizationFactor</f>
        <v>2.4922053945249992E-2</v>
      </c>
      <c r="AH443" s="778">
        <f>$G$21*$E$8*'Traffic Data'!BJ38*annualizationFactor</f>
        <v>2.5377129824199998E-2</v>
      </c>
      <c r="AI443" s="40"/>
      <c r="AJ443" s="40"/>
      <c r="AK443" s="40"/>
      <c r="AL443" s="40"/>
      <c r="AM443" s="40"/>
    </row>
    <row r="444" spans="2:39" ht="21.95" customHeight="1" x14ac:dyDescent="0.2">
      <c r="B444" s="1346" t="s">
        <v>280</v>
      </c>
      <c r="C444" s="220" t="s">
        <v>281</v>
      </c>
      <c r="D444" s="220" t="s">
        <v>335</v>
      </c>
      <c r="E444" s="116" t="s">
        <v>19</v>
      </c>
      <c r="F444" s="116" t="s">
        <v>41</v>
      </c>
      <c r="G444" s="970"/>
      <c r="H444" s="970"/>
      <c r="I444" s="775">
        <f>$G$21*$F$8*'Traffic Data'!AK39*annualizationFactor</f>
        <v>8.9997320000000006E-2</v>
      </c>
      <c r="J444" s="775">
        <f>$G$21*$F$8*'Traffic Data'!AL39*annualizationFactor</f>
        <v>9.9100998904600002E-2</v>
      </c>
      <c r="K444" s="775">
        <f>$G$21*$F$8*'Traffic Data'!AM39*annualizationFactor</f>
        <v>0.11945434280919999</v>
      </c>
      <c r="L444" s="775">
        <f>$G$21*$F$8*'Traffic Data'!AN39*annualizationFactor</f>
        <v>0.16033562541920005</v>
      </c>
      <c r="M444" s="775">
        <f>$G$21*$F$8*'Traffic Data'!AO39*annualizationFactor</f>
        <v>0.20124210727879999</v>
      </c>
      <c r="N444" s="775">
        <f>$G$21*$F$8*'Traffic Data'!AP39*annualizationFactor</f>
        <v>0.24214408927239997</v>
      </c>
      <c r="O444" s="775">
        <f>$G$21*$F$8*'Traffic Data'!AQ39*annualizationFactor</f>
        <v>0.28302537188239996</v>
      </c>
      <c r="P444" s="775">
        <f>$G$21*$F$8*'Traffic Data'!AR39*annualizationFactor</f>
        <v>0.32395705299160005</v>
      </c>
      <c r="Q444" s="775">
        <f>$G$21*$F$8*'Traffic Data'!AS39*annualizationFactor</f>
        <v>0.36412105696119995</v>
      </c>
      <c r="R444" s="775">
        <f>$G$21*$F$8*'Traffic Data'!AT39*annualizationFactor</f>
        <v>0.40430531032779987</v>
      </c>
      <c r="S444" s="775">
        <f>$G$21*$F$8*'Traffic Data'!AU39*annualizationFactor</f>
        <v>0.44446931429739994</v>
      </c>
      <c r="T444" s="775">
        <f>$G$21*$F$8*'Traffic Data'!AV39*annualizationFactor</f>
        <v>0.48463331826700001</v>
      </c>
      <c r="U444" s="775">
        <f>$G$21*$F$8*'Traffic Data'!AW39*annualizationFactor</f>
        <v>0.52484772073580011</v>
      </c>
      <c r="V444" s="775">
        <f>$G$21*$F$8*'Traffic Data'!AX39*annualizationFactor</f>
        <v>0.54445858675039993</v>
      </c>
      <c r="W444" s="775">
        <f>$G$21*$F$8*'Traffic Data'!AY39*annualizationFactor</f>
        <v>0.55356226565499989</v>
      </c>
      <c r="X444" s="775">
        <f>$G$21*$F$8*'Traffic Data'!AZ39*annualizationFactor</f>
        <v>0.56266594455959995</v>
      </c>
      <c r="Y444" s="775">
        <f>$G$21*$F$8*'Traffic Data'!BA39*annualizationFactor</f>
        <v>0.57176962346419991</v>
      </c>
      <c r="Z444" s="775">
        <f>$G$21*$F$8*'Traffic Data'!BB39*annualizationFactor</f>
        <v>0.58088725195339996</v>
      </c>
      <c r="AA444" s="775">
        <f>$G$21*$F$8*'Traffic Data'!BC39*annualizationFactor</f>
        <v>0.58999093085800003</v>
      </c>
      <c r="AB444" s="775">
        <f>$G$21*$F$8*'Traffic Data'!BD39*annualizationFactor</f>
        <v>0.59910855934719986</v>
      </c>
      <c r="AC444" s="775">
        <f>$G$21*$F$8*'Traffic Data'!BE39*annualizationFactor</f>
        <v>0.60821223825179993</v>
      </c>
      <c r="AD444" s="775">
        <f>$G$21*$F$8*'Traffic Data'!BF39*annualizationFactor</f>
        <v>0.61731591715639988</v>
      </c>
      <c r="AE444" s="775">
        <f>$G$21*$F$8*'Traffic Data'!BG39*annualizationFactor</f>
        <v>0.62643354564560005</v>
      </c>
      <c r="AF444" s="775">
        <f>$G$21*$F$8*'Traffic Data'!BH39*annualizationFactor</f>
        <v>0.63553722455020001</v>
      </c>
      <c r="AG444" s="775">
        <f>$G$21*$F$8*'Traffic Data'!BI39*annualizationFactor</f>
        <v>0.64464090345479985</v>
      </c>
      <c r="AH444" s="776">
        <f>$G$21*$F$8*'Traffic Data'!BJ39*annualizationFactor</f>
        <v>0.6537585319439998</v>
      </c>
      <c r="AI444" s="40"/>
      <c r="AJ444" s="40"/>
      <c r="AK444" s="40"/>
      <c r="AL444" s="40"/>
      <c r="AM444" s="40"/>
    </row>
    <row r="445" spans="2:39" ht="21.95" customHeight="1" x14ac:dyDescent="0.2">
      <c r="B445" s="1346"/>
      <c r="C445" s="116" t="s">
        <v>335</v>
      </c>
      <c r="D445" s="116" t="s">
        <v>323</v>
      </c>
      <c r="E445" s="116" t="s">
        <v>19</v>
      </c>
      <c r="F445" s="116" t="s">
        <v>41</v>
      </c>
      <c r="G445" s="970"/>
      <c r="H445" s="970"/>
      <c r="I445" s="777">
        <f>$G$21*$F$8*'Traffic Data'!AK40*annualizationFactor</f>
        <v>1.04244E-2</v>
      </c>
      <c r="J445" s="777">
        <f>$G$21*$F$8*'Traffic Data'!AL40*annualizationFactor</f>
        <v>1.1512359880000003E-2</v>
      </c>
      <c r="K445" s="777">
        <f>$G$21*$F$8*'Traffic Data'!AM40*annualizationFactor</f>
        <v>1.301425531E-2</v>
      </c>
      <c r="L445" s="777">
        <f>$G$21*$F$8*'Traffic Data'!AN40*annualizationFactor</f>
        <v>1.5772377810000002E-2</v>
      </c>
      <c r="M445" s="777">
        <f>$G$21*$F$8*'Traffic Data'!AO40*annualizationFactor</f>
        <v>1.8531282140000004E-2</v>
      </c>
      <c r="N445" s="777">
        <f>$G$21*$F$8*'Traffic Data'!AP40*annualizationFactor</f>
        <v>2.1290707690000004E-2</v>
      </c>
      <c r="O445" s="777">
        <f>$G$21*$F$8*'Traffic Data'!AQ40*annualizationFactor</f>
        <v>2.4048830190000002E-2</v>
      </c>
      <c r="P445" s="777">
        <f>$G$21*$F$8*'Traffic Data'!AR40*annualizationFactor</f>
        <v>2.6809471920000001E-2</v>
      </c>
      <c r="Q445" s="777">
        <f>$G$21*$F$8*'Traffic Data'!AS40*annualizationFactor</f>
        <v>3.0778909700000003E-2</v>
      </c>
      <c r="R445" s="777">
        <f>$G$21*$F$8*'Traffic Data'!AT40*annualizationFactor</f>
        <v>3.474921618E-2</v>
      </c>
      <c r="S445" s="777">
        <f>$G$21*$F$8*'Traffic Data'!AU40*annualizationFactor</f>
        <v>3.8717872129999997E-2</v>
      </c>
      <c r="T445" s="777">
        <f>$G$21*$F$8*'Traffic Data'!AV40*annualizationFactor</f>
        <v>4.2687309910000006E-2</v>
      </c>
      <c r="U445" s="777">
        <f>$G$21*$F$8*'Traffic Data'!AW40*annualizationFactor</f>
        <v>4.6659266920000012E-2</v>
      </c>
      <c r="V445" s="777">
        <f>$G$21*$F$8*'Traffic Data'!AX40*annualizationFactor</f>
        <v>4.9369958400000004E-2</v>
      </c>
      <c r="W445" s="777">
        <f>$G$21*$F$8*'Traffic Data'!AY40*annualizationFactor</f>
        <v>5.0457918280000007E-2</v>
      </c>
      <c r="X445" s="777">
        <f>$G$21*$F$8*'Traffic Data'!AZ40*annualizationFactor</f>
        <v>5.154587816000001E-2</v>
      </c>
      <c r="Y445" s="777">
        <f>$G$21*$F$8*'Traffic Data'!BA40*annualizationFactor</f>
        <v>5.2633838040000006E-2</v>
      </c>
      <c r="Z445" s="777">
        <f>$G$21*$F$8*'Traffic Data'!BB40*annualizationFactor</f>
        <v>5.3722579750000013E-2</v>
      </c>
      <c r="AA445" s="777">
        <f>$G$21*$F$8*'Traffic Data'!BC40*annualizationFactor</f>
        <v>5.4810539630000002E-2</v>
      </c>
      <c r="AB445" s="777">
        <f>$G$21*$F$8*'Traffic Data'!BD40*annualizationFactor</f>
        <v>5.5899281340000009E-2</v>
      </c>
      <c r="AC445" s="777">
        <f>$G$21*$F$8*'Traffic Data'!BE40*annualizationFactor</f>
        <v>5.6987241220000005E-2</v>
      </c>
      <c r="AD445" s="777">
        <f>$G$21*$F$8*'Traffic Data'!BF40*annualizationFactor</f>
        <v>5.8075201100000008E-2</v>
      </c>
      <c r="AE445" s="777">
        <f>$G$21*$F$8*'Traffic Data'!BG40*annualizationFactor</f>
        <v>5.9163942810000002E-2</v>
      </c>
      <c r="AF445" s="777">
        <f>$G$21*$F$8*'Traffic Data'!BH40*annualizationFactor</f>
        <v>6.0251902690000005E-2</v>
      </c>
      <c r="AG445" s="777">
        <f>$G$21*$F$8*'Traffic Data'!BI40*annualizationFactor</f>
        <v>6.1339862570000001E-2</v>
      </c>
      <c r="AH445" s="778">
        <f>$G$21*$F$8*'Traffic Data'!BJ40*annualizationFactor</f>
        <v>6.2428604279999994E-2</v>
      </c>
      <c r="AI445" s="40"/>
      <c r="AJ445" s="40"/>
      <c r="AK445" s="40"/>
      <c r="AL445" s="40"/>
      <c r="AM445" s="40"/>
    </row>
    <row r="446" spans="2:39" ht="21.95" customHeight="1" x14ac:dyDescent="0.2">
      <c r="B446" s="1346"/>
      <c r="C446" s="254" t="s">
        <v>323</v>
      </c>
      <c r="D446" s="254" t="s">
        <v>338</v>
      </c>
      <c r="E446" s="116" t="s">
        <v>19</v>
      </c>
      <c r="F446" s="116" t="s">
        <v>41</v>
      </c>
      <c r="G446" s="970"/>
      <c r="H446" s="970"/>
      <c r="I446" s="777">
        <f>$G$21*$F$8*'Traffic Data'!AK41*annualizationFactor</f>
        <v>0.13968696000000003</v>
      </c>
      <c r="J446" s="777">
        <f>$G$21*$F$8*'Traffic Data'!AL41*annualizationFactor</f>
        <v>0.1435986605032</v>
      </c>
      <c r="K446" s="777">
        <f>$G$21*$F$8*'Traffic Data'!AM41*annualizationFactor</f>
        <v>0.14917310145360002</v>
      </c>
      <c r="L446" s="777">
        <f>$G$21*$F$8*'Traffic Data'!AN41*annualizationFactor</f>
        <v>0.15699696808320002</v>
      </c>
      <c r="M446" s="777">
        <f>$G$21*$F$8*'Traffic Data'!AO41*annualizationFactor</f>
        <v>0.16482409407519999</v>
      </c>
      <c r="N446" s="777">
        <f>$G$21*$F$8*'Traffic Data'!AP41*annualizationFactor</f>
        <v>0.17265052163240008</v>
      </c>
      <c r="O446" s="777">
        <f>$G$21*$F$8*'Traffic Data'!AQ41*annualizationFactor</f>
        <v>0.18047438826200007</v>
      </c>
      <c r="P446" s="777">
        <f>$G$21*$F$8*'Traffic Data'!AR41*annualizationFactor</f>
        <v>0.18830454080480005</v>
      </c>
      <c r="Q446" s="777">
        <f>$G$21*$F$8*'Traffic Data'!AS41*annualizationFactor</f>
        <v>0.19620896024800002</v>
      </c>
      <c r="R446" s="777">
        <f>$G$21*$F$8*'Traffic Data'!AT41*annualizationFactor</f>
        <v>0.20411570780720004</v>
      </c>
      <c r="S446" s="777">
        <f>$G$21*$F$8*'Traffic Data'!AU41*annualizationFactor</f>
        <v>0.21201942881559999</v>
      </c>
      <c r="T446" s="777">
        <f>$G$21*$F$8*'Traffic Data'!AV41*annualizationFactor</f>
        <v>0.21992384825880004</v>
      </c>
      <c r="U446" s="777">
        <f>$G$21*$F$8*'Traffic Data'!AW41*annualizationFactor</f>
        <v>0.22783455361520005</v>
      </c>
      <c r="V446" s="777">
        <f>$G$21*$F$8*'Traffic Data'!AX41*annualizationFactor</f>
        <v>0.23348582239360005</v>
      </c>
      <c r="W446" s="777">
        <f>$G$21*$F$8*'Traffic Data'!AY41*annualizationFactor</f>
        <v>0.2373975228968</v>
      </c>
      <c r="X446" s="777">
        <f>$G$21*$F$8*'Traffic Data'!AZ41*annualizationFactor</f>
        <v>0.24130922340000002</v>
      </c>
      <c r="Y446" s="777">
        <f>$G$21*$F$8*'Traffic Data'!BA41*annualizationFactor</f>
        <v>0.24522092390319999</v>
      </c>
      <c r="Z446" s="777">
        <f>$G$21*$F$8*'Traffic Data'!BB41*annualizationFactor</f>
        <v>0.24913448689920004</v>
      </c>
      <c r="AA446" s="777">
        <f>$G$21*$F$8*'Traffic Data'!BC41*annualizationFactor</f>
        <v>0.25304618740240004</v>
      </c>
      <c r="AB446" s="777">
        <f>$G$21*$F$8*'Traffic Data'!BD41*annualizationFactor</f>
        <v>0.25695975039840008</v>
      </c>
      <c r="AC446" s="777">
        <f>$G$21*$F$8*'Traffic Data'!BE41*annualizationFactor</f>
        <v>0.26087145090160008</v>
      </c>
      <c r="AD446" s="777">
        <f>$G$21*$F$8*'Traffic Data'!BF41*annualizationFactor</f>
        <v>0.26478315140480002</v>
      </c>
      <c r="AE446" s="777">
        <f>$G$21*$F$8*'Traffic Data'!BG41*annualizationFactor</f>
        <v>0.26869671440080001</v>
      </c>
      <c r="AF446" s="777">
        <f>$G$21*$F$8*'Traffic Data'!BH41*annualizationFactor</f>
        <v>0.27260841490399995</v>
      </c>
      <c r="AG446" s="777">
        <f>$G$21*$F$8*'Traffic Data'!BI41*annualizationFactor</f>
        <v>0.27652011540720001</v>
      </c>
      <c r="AH446" s="778">
        <f>$G$21*$F$8*'Traffic Data'!BJ41*annualizationFactor</f>
        <v>0.28043367840319999</v>
      </c>
      <c r="AI446" s="40"/>
      <c r="AJ446" s="40"/>
      <c r="AK446" s="40"/>
      <c r="AL446" s="40"/>
      <c r="AM446" s="40"/>
    </row>
    <row r="447" spans="2:39" ht="21.95" customHeight="1" x14ac:dyDescent="0.2">
      <c r="B447" s="492" t="s">
        <v>339</v>
      </c>
      <c r="C447" s="116" t="s">
        <v>335</v>
      </c>
      <c r="D447" s="116" t="s">
        <v>323</v>
      </c>
      <c r="E447" s="277" t="s">
        <v>19</v>
      </c>
      <c r="F447" s="277" t="s">
        <v>41</v>
      </c>
      <c r="G447" s="780"/>
      <c r="H447" s="780"/>
      <c r="I447" s="775">
        <f>$G$21*$G$8*'Traffic Data'!AK42*annualizationFactor</f>
        <v>4.0828899999999999E-4</v>
      </c>
      <c r="J447" s="775">
        <f>$G$21*$G$8*'Traffic Data'!AL42*annualizationFactor</f>
        <v>3.0944223310000003E-3</v>
      </c>
      <c r="K447" s="775">
        <f>$G$21*$G$8*'Traffic Data'!AM42*annualizationFactor</f>
        <v>1.7927561700999999E-2</v>
      </c>
      <c r="L447" s="775">
        <f>$G$21*$G$8*'Traffic Data'!AN42*annualizationFactor</f>
        <v>4.1291491437000005E-2</v>
      </c>
      <c r="M447" s="775">
        <f>$G$21*$G$8*'Traffic Data'!AO42*annualizationFactor</f>
        <v>6.4670119577000001E-2</v>
      </c>
      <c r="N447" s="775">
        <f>$G$21*$G$8*'Traffic Data'!AP42*annualizationFactor</f>
        <v>8.8049972584000019E-2</v>
      </c>
      <c r="O447" s="775">
        <f>$G$21*$G$8*'Traffic Data'!AQ42*annualizationFactor</f>
        <v>0.11141390232000001</v>
      </c>
      <c r="P447" s="775">
        <f>$G$21*$G$8*'Traffic Data'!AR42*annualizationFactor</f>
        <v>0.13480886202000003</v>
      </c>
      <c r="Q447" s="775">
        <f>$G$21*$G$8*'Traffic Data'!AS42*annualizationFactor</f>
        <v>0.147945152306</v>
      </c>
      <c r="R447" s="775">
        <f>$G$21*$G$8*'Traffic Data'!AT42*annualizationFactor</f>
        <v>0.16108634206</v>
      </c>
      <c r="S447" s="775">
        <f>$G$21*$G$8*'Traffic Data'!AU42*annualizationFactor</f>
        <v>0.174226306947</v>
      </c>
      <c r="T447" s="775">
        <f>$G$21*$G$8*'Traffic Data'!AV42*annualizationFactor</f>
        <v>0.18736259723299997</v>
      </c>
      <c r="U447" s="775">
        <f>$G$21*$G$8*'Traffic Data'!AW42*annualizationFactor</f>
        <v>0.20052991748300009</v>
      </c>
      <c r="V447" s="775">
        <f>$G$21*$G$8*'Traffic Data'!AX42*annualizationFactor</f>
        <v>0.20512276044400007</v>
      </c>
      <c r="W447" s="775">
        <f>$G$21*$G$8*'Traffic Data'!AY42*annualizationFactor</f>
        <v>0.20780889377500003</v>
      </c>
      <c r="X447" s="775">
        <f>$G$21*$G$8*'Traffic Data'!AZ42*annualizationFactor</f>
        <v>0.21049502710600002</v>
      </c>
      <c r="Y447" s="775">
        <f>$G$21*$G$8*'Traffic Data'!BA42*annualizationFactor</f>
        <v>0.21318116043700003</v>
      </c>
      <c r="Z447" s="775">
        <f>$G$21*$G$8*'Traffic Data'!BB42*annualizationFactor</f>
        <v>0.21587790928200001</v>
      </c>
      <c r="AA447" s="775">
        <f>$G$21*$G$8*'Traffic Data'!BC42*annualizationFactor</f>
        <v>0.21856404261300005</v>
      </c>
      <c r="AB447" s="775">
        <f>$G$21*$G$8*'Traffic Data'!BD42*annualizationFactor</f>
        <v>0.22126079145800009</v>
      </c>
      <c r="AC447" s="775">
        <f>$G$21*$G$8*'Traffic Data'!BE42*annualizationFactor</f>
        <v>0.22394692478900002</v>
      </c>
      <c r="AD447" s="775">
        <f>$G$21*$G$8*'Traffic Data'!BF42*annualizationFactor</f>
        <v>0.22663305812000006</v>
      </c>
      <c r="AE447" s="775">
        <f>$G$21*$G$8*'Traffic Data'!BG42*annualizationFactor</f>
        <v>0.2293298069650001</v>
      </c>
      <c r="AF447" s="775">
        <f>$G$21*$G$8*'Traffic Data'!BH42*annualizationFactor</f>
        <v>0.23201594029600006</v>
      </c>
      <c r="AG447" s="775">
        <f>$G$21*$G$8*'Traffic Data'!BI42*annualizationFactor</f>
        <v>0.23470207362700005</v>
      </c>
      <c r="AH447" s="776">
        <f>$G$21*$G$8*'Traffic Data'!BJ42*annualizationFactor</f>
        <v>0.23739882247200009</v>
      </c>
      <c r="AI447" s="40"/>
      <c r="AJ447" s="40"/>
      <c r="AK447" s="40"/>
      <c r="AL447" s="40"/>
      <c r="AM447" s="40"/>
    </row>
    <row r="448" spans="2:39" ht="21.95" customHeight="1" x14ac:dyDescent="0.2">
      <c r="B448" s="1346" t="s">
        <v>323</v>
      </c>
      <c r="C448" s="220" t="s">
        <v>282</v>
      </c>
      <c r="D448" s="220" t="s">
        <v>339</v>
      </c>
      <c r="E448" s="116" t="s">
        <v>19</v>
      </c>
      <c r="F448" s="116" t="s">
        <v>41</v>
      </c>
      <c r="G448" s="970"/>
      <c r="H448" s="970"/>
      <c r="I448" s="775">
        <f>$G$21*$H$8*'Traffic Data'!AK43*annualizationFactor</f>
        <v>1.172745E-3</v>
      </c>
      <c r="J448" s="775">
        <f>$G$21*$H$8*'Traffic Data'!AL43*annualizationFactor</f>
        <v>2.6064257625000001E-3</v>
      </c>
      <c r="K448" s="775">
        <f>$G$21*$H$8*'Traffic Data'!AM43*annualizationFactor</f>
        <v>1.1016180157500001E-2</v>
      </c>
      <c r="L448" s="775">
        <f>$G$21*$H$8*'Traffic Data'!AN43*annualizationFactor</f>
        <v>2.4763683420000002E-2</v>
      </c>
      <c r="M448" s="775">
        <f>$G$21*$H$8*'Traffic Data'!AO43*annualizationFactor</f>
        <v>3.851880952500001E-2</v>
      </c>
      <c r="N448" s="775">
        <f>$G$21*$H$8*'Traffic Data'!AP43*annualizationFactor</f>
        <v>5.227452200249999E-2</v>
      </c>
      <c r="O448" s="775">
        <f>$G$21*$H$8*'Traffic Data'!AQ43*annualizationFactor</f>
        <v>6.6022025265000006E-2</v>
      </c>
      <c r="P448" s="775">
        <f>$G$21*$H$8*'Traffic Data'!AR43*annualizationFactor</f>
        <v>7.978536058500002E-2</v>
      </c>
      <c r="Q448" s="775">
        <f>$G$21*$H$8*'Traffic Data'!AS43*annualizationFactor</f>
        <v>9.0398702835000025E-2</v>
      </c>
      <c r="R448" s="775">
        <f>$G$21*$H$8*'Traffic Data'!AT43*annualizationFactor</f>
        <v>0.10101380420250002</v>
      </c>
      <c r="S448" s="775">
        <f>$G$21*$H$8*'Traffic Data'!AU43*annualizationFactor</f>
        <v>0.11162714645250001</v>
      </c>
      <c r="T448" s="775">
        <f>$G$21*$H$8*'Traffic Data'!AV43*annualizationFactor</f>
        <v>0.12224048870250001</v>
      </c>
      <c r="U448" s="775">
        <f>$G$21*$H$8*'Traffic Data'!AW43*annualizationFactor</f>
        <v>0.1328679038925</v>
      </c>
      <c r="V448" s="775">
        <f>$G$21*$H$8*'Traffic Data'!AX43*annualizationFactor</f>
        <v>0.13813528806</v>
      </c>
      <c r="W448" s="775">
        <f>$G$21*$H$8*'Traffic Data'!AY43*annualizationFactor</f>
        <v>0.13956896882250003</v>
      </c>
      <c r="X448" s="775">
        <f>$G$21*$H$8*'Traffic Data'!AZ43*annualizationFactor</f>
        <v>0.141002649585</v>
      </c>
      <c r="Y448" s="775">
        <f>$G$21*$H$8*'Traffic Data'!BA43*annualizationFactor</f>
        <v>0.14243633034750003</v>
      </c>
      <c r="Z448" s="775">
        <f>$G$21*$H$8*'Traffic Data'!BB43*annualizationFactor</f>
        <v>0.14387411571750003</v>
      </c>
      <c r="AA448" s="775">
        <f>$G$21*$H$8*'Traffic Data'!BC43*annualizationFactor</f>
        <v>0.14530779648</v>
      </c>
      <c r="AB448" s="775">
        <f>$G$21*$H$8*'Traffic Data'!BD43*annualizationFactor</f>
        <v>0.14674558184999997</v>
      </c>
      <c r="AC448" s="775">
        <f>$G$21*$H$8*'Traffic Data'!BE43*annualizationFactor</f>
        <v>0.1481792626125</v>
      </c>
      <c r="AD448" s="775">
        <f>$G$21*$H$8*'Traffic Data'!BF43*annualizationFactor</f>
        <v>0.149612943375</v>
      </c>
      <c r="AE448" s="775">
        <f>$G$21*$H$8*'Traffic Data'!BG43*annualizationFactor</f>
        <v>0.151050728745</v>
      </c>
      <c r="AF448" s="775">
        <f>$G$21*$H$8*'Traffic Data'!BH43*annualizationFactor</f>
        <v>0.15248440950750003</v>
      </c>
      <c r="AG448" s="775">
        <f>$G$21*$H$8*'Traffic Data'!BI43*annualizationFactor</f>
        <v>0.15391809027</v>
      </c>
      <c r="AH448" s="776">
        <f>$G$21*$H$8*'Traffic Data'!BJ43*annualizationFactor</f>
        <v>0.15535587564</v>
      </c>
      <c r="AI448" s="40"/>
      <c r="AJ448" s="40"/>
      <c r="AK448" s="40"/>
      <c r="AL448" s="40"/>
      <c r="AM448" s="40"/>
    </row>
    <row r="449" spans="2:39" ht="21.95" customHeight="1" x14ac:dyDescent="0.2">
      <c r="B449" s="1346"/>
      <c r="C449" s="116" t="s">
        <v>339</v>
      </c>
      <c r="D449" s="116" t="s">
        <v>288</v>
      </c>
      <c r="E449" s="116" t="s">
        <v>19</v>
      </c>
      <c r="F449" s="116" t="s">
        <v>41</v>
      </c>
      <c r="G449" s="970"/>
      <c r="H449" s="970"/>
      <c r="I449" s="777">
        <f>$G$21*$H$8*'Traffic Data'!AK44*annualizationFactor</f>
        <v>0</v>
      </c>
      <c r="J449" s="777">
        <f>$G$21*$H$8*'Traffic Data'!AL44*annualizationFactor</f>
        <v>7.9781407999999999E-4</v>
      </c>
      <c r="K449" s="777">
        <f>$G$21*$H$8*'Traffic Data'!AM44*annualizationFactor</f>
        <v>2.2848373660000003E-3</v>
      </c>
      <c r="L449" s="777">
        <f>$G$21*$H$8*'Traffic Data'!AN44*annualizationFactor</f>
        <v>5.1361713760000004E-3</v>
      </c>
      <c r="M449" s="777">
        <f>$G$21*$H$8*'Traffic Data'!AO44*annualizationFactor</f>
        <v>7.9890864200000029E-3</v>
      </c>
      <c r="N449" s="777">
        <f>$G$21*$H$8*'Traffic Data'!AP44*annualizationFactor</f>
        <v>1.0842123081999997E-2</v>
      </c>
      <c r="O449" s="777">
        <f>$G$21*$H$8*'Traffic Data'!AQ44*annualizationFactor</f>
        <v>1.3693457092000002E-2</v>
      </c>
      <c r="P449" s="777">
        <f>$G$21*$H$8*'Traffic Data'!AR44*annualizationFactor</f>
        <v>1.6548074788000005E-2</v>
      </c>
      <c r="Q449" s="777">
        <f>$G$21*$H$8*'Traffic Data'!AS44*annualizationFactor</f>
        <v>1.8749360588000006E-2</v>
      </c>
      <c r="R449" s="777">
        <f>$G$21*$H$8*'Traffic Data'!AT44*annualizationFactor</f>
        <v>2.0951011242000005E-2</v>
      </c>
      <c r="S449" s="777">
        <f>$G$21*$H$8*'Traffic Data'!AU44*annualizationFactor</f>
        <v>2.3152297042000003E-2</v>
      </c>
      <c r="T449" s="777">
        <f>$G$21*$H$8*'Traffic Data'!AV44*annualizationFactor</f>
        <v>2.5353582842E-2</v>
      </c>
      <c r="U449" s="777">
        <f>$G$21*$H$8*'Traffic Data'!AW44*annualizationFactor</f>
        <v>2.7557787474000003E-2</v>
      </c>
      <c r="V449" s="777">
        <f>$G$21*$H$8*'Traffic Data'!AX44*annualizationFactor</f>
        <v>2.8650281968000006E-2</v>
      </c>
      <c r="W449" s="777">
        <f>$G$21*$H$8*'Traffic Data'!AY44*annualizationFactor</f>
        <v>2.8947637978000006E-2</v>
      </c>
      <c r="X449" s="777">
        <f>$G$21*$H$8*'Traffic Data'!AZ44*annualizationFactor</f>
        <v>2.9244993988000005E-2</v>
      </c>
      <c r="Y449" s="777">
        <f>$G$21*$H$8*'Traffic Data'!BA44*annualizationFactor</f>
        <v>2.9542349998000011E-2</v>
      </c>
      <c r="Z449" s="777">
        <f>$G$21*$H$8*'Traffic Data'!BB44*annualizationFactor</f>
        <v>2.9840557334000012E-2</v>
      </c>
      <c r="AA449" s="777">
        <f>$G$21*$H$8*'Traffic Data'!BC44*annualizationFactor</f>
        <v>3.0137913344000004E-2</v>
      </c>
      <c r="AB449" s="777">
        <f>$G$21*$H$8*'Traffic Data'!BD44*annualizationFactor</f>
        <v>3.0436120679999994E-2</v>
      </c>
      <c r="AC449" s="777">
        <f>$G$21*$H$8*'Traffic Data'!BE44*annualizationFactor</f>
        <v>3.0733476690000001E-2</v>
      </c>
      <c r="AD449" s="777">
        <f>$G$21*$H$8*'Traffic Data'!BF44*annualizationFactor</f>
        <v>3.10308327E-2</v>
      </c>
      <c r="AE449" s="777">
        <f>$G$21*$H$8*'Traffic Data'!BG44*annualizationFactor</f>
        <v>3.1329040035999997E-2</v>
      </c>
      <c r="AF449" s="777">
        <f>$G$21*$H$8*'Traffic Data'!BH44*annualizationFactor</f>
        <v>3.1626396045999997E-2</v>
      </c>
      <c r="AG449" s="777">
        <f>$G$21*$H$8*'Traffic Data'!BI44*annualizationFactor</f>
        <v>3.1923752055999996E-2</v>
      </c>
      <c r="AH449" s="778">
        <f>$G$21*$H$8*'Traffic Data'!BJ44*annualizationFactor</f>
        <v>3.2221959391999996E-2</v>
      </c>
      <c r="AI449" s="40"/>
      <c r="AJ449" s="40"/>
      <c r="AK449" s="40"/>
      <c r="AL449" s="40"/>
      <c r="AM449" s="40"/>
    </row>
    <row r="450" spans="2:39" ht="21.95" customHeight="1" x14ac:dyDescent="0.2">
      <c r="B450" s="1346"/>
      <c r="C450" s="116" t="s">
        <v>288</v>
      </c>
      <c r="D450" s="116" t="s">
        <v>340</v>
      </c>
      <c r="E450" s="116" t="s">
        <v>19</v>
      </c>
      <c r="F450" s="116" t="s">
        <v>41</v>
      </c>
      <c r="G450" s="970"/>
      <c r="H450" s="970"/>
      <c r="I450" s="777">
        <f>$G$21*$H$8*'Traffic Data'!AK45*annualizationFactor</f>
        <v>0</v>
      </c>
      <c r="J450" s="777">
        <f>$G$21*$H$8*'Traffic Data'!AL45*annualizationFactor</f>
        <v>2.0800152799999999E-3</v>
      </c>
      <c r="K450" s="777">
        <f>$G$21*$H$8*'Traffic Data'!AM45*annualizationFactor</f>
        <v>5.9568974185000003E-3</v>
      </c>
      <c r="L450" s="777">
        <f>$G$21*$H$8*'Traffic Data'!AN45*annualizationFactor</f>
        <v>1.3390732516E-2</v>
      </c>
      <c r="M450" s="777">
        <f>$G$21*$H$8*'Traffic Data'!AO45*annualizationFactor</f>
        <v>2.0828689595000005E-2</v>
      </c>
      <c r="N450" s="777">
        <f>$G$21*$H$8*'Traffic Data'!AP45*annualizationFactor</f>
        <v>2.8266963749499996E-2</v>
      </c>
      <c r="O450" s="777">
        <f>$G$21*$H$8*'Traffic Data'!AQ45*annualizationFactor</f>
        <v>3.5700798846999997E-2</v>
      </c>
      <c r="P450" s="777">
        <f>$G$21*$H$8*'Traffic Data'!AR45*annualizationFactor</f>
        <v>4.3143194983000004E-2</v>
      </c>
      <c r="Q450" s="777">
        <f>$G$21*$H$8*'Traffic Data'!AS45*annualizationFactor</f>
        <v>4.8882261533000008E-2</v>
      </c>
      <c r="R450" s="777">
        <f>$G$21*$H$8*'Traffic Data'!AT45*annualizationFactor</f>
        <v>5.4622279309500012E-2</v>
      </c>
      <c r="S450" s="777">
        <f>$G$21*$H$8*'Traffic Data'!AU45*annualizationFactor</f>
        <v>6.0361345859499989E-2</v>
      </c>
      <c r="T450" s="777">
        <f>$G$21*$H$8*'Traffic Data'!AV45*annualizationFactor</f>
        <v>6.6100412409499987E-2</v>
      </c>
      <c r="U450" s="777">
        <f>$G$21*$H$8*'Traffic Data'!AW45*annualizationFactor</f>
        <v>7.1847088771500006E-2</v>
      </c>
      <c r="V450" s="777">
        <f>$G$21*$H$8*'Traffic Data'!AX45*annualizationFactor</f>
        <v>7.4695377987999995E-2</v>
      </c>
      <c r="W450" s="777">
        <f>$G$21*$H$8*'Traffic Data'!AY45*annualizationFactor</f>
        <v>7.5470627585499994E-2</v>
      </c>
      <c r="X450" s="777">
        <f>$G$21*$H$8*'Traffic Data'!AZ45*annualizationFactor</f>
        <v>7.6245877182999994E-2</v>
      </c>
      <c r="Y450" s="777">
        <f>$G$21*$H$8*'Traffic Data'!BA45*annualizationFactor</f>
        <v>7.7021126780500007E-2</v>
      </c>
      <c r="Z450" s="777">
        <f>$G$21*$H$8*'Traffic Data'!BB45*annualizationFactor</f>
        <v>7.7798595906500012E-2</v>
      </c>
      <c r="AA450" s="777">
        <f>$G$21*$H$8*'Traffic Data'!BC45*annualizationFactor</f>
        <v>7.8573845504000012E-2</v>
      </c>
      <c r="AB450" s="777">
        <f>$G$21*$H$8*'Traffic Data'!BD45*annualizationFactor</f>
        <v>7.9351314629999989E-2</v>
      </c>
      <c r="AC450" s="777">
        <f>$G$21*$H$8*'Traffic Data'!BE45*annualizationFactor</f>
        <v>8.0126564227499988E-2</v>
      </c>
      <c r="AD450" s="777">
        <f>$G$21*$H$8*'Traffic Data'!BF45*annualizationFactor</f>
        <v>8.0901813824999988E-2</v>
      </c>
      <c r="AE450" s="777">
        <f>$G$21*$H$8*'Traffic Data'!BG45*annualizationFactor</f>
        <v>8.1679282950999993E-2</v>
      </c>
      <c r="AF450" s="777">
        <f>$G$21*$H$8*'Traffic Data'!BH45*annualizationFactor</f>
        <v>8.2454532548499992E-2</v>
      </c>
      <c r="AG450" s="777">
        <f>$G$21*$H$8*'Traffic Data'!BI45*annualizationFactor</f>
        <v>8.3229782145999992E-2</v>
      </c>
      <c r="AH450" s="778">
        <f>$G$21*$H$8*'Traffic Data'!BJ45*annualizationFactor</f>
        <v>8.4007251271999983E-2</v>
      </c>
      <c r="AI450" s="40"/>
      <c r="AJ450" s="40"/>
      <c r="AK450" s="40"/>
      <c r="AL450" s="40"/>
      <c r="AM450" s="40"/>
    </row>
    <row r="451" spans="2:39" ht="21.95" customHeight="1" x14ac:dyDescent="0.2">
      <c r="B451" s="1346"/>
      <c r="C451" s="254" t="s">
        <v>340</v>
      </c>
      <c r="D451" s="254" t="s">
        <v>280</v>
      </c>
      <c r="E451" s="116" t="s">
        <v>19</v>
      </c>
      <c r="F451" s="116" t="s">
        <v>41</v>
      </c>
      <c r="G451" s="970"/>
      <c r="H451" s="970"/>
      <c r="I451" s="777">
        <f>$G$21*$H$8*'Traffic Data'!AK46*annualizationFactor</f>
        <v>2.7364050000000003E-3</v>
      </c>
      <c r="J451" s="777">
        <f>$G$21*$H$8*'Traffic Data'!AL46*annualizationFactor</f>
        <v>4.0791589334999998E-3</v>
      </c>
      <c r="K451" s="777">
        <f>$G$21*$H$8*'Traffic Data'!AM46*annualizationFactor</f>
        <v>5.7431668140000003E-3</v>
      </c>
      <c r="L451" s="777">
        <f>$G$21*$H$8*'Traffic Data'!AN46*annualizationFactor</f>
        <v>9.9497510069999993E-3</v>
      </c>
      <c r="M451" s="777">
        <f>$G$21*$H$8*'Traffic Data'!AO46*annualizationFactor</f>
        <v>1.41567912675E-2</v>
      </c>
      <c r="N451" s="777">
        <f>$G$21*$H$8*'Traffic Data'!AP46*annualizationFactor</f>
        <v>1.8365929438500007E-2</v>
      </c>
      <c r="O451" s="777">
        <f>$G$21*$H$8*'Traffic Data'!AQ46*annualizationFactor</f>
        <v>2.2572513631500004E-2</v>
      </c>
      <c r="P451" s="777">
        <f>$G$21*$H$8*'Traffic Data'!AR46*annualizationFactor</f>
        <v>2.6777729622E-2</v>
      </c>
      <c r="Q451" s="777">
        <f>$G$21*$H$8*'Traffic Data'!AS46*annualizationFactor</f>
        <v>3.7481725060500001E-2</v>
      </c>
      <c r="R451" s="777">
        <f>$G$21*$H$8*'Traffic Data'!AT46*annualizationFactor</f>
        <v>4.8181524678000007E-2</v>
      </c>
      <c r="S451" s="777">
        <f>$G$21*$H$8*'Traffic Data'!AU46*annualizationFactor</f>
        <v>5.8880503374000012E-2</v>
      </c>
      <c r="T451" s="777">
        <f>$G$21*$H$8*'Traffic Data'!AV46*annualizationFactor</f>
        <v>6.9584498812500006E-2</v>
      </c>
      <c r="U451" s="777">
        <f>$G$21*$H$8*'Traffic Data'!AW46*annualizationFactor</f>
        <v>8.028712604850001E-2</v>
      </c>
      <c r="V451" s="777">
        <f>$G$21*$H$8*'Traffic Data'!AX46*annualizationFactor</f>
        <v>8.8445352702000019E-2</v>
      </c>
      <c r="W451" s="777">
        <f>$G$21*$H$8*'Traffic Data'!AY46*annualizationFactor</f>
        <v>8.9788106635499992E-2</v>
      </c>
      <c r="X451" s="777">
        <f>$G$21*$H$8*'Traffic Data'!AZ46*annualizationFactor</f>
        <v>9.1130860569000022E-2</v>
      </c>
      <c r="Y451" s="777">
        <f>$G$21*$H$8*'Traffic Data'!BA46*annualizationFactor</f>
        <v>9.2473614502500009E-2</v>
      </c>
      <c r="Z451" s="777">
        <f>$G$21*$H$8*'Traffic Data'!BB46*annualizationFactor</f>
        <v>9.3812263828500012E-2</v>
      </c>
      <c r="AA451" s="777">
        <f>$G$21*$H$8*'Traffic Data'!BC46*annualizationFactor</f>
        <v>9.5155017761999999E-2</v>
      </c>
      <c r="AB451" s="777">
        <f>$G$21*$H$8*'Traffic Data'!BD46*annualizationFactor</f>
        <v>9.6493667088000029E-2</v>
      </c>
      <c r="AC451" s="777">
        <f>$G$21*$H$8*'Traffic Data'!BE46*annualizationFactor</f>
        <v>9.7836421021500017E-2</v>
      </c>
      <c r="AD451" s="777">
        <f>$G$21*$H$8*'Traffic Data'!BF46*annualizationFactor</f>
        <v>9.9179174955000018E-2</v>
      </c>
      <c r="AE451" s="777">
        <f>$G$21*$H$8*'Traffic Data'!BG46*annualizationFactor</f>
        <v>0.10051782428100001</v>
      </c>
      <c r="AF451" s="777">
        <f>$G$21*$H$8*'Traffic Data'!BH46*annualizationFactor</f>
        <v>0.10186057821450004</v>
      </c>
      <c r="AG451" s="777">
        <f>$G$21*$H$8*'Traffic Data'!BI46*annualizationFactor</f>
        <v>0.103203332148</v>
      </c>
      <c r="AH451" s="778">
        <f>$G$21*$H$8*'Traffic Data'!BJ46*annualizationFactor</f>
        <v>0.104541981474</v>
      </c>
      <c r="AI451" s="40"/>
      <c r="AJ451" s="40"/>
      <c r="AK451" s="40"/>
      <c r="AL451" s="40"/>
      <c r="AM451" s="40"/>
    </row>
    <row r="452" spans="2:39" ht="21.95" customHeight="1" x14ac:dyDescent="0.2">
      <c r="B452" s="1346" t="s">
        <v>334</v>
      </c>
      <c r="C452" s="116" t="s">
        <v>336</v>
      </c>
      <c r="D452" s="116" t="s">
        <v>337</v>
      </c>
      <c r="E452" s="220" t="s">
        <v>19</v>
      </c>
      <c r="F452" s="220" t="s">
        <v>41</v>
      </c>
      <c r="G452" s="775"/>
      <c r="H452" s="775"/>
      <c r="I452" s="775">
        <f>$G$21*$I$8*'Traffic Data'!AK47*annualizationFactor</f>
        <v>8.5132600000000003E-2</v>
      </c>
      <c r="J452" s="775">
        <f>$G$21*$I$8*'Traffic Data'!AL47*annualizationFactor</f>
        <v>8.7490773020000009E-2</v>
      </c>
      <c r="K452" s="775">
        <f>$G$21*$I$8*'Traffic Data'!AM47*annualizationFactor</f>
        <v>9.1296504284999996E-2</v>
      </c>
      <c r="L452" s="775">
        <f>$G$21*$I$8*'Traffic Data'!AN47*annualizationFactor</f>
        <v>9.6733436975000003E-2</v>
      </c>
      <c r="M452" s="775">
        <f>$G$21*$I$8*'Traffic Data'!AO47*annualizationFactor</f>
        <v>0.10217280202500004</v>
      </c>
      <c r="N452" s="775">
        <f>$G$21*$I$8*'Traffic Data'!AP47*annualizationFactor</f>
        <v>0.10761186303000003</v>
      </c>
      <c r="O452" s="775">
        <f>$G$21*$I$8*'Traffic Data'!AQ47*annualizationFactor</f>
        <v>0.11304879572000005</v>
      </c>
      <c r="P452" s="775">
        <f>$G$21*$I$8*'Traffic Data'!AR47*annualizationFactor</f>
        <v>0.11849059313</v>
      </c>
      <c r="Q452" s="775">
        <f>$G$21*$I$8*'Traffic Data'!AS47*annualizationFactor</f>
        <v>0.12333433402499998</v>
      </c>
      <c r="R452" s="775">
        <f>$G$21*$I$8*'Traffic Data'!AT47*annualizationFactor</f>
        <v>0.12817959514500002</v>
      </c>
      <c r="S452" s="775">
        <f>$G$21*$I$8*'Traffic Data'!AU47*annualizationFactor</f>
        <v>0.13302333604000002</v>
      </c>
      <c r="T452" s="775">
        <f>$G$21*$I$8*'Traffic Data'!AV47*annualizationFactor</f>
        <v>0.137867076935</v>
      </c>
      <c r="U452" s="775">
        <f>$G$21*$I$8*'Traffic Data'!AW47*annualizationFactor</f>
        <v>0.14271568255</v>
      </c>
      <c r="V452" s="775">
        <f>$G$21*$I$8*'Traffic Data'!AX47*annualizationFactor</f>
        <v>0.14592578966000003</v>
      </c>
      <c r="W452" s="775">
        <f>$G$21*$I$8*'Traffic Data'!AY47*annualizationFactor</f>
        <v>0.14828396268000002</v>
      </c>
      <c r="X452" s="775">
        <f>$G$21*$I$8*'Traffic Data'!AZ47*annualizationFactor</f>
        <v>0.15064213570000001</v>
      </c>
      <c r="Y452" s="775">
        <f>$G$21*$I$8*'Traffic Data'!BA47*annualizationFactor</f>
        <v>0.15300030872000001</v>
      </c>
      <c r="Z452" s="775">
        <f>$G$21*$I$8*'Traffic Data'!BB47*annualizationFactor</f>
        <v>0.15536000196499999</v>
      </c>
      <c r="AA452" s="775">
        <f>$G$21*$I$8*'Traffic Data'!BC47*annualizationFactor</f>
        <v>0.15771817498500004</v>
      </c>
      <c r="AB452" s="775">
        <f>$G$21*$I$8*'Traffic Data'!BD47*annualizationFactor</f>
        <v>0.16007786823</v>
      </c>
      <c r="AC452" s="775">
        <f>$G$21*$I$8*'Traffic Data'!BE47*annualizationFactor</f>
        <v>0.16243604125</v>
      </c>
      <c r="AD452" s="775">
        <f>$G$21*$I$8*'Traffic Data'!BF47*annualizationFactor</f>
        <v>0.16479421427000002</v>
      </c>
      <c r="AE452" s="775">
        <f>$G$21*$I$8*'Traffic Data'!BG47*annualizationFactor</f>
        <v>0.16715390751500001</v>
      </c>
      <c r="AF452" s="775">
        <f>$G$21*$I$8*'Traffic Data'!BH47*annualizationFactor</f>
        <v>0.169512080535</v>
      </c>
      <c r="AG452" s="775">
        <f>$G$21*$I$8*'Traffic Data'!BI47*annualizationFactor</f>
        <v>0.17187025355499999</v>
      </c>
      <c r="AH452" s="776">
        <f>$G$21*$I$8*'Traffic Data'!BJ47*annualizationFactor</f>
        <v>0.17422994679999998</v>
      </c>
      <c r="AI452" s="40"/>
      <c r="AJ452" s="40"/>
      <c r="AK452" s="40"/>
      <c r="AL452" s="40"/>
      <c r="AM452" s="40"/>
    </row>
    <row r="453" spans="2:39" ht="21.95" customHeight="1" x14ac:dyDescent="0.2">
      <c r="B453" s="1346"/>
      <c r="C453" s="116" t="s">
        <v>337</v>
      </c>
      <c r="D453" s="116" t="s">
        <v>386</v>
      </c>
      <c r="E453" s="116" t="s">
        <v>19</v>
      </c>
      <c r="F453" s="116" t="s">
        <v>41</v>
      </c>
      <c r="G453" s="970"/>
      <c r="H453" s="970"/>
      <c r="I453" s="777">
        <f>$G$21*$I$8*'Traffic Data'!AK48*annualizationFactor</f>
        <v>0.13377980000000003</v>
      </c>
      <c r="J453" s="777">
        <f>$G$21*$I$8*'Traffic Data'!AL48*annualizationFactor</f>
        <v>0.13404735960000003</v>
      </c>
      <c r="K453" s="777">
        <f>$G$21*$I$8*'Traffic Data'!AM48*annualizationFactor</f>
        <v>0.13431491920000002</v>
      </c>
      <c r="L453" s="777">
        <f>$G$21*$I$8*'Traffic Data'!AN48*annualizationFactor</f>
        <v>0.13458247880000002</v>
      </c>
      <c r="M453" s="777">
        <f>$G$21*$I$8*'Traffic Data'!AO48*annualizationFactor</f>
        <v>0.13485003840000001</v>
      </c>
      <c r="N453" s="777">
        <f>$G$21*$I$8*'Traffic Data'!AP48*annualizationFactor</f>
        <v>0.13511759800000001</v>
      </c>
      <c r="O453" s="777">
        <f>$G$21*$I$8*'Traffic Data'!AQ48*annualizationFactor</f>
        <v>0.13538515760000003</v>
      </c>
      <c r="P453" s="777">
        <f>$G$21*$I$8*'Traffic Data'!AR48*annualizationFactor</f>
        <v>0.13565271720000002</v>
      </c>
      <c r="Q453" s="777">
        <f>$G$21*$I$8*'Traffic Data'!AS48*annualizationFactor</f>
        <v>0.13592027680000002</v>
      </c>
      <c r="R453" s="777">
        <f>$G$21*$I$8*'Traffic Data'!AT48*annualizationFactor</f>
        <v>0.13592027680000002</v>
      </c>
      <c r="S453" s="777">
        <f>$G$21*$I$8*'Traffic Data'!AU48*annualizationFactor</f>
        <v>0.13913032310100001</v>
      </c>
      <c r="T453" s="777">
        <f>$G$21*$I$8*'Traffic Data'!AV48*annualizationFactor</f>
        <v>0.142671231171</v>
      </c>
      <c r="U453" s="777">
        <f>$G$21*$I$8*'Traffic Data'!AW48*annualizationFactor</f>
        <v>0.14621432836499998</v>
      </c>
      <c r="V453" s="777">
        <f>$G$21*$I$8*'Traffic Data'!AX48*annualizationFactor</f>
        <v>0.14907058790400002</v>
      </c>
      <c r="W453" s="777">
        <f>$G$21*$I$8*'Traffic Data'!AY48*annualizationFactor</f>
        <v>0.15141568698899999</v>
      </c>
      <c r="X453" s="777">
        <f>$G$21*$I$8*'Traffic Data'!AZ48*annualizationFactor</f>
        <v>0.15376078607399998</v>
      </c>
      <c r="Y453" s="777">
        <f>$G$21*$I$8*'Traffic Data'!BA48*annualizationFactor</f>
        <v>0.15610588515899998</v>
      </c>
      <c r="Z453" s="777">
        <f>$G$21*$I$8*'Traffic Data'!BB48*annualizationFactor</f>
        <v>0.15845153152499999</v>
      </c>
      <c r="AA453" s="777">
        <f>$G$21*$I$8*'Traffic Data'!BC48*annualizationFactor</f>
        <v>0.16079663060999999</v>
      </c>
      <c r="AB453" s="777">
        <f>$G$21*$I$8*'Traffic Data'!BD48*annualizationFactor</f>
        <v>0.16314227697599998</v>
      </c>
      <c r="AC453" s="777">
        <f>$G$21*$I$8*'Traffic Data'!BE48*annualizationFactor</f>
        <v>0.165487376061</v>
      </c>
      <c r="AD453" s="777">
        <f>$G$21*$I$8*'Traffic Data'!BF48*annualizationFactor</f>
        <v>0.16783247514599997</v>
      </c>
      <c r="AE453" s="777">
        <f>$G$21*$I$8*'Traffic Data'!BG48*annualizationFactor</f>
        <v>0.17017812151200001</v>
      </c>
      <c r="AF453" s="777">
        <f>$G$21*$I$8*'Traffic Data'!BH48*annualizationFactor</f>
        <v>0.17252322059699998</v>
      </c>
      <c r="AG453" s="777">
        <f>$G$21*$I$8*'Traffic Data'!BI48*annualizationFactor</f>
        <v>0.17486831968200001</v>
      </c>
      <c r="AH453" s="778">
        <f>$G$21*$I$8*'Traffic Data'!BJ48*annualizationFactor</f>
        <v>0.17721396604799999</v>
      </c>
      <c r="AI453" s="40"/>
      <c r="AJ453" s="40"/>
      <c r="AK453" s="40"/>
      <c r="AL453" s="40"/>
      <c r="AM453" s="40"/>
    </row>
    <row r="454" spans="2:39" ht="21.95" customHeight="1" x14ac:dyDescent="0.2">
      <c r="B454" s="1346"/>
      <c r="C454" s="116" t="s">
        <v>342</v>
      </c>
      <c r="D454" s="116" t="s">
        <v>341</v>
      </c>
      <c r="E454" s="116" t="s">
        <v>19</v>
      </c>
      <c r="F454" s="116" t="s">
        <v>41</v>
      </c>
      <c r="G454" s="970"/>
      <c r="H454" s="970"/>
      <c r="I454" s="777">
        <f>$G$21*$I$8*'Traffic Data'!AK49*annualizationFactor</f>
        <v>0.17391374000000001</v>
      </c>
      <c r="J454" s="777">
        <f>$G$21*$I$8*'Traffic Data'!AL49*annualizationFactor</f>
        <v>0.17426156748000002</v>
      </c>
      <c r="K454" s="777">
        <f>$G$21*$I$8*'Traffic Data'!AM49*annualizationFactor</f>
        <v>0.17460939496000003</v>
      </c>
      <c r="L454" s="777">
        <f>$G$21*$I$8*'Traffic Data'!AN49*annualizationFactor</f>
        <v>0.17495722244000003</v>
      </c>
      <c r="M454" s="777">
        <f>$G$21*$I$8*'Traffic Data'!AO49*annualizationFactor</f>
        <v>0.17530504992000001</v>
      </c>
      <c r="N454" s="777">
        <f>$G$21*$I$8*'Traffic Data'!AP49*annualizationFactor</f>
        <v>0.17565287740000002</v>
      </c>
      <c r="O454" s="777">
        <f>$G$21*$I$8*'Traffic Data'!AQ49*annualizationFactor</f>
        <v>0.17600070488000003</v>
      </c>
      <c r="P454" s="777">
        <f>$G$21*$I$8*'Traffic Data'!AR49*annualizationFactor</f>
        <v>0.17634853236000003</v>
      </c>
      <c r="Q454" s="777">
        <f>$G$21*$I$8*'Traffic Data'!AS49*annualizationFactor</f>
        <v>0.17669635984000004</v>
      </c>
      <c r="R454" s="777">
        <f>$G$21*$I$8*'Traffic Data'!AT49*annualizationFactor</f>
        <v>0.17669635984000004</v>
      </c>
      <c r="S454" s="777">
        <f>$G$21*$I$8*'Traffic Data'!AU49*annualizationFactor</f>
        <v>0.18086942003130002</v>
      </c>
      <c r="T454" s="777">
        <f>$G$21*$I$8*'Traffic Data'!AV49*annualizationFactor</f>
        <v>0.18547260052229997</v>
      </c>
      <c r="U454" s="777">
        <f>$G$21*$I$8*'Traffic Data'!AW49*annualizationFactor</f>
        <v>0.19007862687449997</v>
      </c>
      <c r="V454" s="777">
        <f>$G$21*$I$8*'Traffic Data'!AX49*annualizationFactor</f>
        <v>0.19379176427519998</v>
      </c>
      <c r="W454" s="777">
        <f>$G$21*$I$8*'Traffic Data'!AY49*annualizationFactor</f>
        <v>0.19684039308569998</v>
      </c>
      <c r="X454" s="777">
        <f>$G$21*$I$8*'Traffic Data'!AZ49*annualizationFactor</f>
        <v>0.19988902189619998</v>
      </c>
      <c r="Y454" s="777">
        <f>$G$21*$I$8*'Traffic Data'!BA49*annualizationFactor</f>
        <v>0.2029376507067</v>
      </c>
      <c r="Z454" s="777">
        <f>$G$21*$I$8*'Traffic Data'!BB49*annualizationFactor</f>
        <v>0.20598699098250001</v>
      </c>
      <c r="AA454" s="777">
        <f>$G$21*$I$8*'Traffic Data'!BC49*annualizationFactor</f>
        <v>0.209035619793</v>
      </c>
      <c r="AB454" s="777">
        <f>$G$21*$I$8*'Traffic Data'!BD49*annualizationFactor</f>
        <v>0.21208496006880001</v>
      </c>
      <c r="AC454" s="777">
        <f>$G$21*$I$8*'Traffic Data'!BE49*annualizationFactor</f>
        <v>0.21513358887929998</v>
      </c>
      <c r="AD454" s="777">
        <f>$G$21*$I$8*'Traffic Data'!BF49*annualizationFactor</f>
        <v>0.21818221768979998</v>
      </c>
      <c r="AE454" s="777">
        <f>$G$21*$I$8*'Traffic Data'!BG49*annualizationFactor</f>
        <v>0.22123155796560001</v>
      </c>
      <c r="AF454" s="777">
        <f>$G$21*$I$8*'Traffic Data'!BH49*annualizationFactor</f>
        <v>0.22428018677609998</v>
      </c>
      <c r="AG454" s="777">
        <f>$G$21*$I$8*'Traffic Data'!BI49*annualizationFactor</f>
        <v>0.22732881558660001</v>
      </c>
      <c r="AH454" s="778">
        <f>$G$21*$I$8*'Traffic Data'!BJ49*annualizationFactor</f>
        <v>0.23037815586240004</v>
      </c>
      <c r="AI454" s="40"/>
      <c r="AJ454" s="40"/>
      <c r="AK454" s="40"/>
      <c r="AL454" s="40"/>
      <c r="AM454" s="40"/>
    </row>
    <row r="455" spans="2:39" ht="21.95" customHeight="1" x14ac:dyDescent="0.2">
      <c r="B455" s="1346"/>
      <c r="C455" s="116" t="s">
        <v>341</v>
      </c>
      <c r="D455" s="116" t="s">
        <v>344</v>
      </c>
      <c r="E455" s="116" t="s">
        <v>19</v>
      </c>
      <c r="F455" s="116" t="s">
        <v>41</v>
      </c>
      <c r="G455" s="970"/>
      <c r="H455" s="970"/>
      <c r="I455" s="777">
        <f>$G$21*$I$8*'Traffic Data'!AK50*annualizationFactor</f>
        <v>0.19288614800000001</v>
      </c>
      <c r="J455" s="777">
        <f>$G$21*$I$8*'Traffic Data'!AL50*annualizationFactor</f>
        <v>0.19327192029600002</v>
      </c>
      <c r="K455" s="777">
        <f>$G$21*$I$8*'Traffic Data'!AM50*annualizationFactor</f>
        <v>0.19365769259200005</v>
      </c>
      <c r="L455" s="777">
        <f>$G$21*$I$8*'Traffic Data'!AN50*annualizationFactor</f>
        <v>0.19404346488800001</v>
      </c>
      <c r="M455" s="777">
        <f>$G$21*$I$8*'Traffic Data'!AO50*annualizationFactor</f>
        <v>0.19442923718400001</v>
      </c>
      <c r="N455" s="777">
        <f>$G$21*$I$8*'Traffic Data'!AP50*annualizationFactor</f>
        <v>0.19481500948</v>
      </c>
      <c r="O455" s="777">
        <f>$G$21*$I$8*'Traffic Data'!AQ50*annualizationFactor</f>
        <v>0.195200781776</v>
      </c>
      <c r="P455" s="777">
        <f>$G$21*$I$8*'Traffic Data'!AR50*annualizationFactor</f>
        <v>0.19558655407200001</v>
      </c>
      <c r="Q455" s="777">
        <f>$G$21*$I$8*'Traffic Data'!AS50*annualizationFactor</f>
        <v>0.19597232636799999</v>
      </c>
      <c r="R455" s="777">
        <f>$G$21*$I$8*'Traffic Data'!AT50*annualizationFactor</f>
        <v>0.19597232636799999</v>
      </c>
      <c r="S455" s="777">
        <f>$G$21*$I$8*'Traffic Data'!AU50*annualizationFactor</f>
        <v>0.19689723325253519</v>
      </c>
      <c r="T455" s="777">
        <f>$G$21*$I$8*'Traffic Data'!AV50*annualizationFactor</f>
        <v>0.20016773733291293</v>
      </c>
      <c r="U455" s="777">
        <f>$G$21*$I$8*'Traffic Data'!AW50*annualizationFactor</f>
        <v>0.20335488789004197</v>
      </c>
      <c r="V455" s="777">
        <f>$G$21*$I$8*'Traffic Data'!AX50*annualizationFactor</f>
        <v>0.20550871248445438</v>
      </c>
      <c r="W455" s="777">
        <f>$G$21*$I$8*'Traffic Data'!AY50*annualizationFactor</f>
        <v>0.20689439470176962</v>
      </c>
      <c r="X455" s="777">
        <f>$G$21*$I$8*'Traffic Data'!AZ50*annualizationFactor</f>
        <v>0.21009873809151361</v>
      </c>
      <c r="Y455" s="777">
        <f>$G$21*$I$8*'Traffic Data'!BA50*annualizationFactor</f>
        <v>0.21330308148125759</v>
      </c>
      <c r="Z455" s="777">
        <f>$G$21*$I$8*'Traffic Data'!BB50*annualizationFactor</f>
        <v>0.21650817267576003</v>
      </c>
      <c r="AA455" s="777">
        <f>$G$21*$I$8*'Traffic Data'!BC50*annualizationFactor</f>
        <v>0.21971251606550399</v>
      </c>
      <c r="AB455" s="777">
        <f>$G$21*$I$8*'Traffic Data'!BD50*annualizationFactor</f>
        <v>0.22291760726000642</v>
      </c>
      <c r="AC455" s="777">
        <f>$G$21*$I$8*'Traffic Data'!BE50*annualizationFactor</f>
        <v>0.22612195064975038</v>
      </c>
      <c r="AD455" s="777">
        <f>$G$21*$I$8*'Traffic Data'!BF50*annualizationFactor</f>
        <v>0.22932629403949439</v>
      </c>
      <c r="AE455" s="777">
        <f>$G$21*$I$8*'Traffic Data'!BG50*annualizationFactor</f>
        <v>0.2325313852339968</v>
      </c>
      <c r="AF455" s="777">
        <f>$G$21*$I$8*'Traffic Data'!BH50*annualizationFactor</f>
        <v>0.23573572862374076</v>
      </c>
      <c r="AG455" s="777">
        <f>$G$21*$I$8*'Traffic Data'!BI50*annualizationFactor</f>
        <v>0.23894007201348483</v>
      </c>
      <c r="AH455" s="778">
        <f>$G$21*$I$8*'Traffic Data'!BJ50*annualizationFactor</f>
        <v>0.24214516320798718</v>
      </c>
      <c r="AI455" s="40"/>
      <c r="AJ455" s="40"/>
      <c r="AK455" s="40"/>
      <c r="AL455" s="40"/>
      <c r="AM455" s="40"/>
    </row>
    <row r="456" spans="2:39" ht="21.95" customHeight="1" x14ac:dyDescent="0.2">
      <c r="B456" s="1346"/>
      <c r="C456" s="116" t="s">
        <v>344</v>
      </c>
      <c r="D456" s="116" t="s">
        <v>345</v>
      </c>
      <c r="E456" s="116" t="s">
        <v>19</v>
      </c>
      <c r="F456" s="116" t="s">
        <v>41</v>
      </c>
      <c r="G456" s="970"/>
      <c r="H456" s="970"/>
      <c r="I456" s="777">
        <f>$G$21*$I$8*'Traffic Data'!AK51*annualizationFactor</f>
        <v>7.9051700000000003E-2</v>
      </c>
      <c r="J456" s="777">
        <f>$G$21*$I$8*'Traffic Data'!AL51*annualizationFactor</f>
        <v>7.9209803400000001E-2</v>
      </c>
      <c r="K456" s="777">
        <f>$G$21*$I$8*'Traffic Data'!AM51*annualizationFactor</f>
        <v>7.9367906799999999E-2</v>
      </c>
      <c r="L456" s="777">
        <f>$G$21*$I$8*'Traffic Data'!AN51*annualizationFactor</f>
        <v>7.9526010200000011E-2</v>
      </c>
      <c r="M456" s="777">
        <f>$G$21*$I$8*'Traffic Data'!AO51*annualizationFactor</f>
        <v>7.9684113600000009E-2</v>
      </c>
      <c r="N456" s="777">
        <f>$G$21*$I$8*'Traffic Data'!AP51*annualizationFactor</f>
        <v>7.9842217000000007E-2</v>
      </c>
      <c r="O456" s="777">
        <f>$G$21*$I$8*'Traffic Data'!AQ51*annualizationFactor</f>
        <v>8.0000320400000019E-2</v>
      </c>
      <c r="P456" s="777">
        <f>$G$21*$I$8*'Traffic Data'!AR51*annualizationFactor</f>
        <v>8.0158423800000017E-2</v>
      </c>
      <c r="Q456" s="777">
        <f>$G$21*$I$8*'Traffic Data'!AS51*annualizationFactor</f>
        <v>8.0316527200000015E-2</v>
      </c>
      <c r="R456" s="777">
        <f>$G$21*$I$8*'Traffic Data'!AT51*annualizationFactor</f>
        <v>8.0316527200000015E-2</v>
      </c>
      <c r="S456" s="777">
        <f>$G$21*$I$8*'Traffic Data'!AU51*annualizationFactor</f>
        <v>8.0695587398579988E-2</v>
      </c>
      <c r="T456" s="777">
        <f>$G$21*$I$8*'Traffic Data'!AV51*annualizationFactor</f>
        <v>8.2035957923324979E-2</v>
      </c>
      <c r="U456" s="777">
        <f>$G$21*$I$8*'Traffic Data'!AW51*annualizationFactor</f>
        <v>8.3342167168049985E-2</v>
      </c>
      <c r="V456" s="777">
        <f>$G$21*$I$8*'Traffic Data'!AX51*annualizationFactor</f>
        <v>8.422488216575999E-2</v>
      </c>
      <c r="W456" s="777">
        <f>$G$21*$I$8*'Traffic Data'!AY51*annualizationFactor</f>
        <v>8.4792784713839997E-2</v>
      </c>
      <c r="X456" s="777">
        <f>$G$21*$I$8*'Traffic Data'!AZ51*annualizationFactor</f>
        <v>8.6106040201439984E-2</v>
      </c>
      <c r="Y456" s="777">
        <f>$G$21*$I$8*'Traffic Data'!BA51*annualizationFactor</f>
        <v>8.741929568904E-2</v>
      </c>
      <c r="Z456" s="777">
        <f>$G$21*$I$8*'Traffic Data'!BB51*annualizationFactor</f>
        <v>8.8732857654000005E-2</v>
      </c>
      <c r="AA456" s="777">
        <f>$G$21*$I$8*'Traffic Data'!BC51*annualizationFactor</f>
        <v>9.0046113141599993E-2</v>
      </c>
      <c r="AB456" s="777">
        <f>$G$21*$I$8*'Traffic Data'!BD51*annualizationFactor</f>
        <v>9.1359675106560012E-2</v>
      </c>
      <c r="AC456" s="777">
        <f>$G$21*$I$8*'Traffic Data'!BE51*annualizationFactor</f>
        <v>9.2672930594160013E-2</v>
      </c>
      <c r="AD456" s="777">
        <f>$G$21*$I$8*'Traffic Data'!BF51*annualizationFactor</f>
        <v>9.3986186081760001E-2</v>
      </c>
      <c r="AE456" s="777">
        <f>$G$21*$I$8*'Traffic Data'!BG51*annualizationFactor</f>
        <v>9.5299748046720006E-2</v>
      </c>
      <c r="AF456" s="777">
        <f>$G$21*$I$8*'Traffic Data'!BH51*annualizationFactor</f>
        <v>9.661300353431998E-2</v>
      </c>
      <c r="AG456" s="777">
        <f>$G$21*$I$8*'Traffic Data'!BI51*annualizationFactor</f>
        <v>9.7926259021920009E-2</v>
      </c>
      <c r="AH456" s="778">
        <f>$G$21*$I$8*'Traffic Data'!BJ51*annualizationFactor</f>
        <v>9.9239820986880001E-2</v>
      </c>
      <c r="AI456" s="40"/>
      <c r="AJ456" s="40"/>
      <c r="AK456" s="40"/>
      <c r="AL456" s="40"/>
      <c r="AM456" s="40"/>
    </row>
    <row r="457" spans="2:39" ht="21.95" customHeight="1" x14ac:dyDescent="0.2">
      <c r="B457" s="1346"/>
      <c r="C457" s="116" t="s">
        <v>345</v>
      </c>
      <c r="D457" s="116" t="s">
        <v>323</v>
      </c>
      <c r="E457" s="116" t="s">
        <v>19</v>
      </c>
      <c r="F457" s="116" t="s">
        <v>41</v>
      </c>
      <c r="G457" s="970"/>
      <c r="H457" s="970"/>
      <c r="I457" s="777">
        <f>$G$21*$I$8*'Traffic Data'!AK52*annualizationFactor</f>
        <v>0.95348512000000019</v>
      </c>
      <c r="J457" s="777">
        <f>$G$21*$I$8*'Traffic Data'!AL52*annualizationFactor</f>
        <v>0.97537271146000004</v>
      </c>
      <c r="K457" s="777">
        <f>$G$21*$I$8*'Traffic Data'!AM52*annualizationFactor</f>
        <v>1.0073876770160002</v>
      </c>
      <c r="L457" s="777">
        <f>$G$21*$I$8*'Traffic Data'!AN52*annualizationFactor</f>
        <v>1.045782479616</v>
      </c>
      <c r="M457" s="777">
        <f>$G$21*$I$8*'Traffic Data'!AO52*annualizationFactor</f>
        <v>1.084187498128</v>
      </c>
      <c r="N457" s="777">
        <f>$G$21*$I$8*'Traffic Data'!AP52*annualizationFactor</f>
        <v>1.1225959219440005</v>
      </c>
      <c r="O457" s="777">
        <f>$G$21*$I$8*'Traffic Data'!AQ52*annualizationFactor</f>
        <v>1.1609907245440003</v>
      </c>
      <c r="P457" s="777">
        <f>$G$21*$I$8*'Traffic Data'!AR52*annualizationFactor</f>
        <v>1.1994059589680002</v>
      </c>
      <c r="Q457" s="777">
        <f>$G$21*$I$8*'Traffic Data'!AS52*annualizationFactor</f>
        <v>1.2324544342879999</v>
      </c>
      <c r="R457" s="777">
        <f>$G$21*$I$8*'Traffic Data'!AT52*annualizationFactor</f>
        <v>1.2655012069560001</v>
      </c>
      <c r="S457" s="777">
        <f>$G$21*$I$8*'Traffic Data'!AU52*annualizationFactor</f>
        <v>1.2985496822760001</v>
      </c>
      <c r="T457" s="777">
        <f>$G$21*$I$8*'Traffic Data'!AV52*annualizationFactor</f>
        <v>1.3315981575959996</v>
      </c>
      <c r="U457" s="777">
        <f>$G$21*$I$8*'Traffic Data'!AW52*annualizationFactor</f>
        <v>1.3646670647399999</v>
      </c>
      <c r="V457" s="777">
        <f>$G$21*$I$8*'Traffic Data'!AX52*annualizationFactor</f>
        <v>1.3913254871039999</v>
      </c>
      <c r="W457" s="777">
        <f>$G$21*$I$8*'Traffic Data'!AY52*annualizationFactor</f>
        <v>1.4132130785639998</v>
      </c>
      <c r="X457" s="777">
        <f>$G$21*$I$8*'Traffic Data'!AZ52*annualizationFactor</f>
        <v>1.4351006700239994</v>
      </c>
      <c r="Y457" s="777">
        <f>$G$21*$I$8*'Traffic Data'!BA52*annualizationFactor</f>
        <v>1.4569882614839997</v>
      </c>
      <c r="Z457" s="777">
        <f>$G$21*$I$8*'Traffic Data'!BB52*annualizationFactor</f>
        <v>1.4788809608999998</v>
      </c>
      <c r="AA457" s="777">
        <f>$G$21*$I$8*'Traffic Data'!BC52*annualizationFactor</f>
        <v>1.5007685523599996</v>
      </c>
      <c r="AB457" s="777">
        <f>$G$21*$I$8*'Traffic Data'!BD52*annualizationFactor</f>
        <v>1.5226612517759999</v>
      </c>
      <c r="AC457" s="777">
        <f>$G$21*$I$8*'Traffic Data'!BE52*annualizationFactor</f>
        <v>1.5445488432359997</v>
      </c>
      <c r="AD457" s="777">
        <f>$G$21*$I$8*'Traffic Data'!BF52*annualizationFactor</f>
        <v>1.5664364346959998</v>
      </c>
      <c r="AE457" s="777">
        <f>$G$21*$I$8*'Traffic Data'!BG52*annualizationFactor</f>
        <v>1.5883291341120001</v>
      </c>
      <c r="AF457" s="777">
        <f>$G$21*$I$8*'Traffic Data'!BH52*annualizationFactor</f>
        <v>1.6102167255719997</v>
      </c>
      <c r="AG457" s="777">
        <f>$G$21*$I$8*'Traffic Data'!BI52*annualizationFactor</f>
        <v>1.6321043170320002</v>
      </c>
      <c r="AH457" s="778">
        <f>$G$21*$I$8*'Traffic Data'!BJ52*annualizationFactor</f>
        <v>1.653997016448</v>
      </c>
      <c r="AI457" s="40"/>
      <c r="AJ457" s="40"/>
      <c r="AK457" s="40"/>
      <c r="AL457" s="40"/>
      <c r="AM457" s="40"/>
    </row>
    <row r="458" spans="2:39" ht="21.95" customHeight="1" x14ac:dyDescent="0.2">
      <c r="B458" s="1346"/>
      <c r="C458" s="116" t="s">
        <v>323</v>
      </c>
      <c r="D458" s="116" t="s">
        <v>347</v>
      </c>
      <c r="E458" s="116" t="s">
        <v>19</v>
      </c>
      <c r="F458" s="116" t="s">
        <v>41</v>
      </c>
      <c r="G458" s="970"/>
      <c r="H458" s="970"/>
      <c r="I458" s="777">
        <f>$G$21*$I$8*'Traffic Data'!AK53*annualizationFactor</f>
        <v>0.17026520000000001</v>
      </c>
      <c r="J458" s="777">
        <f>$G$21*$I$8*'Traffic Data'!AL53*annualizationFactor</f>
        <v>0.17402745283000001</v>
      </c>
      <c r="K458" s="777">
        <f>$G$21*$I$8*'Traffic Data'!AM53*annualizationFactor</f>
        <v>0.17959786127500002</v>
      </c>
      <c r="L458" s="777">
        <f>$G$21*$I$8*'Traffic Data'!AN53*annualizationFactor</f>
        <v>0.18666721157000002</v>
      </c>
      <c r="M458" s="777">
        <f>$G$21*$I$8*'Traffic Data'!AO53*annualizationFactor</f>
        <v>0.19373869018000003</v>
      </c>
      <c r="N458" s="777">
        <f>$G$21*$I$8*'Traffic Data'!AP53*annualizationFactor</f>
        <v>0.20080974312700001</v>
      </c>
      <c r="O458" s="777">
        <f>$G$21*$I$8*'Traffic Data'!AQ53*annualizationFactor</f>
        <v>0.20787909342200001</v>
      </c>
      <c r="P458" s="777">
        <f>$G$21*$I$8*'Traffic Data'!AR53*annualizationFactor</f>
        <v>0.21495227468399999</v>
      </c>
      <c r="Q458" s="777">
        <f>$G$21*$I$8*'Traffic Data'!AS53*annualizationFactor</f>
        <v>0.221237492924</v>
      </c>
      <c r="R458" s="777">
        <f>$G$21*$I$8*'Traffic Data'!AT53*annualizationFactor</f>
        <v>0.22752331925399999</v>
      </c>
      <c r="S458" s="777">
        <f>$G$21*$I$8*'Traffic Data'!AU53*annualizationFactor</f>
        <v>0.23380853749399999</v>
      </c>
      <c r="T458" s="777">
        <f>$G$21*$I$8*'Traffic Data'!AV53*annualizationFactor</f>
        <v>0.24009375573400005</v>
      </c>
      <c r="U458" s="777">
        <f>$G$21*$I$8*'Traffic Data'!AW53*annualizationFactor</f>
        <v>0.24638189280600001</v>
      </c>
      <c r="V458" s="777">
        <f>$G$21*$I$8*'Traffic Data'!AX53*annualizationFactor</f>
        <v>0.25116646654399999</v>
      </c>
      <c r="W458" s="777">
        <f>$G$21*$I$8*'Traffic Data'!AY53*annualizationFactor</f>
        <v>0.25492871937400002</v>
      </c>
      <c r="X458" s="777">
        <f>$G$21*$I$8*'Traffic Data'!AZ53*annualizationFactor</f>
        <v>0.25869097220400006</v>
      </c>
      <c r="Y458" s="777">
        <f>$G$21*$I$8*'Traffic Data'!BA53*annualizationFactor</f>
        <v>0.26245322503400009</v>
      </c>
      <c r="Z458" s="777">
        <f>$G$21*$I$8*'Traffic Data'!BB53*annualizationFactor</f>
        <v>0.26621608595400004</v>
      </c>
      <c r="AA458" s="777">
        <f>$G$21*$I$8*'Traffic Data'!BC53*annualizationFactor</f>
        <v>0.26997833878400002</v>
      </c>
      <c r="AB458" s="777">
        <f>$G$21*$I$8*'Traffic Data'!BD53*annualizationFactor</f>
        <v>0.27374119970400007</v>
      </c>
      <c r="AC458" s="777">
        <f>$G$21*$I$8*'Traffic Data'!BE53*annualizationFactor</f>
        <v>0.27750345253400011</v>
      </c>
      <c r="AD458" s="777">
        <f>$G$21*$I$8*'Traffic Data'!BF53*annualizationFactor</f>
        <v>0.28126570536400003</v>
      </c>
      <c r="AE458" s="777">
        <f>$G$21*$I$8*'Traffic Data'!BG53*annualizationFactor</f>
        <v>0.28502856628400003</v>
      </c>
      <c r="AF458" s="777">
        <f>$G$21*$I$8*'Traffic Data'!BH53*annualizationFactor</f>
        <v>0.28879081911400012</v>
      </c>
      <c r="AG458" s="777">
        <f>$G$21*$I$8*'Traffic Data'!BI53*annualizationFactor</f>
        <v>0.2925530719440001</v>
      </c>
      <c r="AH458" s="778">
        <f>$G$21*$I$8*'Traffic Data'!BJ53*annualizationFactor</f>
        <v>0.2963159328640001</v>
      </c>
      <c r="AI458" s="40"/>
      <c r="AJ458" s="40"/>
      <c r="AK458" s="40"/>
      <c r="AL458" s="40"/>
      <c r="AM458" s="40"/>
    </row>
    <row r="459" spans="2:39" ht="21.95" customHeight="1" x14ac:dyDescent="0.2">
      <c r="B459" s="1346"/>
      <c r="C459" s="116" t="s">
        <v>347</v>
      </c>
      <c r="D459" s="116" t="s">
        <v>348</v>
      </c>
      <c r="E459" s="116" t="s">
        <v>19</v>
      </c>
      <c r="F459" s="116" t="s">
        <v>41</v>
      </c>
      <c r="G459" s="970"/>
      <c r="H459" s="970"/>
      <c r="I459" s="777">
        <f>$G$21*$I$8*'Traffic Data'!AK54*annualizationFactor</f>
        <v>0.11918564000000002</v>
      </c>
      <c r="J459" s="777">
        <f>$G$21*$I$8*'Traffic Data'!AL54*annualizationFactor</f>
        <v>0.12181921698100001</v>
      </c>
      <c r="K459" s="777">
        <f>$G$21*$I$8*'Traffic Data'!AM54*annualizationFactor</f>
        <v>0.1257185028925</v>
      </c>
      <c r="L459" s="777">
        <f>$G$21*$I$8*'Traffic Data'!AN54*annualizationFactor</f>
        <v>0.13066704809899998</v>
      </c>
      <c r="M459" s="777">
        <f>$G$21*$I$8*'Traffic Data'!AO54*annualizationFactor</f>
        <v>0.13561708312600002</v>
      </c>
      <c r="N459" s="777">
        <f>$G$21*$I$8*'Traffic Data'!AP54*annualizationFactor</f>
        <v>0.14056682018890002</v>
      </c>
      <c r="O459" s="777">
        <f>$G$21*$I$8*'Traffic Data'!AQ54*annualizationFactor</f>
        <v>0.14551536539539997</v>
      </c>
      <c r="P459" s="777">
        <f>$G$21*$I$8*'Traffic Data'!AR54*annualizationFactor</f>
        <v>0.15046659227879997</v>
      </c>
      <c r="Q459" s="777">
        <f>$G$21*$I$8*'Traffic Data'!AS54*annualizationFactor</f>
        <v>0.15486624504680002</v>
      </c>
      <c r="R459" s="777">
        <f>$G$21*$I$8*'Traffic Data'!AT54*annualizationFactor</f>
        <v>0.15926632347780001</v>
      </c>
      <c r="S459" s="777">
        <f>$G$21*$I$8*'Traffic Data'!AU54*annualizationFactor</f>
        <v>0.16366597624579998</v>
      </c>
      <c r="T459" s="777">
        <f>$G$21*$I$8*'Traffic Data'!AV54*annualizationFactor</f>
        <v>0.16806562901380001</v>
      </c>
      <c r="U459" s="777">
        <f>$G$21*$I$8*'Traffic Data'!AW54*annualizationFactor</f>
        <v>0.17246732496419998</v>
      </c>
      <c r="V459" s="777">
        <f>$G$21*$I$8*'Traffic Data'!AX54*annualizationFactor</f>
        <v>0.17581652658079999</v>
      </c>
      <c r="W459" s="777">
        <f>$G$21*$I$8*'Traffic Data'!AY54*annualizationFactor</f>
        <v>0.17845010356179999</v>
      </c>
      <c r="X459" s="777">
        <f>$G$21*$I$8*'Traffic Data'!AZ54*annualizationFactor</f>
        <v>0.18108368054280002</v>
      </c>
      <c r="Y459" s="777">
        <f>$G$21*$I$8*'Traffic Data'!BA54*annualizationFactor</f>
        <v>0.18371725752380005</v>
      </c>
      <c r="Z459" s="777">
        <f>$G$21*$I$8*'Traffic Data'!BB54*annualizationFactor</f>
        <v>0.18635126016780004</v>
      </c>
      <c r="AA459" s="777">
        <f>$G$21*$I$8*'Traffic Data'!BC54*annualizationFactor</f>
        <v>0.18898483714879999</v>
      </c>
      <c r="AB459" s="777">
        <f>$G$21*$I$8*'Traffic Data'!BD54*annualizationFactor</f>
        <v>0.19161883979280003</v>
      </c>
      <c r="AC459" s="777">
        <f>$G$21*$I$8*'Traffic Data'!BE54*annualizationFactor</f>
        <v>0.19425241677380006</v>
      </c>
      <c r="AD459" s="777">
        <f>$G$21*$I$8*'Traffic Data'!BF54*annualizationFactor</f>
        <v>0.19688599375480001</v>
      </c>
      <c r="AE459" s="777">
        <f>$G$21*$I$8*'Traffic Data'!BG54*annualizationFactor</f>
        <v>0.19951999639880003</v>
      </c>
      <c r="AF459" s="777">
        <f>$G$21*$I$8*'Traffic Data'!BH54*annualizationFactor</f>
        <v>0.20215357337980006</v>
      </c>
      <c r="AG459" s="777">
        <f>$G$21*$I$8*'Traffic Data'!BI54*annualizationFactor</f>
        <v>0.20478715036080009</v>
      </c>
      <c r="AH459" s="778">
        <f>$G$21*$I$8*'Traffic Data'!BJ54*annualizationFactor</f>
        <v>0.20742115300480005</v>
      </c>
      <c r="AI459" s="40"/>
      <c r="AJ459" s="40"/>
      <c r="AK459" s="40"/>
      <c r="AL459" s="40"/>
      <c r="AM459" s="40"/>
    </row>
    <row r="460" spans="2:39" ht="21.95" customHeight="1" x14ac:dyDescent="0.2">
      <c r="B460" s="1346"/>
      <c r="C460" s="254" t="s">
        <v>348</v>
      </c>
      <c r="D460" s="254" t="s">
        <v>349</v>
      </c>
      <c r="E460" s="254" t="s">
        <v>19</v>
      </c>
      <c r="F460" s="254" t="s">
        <v>41</v>
      </c>
      <c r="G460" s="779"/>
      <c r="H460" s="779"/>
      <c r="I460" s="777">
        <f>$G$21*$I$8*'Traffic Data'!AK55*annualizationFactor</f>
        <v>0.19458880000000003</v>
      </c>
      <c r="J460" s="777">
        <f>$G$21*$I$8*'Traffic Data'!AL55*annualizationFactor</f>
        <v>0.19923673591500002</v>
      </c>
      <c r="K460" s="777">
        <f>$G$21*$I$8*'Traffic Data'!AM55*annualizationFactor</f>
        <v>0.20569313149000001</v>
      </c>
      <c r="L460" s="777">
        <f>$G$21*$I$8*'Traffic Data'!AN55*annualizationFactor</f>
        <v>0.21426780858000002</v>
      </c>
      <c r="M460" s="777">
        <f>$G$21*$I$8*'Traffic Data'!AO55*annualizationFactor</f>
        <v>0.22284491803000006</v>
      </c>
      <c r="N460" s="777">
        <f>$G$21*$I$8*'Traffic Data'!AP55*annualizationFactor</f>
        <v>0.23142263557000006</v>
      </c>
      <c r="O460" s="777">
        <f>$G$21*$I$8*'Traffic Data'!AQ55*annualizationFactor</f>
        <v>0.23999731266000005</v>
      </c>
      <c r="P460" s="777">
        <f>$G$21*$I$8*'Traffic Data'!AR55*annualizationFactor</f>
        <v>0.24857685447000008</v>
      </c>
      <c r="Q460" s="777">
        <f>$G$21*$I$8*'Traffic Data'!AS55*annualizationFactor</f>
        <v>0.25676539441000001</v>
      </c>
      <c r="R460" s="777">
        <f>$G$21*$I$8*'Traffic Data'!AT55*annualizationFactor</f>
        <v>0.26495423839499999</v>
      </c>
      <c r="S460" s="777">
        <f>$G$21*$I$8*'Traffic Data'!AU55*annualizationFactor</f>
        <v>0.273142778335</v>
      </c>
      <c r="T460" s="777">
        <f>$G$21*$I$8*'Traffic Data'!AV55*annualizationFactor</f>
        <v>0.28133131827500002</v>
      </c>
      <c r="U460" s="777">
        <f>$G$21*$I$8*'Traffic Data'!AW55*annualizationFactor</f>
        <v>0.28952472293500003</v>
      </c>
      <c r="V460" s="777">
        <f>$G$21*$I$8*'Traffic Data'!AX55*annualizationFactor</f>
        <v>0.29559254900000004</v>
      </c>
      <c r="W460" s="777">
        <f>$G$21*$I$8*'Traffic Data'!AY55*annualizationFactor</f>
        <v>0.30024048491499999</v>
      </c>
      <c r="X460" s="777">
        <f>$G$21*$I$8*'Traffic Data'!AZ55*annualizationFactor</f>
        <v>0.30488842083000001</v>
      </c>
      <c r="Y460" s="777">
        <f>$G$21*$I$8*'Traffic Data'!BA55*annualizationFactor</f>
        <v>0.30953635674500002</v>
      </c>
      <c r="Z460" s="777">
        <f>$G$21*$I$8*'Traffic Data'!BB55*annualizationFactor</f>
        <v>0.31418520479500001</v>
      </c>
      <c r="AA460" s="777">
        <f>$G$21*$I$8*'Traffic Data'!BC55*annualizationFactor</f>
        <v>0.31883314071000002</v>
      </c>
      <c r="AB460" s="777">
        <f>$G$21*$I$8*'Traffic Data'!BD55*annualizationFactor</f>
        <v>0.32348198876000006</v>
      </c>
      <c r="AC460" s="777">
        <f>$G$21*$I$8*'Traffic Data'!BE55*annualizationFactor</f>
        <v>0.32812992467500002</v>
      </c>
      <c r="AD460" s="777">
        <f>$G$21*$I$8*'Traffic Data'!BF55*annualizationFactor</f>
        <v>0.33277786059000003</v>
      </c>
      <c r="AE460" s="777">
        <f>$G$21*$I$8*'Traffic Data'!BG55*annualizationFactor</f>
        <v>0.33742670864000002</v>
      </c>
      <c r="AF460" s="777">
        <f>$G$21*$I$8*'Traffic Data'!BH55*annualizationFactor</f>
        <v>0.34207464455499997</v>
      </c>
      <c r="AG460" s="777">
        <f>$G$21*$I$8*'Traffic Data'!BI55*annualizationFactor</f>
        <v>0.34672258047000004</v>
      </c>
      <c r="AH460" s="778">
        <f>$G$21*$I$8*'Traffic Data'!BJ55*annualizationFactor</f>
        <v>0.35137142852000003</v>
      </c>
      <c r="AI460" s="40"/>
      <c r="AJ460" s="40"/>
      <c r="AK460" s="40"/>
      <c r="AL460" s="40"/>
      <c r="AM460" s="40"/>
    </row>
    <row r="461" spans="2:39" ht="21.95" customHeight="1" x14ac:dyDescent="0.2">
      <c r="B461" s="492" t="s">
        <v>288</v>
      </c>
      <c r="C461" s="116" t="s">
        <v>323</v>
      </c>
      <c r="D461" s="116" t="s">
        <v>348</v>
      </c>
      <c r="E461" s="116" t="s">
        <v>19</v>
      </c>
      <c r="F461" s="116" t="s">
        <v>41</v>
      </c>
      <c r="G461" s="970"/>
      <c r="H461" s="970"/>
      <c r="I461" s="775">
        <f>$G$21*$J$8*'Traffic Data'!AK56*annualizationFactor</f>
        <v>1.56366E-2</v>
      </c>
      <c r="J461" s="775">
        <f>$G$21*$J$8*'Traffic Data'!AL56*annualizationFactor</f>
        <v>1.6598077160000002E-2</v>
      </c>
      <c r="K461" s="775">
        <f>$G$21*$J$8*'Traffic Data'!AM56*annualizationFactor</f>
        <v>1.7870462050000001E-2</v>
      </c>
      <c r="L461" s="775">
        <f>$G$21*$J$8*'Traffic Data'!AN56*annualizationFactor</f>
        <v>1.9561386599999998E-2</v>
      </c>
      <c r="M461" s="775">
        <f>$G$21*$J$8*'Traffic Data'!AO56*annualizationFactor</f>
        <v>2.1252832369999999E-2</v>
      </c>
      <c r="N461" s="775">
        <f>$G$21*$J$8*'Traffic Data'!AP56*annualizationFactor</f>
        <v>2.2947926680000005E-2</v>
      </c>
      <c r="O461" s="775">
        <f>$G$21*$J$8*'Traffic Data'!AQ56*annualizationFactor</f>
        <v>2.4638851229999998E-2</v>
      </c>
      <c r="P461" s="775">
        <f>$G$21*$J$8*'Traffic Data'!AR56*annualizationFactor</f>
        <v>2.6331600050000001E-2</v>
      </c>
      <c r="Q461" s="775">
        <f>$G$21*$J$8*'Traffic Data'!AS56*annualizationFactor</f>
        <v>2.787510621E-2</v>
      </c>
      <c r="R461" s="775">
        <f>$G$21*$J$8*'Traffic Data'!AT56*annualizationFactor</f>
        <v>2.9417309320000001E-2</v>
      </c>
      <c r="S461" s="775">
        <f>$G$21*$J$8*'Traffic Data'!AU56*annualizationFactor</f>
        <v>3.096090235E-2</v>
      </c>
      <c r="T461" s="775">
        <f>$G$21*$J$8*'Traffic Data'!AV56*annualizationFactor</f>
        <v>3.2504408510000006E-2</v>
      </c>
      <c r="U461" s="775">
        <f>$G$21*$J$8*'Traffic Data'!AW56*annualizationFactor</f>
        <v>3.4053387480000002E-2</v>
      </c>
      <c r="V461" s="775">
        <f>$G$21*$J$8*'Traffic Data'!AX56*annualizationFactor</f>
        <v>3.5177137800000001E-2</v>
      </c>
      <c r="W461" s="775">
        <f>$G$21*$J$8*'Traffic Data'!AY56*annualizationFactor</f>
        <v>3.6138614960000003E-2</v>
      </c>
      <c r="X461" s="775">
        <f>$G$21*$J$8*'Traffic Data'!AZ56*annualizationFactor</f>
        <v>3.7100092119999997E-2</v>
      </c>
      <c r="Y461" s="775">
        <f>$G$21*$J$8*'Traffic Data'!BA56*annualizationFactor</f>
        <v>3.8061569279999999E-2</v>
      </c>
      <c r="Z461" s="775">
        <f>$G$21*$J$8*'Traffic Data'!BB56*annualizationFactor</f>
        <v>3.9024088880000002E-2</v>
      </c>
      <c r="AA461" s="775">
        <f>$G$21*$J$8*'Traffic Data'!BC56*annualizationFactor</f>
        <v>3.9985566039999997E-2</v>
      </c>
      <c r="AB461" s="775">
        <f>$G$21*$J$8*'Traffic Data'!BD56*annualizationFactor</f>
        <v>4.0949388690000005E-2</v>
      </c>
      <c r="AC461" s="775">
        <f>$G$21*$J$8*'Traffic Data'!BE56*annualizationFactor</f>
        <v>4.1910865849999999E-2</v>
      </c>
      <c r="AD461" s="775">
        <f>$G$21*$J$8*'Traffic Data'!BF56*annualizationFactor</f>
        <v>4.2872343010000001E-2</v>
      </c>
      <c r="AE461" s="775">
        <f>$G$21*$J$8*'Traffic Data'!BG56*annualizationFactor</f>
        <v>4.383486260999999E-2</v>
      </c>
      <c r="AF461" s="775">
        <f>$G$21*$J$8*'Traffic Data'!BH56*annualizationFactor</f>
        <v>4.4796339769999999E-2</v>
      </c>
      <c r="AG461" s="775">
        <f>$G$21*$J$8*'Traffic Data'!BI56*annualizationFactor</f>
        <v>4.575781693E-2</v>
      </c>
      <c r="AH461" s="776">
        <f>$G$21*$J$8*'Traffic Data'!BJ56*annualizationFactor</f>
        <v>4.6721639579999995E-2</v>
      </c>
      <c r="AI461" s="40"/>
      <c r="AJ461" s="40"/>
      <c r="AK461" s="40"/>
      <c r="AL461" s="40"/>
      <c r="AM461" s="40"/>
    </row>
    <row r="462" spans="2:39" ht="21.95" customHeight="1" x14ac:dyDescent="0.2">
      <c r="B462" s="782" t="s">
        <v>340</v>
      </c>
      <c r="C462" s="277" t="s">
        <v>335</v>
      </c>
      <c r="D462" s="277" t="s">
        <v>323</v>
      </c>
      <c r="E462" s="277" t="s">
        <v>19</v>
      </c>
      <c r="F462" s="277" t="s">
        <v>41</v>
      </c>
      <c r="G462" s="780"/>
      <c r="H462" s="780"/>
      <c r="I462" s="775">
        <f>$G$21*$K$8*'Traffic Data'!AK57*annualizationFactor</f>
        <v>0</v>
      </c>
      <c r="J462" s="775">
        <f>$G$21*$K$8*'Traffic Data'!AL57*annualizationFactor</f>
        <v>0</v>
      </c>
      <c r="K462" s="775">
        <f>$G$21*$K$8*'Traffic Data'!AM57*annualizationFactor</f>
        <v>0</v>
      </c>
      <c r="L462" s="775">
        <f>$G$21*$K$8*'Traffic Data'!AN57*annualizationFactor</f>
        <v>0</v>
      </c>
      <c r="M462" s="775">
        <f>$G$21*$K$8*'Traffic Data'!AO57*annualizationFactor</f>
        <v>0</v>
      </c>
      <c r="N462" s="775">
        <f>$G$21*$K$8*'Traffic Data'!AP57*annualizationFactor</f>
        <v>0</v>
      </c>
      <c r="O462" s="775">
        <f>$G$21*$K$8*'Traffic Data'!AQ57*annualizationFactor</f>
        <v>0</v>
      </c>
      <c r="P462" s="775">
        <f>$G$21*$K$8*'Traffic Data'!AR57*annualizationFactor</f>
        <v>0</v>
      </c>
      <c r="Q462" s="775">
        <f>$G$21*$K$8*'Traffic Data'!AS57*annualizationFactor</f>
        <v>0</v>
      </c>
      <c r="R462" s="775">
        <f>$G$21*$K$8*'Traffic Data'!AT57*annualizationFactor</f>
        <v>0</v>
      </c>
      <c r="S462" s="775">
        <f>$G$21*$K$8*'Traffic Data'!AU57*annualizationFactor</f>
        <v>0</v>
      </c>
      <c r="T462" s="775">
        <f>$G$21*$K$8*'Traffic Data'!AV57*annualizationFactor</f>
        <v>0</v>
      </c>
      <c r="U462" s="775">
        <f>$G$21*$K$8*'Traffic Data'!AW57*annualizationFactor</f>
        <v>0</v>
      </c>
      <c r="V462" s="775">
        <f>$G$21*$K$8*'Traffic Data'!AX57*annualizationFactor</f>
        <v>0</v>
      </c>
      <c r="W462" s="775">
        <f>$G$21*$K$8*'Traffic Data'!AY57*annualizationFactor</f>
        <v>0</v>
      </c>
      <c r="X462" s="775">
        <f>$G$21*$K$8*'Traffic Data'!AZ57*annualizationFactor</f>
        <v>0</v>
      </c>
      <c r="Y462" s="775">
        <f>$G$21*$K$8*'Traffic Data'!BA57*annualizationFactor</f>
        <v>0</v>
      </c>
      <c r="Z462" s="775">
        <f>$G$21*$K$8*'Traffic Data'!BB57*annualizationFactor</f>
        <v>0</v>
      </c>
      <c r="AA462" s="775">
        <f>$G$21*$K$8*'Traffic Data'!BC57*annualizationFactor</f>
        <v>0</v>
      </c>
      <c r="AB462" s="775">
        <f>$G$21*$K$8*'Traffic Data'!BD57*annualizationFactor</f>
        <v>0</v>
      </c>
      <c r="AC462" s="775">
        <f>$G$21*$K$8*'Traffic Data'!BE57*annualizationFactor</f>
        <v>0</v>
      </c>
      <c r="AD462" s="775">
        <f>$G$21*$K$8*'Traffic Data'!BF57*annualizationFactor</f>
        <v>0</v>
      </c>
      <c r="AE462" s="775">
        <f>$G$21*$K$8*'Traffic Data'!BG57*annualizationFactor</f>
        <v>0</v>
      </c>
      <c r="AF462" s="775">
        <f>$G$21*$K$8*'Traffic Data'!BH57*annualizationFactor</f>
        <v>0</v>
      </c>
      <c r="AG462" s="775">
        <f>$G$21*$K$8*'Traffic Data'!BI57*annualizationFactor</f>
        <v>0</v>
      </c>
      <c r="AH462" s="776">
        <f>$G$21*$K$8*'Traffic Data'!BJ57*annualizationFactor</f>
        <v>0</v>
      </c>
      <c r="AI462" s="40"/>
      <c r="AJ462" s="40"/>
      <c r="AK462" s="40"/>
      <c r="AL462" s="40"/>
      <c r="AM462" s="40"/>
    </row>
    <row r="463" spans="2:39" ht="21.95" customHeight="1" x14ac:dyDescent="0.2">
      <c r="B463" s="782" t="s">
        <v>357</v>
      </c>
      <c r="C463" s="277" t="s">
        <v>338</v>
      </c>
      <c r="D463" s="277" t="s">
        <v>323</v>
      </c>
      <c r="E463" s="116" t="s">
        <v>19</v>
      </c>
      <c r="F463" s="116" t="s">
        <v>41</v>
      </c>
      <c r="G463" s="970"/>
      <c r="H463" s="970"/>
      <c r="I463" s="775">
        <f>$G$21*$L$8*'Traffic Data'!AK58*annualizationFactor</f>
        <v>2.8998785454545456E-2</v>
      </c>
      <c r="J463" s="775">
        <f>$G$21*$L$8*'Traffic Data'!AL58*annualizationFactor</f>
        <v>2.9396954889272728E-2</v>
      </c>
      <c r="K463" s="775">
        <f>$G$21*$L$8*'Traffic Data'!AM58*annualizationFactor</f>
        <v>3.0085192730727274E-2</v>
      </c>
      <c r="L463" s="775">
        <f>$G$21*$L$8*'Traffic Data'!AN58*annualizationFactor</f>
        <v>3.1030069823454555E-2</v>
      </c>
      <c r="M463" s="775">
        <f>$G$21*$L$8*'Traffic Data'!AO58*annualizationFactor</f>
        <v>3.1975349677090911E-2</v>
      </c>
      <c r="N463" s="775">
        <f>$G$21*$L$8*'Traffic Data'!AP58*annualizationFactor</f>
        <v>3.2921998917818183E-2</v>
      </c>
      <c r="O463" s="775">
        <f>$G$21*$L$8*'Traffic Data'!AQ58*annualizationFactor</f>
        <v>3.3866876010545457E-2</v>
      </c>
      <c r="P463" s="775">
        <f>$G$21*$L$8*'Traffic Data'!AR58*annualizationFactor</f>
        <v>3.4815055742727273E-2</v>
      </c>
      <c r="Q463" s="775">
        <f>$G$21*$L$8*'Traffic Data'!AS58*annualizationFactor</f>
        <v>3.5472603202909091E-2</v>
      </c>
      <c r="R463" s="775">
        <f>$G$21*$L$8*'Traffic Data'!AT58*annualizationFactor</f>
        <v>3.6130231215272722E-2</v>
      </c>
      <c r="S463" s="775">
        <f>$G$21*$L$8*'Traffic Data'!AU58*annualizationFactor</f>
        <v>3.6787939779818181E-2</v>
      </c>
      <c r="T463" s="775">
        <f>$G$21*$L$8*'Traffic Data'!AV58*annualizationFactor</f>
        <v>3.7445487240000006E-2</v>
      </c>
      <c r="U463" s="775">
        <f>$G$21*$L$8*'Traffic Data'!AW58*annualizationFactor</f>
        <v>3.8107706726727274E-2</v>
      </c>
      <c r="V463" s="775">
        <f>$G$21*$L$8*'Traffic Data'!AX58*annualizationFactor</f>
        <v>3.8505876161454539E-2</v>
      </c>
      <c r="W463" s="775">
        <f>$G$21*$L$8*'Traffic Data'!AY58*annualizationFactor</f>
        <v>3.890404559618181E-2</v>
      </c>
      <c r="X463" s="775">
        <f>$G$21*$L$8*'Traffic Data'!AZ58*annualizationFactor</f>
        <v>3.9302215030909096E-2</v>
      </c>
      <c r="Y463" s="775">
        <f>$G$21*$L$8*'Traffic Data'!BA58*annualizationFactor</f>
        <v>3.9700384465636361E-2</v>
      </c>
      <c r="Z463" s="775">
        <f>$G$21*$L$8*'Traffic Data'!BB58*annualizationFactor</f>
        <v>4.0101292674545458E-2</v>
      </c>
      <c r="AA463" s="775">
        <f>$G$21*$L$8*'Traffic Data'!BC58*annualizationFactor</f>
        <v>4.049946210927273E-2</v>
      </c>
      <c r="AB463" s="775">
        <f>$G$21*$L$8*'Traffic Data'!BD58*annualizationFactor</f>
        <v>4.0899162035454552E-2</v>
      </c>
      <c r="AC463" s="775">
        <f>$G$21*$L$8*'Traffic Data'!BE58*annualizationFactor</f>
        <v>4.129733147018181E-2</v>
      </c>
      <c r="AD463" s="775">
        <f>$G$21*$L$8*'Traffic Data'!BF58*annualizationFactor</f>
        <v>4.1695500904909102E-2</v>
      </c>
      <c r="AE463" s="775">
        <f>$G$21*$L$8*'Traffic Data'!BG58*annualizationFactor</f>
        <v>4.2096409113818185E-2</v>
      </c>
      <c r="AF463" s="775">
        <f>$G$21*$L$8*'Traffic Data'!BH58*annualizationFactor</f>
        <v>4.2494578548545464E-2</v>
      </c>
      <c r="AG463" s="775">
        <f>$G$21*$L$8*'Traffic Data'!BI58*annualizationFactor</f>
        <v>4.2892747983272729E-2</v>
      </c>
      <c r="AH463" s="776">
        <f>$G$21*$L$8*'Traffic Data'!BJ58*annualizationFactor</f>
        <v>4.3292447909454551E-2</v>
      </c>
      <c r="AI463" s="40"/>
      <c r="AJ463" s="40"/>
      <c r="AK463" s="40"/>
      <c r="AL463" s="40"/>
      <c r="AM463" s="40"/>
    </row>
    <row r="464" spans="2:39" ht="21.95" customHeight="1" x14ac:dyDescent="0.2">
      <c r="B464" s="492" t="s">
        <v>338</v>
      </c>
      <c r="C464" s="116" t="s">
        <v>282</v>
      </c>
      <c r="D464" s="116" t="s">
        <v>357</v>
      </c>
      <c r="E464" s="220" t="s">
        <v>19</v>
      </c>
      <c r="F464" s="220" t="s">
        <v>41</v>
      </c>
      <c r="G464" s="775"/>
      <c r="H464" s="775"/>
      <c r="I464" s="775">
        <f>$G$21*$M$8*'Traffic Data'!AK59*annualizationFactor</f>
        <v>0.1041452840909091</v>
      </c>
      <c r="J464" s="775">
        <f>$G$21*$M$8*'Traffic Data'!AL59*annualizationFactor</f>
        <v>0.10714748019539776</v>
      </c>
      <c r="K464" s="775">
        <f>$G$21*$M$8*'Traffic Data'!AM59*annualizationFactor</f>
        <v>0.11039702134960229</v>
      </c>
      <c r="L464" s="775">
        <f>$G$21*$M$8*'Traffic Data'!AN59*annualizationFactor</f>
        <v>0.11470811538454546</v>
      </c>
      <c r="M464" s="775">
        <f>$G$21*$M$8*'Traffic Data'!AO59*annualizationFactor</f>
        <v>0.11901993843647728</v>
      </c>
      <c r="N464" s="775">
        <f>$G$21*$M$8*'Traffic Data'!AP59*annualizationFactor</f>
        <v>0.12333353195823862</v>
      </c>
      <c r="O464" s="775">
        <f>$G$21*$M$8*'Traffic Data'!AQ59*annualizationFactor</f>
        <v>0.12764462599318185</v>
      </c>
      <c r="P464" s="775">
        <f>$G$21*$M$8*'Traffic Data'!AR59*annualizationFactor</f>
        <v>0.13195686562625003</v>
      </c>
      <c r="Q464" s="775">
        <f>$G$21*$M$8*'Traffic Data'!AS59*annualizationFactor</f>
        <v>0.13670193306000003</v>
      </c>
      <c r="R464" s="775">
        <f>$G$21*$M$8*'Traffic Data'!AT59*annualizationFactor</f>
        <v>0.14144543831448864</v>
      </c>
      <c r="S464" s="775">
        <f>$G$21*$M$8*'Traffic Data'!AU59*annualizationFactor</f>
        <v>0.14619050574823866</v>
      </c>
      <c r="T464" s="775">
        <f>$G$21*$M$8*'Traffic Data'!AV59*annualizationFactor</f>
        <v>0.15093557318198864</v>
      </c>
      <c r="U464" s="775">
        <f>$G$21*$M$8*'Traffic Data'!AW59*annualizationFactor</f>
        <v>0.15568334839312503</v>
      </c>
      <c r="V464" s="775">
        <f>$G$21*$M$8*'Traffic Data'!AX59*annualizationFactor</f>
        <v>0.15936644636500003</v>
      </c>
      <c r="W464" s="775">
        <f>$G$21*$M$8*'Traffic Data'!AY59*annualizationFactor</f>
        <v>0.16236864246948865</v>
      </c>
      <c r="X464" s="775">
        <f>$G$21*$M$8*'Traffic Data'!AZ59*annualizationFactor</f>
        <v>0.16537083857397733</v>
      </c>
      <c r="Y464" s="775">
        <f>$G$21*$M$8*'Traffic Data'!BA59*annualizationFactor</f>
        <v>0.16837303467846595</v>
      </c>
      <c r="Z464" s="775">
        <f>$G$21*$M$8*'Traffic Data'!BB59*annualizationFactor</f>
        <v>0.17137491834710228</v>
      </c>
      <c r="AA464" s="775">
        <f>$G$21*$M$8*'Traffic Data'!BC59*annualizationFactor</f>
        <v>0.1743771144515909</v>
      </c>
      <c r="AB464" s="775">
        <f>$G$21*$M$8*'Traffic Data'!BD59*annualizationFactor</f>
        <v>0.17737899812022723</v>
      </c>
      <c r="AC464" s="775">
        <f>$G$21*$M$8*'Traffic Data'!BE59*annualizationFactor</f>
        <v>0.18038119422471596</v>
      </c>
      <c r="AD464" s="775">
        <f>$G$21*$M$8*'Traffic Data'!BF59*annualizationFactor</f>
        <v>0.18338339032920462</v>
      </c>
      <c r="AE464" s="775">
        <f>$G$21*$M$8*'Traffic Data'!BG59*annualizationFactor</f>
        <v>0.18638527399784094</v>
      </c>
      <c r="AF464" s="775">
        <f>$G$21*$M$8*'Traffic Data'!BH59*annualizationFactor</f>
        <v>0.18938747010232956</v>
      </c>
      <c r="AG464" s="775">
        <f>$G$21*$M$8*'Traffic Data'!BI59*annualizationFactor</f>
        <v>0.19238966620681819</v>
      </c>
      <c r="AH464" s="776">
        <f>$G$21*$M$8*'Traffic Data'!BJ59*annualizationFactor</f>
        <v>0.19539154987545462</v>
      </c>
      <c r="AI464" s="40"/>
      <c r="AJ464" s="40"/>
      <c r="AK464" s="40"/>
      <c r="AL464" s="40"/>
      <c r="AM464" s="40"/>
    </row>
    <row r="465" spans="2:39" ht="21.95" customHeight="1" x14ac:dyDescent="0.2">
      <c r="B465" s="492"/>
      <c r="C465" s="116" t="s">
        <v>357</v>
      </c>
      <c r="D465" s="116" t="s">
        <v>346</v>
      </c>
      <c r="E465" s="116" t="s">
        <v>19</v>
      </c>
      <c r="F465" s="116" t="s">
        <v>41</v>
      </c>
      <c r="G465" s="970"/>
      <c r="H465" s="970"/>
      <c r="I465" s="777">
        <f>$G$21*$M$8*'Traffic Data'!AK60*annualizationFactor</f>
        <v>1.5167370378787879E-2</v>
      </c>
      <c r="J465" s="777">
        <f>$G$21*$M$8*'Traffic Data'!AL60*annualizationFactor</f>
        <v>1.5597844298617426E-2</v>
      </c>
      <c r="K465" s="777">
        <f>$G$21*$M$8*'Traffic Data'!AM60*annualizationFactor</f>
        <v>1.6075556594350379E-2</v>
      </c>
      <c r="L465" s="777">
        <f>$G$21*$M$8*'Traffic Data'!AN60*annualizationFactor</f>
        <v>1.674607410749053E-2</v>
      </c>
      <c r="M465" s="777">
        <f>$G$21*$M$8*'Traffic Data'!AO60*annualizationFactor</f>
        <v>1.7416711363028411E-2</v>
      </c>
      <c r="N465" s="777">
        <f>$G$21*$M$8*'Traffic Data'!AP60*annualizationFactor</f>
        <v>1.8087488318030299E-2</v>
      </c>
      <c r="O465" s="777">
        <f>$G$21*$M$8*'Traffic Data'!AQ60*annualizationFactor</f>
        <v>1.8758005831170457E-2</v>
      </c>
      <c r="P465" s="777">
        <f>$G$21*$M$8*'Traffic Data'!AR60*annualizationFactor</f>
        <v>1.9428563258443183E-2</v>
      </c>
      <c r="Q465" s="777">
        <f>$G$21*$M$8*'Traffic Data'!AS60*annualizationFactor</f>
        <v>2.018224186680493E-2</v>
      </c>
      <c r="R465" s="777">
        <f>$G$21*$M$8*'Traffic Data'!AT60*annualizationFactor</f>
        <v>2.0935661033304926E-2</v>
      </c>
      <c r="S465" s="777">
        <f>$G$21*$M$8*'Traffic Data'!AU60*annualizationFactor</f>
        <v>2.1689339641666663E-2</v>
      </c>
      <c r="T465" s="777">
        <f>$G$21*$M$8*'Traffic Data'!AV60*annualizationFactor</f>
        <v>2.2443018250028406E-2</v>
      </c>
      <c r="U465" s="777">
        <f>$G$21*$M$8*'Traffic Data'!AW60*annualizationFactor</f>
        <v>2.319681660078788E-2</v>
      </c>
      <c r="V465" s="777">
        <f>$G$21*$M$8*'Traffic Data'!AX60*annualizationFactor</f>
        <v>2.3757769820007574E-2</v>
      </c>
      <c r="W465" s="777">
        <f>$G$21*$M$8*'Traffic Data'!AY60*annualizationFactor</f>
        <v>2.418824373983712E-2</v>
      </c>
      <c r="X465" s="777">
        <f>$G$21*$M$8*'Traffic Data'!AZ60*annualizationFactor</f>
        <v>2.4618717659666674E-2</v>
      </c>
      <c r="Y465" s="777">
        <f>$G$21*$M$8*'Traffic Data'!BA60*annualizationFactor</f>
        <v>2.5049191579496213E-2</v>
      </c>
      <c r="Z465" s="777">
        <f>$G$21*$M$8*'Traffic Data'!BB60*annualizationFactor</f>
        <v>2.5479445971596588E-2</v>
      </c>
      <c r="AA465" s="777">
        <f>$G$21*$M$8*'Traffic Data'!BC60*annualizationFactor</f>
        <v>2.5909919891426134E-2</v>
      </c>
      <c r="AB465" s="777">
        <f>$G$21*$M$8*'Traffic Data'!BD60*annualizationFactor</f>
        <v>2.6340174283526516E-2</v>
      </c>
      <c r="AC465" s="777">
        <f>$G$21*$M$8*'Traffic Data'!BE60*annualizationFactor</f>
        <v>2.6770648203356062E-2</v>
      </c>
      <c r="AD465" s="777">
        <f>$G$21*$M$8*'Traffic Data'!BF60*annualizationFactor</f>
        <v>2.7201122123185609E-2</v>
      </c>
      <c r="AE465" s="777">
        <f>$G$21*$M$8*'Traffic Data'!BG60*annualizationFactor</f>
        <v>2.7631376515285983E-2</v>
      </c>
      <c r="AF465" s="777">
        <f>$G$21*$M$8*'Traffic Data'!BH60*annualizationFactor</f>
        <v>2.806185043511553E-2</v>
      </c>
      <c r="AG465" s="777">
        <f>$G$21*$M$8*'Traffic Data'!BI60*annualizationFactor</f>
        <v>2.8492324354945069E-2</v>
      </c>
      <c r="AH465" s="778">
        <f>$G$21*$M$8*'Traffic Data'!BJ60*annualizationFactor</f>
        <v>2.8922578747045451E-2</v>
      </c>
      <c r="AI465" s="40"/>
      <c r="AJ465" s="40"/>
      <c r="AK465" s="40"/>
      <c r="AL465" s="40"/>
      <c r="AM465" s="40"/>
    </row>
    <row r="466" spans="2:39" ht="21.95" customHeight="1" x14ac:dyDescent="0.2">
      <c r="B466" s="492"/>
      <c r="C466" s="116" t="s">
        <v>346</v>
      </c>
      <c r="D466" s="116" t="s">
        <v>343</v>
      </c>
      <c r="E466" s="116" t="s">
        <v>19</v>
      </c>
      <c r="F466" s="116" t="s">
        <v>41</v>
      </c>
      <c r="G466" s="970"/>
      <c r="H466" s="970"/>
      <c r="I466" s="777">
        <f>$G$21*$M$8*'Traffic Data'!AK61*annualizationFactor</f>
        <v>3.7512045454545459E-3</v>
      </c>
      <c r="J466" s="777">
        <f>$G$21*$M$8*'Traffic Data'!AL61*annualizationFactor</f>
        <v>3.8576696534090909E-3</v>
      </c>
      <c r="K466" s="777">
        <f>$G$21*$M$8*'Traffic Data'!AM61*annualizationFactor</f>
        <v>3.9758177892045459E-3</v>
      </c>
      <c r="L466" s="777">
        <f>$G$21*$M$8*'Traffic Data'!AN61*annualizationFactor</f>
        <v>4.1416506448863633E-3</v>
      </c>
      <c r="M466" s="777">
        <f>$G$21*$M$8*'Traffic Data'!AO61*annualizationFactor</f>
        <v>4.3075131153409094E-3</v>
      </c>
      <c r="N466" s="777">
        <f>$G$21*$M$8*'Traffic Data'!AP61*annualizationFactor</f>
        <v>4.4734101363636354E-3</v>
      </c>
      <c r="O466" s="777">
        <f>$G$21*$M$8*'Traffic Data'!AQ61*annualizationFactor</f>
        <v>4.6392429920454545E-3</v>
      </c>
      <c r="P466" s="777">
        <f>$G$21*$M$8*'Traffic Data'!AR61*annualizationFactor</f>
        <v>4.8050857193181829E-3</v>
      </c>
      <c r="Q466" s="777">
        <f>$G$21*$M$8*'Traffic Data'!AS61*annualizationFactor</f>
        <v>4.9914860346590914E-3</v>
      </c>
      <c r="R466" s="777">
        <f>$G$21*$M$8*'Traffic Data'!AT61*annualizationFactor</f>
        <v>5.1778221846590896E-3</v>
      </c>
      <c r="S466" s="777">
        <f>$G$21*$M$8*'Traffic Data'!AU61*annualizationFactor</f>
        <v>5.3642224999999998E-3</v>
      </c>
      <c r="T466" s="777">
        <f>$G$21*$M$8*'Traffic Data'!AV61*annualizationFactor</f>
        <v>5.5506228153409084E-3</v>
      </c>
      <c r="U466" s="777">
        <f>$G$21*$M$8*'Traffic Data'!AW61*annualizationFactor</f>
        <v>5.7370527454545456E-3</v>
      </c>
      <c r="V466" s="777">
        <f>$G$21*$M$8*'Traffic Data'!AX61*annualizationFactor</f>
        <v>5.8757880840909077E-3</v>
      </c>
      <c r="W466" s="777">
        <f>$G$21*$M$8*'Traffic Data'!AY61*annualizationFactor</f>
        <v>5.9822531920454549E-3</v>
      </c>
      <c r="X466" s="777">
        <f>$G$21*$M$8*'Traffic Data'!AZ61*annualizationFactor</f>
        <v>6.0887183000000004E-3</v>
      </c>
      <c r="Y466" s="777">
        <f>$G$21*$M$8*'Traffic Data'!BA61*annualizationFactor</f>
        <v>6.1951834079545442E-3</v>
      </c>
      <c r="Z466" s="777">
        <f>$G$21*$M$8*'Traffic Data'!BB61*annualizationFactor</f>
        <v>6.3015942221590895E-3</v>
      </c>
      <c r="AA466" s="777">
        <f>$G$21*$M$8*'Traffic Data'!BC61*annualizationFactor</f>
        <v>6.4080593301136359E-3</v>
      </c>
      <c r="AB466" s="777">
        <f>$G$21*$M$8*'Traffic Data'!BD61*annualizationFactor</f>
        <v>6.514470144318182E-3</v>
      </c>
      <c r="AC466" s="777">
        <f>$G$21*$M$8*'Traffic Data'!BE61*annualizationFactor</f>
        <v>6.6209352522727267E-3</v>
      </c>
      <c r="AD466" s="777">
        <f>$G$21*$M$8*'Traffic Data'!BF61*annualizationFactor</f>
        <v>6.7274003602272739E-3</v>
      </c>
      <c r="AE466" s="777">
        <f>$G$21*$M$8*'Traffic Data'!BG61*annualizationFactor</f>
        <v>6.8338111744318175E-3</v>
      </c>
      <c r="AF466" s="777">
        <f>$G$21*$M$8*'Traffic Data'!BH61*annualizationFactor</f>
        <v>6.940276282386363E-3</v>
      </c>
      <c r="AG466" s="777">
        <f>$G$21*$M$8*'Traffic Data'!BI61*annualizationFactor</f>
        <v>7.0467413903409076E-3</v>
      </c>
      <c r="AH466" s="778">
        <f>$G$21*$M$8*'Traffic Data'!BJ61*annualizationFactor</f>
        <v>7.1531522045454529E-3</v>
      </c>
      <c r="AI466" s="40"/>
      <c r="AJ466" s="40"/>
      <c r="AK466" s="40"/>
      <c r="AL466" s="40"/>
      <c r="AM466" s="40"/>
    </row>
    <row r="467" spans="2:39" ht="21.95" customHeight="1" x14ac:dyDescent="0.2">
      <c r="B467" s="492"/>
      <c r="C467" s="116" t="s">
        <v>343</v>
      </c>
      <c r="D467" s="116" t="s">
        <v>350</v>
      </c>
      <c r="E467" s="116" t="s">
        <v>19</v>
      </c>
      <c r="F467" s="116" t="s">
        <v>41</v>
      </c>
      <c r="G467" s="970"/>
      <c r="H467" s="970"/>
      <c r="I467" s="777">
        <f>$G$21*$M$8*'Traffic Data'!AK62*annualizationFactor</f>
        <v>9.6248011363636379E-3</v>
      </c>
      <c r="J467" s="777">
        <f>$G$21*$M$8*'Traffic Data'!AL62*annualizationFactor</f>
        <v>9.8977284139204549E-3</v>
      </c>
      <c r="K467" s="777">
        <f>$G$21*$M$8*'Traffic Data'!AM62*annualizationFactor</f>
        <v>1.0208721779971591E-2</v>
      </c>
      <c r="L467" s="777">
        <f>$G$21*$M$8*'Traffic Data'!AN62*annualizationFactor</f>
        <v>1.0606097736221592E-2</v>
      </c>
      <c r="M467" s="777">
        <f>$G$21*$M$8*'Traffic Data'!AO62*annualizationFactor</f>
        <v>1.1003602023153409E-2</v>
      </c>
      <c r="N467" s="777">
        <f>$G$21*$M$8*'Traffic Data'!AP62*annualizationFactor</f>
        <v>1.1401042144744323E-2</v>
      </c>
      <c r="O467" s="777">
        <f>$G$21*$M$8*'Traffic Data'!AQ62*annualizationFactor</f>
        <v>1.1798418100994322E-2</v>
      </c>
      <c r="P467" s="777">
        <f>$G$21*$M$8*'Traffic Data'!AR62*annualizationFactor</f>
        <v>1.2195874263920456E-2</v>
      </c>
      <c r="Q467" s="777">
        <f>$G$21*$M$8*'Traffic Data'!AS62*annualizationFactor</f>
        <v>1.2645095815624998E-2</v>
      </c>
      <c r="R467" s="777">
        <f>$G$21*$M$8*'Traffic Data'!AT62*annualizationFactor</f>
        <v>1.3094301325994318E-2</v>
      </c>
      <c r="S467" s="777">
        <f>$G$21*$M$8*'Traffic Data'!AU62*annualizationFactor</f>
        <v>1.3543458712357955E-2</v>
      </c>
      <c r="T467" s="777">
        <f>$G$21*$M$8*'Traffic Data'!AV62*annualizationFactor</f>
        <v>1.3992680264062503E-2</v>
      </c>
      <c r="U467" s="777">
        <f>$G$21*$M$8*'Traffic Data'!AW62*annualizationFactor</f>
        <v>1.444198202244318E-2</v>
      </c>
      <c r="V467" s="777">
        <f>$G$21*$M$8*'Traffic Data'!AX62*annualizationFactor</f>
        <v>1.4804804942613638E-2</v>
      </c>
      <c r="W467" s="777">
        <f>$G$21*$M$8*'Traffic Data'!AY62*annualizationFactor</f>
        <v>1.5077732220170456E-2</v>
      </c>
      <c r="X467" s="777">
        <f>$G$21*$M$8*'Traffic Data'!AZ62*annualizationFactor</f>
        <v>1.5350659497727277E-2</v>
      </c>
      <c r="Y467" s="777">
        <f>$G$21*$M$8*'Traffic Data'!BA62*annualizationFactor</f>
        <v>1.5623586775284094E-2</v>
      </c>
      <c r="Z467" s="777">
        <f>$G$21*$M$8*'Traffic Data'!BB62*annualizationFactor</f>
        <v>1.5896433846164779E-2</v>
      </c>
      <c r="AA467" s="777">
        <f>$G$21*$M$8*'Traffic Data'!BC62*annualizationFactor</f>
        <v>1.6169361123721589E-2</v>
      </c>
      <c r="AB467" s="777">
        <f>$G$21*$M$8*'Traffic Data'!BD62*annualizationFactor</f>
        <v>1.6442208194602272E-2</v>
      </c>
      <c r="AC467" s="777">
        <f>$G$21*$M$8*'Traffic Data'!BE62*annualizationFactor</f>
        <v>1.6715135472159089E-2</v>
      </c>
      <c r="AD467" s="777">
        <f>$G$21*$M$8*'Traffic Data'!BF62*annualizationFactor</f>
        <v>1.6988062749715909E-2</v>
      </c>
      <c r="AE467" s="777">
        <f>$G$21*$M$8*'Traffic Data'!BG62*annualizationFactor</f>
        <v>1.7260909820596589E-2</v>
      </c>
      <c r="AF467" s="777">
        <f>$G$21*$M$8*'Traffic Data'!BH62*annualizationFactor</f>
        <v>1.7533837098153409E-2</v>
      </c>
      <c r="AG467" s="777">
        <f>$G$21*$M$8*'Traffic Data'!BI62*annualizationFactor</f>
        <v>1.7806764375710223E-2</v>
      </c>
      <c r="AH467" s="778">
        <f>$G$21*$M$8*'Traffic Data'!BJ62*annualizationFactor</f>
        <v>1.8079611446590906E-2</v>
      </c>
      <c r="AI467" s="40"/>
      <c r="AJ467" s="40"/>
      <c r="AK467" s="40"/>
      <c r="AL467" s="40"/>
      <c r="AM467" s="40"/>
    </row>
    <row r="468" spans="2:39" ht="21.95" customHeight="1" x14ac:dyDescent="0.2">
      <c r="B468" s="492"/>
      <c r="C468" s="116" t="s">
        <v>350</v>
      </c>
      <c r="D468" s="116" t="s">
        <v>280</v>
      </c>
      <c r="E468" s="116" t="s">
        <v>19</v>
      </c>
      <c r="F468" s="116" t="s">
        <v>41</v>
      </c>
      <c r="G468" s="970"/>
      <c r="H468" s="970"/>
      <c r="I468" s="777">
        <f>$G$21*$M$8*'Traffic Data'!AK63*annualizationFactor</f>
        <v>7.9910528409090908E-2</v>
      </c>
      <c r="J468" s="777">
        <f>$G$21*$M$8*'Traffic Data'!AL63*annualizationFactor</f>
        <v>8.2176524626344713E-2</v>
      </c>
      <c r="K468" s="777">
        <f>$G$21*$M$8*'Traffic Data'!AM63*annualizationFactor</f>
        <v>8.4758566983456435E-2</v>
      </c>
      <c r="L468" s="777">
        <f>$G$21*$M$8*'Traffic Data'!AN63*annualizationFactor</f>
        <v>8.8057806333039793E-2</v>
      </c>
      <c r="M468" s="777">
        <f>$G$21*$M$8*'Traffic Data'!AO63*annualizationFactor</f>
        <v>9.1358111156335228E-2</v>
      </c>
      <c r="N468" s="777">
        <f>$G$21*$M$8*'Traffic Data'!AP63*annualizationFactor</f>
        <v>9.465788324277466E-2</v>
      </c>
      <c r="O468" s="777">
        <f>$G$21*$M$8*'Traffic Data'!AQ63*annualizationFactor</f>
        <v>9.7957122592357976E-2</v>
      </c>
      <c r="P468" s="777">
        <f>$G$21*$M$8*'Traffic Data'!AR63*annualizationFactor</f>
        <v>0.1012570278630114</v>
      </c>
      <c r="Q468" s="777">
        <f>$G$21*$M$8*'Traffic Data'!AS63*annualizationFactor</f>
        <v>0.10498671859229167</v>
      </c>
      <c r="R468" s="777">
        <f>$G$21*$M$8*'Traffic Data'!AT63*annualizationFactor</f>
        <v>0.10871627613735797</v>
      </c>
      <c r="S468" s="777">
        <f>$G$21*$M$8*'Traffic Data'!AU63*annualizationFactor</f>
        <v>0.11244543412978221</v>
      </c>
      <c r="T468" s="777">
        <f>$G$21*$M$8*'Traffic Data'!AV63*annualizationFactor</f>
        <v>0.11617512485906253</v>
      </c>
      <c r="U468" s="777">
        <f>$G$21*$M$8*'Traffic Data'!AW63*annualizationFactor</f>
        <v>0.11990548150941288</v>
      </c>
      <c r="V468" s="777">
        <f>$G$21*$M$8*'Traffic Data'!AX63*annualizationFactor</f>
        <v>0.12291784206200758</v>
      </c>
      <c r="W468" s="777">
        <f>$G$21*$M$8*'Traffic Data'!AY63*annualizationFactor</f>
        <v>0.12518383827926138</v>
      </c>
      <c r="X468" s="777">
        <f>$G$21*$M$8*'Traffic Data'!AZ63*annualizationFactor</f>
        <v>0.12744983449651517</v>
      </c>
      <c r="Y468" s="777">
        <f>$G$21*$M$8*'Traffic Data'!BA63*annualizationFactor</f>
        <v>0.12971583071376896</v>
      </c>
      <c r="Z468" s="777">
        <f>$G$21*$M$8*'Traffic Data'!BB63*annualizationFactor</f>
        <v>0.13198116100995269</v>
      </c>
      <c r="AA468" s="777">
        <f>$G$21*$M$8*'Traffic Data'!BC63*annualizationFactor</f>
        <v>0.13424715722720643</v>
      </c>
      <c r="AB468" s="777">
        <f>$G$21*$M$8*'Traffic Data'!BD63*annualizationFactor</f>
        <v>0.13651248752339012</v>
      </c>
      <c r="AC468" s="777">
        <f>$G$21*$M$8*'Traffic Data'!BE63*annualizationFactor</f>
        <v>0.13877848374064394</v>
      </c>
      <c r="AD468" s="777">
        <f>$G$21*$M$8*'Traffic Data'!BF63*annualizationFactor</f>
        <v>0.14104447995789773</v>
      </c>
      <c r="AE468" s="777">
        <f>$G$21*$M$8*'Traffic Data'!BG63*annualizationFactor</f>
        <v>0.1433098102540814</v>
      </c>
      <c r="AF468" s="777">
        <f>$G$21*$M$8*'Traffic Data'!BH63*annualizationFactor</f>
        <v>0.14557580647133522</v>
      </c>
      <c r="AG468" s="777">
        <f>$G$21*$M$8*'Traffic Data'!BI63*annualizationFactor</f>
        <v>0.14784180268858899</v>
      </c>
      <c r="AH468" s="778">
        <f>$G$21*$M$8*'Traffic Data'!BJ63*annualizationFactor</f>
        <v>0.15010713298477268</v>
      </c>
      <c r="AI468" s="40"/>
      <c r="AJ468" s="40"/>
      <c r="AK468" s="40"/>
      <c r="AL468" s="40"/>
      <c r="AM468" s="40"/>
    </row>
    <row r="469" spans="2:39" ht="21.95" customHeight="1" x14ac:dyDescent="0.2">
      <c r="B469" s="493"/>
      <c r="C469" s="254" t="s">
        <v>280</v>
      </c>
      <c r="D469" s="254" t="s">
        <v>333</v>
      </c>
      <c r="E469" s="254" t="s">
        <v>19</v>
      </c>
      <c r="F469" s="254" t="s">
        <v>41</v>
      </c>
      <c r="G469" s="779"/>
      <c r="H469" s="779"/>
      <c r="I469" s="779">
        <f>$G$21*$M$8*'Traffic Data'!AK64*annualizationFactor</f>
        <v>1.9743181818181821E-3</v>
      </c>
      <c r="J469" s="779">
        <f>$G$21*$M$8*'Traffic Data'!AL64*annualizationFactor</f>
        <v>2.0303032643939401E-3</v>
      </c>
      <c r="K469" s="779">
        <f>$G$21*$M$8*'Traffic Data'!AM64*annualizationFactor</f>
        <v>2.0940967753787878E-3</v>
      </c>
      <c r="L469" s="779">
        <f>$G$21*$M$8*'Traffic Data'!AN64*annualizationFactor</f>
        <v>2.1756097920454551E-3</v>
      </c>
      <c r="M469" s="779">
        <f>$G$21*$M$8*'Traffic Data'!AO64*annualizationFactor</f>
        <v>2.2571491329545453E-3</v>
      </c>
      <c r="N469" s="779">
        <f>$G$21*$M$8*'Traffic Data'!AP64*annualizationFactor</f>
        <v>2.338675311742425E-3</v>
      </c>
      <c r="O469" s="779">
        <f>$G$21*$M$8*'Traffic Data'!AQ64*annualizationFactor</f>
        <v>2.4201883284090918E-3</v>
      </c>
      <c r="P469" s="779">
        <f>$G$21*$M$8*'Traffic Data'!AR64*annualizationFactor</f>
        <v>2.5017177977272737E-3</v>
      </c>
      <c r="Q469" s="779">
        <f>$G$21*$M$8*'Traffic Data'!AS64*annualizationFactor</f>
        <v>2.5938658083333337E-3</v>
      </c>
      <c r="R469" s="779">
        <f>$G$21*$M$8*'Traffic Data'!AT64*annualizationFactor</f>
        <v>2.6860105284090916E-3</v>
      </c>
      <c r="S469" s="779">
        <f>$G$21*$M$8*'Traffic Data'!AU64*annualizationFactor</f>
        <v>2.7781453768939398E-3</v>
      </c>
      <c r="T469" s="779">
        <f>$G$21*$M$8*'Traffic Data'!AV64*annualizationFactor</f>
        <v>2.8702933875000007E-3</v>
      </c>
      <c r="U469" s="779">
        <f>$G$21*$M$8*'Traffic Data'!AW64*annualizationFactor</f>
        <v>2.9624578507575759E-3</v>
      </c>
      <c r="V469" s="779">
        <f>$G$21*$M$8*'Traffic Data'!AX64*annualizationFactor</f>
        <v>3.0368830651515155E-3</v>
      </c>
      <c r="W469" s="779">
        <f>$G$21*$M$8*'Traffic Data'!AY64*annualizationFactor</f>
        <v>3.0928681477272739E-3</v>
      </c>
      <c r="X469" s="779">
        <f>$G$21*$M$8*'Traffic Data'!AZ64*annualizationFactor</f>
        <v>3.1488532303030315E-3</v>
      </c>
      <c r="Y469" s="779">
        <f>$G$21*$M$8*'Traffic Data'!BA64*annualizationFactor</f>
        <v>3.2048383128787886E-3</v>
      </c>
      <c r="Z469" s="779">
        <f>$G$21*$M$8*'Traffic Data'!BB64*annualizationFactor</f>
        <v>3.2608069428030307E-3</v>
      </c>
      <c r="AA469" s="779">
        <f>$G$21*$M$8*'Traffic Data'!BC64*annualizationFactor</f>
        <v>3.3167920253787874E-3</v>
      </c>
      <c r="AB469" s="779">
        <f>$G$21*$M$8*'Traffic Data'!BD64*annualizationFactor</f>
        <v>3.37276065530303E-3</v>
      </c>
      <c r="AC469" s="779">
        <f>$G$21*$M$8*'Traffic Data'!BE64*annualizationFactor</f>
        <v>3.4287457378787871E-3</v>
      </c>
      <c r="AD469" s="779">
        <f>$G$21*$M$8*'Traffic Data'!BF64*annualizationFactor</f>
        <v>3.4847308204545447E-3</v>
      </c>
      <c r="AE469" s="779">
        <f>$G$21*$M$8*'Traffic Data'!BG64*annualizationFactor</f>
        <v>3.5406994503787872E-3</v>
      </c>
      <c r="AF469" s="779">
        <f>$G$21*$M$8*'Traffic Data'!BH64*annualizationFactor</f>
        <v>3.5966845329545452E-3</v>
      </c>
      <c r="AG469" s="779">
        <f>$G$21*$M$8*'Traffic Data'!BI64*annualizationFactor</f>
        <v>3.6526696155303024E-3</v>
      </c>
      <c r="AH469" s="783">
        <f>$G$21*$M$8*'Traffic Data'!BJ64*annualizationFactor</f>
        <v>3.7086382454545454E-3</v>
      </c>
      <c r="AI469" s="40"/>
      <c r="AJ469" s="40"/>
      <c r="AK469" s="40"/>
      <c r="AL469" s="40"/>
      <c r="AM469" s="40"/>
    </row>
    <row r="470" spans="2:39" ht="21.95" customHeight="1" x14ac:dyDescent="0.2">
      <c r="B470" s="1109" t="s">
        <v>494</v>
      </c>
      <c r="C470" s="240"/>
      <c r="D470" s="240"/>
      <c r="E470" s="240"/>
      <c r="F470" s="240"/>
      <c r="G470" s="969">
        <f>SUM(G441:G469)</f>
        <v>0</v>
      </c>
      <c r="H470" s="969">
        <f>SUM(H441:H469)</f>
        <v>0</v>
      </c>
      <c r="I470" s="785">
        <f t="shared" ref="I470:AH470" si="36">SUM(I441:I469)</f>
        <v>3.0983876174469707</v>
      </c>
      <c r="J470" s="785">
        <f t="shared" si="36"/>
        <v>3.1905422890011308</v>
      </c>
      <c r="K470" s="785">
        <f t="shared" si="36"/>
        <v>3.3484125405330918</v>
      </c>
      <c r="L470" s="785">
        <f t="shared" si="36"/>
        <v>3.5918921885601334</v>
      </c>
      <c r="M470" s="785">
        <f t="shared" si="36"/>
        <v>3.8354797270146554</v>
      </c>
      <c r="N470" s="785">
        <f t="shared" si="36"/>
        <v>4.0790727241595128</v>
      </c>
      <c r="O470" s="785">
        <f t="shared" si="36"/>
        <v>4.3225523721865544</v>
      </c>
      <c r="P470" s="785">
        <f t="shared" si="36"/>
        <v>4.5662492179906478</v>
      </c>
      <c r="Q470" s="785">
        <f t="shared" si="36"/>
        <v>4.7945917016771489</v>
      </c>
      <c r="R470" s="785">
        <f t="shared" si="36"/>
        <v>5.0218213444776856</v>
      </c>
      <c r="S470" s="785">
        <f t="shared" si="36"/>
        <v>5.2576884544673481</v>
      </c>
      <c r="T470" s="785">
        <f t="shared" si="36"/>
        <v>5.49762663854397</v>
      </c>
      <c r="U470" s="785">
        <f t="shared" si="36"/>
        <v>5.7376715944298748</v>
      </c>
      <c r="V470" s="785">
        <f t="shared" si="36"/>
        <v>5.889666700283791</v>
      </c>
      <c r="W470" s="785">
        <f t="shared" si="36"/>
        <v>5.9862041979703458</v>
      </c>
      <c r="X470" s="785">
        <f t="shared" si="36"/>
        <v>6.0853057097688517</v>
      </c>
      <c r="Y470" s="785">
        <f t="shared" si="36"/>
        <v>6.1844072215673584</v>
      </c>
      <c r="Z470" s="785">
        <f t="shared" si="36"/>
        <v>6.2835665800128098</v>
      </c>
      <c r="AA470" s="785">
        <f t="shared" si="36"/>
        <v>6.3826680918113148</v>
      </c>
      <c r="AB470" s="785">
        <f t="shared" si="36"/>
        <v>6.4818275450240392</v>
      </c>
      <c r="AC470" s="785">
        <f t="shared" si="36"/>
        <v>6.5809290568225443</v>
      </c>
      <c r="AD470" s="785">
        <f t="shared" si="36"/>
        <v>6.680030568621051</v>
      </c>
      <c r="AE470" s="785">
        <f t="shared" si="36"/>
        <v>6.7791899270664997</v>
      </c>
      <c r="AF470" s="785">
        <f t="shared" si="36"/>
        <v>6.8782914388650065</v>
      </c>
      <c r="AG470" s="785">
        <f t="shared" si="36"/>
        <v>6.9773929506635097</v>
      </c>
      <c r="AH470" s="786">
        <f t="shared" si="36"/>
        <v>7.076552403876236</v>
      </c>
      <c r="AI470" s="40"/>
      <c r="AJ470" s="40"/>
      <c r="AK470" s="40"/>
      <c r="AL470" s="40"/>
      <c r="AM470" s="40"/>
    </row>
    <row r="471" spans="2:39" ht="21.95" customHeight="1" x14ac:dyDescent="0.2">
      <c r="B471" s="787" t="s">
        <v>328</v>
      </c>
      <c r="C471" s="1344" t="s">
        <v>18</v>
      </c>
      <c r="D471" s="1344"/>
      <c r="E471" s="46" t="s">
        <v>24</v>
      </c>
      <c r="F471" s="46" t="s">
        <v>42</v>
      </c>
      <c r="G471" s="123" cm="1">
        <f t="array" ref="G471:AH471">year</f>
        <v>2021</v>
      </c>
      <c r="H471" s="123">
        <v>2022</v>
      </c>
      <c r="I471" s="46">
        <v>2023</v>
      </c>
      <c r="J471" s="46">
        <v>2024</v>
      </c>
      <c r="K471" s="46">
        <v>2025</v>
      </c>
      <c r="L471" s="46">
        <v>2026</v>
      </c>
      <c r="M471" s="46">
        <v>2027</v>
      </c>
      <c r="N471" s="46">
        <v>2028</v>
      </c>
      <c r="O471" s="46">
        <v>2029</v>
      </c>
      <c r="P471" s="46">
        <v>2030</v>
      </c>
      <c r="Q471" s="46">
        <v>2031</v>
      </c>
      <c r="R471" s="46">
        <v>2032</v>
      </c>
      <c r="S471" s="46">
        <v>2033</v>
      </c>
      <c r="T471" s="46">
        <v>2034</v>
      </c>
      <c r="U471" s="46">
        <v>2035</v>
      </c>
      <c r="V471" s="46">
        <v>2036</v>
      </c>
      <c r="W471" s="46">
        <v>2037</v>
      </c>
      <c r="X471" s="46">
        <v>2038</v>
      </c>
      <c r="Y471" s="46">
        <v>2039</v>
      </c>
      <c r="Z471" s="46">
        <v>2040</v>
      </c>
      <c r="AA471" s="46">
        <v>2041</v>
      </c>
      <c r="AB471" s="46">
        <v>2042</v>
      </c>
      <c r="AC471" s="46">
        <v>2043</v>
      </c>
      <c r="AD471" s="46">
        <v>2044</v>
      </c>
      <c r="AE471" s="46">
        <v>2045</v>
      </c>
      <c r="AF471" s="46">
        <v>2046</v>
      </c>
      <c r="AG471" s="46">
        <v>2047</v>
      </c>
      <c r="AH471" s="495">
        <v>2048</v>
      </c>
      <c r="AI471" s="40"/>
      <c r="AJ471" s="40"/>
      <c r="AK471" s="40"/>
      <c r="AL471" s="40"/>
      <c r="AM471" s="40"/>
    </row>
    <row r="472" spans="2:39" ht="21.95" customHeight="1" x14ac:dyDescent="0.2">
      <c r="B472" s="1346" t="s">
        <v>331</v>
      </c>
      <c r="C472" s="220" t="s">
        <v>332</v>
      </c>
      <c r="D472" s="220" t="s">
        <v>282</v>
      </c>
      <c r="E472" s="220" t="s">
        <v>467</v>
      </c>
      <c r="F472" s="220" t="s">
        <v>41</v>
      </c>
      <c r="G472" s="775"/>
      <c r="H472" s="775"/>
      <c r="I472" s="775">
        <f>$G$22*$E$9*'Traffic Data'!AK36*annualizationFactor</f>
        <v>4.3274400000000001E-3</v>
      </c>
      <c r="J472" s="775">
        <f>$G$22*$E$9*'Traffic Data'!AL36*annualizationFactor</f>
        <v>4.5242168107500003E-3</v>
      </c>
      <c r="K472" s="775">
        <f>$G$22*$E$9*'Traffic Data'!AM36*annualizationFactor</f>
        <v>4.8014569590000018E-3</v>
      </c>
      <c r="L472" s="775">
        <f>$G$22*$E$9*'Traffic Data'!AN36*annualizationFactor</f>
        <v>5.2092640860000004E-3</v>
      </c>
      <c r="M472" s="775">
        <f>$G$22*$E$9*'Traffic Data'!AO36*annualizationFactor</f>
        <v>5.61721996875E-3</v>
      </c>
      <c r="N472" s="775">
        <f>$G$22*$E$9*'Traffic Data'!AP36*annualizationFactor</f>
        <v>6.0251758514999997E-3</v>
      </c>
      <c r="O472" s="775">
        <f>$G$22*$E$9*'Traffic Data'!AQ36*annualizationFactor</f>
        <v>6.4329829785000001E-3</v>
      </c>
      <c r="P472" s="775">
        <f>$G$22*$E$9*'Traffic Data'!AR36*annualizationFactor</f>
        <v>6.8410876169999997E-3</v>
      </c>
      <c r="Q472" s="775">
        <f>$G$22*$E$9*'Traffic Data'!AS36*annualizationFactor</f>
        <v>7.2443644552500006E-3</v>
      </c>
      <c r="R472" s="775">
        <f>$G$22*$E$9*'Traffic Data'!AT36*annualizationFactor</f>
        <v>7.6477224330000005E-3</v>
      </c>
      <c r="S472" s="775">
        <f>$G$22*$E$9*'Traffic Data'!AU36*annualizationFactor</f>
        <v>8.050999271250003E-3</v>
      </c>
      <c r="T472" s="775">
        <f>$G$22*$E$9*'Traffic Data'!AV36*annualizationFactor</f>
        <v>8.4542761095000012E-3</v>
      </c>
      <c r="U472" s="775">
        <f>$G$22*$E$9*'Traffic Data'!AW36*annualizationFactor</f>
        <v>8.8578504592500013E-3</v>
      </c>
      <c r="V472" s="775">
        <f>$G$22*$E$9*'Traffic Data'!AX36*annualizationFactor</f>
        <v>9.1304115630000023E-3</v>
      </c>
      <c r="W472" s="775">
        <f>$G$22*$E$9*'Traffic Data'!AY36*annualizationFactor</f>
        <v>9.3271883737500016E-3</v>
      </c>
      <c r="X472" s="775">
        <f>$G$22*$E$9*'Traffic Data'!AZ36*annualizationFactor</f>
        <v>9.5239651844999992E-3</v>
      </c>
      <c r="Y472" s="775">
        <f>$G$22*$E$9*'Traffic Data'!BA36*annualizationFactor</f>
        <v>9.7207419952500002E-3</v>
      </c>
      <c r="Z472" s="775">
        <f>$G$22*$E$9*'Traffic Data'!BB36*annualizationFactor</f>
        <v>9.9175864222500014E-3</v>
      </c>
      <c r="AA472" s="775">
        <f>$G$22*$E$9*'Traffic Data'!BC36*annualizationFactor</f>
        <v>1.0114363233000002E-2</v>
      </c>
      <c r="AB472" s="775">
        <f>$G$22*$E$9*'Traffic Data'!BD36*annualizationFactor</f>
        <v>1.0311207659999998E-2</v>
      </c>
      <c r="AC472" s="775">
        <f>$G$22*$E$9*'Traffic Data'!BE36*annualizationFactor</f>
        <v>1.0507984470750001E-2</v>
      </c>
      <c r="AD472" s="775">
        <f>$G$22*$E$9*'Traffic Data'!BF36*annualizationFactor</f>
        <v>1.0704761281499999E-2</v>
      </c>
      <c r="AE472" s="775">
        <f>$G$22*$E$9*'Traffic Data'!BG36*annualizationFactor</f>
        <v>1.0901605708499998E-2</v>
      </c>
      <c r="AF472" s="775">
        <f>$G$22*$E$9*'Traffic Data'!BH36*annualizationFactor</f>
        <v>1.1098382519249999E-2</v>
      </c>
      <c r="AG472" s="775">
        <f>$G$22*$E$9*'Traffic Data'!BI36*annualizationFactor</f>
        <v>1.129515933E-2</v>
      </c>
      <c r="AH472" s="776">
        <f>$G$22*$E$9*'Traffic Data'!BJ36*annualizationFactor</f>
        <v>1.1492003757E-2</v>
      </c>
      <c r="AI472" s="40"/>
      <c r="AJ472" s="40"/>
      <c r="AK472" s="40"/>
      <c r="AL472" s="40"/>
      <c r="AM472" s="40"/>
    </row>
    <row r="473" spans="2:39" ht="21.95" customHeight="1" x14ac:dyDescent="0.2">
      <c r="B473" s="1346"/>
      <c r="C473" s="116" t="s">
        <v>282</v>
      </c>
      <c r="D473" s="116" t="s">
        <v>280</v>
      </c>
      <c r="E473" s="116" t="s">
        <v>467</v>
      </c>
      <c r="F473" s="116" t="s">
        <v>41</v>
      </c>
      <c r="G473" s="970"/>
      <c r="H473" s="970"/>
      <c r="I473" s="777">
        <f>$G$22*$E$9*'Traffic Data'!AK37*annualizationFactor</f>
        <v>0.13915036022727273</v>
      </c>
      <c r="J473" s="777">
        <f>$G$22*$E$9*'Traffic Data'!AL37*annualizationFactor</f>
        <v>0.14649543776045454</v>
      </c>
      <c r="K473" s="777">
        <f>$G$22*$E$9*'Traffic Data'!AM37*annualizationFactor</f>
        <v>0.15752130000750003</v>
      </c>
      <c r="L473" s="777">
        <f>$G$22*$E$9*'Traffic Data'!AN37*annualizationFactor</f>
        <v>0.17573762827636366</v>
      </c>
      <c r="M473" s="777">
        <f>$G$22*$E$9*'Traffic Data'!AO37*annualizationFactor</f>
        <v>0.19396220249250004</v>
      </c>
      <c r="N473" s="777">
        <f>$G$22*$E$9*'Traffic Data'!AP37*annualizationFactor</f>
        <v>0.21218574596522727</v>
      </c>
      <c r="O473" s="777">
        <f>$G$22*$E$9*'Traffic Data'!AQ37*annualizationFactor</f>
        <v>0.23040207423409095</v>
      </c>
      <c r="P473" s="777">
        <f>$G$22*$E$9*'Traffic Data'!AR37*annualizationFactor</f>
        <v>0.24863489439749997</v>
      </c>
      <c r="Q473" s="777">
        <f>$G$22*$E$9*'Traffic Data'!AS37*annualizationFactor</f>
        <v>0.26702954127613637</v>
      </c>
      <c r="R473" s="777">
        <f>$G$22*$E$9*'Traffic Data'!AT37*annualizationFactor</f>
        <v>0.28543037261522725</v>
      </c>
      <c r="S473" s="777">
        <f>$G$22*$E$9*'Traffic Data'!AU37*annualizationFactor</f>
        <v>0.30382501949386365</v>
      </c>
      <c r="T473" s="777">
        <f>$G$22*$E$9*'Traffic Data'!AV37*annualizationFactor</f>
        <v>0.32221966637250005</v>
      </c>
      <c r="U473" s="777">
        <f>$G$22*$E$9*'Traffic Data'!AW37*annualizationFactor</f>
        <v>0.34063080514568184</v>
      </c>
      <c r="V473" s="777">
        <f>$G$22*$E$9*'Traffic Data'!AX37*annualizationFactor</f>
        <v>0.35182674005522735</v>
      </c>
      <c r="W473" s="777">
        <f>$G$22*$E$9*'Traffic Data'!AY37*annualizationFactor</f>
        <v>0.35917181758840905</v>
      </c>
      <c r="X473" s="777">
        <f>$G$22*$E$9*'Traffic Data'!AZ37*annualizationFactor</f>
        <v>0.36651689512159091</v>
      </c>
      <c r="Y473" s="777">
        <f>$G$22*$E$9*'Traffic Data'!BA37*annualizationFactor</f>
        <v>0.37386197265477283</v>
      </c>
      <c r="Z473" s="777">
        <f>$G$22*$E$9*'Traffic Data'!BB37*annualizationFactor</f>
        <v>0.38121117316159098</v>
      </c>
      <c r="AA473" s="777">
        <f>$G$22*$E$9*'Traffic Data'!BC37*annualizationFactor</f>
        <v>0.38855625069477268</v>
      </c>
      <c r="AB473" s="777">
        <f>$G$22*$E$9*'Traffic Data'!BD37*annualizationFactor</f>
        <v>0.39590545120159093</v>
      </c>
      <c r="AC473" s="777">
        <f>$G$22*$E$9*'Traffic Data'!BE37*annualizationFactor</f>
        <v>0.4032505287347728</v>
      </c>
      <c r="AD473" s="777">
        <f>$G$22*$E$9*'Traffic Data'!BF37*annualizationFactor</f>
        <v>0.41059560626795466</v>
      </c>
      <c r="AE473" s="777">
        <f>$G$22*$E$9*'Traffic Data'!BG37*annualizationFactor</f>
        <v>0.41794480677477275</v>
      </c>
      <c r="AF473" s="777">
        <f>$G$22*$E$9*'Traffic Data'!BH37*annualizationFactor</f>
        <v>0.42528988430795456</v>
      </c>
      <c r="AG473" s="777">
        <f>$G$22*$E$9*'Traffic Data'!BI37*annualizationFactor</f>
        <v>0.43263496184113637</v>
      </c>
      <c r="AH473" s="778">
        <f>$G$22*$E$9*'Traffic Data'!BJ37*annualizationFactor</f>
        <v>0.43998416234795462</v>
      </c>
      <c r="AI473" s="40"/>
      <c r="AJ473" s="40"/>
      <c r="AK473" s="40"/>
      <c r="AL473" s="40"/>
      <c r="AM473" s="40"/>
    </row>
    <row r="474" spans="2:39" ht="21.95" customHeight="1" x14ac:dyDescent="0.2">
      <c r="B474" s="1346"/>
      <c r="C474" s="116" t="s">
        <v>280</v>
      </c>
      <c r="D474" s="116" t="s">
        <v>333</v>
      </c>
      <c r="E474" s="254" t="s">
        <v>467</v>
      </c>
      <c r="F474" s="254" t="s">
        <v>41</v>
      </c>
      <c r="G474" s="779"/>
      <c r="H474" s="779"/>
      <c r="I474" s="777">
        <f>$G$22*$E$9*'Traffic Data'!AK38*annualizationFactor</f>
        <v>3.2455800000000001E-3</v>
      </c>
      <c r="J474" s="777">
        <f>$G$22*$E$9*'Traffic Data'!AL38*annualizationFactor</f>
        <v>3.3811100114999998E-3</v>
      </c>
      <c r="K474" s="777">
        <f>$G$22*$E$9*'Traffic Data'!AM38*annualizationFactor</f>
        <v>3.5488524044999994E-3</v>
      </c>
      <c r="L474" s="777">
        <f>$G$22*$E$9*'Traffic Data'!AN38*annualizationFactor</f>
        <v>3.7746906794999999E-3</v>
      </c>
      <c r="M474" s="777">
        <f>$G$22*$E$9*'Traffic Data'!AO38*annualizationFactor</f>
        <v>4.0006100940000013E-3</v>
      </c>
      <c r="N474" s="777">
        <f>$G$22*$E$9*'Traffic Data'!AP38*annualizationFactor</f>
        <v>4.2265024620000008E-3</v>
      </c>
      <c r="O474" s="777">
        <f>$G$22*$E$9*'Traffic Data'!AQ38*annualizationFactor</f>
        <v>4.4523407370000009E-3</v>
      </c>
      <c r="P474" s="777">
        <f>$G$22*$E$9*'Traffic Data'!AR38*annualizationFactor</f>
        <v>4.6783412910000018E-3</v>
      </c>
      <c r="Q474" s="777">
        <f>$G$22*$E$9*'Traffic Data'!AS38*annualizationFactor</f>
        <v>4.8973097549999999E-3</v>
      </c>
      <c r="R474" s="777">
        <f>$G$22*$E$9*'Traffic Data'!AT38*annualizationFactor</f>
        <v>5.1163593584999988E-3</v>
      </c>
      <c r="S474" s="777">
        <f>$G$22*$E$9*'Traffic Data'!AU38*annualizationFactor</f>
        <v>5.3353278224999995E-3</v>
      </c>
      <c r="T474" s="777">
        <f>$G$22*$E$9*'Traffic Data'!AV38*annualizationFactor</f>
        <v>5.5542962865000002E-3</v>
      </c>
      <c r="U474" s="777">
        <f>$G$22*$E$9*'Traffic Data'!AW38*annualizationFactor</f>
        <v>5.7734270295000008E-3</v>
      </c>
      <c r="V474" s="777">
        <f>$G$22*$E$9*'Traffic Data'!AX38*annualizationFactor</f>
        <v>5.9342184719999996E-3</v>
      </c>
      <c r="W474" s="777">
        <f>$G$22*$E$9*'Traffic Data'!AY38*annualizationFactor</f>
        <v>6.0697484835000003E-3</v>
      </c>
      <c r="X474" s="777">
        <f>$G$22*$E$9*'Traffic Data'!AZ38*annualizationFactor</f>
        <v>6.2052784949999992E-3</v>
      </c>
      <c r="Y474" s="777">
        <f>$G$22*$E$9*'Traffic Data'!BA38*annualizationFactor</f>
        <v>6.3408085065000007E-3</v>
      </c>
      <c r="Z474" s="777">
        <f>$G$22*$E$9*'Traffic Data'!BB38*annualizationFactor</f>
        <v>6.4763926110000007E-3</v>
      </c>
      <c r="AA474" s="777">
        <f>$G$22*$E$9*'Traffic Data'!BC38*annualizationFactor</f>
        <v>6.6119226224999996E-3</v>
      </c>
      <c r="AB474" s="777">
        <f>$G$22*$E$9*'Traffic Data'!BD38*annualizationFactor</f>
        <v>6.7475067270000005E-3</v>
      </c>
      <c r="AC474" s="777">
        <f>$G$22*$E$9*'Traffic Data'!BE38*annualizationFactor</f>
        <v>6.883036738500002E-3</v>
      </c>
      <c r="AD474" s="777">
        <f>$G$22*$E$9*'Traffic Data'!BF38*annualizationFactor</f>
        <v>7.0185667499999991E-3</v>
      </c>
      <c r="AE474" s="777">
        <f>$G$22*$E$9*'Traffic Data'!BG38*annualizationFactor</f>
        <v>7.1541508545000009E-3</v>
      </c>
      <c r="AF474" s="777">
        <f>$G$22*$E$9*'Traffic Data'!BH38*annualizationFactor</f>
        <v>7.2896808659999998E-3</v>
      </c>
      <c r="AG474" s="777">
        <f>$G$22*$E$9*'Traffic Data'!BI38*annualizationFactor</f>
        <v>7.4252108774999987E-3</v>
      </c>
      <c r="AH474" s="778">
        <f>$G$22*$E$9*'Traffic Data'!BJ38*annualizationFactor</f>
        <v>7.5607949820000004E-3</v>
      </c>
      <c r="AI474" s="40"/>
      <c r="AJ474" s="40"/>
      <c r="AK474" s="40"/>
      <c r="AL474" s="40"/>
      <c r="AM474" s="40"/>
    </row>
    <row r="475" spans="2:39" ht="21.95" customHeight="1" x14ac:dyDescent="0.2">
      <c r="B475" s="1346" t="s">
        <v>280</v>
      </c>
      <c r="C475" s="220" t="s">
        <v>281</v>
      </c>
      <c r="D475" s="220" t="s">
        <v>335</v>
      </c>
      <c r="E475" s="116" t="s">
        <v>467</v>
      </c>
      <c r="F475" s="116" t="s">
        <v>41</v>
      </c>
      <c r="G475" s="970"/>
      <c r="H475" s="970"/>
      <c r="I475" s="775">
        <f>$G$22*$F$9*'Traffic Data'!AK39*annualizationFactor</f>
        <v>3.0251200000000002E-2</v>
      </c>
      <c r="J475" s="775">
        <f>$G$22*$F$9*'Traffic Data'!AL39*annualizationFactor</f>
        <v>3.3311260135999998E-2</v>
      </c>
      <c r="K475" s="775">
        <f>$G$22*$F$9*'Traffic Data'!AM39*annualizationFactor</f>
        <v>4.0152720271999995E-2</v>
      </c>
      <c r="L475" s="775">
        <f>$G$22*$F$9*'Traffic Data'!AN39*annualizationFactor</f>
        <v>5.3894327872000006E-2</v>
      </c>
      <c r="M475" s="775">
        <f>$G$22*$F$9*'Traffic Data'!AO39*annualizationFactor</f>
        <v>6.7644405807999991E-2</v>
      </c>
      <c r="N475" s="775">
        <f>$G$22*$F$9*'Traffic Data'!AP39*annualizationFactor</f>
        <v>8.139297118399999E-2</v>
      </c>
      <c r="O475" s="775">
        <f>$G$22*$F$9*'Traffic Data'!AQ39*annualizationFactor</f>
        <v>9.5134578783999987E-2</v>
      </c>
      <c r="P475" s="775">
        <f>$G$22*$F$9*'Traffic Data'!AR39*annualizationFactor</f>
        <v>0.108893127056</v>
      </c>
      <c r="Q475" s="775">
        <f>$G$22*$F$9*'Traffic Data'!AS39*annualizationFactor</f>
        <v>0.12239363259199998</v>
      </c>
      <c r="R475" s="775">
        <f>$G$22*$F$9*'Traffic Data'!AT39*annualizationFactor</f>
        <v>0.13590094464799995</v>
      </c>
      <c r="S475" s="775">
        <f>$G$22*$F$9*'Traffic Data'!AU39*annualizationFactor</f>
        <v>0.149401450184</v>
      </c>
      <c r="T475" s="775">
        <f>$G$22*$F$9*'Traffic Data'!AV39*annualizationFactor</f>
        <v>0.16290195571999999</v>
      </c>
      <c r="U475" s="775">
        <f>$G$22*$F$9*'Traffic Data'!AW39*annualizationFactor</f>
        <v>0.17641940192800001</v>
      </c>
      <c r="V475" s="775">
        <f>$G$22*$F$9*'Traffic Data'!AX39*annualizationFactor</f>
        <v>0.18301128966399999</v>
      </c>
      <c r="W475" s="775">
        <f>$G$22*$F$9*'Traffic Data'!AY39*annualizationFactor</f>
        <v>0.18607134979999998</v>
      </c>
      <c r="X475" s="775">
        <f>$G$22*$F$9*'Traffic Data'!AZ39*annualizationFactor</f>
        <v>0.18913140993599997</v>
      </c>
      <c r="Y475" s="775">
        <f>$G$22*$F$9*'Traffic Data'!BA39*annualizationFactor</f>
        <v>0.19219147007199999</v>
      </c>
      <c r="Z475" s="775">
        <f>$G$22*$F$9*'Traffic Data'!BB39*annualizationFactor</f>
        <v>0.19525621914400001</v>
      </c>
      <c r="AA475" s="775">
        <f>$G$22*$F$9*'Traffic Data'!BC39*annualizationFactor</f>
        <v>0.19831627928000001</v>
      </c>
      <c r="AB475" s="775">
        <f>$G$22*$F$9*'Traffic Data'!BD39*annualizationFactor</f>
        <v>0.20138102835199995</v>
      </c>
      <c r="AC475" s="775">
        <f>$G$22*$F$9*'Traffic Data'!BE39*annualizationFactor</f>
        <v>0.20444108848799997</v>
      </c>
      <c r="AD475" s="775">
        <f>$G$22*$F$9*'Traffic Data'!BF39*annualizationFactor</f>
        <v>0.20750114862400001</v>
      </c>
      <c r="AE475" s="775">
        <f>$G$22*$F$9*'Traffic Data'!BG39*annualizationFactor</f>
        <v>0.21056589769600004</v>
      </c>
      <c r="AF475" s="775">
        <f>$G$22*$F$9*'Traffic Data'!BH39*annualizationFactor</f>
        <v>0.21362595783199997</v>
      </c>
      <c r="AG475" s="775">
        <f>$G$22*$F$9*'Traffic Data'!BI39*annualizationFactor</f>
        <v>0.21668601796799997</v>
      </c>
      <c r="AH475" s="776">
        <f>$G$22*$F$9*'Traffic Data'!BJ39*annualizationFactor</f>
        <v>0.21975076703999996</v>
      </c>
      <c r="AI475" s="40"/>
      <c r="AJ475" s="40"/>
      <c r="AK475" s="40"/>
      <c r="AL475" s="40"/>
      <c r="AM475" s="40"/>
    </row>
    <row r="476" spans="2:39" ht="21.95" customHeight="1" x14ac:dyDescent="0.2">
      <c r="B476" s="1346"/>
      <c r="C476" s="116" t="s">
        <v>335</v>
      </c>
      <c r="D476" s="116" t="s">
        <v>323</v>
      </c>
      <c r="E476" s="116" t="s">
        <v>467</v>
      </c>
      <c r="F476" s="116" t="s">
        <v>41</v>
      </c>
      <c r="G476" s="970"/>
      <c r="H476" s="970"/>
      <c r="I476" s="777">
        <f>$G$22*$F$9*'Traffic Data'!AK40*annualizationFactor</f>
        <v>3.5040000000000006E-3</v>
      </c>
      <c r="J476" s="777">
        <f>$G$22*$F$9*'Traffic Data'!AL40*annualizationFactor</f>
        <v>3.8697008000000009E-3</v>
      </c>
      <c r="K476" s="777">
        <f>$G$22*$F$9*'Traffic Data'!AM40*annualizationFactor</f>
        <v>4.3745395999999995E-3</v>
      </c>
      <c r="L476" s="777">
        <f>$G$22*$F$9*'Traffic Data'!AN40*annualizationFactor</f>
        <v>5.3016395999999997E-3</v>
      </c>
      <c r="M476" s="777">
        <f>$G$22*$F$9*'Traffic Data'!AO40*annualizationFactor</f>
        <v>6.229002400000001E-3</v>
      </c>
      <c r="N476" s="777">
        <f>$G$22*$F$9*'Traffic Data'!AP40*annualizationFactor</f>
        <v>7.1565404000000013E-3</v>
      </c>
      <c r="O476" s="777">
        <f>$G$22*$F$9*'Traffic Data'!AQ40*annualizationFactor</f>
        <v>8.0836403999999997E-3</v>
      </c>
      <c r="P476" s="777">
        <f>$G$22*$F$9*'Traffic Data'!AR40*annualizationFactor</f>
        <v>9.0115872000000007E-3</v>
      </c>
      <c r="Q476" s="777">
        <f>$G$22*$F$9*'Traffic Data'!AS40*annualizationFactor</f>
        <v>1.0345852000000001E-2</v>
      </c>
      <c r="R476" s="777">
        <f>$G$22*$F$9*'Traffic Data'!AT40*annualizationFactor</f>
        <v>1.16804088E-2</v>
      </c>
      <c r="S476" s="777">
        <f>$G$22*$F$9*'Traffic Data'!AU40*annualizationFactor</f>
        <v>1.3014410800000001E-2</v>
      </c>
      <c r="T476" s="777">
        <f>$G$22*$F$9*'Traffic Data'!AV40*annualizationFactor</f>
        <v>1.4348675600000003E-2</v>
      </c>
      <c r="U476" s="777">
        <f>$G$22*$F$9*'Traffic Data'!AW40*annualizationFactor</f>
        <v>1.5683787200000004E-2</v>
      </c>
      <c r="V476" s="777">
        <f>$G$22*$F$9*'Traffic Data'!AX40*annualizationFactor</f>
        <v>1.6594944E-2</v>
      </c>
      <c r="W476" s="777">
        <f>$G$22*$F$9*'Traffic Data'!AY40*annualizationFactor</f>
        <v>1.6960644800000004E-2</v>
      </c>
      <c r="X476" s="777">
        <f>$G$22*$F$9*'Traffic Data'!AZ40*annualizationFactor</f>
        <v>1.7326345600000001E-2</v>
      </c>
      <c r="Y476" s="777">
        <f>$G$22*$F$9*'Traffic Data'!BA40*annualizationFactor</f>
        <v>1.7692046400000001E-2</v>
      </c>
      <c r="Z476" s="777">
        <f>$G$22*$F$9*'Traffic Data'!BB40*annualizationFactor</f>
        <v>1.8058010000000003E-2</v>
      </c>
      <c r="AA476" s="777">
        <f>$G$22*$F$9*'Traffic Data'!BC40*annualizationFactor</f>
        <v>1.84237108E-2</v>
      </c>
      <c r="AB476" s="777">
        <f>$G$22*$F$9*'Traffic Data'!BD40*annualizationFactor</f>
        <v>1.8789674400000005E-2</v>
      </c>
      <c r="AC476" s="777">
        <f>$G$22*$F$9*'Traffic Data'!BE40*annualizationFactor</f>
        <v>1.9155375200000001E-2</v>
      </c>
      <c r="AD476" s="777">
        <f>$G$22*$F$9*'Traffic Data'!BF40*annualizationFactor</f>
        <v>1.9521076000000002E-2</v>
      </c>
      <c r="AE476" s="777">
        <f>$G$22*$F$9*'Traffic Data'!BG40*annualizationFactor</f>
        <v>1.9887039600000003E-2</v>
      </c>
      <c r="AF476" s="777">
        <f>$G$22*$F$9*'Traffic Data'!BH40*annualizationFactor</f>
        <v>2.02527404E-2</v>
      </c>
      <c r="AG476" s="777">
        <f>$G$22*$F$9*'Traffic Data'!BI40*annualizationFactor</f>
        <v>2.06184412E-2</v>
      </c>
      <c r="AH476" s="778">
        <f>$G$22*$F$9*'Traffic Data'!BJ40*annualizationFactor</f>
        <v>2.0984404799999998E-2</v>
      </c>
      <c r="AI476" s="40"/>
      <c r="AJ476" s="40"/>
      <c r="AK476" s="40"/>
      <c r="AL476" s="40"/>
      <c r="AM476" s="40"/>
    </row>
    <row r="477" spans="2:39" ht="21.95" customHeight="1" x14ac:dyDescent="0.2">
      <c r="B477" s="1346"/>
      <c r="C477" s="254" t="s">
        <v>323</v>
      </c>
      <c r="D477" s="254" t="s">
        <v>338</v>
      </c>
      <c r="E477" s="116" t="s">
        <v>467</v>
      </c>
      <c r="F477" s="116" t="s">
        <v>41</v>
      </c>
      <c r="G477" s="970"/>
      <c r="H477" s="970"/>
      <c r="I477" s="777">
        <f>$G$22*$F$9*'Traffic Data'!AK41*annualizationFactor</f>
        <v>4.6953600000000005E-2</v>
      </c>
      <c r="J477" s="777">
        <f>$G$22*$F$9*'Traffic Data'!AL41*annualizationFactor</f>
        <v>4.8268457312000003E-2</v>
      </c>
      <c r="K477" s="777">
        <f>$G$22*$F$9*'Traffic Data'!AM41*annualizationFactor</f>
        <v>5.0142218976000005E-2</v>
      </c>
      <c r="L477" s="777">
        <f>$G$22*$F$9*'Traffic Data'!AN41*annualizationFactor</f>
        <v>5.2772090112000014E-2</v>
      </c>
      <c r="M477" s="777">
        <f>$G$22*$F$9*'Traffic Data'!AO41*annualizationFactor</f>
        <v>5.5403056831999996E-2</v>
      </c>
      <c r="N477" s="777">
        <f>$G$22*$F$9*'Traffic Data'!AP41*annualizationFactor</f>
        <v>5.8033788784000027E-2</v>
      </c>
      <c r="O477" s="777">
        <f>$G$22*$F$9*'Traffic Data'!AQ41*annualizationFactor</f>
        <v>6.0663659920000022E-2</v>
      </c>
      <c r="P477" s="777">
        <f>$G$22*$F$9*'Traffic Data'!AR41*annualizationFactor</f>
        <v>6.3295643968000012E-2</v>
      </c>
      <c r="Q477" s="777">
        <f>$G$22*$F$9*'Traffic Data'!AS41*annualizationFactor</f>
        <v>6.5952591680000006E-2</v>
      </c>
      <c r="R477" s="777">
        <f>$G$22*$F$9*'Traffic Data'!AT41*annualizationFactor</f>
        <v>6.8610321952000008E-2</v>
      </c>
      <c r="S477" s="777">
        <f>$G$22*$F$9*'Traffic Data'!AU41*annualizationFactor</f>
        <v>7.1267034896000003E-2</v>
      </c>
      <c r="T477" s="777">
        <f>$G$22*$F$9*'Traffic Data'!AV41*annualizationFactor</f>
        <v>7.3923982608000011E-2</v>
      </c>
      <c r="U477" s="777">
        <f>$G$22*$F$9*'Traffic Data'!AW41*annualizationFactor</f>
        <v>7.658304323200002E-2</v>
      </c>
      <c r="V477" s="777">
        <f>$G$22*$F$9*'Traffic Data'!AX41*annualizationFactor</f>
        <v>7.8482629376000007E-2</v>
      </c>
      <c r="W477" s="777">
        <f>$G$22*$F$9*'Traffic Data'!AY41*annualizationFactor</f>
        <v>7.9797486688000005E-2</v>
      </c>
      <c r="X477" s="777">
        <f>$G$22*$F$9*'Traffic Data'!AZ41*annualizationFactor</f>
        <v>8.1112344000000003E-2</v>
      </c>
      <c r="Y477" s="777">
        <f>$G$22*$F$9*'Traffic Data'!BA41*annualizationFactor</f>
        <v>8.2427201312000001E-2</v>
      </c>
      <c r="Z477" s="777">
        <f>$G$22*$F$9*'Traffic Data'!BB41*annualizationFactor</f>
        <v>8.3742684671999995E-2</v>
      </c>
      <c r="AA477" s="777">
        <f>$G$22*$F$9*'Traffic Data'!BC41*annualizationFactor</f>
        <v>8.5057541984000021E-2</v>
      </c>
      <c r="AB477" s="777">
        <f>$G$22*$F$9*'Traffic Data'!BD41*annualizationFactor</f>
        <v>8.6373025344000029E-2</v>
      </c>
      <c r="AC477" s="777">
        <f>$G$22*$F$9*'Traffic Data'!BE41*annualizationFactor</f>
        <v>8.7687882656000013E-2</v>
      </c>
      <c r="AD477" s="777">
        <f>$G$22*$F$9*'Traffic Data'!BF41*annualizationFactor</f>
        <v>8.9002739968000025E-2</v>
      </c>
      <c r="AE477" s="777">
        <f>$G$22*$F$9*'Traffic Data'!BG41*annualizationFactor</f>
        <v>9.0318223328000005E-2</v>
      </c>
      <c r="AF477" s="777">
        <f>$G$22*$F$9*'Traffic Data'!BH41*annualizationFactor</f>
        <v>9.1633080639999989E-2</v>
      </c>
      <c r="AG477" s="777">
        <f>$G$22*$F$9*'Traffic Data'!BI41*annualizationFactor</f>
        <v>9.2947937951999987E-2</v>
      </c>
      <c r="AH477" s="778">
        <f>$G$22*$F$9*'Traffic Data'!BJ41*annualizationFactor</f>
        <v>9.4263421311999995E-2</v>
      </c>
      <c r="AI477" s="40"/>
      <c r="AJ477" s="40"/>
      <c r="AK477" s="40"/>
      <c r="AL477" s="40"/>
      <c r="AM477" s="40"/>
    </row>
    <row r="478" spans="2:39" ht="21.95" customHeight="1" x14ac:dyDescent="0.2">
      <c r="B478" s="492" t="s">
        <v>339</v>
      </c>
      <c r="C478" s="116" t="s">
        <v>335</v>
      </c>
      <c r="D478" s="116" t="s">
        <v>323</v>
      </c>
      <c r="E478" s="277" t="s">
        <v>467</v>
      </c>
      <c r="F478" s="277" t="s">
        <v>41</v>
      </c>
      <c r="G478" s="780"/>
      <c r="H478" s="780"/>
      <c r="I478" s="775">
        <f>$G$22*$G$9*'Traffic Data'!AK42*annualizationFactor</f>
        <v>1.3724000000000001E-4</v>
      </c>
      <c r="J478" s="775">
        <f>$G$22*$G$9*'Traffic Data'!AL42*annualizationFactor</f>
        <v>1.0401419600000001E-3</v>
      </c>
      <c r="K478" s="775">
        <f>$G$22*$G$9*'Traffic Data'!AM42*annualizationFactor</f>
        <v>6.0260711600000011E-3</v>
      </c>
      <c r="L478" s="775">
        <f>$G$22*$G$9*'Traffic Data'!AN42*annualizationFactor</f>
        <v>1.3879492920000002E-2</v>
      </c>
      <c r="M478" s="775">
        <f>$G$22*$G$9*'Traffic Data'!AO42*annualizationFactor</f>
        <v>2.1737855320000003E-2</v>
      </c>
      <c r="N478" s="775">
        <f>$G$22*$G$9*'Traffic Data'!AP42*annualizationFactor</f>
        <v>2.9596629440000008E-2</v>
      </c>
      <c r="O478" s="775">
        <f>$G$22*$G$9*'Traffic Data'!AQ42*annualizationFactor</f>
        <v>3.7450051200000008E-2</v>
      </c>
      <c r="P478" s="775">
        <f>$G$22*$G$9*'Traffic Data'!AR42*annualizationFactor</f>
        <v>4.5313903200000005E-2</v>
      </c>
      <c r="Q478" s="775">
        <f>$G$22*$G$9*'Traffic Data'!AS42*annualizationFactor</f>
        <v>4.9729462959999998E-2</v>
      </c>
      <c r="R478" s="775">
        <f>$G$22*$G$9*'Traffic Data'!AT42*annualizationFactor</f>
        <v>5.4146669600000003E-2</v>
      </c>
      <c r="S478" s="775">
        <f>$G$22*$G$9*'Traffic Data'!AU42*annualizationFactor</f>
        <v>5.8563464520000004E-2</v>
      </c>
      <c r="T478" s="775">
        <f>$G$22*$G$9*'Traffic Data'!AV42*annualizationFactor</f>
        <v>6.297902427999999E-2</v>
      </c>
      <c r="U478" s="775">
        <f>$G$22*$G$9*'Traffic Data'!AW42*annualizationFactor</f>
        <v>6.7405014280000022E-2</v>
      </c>
      <c r="V478" s="775">
        <f>$G$22*$G$9*'Traffic Data'!AX42*annualizationFactor</f>
        <v>6.8948827040000035E-2</v>
      </c>
      <c r="W478" s="775">
        <f>$G$22*$G$9*'Traffic Data'!AY42*annualizationFactor</f>
        <v>6.9851729000000015E-2</v>
      </c>
      <c r="X478" s="775">
        <f>$G$22*$G$9*'Traffic Data'!AZ42*annualizationFactor</f>
        <v>7.0754630960000023E-2</v>
      </c>
      <c r="Y478" s="775">
        <f>$G$22*$G$9*'Traffic Data'!BA42*annualizationFactor</f>
        <v>7.1657532920000017E-2</v>
      </c>
      <c r="Z478" s="775">
        <f>$G$22*$G$9*'Traffic Data'!BB42*annualizationFactor</f>
        <v>7.2564003120000012E-2</v>
      </c>
      <c r="AA478" s="775">
        <f>$G$22*$G$9*'Traffic Data'!BC42*annualizationFactor</f>
        <v>7.346690508000002E-2</v>
      </c>
      <c r="AB478" s="775">
        <f>$G$22*$G$9*'Traffic Data'!BD42*annualizationFactor</f>
        <v>7.4373375280000042E-2</v>
      </c>
      <c r="AC478" s="775">
        <f>$G$22*$G$9*'Traffic Data'!BE42*annualizationFactor</f>
        <v>7.5276277240000009E-2</v>
      </c>
      <c r="AD478" s="775">
        <f>$G$22*$G$9*'Traffic Data'!BF42*annualizationFactor</f>
        <v>7.6179179200000016E-2</v>
      </c>
      <c r="AE478" s="775">
        <f>$G$22*$G$9*'Traffic Data'!BG42*annualizationFactor</f>
        <v>7.7085649400000039E-2</v>
      </c>
      <c r="AF478" s="775">
        <f>$G$22*$G$9*'Traffic Data'!BH42*annualizationFactor</f>
        <v>7.7988551360000019E-2</v>
      </c>
      <c r="AG478" s="775">
        <f>$G$22*$G$9*'Traffic Data'!BI42*annualizationFactor</f>
        <v>7.8891453320000013E-2</v>
      </c>
      <c r="AH478" s="776">
        <f>$G$22*$G$9*'Traffic Data'!BJ42*annualizationFactor</f>
        <v>7.9797923520000036E-2</v>
      </c>
      <c r="AI478" s="40"/>
      <c r="AJ478" s="40"/>
      <c r="AK478" s="40"/>
      <c r="AL478" s="40"/>
      <c r="AM478" s="40"/>
    </row>
    <row r="479" spans="2:39" ht="21.95" customHeight="1" x14ac:dyDescent="0.2">
      <c r="B479" s="1346" t="s">
        <v>323</v>
      </c>
      <c r="C479" s="220" t="s">
        <v>282</v>
      </c>
      <c r="D479" s="220" t="s">
        <v>339</v>
      </c>
      <c r="E479" s="116" t="s">
        <v>467</v>
      </c>
      <c r="F479" s="116" t="s">
        <v>41</v>
      </c>
      <c r="G479" s="970"/>
      <c r="H479" s="970"/>
      <c r="I479" s="775">
        <f>$G$22*$H$9*'Traffic Data'!AK43*annualizationFactor</f>
        <v>3.9419999999999999E-4</v>
      </c>
      <c r="J479" s="775">
        <f>$G$22*$H$9*'Traffic Data'!AL43*annualizationFactor</f>
        <v>8.7610949999999987E-4</v>
      </c>
      <c r="K479" s="775">
        <f>$G$22*$H$9*'Traffic Data'!AM43*annualizationFactor</f>
        <v>3.7029177000000007E-3</v>
      </c>
      <c r="L479" s="775">
        <f>$G$22*$H$9*'Traffic Data'!AN43*annualizationFactor</f>
        <v>8.3239271999999993E-3</v>
      </c>
      <c r="M479" s="775">
        <f>$G$22*$H$9*'Traffic Data'!AO43*annualizationFactor</f>
        <v>1.2947499000000003E-2</v>
      </c>
      <c r="N479" s="775">
        <f>$G$22*$H$9*'Traffic Data'!AP43*annualizationFactor</f>
        <v>1.75712679E-2</v>
      </c>
      <c r="O479" s="775">
        <f>$G$22*$H$9*'Traffic Data'!AQ43*annualizationFactor</f>
        <v>2.2192277400000002E-2</v>
      </c>
      <c r="P479" s="775">
        <f>$G$22*$H$9*'Traffic Data'!AR43*annualizationFactor</f>
        <v>2.6818608600000005E-2</v>
      </c>
      <c r="Q479" s="775">
        <f>$G$22*$H$9*'Traffic Data'!AS43*annualizationFactor</f>
        <v>3.0386118600000008E-2</v>
      </c>
      <c r="R479" s="775">
        <f>$G$22*$H$9*'Traffic Data'!AT43*annualizationFactor</f>
        <v>3.3954219900000006E-2</v>
      </c>
      <c r="S479" s="775">
        <f>$G$22*$H$9*'Traffic Data'!AU43*annualizationFactor</f>
        <v>3.7521729900000002E-2</v>
      </c>
      <c r="T479" s="775">
        <f>$G$22*$H$9*'Traffic Data'!AV43*annualizationFactor</f>
        <v>4.1089239899999998E-2</v>
      </c>
      <c r="U479" s="775">
        <f>$G$22*$H$9*'Traffic Data'!AW43*annualizationFactor</f>
        <v>4.46614803E-2</v>
      </c>
      <c r="V479" s="775">
        <f>$G$22*$H$9*'Traffic Data'!AX43*annualizationFactor</f>
        <v>4.6432029599999994E-2</v>
      </c>
      <c r="W479" s="775">
        <f>$G$22*$H$9*'Traffic Data'!AY43*annualizationFactor</f>
        <v>4.691393910000001E-2</v>
      </c>
      <c r="X479" s="775">
        <f>$G$22*$H$9*'Traffic Data'!AZ43*annualizationFactor</f>
        <v>4.7395848600000005E-2</v>
      </c>
      <c r="Y479" s="775">
        <f>$G$22*$H$9*'Traffic Data'!BA43*annualizationFactor</f>
        <v>4.7877758100000015E-2</v>
      </c>
      <c r="Z479" s="775">
        <f>$G$22*$H$9*'Traffic Data'!BB43*annualizationFactor</f>
        <v>4.8361047300000008E-2</v>
      </c>
      <c r="AA479" s="775">
        <f>$G$22*$H$9*'Traffic Data'!BC43*annualizationFactor</f>
        <v>4.8842956800000004E-2</v>
      </c>
      <c r="AB479" s="775">
        <f>$G$22*$H$9*'Traffic Data'!BD43*annualizationFactor</f>
        <v>4.9326245999999997E-2</v>
      </c>
      <c r="AC479" s="775">
        <f>$G$22*$H$9*'Traffic Data'!BE43*annualizationFactor</f>
        <v>4.98081555E-2</v>
      </c>
      <c r="AD479" s="775">
        <f>$G$22*$H$9*'Traffic Data'!BF43*annualizationFactor</f>
        <v>5.0290065000000009E-2</v>
      </c>
      <c r="AE479" s="775">
        <f>$G$22*$H$9*'Traffic Data'!BG43*annualizationFactor</f>
        <v>5.0773354199999995E-2</v>
      </c>
      <c r="AF479" s="775">
        <f>$G$22*$H$9*'Traffic Data'!BH43*annualizationFactor</f>
        <v>5.1255263700000005E-2</v>
      </c>
      <c r="AG479" s="775">
        <f>$G$22*$H$9*'Traffic Data'!BI43*annualizationFactor</f>
        <v>5.17371732E-2</v>
      </c>
      <c r="AH479" s="776">
        <f>$G$22*$H$9*'Traffic Data'!BJ43*annualizationFactor</f>
        <v>5.2220462400000001E-2</v>
      </c>
      <c r="AI479" s="40"/>
      <c r="AJ479" s="40"/>
      <c r="AK479" s="40"/>
      <c r="AL479" s="40"/>
      <c r="AM479" s="40"/>
    </row>
    <row r="480" spans="2:39" ht="21.95" customHeight="1" x14ac:dyDescent="0.2">
      <c r="B480" s="1346"/>
      <c r="C480" s="116" t="s">
        <v>339</v>
      </c>
      <c r="D480" s="116" t="s">
        <v>288</v>
      </c>
      <c r="E480" s="116" t="s">
        <v>467</v>
      </c>
      <c r="F480" s="116" t="s">
        <v>41</v>
      </c>
      <c r="G480" s="970"/>
      <c r="H480" s="970"/>
      <c r="I480" s="777">
        <f>$G$22*$H$9*'Traffic Data'!AK44*annualizationFactor</f>
        <v>0</v>
      </c>
      <c r="J480" s="777">
        <f>$G$22*$H$9*'Traffic Data'!AL44*annualizationFactor</f>
        <v>2.6817280000000001E-4</v>
      </c>
      <c r="K480" s="777">
        <f>$G$22*$H$9*'Traffic Data'!AM44*annualizationFactor</f>
        <v>7.6801256000000014E-4</v>
      </c>
      <c r="L480" s="777">
        <f>$G$22*$H$9*'Traffic Data'!AN44*annualizationFactor</f>
        <v>1.7264441600000004E-3</v>
      </c>
      <c r="M480" s="777">
        <f>$G$22*$H$9*'Traffic Data'!AO44*annualizationFactor</f>
        <v>2.6854072000000008E-3</v>
      </c>
      <c r="N480" s="777">
        <f>$G$22*$H$9*'Traffic Data'!AP44*annualizationFactor</f>
        <v>3.6444111199999993E-3</v>
      </c>
      <c r="O480" s="777">
        <f>$G$22*$H$9*'Traffic Data'!AQ44*annualizationFactor</f>
        <v>4.6028427199999999E-3</v>
      </c>
      <c r="P480" s="777">
        <f>$G$22*$H$9*'Traffic Data'!AR44*annualizationFactor</f>
        <v>5.5623780800000012E-3</v>
      </c>
      <c r="Q480" s="777">
        <f>$G$22*$H$9*'Traffic Data'!AS44*annualizationFactor</f>
        <v>6.302306080000002E-3</v>
      </c>
      <c r="R480" s="777">
        <f>$G$22*$H$9*'Traffic Data'!AT44*annualizationFactor</f>
        <v>7.0423567200000019E-3</v>
      </c>
      <c r="S480" s="777">
        <f>$G$22*$H$9*'Traffic Data'!AU44*annualizationFactor</f>
        <v>7.782284720000001E-3</v>
      </c>
      <c r="T480" s="777">
        <f>$G$22*$H$9*'Traffic Data'!AV44*annualizationFactor</f>
        <v>8.5222127200000001E-3</v>
      </c>
      <c r="U480" s="777">
        <f>$G$22*$H$9*'Traffic Data'!AW44*annualizationFactor</f>
        <v>9.263121840000001E-3</v>
      </c>
      <c r="V480" s="777">
        <f>$G$22*$H$9*'Traffic Data'!AX44*annualizationFactor</f>
        <v>9.6303468800000014E-3</v>
      </c>
      <c r="W480" s="777">
        <f>$G$22*$H$9*'Traffic Data'!AY44*annualizationFactor</f>
        <v>9.7302984800000034E-3</v>
      </c>
      <c r="X480" s="777">
        <f>$G$22*$H$9*'Traffic Data'!AZ44*annualizationFactor</f>
        <v>9.8302500800000019E-3</v>
      </c>
      <c r="Y480" s="777">
        <f>$G$22*$H$9*'Traffic Data'!BA44*annualizationFactor</f>
        <v>9.9302016800000021E-3</v>
      </c>
      <c r="Z480" s="777">
        <f>$G$22*$H$9*'Traffic Data'!BB44*annualizationFactor</f>
        <v>1.0030439440000004E-2</v>
      </c>
      <c r="AA480" s="777">
        <f>$G$22*$H$9*'Traffic Data'!BC44*annualizationFactor</f>
        <v>1.0130391040000002E-2</v>
      </c>
      <c r="AB480" s="777">
        <f>$G$22*$H$9*'Traffic Data'!BD44*annualizationFactor</f>
        <v>1.0230628799999999E-2</v>
      </c>
      <c r="AC480" s="777">
        <f>$G$22*$H$9*'Traffic Data'!BE44*annualizationFactor</f>
        <v>1.0330580400000001E-2</v>
      </c>
      <c r="AD480" s="777">
        <f>$G$22*$H$9*'Traffic Data'!BF44*annualizationFactor</f>
        <v>1.0430532000000001E-2</v>
      </c>
      <c r="AE480" s="777">
        <f>$G$22*$H$9*'Traffic Data'!BG44*annualizationFactor</f>
        <v>1.0530769760000001E-2</v>
      </c>
      <c r="AF480" s="777">
        <f>$G$22*$H$9*'Traffic Data'!BH44*annualizationFactor</f>
        <v>1.0630721360000001E-2</v>
      </c>
      <c r="AG480" s="777">
        <f>$G$22*$H$9*'Traffic Data'!BI44*annualizationFactor</f>
        <v>1.0730672960000001E-2</v>
      </c>
      <c r="AH480" s="778">
        <f>$G$22*$H$9*'Traffic Data'!BJ44*annualizationFactor</f>
        <v>1.083091072E-2</v>
      </c>
      <c r="AI480" s="40"/>
      <c r="AJ480" s="40"/>
      <c r="AK480" s="40"/>
      <c r="AL480" s="40"/>
      <c r="AM480" s="40"/>
    </row>
    <row r="481" spans="2:39" ht="21.95" customHeight="1" x14ac:dyDescent="0.2">
      <c r="B481" s="1346"/>
      <c r="C481" s="116" t="s">
        <v>288</v>
      </c>
      <c r="D481" s="116" t="s">
        <v>340</v>
      </c>
      <c r="E481" s="116" t="s">
        <v>467</v>
      </c>
      <c r="F481" s="116" t="s">
        <v>41</v>
      </c>
      <c r="G481" s="970"/>
      <c r="H481" s="970"/>
      <c r="I481" s="777">
        <f>$G$22*$H$9*'Traffic Data'!AK45*annualizationFactor</f>
        <v>0</v>
      </c>
      <c r="J481" s="777">
        <f>$G$22*$H$9*'Traffic Data'!AL45*annualizationFactor</f>
        <v>6.9916480000000011E-4</v>
      </c>
      <c r="K481" s="777">
        <f>$G$22*$H$9*'Traffic Data'!AM45*annualizationFactor</f>
        <v>2.0023184600000002E-3</v>
      </c>
      <c r="L481" s="777">
        <f>$G$22*$H$9*'Traffic Data'!AN45*annualizationFactor</f>
        <v>4.50108656E-3</v>
      </c>
      <c r="M481" s="777">
        <f>$G$22*$H$9*'Traffic Data'!AO45*annualizationFactor</f>
        <v>7.0012402000000015E-3</v>
      </c>
      <c r="N481" s="777">
        <f>$G$22*$H$9*'Traffic Data'!AP45*annualizationFactor</f>
        <v>9.5015004199999979E-3</v>
      </c>
      <c r="O481" s="777">
        <f>$G$22*$H$9*'Traffic Data'!AQ45*annualizationFactor</f>
        <v>1.2000268519999999E-2</v>
      </c>
      <c r="P481" s="777">
        <f>$G$22*$H$9*'Traffic Data'!AR45*annualizationFactor</f>
        <v>1.450191428E-2</v>
      </c>
      <c r="Q481" s="777">
        <f>$G$22*$H$9*'Traffic Data'!AS45*annualizationFactor</f>
        <v>1.6431012280000004E-2</v>
      </c>
      <c r="R481" s="777">
        <f>$G$22*$H$9*'Traffic Data'!AT45*annualizationFactor</f>
        <v>1.8360430020000002E-2</v>
      </c>
      <c r="S481" s="777">
        <f>$G$22*$H$9*'Traffic Data'!AU45*annualizationFactor</f>
        <v>2.0289528019999999E-2</v>
      </c>
      <c r="T481" s="777">
        <f>$G$22*$H$9*'Traffic Data'!AV45*annualizationFactor</f>
        <v>2.221862602E-2</v>
      </c>
      <c r="U481" s="777">
        <f>$G$22*$H$9*'Traffic Data'!AW45*annualizationFactor</f>
        <v>2.4150281940000001E-2</v>
      </c>
      <c r="V481" s="777">
        <f>$G$22*$H$9*'Traffic Data'!AX45*annualizationFactor</f>
        <v>2.5107690079999998E-2</v>
      </c>
      <c r="W481" s="777">
        <f>$G$22*$H$9*'Traffic Data'!AY45*annualizationFactor</f>
        <v>2.5368278179999999E-2</v>
      </c>
      <c r="X481" s="777">
        <f>$G$22*$H$9*'Traffic Data'!AZ45*annualizationFactor</f>
        <v>2.5628866280000002E-2</v>
      </c>
      <c r="Y481" s="777">
        <f>$G$22*$H$9*'Traffic Data'!BA45*annualizationFactor</f>
        <v>2.5889454380000003E-2</v>
      </c>
      <c r="Z481" s="777">
        <f>$G$22*$H$9*'Traffic Data'!BB45*annualizationFactor</f>
        <v>2.6150788540000004E-2</v>
      </c>
      <c r="AA481" s="777">
        <f>$G$22*$H$9*'Traffic Data'!BC45*annualizationFactor</f>
        <v>2.6411376640000001E-2</v>
      </c>
      <c r="AB481" s="777">
        <f>$G$22*$H$9*'Traffic Data'!BD45*annualizationFactor</f>
        <v>2.6672710799999996E-2</v>
      </c>
      <c r="AC481" s="777">
        <f>$G$22*$H$9*'Traffic Data'!BE45*annualizationFactor</f>
        <v>2.6933298899999996E-2</v>
      </c>
      <c r="AD481" s="777">
        <f>$G$22*$H$9*'Traffic Data'!BF45*annualizationFactor</f>
        <v>2.7193886999999996E-2</v>
      </c>
      <c r="AE481" s="777">
        <f>$G$22*$H$9*'Traffic Data'!BG45*annualizationFactor</f>
        <v>2.7455221159999994E-2</v>
      </c>
      <c r="AF481" s="777">
        <f>$G$22*$H$9*'Traffic Data'!BH45*annualizationFactor</f>
        <v>2.7715809259999995E-2</v>
      </c>
      <c r="AG481" s="777">
        <f>$G$22*$H$9*'Traffic Data'!BI45*annualizationFactor</f>
        <v>2.7976397359999995E-2</v>
      </c>
      <c r="AH481" s="778">
        <f>$G$22*$H$9*'Traffic Data'!BJ45*annualizationFactor</f>
        <v>2.823773152E-2</v>
      </c>
      <c r="AI481" s="40"/>
      <c r="AJ481" s="40"/>
      <c r="AK481" s="40"/>
      <c r="AL481" s="40"/>
      <c r="AM481" s="40"/>
    </row>
    <row r="482" spans="2:39" ht="21.95" customHeight="1" x14ac:dyDescent="0.2">
      <c r="B482" s="1346"/>
      <c r="C482" s="254" t="s">
        <v>340</v>
      </c>
      <c r="D482" s="254" t="s">
        <v>280</v>
      </c>
      <c r="E482" s="116" t="s">
        <v>467</v>
      </c>
      <c r="F482" s="116" t="s">
        <v>41</v>
      </c>
      <c r="G482" s="970"/>
      <c r="H482" s="970"/>
      <c r="I482" s="777">
        <f>$G$22*$H$9*'Traffic Data'!AK46*annualizationFactor</f>
        <v>9.1980000000000002E-4</v>
      </c>
      <c r="J482" s="777">
        <f>$G$22*$H$9*'Traffic Data'!AL46*annualizationFactor</f>
        <v>1.3711458600000001E-3</v>
      </c>
      <c r="K482" s="777">
        <f>$G$22*$H$9*'Traffic Data'!AM46*annualizationFactor</f>
        <v>1.9304762399999999E-3</v>
      </c>
      <c r="L482" s="777">
        <f>$G$22*$H$9*'Traffic Data'!AN46*annualizationFactor</f>
        <v>3.3444541199999997E-3</v>
      </c>
      <c r="M482" s="777">
        <f>$G$22*$H$9*'Traffic Data'!AO46*annualizationFactor</f>
        <v>4.7585853000000006E-3</v>
      </c>
      <c r="N482" s="777">
        <f>$G$22*$H$9*'Traffic Data'!AP46*annualizationFactor</f>
        <v>6.1734216600000027E-3</v>
      </c>
      <c r="O482" s="777">
        <f>$G$22*$H$9*'Traffic Data'!AQ46*annualizationFactor</f>
        <v>7.5873995400000012E-3</v>
      </c>
      <c r="P482" s="777">
        <f>$G$22*$H$9*'Traffic Data'!AR46*annualizationFactor</f>
        <v>9.0009175200000003E-3</v>
      </c>
      <c r="Q482" s="777">
        <f>$G$22*$H$9*'Traffic Data'!AS46*annualizationFactor</f>
        <v>1.2598899180000001E-2</v>
      </c>
      <c r="R482" s="777">
        <f>$G$22*$H$9*'Traffic Data'!AT46*annualizationFactor</f>
        <v>1.6195470480000002E-2</v>
      </c>
      <c r="S482" s="777">
        <f>$G$22*$H$9*'Traffic Data'!AU46*annualizationFactor</f>
        <v>1.9791765840000003E-2</v>
      </c>
      <c r="T482" s="777">
        <f>$G$22*$H$9*'Traffic Data'!AV46*annualizationFactor</f>
        <v>2.3389747500000002E-2</v>
      </c>
      <c r="U482" s="777">
        <f>$G$22*$H$9*'Traffic Data'!AW46*annualizationFactor</f>
        <v>2.6987269260000002E-2</v>
      </c>
      <c r="V482" s="777">
        <f>$G$22*$H$9*'Traffic Data'!AX46*annualizationFactor</f>
        <v>2.972953032000001E-2</v>
      </c>
      <c r="W482" s="777">
        <f>$G$22*$H$9*'Traffic Data'!AY46*annualizationFactor</f>
        <v>3.0180876180000003E-2</v>
      </c>
      <c r="X482" s="777">
        <f>$G$22*$H$9*'Traffic Data'!AZ46*annualizationFactor</f>
        <v>3.0632222040000004E-2</v>
      </c>
      <c r="Y482" s="777">
        <f>$G$22*$H$9*'Traffic Data'!BA46*annualizationFactor</f>
        <v>3.1083567900000005E-2</v>
      </c>
      <c r="Z482" s="777">
        <f>$G$22*$H$9*'Traffic Data'!BB46*annualizationFactor</f>
        <v>3.1533534060000007E-2</v>
      </c>
      <c r="AA482" s="777">
        <f>$G$22*$H$9*'Traffic Data'!BC46*annualizationFactor</f>
        <v>3.1984879920000001E-2</v>
      </c>
      <c r="AB482" s="777">
        <f>$G$22*$H$9*'Traffic Data'!BD46*annualizationFactor</f>
        <v>3.243484608000001E-2</v>
      </c>
      <c r="AC482" s="777">
        <f>$G$22*$H$9*'Traffic Data'!BE46*annualizationFactor</f>
        <v>3.2886191940000004E-2</v>
      </c>
      <c r="AD482" s="777">
        <f>$G$22*$H$9*'Traffic Data'!BF46*annualizationFactor</f>
        <v>3.3337537800000004E-2</v>
      </c>
      <c r="AE482" s="777">
        <f>$G$22*$H$9*'Traffic Data'!BG46*annualizationFactor</f>
        <v>3.378750396E-2</v>
      </c>
      <c r="AF482" s="777">
        <f>$G$22*$H$9*'Traffic Data'!BH46*annualizationFactor</f>
        <v>3.4238849820000007E-2</v>
      </c>
      <c r="AG482" s="777">
        <f>$G$22*$H$9*'Traffic Data'!BI46*annualizationFactor</f>
        <v>3.4690195680000001E-2</v>
      </c>
      <c r="AH482" s="778">
        <f>$G$22*$H$9*'Traffic Data'!BJ46*annualizationFactor</f>
        <v>3.5140161839999996E-2</v>
      </c>
      <c r="AI482" s="40"/>
      <c r="AJ482" s="40"/>
      <c r="AK482" s="40"/>
      <c r="AL482" s="40"/>
      <c r="AM482" s="40"/>
    </row>
    <row r="483" spans="2:39" ht="21.95" customHeight="1" x14ac:dyDescent="0.2">
      <c r="B483" s="1346" t="s">
        <v>334</v>
      </c>
      <c r="C483" s="116" t="s">
        <v>336</v>
      </c>
      <c r="D483" s="116" t="s">
        <v>337</v>
      </c>
      <c r="E483" s="220" t="s">
        <v>467</v>
      </c>
      <c r="F483" s="220" t="s">
        <v>41</v>
      </c>
      <c r="G483" s="775"/>
      <c r="H483" s="775"/>
      <c r="I483" s="775">
        <f>$G$22*$I$9*'Traffic Data'!AK47*annualizationFactor</f>
        <v>1.8395999999999999E-2</v>
      </c>
      <c r="J483" s="775">
        <f>$G$22*$I$9*'Traffic Data'!AL47*annualizationFactor</f>
        <v>1.89055692E-2</v>
      </c>
      <c r="K483" s="775">
        <f>$G$22*$I$9*'Traffic Data'!AM47*annualizationFactor</f>
        <v>1.9727936099999999E-2</v>
      </c>
      <c r="L483" s="775">
        <f>$G$22*$I$9*'Traffic Data'!AN47*annualizationFactor</f>
        <v>2.0902783500000001E-2</v>
      </c>
      <c r="M483" s="775">
        <f>$G$22*$I$9*'Traffic Data'!AO47*annualizationFactor</f>
        <v>2.2078156500000005E-2</v>
      </c>
      <c r="N483" s="775">
        <f>$G$22*$I$9*'Traffic Data'!AP47*annualizationFactor</f>
        <v>2.3253463800000006E-2</v>
      </c>
      <c r="O483" s="775">
        <f>$G$22*$I$9*'Traffic Data'!AQ47*annualizationFactor</f>
        <v>2.4428311200000007E-2</v>
      </c>
      <c r="P483" s="775">
        <f>$G$22*$I$9*'Traffic Data'!AR47*annualizationFactor</f>
        <v>2.56042098E-2</v>
      </c>
      <c r="Q483" s="775">
        <f>$G$22*$I$9*'Traffic Data'!AS47*annualizationFactor</f>
        <v>2.6650876499999997E-2</v>
      </c>
      <c r="R483" s="775">
        <f>$G$22*$I$9*'Traffic Data'!AT47*annualizationFactor</f>
        <v>2.7697871699999998E-2</v>
      </c>
      <c r="S483" s="775">
        <f>$G$22*$I$9*'Traffic Data'!AU47*annualizationFactor</f>
        <v>2.8744538399999998E-2</v>
      </c>
      <c r="T483" s="775">
        <f>$G$22*$I$9*'Traffic Data'!AV47*annualizationFactor</f>
        <v>2.9791205099999996E-2</v>
      </c>
      <c r="U483" s="775">
        <f>$G$22*$I$9*'Traffic Data'!AW47*annualizationFactor</f>
        <v>3.0838923000000001E-2</v>
      </c>
      <c r="V483" s="775">
        <f>$G$22*$I$9*'Traffic Data'!AX47*annualizationFactor</f>
        <v>3.1532583600000004E-2</v>
      </c>
      <c r="W483" s="775">
        <f>$G$22*$I$9*'Traffic Data'!AY47*annualizationFactor</f>
        <v>3.2042152800000001E-2</v>
      </c>
      <c r="X483" s="775">
        <f>$G$22*$I$9*'Traffic Data'!AZ47*annualizationFactor</f>
        <v>3.2551721999999998E-2</v>
      </c>
      <c r="Y483" s="775">
        <f>$G$22*$I$9*'Traffic Data'!BA47*annualizationFactor</f>
        <v>3.3061291199999995E-2</v>
      </c>
      <c r="Z483" s="775">
        <f>$G$22*$I$9*'Traffic Data'!BB47*annualizationFactor</f>
        <v>3.35711889E-2</v>
      </c>
      <c r="AA483" s="775">
        <f>$G$22*$I$9*'Traffic Data'!BC47*annualizationFactor</f>
        <v>3.4080758100000011E-2</v>
      </c>
      <c r="AB483" s="775">
        <f>$G$22*$I$9*'Traffic Data'!BD47*annualizationFactor</f>
        <v>3.4590655799999995E-2</v>
      </c>
      <c r="AC483" s="775">
        <f>$G$22*$I$9*'Traffic Data'!BE47*annualizationFactor</f>
        <v>3.5100224999999992E-2</v>
      </c>
      <c r="AD483" s="775">
        <f>$G$22*$I$9*'Traffic Data'!BF47*annualizationFactor</f>
        <v>3.5609794200000003E-2</v>
      </c>
      <c r="AE483" s="775">
        <f>$G$22*$I$9*'Traffic Data'!BG47*annualizationFactor</f>
        <v>3.6119691899999994E-2</v>
      </c>
      <c r="AF483" s="775">
        <f>$G$22*$I$9*'Traffic Data'!BH47*annualizationFactor</f>
        <v>3.6629261099999991E-2</v>
      </c>
      <c r="AG483" s="775">
        <f>$G$22*$I$9*'Traffic Data'!BI47*annualizationFactor</f>
        <v>3.7138830299999995E-2</v>
      </c>
      <c r="AH483" s="776">
        <f>$G$22*$I$9*'Traffic Data'!BJ47*annualizationFactor</f>
        <v>3.7648727999999992E-2</v>
      </c>
      <c r="AI483" s="40"/>
      <c r="AJ483" s="40"/>
      <c r="AK483" s="40"/>
      <c r="AL483" s="40"/>
      <c r="AM483" s="40"/>
    </row>
    <row r="484" spans="2:39" ht="21.95" customHeight="1" x14ac:dyDescent="0.2">
      <c r="B484" s="1346"/>
      <c r="C484" s="116" t="s">
        <v>337</v>
      </c>
      <c r="D484" s="116" t="s">
        <v>386</v>
      </c>
      <c r="E484" s="116" t="s">
        <v>467</v>
      </c>
      <c r="F484" s="116" t="s">
        <v>41</v>
      </c>
      <c r="G484" s="970"/>
      <c r="H484" s="970"/>
      <c r="I484" s="777">
        <f>$G$22*$I$9*'Traffic Data'!AK48*annualizationFactor</f>
        <v>2.8908E-2</v>
      </c>
      <c r="J484" s="777">
        <f>$G$22*$I$9*'Traffic Data'!AL48*annualizationFactor</f>
        <v>2.8965815999999998E-2</v>
      </c>
      <c r="K484" s="777">
        <f>$G$22*$I$9*'Traffic Data'!AM48*annualizationFactor</f>
        <v>2.9023632000000001E-2</v>
      </c>
      <c r="L484" s="777">
        <f>$G$22*$I$9*'Traffic Data'!AN48*annualizationFactor</f>
        <v>2.9081447999999999E-2</v>
      </c>
      <c r="M484" s="777">
        <f>$G$22*$I$9*'Traffic Data'!AO48*annualizationFactor</f>
        <v>2.9139263999999998E-2</v>
      </c>
      <c r="N484" s="777">
        <f>$G$22*$I$9*'Traffic Data'!AP48*annualizationFactor</f>
        <v>2.919708E-2</v>
      </c>
      <c r="O484" s="777">
        <f>$G$22*$I$9*'Traffic Data'!AQ48*annualizationFactor</f>
        <v>2.9254895999999999E-2</v>
      </c>
      <c r="P484" s="777">
        <f>$G$22*$I$9*'Traffic Data'!AR48*annualizationFactor</f>
        <v>2.9312712000000001E-2</v>
      </c>
      <c r="Q484" s="777">
        <f>$G$22*$I$9*'Traffic Data'!AS48*annualizationFactor</f>
        <v>2.9370528E-2</v>
      </c>
      <c r="R484" s="777">
        <f>$G$22*$I$9*'Traffic Data'!AT48*annualizationFactor</f>
        <v>2.9370528E-2</v>
      </c>
      <c r="S484" s="777">
        <f>$G$22*$I$9*'Traffic Data'!AU48*annualizationFactor</f>
        <v>3.0064175459999998E-2</v>
      </c>
      <c r="T484" s="777">
        <f>$G$22*$I$9*'Traffic Data'!AV48*annualizationFactor</f>
        <v>3.0829317659999994E-2</v>
      </c>
      <c r="U484" s="777">
        <f>$G$22*$I$9*'Traffic Data'!AW48*annualizationFactor</f>
        <v>3.159493289999999E-2</v>
      </c>
      <c r="V484" s="777">
        <f>$G$22*$I$9*'Traffic Data'!AX48*annualizationFactor</f>
        <v>3.2212131839999998E-2</v>
      </c>
      <c r="W484" s="777">
        <f>$G$22*$I$9*'Traffic Data'!AY48*annualizationFactor</f>
        <v>3.2718875939999989E-2</v>
      </c>
      <c r="X484" s="777">
        <f>$G$22*$I$9*'Traffic Data'!AZ48*annualizationFactor</f>
        <v>3.3225620039999994E-2</v>
      </c>
      <c r="Y484" s="777">
        <f>$G$22*$I$9*'Traffic Data'!BA48*annualizationFactor</f>
        <v>3.3732364139999992E-2</v>
      </c>
      <c r="Z484" s="777">
        <f>$G$22*$I$9*'Traffic Data'!BB48*annualizationFactor</f>
        <v>3.423922649999999E-2</v>
      </c>
      <c r="AA484" s="777">
        <f>$G$22*$I$9*'Traffic Data'!BC48*annualizationFactor</f>
        <v>3.4745970599999988E-2</v>
      </c>
      <c r="AB484" s="777">
        <f>$G$22*$I$9*'Traffic Data'!BD48*annualizationFactor</f>
        <v>3.5252832959999994E-2</v>
      </c>
      <c r="AC484" s="777">
        <f>$G$22*$I$9*'Traffic Data'!BE48*annualizationFactor</f>
        <v>3.5759577059999999E-2</v>
      </c>
      <c r="AD484" s="777">
        <f>$G$22*$I$9*'Traffic Data'!BF48*annualizationFactor</f>
        <v>3.626632115999999E-2</v>
      </c>
      <c r="AE484" s="777">
        <f>$G$22*$I$9*'Traffic Data'!BG48*annualizationFactor</f>
        <v>3.6773183519999995E-2</v>
      </c>
      <c r="AF484" s="777">
        <f>$G$22*$I$9*'Traffic Data'!BH48*annualizationFactor</f>
        <v>3.7279927619999986E-2</v>
      </c>
      <c r="AG484" s="777">
        <f>$G$22*$I$9*'Traffic Data'!BI48*annualizationFactor</f>
        <v>3.7786671719999998E-2</v>
      </c>
      <c r="AH484" s="778">
        <f>$G$22*$I$9*'Traffic Data'!BJ48*annualizationFactor</f>
        <v>3.8293534079999997E-2</v>
      </c>
      <c r="AI484" s="40"/>
      <c r="AJ484" s="40"/>
      <c r="AK484" s="40"/>
      <c r="AL484" s="40"/>
      <c r="AM484" s="40"/>
    </row>
    <row r="485" spans="2:39" ht="21.95" customHeight="1" x14ac:dyDescent="0.2">
      <c r="B485" s="1346"/>
      <c r="C485" s="116" t="s">
        <v>342</v>
      </c>
      <c r="D485" s="116" t="s">
        <v>341</v>
      </c>
      <c r="E485" s="116" t="s">
        <v>467</v>
      </c>
      <c r="F485" s="116" t="s">
        <v>41</v>
      </c>
      <c r="G485" s="970"/>
      <c r="H485" s="970"/>
      <c r="I485" s="777">
        <f>$G$22*$I$9*'Traffic Data'!AK49*annualizationFactor</f>
        <v>3.75804E-2</v>
      </c>
      <c r="J485" s="777">
        <f>$G$22*$I$9*'Traffic Data'!AL49*annualizationFactor</f>
        <v>3.7655560800000001E-2</v>
      </c>
      <c r="K485" s="777">
        <f>$G$22*$I$9*'Traffic Data'!AM49*annualizationFactor</f>
        <v>3.7730721600000003E-2</v>
      </c>
      <c r="L485" s="777">
        <f>$G$22*$I$9*'Traffic Data'!AN49*annualizationFactor</f>
        <v>3.7805882400000004E-2</v>
      </c>
      <c r="M485" s="777">
        <f>$G$22*$I$9*'Traffic Data'!AO49*annualizationFactor</f>
        <v>3.7881043199999999E-2</v>
      </c>
      <c r="N485" s="777">
        <f>$G$22*$I$9*'Traffic Data'!AP49*annualizationFactor</f>
        <v>3.7956204E-2</v>
      </c>
      <c r="O485" s="777">
        <f>$G$22*$I$9*'Traffic Data'!AQ49*annualizationFactor</f>
        <v>3.8031364800000002E-2</v>
      </c>
      <c r="P485" s="777">
        <f>$G$22*$I$9*'Traffic Data'!AR49*annualizationFactor</f>
        <v>3.8106525600000003E-2</v>
      </c>
      <c r="Q485" s="777">
        <f>$G$22*$I$9*'Traffic Data'!AS49*annualizationFactor</f>
        <v>3.8181686400000005E-2</v>
      </c>
      <c r="R485" s="777">
        <f>$G$22*$I$9*'Traffic Data'!AT49*annualizationFactor</f>
        <v>3.8181686400000005E-2</v>
      </c>
      <c r="S485" s="777">
        <f>$G$22*$I$9*'Traffic Data'!AU49*annualizationFactor</f>
        <v>3.9083428098E-2</v>
      </c>
      <c r="T485" s="777">
        <f>$G$22*$I$9*'Traffic Data'!AV49*annualizationFactor</f>
        <v>4.0078112957999991E-2</v>
      </c>
      <c r="U485" s="777">
        <f>$G$22*$I$9*'Traffic Data'!AW49*annualizationFactor</f>
        <v>4.1073412769999991E-2</v>
      </c>
      <c r="V485" s="777">
        <f>$G$22*$I$9*'Traffic Data'!AX49*annualizationFactor</f>
        <v>4.1875771391999994E-2</v>
      </c>
      <c r="W485" s="777">
        <f>$G$22*$I$9*'Traffic Data'!AY49*annualizationFactor</f>
        <v>4.2534538721999991E-2</v>
      </c>
      <c r="X485" s="777">
        <f>$G$22*$I$9*'Traffic Data'!AZ49*annualizationFactor</f>
        <v>4.3193306051999988E-2</v>
      </c>
      <c r="Y485" s="777">
        <f>$G$22*$I$9*'Traffic Data'!BA49*annualizationFactor</f>
        <v>4.3852073381999992E-2</v>
      </c>
      <c r="Z485" s="777">
        <f>$G$22*$I$9*'Traffic Data'!BB49*annualizationFactor</f>
        <v>4.4510994449999994E-2</v>
      </c>
      <c r="AA485" s="777">
        <f>$G$22*$I$9*'Traffic Data'!BC49*annualizationFactor</f>
        <v>4.5169761779999991E-2</v>
      </c>
      <c r="AB485" s="777">
        <f>$G$22*$I$9*'Traffic Data'!BD49*annualizationFactor</f>
        <v>4.5828682847999992E-2</v>
      </c>
      <c r="AC485" s="777">
        <f>$G$22*$I$9*'Traffic Data'!BE49*annualizationFactor</f>
        <v>4.6487450177999989E-2</v>
      </c>
      <c r="AD485" s="777">
        <f>$G$22*$I$9*'Traffic Data'!BF49*annualizationFactor</f>
        <v>4.7146217507999993E-2</v>
      </c>
      <c r="AE485" s="777">
        <f>$G$22*$I$9*'Traffic Data'!BG49*annualizationFactor</f>
        <v>4.7805138576000002E-2</v>
      </c>
      <c r="AF485" s="777">
        <f>$G$22*$I$9*'Traffic Data'!BH49*annualizationFactor</f>
        <v>4.8463905905999992E-2</v>
      </c>
      <c r="AG485" s="777">
        <f>$G$22*$I$9*'Traffic Data'!BI49*annualizationFactor</f>
        <v>4.9122673235999989E-2</v>
      </c>
      <c r="AH485" s="778">
        <f>$G$22*$I$9*'Traffic Data'!BJ49*annualizationFactor</f>
        <v>4.9781594303999997E-2</v>
      </c>
      <c r="AI485" s="40"/>
      <c r="AJ485" s="40"/>
      <c r="AK485" s="40"/>
      <c r="AL485" s="40"/>
      <c r="AM485" s="40"/>
    </row>
    <row r="486" spans="2:39" ht="21.95" customHeight="1" x14ac:dyDescent="0.2">
      <c r="B486" s="1346"/>
      <c r="C486" s="116" t="s">
        <v>341</v>
      </c>
      <c r="D486" s="116" t="s">
        <v>344</v>
      </c>
      <c r="E486" s="116" t="s">
        <v>467</v>
      </c>
      <c r="F486" s="116" t="s">
        <v>41</v>
      </c>
      <c r="G486" s="970"/>
      <c r="H486" s="970"/>
      <c r="I486" s="777">
        <f>$G$22*$I$9*'Traffic Data'!AK50*annualizationFactor</f>
        <v>4.1680079999999994E-2</v>
      </c>
      <c r="J486" s="777">
        <f>$G$22*$I$9*'Traffic Data'!AL50*annualizationFactor</f>
        <v>4.1763440159999998E-2</v>
      </c>
      <c r="K486" s="777">
        <f>$G$22*$I$9*'Traffic Data'!AM50*annualizationFactor</f>
        <v>4.1846800320000002E-2</v>
      </c>
      <c r="L486" s="777">
        <f>$G$22*$I$9*'Traffic Data'!AN50*annualizationFactor</f>
        <v>4.1930160479999999E-2</v>
      </c>
      <c r="M486" s="777">
        <f>$G$22*$I$9*'Traffic Data'!AO50*annualizationFactor</f>
        <v>4.2013520639999996E-2</v>
      </c>
      <c r="N486" s="777">
        <f>$G$22*$I$9*'Traffic Data'!AP50*annualizationFactor</f>
        <v>4.20968808E-2</v>
      </c>
      <c r="O486" s="777">
        <f>$G$22*$I$9*'Traffic Data'!AQ50*annualizationFactor</f>
        <v>4.2180240959999997E-2</v>
      </c>
      <c r="P486" s="777">
        <f>$G$22*$I$9*'Traffic Data'!AR50*annualizationFactor</f>
        <v>4.2263601119999994E-2</v>
      </c>
      <c r="Q486" s="777">
        <f>$G$22*$I$9*'Traffic Data'!AS50*annualizationFactor</f>
        <v>4.2346961279999998E-2</v>
      </c>
      <c r="R486" s="777">
        <f>$G$22*$I$9*'Traffic Data'!AT50*annualizationFactor</f>
        <v>4.2346961279999998E-2</v>
      </c>
      <c r="S486" s="777">
        <f>$G$22*$I$9*'Traffic Data'!AU50*annualizationFactor</f>
        <v>4.2546821110991992E-2</v>
      </c>
      <c r="T486" s="777">
        <f>$G$22*$I$9*'Traffic Data'!AV50*annualizationFactor</f>
        <v>4.3253532676979983E-2</v>
      </c>
      <c r="U486" s="777">
        <f>$G$22*$I$9*'Traffic Data'!AW50*annualizationFactor</f>
        <v>4.3942232677319983E-2</v>
      </c>
      <c r="V486" s="777">
        <f>$G$22*$I$9*'Traffic Data'!AX50*annualizationFactor</f>
        <v>4.4407644954623987E-2</v>
      </c>
      <c r="W486" s="777">
        <f>$G$22*$I$9*'Traffic Data'!AY50*annualizationFactor</f>
        <v>4.4707072084415996E-2</v>
      </c>
      <c r="X486" s="777">
        <f>$G$22*$I$9*'Traffic Data'!AZ50*annualizationFactor</f>
        <v>4.5399487222655986E-2</v>
      </c>
      <c r="Y486" s="777">
        <f>$G$22*$I$9*'Traffic Data'!BA50*annualizationFactor</f>
        <v>4.6091902360895991E-2</v>
      </c>
      <c r="Z486" s="777">
        <f>$G$22*$I$9*'Traffic Data'!BB50*annualizationFactor</f>
        <v>4.6784479089599998E-2</v>
      </c>
      <c r="AA486" s="777">
        <f>$G$22*$I$9*'Traffic Data'!BC50*annualizationFactor</f>
        <v>4.7476894227839989E-2</v>
      </c>
      <c r="AB486" s="777">
        <f>$G$22*$I$9*'Traffic Data'!BD50*annualizationFactor</f>
        <v>4.8169470956544003E-2</v>
      </c>
      <c r="AC486" s="777">
        <f>$G$22*$I$9*'Traffic Data'!BE50*annualizationFactor</f>
        <v>4.8861886094783993E-2</v>
      </c>
      <c r="AD486" s="777">
        <f>$G$22*$I$9*'Traffic Data'!BF50*annualizationFactor</f>
        <v>4.9554301233023991E-2</v>
      </c>
      <c r="AE486" s="777">
        <f>$G$22*$I$9*'Traffic Data'!BG50*annualizationFactor</f>
        <v>5.0246877961727991E-2</v>
      </c>
      <c r="AF486" s="777">
        <f>$G$22*$I$9*'Traffic Data'!BH50*annualizationFactor</f>
        <v>5.0939293099967982E-2</v>
      </c>
      <c r="AG486" s="777">
        <f>$G$22*$I$9*'Traffic Data'!BI50*annualizationFactor</f>
        <v>5.1631708238207993E-2</v>
      </c>
      <c r="AH486" s="778">
        <f>$G$22*$I$9*'Traffic Data'!BJ50*annualizationFactor</f>
        <v>5.2324284966911994E-2</v>
      </c>
      <c r="AI486" s="40"/>
      <c r="AJ486" s="40"/>
      <c r="AK486" s="40"/>
      <c r="AL486" s="40"/>
      <c r="AM486" s="40"/>
    </row>
    <row r="487" spans="2:39" ht="21.95" customHeight="1" x14ac:dyDescent="0.2">
      <c r="B487" s="1346"/>
      <c r="C487" s="116" t="s">
        <v>344</v>
      </c>
      <c r="D487" s="116" t="s">
        <v>345</v>
      </c>
      <c r="E487" s="116" t="s">
        <v>467</v>
      </c>
      <c r="F487" s="116" t="s">
        <v>41</v>
      </c>
      <c r="G487" s="970"/>
      <c r="H487" s="970"/>
      <c r="I487" s="777">
        <f>$G$22*$I$9*'Traffic Data'!AK51*annualizationFactor</f>
        <v>1.7082E-2</v>
      </c>
      <c r="J487" s="777">
        <f>$G$22*$I$9*'Traffic Data'!AL51*annualizationFactor</f>
        <v>1.7116164E-2</v>
      </c>
      <c r="K487" s="777">
        <f>$G$22*$I$9*'Traffic Data'!AM51*annualizationFactor</f>
        <v>1.7150327999999999E-2</v>
      </c>
      <c r="L487" s="777">
        <f>$G$22*$I$9*'Traffic Data'!AN51*annualizationFactor</f>
        <v>1.7184491999999999E-2</v>
      </c>
      <c r="M487" s="777">
        <f>$G$22*$I$9*'Traffic Data'!AO51*annualizationFactor</f>
        <v>1.7218655999999999E-2</v>
      </c>
      <c r="N487" s="777">
        <f>$G$22*$I$9*'Traffic Data'!AP51*annualizationFactor</f>
        <v>1.7252820000000002E-2</v>
      </c>
      <c r="O487" s="777">
        <f>$G$22*$I$9*'Traffic Data'!AQ51*annualizationFactor</f>
        <v>1.7286983999999998E-2</v>
      </c>
      <c r="P487" s="777">
        <f>$G$22*$I$9*'Traffic Data'!AR51*annualizationFactor</f>
        <v>1.7321147999999998E-2</v>
      </c>
      <c r="Q487" s="777">
        <f>$G$22*$I$9*'Traffic Data'!AS51*annualizationFactor</f>
        <v>1.7355312000000001E-2</v>
      </c>
      <c r="R487" s="777">
        <f>$G$22*$I$9*'Traffic Data'!AT51*annualizationFactor</f>
        <v>1.7355312000000001E-2</v>
      </c>
      <c r="S487" s="777">
        <f>$G$22*$I$9*'Traffic Data'!AU51*annualizationFactor</f>
        <v>1.7437221766799998E-2</v>
      </c>
      <c r="T487" s="777">
        <f>$G$22*$I$9*'Traffic Data'!AV51*annualizationFactor</f>
        <v>1.7726857654499995E-2</v>
      </c>
      <c r="U487" s="777">
        <f>$G$22*$I$9*'Traffic Data'!AW51*annualizationFactor</f>
        <v>1.8009111752999997E-2</v>
      </c>
      <c r="V487" s="777">
        <f>$G$22*$I$9*'Traffic Data'!AX51*annualizationFactor</f>
        <v>1.8199854489599997E-2</v>
      </c>
      <c r="W487" s="777">
        <f>$G$22*$I$9*'Traffic Data'!AY51*annualizationFactor</f>
        <v>1.83225705264E-2</v>
      </c>
      <c r="X487" s="777">
        <f>$G$22*$I$9*'Traffic Data'!AZ51*annualizationFactor</f>
        <v>1.8606347222399996E-2</v>
      </c>
      <c r="Y487" s="777">
        <f>$G$22*$I$9*'Traffic Data'!BA51*annualizationFactor</f>
        <v>1.8890123918399997E-2</v>
      </c>
      <c r="Z487" s="777">
        <f>$G$22*$I$9*'Traffic Data'!BB51*annualizationFactor</f>
        <v>1.9173966840000001E-2</v>
      </c>
      <c r="AA487" s="777">
        <f>$G$22*$I$9*'Traffic Data'!BC51*annualizationFactor</f>
        <v>1.9457743535999997E-2</v>
      </c>
      <c r="AB487" s="777">
        <f>$G$22*$I$9*'Traffic Data'!BD51*annualizationFactor</f>
        <v>1.9741586457599998E-2</v>
      </c>
      <c r="AC487" s="777">
        <f>$G$22*$I$9*'Traffic Data'!BE51*annualizationFactor</f>
        <v>2.0025363153599998E-2</v>
      </c>
      <c r="AD487" s="777">
        <f>$G$22*$I$9*'Traffic Data'!BF51*annualizationFactor</f>
        <v>2.0309139849599998E-2</v>
      </c>
      <c r="AE487" s="777">
        <f>$G$22*$I$9*'Traffic Data'!BG51*annualizationFactor</f>
        <v>2.0592982771199999E-2</v>
      </c>
      <c r="AF487" s="777">
        <f>$G$22*$I$9*'Traffic Data'!BH51*annualizationFactor</f>
        <v>2.0876759467199996E-2</v>
      </c>
      <c r="AG487" s="777">
        <f>$G$22*$I$9*'Traffic Data'!BI51*annualizationFactor</f>
        <v>2.1160536163199999E-2</v>
      </c>
      <c r="AH487" s="778">
        <f>$G$22*$I$9*'Traffic Data'!BJ51*annualizationFactor</f>
        <v>2.14443790848E-2</v>
      </c>
      <c r="AI487" s="40"/>
      <c r="AJ487" s="40"/>
      <c r="AK487" s="40"/>
      <c r="AL487" s="40"/>
      <c r="AM487" s="40"/>
    </row>
    <row r="488" spans="2:39" ht="21.95" customHeight="1" x14ac:dyDescent="0.2">
      <c r="B488" s="1346"/>
      <c r="C488" s="116" t="s">
        <v>345</v>
      </c>
      <c r="D488" s="116" t="s">
        <v>323</v>
      </c>
      <c r="E488" s="116" t="s">
        <v>467</v>
      </c>
      <c r="F488" s="116" t="s">
        <v>41</v>
      </c>
      <c r="G488" s="970"/>
      <c r="H488" s="970"/>
      <c r="I488" s="777">
        <f>$G$22*$I$9*'Traffic Data'!AK52*annualizationFactor</f>
        <v>0.2060352</v>
      </c>
      <c r="J488" s="777">
        <f>$G$22*$I$9*'Traffic Data'!AL52*annualizationFactor</f>
        <v>0.21076481159999999</v>
      </c>
      <c r="K488" s="777">
        <f>$G$22*$I$9*'Traffic Data'!AM52*annualizationFactor</f>
        <v>0.21768281135999998</v>
      </c>
      <c r="L488" s="777">
        <f>$G$22*$I$9*'Traffic Data'!AN52*annualizationFactor</f>
        <v>0.22597940736</v>
      </c>
      <c r="M488" s="777">
        <f>$G$22*$I$9*'Traffic Data'!AO52*annualizationFactor</f>
        <v>0.23427821087999998</v>
      </c>
      <c r="N488" s="777">
        <f>$G$22*$I$9*'Traffic Data'!AP52*annualizationFactor</f>
        <v>0.24257775024000008</v>
      </c>
      <c r="O488" s="777">
        <f>$G$22*$I$9*'Traffic Data'!AQ52*annualizationFactor</f>
        <v>0.25087434624000005</v>
      </c>
      <c r="P488" s="777">
        <f>$G$22*$I$9*'Traffic Data'!AR52*annualizationFactor</f>
        <v>0.25917535728000002</v>
      </c>
      <c r="Q488" s="777">
        <f>$G$22*$I$9*'Traffic Data'!AS52*annualizationFactor</f>
        <v>0.26631668447999995</v>
      </c>
      <c r="R488" s="777">
        <f>$G$22*$I$9*'Traffic Data'!AT52*annualizationFactor</f>
        <v>0.27345764375999998</v>
      </c>
      <c r="S488" s="777">
        <f>$G$22*$I$9*'Traffic Data'!AU52*annualizationFactor</f>
        <v>0.28059897095999997</v>
      </c>
      <c r="T488" s="777">
        <f>$G$22*$I$9*'Traffic Data'!AV52*annualizationFactor</f>
        <v>0.28774029815999991</v>
      </c>
      <c r="U488" s="777">
        <f>$G$22*$I$9*'Traffic Data'!AW52*annualizationFactor</f>
        <v>0.29488604039999994</v>
      </c>
      <c r="V488" s="777">
        <f>$G$22*$I$9*'Traffic Data'!AX52*annualizationFactor</f>
        <v>0.30064656383999994</v>
      </c>
      <c r="W488" s="777">
        <f>$G$22*$I$9*'Traffic Data'!AY52*annualizationFactor</f>
        <v>0.3053761754399999</v>
      </c>
      <c r="X488" s="777">
        <f>$G$22*$I$9*'Traffic Data'!AZ52*annualizationFactor</f>
        <v>0.31010578703999991</v>
      </c>
      <c r="Y488" s="777">
        <f>$G$22*$I$9*'Traffic Data'!BA52*annualizationFactor</f>
        <v>0.31483539863999993</v>
      </c>
      <c r="Z488" s="777">
        <f>$G$22*$I$9*'Traffic Data'!BB52*annualizationFactor</f>
        <v>0.3195661139999999</v>
      </c>
      <c r="AA488" s="777">
        <f>$G$22*$I$9*'Traffic Data'!BC52*annualizationFactor</f>
        <v>0.32429572559999992</v>
      </c>
      <c r="AB488" s="777">
        <f>$G$22*$I$9*'Traffic Data'!BD52*annualizationFactor</f>
        <v>0.32902644095999994</v>
      </c>
      <c r="AC488" s="777">
        <f>$G$22*$I$9*'Traffic Data'!BE52*annualizationFactor</f>
        <v>0.33375605255999996</v>
      </c>
      <c r="AD488" s="777">
        <f>$G$22*$I$9*'Traffic Data'!BF52*annualizationFactor</f>
        <v>0.33848566415999992</v>
      </c>
      <c r="AE488" s="777">
        <f>$G$22*$I$9*'Traffic Data'!BG52*annualizationFactor</f>
        <v>0.34321637951999995</v>
      </c>
      <c r="AF488" s="777">
        <f>$G$22*$I$9*'Traffic Data'!BH52*annualizationFactor</f>
        <v>0.34794599111999985</v>
      </c>
      <c r="AG488" s="777">
        <f>$G$22*$I$9*'Traffic Data'!BI52*annualizationFactor</f>
        <v>0.35267560271999998</v>
      </c>
      <c r="AH488" s="778">
        <f>$G$22*$I$9*'Traffic Data'!BJ52*annualizationFactor</f>
        <v>0.35740631807999995</v>
      </c>
      <c r="AI488" s="40"/>
      <c r="AJ488" s="40"/>
      <c r="AK488" s="40"/>
      <c r="AL488" s="40"/>
      <c r="AM488" s="40"/>
    </row>
    <row r="489" spans="2:39" ht="21.95" customHeight="1" x14ac:dyDescent="0.2">
      <c r="B489" s="1346"/>
      <c r="C489" s="116" t="s">
        <v>323</v>
      </c>
      <c r="D489" s="116" t="s">
        <v>347</v>
      </c>
      <c r="E489" s="116" t="s">
        <v>467</v>
      </c>
      <c r="F489" s="116" t="s">
        <v>41</v>
      </c>
      <c r="G489" s="970"/>
      <c r="H489" s="970"/>
      <c r="I489" s="777">
        <f>$G$22*$I$9*'Traffic Data'!AK53*annualizationFactor</f>
        <v>3.6791999999999998E-2</v>
      </c>
      <c r="J489" s="777">
        <f>$G$22*$I$9*'Traffic Data'!AL53*annualizationFactor</f>
        <v>3.7604971799999998E-2</v>
      </c>
      <c r="K489" s="777">
        <f>$G$22*$I$9*'Traffic Data'!AM53*annualizationFactor</f>
        <v>3.8808661500000001E-2</v>
      </c>
      <c r="L489" s="777">
        <f>$G$22*$I$9*'Traffic Data'!AN53*annualizationFactor</f>
        <v>4.0336252199999999E-2</v>
      </c>
      <c r="M489" s="777">
        <f>$G$22*$I$9*'Traffic Data'!AO53*annualizationFactor</f>
        <v>4.1864302800000003E-2</v>
      </c>
      <c r="N489" s="777">
        <f>$G$22*$I$9*'Traffic Data'!AP53*annualizationFactor</f>
        <v>4.3392261420000001E-2</v>
      </c>
      <c r="O489" s="777">
        <f>$G$22*$I$9*'Traffic Data'!AQ53*annualizationFactor</f>
        <v>4.4919852119999985E-2</v>
      </c>
      <c r="P489" s="777">
        <f>$G$22*$I$9*'Traffic Data'!AR53*annualizationFactor</f>
        <v>4.644827063999999E-2</v>
      </c>
      <c r="Q489" s="777">
        <f>$G$22*$I$9*'Traffic Data'!AS53*annualizationFactor</f>
        <v>4.7806421040000005E-2</v>
      </c>
      <c r="R489" s="777">
        <f>$G$22*$I$9*'Traffic Data'!AT53*annualizationFactor</f>
        <v>4.9164702839999998E-2</v>
      </c>
      <c r="S489" s="777">
        <f>$G$22*$I$9*'Traffic Data'!AU53*annualizationFactor</f>
        <v>5.0522853239999992E-2</v>
      </c>
      <c r="T489" s="777">
        <f>$G$22*$I$9*'Traffic Data'!AV53*annualizationFactor</f>
        <v>5.1881003640000006E-2</v>
      </c>
      <c r="U489" s="777">
        <f>$G$22*$I$9*'Traffic Data'!AW53*annualizationFactor</f>
        <v>5.3239784759999992E-2</v>
      </c>
      <c r="V489" s="777">
        <f>$G$22*$I$9*'Traffic Data'!AX53*annualizationFactor</f>
        <v>5.427366623999999E-2</v>
      </c>
      <c r="W489" s="777">
        <f>$G$22*$I$9*'Traffic Data'!AY53*annualizationFactor</f>
        <v>5.5086638040000004E-2</v>
      </c>
      <c r="X489" s="777">
        <f>$G$22*$I$9*'Traffic Data'!AZ53*annualizationFactor</f>
        <v>5.589960984000001E-2</v>
      </c>
      <c r="Y489" s="777">
        <f>$G$22*$I$9*'Traffic Data'!BA53*annualizationFactor</f>
        <v>5.6712581640000016E-2</v>
      </c>
      <c r="Z489" s="777">
        <f>$G$22*$I$9*'Traffic Data'!BB53*annualizationFactor</f>
        <v>5.7525684840000008E-2</v>
      </c>
      <c r="AA489" s="777">
        <f>$G$22*$I$9*'Traffic Data'!BC53*annualizationFactor</f>
        <v>5.8338656639999993E-2</v>
      </c>
      <c r="AB489" s="777">
        <f>$G$22*$I$9*'Traffic Data'!BD53*annualizationFactor</f>
        <v>5.9151759840000005E-2</v>
      </c>
      <c r="AC489" s="777">
        <f>$G$22*$I$9*'Traffic Data'!BE53*annualizationFactor</f>
        <v>5.9964731640000012E-2</v>
      </c>
      <c r="AD489" s="777">
        <f>$G$22*$I$9*'Traffic Data'!BF53*annualizationFactor</f>
        <v>6.0777703440000004E-2</v>
      </c>
      <c r="AE489" s="777">
        <f>$G$22*$I$9*'Traffic Data'!BG53*annualizationFactor</f>
        <v>6.1590806640000002E-2</v>
      </c>
      <c r="AF489" s="777">
        <f>$G$22*$I$9*'Traffic Data'!BH53*annualizationFactor</f>
        <v>6.2403778440000016E-2</v>
      </c>
      <c r="AG489" s="777">
        <f>$G$22*$I$9*'Traffic Data'!BI53*annualizationFactor</f>
        <v>6.3216750240000008E-2</v>
      </c>
      <c r="AH489" s="778">
        <f>$G$22*$I$9*'Traffic Data'!BJ53*annualizationFactor</f>
        <v>6.4029853440000006E-2</v>
      </c>
      <c r="AI489" s="40"/>
      <c r="AJ489" s="40"/>
      <c r="AK489" s="40"/>
      <c r="AL489" s="40"/>
      <c r="AM489" s="40"/>
    </row>
    <row r="490" spans="2:39" ht="21.95" customHeight="1" x14ac:dyDescent="0.2">
      <c r="B490" s="1346"/>
      <c r="C490" s="116" t="s">
        <v>347</v>
      </c>
      <c r="D490" s="116" t="s">
        <v>348</v>
      </c>
      <c r="E490" s="116" t="s">
        <v>467</v>
      </c>
      <c r="F490" s="116" t="s">
        <v>41</v>
      </c>
      <c r="G490" s="970"/>
      <c r="H490" s="970"/>
      <c r="I490" s="777">
        <f>$G$22*$I$9*'Traffic Data'!AK54*annualizationFactor</f>
        <v>2.57544E-2</v>
      </c>
      <c r="J490" s="777">
        <f>$G$22*$I$9*'Traffic Data'!AL54*annualizationFactor</f>
        <v>2.632348026E-2</v>
      </c>
      <c r="K490" s="777">
        <f>$G$22*$I$9*'Traffic Data'!AM54*annualizationFactor</f>
        <v>2.7166063049999994E-2</v>
      </c>
      <c r="L490" s="777">
        <f>$G$22*$I$9*'Traffic Data'!AN54*annualizationFactor</f>
        <v>2.8235376539999996E-2</v>
      </c>
      <c r="M490" s="777">
        <f>$G$22*$I$9*'Traffic Data'!AO54*annualizationFactor</f>
        <v>2.9305011960000002E-2</v>
      </c>
      <c r="N490" s="777">
        <f>$G$22*$I$9*'Traffic Data'!AP54*annualizationFactor</f>
        <v>3.0374582994000001E-2</v>
      </c>
      <c r="O490" s="777">
        <f>$G$22*$I$9*'Traffic Data'!AQ54*annualizationFactor</f>
        <v>3.1443896483999992E-2</v>
      </c>
      <c r="P490" s="777">
        <f>$G$22*$I$9*'Traffic Data'!AR54*annualizationFactor</f>
        <v>3.2513789447999993E-2</v>
      </c>
      <c r="Q490" s="777">
        <f>$G$22*$I$9*'Traffic Data'!AS54*annualizationFactor</f>
        <v>3.3464494727999998E-2</v>
      </c>
      <c r="R490" s="777">
        <f>$G$22*$I$9*'Traffic Data'!AT54*annualizationFactor</f>
        <v>3.4415291987999995E-2</v>
      </c>
      <c r="S490" s="777">
        <f>$G$22*$I$9*'Traffic Data'!AU54*annualizationFactor</f>
        <v>3.5365997267999993E-2</v>
      </c>
      <c r="T490" s="777">
        <f>$G$22*$I$9*'Traffic Data'!AV54*annualizationFactor</f>
        <v>3.6316702547999999E-2</v>
      </c>
      <c r="U490" s="777">
        <f>$G$22*$I$9*'Traffic Data'!AW54*annualizationFactor</f>
        <v>3.7267849331999989E-2</v>
      </c>
      <c r="V490" s="777">
        <f>$G$22*$I$9*'Traffic Data'!AX54*annualizationFactor</f>
        <v>3.7991566367999996E-2</v>
      </c>
      <c r="W490" s="777">
        <f>$G$22*$I$9*'Traffic Data'!AY54*annualizationFactor</f>
        <v>3.8560646627999996E-2</v>
      </c>
      <c r="X490" s="777">
        <f>$G$22*$I$9*'Traffic Data'!AZ54*annualizationFactor</f>
        <v>3.9129726888000003E-2</v>
      </c>
      <c r="Y490" s="777">
        <f>$G$22*$I$9*'Traffic Data'!BA54*annualizationFactor</f>
        <v>3.9698807148000004E-2</v>
      </c>
      <c r="Z490" s="777">
        <f>$G$22*$I$9*'Traffic Data'!BB54*annualizationFactor</f>
        <v>4.0267979388000003E-2</v>
      </c>
      <c r="AA490" s="777">
        <f>$G$22*$I$9*'Traffic Data'!BC54*annualizationFactor</f>
        <v>4.0837059647999989E-2</v>
      </c>
      <c r="AB490" s="777">
        <f>$G$22*$I$9*'Traffic Data'!BD54*annualizationFactor</f>
        <v>4.1406231888000002E-2</v>
      </c>
      <c r="AC490" s="777">
        <f>$G$22*$I$9*'Traffic Data'!BE54*annualizationFactor</f>
        <v>4.1975312148000002E-2</v>
      </c>
      <c r="AD490" s="777">
        <f>$G$22*$I$9*'Traffic Data'!BF54*annualizationFactor</f>
        <v>4.2544392408000002E-2</v>
      </c>
      <c r="AE490" s="777">
        <f>$G$22*$I$9*'Traffic Data'!BG54*annualizationFactor</f>
        <v>4.3113564648000001E-2</v>
      </c>
      <c r="AF490" s="777">
        <f>$G$22*$I$9*'Traffic Data'!BH54*annualizationFactor</f>
        <v>4.3682644908000001E-2</v>
      </c>
      <c r="AG490" s="777">
        <f>$G$22*$I$9*'Traffic Data'!BI54*annualizationFactor</f>
        <v>4.4251725168000008E-2</v>
      </c>
      <c r="AH490" s="778">
        <f>$G$22*$I$9*'Traffic Data'!BJ54*annualizationFactor</f>
        <v>4.4820897408000007E-2</v>
      </c>
      <c r="AI490" s="40"/>
      <c r="AJ490" s="40"/>
      <c r="AK490" s="40"/>
      <c r="AL490" s="40"/>
      <c r="AM490" s="40"/>
    </row>
    <row r="491" spans="2:39" ht="21.95" customHeight="1" x14ac:dyDescent="0.2">
      <c r="B491" s="1346"/>
      <c r="C491" s="254" t="s">
        <v>348</v>
      </c>
      <c r="D491" s="254" t="s">
        <v>349</v>
      </c>
      <c r="E491" s="254" t="s">
        <v>467</v>
      </c>
      <c r="F491" s="254" t="s">
        <v>41</v>
      </c>
      <c r="G491" s="779"/>
      <c r="H491" s="779"/>
      <c r="I491" s="777">
        <f>$G$22*$I$9*'Traffic Data'!AK55*annualizationFactor</f>
        <v>4.2047999999999995E-2</v>
      </c>
      <c r="J491" s="777">
        <f>$G$22*$I$9*'Traffic Data'!AL55*annualizationFactor</f>
        <v>4.3052355899999999E-2</v>
      </c>
      <c r="K491" s="777">
        <f>$G$22*$I$9*'Traffic Data'!AM55*annualizationFactor</f>
        <v>4.4447495400000002E-2</v>
      </c>
      <c r="L491" s="777">
        <f>$G$22*$I$9*'Traffic Data'!AN55*annualizationFactor</f>
        <v>4.6300366799999992E-2</v>
      </c>
      <c r="M491" s="777">
        <f>$G$22*$I$9*'Traffic Data'!AO55*annualizationFactor</f>
        <v>4.8153763800000006E-2</v>
      </c>
      <c r="N491" s="777">
        <f>$G$22*$I$9*'Traffic Data'!AP55*annualizationFactor</f>
        <v>5.0007292199999998E-2</v>
      </c>
      <c r="O491" s="777">
        <f>$G$22*$I$9*'Traffic Data'!AQ55*annualizationFactor</f>
        <v>5.1860163600000009E-2</v>
      </c>
      <c r="P491" s="777">
        <f>$G$22*$I$9*'Traffic Data'!AR55*annualizationFactor</f>
        <v>5.3714086200000018E-2</v>
      </c>
      <c r="Q491" s="777">
        <f>$G$22*$I$9*'Traffic Data'!AS55*annualizationFactor</f>
        <v>5.5483518600000004E-2</v>
      </c>
      <c r="R491" s="777">
        <f>$G$22*$I$9*'Traffic Data'!AT55*annualizationFactor</f>
        <v>5.7253016699999992E-2</v>
      </c>
      <c r="S491" s="777">
        <f>$G$22*$I$9*'Traffic Data'!AU55*annualizationFactor</f>
        <v>5.9022449099999985E-2</v>
      </c>
      <c r="T491" s="777">
        <f>$G$22*$I$9*'Traffic Data'!AV55*annualizationFactor</f>
        <v>6.0791881500000006E-2</v>
      </c>
      <c r="U491" s="777">
        <f>$G$22*$I$9*'Traffic Data'!AW55*annualizationFactor</f>
        <v>6.2562365100000003E-2</v>
      </c>
      <c r="V491" s="777">
        <f>$G$22*$I$9*'Traffic Data'!AX55*annualizationFactor</f>
        <v>6.3873539999999993E-2</v>
      </c>
      <c r="W491" s="777">
        <f>$G$22*$I$9*'Traffic Data'!AY55*annualizationFactor</f>
        <v>6.4877895899999996E-2</v>
      </c>
      <c r="X491" s="777">
        <f>$G$22*$I$9*'Traffic Data'!AZ55*annualizationFactor</f>
        <v>6.5882251799999986E-2</v>
      </c>
      <c r="Y491" s="777">
        <f>$G$22*$I$9*'Traffic Data'!BA55*annualizationFactor</f>
        <v>6.6886607700000003E-2</v>
      </c>
      <c r="Z491" s="777">
        <f>$G$22*$I$9*'Traffic Data'!BB55*annualizationFactor</f>
        <v>6.7891160699999994E-2</v>
      </c>
      <c r="AA491" s="777">
        <f>$G$22*$I$9*'Traffic Data'!BC55*annualizationFactor</f>
        <v>6.8895516599999984E-2</v>
      </c>
      <c r="AB491" s="777">
        <f>$G$22*$I$9*'Traffic Data'!BD55*annualizationFactor</f>
        <v>6.9900069600000003E-2</v>
      </c>
      <c r="AC491" s="777">
        <f>$G$22*$I$9*'Traffic Data'!BE55*annualizationFactor</f>
        <v>7.0904425499999993E-2</v>
      </c>
      <c r="AD491" s="777">
        <f>$G$22*$I$9*'Traffic Data'!BF55*annualizationFactor</f>
        <v>7.1908781399999996E-2</v>
      </c>
      <c r="AE491" s="777">
        <f>$G$22*$I$9*'Traffic Data'!BG55*annualizationFactor</f>
        <v>7.2913334400000002E-2</v>
      </c>
      <c r="AF491" s="777">
        <f>$G$22*$I$9*'Traffic Data'!BH55*annualizationFactor</f>
        <v>7.3917690299999991E-2</v>
      </c>
      <c r="AG491" s="777">
        <f>$G$22*$I$9*'Traffic Data'!BI55*annualizationFactor</f>
        <v>7.4922046199999995E-2</v>
      </c>
      <c r="AH491" s="778">
        <f>$G$22*$I$9*'Traffic Data'!BJ55*annualizationFactor</f>
        <v>7.5926599199999986E-2</v>
      </c>
      <c r="AI491" s="40"/>
      <c r="AJ491" s="40"/>
      <c r="AK491" s="40"/>
      <c r="AL491" s="40"/>
      <c r="AM491" s="40"/>
    </row>
    <row r="492" spans="2:39" ht="21.95" customHeight="1" x14ac:dyDescent="0.2">
      <c r="B492" s="492" t="s">
        <v>288</v>
      </c>
      <c r="C492" s="116" t="s">
        <v>323</v>
      </c>
      <c r="D492" s="116" t="s">
        <v>348</v>
      </c>
      <c r="E492" s="116" t="s">
        <v>467</v>
      </c>
      <c r="F492" s="116" t="s">
        <v>41</v>
      </c>
      <c r="G492" s="970"/>
      <c r="H492" s="970"/>
      <c r="I492" s="775">
        <f>$G$22*$J$9*'Traffic Data'!AK56*annualizationFactor</f>
        <v>5.2560000000000003E-3</v>
      </c>
      <c r="J492" s="775">
        <f>$G$22*$J$9*'Traffic Data'!AL56*annualizationFactor</f>
        <v>5.5791856000000006E-3</v>
      </c>
      <c r="K492" s="775">
        <f>$G$22*$J$9*'Traffic Data'!AM56*annualizationFactor</f>
        <v>6.0068780000000011E-3</v>
      </c>
      <c r="L492" s="775">
        <f>$G$22*$J$9*'Traffic Data'!AN56*annualizationFactor</f>
        <v>6.5752559999999989E-3</v>
      </c>
      <c r="M492" s="775">
        <f>$G$22*$J$9*'Traffic Data'!AO56*annualizationFactor</f>
        <v>7.1438092000000002E-3</v>
      </c>
      <c r="N492" s="775">
        <f>$G$22*$J$9*'Traffic Data'!AP56*annualizationFactor</f>
        <v>7.7135888000000015E-3</v>
      </c>
      <c r="O492" s="775">
        <f>$G$22*$J$9*'Traffic Data'!AQ56*annualizationFactor</f>
        <v>8.2819667999999985E-3</v>
      </c>
      <c r="P492" s="775">
        <f>$G$22*$J$9*'Traffic Data'!AR56*annualizationFactor</f>
        <v>8.850957999999999E-3</v>
      </c>
      <c r="Q492" s="775">
        <f>$G$22*$J$9*'Traffic Data'!AS56*annualizationFactor</f>
        <v>9.3697836000000007E-3</v>
      </c>
      <c r="R492" s="775">
        <f>$G$22*$J$9*'Traffic Data'!AT56*annualizationFactor</f>
        <v>9.8881712000000021E-3</v>
      </c>
      <c r="S492" s="775">
        <f>$G$22*$J$9*'Traffic Data'!AU56*annualizationFactor</f>
        <v>1.0407026E-2</v>
      </c>
      <c r="T492" s="775">
        <f>$G$22*$J$9*'Traffic Data'!AV56*annualizationFactor</f>
        <v>1.09258516E-2</v>
      </c>
      <c r="U492" s="775">
        <f>$G$22*$J$9*'Traffic Data'!AW56*annualizationFactor</f>
        <v>1.1446516800000001E-2</v>
      </c>
      <c r="V492" s="775">
        <f>$G$22*$J$9*'Traffic Data'!AX56*annualizationFactor</f>
        <v>1.1824248000000002E-2</v>
      </c>
      <c r="W492" s="775">
        <f>$G$22*$J$9*'Traffic Data'!AY56*annualizationFactor</f>
        <v>1.2147433600000002E-2</v>
      </c>
      <c r="X492" s="775">
        <f>$G$22*$J$9*'Traffic Data'!AZ56*annualizationFactor</f>
        <v>1.2470619199999998E-2</v>
      </c>
      <c r="Y492" s="775">
        <f>$G$22*$J$9*'Traffic Data'!BA56*annualizationFactor</f>
        <v>1.2793804799999999E-2</v>
      </c>
      <c r="Z492" s="775">
        <f>$G$22*$J$9*'Traffic Data'!BB56*annualizationFactor</f>
        <v>1.31173408E-2</v>
      </c>
      <c r="AA492" s="775">
        <f>$G$22*$J$9*'Traffic Data'!BC56*annualizationFactor</f>
        <v>1.3440526399999998E-2</v>
      </c>
      <c r="AB492" s="775">
        <f>$G$22*$J$9*'Traffic Data'!BD56*annualizationFactor</f>
        <v>1.3764500400000001E-2</v>
      </c>
      <c r="AC492" s="775">
        <f>$G$22*$J$9*'Traffic Data'!BE56*annualizationFactor</f>
        <v>1.4087685999999999E-2</v>
      </c>
      <c r="AD492" s="775">
        <f>$G$22*$J$9*'Traffic Data'!BF56*annualizationFactor</f>
        <v>1.44108716E-2</v>
      </c>
      <c r="AE492" s="775">
        <f>$G$22*$J$9*'Traffic Data'!BG56*annualizationFactor</f>
        <v>1.4734407599999997E-2</v>
      </c>
      <c r="AF492" s="775">
        <f>$G$22*$J$9*'Traffic Data'!BH56*annualizationFactor</f>
        <v>1.50575932E-2</v>
      </c>
      <c r="AG492" s="775">
        <f>$G$22*$J$9*'Traffic Data'!BI56*annualizationFactor</f>
        <v>1.53807788E-2</v>
      </c>
      <c r="AH492" s="776">
        <f>$G$22*$J$9*'Traffic Data'!BJ56*annualizationFactor</f>
        <v>1.5704752799999999E-2</v>
      </c>
      <c r="AI492" s="40"/>
      <c r="AJ492" s="40"/>
      <c r="AK492" s="40"/>
      <c r="AL492" s="40"/>
      <c r="AM492" s="40"/>
    </row>
    <row r="493" spans="2:39" ht="21.95" customHeight="1" x14ac:dyDescent="0.2">
      <c r="B493" s="782" t="s">
        <v>340</v>
      </c>
      <c r="C493" s="277" t="s">
        <v>335</v>
      </c>
      <c r="D493" s="277" t="s">
        <v>323</v>
      </c>
      <c r="E493" s="277" t="s">
        <v>467</v>
      </c>
      <c r="F493" s="277" t="s">
        <v>41</v>
      </c>
      <c r="G493" s="780"/>
      <c r="H493" s="780"/>
      <c r="I493" s="775">
        <f>$G$22*$K$9*'Traffic Data'!AK57*annualizationFactor</f>
        <v>0</v>
      </c>
      <c r="J493" s="775">
        <f>$G$22*$K$9*'Traffic Data'!AL57*annualizationFactor</f>
        <v>0</v>
      </c>
      <c r="K493" s="775">
        <f>$G$22*$K$9*'Traffic Data'!AM57*annualizationFactor</f>
        <v>0</v>
      </c>
      <c r="L493" s="775">
        <f>$G$22*$K$9*'Traffic Data'!AN57*annualizationFactor</f>
        <v>0</v>
      </c>
      <c r="M493" s="775">
        <f>$G$22*$K$9*'Traffic Data'!AO57*annualizationFactor</f>
        <v>0</v>
      </c>
      <c r="N493" s="775">
        <f>$G$22*$K$9*'Traffic Data'!AP57*annualizationFactor</f>
        <v>0</v>
      </c>
      <c r="O493" s="775">
        <f>$G$22*$K$9*'Traffic Data'!AQ57*annualizationFactor</f>
        <v>0</v>
      </c>
      <c r="P493" s="775">
        <f>$G$22*$K$9*'Traffic Data'!AR57*annualizationFactor</f>
        <v>0</v>
      </c>
      <c r="Q493" s="775">
        <f>$G$22*$K$9*'Traffic Data'!AS57*annualizationFactor</f>
        <v>0</v>
      </c>
      <c r="R493" s="775">
        <f>$G$22*$K$9*'Traffic Data'!AT57*annualizationFactor</f>
        <v>0</v>
      </c>
      <c r="S493" s="775">
        <f>$G$22*$K$9*'Traffic Data'!AU57*annualizationFactor</f>
        <v>0</v>
      </c>
      <c r="T493" s="775">
        <f>$G$22*$K$9*'Traffic Data'!AV57*annualizationFactor</f>
        <v>0</v>
      </c>
      <c r="U493" s="775">
        <f>$G$22*$K$9*'Traffic Data'!AW57*annualizationFactor</f>
        <v>0</v>
      </c>
      <c r="V493" s="775">
        <f>$G$22*$K$9*'Traffic Data'!AX57*annualizationFactor</f>
        <v>0</v>
      </c>
      <c r="W493" s="775">
        <f>$G$22*$K$9*'Traffic Data'!AY57*annualizationFactor</f>
        <v>0</v>
      </c>
      <c r="X493" s="775">
        <f>$G$22*$K$9*'Traffic Data'!AZ57*annualizationFactor</f>
        <v>0</v>
      </c>
      <c r="Y493" s="775">
        <f>$G$22*$K$9*'Traffic Data'!BA57*annualizationFactor</f>
        <v>0</v>
      </c>
      <c r="Z493" s="775">
        <f>$G$22*$K$9*'Traffic Data'!BB57*annualizationFactor</f>
        <v>0</v>
      </c>
      <c r="AA493" s="775">
        <f>$G$22*$K$9*'Traffic Data'!BC57*annualizationFactor</f>
        <v>0</v>
      </c>
      <c r="AB493" s="775">
        <f>$G$22*$K$9*'Traffic Data'!BD57*annualizationFactor</f>
        <v>0</v>
      </c>
      <c r="AC493" s="775">
        <f>$G$22*$K$9*'Traffic Data'!BE57*annualizationFactor</f>
        <v>0</v>
      </c>
      <c r="AD493" s="775">
        <f>$G$22*$K$9*'Traffic Data'!BF57*annualizationFactor</f>
        <v>0</v>
      </c>
      <c r="AE493" s="775">
        <f>$G$22*$K$9*'Traffic Data'!BG57*annualizationFactor</f>
        <v>0</v>
      </c>
      <c r="AF493" s="775">
        <f>$G$22*$K$9*'Traffic Data'!BH57*annualizationFactor</f>
        <v>0</v>
      </c>
      <c r="AG493" s="775">
        <f>$G$22*$K$9*'Traffic Data'!BI57*annualizationFactor</f>
        <v>0</v>
      </c>
      <c r="AH493" s="776">
        <f>$G$22*$K$9*'Traffic Data'!BJ57*annualizationFactor</f>
        <v>0</v>
      </c>
      <c r="AI493" s="40"/>
      <c r="AJ493" s="40"/>
      <c r="AK493" s="40"/>
      <c r="AL493" s="40"/>
      <c r="AM493" s="40"/>
    </row>
    <row r="494" spans="2:39" ht="21.95" customHeight="1" x14ac:dyDescent="0.2">
      <c r="B494" s="782" t="s">
        <v>357</v>
      </c>
      <c r="C494" s="277" t="s">
        <v>338</v>
      </c>
      <c r="D494" s="277" t="s">
        <v>323</v>
      </c>
      <c r="E494" s="116" t="s">
        <v>467</v>
      </c>
      <c r="F494" s="116" t="s">
        <v>41</v>
      </c>
      <c r="G494" s="970"/>
      <c r="H494" s="970"/>
      <c r="I494" s="775">
        <f>$G$22*$L$9*'Traffic Data'!AK58*annualizationFactor</f>
        <v>9.7474909090909095E-3</v>
      </c>
      <c r="J494" s="775">
        <f>$G$22*$L$9*'Traffic Data'!AL58*annualizationFactor</f>
        <v>9.8813293745454549E-3</v>
      </c>
      <c r="K494" s="775">
        <f>$G$22*$L$9*'Traffic Data'!AM58*annualizationFactor</f>
        <v>1.0112669825454546E-2</v>
      </c>
      <c r="L494" s="775">
        <f>$G$22*$L$9*'Traffic Data'!AN58*annualizationFactor</f>
        <v>1.0430275570909094E-2</v>
      </c>
      <c r="M494" s="775">
        <f>$G$22*$L$9*'Traffic Data'!AO58*annualizationFactor</f>
        <v>1.0748016698181819E-2</v>
      </c>
      <c r="N494" s="775">
        <f>$G$22*$L$9*'Traffic Data'!AP58*annualizationFactor</f>
        <v>1.1066218123636362E-2</v>
      </c>
      <c r="O494" s="775">
        <f>$G$22*$L$9*'Traffic Data'!AQ58*annualizationFactor</f>
        <v>1.1383823869090912E-2</v>
      </c>
      <c r="P494" s="775">
        <f>$G$22*$L$9*'Traffic Data'!AR58*annualizationFactor</f>
        <v>1.1702539745454545E-2</v>
      </c>
      <c r="Q494" s="775">
        <f>$G$22*$L$9*'Traffic Data'!AS58*annualizationFactor</f>
        <v>1.1923564101818182E-2</v>
      </c>
      <c r="R494" s="775">
        <f>$G$22*$L$9*'Traffic Data'!AT58*annualizationFactor</f>
        <v>1.2144615534545454E-2</v>
      </c>
      <c r="S494" s="775">
        <f>$G$22*$L$9*'Traffic Data'!AU58*annualizationFactor</f>
        <v>1.2365694043636364E-2</v>
      </c>
      <c r="T494" s="775">
        <f>$G$22*$L$9*'Traffic Data'!AV58*annualizationFactor</f>
        <v>1.2586718400000004E-2</v>
      </c>
      <c r="U494" s="775">
        <f>$G$22*$L$9*'Traffic Data'!AW58*annualizationFactor</f>
        <v>1.2809313185454547E-2</v>
      </c>
      <c r="V494" s="775">
        <f>$G$22*$L$9*'Traffic Data'!AX58*annualizationFactor</f>
        <v>1.294315165090909E-2</v>
      </c>
      <c r="W494" s="775">
        <f>$G$22*$L$9*'Traffic Data'!AY58*annualizationFactor</f>
        <v>1.3076990116363634E-2</v>
      </c>
      <c r="X494" s="775">
        <f>$G$22*$L$9*'Traffic Data'!AZ58*annualizationFactor</f>
        <v>1.3210828581818183E-2</v>
      </c>
      <c r="Y494" s="775">
        <f>$G$22*$L$9*'Traffic Data'!BA58*annualizationFactor</f>
        <v>1.3344667047272725E-2</v>
      </c>
      <c r="Z494" s="775">
        <f>$G$22*$L$9*'Traffic Data'!BB58*annualizationFactor</f>
        <v>1.3479426109090911E-2</v>
      </c>
      <c r="AA494" s="775">
        <f>$G$22*$L$9*'Traffic Data'!BC58*annualizationFactor</f>
        <v>1.3613264574545455E-2</v>
      </c>
      <c r="AB494" s="775">
        <f>$G$22*$L$9*'Traffic Data'!BD58*annualizationFactor</f>
        <v>1.3747617490909095E-2</v>
      </c>
      <c r="AC494" s="775">
        <f>$G$22*$L$9*'Traffic Data'!BE58*annualizationFactor</f>
        <v>1.3881455956363633E-2</v>
      </c>
      <c r="AD494" s="775">
        <f>$G$22*$L$9*'Traffic Data'!BF58*annualizationFactor</f>
        <v>1.4015294421818186E-2</v>
      </c>
      <c r="AE494" s="775">
        <f>$G$22*$L$9*'Traffic Data'!BG58*annualizationFactor</f>
        <v>1.4150053483636366E-2</v>
      </c>
      <c r="AF494" s="775">
        <f>$G$22*$L$9*'Traffic Data'!BH58*annualizationFactor</f>
        <v>1.4283891949090913E-2</v>
      </c>
      <c r="AG494" s="775">
        <f>$G$22*$L$9*'Traffic Data'!BI58*annualizationFactor</f>
        <v>1.4417730414545457E-2</v>
      </c>
      <c r="AH494" s="776">
        <f>$G$22*$L$9*'Traffic Data'!BJ58*annualizationFactor</f>
        <v>1.4552083330909092E-2</v>
      </c>
      <c r="AI494" s="40"/>
      <c r="AJ494" s="40"/>
      <c r="AK494" s="40"/>
      <c r="AL494" s="40"/>
      <c r="AM494" s="40"/>
    </row>
    <row r="495" spans="2:39" ht="21.95" customHeight="1" x14ac:dyDescent="0.2">
      <c r="B495" s="492" t="s">
        <v>338</v>
      </c>
      <c r="C495" s="116" t="s">
        <v>282</v>
      </c>
      <c r="D495" s="116" t="s">
        <v>357</v>
      </c>
      <c r="E495" s="220" t="s">
        <v>467</v>
      </c>
      <c r="F495" s="220" t="s">
        <v>41</v>
      </c>
      <c r="G495" s="775"/>
      <c r="H495" s="775"/>
      <c r="I495" s="775">
        <f>$G$22*$M$9*'Traffic Data'!AK59*annualizationFactor</f>
        <v>3.5006818181818188E-2</v>
      </c>
      <c r="J495" s="775">
        <f>$G$22*$M$9*'Traffic Data'!AL59*annualizationFactor</f>
        <v>3.6015959729545466E-2</v>
      </c>
      <c r="K495" s="775">
        <f>$G$22*$M$9*'Traffic Data'!AM59*annualizationFactor</f>
        <v>3.710824247045455E-2</v>
      </c>
      <c r="L495" s="775">
        <f>$G$22*$M$9*'Traffic Data'!AN59*annualizationFactor</f>
        <v>3.8557349709090916E-2</v>
      </c>
      <c r="M495" s="775">
        <f>$G$22*$M$9*'Traffic Data'!AO59*annualizationFactor</f>
        <v>4.0006701995454551E-2</v>
      </c>
      <c r="N495" s="775">
        <f>$G$22*$M$9*'Traffic Data'!AP59*annualizationFactor</f>
        <v>4.1456649397727273E-2</v>
      </c>
      <c r="O495" s="775">
        <f>$G$22*$M$9*'Traffic Data'!AQ59*annualizationFactor</f>
        <v>4.2905756636363646E-2</v>
      </c>
      <c r="P495" s="775">
        <f>$G$22*$M$9*'Traffic Data'!AR59*annualizationFactor</f>
        <v>4.4355248950000009E-2</v>
      </c>
      <c r="Q495" s="775">
        <f>$G$22*$M$9*'Traffic Data'!AS59*annualizationFactor</f>
        <v>4.595022960000001E-2</v>
      </c>
      <c r="R495" s="775">
        <f>$G$22*$M$9*'Traffic Data'!AT59*annualizationFactor</f>
        <v>4.7544685147727278E-2</v>
      </c>
      <c r="S495" s="775">
        <f>$G$22*$M$9*'Traffic Data'!AU59*annualizationFactor</f>
        <v>4.9139665797727286E-2</v>
      </c>
      <c r="T495" s="775">
        <f>$G$22*$M$9*'Traffic Data'!AV59*annualizationFactor</f>
        <v>5.073464644772728E-2</v>
      </c>
      <c r="U495" s="775">
        <f>$G$22*$M$9*'Traffic Data'!AW59*annualizationFactor</f>
        <v>5.2330537275000012E-2</v>
      </c>
      <c r="V495" s="775">
        <f>$G$22*$M$9*'Traffic Data'!AX59*annualizationFactor</f>
        <v>5.3568553400000003E-2</v>
      </c>
      <c r="W495" s="775">
        <f>$G$22*$M$9*'Traffic Data'!AY59*annualizationFactor</f>
        <v>5.4577694947727282E-2</v>
      </c>
      <c r="X495" s="775">
        <f>$G$22*$M$9*'Traffic Data'!AZ59*annualizationFactor</f>
        <v>5.558683649545456E-2</v>
      </c>
      <c r="Y495" s="775">
        <f>$G$22*$M$9*'Traffic Data'!BA59*annualizationFactor</f>
        <v>5.6595978043181838E-2</v>
      </c>
      <c r="Z495" s="775">
        <f>$G$22*$M$9*'Traffic Data'!BB59*annualizationFactor</f>
        <v>5.7605014570454555E-2</v>
      </c>
      <c r="AA495" s="775">
        <f>$G$22*$M$9*'Traffic Data'!BC59*annualizationFactor</f>
        <v>5.8614156118181819E-2</v>
      </c>
      <c r="AB495" s="775">
        <f>$G$22*$M$9*'Traffic Data'!BD59*annualizationFactor</f>
        <v>5.9623192645454536E-2</v>
      </c>
      <c r="AC495" s="775">
        <f>$G$22*$M$9*'Traffic Data'!BE59*annualizationFactor</f>
        <v>6.0632334193181842E-2</v>
      </c>
      <c r="AD495" s="775">
        <f>$G$22*$M$9*'Traffic Data'!BF59*annualizationFactor</f>
        <v>6.1641475740909113E-2</v>
      </c>
      <c r="AE495" s="775">
        <f>$G$22*$M$9*'Traffic Data'!BG59*annualizationFactor</f>
        <v>6.2650512268181829E-2</v>
      </c>
      <c r="AF495" s="775">
        <f>$G$22*$M$9*'Traffic Data'!BH59*annualizationFactor</f>
        <v>6.3659653815909101E-2</v>
      </c>
      <c r="AG495" s="775">
        <f>$G$22*$M$9*'Traffic Data'!BI59*annualizationFactor</f>
        <v>6.4668795363636372E-2</v>
      </c>
      <c r="AH495" s="776">
        <f>$G$22*$M$9*'Traffic Data'!BJ59*annualizationFactor</f>
        <v>6.5677831890909116E-2</v>
      </c>
      <c r="AI495" s="40"/>
      <c r="AJ495" s="40"/>
      <c r="AK495" s="40"/>
      <c r="AL495" s="40"/>
      <c r="AM495" s="40"/>
    </row>
    <row r="496" spans="2:39" ht="21.95" customHeight="1" x14ac:dyDescent="0.2">
      <c r="B496" s="492"/>
      <c r="C496" s="116" t="s">
        <v>357</v>
      </c>
      <c r="D496" s="116" t="s">
        <v>346</v>
      </c>
      <c r="E496" s="116" t="s">
        <v>467</v>
      </c>
      <c r="F496" s="116" t="s">
        <v>41</v>
      </c>
      <c r="G496" s="970"/>
      <c r="H496" s="970"/>
      <c r="I496" s="777">
        <f>$G$22*$M$9*'Traffic Data'!AK60*annualizationFactor</f>
        <v>5.0982757575757584E-3</v>
      </c>
      <c r="J496" s="777">
        <f>$G$22*$M$9*'Traffic Data'!AL60*annualizationFactor</f>
        <v>5.2429728734848489E-3</v>
      </c>
      <c r="K496" s="777">
        <f>$G$22*$M$9*'Traffic Data'!AM60*annualizationFactor</f>
        <v>5.4035484350757577E-3</v>
      </c>
      <c r="L496" s="777">
        <f>$G$22*$M$9*'Traffic Data'!AN60*annualizationFactor</f>
        <v>5.628932473106061E-3</v>
      </c>
      <c r="M496" s="777">
        <f>$G$22*$M$9*'Traffic Data'!AO60*annualizationFactor</f>
        <v>5.8543567606818185E-3</v>
      </c>
      <c r="N496" s="777">
        <f>$G$22*$M$9*'Traffic Data'!AP60*annualizationFactor</f>
        <v>6.0798280060606049E-3</v>
      </c>
      <c r="O496" s="777">
        <f>$G$22*$M$9*'Traffic Data'!AQ60*annualizationFactor</f>
        <v>6.3052120440909099E-3</v>
      </c>
      <c r="P496" s="777">
        <f>$G$22*$M$9*'Traffic Data'!AR60*annualizationFactor</f>
        <v>6.5306094986363637E-3</v>
      </c>
      <c r="Q496" s="777">
        <f>$G$22*$M$9*'Traffic Data'!AS60*annualizationFactor</f>
        <v>6.7839468459848506E-3</v>
      </c>
      <c r="R496" s="777">
        <f>$G$22*$M$9*'Traffic Data'!AT60*annualizationFactor</f>
        <v>7.0371969859848484E-3</v>
      </c>
      <c r="S496" s="777">
        <f>$G$22*$M$9*'Traffic Data'!AU60*annualizationFactor</f>
        <v>7.2905343333333318E-3</v>
      </c>
      <c r="T496" s="777">
        <f>$G$22*$M$9*'Traffic Data'!AV60*annualizationFactor</f>
        <v>7.5438716806818171E-3</v>
      </c>
      <c r="U496" s="777">
        <f>$G$22*$M$9*'Traffic Data'!AW60*annualizationFactor</f>
        <v>7.7972492775757584E-3</v>
      </c>
      <c r="V496" s="777">
        <f>$G$22*$M$9*'Traffic Data'!AX60*annualizationFactor</f>
        <v>7.985804981515153E-3</v>
      </c>
      <c r="W496" s="777">
        <f>$G$22*$M$9*'Traffic Data'!AY60*annualizationFactor</f>
        <v>8.1305020974242418E-3</v>
      </c>
      <c r="X496" s="777">
        <f>$G$22*$M$9*'Traffic Data'!AZ60*annualizationFactor</f>
        <v>8.2751992133333358E-3</v>
      </c>
      <c r="Y496" s="777">
        <f>$G$22*$M$9*'Traffic Data'!BA60*annualizationFactor</f>
        <v>8.4198963292424246E-3</v>
      </c>
      <c r="Z496" s="777">
        <f>$G$22*$M$9*'Traffic Data'!BB60*annualizationFactor</f>
        <v>8.5645196543181808E-3</v>
      </c>
      <c r="AA496" s="777">
        <f>$G$22*$M$9*'Traffic Data'!BC60*annualizationFactor</f>
        <v>8.7092167702272714E-3</v>
      </c>
      <c r="AB496" s="777">
        <f>$G$22*$M$9*'Traffic Data'!BD60*annualizationFactor</f>
        <v>8.8538400953030293E-3</v>
      </c>
      <c r="AC496" s="777">
        <f>$G$22*$M$9*'Traffic Data'!BE60*annualizationFactor</f>
        <v>8.9985372112121216E-3</v>
      </c>
      <c r="AD496" s="777">
        <f>$G$22*$M$9*'Traffic Data'!BF60*annualizationFactor</f>
        <v>9.1432343271212121E-3</v>
      </c>
      <c r="AE496" s="777">
        <f>$G$22*$M$9*'Traffic Data'!BG60*annualizationFactor</f>
        <v>9.2878576521969684E-3</v>
      </c>
      <c r="AF496" s="777">
        <f>$G$22*$M$9*'Traffic Data'!BH60*annualizationFactor</f>
        <v>9.4325547681060606E-3</v>
      </c>
      <c r="AG496" s="777">
        <f>$G$22*$M$9*'Traffic Data'!BI60*annualizationFactor</f>
        <v>9.5772518840151494E-3</v>
      </c>
      <c r="AH496" s="778">
        <f>$G$22*$M$9*'Traffic Data'!BJ60*annualizationFactor</f>
        <v>9.7218752090909074E-3</v>
      </c>
      <c r="AI496" s="40"/>
      <c r="AJ496" s="40"/>
      <c r="AK496" s="40"/>
      <c r="AL496" s="40"/>
      <c r="AM496" s="40"/>
    </row>
    <row r="497" spans="2:39" ht="21.95" customHeight="1" x14ac:dyDescent="0.2">
      <c r="B497" s="492"/>
      <c r="C497" s="116" t="s">
        <v>346</v>
      </c>
      <c r="D497" s="116" t="s">
        <v>343</v>
      </c>
      <c r="E497" s="116" t="s">
        <v>467</v>
      </c>
      <c r="F497" s="116" t="s">
        <v>41</v>
      </c>
      <c r="G497" s="970"/>
      <c r="H497" s="970"/>
      <c r="I497" s="777">
        <f>$G$22*$M$9*'Traffic Data'!AK61*annualizationFactor</f>
        <v>1.260909090909091E-3</v>
      </c>
      <c r="J497" s="777">
        <f>$G$22*$M$9*'Traffic Data'!AL61*annualizationFactor</f>
        <v>1.2966956818181818E-3</v>
      </c>
      <c r="K497" s="777">
        <f>$G$22*$M$9*'Traffic Data'!AM61*annualizationFactor</f>
        <v>1.3364093409090909E-3</v>
      </c>
      <c r="L497" s="777">
        <f>$G$22*$M$9*'Traffic Data'!AN61*annualizationFactor</f>
        <v>1.3921514772727273E-3</v>
      </c>
      <c r="M497" s="777">
        <f>$G$22*$M$9*'Traffic Data'!AO61*annualizationFactor</f>
        <v>1.4479035681818184E-3</v>
      </c>
      <c r="N497" s="777">
        <f>$G$22*$M$9*'Traffic Data'!AP61*annualizationFactor</f>
        <v>1.5036672727272726E-3</v>
      </c>
      <c r="O497" s="777">
        <f>$G$22*$M$9*'Traffic Data'!AQ61*annualizationFactor</f>
        <v>1.559409409090909E-3</v>
      </c>
      <c r="P497" s="777">
        <f>$G$22*$M$9*'Traffic Data'!AR61*annualizationFactor</f>
        <v>1.615154863636364E-3</v>
      </c>
      <c r="Q497" s="777">
        <f>$G$22*$M$9*'Traffic Data'!AS61*annualizationFactor</f>
        <v>1.6778104318181822E-3</v>
      </c>
      <c r="R497" s="777">
        <f>$G$22*$M$9*'Traffic Data'!AT61*annualizationFactor</f>
        <v>1.7404444318181815E-3</v>
      </c>
      <c r="S497" s="777">
        <f>$G$22*$M$9*'Traffic Data'!AU61*annualizationFactor</f>
        <v>1.8030999999999998E-3</v>
      </c>
      <c r="T497" s="777">
        <f>$G$22*$M$9*'Traffic Data'!AV61*annualizationFactor</f>
        <v>1.865755568181818E-3</v>
      </c>
      <c r="U497" s="777">
        <f>$G$22*$M$9*'Traffic Data'!AW61*annualizationFactor</f>
        <v>1.9284210909090908E-3</v>
      </c>
      <c r="V497" s="777">
        <f>$G$22*$M$9*'Traffic Data'!AX61*annualizationFactor</f>
        <v>1.9750548181818178E-3</v>
      </c>
      <c r="W497" s="777">
        <f>$G$22*$M$9*'Traffic Data'!AY61*annualizationFactor</f>
        <v>2.0108414090909089E-3</v>
      </c>
      <c r="X497" s="777">
        <f>$G$22*$M$9*'Traffic Data'!AZ61*annualizationFactor</f>
        <v>2.046628E-3</v>
      </c>
      <c r="Y497" s="777">
        <f>$G$22*$M$9*'Traffic Data'!BA61*annualizationFactor</f>
        <v>2.0824145909090911E-3</v>
      </c>
      <c r="Z497" s="777">
        <f>$G$22*$M$9*'Traffic Data'!BB61*annualizationFactor</f>
        <v>2.1181829318181818E-3</v>
      </c>
      <c r="AA497" s="777">
        <f>$G$22*$M$9*'Traffic Data'!BC61*annualizationFactor</f>
        <v>2.1539695227272724E-3</v>
      </c>
      <c r="AB497" s="777">
        <f>$G$22*$M$9*'Traffic Data'!BD61*annualizationFactor</f>
        <v>2.1897378636363636E-3</v>
      </c>
      <c r="AC497" s="777">
        <f>$G$22*$M$9*'Traffic Data'!BE61*annualizationFactor</f>
        <v>2.2255244545454547E-3</v>
      </c>
      <c r="AD497" s="777">
        <f>$G$22*$M$9*'Traffic Data'!BF61*annualizationFactor</f>
        <v>2.2613110454545457E-3</v>
      </c>
      <c r="AE497" s="777">
        <f>$G$22*$M$9*'Traffic Data'!BG61*annualizationFactor</f>
        <v>2.297079386363636E-3</v>
      </c>
      <c r="AF497" s="777">
        <f>$G$22*$M$9*'Traffic Data'!BH61*annualizationFactor</f>
        <v>2.3328659772727271E-3</v>
      </c>
      <c r="AG497" s="777">
        <f>$G$22*$M$9*'Traffic Data'!BI61*annualizationFactor</f>
        <v>2.3686525681818177E-3</v>
      </c>
      <c r="AH497" s="778">
        <f>$G$22*$M$9*'Traffic Data'!BJ61*annualizationFactor</f>
        <v>2.4044209090909089E-3</v>
      </c>
      <c r="AI497" s="40"/>
      <c r="AJ497" s="40"/>
      <c r="AK497" s="40"/>
      <c r="AL497" s="40"/>
      <c r="AM497" s="40"/>
    </row>
    <row r="498" spans="2:39" ht="21.95" customHeight="1" x14ac:dyDescent="0.2">
      <c r="B498" s="492"/>
      <c r="C498" s="116" t="s">
        <v>343</v>
      </c>
      <c r="D498" s="116" t="s">
        <v>350</v>
      </c>
      <c r="E498" s="116" t="s">
        <v>467</v>
      </c>
      <c r="F498" s="116" t="s">
        <v>41</v>
      </c>
      <c r="G498" s="970"/>
      <c r="H498" s="970"/>
      <c r="I498" s="777">
        <f>$G$22*$M$9*'Traffic Data'!AK62*annualizationFactor</f>
        <v>3.2352272727272733E-3</v>
      </c>
      <c r="J498" s="777">
        <f>$G$22*$M$9*'Traffic Data'!AL62*annualizationFactor</f>
        <v>3.3269675340909096E-3</v>
      </c>
      <c r="K498" s="777">
        <f>$G$22*$M$9*'Traffic Data'!AM62*annualizationFactor</f>
        <v>3.4315031193181819E-3</v>
      </c>
      <c r="L498" s="777">
        <f>$G$22*$M$9*'Traffic Data'!AN62*annualizationFactor</f>
        <v>3.5650748693181822E-3</v>
      </c>
      <c r="M498" s="777">
        <f>$G$22*$M$9*'Traffic Data'!AO62*annualizationFactor</f>
        <v>3.6986897556818186E-3</v>
      </c>
      <c r="N498" s="777">
        <f>$G$22*$M$9*'Traffic Data'!AP62*annualizationFactor</f>
        <v>3.8322830738636376E-3</v>
      </c>
      <c r="O498" s="777">
        <f>$G$22*$M$9*'Traffic Data'!AQ62*annualizationFactor</f>
        <v>3.9658548238636375E-3</v>
      </c>
      <c r="P498" s="777">
        <f>$G$22*$M$9*'Traffic Data'!AR62*annualizationFactor</f>
        <v>4.0994535340909098E-3</v>
      </c>
      <c r="Q498" s="777">
        <f>$G$22*$M$9*'Traffic Data'!AS62*annualizationFactor</f>
        <v>4.2504523749999999E-3</v>
      </c>
      <c r="R498" s="777">
        <f>$G$22*$M$9*'Traffic Data'!AT62*annualizationFactor</f>
        <v>4.4014458238636365E-3</v>
      </c>
      <c r="S498" s="777">
        <f>$G$22*$M$9*'Traffic Data'!AU62*annualizationFactor</f>
        <v>4.5524230965909096E-3</v>
      </c>
      <c r="T498" s="777">
        <f>$G$22*$M$9*'Traffic Data'!AV62*annualizationFactor</f>
        <v>4.7034219375000014E-3</v>
      </c>
      <c r="U498" s="777">
        <f>$G$22*$M$9*'Traffic Data'!AW62*annualizationFactor</f>
        <v>4.8544477386363635E-3</v>
      </c>
      <c r="V498" s="777">
        <f>$G$22*$M$9*'Traffic Data'!AX62*annualizationFactor</f>
        <v>4.9764050227272738E-3</v>
      </c>
      <c r="W498" s="777">
        <f>$G$22*$M$9*'Traffic Data'!AY62*annualizationFactor</f>
        <v>5.0681452840909101E-3</v>
      </c>
      <c r="X498" s="777">
        <f>$G$22*$M$9*'Traffic Data'!AZ62*annualizationFactor</f>
        <v>5.1598855454545473E-3</v>
      </c>
      <c r="Y498" s="777">
        <f>$G$22*$M$9*'Traffic Data'!BA62*annualizationFactor</f>
        <v>5.2516258068181828E-3</v>
      </c>
      <c r="Z498" s="777">
        <f>$G$22*$M$9*'Traffic Data'!BB62*annualizationFactor</f>
        <v>5.3433391079545471E-3</v>
      </c>
      <c r="AA498" s="777">
        <f>$G$22*$M$9*'Traffic Data'!BC62*annualizationFactor</f>
        <v>5.4350793693181809E-3</v>
      </c>
      <c r="AB498" s="777">
        <f>$G$22*$M$9*'Traffic Data'!BD62*annualizationFactor</f>
        <v>5.5267926704545452E-3</v>
      </c>
      <c r="AC498" s="777">
        <f>$G$22*$M$9*'Traffic Data'!BE62*annualizationFactor</f>
        <v>5.6185329318181815E-3</v>
      </c>
      <c r="AD498" s="777">
        <f>$G$22*$M$9*'Traffic Data'!BF62*annualizationFactor</f>
        <v>5.7102731931818178E-3</v>
      </c>
      <c r="AE498" s="777">
        <f>$G$22*$M$9*'Traffic Data'!BG62*annualizationFactor</f>
        <v>5.8019864943181804E-3</v>
      </c>
      <c r="AF498" s="777">
        <f>$G$22*$M$9*'Traffic Data'!BH62*annualizationFactor</f>
        <v>5.8937267556818176E-3</v>
      </c>
      <c r="AG498" s="777">
        <f>$G$22*$M$9*'Traffic Data'!BI62*annualizationFactor</f>
        <v>5.9854670170454531E-3</v>
      </c>
      <c r="AH498" s="778">
        <f>$G$22*$M$9*'Traffic Data'!BJ62*annualizationFactor</f>
        <v>6.0771803181818166E-3</v>
      </c>
      <c r="AI498" s="40"/>
      <c r="AJ498" s="40"/>
      <c r="AK498" s="40"/>
      <c r="AL498" s="40"/>
      <c r="AM498" s="40"/>
    </row>
    <row r="499" spans="2:39" ht="21.95" customHeight="1" x14ac:dyDescent="0.2">
      <c r="B499" s="492"/>
      <c r="C499" s="116" t="s">
        <v>350</v>
      </c>
      <c r="D499" s="116" t="s">
        <v>280</v>
      </c>
      <c r="E499" s="116" t="s">
        <v>467</v>
      </c>
      <c r="F499" s="116" t="s">
        <v>41</v>
      </c>
      <c r="G499" s="970"/>
      <c r="H499" s="970"/>
      <c r="I499" s="777">
        <f>$G$22*$M$9*'Traffic Data'!AK63*annualizationFactor</f>
        <v>2.6860681818181822E-2</v>
      </c>
      <c r="J499" s="777">
        <f>$G$22*$M$9*'Traffic Data'!AL63*annualizationFactor</f>
        <v>2.7622361218939399E-2</v>
      </c>
      <c r="K499" s="777">
        <f>$G$22*$M$9*'Traffic Data'!AM63*annualizationFactor</f>
        <v>2.8490274616287878E-2</v>
      </c>
      <c r="L499" s="777">
        <f>$G$22*$M$9*'Traffic Data'!AN63*annualizationFactor</f>
        <v>2.9599262632954551E-2</v>
      </c>
      <c r="M499" s="777">
        <f>$G$22*$M$9*'Traffic Data'!AO63*annualizationFactor</f>
        <v>3.0708608792045459E-2</v>
      </c>
      <c r="N499" s="777">
        <f>$G$22*$M$9*'Traffic Data'!AP63*annualizationFactor</f>
        <v>3.1817775879924258E-2</v>
      </c>
      <c r="O499" s="777">
        <f>$G$22*$M$9*'Traffic Data'!AQ63*annualizationFactor</f>
        <v>3.292676389659091E-2</v>
      </c>
      <c r="P499" s="777">
        <f>$G$22*$M$9*'Traffic Data'!AR63*annualizationFactor</f>
        <v>3.4035975752272733E-2</v>
      </c>
      <c r="Q499" s="777">
        <f>$G$22*$M$9*'Traffic Data'!AS63*annualizationFactor</f>
        <v>3.5289653308333335E-2</v>
      </c>
      <c r="R499" s="777">
        <f>$G$22*$M$9*'Traffic Data'!AT63*annualizationFactor</f>
        <v>3.6543286096590917E-2</v>
      </c>
      <c r="S499" s="777">
        <f>$G$22*$M$9*'Traffic Data'!AU63*annualizationFactor</f>
        <v>3.7796784581439397E-2</v>
      </c>
      <c r="T499" s="777">
        <f>$G$22*$M$9*'Traffic Data'!AV63*annualizationFactor</f>
        <v>3.9050462137500005E-2</v>
      </c>
      <c r="U499" s="777">
        <f>$G$22*$M$9*'Traffic Data'!AW63*annualizationFactor</f>
        <v>4.0304363532575764E-2</v>
      </c>
      <c r="V499" s="777">
        <f>$G$22*$M$9*'Traffic Data'!AX63*annualizationFactor</f>
        <v>4.1316921701515158E-2</v>
      </c>
      <c r="W499" s="777">
        <f>$G$22*$M$9*'Traffic Data'!AY63*annualizationFactor</f>
        <v>4.2078601102272732E-2</v>
      </c>
      <c r="X499" s="777">
        <f>$G$22*$M$9*'Traffic Data'!AZ63*annualizationFactor</f>
        <v>4.284028050303032E-2</v>
      </c>
      <c r="Y499" s="777">
        <f>$G$22*$M$9*'Traffic Data'!BA63*annualizationFactor</f>
        <v>4.3601959903787894E-2</v>
      </c>
      <c r="Z499" s="777">
        <f>$G$22*$M$9*'Traffic Data'!BB63*annualizationFactor</f>
        <v>4.4363415465530319E-2</v>
      </c>
      <c r="AA499" s="777">
        <f>$G$22*$M$9*'Traffic Data'!BC63*annualizationFactor</f>
        <v>4.5125094866287872E-2</v>
      </c>
      <c r="AB499" s="777">
        <f>$G$22*$M$9*'Traffic Data'!BD63*annualizationFactor</f>
        <v>4.5886550428030304E-2</v>
      </c>
      <c r="AC499" s="777">
        <f>$G$22*$M$9*'Traffic Data'!BE63*annualizationFactor</f>
        <v>4.6648229828787878E-2</v>
      </c>
      <c r="AD499" s="777">
        <f>$G$22*$M$9*'Traffic Data'!BF63*annualizationFactor</f>
        <v>4.7409909229545459E-2</v>
      </c>
      <c r="AE499" s="777">
        <f>$G$22*$M$9*'Traffic Data'!BG63*annualizationFactor</f>
        <v>4.8171364791287863E-2</v>
      </c>
      <c r="AF499" s="777">
        <f>$G$22*$M$9*'Traffic Data'!BH63*annualizationFactor</f>
        <v>4.8933044192045458E-2</v>
      </c>
      <c r="AG499" s="777">
        <f>$G$22*$M$9*'Traffic Data'!BI63*annualizationFactor</f>
        <v>4.9694723592803025E-2</v>
      </c>
      <c r="AH499" s="778">
        <f>$G$22*$M$9*'Traffic Data'!BJ63*annualizationFactor</f>
        <v>5.0456179154545443E-2</v>
      </c>
      <c r="AI499" s="40"/>
      <c r="AJ499" s="40"/>
      <c r="AK499" s="40"/>
      <c r="AL499" s="40"/>
      <c r="AM499" s="40"/>
    </row>
    <row r="500" spans="2:39" ht="21.95" customHeight="1" x14ac:dyDescent="0.2">
      <c r="B500" s="493"/>
      <c r="C500" s="254" t="s">
        <v>280</v>
      </c>
      <c r="D500" s="254" t="s">
        <v>333</v>
      </c>
      <c r="E500" s="254" t="s">
        <v>467</v>
      </c>
      <c r="F500" s="254" t="s">
        <v>41</v>
      </c>
      <c r="G500" s="779"/>
      <c r="H500" s="779"/>
      <c r="I500" s="779">
        <f>$G$22*$M$9*'Traffic Data'!AK64*annualizationFactor</f>
        <v>6.6363636363636364E-4</v>
      </c>
      <c r="J500" s="779">
        <f>$G$22*$M$9*'Traffic Data'!AL64*annualizationFactor</f>
        <v>6.8245487878787904E-4</v>
      </c>
      <c r="K500" s="779">
        <f>$G$22*$M$9*'Traffic Data'!AM64*annualizationFactor</f>
        <v>7.0389807575757578E-4</v>
      </c>
      <c r="L500" s="779">
        <f>$G$22*$M$9*'Traffic Data'!AN64*annualizationFactor</f>
        <v>7.3129740909090937E-4</v>
      </c>
      <c r="M500" s="779">
        <f>$G$22*$M$9*'Traffic Data'!AO64*annualizationFactor</f>
        <v>7.5870559090909101E-4</v>
      </c>
      <c r="N500" s="779">
        <f>$G$22*$M$9*'Traffic Data'!AP64*annualizationFactor</f>
        <v>7.8610934848484873E-4</v>
      </c>
      <c r="O500" s="779">
        <f>$G$22*$M$9*'Traffic Data'!AQ64*annualizationFactor</f>
        <v>8.1350868181818221E-4</v>
      </c>
      <c r="P500" s="779">
        <f>$G$22*$M$9*'Traffic Data'!AR64*annualizationFactor</f>
        <v>8.4091354545454578E-4</v>
      </c>
      <c r="Q500" s="779">
        <f>$G$22*$M$9*'Traffic Data'!AS64*annualizationFactor</f>
        <v>8.7188766666666687E-4</v>
      </c>
      <c r="R500" s="779">
        <f>$G$22*$M$9*'Traffic Data'!AT64*annualizationFactor</f>
        <v>9.0286068181818211E-4</v>
      </c>
      <c r="S500" s="779">
        <f>$G$22*$M$9*'Traffic Data'!AU64*annualizationFactor</f>
        <v>9.3383037878787896E-4</v>
      </c>
      <c r="T500" s="779">
        <f>$G$22*$M$9*'Traffic Data'!AV64*annualizationFactor</f>
        <v>9.6480450000000027E-4</v>
      </c>
      <c r="U500" s="779">
        <f>$G$22*$M$9*'Traffic Data'!AW64*annualizationFactor</f>
        <v>9.9578415151515155E-4</v>
      </c>
      <c r="V500" s="779">
        <f>$G$22*$M$9*'Traffic Data'!AX64*annualizationFactor</f>
        <v>1.0208010303030305E-3</v>
      </c>
      <c r="W500" s="779">
        <f>$G$22*$M$9*'Traffic Data'!AY64*annualizationFactor</f>
        <v>1.0396195454545458E-3</v>
      </c>
      <c r="X500" s="779">
        <f>$G$22*$M$9*'Traffic Data'!AZ64*annualizationFactor</f>
        <v>1.0584380606060611E-3</v>
      </c>
      <c r="Y500" s="779">
        <f>$G$22*$M$9*'Traffic Data'!BA64*annualizationFactor</f>
        <v>1.0772565757575761E-3</v>
      </c>
      <c r="Z500" s="779">
        <f>$G$22*$M$9*'Traffic Data'!BB64*annualizationFactor</f>
        <v>1.096069560606061E-3</v>
      </c>
      <c r="AA500" s="779">
        <f>$G$22*$M$9*'Traffic Data'!BC64*annualizationFactor</f>
        <v>1.1148880757575754E-3</v>
      </c>
      <c r="AB500" s="779">
        <f>$G$22*$M$9*'Traffic Data'!BD64*annualizationFactor</f>
        <v>1.1337010606060605E-3</v>
      </c>
      <c r="AC500" s="779">
        <f>$G$22*$M$9*'Traffic Data'!BE64*annualizationFactor</f>
        <v>1.1525195757575756E-3</v>
      </c>
      <c r="AD500" s="779">
        <f>$G$22*$M$9*'Traffic Data'!BF64*annualizationFactor</f>
        <v>1.1713380909090909E-3</v>
      </c>
      <c r="AE500" s="779">
        <f>$G$22*$M$9*'Traffic Data'!BG64*annualizationFactor</f>
        <v>1.1901510757575757E-3</v>
      </c>
      <c r="AF500" s="779">
        <f>$G$22*$M$9*'Traffic Data'!BH64*annualizationFactor</f>
        <v>1.208969590909091E-3</v>
      </c>
      <c r="AG500" s="779">
        <f>$G$22*$M$9*'Traffic Data'!BI64*annualizationFactor</f>
        <v>1.2277881060606059E-3</v>
      </c>
      <c r="AH500" s="783">
        <f>$G$22*$M$9*'Traffic Data'!BJ64*annualizationFactor</f>
        <v>1.246601090909091E-3</v>
      </c>
      <c r="AI500" s="40"/>
      <c r="AJ500" s="40"/>
      <c r="AK500" s="40"/>
      <c r="AL500" s="40"/>
      <c r="AM500" s="40"/>
    </row>
    <row r="501" spans="2:39" ht="21.95" customHeight="1" x14ac:dyDescent="0.2">
      <c r="B501" s="1109" t="s">
        <v>495</v>
      </c>
      <c r="C501" s="240"/>
      <c r="D501" s="240"/>
      <c r="E501" s="240"/>
      <c r="F501" s="240"/>
      <c r="G501" s="969">
        <f>SUM(G472:G500)</f>
        <v>0</v>
      </c>
      <c r="H501" s="969">
        <f>SUM(H472:H500)</f>
        <v>0</v>
      </c>
      <c r="I501" s="785">
        <f t="shared" ref="I501:AH501" si="37">SUM(I472:I500)</f>
        <v>0.77028853962121213</v>
      </c>
      <c r="J501" s="785">
        <f t="shared" si="37"/>
        <v>0.79590501436191663</v>
      </c>
      <c r="K501" s="785">
        <f t="shared" si="37"/>
        <v>0.84114875755225738</v>
      </c>
      <c r="L501" s="785">
        <f t="shared" si="37"/>
        <v>0.91270081500760603</v>
      </c>
      <c r="M501" s="785">
        <f t="shared" si="37"/>
        <v>0.98428580675638633</v>
      </c>
      <c r="N501" s="785">
        <f t="shared" si="37"/>
        <v>1.0558724105431518</v>
      </c>
      <c r="O501" s="785">
        <f t="shared" si="37"/>
        <v>1.1274244679984999</v>
      </c>
      <c r="P501" s="785">
        <f t="shared" si="37"/>
        <v>1.1990429571870458</v>
      </c>
      <c r="Q501" s="785">
        <f t="shared" si="37"/>
        <v>1.2664049018160077</v>
      </c>
      <c r="R501" s="785">
        <f t="shared" si="37"/>
        <v>1.3335309970970757</v>
      </c>
      <c r="S501" s="785">
        <f t="shared" si="37"/>
        <v>1.4025185291029207</v>
      </c>
      <c r="T501" s="785">
        <f t="shared" si="37"/>
        <v>1.4723861472855702</v>
      </c>
      <c r="U501" s="785">
        <f t="shared" si="37"/>
        <v>1.5422967683584183</v>
      </c>
      <c r="V501" s="785">
        <f t="shared" si="37"/>
        <v>1.5854529203796031</v>
      </c>
      <c r="W501" s="785">
        <f t="shared" si="37"/>
        <v>1.6117997508568991</v>
      </c>
      <c r="X501" s="785">
        <f t="shared" si="37"/>
        <v>1.6387006300018441</v>
      </c>
      <c r="Y501" s="785">
        <f t="shared" si="37"/>
        <v>1.6656015091467886</v>
      </c>
      <c r="Z501" s="785">
        <f t="shared" si="37"/>
        <v>1.6925199813782137</v>
      </c>
      <c r="AA501" s="785">
        <f t="shared" si="37"/>
        <v>1.719420860523158</v>
      </c>
      <c r="AB501" s="785">
        <f t="shared" si="37"/>
        <v>1.7463393646091288</v>
      </c>
      <c r="AC501" s="785">
        <f t="shared" si="37"/>
        <v>1.7732402437540733</v>
      </c>
      <c r="AD501" s="785">
        <f t="shared" si="37"/>
        <v>1.8001411228990181</v>
      </c>
      <c r="AE501" s="785">
        <f t="shared" si="37"/>
        <v>1.8270595951304427</v>
      </c>
      <c r="AF501" s="785">
        <f t="shared" si="37"/>
        <v>1.8539604742753875</v>
      </c>
      <c r="AG501" s="785">
        <f t="shared" si="37"/>
        <v>1.880861353420332</v>
      </c>
      <c r="AH501" s="786">
        <f t="shared" si="37"/>
        <v>1.9077798575063032</v>
      </c>
      <c r="AI501" s="40"/>
      <c r="AJ501" s="40"/>
      <c r="AK501" s="40"/>
      <c r="AL501" s="40"/>
      <c r="AM501" s="40"/>
    </row>
    <row r="502" spans="2:39" ht="21.95" customHeight="1" x14ac:dyDescent="0.2">
      <c r="B502" s="787" t="s">
        <v>328</v>
      </c>
      <c r="C502" s="1344" t="s">
        <v>18</v>
      </c>
      <c r="D502" s="1344"/>
      <c r="E502" s="46" t="s">
        <v>24</v>
      </c>
      <c r="F502" s="46" t="s">
        <v>42</v>
      </c>
      <c r="G502" s="123" cm="1">
        <f t="array" ref="G502:AH502">year</f>
        <v>2021</v>
      </c>
      <c r="H502" s="123">
        <v>2022</v>
      </c>
      <c r="I502" s="46">
        <v>2023</v>
      </c>
      <c r="J502" s="46">
        <v>2024</v>
      </c>
      <c r="K502" s="46">
        <v>2025</v>
      </c>
      <c r="L502" s="46">
        <v>2026</v>
      </c>
      <c r="M502" s="46">
        <v>2027</v>
      </c>
      <c r="N502" s="46">
        <v>2028</v>
      </c>
      <c r="O502" s="46">
        <v>2029</v>
      </c>
      <c r="P502" s="46">
        <v>2030</v>
      </c>
      <c r="Q502" s="46">
        <v>2031</v>
      </c>
      <c r="R502" s="46">
        <v>2032</v>
      </c>
      <c r="S502" s="46">
        <v>2033</v>
      </c>
      <c r="T502" s="46">
        <v>2034</v>
      </c>
      <c r="U502" s="46">
        <v>2035</v>
      </c>
      <c r="V502" s="46">
        <v>2036</v>
      </c>
      <c r="W502" s="46">
        <v>2037</v>
      </c>
      <c r="X502" s="46">
        <v>2038</v>
      </c>
      <c r="Y502" s="46">
        <v>2039</v>
      </c>
      <c r="Z502" s="46">
        <v>2040</v>
      </c>
      <c r="AA502" s="46">
        <v>2041</v>
      </c>
      <c r="AB502" s="46">
        <v>2042</v>
      </c>
      <c r="AC502" s="46">
        <v>2043</v>
      </c>
      <c r="AD502" s="46">
        <v>2044</v>
      </c>
      <c r="AE502" s="46">
        <v>2045</v>
      </c>
      <c r="AF502" s="46">
        <v>2046</v>
      </c>
      <c r="AG502" s="46">
        <v>2047</v>
      </c>
      <c r="AH502" s="495">
        <v>2048</v>
      </c>
      <c r="AI502" s="40"/>
      <c r="AJ502" s="40"/>
      <c r="AK502" s="40"/>
      <c r="AL502" s="40"/>
      <c r="AM502" s="40"/>
    </row>
    <row r="503" spans="2:39" ht="21.95" customHeight="1" x14ac:dyDescent="0.2">
      <c r="B503" s="1346" t="s">
        <v>331</v>
      </c>
      <c r="C503" s="220" t="s">
        <v>332</v>
      </c>
      <c r="D503" s="220" t="s">
        <v>282</v>
      </c>
      <c r="E503" s="220" t="s">
        <v>19</v>
      </c>
      <c r="F503" s="220" t="s">
        <v>40</v>
      </c>
      <c r="G503" s="775"/>
      <c r="H503" s="775"/>
      <c r="I503" s="775">
        <f>$H$21*$E$8*'Traffic Data'!AK36*annualizationFactor</f>
        <v>1242.53008</v>
      </c>
      <c r="J503" s="775">
        <f>$H$21*$E$8*'Traffic Data'!AL36*annualizationFactor</f>
        <v>1299.0302524814999</v>
      </c>
      <c r="K503" s="775">
        <f>$H$21*$E$8*'Traffic Data'!AM36*annualizationFactor</f>
        <v>1378.6337186380003</v>
      </c>
      <c r="L503" s="775">
        <f>$H$21*$E$8*'Traffic Data'!AN36*annualizationFactor</f>
        <v>1495.7266470520001</v>
      </c>
      <c r="M503" s="775">
        <f>$H$21*$E$8*'Traffic Data'!AO36*annualizationFactor</f>
        <v>1612.8622874375001</v>
      </c>
      <c r="N503" s="775">
        <f>$H$21*$E$8*'Traffic Data'!AP36*annualizationFactor</f>
        <v>1729.9979278229998</v>
      </c>
      <c r="O503" s="775">
        <f>$H$21*$E$8*'Traffic Data'!AQ36*annualizationFactor</f>
        <v>1847.0908562369996</v>
      </c>
      <c r="P503" s="775">
        <f>$H$21*$E$8*'Traffic Data'!AR36*annualizationFactor</f>
        <v>1964.2692085939996</v>
      </c>
      <c r="Q503" s="775">
        <f>$H$21*$E$8*'Traffic Data'!AS36*annualizationFactor</f>
        <v>2080.0613633305002</v>
      </c>
      <c r="R503" s="775">
        <f>$H$21*$E$8*'Traffic Data'!AT36*annualizationFactor</f>
        <v>2195.8768155060002</v>
      </c>
      <c r="S503" s="775">
        <f>$H$21*$E$8*'Traffic Data'!AU36*annualizationFactor</f>
        <v>2311.6689702425006</v>
      </c>
      <c r="T503" s="775">
        <f>$H$21*$E$8*'Traffic Data'!AV36*annualizationFactor</f>
        <v>2427.461124979</v>
      </c>
      <c r="U503" s="775">
        <f>$H$21*$E$8*'Traffic Data'!AW36*annualizationFactor</f>
        <v>2543.3387036585</v>
      </c>
      <c r="V503" s="775">
        <f>$H$21*$E$8*'Traffic Data'!AX36*annualizationFactor</f>
        <v>2621.5986841660001</v>
      </c>
      <c r="W503" s="775">
        <f>$H$21*$E$8*'Traffic Data'!AY36*annualizationFactor</f>
        <v>2678.0988566475003</v>
      </c>
      <c r="X503" s="775">
        <f>$H$21*$E$8*'Traffic Data'!AZ36*annualizationFactor</f>
        <v>2734.5990291289995</v>
      </c>
      <c r="Y503" s="775">
        <f>$H$21*$E$8*'Traffic Data'!BA36*annualizationFactor</f>
        <v>2791.0992016104997</v>
      </c>
      <c r="Z503" s="775">
        <f>$H$21*$E$8*'Traffic Data'!BB36*annualizationFactor</f>
        <v>2847.6187886245002</v>
      </c>
      <c r="AA503" s="775">
        <f>$H$21*$E$8*'Traffic Data'!BC36*annualizationFactor</f>
        <v>2904.1189611060008</v>
      </c>
      <c r="AB503" s="775">
        <f>$H$21*$E$8*'Traffic Data'!BD36*annualizationFactor</f>
        <v>2960.6385481199991</v>
      </c>
      <c r="AC503" s="775">
        <f>$H$21*$E$8*'Traffic Data'!BE36*annualizationFactor</f>
        <v>3017.1387206015002</v>
      </c>
      <c r="AD503" s="775">
        <f>$H$21*$E$8*'Traffic Data'!BF36*annualizationFactor</f>
        <v>3073.6388930829999</v>
      </c>
      <c r="AE503" s="775">
        <f>$H$21*$E$8*'Traffic Data'!BG36*annualizationFactor</f>
        <v>3130.1584800969995</v>
      </c>
      <c r="AF503" s="775">
        <f>$H$21*$E$8*'Traffic Data'!BH36*annualizationFactor</f>
        <v>3186.6586525785001</v>
      </c>
      <c r="AG503" s="775">
        <f>$H$21*$E$8*'Traffic Data'!BI36*annualizationFactor</f>
        <v>3243.1588250599998</v>
      </c>
      <c r="AH503" s="776">
        <f>$H$21*$E$8*'Traffic Data'!BJ36*annualizationFactor</f>
        <v>3299.6784120739994</v>
      </c>
      <c r="AI503" s="40"/>
      <c r="AJ503" s="40"/>
      <c r="AK503" s="40"/>
      <c r="AL503" s="40"/>
      <c r="AM503" s="40"/>
    </row>
    <row r="504" spans="2:39" ht="21.95" customHeight="1" x14ac:dyDescent="0.2">
      <c r="B504" s="1346"/>
      <c r="C504" s="116" t="s">
        <v>282</v>
      </c>
      <c r="D504" s="116" t="s">
        <v>280</v>
      </c>
      <c r="E504" s="116" t="s">
        <v>19</v>
      </c>
      <c r="F504" s="116" t="s">
        <v>40</v>
      </c>
      <c r="G504" s="970"/>
      <c r="H504" s="970"/>
      <c r="I504" s="777">
        <f>$H$21*$E$8*'Traffic Data'!AK37*annualizationFactor</f>
        <v>39953.993175000003</v>
      </c>
      <c r="J504" s="777">
        <f>$H$21*$E$8*'Traffic Data'!AL37*annualizationFactor</f>
        <v>42062.972103629996</v>
      </c>
      <c r="K504" s="777">
        <f>$H$21*$E$8*'Traffic Data'!AM37*annualizationFactor</f>
        <v>45228.808140615001</v>
      </c>
      <c r="L504" s="777">
        <f>$H$21*$E$8*'Traffic Data'!AN37*annualizationFactor</f>
        <v>50459.229780480004</v>
      </c>
      <c r="M504" s="777">
        <f>$H$21*$E$8*'Traffic Data'!AO37*annualizationFactor</f>
        <v>55692.019064385007</v>
      </c>
      <c r="N504" s="777">
        <f>$H$21*$E$8*'Traffic Data'!AP37*annualizationFactor</f>
        <v>60924.512392784993</v>
      </c>
      <c r="O504" s="777">
        <f>$H$21*$E$8*'Traffic Data'!AQ37*annualizationFactor</f>
        <v>66154.93403265001</v>
      </c>
      <c r="P504" s="777">
        <f>$H$21*$E$8*'Traffic Data'!AR37*annualizationFactor</f>
        <v>71390.090960595</v>
      </c>
      <c r="Q504" s="777">
        <f>$H$21*$E$8*'Traffic Data'!AS37*annualizationFactor</f>
        <v>76671.712902825006</v>
      </c>
      <c r="R504" s="777">
        <f>$H$21*$E$8*'Traffic Data'!AT37*annualizationFactor</f>
        <v>81955.11057808499</v>
      </c>
      <c r="S504" s="777">
        <f>$H$21*$E$8*'Traffic Data'!AU37*annualizationFactor</f>
        <v>87236.732520314996</v>
      </c>
      <c r="T504" s="777">
        <f>$H$21*$E$8*'Traffic Data'!AV37*annualizationFactor</f>
        <v>92518.354462545001</v>
      </c>
      <c r="U504" s="777">
        <f>$H$21*$E$8*'Traffic Data'!AW37*annualizationFactor</f>
        <v>97804.711692855009</v>
      </c>
      <c r="V504" s="777">
        <f>$H$21*$E$8*'Traffic Data'!AX37*annualizationFactor</f>
        <v>101019.38038816501</v>
      </c>
      <c r="W504" s="777">
        <f>$H$21*$E$8*'Traffic Data'!AY37*annualizationFactor</f>
        <v>103128.35931679499</v>
      </c>
      <c r="X504" s="777">
        <f>$H$21*$E$8*'Traffic Data'!AZ37*annualizationFactor</f>
        <v>105237.33824542501</v>
      </c>
      <c r="Y504" s="777">
        <f>$H$21*$E$8*'Traffic Data'!BA37*annualizationFactor</f>
        <v>107346.31717405503</v>
      </c>
      <c r="Z504" s="777">
        <f>$H$21*$E$8*'Traffic Data'!BB37*annualizationFactor</f>
        <v>109456.47992470501</v>
      </c>
      <c r="AA504" s="777">
        <f>$H$21*$E$8*'Traffic Data'!BC37*annualizationFactor</f>
        <v>111565.45885333499</v>
      </c>
      <c r="AB504" s="777">
        <f>$H$21*$E$8*'Traffic Data'!BD37*annualizationFactor</f>
        <v>113675.621603985</v>
      </c>
      <c r="AC504" s="777">
        <f>$H$21*$E$8*'Traffic Data'!BE37*annualizationFactor</f>
        <v>115784.600532615</v>
      </c>
      <c r="AD504" s="777">
        <f>$H$21*$E$8*'Traffic Data'!BF37*annualizationFactor</f>
        <v>117893.57946124501</v>
      </c>
      <c r="AE504" s="777">
        <f>$H$21*$E$8*'Traffic Data'!BG37*annualizationFactor</f>
        <v>120003.74221189503</v>
      </c>
      <c r="AF504" s="777">
        <f>$H$21*$E$8*'Traffic Data'!BH37*annualizationFactor</f>
        <v>122112.721140525</v>
      </c>
      <c r="AG504" s="777">
        <f>$H$21*$E$8*'Traffic Data'!BI37*annualizationFactor</f>
        <v>124221.70006915501</v>
      </c>
      <c r="AH504" s="778">
        <f>$H$21*$E$8*'Traffic Data'!BJ37*annualizationFactor</f>
        <v>126331.86281980501</v>
      </c>
      <c r="AI504" s="40"/>
      <c r="AJ504" s="40"/>
      <c r="AK504" s="40"/>
      <c r="AL504" s="40"/>
      <c r="AM504" s="40"/>
    </row>
    <row r="505" spans="2:39" ht="21.95" customHeight="1" x14ac:dyDescent="0.2">
      <c r="B505" s="1346"/>
      <c r="C505" s="116" t="s">
        <v>280</v>
      </c>
      <c r="D505" s="116" t="s">
        <v>333</v>
      </c>
      <c r="E505" s="254" t="s">
        <v>19</v>
      </c>
      <c r="F505" s="116" t="s">
        <v>40</v>
      </c>
      <c r="G505" s="779"/>
      <c r="H505" s="779"/>
      <c r="I505" s="777">
        <f>$H$21*$E$8*'Traffic Data'!AK38*annualizationFactor</f>
        <v>931.89756</v>
      </c>
      <c r="J505" s="777">
        <f>$H$21*$E$8*'Traffic Data'!AL38*annualizationFactor</f>
        <v>970.81204894299992</v>
      </c>
      <c r="K505" s="777">
        <f>$H$21*$E$8*'Traffic Data'!AM38*annualizationFactor</f>
        <v>1018.9756211689999</v>
      </c>
      <c r="L505" s="777">
        <f>$H$21*$E$8*'Traffic Data'!AN38*annualizationFactor</f>
        <v>1083.820159719</v>
      </c>
      <c r="M505" s="777">
        <f>$H$21*$E$8*'Traffic Data'!AO38*annualizationFactor</f>
        <v>1148.6879957080002</v>
      </c>
      <c r="N505" s="777">
        <f>$H$21*$E$8*'Traffic Data'!AP38*annualizationFactor</f>
        <v>1213.5480658840002</v>
      </c>
      <c r="O505" s="777">
        <f>$H$21*$E$8*'Traffic Data'!AQ38*annualizationFactor</f>
        <v>1278.3926044340003</v>
      </c>
      <c r="P505" s="777">
        <f>$H$21*$E$8*'Traffic Data'!AR38*annualizationFactor</f>
        <v>1343.2837378620006</v>
      </c>
      <c r="Q505" s="777">
        <f>$H$21*$E$8*'Traffic Data'!AS38*annualizationFactor</f>
        <v>1406.1557599099999</v>
      </c>
      <c r="R505" s="777">
        <f>$H$21*$E$8*'Traffic Data'!AT38*annualizationFactor</f>
        <v>1469.0510793969997</v>
      </c>
      <c r="S505" s="777">
        <f>$H$21*$E$8*'Traffic Data'!AU38*annualizationFactor</f>
        <v>1531.9231014449999</v>
      </c>
      <c r="T505" s="777">
        <f>$H$21*$E$8*'Traffic Data'!AV38*annualizationFactor</f>
        <v>1594.7951234930001</v>
      </c>
      <c r="U505" s="777">
        <f>$H$21*$E$8*'Traffic Data'!AW38*annualizationFactor</f>
        <v>1657.713740419</v>
      </c>
      <c r="V505" s="777">
        <f>$H$21*$E$8*'Traffic Data'!AX38*annualizationFactor</f>
        <v>1703.8814987039998</v>
      </c>
      <c r="W505" s="777">
        <f>$H$21*$E$8*'Traffic Data'!AY38*annualizationFactor</f>
        <v>1742.7959876470002</v>
      </c>
      <c r="X505" s="777">
        <f>$H$21*$E$8*'Traffic Data'!AZ38*annualizationFactor</f>
        <v>1781.7104765899996</v>
      </c>
      <c r="Y505" s="777">
        <f>$H$21*$E$8*'Traffic Data'!BA38*annualizationFactor</f>
        <v>1820.624965533</v>
      </c>
      <c r="Z505" s="777">
        <f>$H$21*$E$8*'Traffic Data'!BB38*annualizationFactor</f>
        <v>1859.5549861019999</v>
      </c>
      <c r="AA505" s="777">
        <f>$H$21*$E$8*'Traffic Data'!BC38*annualizationFactor</f>
        <v>1898.4694750450001</v>
      </c>
      <c r="AB505" s="777">
        <f>$H$21*$E$8*'Traffic Data'!BD38*annualizationFactor</f>
        <v>1937.3994956140002</v>
      </c>
      <c r="AC505" s="777">
        <f>$H$21*$E$8*'Traffic Data'!BE38*annualizationFactor</f>
        <v>1976.3139845570006</v>
      </c>
      <c r="AD505" s="777">
        <f>$H$21*$E$8*'Traffic Data'!BF38*annualizationFactor</f>
        <v>2015.2284734999996</v>
      </c>
      <c r="AE505" s="777">
        <f>$H$21*$E$8*'Traffic Data'!BG38*annualizationFactor</f>
        <v>2054.158494069</v>
      </c>
      <c r="AF505" s="777">
        <f>$H$21*$E$8*'Traffic Data'!BH38*annualizationFactor</f>
        <v>2093.0729830120003</v>
      </c>
      <c r="AG505" s="777">
        <f>$H$21*$E$8*'Traffic Data'!BI38*annualizationFactor</f>
        <v>2131.9874719549994</v>
      </c>
      <c r="AH505" s="778">
        <f>$H$21*$E$8*'Traffic Data'!BJ38*annualizationFactor</f>
        <v>2170.917492524</v>
      </c>
      <c r="AI505" s="40"/>
      <c r="AJ505" s="40"/>
      <c r="AK505" s="40"/>
      <c r="AL505" s="40"/>
      <c r="AM505" s="40"/>
    </row>
    <row r="506" spans="2:39" ht="21.95" customHeight="1" x14ac:dyDescent="0.2">
      <c r="B506" s="1346" t="s">
        <v>280</v>
      </c>
      <c r="C506" s="220" t="s">
        <v>281</v>
      </c>
      <c r="D506" s="220" t="s">
        <v>335</v>
      </c>
      <c r="E506" s="116" t="s">
        <v>19</v>
      </c>
      <c r="F506" s="220" t="s">
        <v>40</v>
      </c>
      <c r="G506" s="970"/>
      <c r="H506" s="970"/>
      <c r="I506" s="775">
        <f>$H$21*$F$8*'Traffic Data'!AK39*annualizationFactor</f>
        <v>7698.9304000000002</v>
      </c>
      <c r="J506" s="775">
        <f>$H$21*$F$8*'Traffic Data'!AL39*annualizationFactor</f>
        <v>8477.715704612001</v>
      </c>
      <c r="K506" s="775">
        <f>$H$21*$F$8*'Traffic Data'!AM39*annualizationFactor</f>
        <v>10218.867309223999</v>
      </c>
      <c r="L506" s="775">
        <f>$H$21*$F$8*'Traffic Data'!AN39*annualizationFactor</f>
        <v>13716.106443424002</v>
      </c>
      <c r="M506" s="775">
        <f>$H$21*$F$8*'Traffic Data'!AO39*annualizationFactor</f>
        <v>17215.501278135998</v>
      </c>
      <c r="N506" s="775">
        <f>$H$21*$F$8*'Traffic Data'!AP39*annualizationFactor</f>
        <v>20714.511166327997</v>
      </c>
      <c r="O506" s="775">
        <f>$H$21*$F$8*'Traffic Data'!AQ39*annualizationFactor</f>
        <v>24211.750300527998</v>
      </c>
      <c r="P506" s="775">
        <f>$H$21*$F$8*'Traffic Data'!AR39*annualizationFactor</f>
        <v>27713.300835752001</v>
      </c>
      <c r="Q506" s="775">
        <f>$H$21*$F$8*'Traffic Data'!AS39*annualizationFactor</f>
        <v>31149.179494663997</v>
      </c>
      <c r="R506" s="775">
        <f>$H$21*$F$8*'Traffic Data'!AT39*annualizationFactor</f>
        <v>34586.790412915987</v>
      </c>
      <c r="S506" s="775">
        <f>$H$21*$F$8*'Traffic Data'!AU39*annualizationFactor</f>
        <v>38022.669071827993</v>
      </c>
      <c r="T506" s="775">
        <f>$H$21*$F$8*'Traffic Data'!AV39*annualizationFactor</f>
        <v>41458.54773074</v>
      </c>
      <c r="U506" s="775">
        <f>$H$21*$F$8*'Traffic Data'!AW39*annualizationFactor</f>
        <v>44898.737790676001</v>
      </c>
      <c r="V506" s="775">
        <f>$H$21*$F$8*'Traffic Data'!AX39*annualizationFactor</f>
        <v>46576.373219487992</v>
      </c>
      <c r="W506" s="775">
        <f>$H$21*$F$8*'Traffic Data'!AY39*annualizationFactor</f>
        <v>47355.158524099999</v>
      </c>
      <c r="X506" s="775">
        <f>$H$21*$F$8*'Traffic Data'!AZ39*annualizationFactor</f>
        <v>48133.943828711999</v>
      </c>
      <c r="Y506" s="775">
        <f>$H$21*$F$8*'Traffic Data'!BA39*annualizationFactor</f>
        <v>48912.729133323985</v>
      </c>
      <c r="Z506" s="775">
        <f>$H$21*$F$8*'Traffic Data'!BB39*annualizationFactor</f>
        <v>49692.707772147995</v>
      </c>
      <c r="AA506" s="775">
        <f>$H$21*$F$8*'Traffic Data'!BC39*annualizationFactor</f>
        <v>50471.493076759994</v>
      </c>
      <c r="AB506" s="775">
        <f>$H$21*$F$8*'Traffic Data'!BD39*annualizationFactor</f>
        <v>51251.471715583983</v>
      </c>
      <c r="AC506" s="775">
        <f>$H$21*$F$8*'Traffic Data'!BE39*annualizationFactor</f>
        <v>52030.25702019599</v>
      </c>
      <c r="AD506" s="775">
        <f>$H$21*$F$8*'Traffic Data'!BF39*annualizationFactor</f>
        <v>52809.042324807997</v>
      </c>
      <c r="AE506" s="775">
        <f>$H$21*$F$8*'Traffic Data'!BG39*annualizationFactor</f>
        <v>53589.020963632</v>
      </c>
      <c r="AF506" s="775">
        <f>$H$21*$F$8*'Traffic Data'!BH39*annualizationFactor</f>
        <v>54367.806268244</v>
      </c>
      <c r="AG506" s="775">
        <f>$H$21*$F$8*'Traffic Data'!BI39*annualizationFactor</f>
        <v>55146.591572855992</v>
      </c>
      <c r="AH506" s="776">
        <f>$H$21*$F$8*'Traffic Data'!BJ39*annualizationFactor</f>
        <v>55926.570211679988</v>
      </c>
      <c r="AI506" s="40"/>
      <c r="AJ506" s="40"/>
      <c r="AK506" s="40"/>
      <c r="AL506" s="40"/>
      <c r="AM506" s="40"/>
    </row>
    <row r="507" spans="2:39" ht="21.95" customHeight="1" x14ac:dyDescent="0.2">
      <c r="B507" s="1346"/>
      <c r="C507" s="116" t="s">
        <v>335</v>
      </c>
      <c r="D507" s="116" t="s">
        <v>323</v>
      </c>
      <c r="E507" s="116" t="s">
        <v>19</v>
      </c>
      <c r="F507" s="116" t="s">
        <v>40</v>
      </c>
      <c r="G507" s="970"/>
      <c r="H507" s="970"/>
      <c r="I507" s="777">
        <f>$H$21*$F$8*'Traffic Data'!AK40*annualizationFactor</f>
        <v>891.76800000000003</v>
      </c>
      <c r="J507" s="777">
        <f>$H$21*$F$8*'Traffic Data'!AL40*annualizationFactor</f>
        <v>984.83885360000022</v>
      </c>
      <c r="K507" s="777">
        <f>$H$21*$F$8*'Traffic Data'!AM40*annualizationFactor</f>
        <v>1113.3203281999999</v>
      </c>
      <c r="L507" s="777">
        <f>$H$21*$F$8*'Traffic Data'!AN40*annualizationFactor</f>
        <v>1349.2672782</v>
      </c>
      <c r="M507" s="777">
        <f>$H$21*$F$8*'Traffic Data'!AO40*annualizationFactor</f>
        <v>1585.2811108000003</v>
      </c>
      <c r="N507" s="777">
        <f>$H$21*$F$8*'Traffic Data'!AP40*annualizationFactor</f>
        <v>1821.3395318000003</v>
      </c>
      <c r="O507" s="777">
        <f>$H$21*$F$8*'Traffic Data'!AQ40*annualizationFactor</f>
        <v>2057.2864817999998</v>
      </c>
      <c r="P507" s="777">
        <f>$H$21*$F$8*'Traffic Data'!AR40*annualizationFactor</f>
        <v>2293.4489424000003</v>
      </c>
      <c r="Q507" s="777">
        <f>$H$21*$F$8*'Traffic Data'!AS40*annualizationFactor</f>
        <v>2633.0193340000001</v>
      </c>
      <c r="R507" s="777">
        <f>$H$21*$F$8*'Traffic Data'!AT40*annualizationFactor</f>
        <v>2972.6640395999998</v>
      </c>
      <c r="S507" s="777">
        <f>$H$21*$F$8*'Traffic Data'!AU40*annualizationFactor</f>
        <v>3312.1675485999999</v>
      </c>
      <c r="T507" s="777">
        <f>$H$21*$F$8*'Traffic Data'!AV40*annualizationFactor</f>
        <v>3651.7379402000001</v>
      </c>
      <c r="U507" s="777">
        <f>$H$21*$F$8*'Traffic Data'!AW40*annualizationFactor</f>
        <v>3991.5238424000004</v>
      </c>
      <c r="V507" s="777">
        <f>$H$21*$F$8*'Traffic Data'!AX40*annualizationFactor</f>
        <v>4223.4132479999998</v>
      </c>
      <c r="W507" s="777">
        <f>$H$21*$F$8*'Traffic Data'!AY40*annualizationFactor</f>
        <v>4316.4841016</v>
      </c>
      <c r="X507" s="777">
        <f>$H$21*$F$8*'Traffic Data'!AZ40*annualizationFactor</f>
        <v>4409.5549552000002</v>
      </c>
      <c r="Y507" s="777">
        <f>$H$21*$F$8*'Traffic Data'!BA40*annualizationFactor</f>
        <v>4502.6258088000004</v>
      </c>
      <c r="Z507" s="777">
        <f>$H$21*$F$8*'Traffic Data'!BB40*annualizationFactor</f>
        <v>4595.7635450000007</v>
      </c>
      <c r="AA507" s="777">
        <f>$H$21*$F$8*'Traffic Data'!BC40*annualizationFactor</f>
        <v>4688.8343986</v>
      </c>
      <c r="AB507" s="777">
        <f>$H$21*$F$8*'Traffic Data'!BD40*annualizationFactor</f>
        <v>4781.9721348000012</v>
      </c>
      <c r="AC507" s="777">
        <f>$H$21*$F$8*'Traffic Data'!BE40*annualizationFactor</f>
        <v>4875.0429884000005</v>
      </c>
      <c r="AD507" s="777">
        <f>$H$21*$F$8*'Traffic Data'!BF40*annualizationFactor</f>
        <v>4968.1138420000007</v>
      </c>
      <c r="AE507" s="777">
        <f>$H$21*$F$8*'Traffic Data'!BG40*annualizationFactor</f>
        <v>5061.2515782</v>
      </c>
      <c r="AF507" s="777">
        <f>$H$21*$F$8*'Traffic Data'!BH40*annualizationFactor</f>
        <v>5154.3224317999993</v>
      </c>
      <c r="AG507" s="777">
        <f>$H$21*$F$8*'Traffic Data'!BI40*annualizationFactor</f>
        <v>5247.3932854000004</v>
      </c>
      <c r="AH507" s="778">
        <f>$H$21*$F$8*'Traffic Data'!BJ40*annualizationFactor</f>
        <v>5340.5310215999998</v>
      </c>
      <c r="AI507" s="40"/>
      <c r="AJ507" s="40"/>
      <c r="AK507" s="40"/>
      <c r="AL507" s="40"/>
      <c r="AM507" s="40"/>
    </row>
    <row r="508" spans="2:39" ht="21.95" customHeight="1" x14ac:dyDescent="0.2">
      <c r="B508" s="1346"/>
      <c r="C508" s="254" t="s">
        <v>323</v>
      </c>
      <c r="D508" s="254" t="s">
        <v>338</v>
      </c>
      <c r="E508" s="116" t="s">
        <v>19</v>
      </c>
      <c r="F508" s="116" t="s">
        <v>40</v>
      </c>
      <c r="G508" s="970"/>
      <c r="H508" s="970"/>
      <c r="I508" s="777">
        <f>$H$21*$F$8*'Traffic Data'!AK41*annualizationFactor</f>
        <v>11949.691200000001</v>
      </c>
      <c r="J508" s="777">
        <f>$H$21*$F$8*'Traffic Data'!AL41*annualizationFactor</f>
        <v>12284.322385904001</v>
      </c>
      <c r="K508" s="777">
        <f>$H$21*$F$8*'Traffic Data'!AM41*annualizationFactor</f>
        <v>12761.194729392002</v>
      </c>
      <c r="L508" s="777">
        <f>$H$21*$F$8*'Traffic Data'!AN41*annualizationFactor</f>
        <v>13430.496933504</v>
      </c>
      <c r="M508" s="777">
        <f>$H$21*$F$8*'Traffic Data'!AO41*annualizationFactor</f>
        <v>14100.077963743997</v>
      </c>
      <c r="N508" s="777">
        <f>$H$21*$F$8*'Traffic Data'!AP41*annualizationFactor</f>
        <v>14769.599245528007</v>
      </c>
      <c r="O508" s="777">
        <f>$H$21*$F$8*'Traffic Data'!AQ41*annualizationFactor</f>
        <v>15438.901449640005</v>
      </c>
      <c r="P508" s="777">
        <f>$H$21*$F$8*'Traffic Data'!AR41*annualizationFactor</f>
        <v>16108.741389856004</v>
      </c>
      <c r="Q508" s="777">
        <f>$H$21*$F$8*'Traffic Data'!AS41*annualizationFactor</f>
        <v>16784.934582559999</v>
      </c>
      <c r="R508" s="777">
        <f>$H$21*$F$8*'Traffic Data'!AT41*annualizationFactor</f>
        <v>17461.326936784</v>
      </c>
      <c r="S508" s="777">
        <f>$H$21*$F$8*'Traffic Data'!AU41*annualizationFactor</f>
        <v>18137.460381032</v>
      </c>
      <c r="T508" s="777">
        <f>$H$21*$F$8*'Traffic Data'!AV41*annualizationFactor</f>
        <v>18813.653573736003</v>
      </c>
      <c r="U508" s="777">
        <f>$H$21*$F$8*'Traffic Data'!AW41*annualizationFactor</f>
        <v>19490.384502544002</v>
      </c>
      <c r="V508" s="777">
        <f>$H$21*$F$8*'Traffic Data'!AX41*annualizationFactor</f>
        <v>19973.829176192001</v>
      </c>
      <c r="W508" s="777">
        <f>$H$21*$F$8*'Traffic Data'!AY41*annualizationFactor</f>
        <v>20308.460362096001</v>
      </c>
      <c r="X508" s="777">
        <f>$H$21*$F$8*'Traffic Data'!AZ41*annualizationFactor</f>
        <v>20643.091548</v>
      </c>
      <c r="Y508" s="777">
        <f>$H$21*$F$8*'Traffic Data'!BA41*annualizationFactor</f>
        <v>20977.722733904</v>
      </c>
      <c r="Z508" s="777">
        <f>$H$21*$F$8*'Traffic Data'!BB41*annualizationFactor</f>
        <v>21312.513249023999</v>
      </c>
      <c r="AA508" s="777">
        <f>$H$21*$F$8*'Traffic Data'!BC41*annualizationFactor</f>
        <v>21647.144434928003</v>
      </c>
      <c r="AB508" s="777">
        <f>$H$21*$F$8*'Traffic Data'!BD41*annualizationFactor</f>
        <v>21981.934950048006</v>
      </c>
      <c r="AC508" s="777">
        <f>$H$21*$F$8*'Traffic Data'!BE41*annualizationFactor</f>
        <v>22316.566135952002</v>
      </c>
      <c r="AD508" s="777">
        <f>$H$21*$F$8*'Traffic Data'!BF41*annualizationFactor</f>
        <v>22651.197321856005</v>
      </c>
      <c r="AE508" s="777">
        <f>$H$21*$F$8*'Traffic Data'!BG41*annualizationFactor</f>
        <v>22985.987836976001</v>
      </c>
      <c r="AF508" s="777">
        <f>$H$21*$F$8*'Traffic Data'!BH41*annualizationFactor</f>
        <v>23320.619022879997</v>
      </c>
      <c r="AG508" s="777">
        <f>$H$21*$F$8*'Traffic Data'!BI41*annualizationFactor</f>
        <v>23655.250208784</v>
      </c>
      <c r="AH508" s="778">
        <f>$H$21*$F$8*'Traffic Data'!BJ41*annualizationFactor</f>
        <v>23990.040723904</v>
      </c>
      <c r="AI508" s="40"/>
      <c r="AJ508" s="40"/>
      <c r="AK508" s="40"/>
      <c r="AL508" s="40"/>
      <c r="AM508" s="40"/>
    </row>
    <row r="509" spans="2:39" ht="21.95" customHeight="1" x14ac:dyDescent="0.2">
      <c r="B509" s="492" t="s">
        <v>339</v>
      </c>
      <c r="C509" s="116" t="s">
        <v>335</v>
      </c>
      <c r="D509" s="116" t="s">
        <v>323</v>
      </c>
      <c r="E509" s="277" t="s">
        <v>19</v>
      </c>
      <c r="F509" s="220" t="s">
        <v>40</v>
      </c>
      <c r="G509" s="780"/>
      <c r="H509" s="780"/>
      <c r="I509" s="775">
        <f>$H$21*$G$8*'Traffic Data'!AK42*annualizationFactor</f>
        <v>34.927579999999999</v>
      </c>
      <c r="J509" s="775">
        <f>$H$21*$G$8*'Traffic Data'!AL42*annualizationFactor</f>
        <v>264.71612881999999</v>
      </c>
      <c r="K509" s="775">
        <f>$H$21*$G$8*'Traffic Data'!AM42*annualizationFactor</f>
        <v>1533.6351102199999</v>
      </c>
      <c r="L509" s="775">
        <f>$H$21*$G$8*'Traffic Data'!AN42*annualizationFactor</f>
        <v>3532.3309481400006</v>
      </c>
      <c r="M509" s="775">
        <f>$H$21*$G$8*'Traffic Data'!AO42*annualizationFactor</f>
        <v>5532.2841789399999</v>
      </c>
      <c r="N509" s="775">
        <f>$H$21*$G$8*'Traffic Data'!AP42*annualizationFactor</f>
        <v>7532.3421924800014</v>
      </c>
      <c r="O509" s="775">
        <f>$H$21*$G$8*'Traffic Data'!AQ42*annualizationFactor</f>
        <v>9531.0380304000009</v>
      </c>
      <c r="P509" s="775">
        <f>$H$21*$G$8*'Traffic Data'!AR42*annualizationFactor</f>
        <v>11532.388364400002</v>
      </c>
      <c r="Q509" s="775">
        <f>$H$21*$G$8*'Traffic Data'!AS42*annualizationFactor</f>
        <v>12656.14832332</v>
      </c>
      <c r="R509" s="775">
        <f>$H$21*$G$8*'Traffic Data'!AT42*annualizationFactor</f>
        <v>13780.327413200001</v>
      </c>
      <c r="S509" s="775">
        <f>$H$21*$G$8*'Traffic Data'!AU42*annualizationFactor</f>
        <v>14904.40172034</v>
      </c>
      <c r="T509" s="775">
        <f>$H$21*$G$8*'Traffic Data'!AV42*annualizationFactor</f>
        <v>16028.161679259998</v>
      </c>
      <c r="U509" s="775">
        <f>$H$21*$G$8*'Traffic Data'!AW42*annualizationFactor</f>
        <v>17154.576134260005</v>
      </c>
      <c r="V509" s="775">
        <f>$H$21*$G$8*'Traffic Data'!AX42*annualizationFactor</f>
        <v>17547.476481680009</v>
      </c>
      <c r="W509" s="775">
        <f>$H$21*$G$8*'Traffic Data'!AY42*annualizationFactor</f>
        <v>17777.265030500002</v>
      </c>
      <c r="X509" s="775">
        <f>$H$21*$G$8*'Traffic Data'!AZ42*annualizationFactor</f>
        <v>18007.053579320003</v>
      </c>
      <c r="Y509" s="775">
        <f>$H$21*$G$8*'Traffic Data'!BA42*annualizationFactor</f>
        <v>18236.842128140004</v>
      </c>
      <c r="Z509" s="775">
        <f>$H$21*$G$8*'Traffic Data'!BB42*annualizationFactor</f>
        <v>18467.538794040003</v>
      </c>
      <c r="AA509" s="775">
        <f>$H$21*$G$8*'Traffic Data'!BC42*annualizationFactor</f>
        <v>18697.327342860004</v>
      </c>
      <c r="AB509" s="775">
        <f>$H$21*$G$8*'Traffic Data'!BD42*annualizationFactor</f>
        <v>18928.024008760007</v>
      </c>
      <c r="AC509" s="775">
        <f>$H$21*$G$8*'Traffic Data'!BE42*annualizationFactor</f>
        <v>19157.81255758</v>
      </c>
      <c r="AD509" s="775">
        <f>$H$21*$G$8*'Traffic Data'!BF42*annualizationFactor</f>
        <v>19387.601106400005</v>
      </c>
      <c r="AE509" s="775">
        <f>$H$21*$G$8*'Traffic Data'!BG42*annualizationFactor</f>
        <v>19618.297772300008</v>
      </c>
      <c r="AF509" s="775">
        <f>$H$21*$G$8*'Traffic Data'!BH42*annualizationFactor</f>
        <v>19848.086321120001</v>
      </c>
      <c r="AG509" s="775">
        <f>$H$21*$G$8*'Traffic Data'!BI42*annualizationFactor</f>
        <v>20077.874869940002</v>
      </c>
      <c r="AH509" s="776">
        <f>$H$21*$G$8*'Traffic Data'!BJ42*annualizationFactor</f>
        <v>20308.571535840005</v>
      </c>
      <c r="AI509" s="40"/>
      <c r="AJ509" s="40"/>
      <c r="AK509" s="40"/>
      <c r="AL509" s="40"/>
      <c r="AM509" s="40"/>
    </row>
    <row r="510" spans="2:39" ht="21.95" customHeight="1" x14ac:dyDescent="0.2">
      <c r="B510" s="1346" t="s">
        <v>323</v>
      </c>
      <c r="C510" s="220" t="s">
        <v>282</v>
      </c>
      <c r="D510" s="220" t="s">
        <v>339</v>
      </c>
      <c r="E510" s="116" t="s">
        <v>19</v>
      </c>
      <c r="F510" s="220" t="s">
        <v>40</v>
      </c>
      <c r="G510" s="970"/>
      <c r="H510" s="970"/>
      <c r="I510" s="775">
        <f>$H$21*$H$8*'Traffic Data'!AK43*annualizationFactor</f>
        <v>100.32389999999999</v>
      </c>
      <c r="J510" s="775">
        <f>$H$21*$H$8*'Traffic Data'!AL43*annualizationFactor</f>
        <v>222.96986774999999</v>
      </c>
      <c r="K510" s="775">
        <f>$H$21*$H$8*'Traffic Data'!AM43*annualizationFactor</f>
        <v>942.39255465000008</v>
      </c>
      <c r="L510" s="775">
        <f>$H$21*$H$8*'Traffic Data'!AN43*annualizationFactor</f>
        <v>2118.4394723999999</v>
      </c>
      <c r="M510" s="775">
        <f>$H$21*$H$8*'Traffic Data'!AO43*annualizationFactor</f>
        <v>3295.1384955000008</v>
      </c>
      <c r="N510" s="775">
        <f>$H$21*$H$8*'Traffic Data'!AP43*annualizationFactor</f>
        <v>4471.8876805499995</v>
      </c>
      <c r="O510" s="775">
        <f>$H$21*$H$8*'Traffic Data'!AQ43*annualizationFactor</f>
        <v>5647.9345983000003</v>
      </c>
      <c r="P510" s="775">
        <f>$H$21*$H$8*'Traffic Data'!AR43*annualizationFactor</f>
        <v>6825.3358887000022</v>
      </c>
      <c r="Q510" s="775">
        <f>$H$21*$H$8*'Traffic Data'!AS43*annualizationFactor</f>
        <v>7733.2671837000007</v>
      </c>
      <c r="R510" s="775">
        <f>$H$21*$H$8*'Traffic Data'!AT43*annualizationFactor</f>
        <v>8641.3489645500013</v>
      </c>
      <c r="S510" s="775">
        <f>$H$21*$H$8*'Traffic Data'!AU43*annualizationFactor</f>
        <v>9549.2802595499998</v>
      </c>
      <c r="T510" s="775">
        <f>$H$21*$H$8*'Traffic Data'!AV43*annualizationFactor</f>
        <v>10457.21155455</v>
      </c>
      <c r="U510" s="775">
        <f>$H$21*$H$8*'Traffic Data'!AW43*annualizationFactor</f>
        <v>11366.34673635</v>
      </c>
      <c r="V510" s="775">
        <f>$H$21*$H$8*'Traffic Data'!AX43*annualizationFactor</f>
        <v>11816.951533199999</v>
      </c>
      <c r="W510" s="775">
        <f>$H$21*$H$8*'Traffic Data'!AY43*annualizationFactor</f>
        <v>11939.597500950002</v>
      </c>
      <c r="X510" s="775">
        <f>$H$21*$H$8*'Traffic Data'!AZ43*annualizationFactor</f>
        <v>12062.2434687</v>
      </c>
      <c r="Y510" s="775">
        <f>$H$21*$H$8*'Traffic Data'!BA43*annualizationFactor</f>
        <v>12184.889436450003</v>
      </c>
      <c r="Z510" s="775">
        <f>$H$21*$H$8*'Traffic Data'!BB43*annualizationFactor</f>
        <v>12307.886537850001</v>
      </c>
      <c r="AA510" s="775">
        <f>$H$21*$H$8*'Traffic Data'!BC43*annualizationFactor</f>
        <v>12430.532505600002</v>
      </c>
      <c r="AB510" s="775">
        <f>$H$21*$H$8*'Traffic Data'!BD43*annualizationFactor</f>
        <v>12553.529606999999</v>
      </c>
      <c r="AC510" s="775">
        <f>$H$21*$H$8*'Traffic Data'!BE43*annualizationFactor</f>
        <v>12676.175574749999</v>
      </c>
      <c r="AD510" s="775">
        <f>$H$21*$H$8*'Traffic Data'!BF43*annualizationFactor</f>
        <v>12798.8215425</v>
      </c>
      <c r="AE510" s="775">
        <f>$H$21*$H$8*'Traffic Data'!BG43*annualizationFactor</f>
        <v>12921.818643899998</v>
      </c>
      <c r="AF510" s="775">
        <f>$H$21*$H$8*'Traffic Data'!BH43*annualizationFactor</f>
        <v>13044.464611650001</v>
      </c>
      <c r="AG510" s="775">
        <f>$H$21*$H$8*'Traffic Data'!BI43*annualizationFactor</f>
        <v>13167.1105794</v>
      </c>
      <c r="AH510" s="776">
        <f>$H$21*$H$8*'Traffic Data'!BJ43*annualizationFactor</f>
        <v>13290.1076808</v>
      </c>
      <c r="AI510" s="40"/>
      <c r="AJ510" s="40"/>
      <c r="AK510" s="40"/>
      <c r="AL510" s="40"/>
      <c r="AM510" s="40"/>
    </row>
    <row r="511" spans="2:39" ht="21.95" customHeight="1" x14ac:dyDescent="0.2">
      <c r="B511" s="1346"/>
      <c r="C511" s="116" t="s">
        <v>339</v>
      </c>
      <c r="D511" s="116" t="s">
        <v>288</v>
      </c>
      <c r="E511" s="116" t="s">
        <v>19</v>
      </c>
      <c r="F511" s="116" t="s">
        <v>40</v>
      </c>
      <c r="G511" s="970"/>
      <c r="H511" s="970"/>
      <c r="I511" s="777">
        <f>$H$21*$H$8*'Traffic Data'!AK44*annualizationFactor</f>
        <v>0</v>
      </c>
      <c r="J511" s="777">
        <f>$H$21*$H$8*'Traffic Data'!AL44*annualizationFactor</f>
        <v>68.249977599999994</v>
      </c>
      <c r="K511" s="777">
        <f>$H$21*$H$8*'Traffic Data'!AM44*annualizationFactor</f>
        <v>195.45919652000003</v>
      </c>
      <c r="L511" s="777">
        <f>$H$21*$H$8*'Traffic Data'!AN44*annualizationFactor</f>
        <v>439.38003872000002</v>
      </c>
      <c r="M511" s="777">
        <f>$H$21*$H$8*'Traffic Data'!AO44*annualizationFactor</f>
        <v>683.43613240000025</v>
      </c>
      <c r="N511" s="777">
        <f>$H$21*$H$8*'Traffic Data'!AP44*annualizationFactor</f>
        <v>927.50263003999987</v>
      </c>
      <c r="O511" s="777">
        <f>$H$21*$H$8*'Traffic Data'!AQ44*annualizationFactor</f>
        <v>1171.4234722400001</v>
      </c>
      <c r="P511" s="777">
        <f>$H$21*$H$8*'Traffic Data'!AR44*annualizationFactor</f>
        <v>1415.6252213600003</v>
      </c>
      <c r="Q511" s="777">
        <f>$H$21*$H$8*'Traffic Data'!AS44*annualizationFactor</f>
        <v>1603.9368973600006</v>
      </c>
      <c r="R511" s="777">
        <f>$H$21*$H$8*'Traffic Data'!AT44*annualizationFactor</f>
        <v>1792.2797852400006</v>
      </c>
      <c r="S511" s="777">
        <f>$H$21*$H$8*'Traffic Data'!AU44*annualizationFactor</f>
        <v>1980.5914612400002</v>
      </c>
      <c r="T511" s="777">
        <f>$H$21*$H$8*'Traffic Data'!AV44*annualizationFactor</f>
        <v>2168.90313724</v>
      </c>
      <c r="U511" s="777">
        <f>$H$21*$H$8*'Traffic Data'!AW44*annualizationFactor</f>
        <v>2357.4645082800002</v>
      </c>
      <c r="V511" s="777">
        <f>$H$21*$H$8*'Traffic Data'!AX44*annualizationFactor</f>
        <v>2450.9232809600003</v>
      </c>
      <c r="W511" s="777">
        <f>$H$21*$H$8*'Traffic Data'!AY44*annualizationFactor</f>
        <v>2476.3609631600007</v>
      </c>
      <c r="X511" s="777">
        <f>$H$21*$H$8*'Traffic Data'!AZ44*annualizationFactor</f>
        <v>2501.7986453600001</v>
      </c>
      <c r="Y511" s="777">
        <f>$H$21*$H$8*'Traffic Data'!BA44*annualizationFactor</f>
        <v>2527.2363275600005</v>
      </c>
      <c r="Z511" s="777">
        <f>$H$21*$H$8*'Traffic Data'!BB44*annualizationFactor</f>
        <v>2552.7468374800005</v>
      </c>
      <c r="AA511" s="777">
        <f>$H$21*$H$8*'Traffic Data'!BC44*annualizationFactor</f>
        <v>2578.1845196800004</v>
      </c>
      <c r="AB511" s="777">
        <f>$H$21*$H$8*'Traffic Data'!BD44*annualizationFactor</f>
        <v>2603.6950295999995</v>
      </c>
      <c r="AC511" s="777">
        <f>$H$21*$H$8*'Traffic Data'!BE44*annualizationFactor</f>
        <v>2629.1327117999999</v>
      </c>
      <c r="AD511" s="777">
        <f>$H$21*$H$8*'Traffic Data'!BF44*annualizationFactor</f>
        <v>2654.5703940000003</v>
      </c>
      <c r="AE511" s="777">
        <f>$H$21*$H$8*'Traffic Data'!BG44*annualizationFactor</f>
        <v>2680.0809039199999</v>
      </c>
      <c r="AF511" s="777">
        <f>$H$21*$H$8*'Traffic Data'!BH44*annualizationFactor</f>
        <v>2705.5185861199998</v>
      </c>
      <c r="AG511" s="777">
        <f>$H$21*$H$8*'Traffic Data'!BI44*annualizationFactor</f>
        <v>2730.9562683199997</v>
      </c>
      <c r="AH511" s="778">
        <f>$H$21*$H$8*'Traffic Data'!BJ44*annualizationFactor</f>
        <v>2756.4667782400002</v>
      </c>
      <c r="AI511" s="40"/>
      <c r="AJ511" s="40"/>
      <c r="AK511" s="40"/>
      <c r="AL511" s="40"/>
      <c r="AM511" s="40"/>
    </row>
    <row r="512" spans="2:39" ht="21.95" customHeight="1" x14ac:dyDescent="0.2">
      <c r="B512" s="1346"/>
      <c r="C512" s="116" t="s">
        <v>288</v>
      </c>
      <c r="D512" s="116" t="s">
        <v>340</v>
      </c>
      <c r="E512" s="116" t="s">
        <v>19</v>
      </c>
      <c r="F512" s="116" t="s">
        <v>40</v>
      </c>
      <c r="G512" s="970"/>
      <c r="H512" s="970"/>
      <c r="I512" s="777">
        <f>$H$21*$H$8*'Traffic Data'!AK45*annualizationFactor</f>
        <v>0</v>
      </c>
      <c r="J512" s="777">
        <f>$H$21*$H$8*'Traffic Data'!AL45*annualizationFactor</f>
        <v>177.9374416</v>
      </c>
      <c r="K512" s="777">
        <f>$H$21*$H$8*'Traffic Data'!AM45*annualizationFactor</f>
        <v>509.59004806999997</v>
      </c>
      <c r="L512" s="777">
        <f>$H$21*$H$8*'Traffic Data'!AN45*annualizationFactor</f>
        <v>1145.5265295199999</v>
      </c>
      <c r="M512" s="777">
        <f>$H$21*$H$8*'Traffic Data'!AO45*annualizationFactor</f>
        <v>1781.8156309000003</v>
      </c>
      <c r="N512" s="777">
        <f>$H$21*$H$8*'Traffic Data'!AP45*annualizationFactor</f>
        <v>2418.1318568899997</v>
      </c>
      <c r="O512" s="777">
        <f>$H$21*$H$8*'Traffic Data'!AQ45*annualizationFactor</f>
        <v>3054.0683383400001</v>
      </c>
      <c r="P512" s="777">
        <f>$H$21*$H$8*'Traffic Data'!AR45*annualizationFactor</f>
        <v>3690.73718426</v>
      </c>
      <c r="Q512" s="777">
        <f>$H$21*$H$8*'Traffic Data'!AS45*annualizationFactor</f>
        <v>4181.6926252600006</v>
      </c>
      <c r="R512" s="777">
        <f>$H$21*$H$8*'Traffic Data'!AT45*annualizationFactor</f>
        <v>4672.72944009</v>
      </c>
      <c r="S512" s="777">
        <f>$H$21*$H$8*'Traffic Data'!AU45*annualizationFactor</f>
        <v>5163.6848810899992</v>
      </c>
      <c r="T512" s="777">
        <f>$H$21*$H$8*'Traffic Data'!AV45*annualizationFactor</f>
        <v>5654.6403220899992</v>
      </c>
      <c r="U512" s="777">
        <f>$H$21*$H$8*'Traffic Data'!AW45*annualizationFactor</f>
        <v>6146.2467537300008</v>
      </c>
      <c r="V512" s="777">
        <f>$H$21*$H$8*'Traffic Data'!AX45*annualizationFactor</f>
        <v>6389.9071253600005</v>
      </c>
      <c r="W512" s="777">
        <f>$H$21*$H$8*'Traffic Data'!AY45*annualizationFactor</f>
        <v>6456.2267968099995</v>
      </c>
      <c r="X512" s="777">
        <f>$H$21*$H$8*'Traffic Data'!AZ45*annualizationFactor</f>
        <v>6522.5464682599995</v>
      </c>
      <c r="Y512" s="777">
        <f>$H$21*$H$8*'Traffic Data'!BA45*annualizationFactor</f>
        <v>6588.8661397099995</v>
      </c>
      <c r="Z512" s="777">
        <f>$H$21*$H$8*'Traffic Data'!BB45*annualizationFactor</f>
        <v>6655.3756834300011</v>
      </c>
      <c r="AA512" s="777">
        <f>$H$21*$H$8*'Traffic Data'!BC45*annualizationFactor</f>
        <v>6721.6953548800002</v>
      </c>
      <c r="AB512" s="777">
        <f>$H$21*$H$8*'Traffic Data'!BD45*annualizationFactor</f>
        <v>6788.2048985999982</v>
      </c>
      <c r="AC512" s="777">
        <f>$H$21*$H$8*'Traffic Data'!BE45*annualizationFactor</f>
        <v>6854.5245700499981</v>
      </c>
      <c r="AD512" s="777">
        <f>$H$21*$H$8*'Traffic Data'!BF45*annualizationFactor</f>
        <v>6920.8442415</v>
      </c>
      <c r="AE512" s="777">
        <f>$H$21*$H$8*'Traffic Data'!BG45*annualizationFactor</f>
        <v>6987.3537852199979</v>
      </c>
      <c r="AF512" s="777">
        <f>$H$21*$H$8*'Traffic Data'!BH45*annualizationFactor</f>
        <v>7053.6734566699997</v>
      </c>
      <c r="AG512" s="777">
        <f>$H$21*$H$8*'Traffic Data'!BI45*annualizationFactor</f>
        <v>7119.9931281199997</v>
      </c>
      <c r="AH512" s="778">
        <f>$H$21*$H$8*'Traffic Data'!BJ45*annualizationFactor</f>
        <v>7186.5026718399995</v>
      </c>
      <c r="AI512" s="40"/>
      <c r="AJ512" s="40"/>
      <c r="AK512" s="40"/>
      <c r="AL512" s="40"/>
      <c r="AM512" s="40"/>
    </row>
    <row r="513" spans="2:39" ht="21.95" customHeight="1" x14ac:dyDescent="0.2">
      <c r="B513" s="1346"/>
      <c r="C513" s="254" t="s">
        <v>340</v>
      </c>
      <c r="D513" s="254" t="s">
        <v>280</v>
      </c>
      <c r="E513" s="116" t="s">
        <v>19</v>
      </c>
      <c r="F513" s="116" t="s">
        <v>40</v>
      </c>
      <c r="G513" s="970"/>
      <c r="H513" s="970"/>
      <c r="I513" s="777">
        <f>$H$21*$H$8*'Traffic Data'!AK46*annualizationFactor</f>
        <v>234.0891</v>
      </c>
      <c r="J513" s="777">
        <f>$H$21*$H$8*'Traffic Data'!AL46*annualizationFactor</f>
        <v>348.95662136999999</v>
      </c>
      <c r="K513" s="777">
        <f>$H$21*$H$8*'Traffic Data'!AM46*annualizationFactor</f>
        <v>491.30620307999999</v>
      </c>
      <c r="L513" s="777">
        <f>$H$21*$H$8*'Traffic Data'!AN46*annualizationFactor</f>
        <v>851.16357354000002</v>
      </c>
      <c r="M513" s="777">
        <f>$H$21*$H$8*'Traffic Data'!AO46*annualizationFactor</f>
        <v>1211.0599588499999</v>
      </c>
      <c r="N513" s="777">
        <f>$H$21*$H$8*'Traffic Data'!AP46*annualizationFactor</f>
        <v>1571.1358124700005</v>
      </c>
      <c r="O513" s="777">
        <f>$H$21*$H$8*'Traffic Data'!AQ46*annualizationFactor</f>
        <v>1930.9931829300001</v>
      </c>
      <c r="P513" s="777">
        <f>$H$21*$H$8*'Traffic Data'!AR46*annualizationFactor</f>
        <v>2290.73350884</v>
      </c>
      <c r="Q513" s="777">
        <f>$H$21*$H$8*'Traffic Data'!AS46*annualizationFactor</f>
        <v>3206.4198413100003</v>
      </c>
      <c r="R513" s="777">
        <f>$H$21*$H$8*'Traffic Data'!AT46*annualizationFactor</f>
        <v>4121.7472371600006</v>
      </c>
      <c r="S513" s="777">
        <f>$H$21*$H$8*'Traffic Data'!AU46*annualizationFactor</f>
        <v>5037.0044062800007</v>
      </c>
      <c r="T513" s="777">
        <f>$H$21*$H$8*'Traffic Data'!AV46*annualizationFactor</f>
        <v>5952.6907387499996</v>
      </c>
      <c r="U513" s="777">
        <f>$H$21*$H$8*'Traffic Data'!AW46*annualizationFactor</f>
        <v>6868.2600266700001</v>
      </c>
      <c r="V513" s="777">
        <f>$H$21*$H$8*'Traffic Data'!AX46*annualizationFactor</f>
        <v>7566.1654664400012</v>
      </c>
      <c r="W513" s="777">
        <f>$H$21*$H$8*'Traffic Data'!AY46*annualizationFactor</f>
        <v>7681.0329878099992</v>
      </c>
      <c r="X513" s="777">
        <f>$H$21*$H$8*'Traffic Data'!AZ46*annualizationFactor</f>
        <v>7795.9005091800018</v>
      </c>
      <c r="Y513" s="777">
        <f>$H$21*$H$8*'Traffic Data'!BA46*annualizationFactor</f>
        <v>7910.7680305500007</v>
      </c>
      <c r="Z513" s="777">
        <f>$H$21*$H$8*'Traffic Data'!BB46*annualizationFactor</f>
        <v>8025.284418270001</v>
      </c>
      <c r="AA513" s="777">
        <f>$H$21*$H$8*'Traffic Data'!BC46*annualizationFactor</f>
        <v>8140.1519396399999</v>
      </c>
      <c r="AB513" s="777">
        <f>$H$21*$H$8*'Traffic Data'!BD46*annualizationFactor</f>
        <v>8254.6683273600011</v>
      </c>
      <c r="AC513" s="777">
        <f>$H$21*$H$8*'Traffic Data'!BE46*annualizationFactor</f>
        <v>8369.53584873</v>
      </c>
      <c r="AD513" s="777">
        <f>$H$21*$H$8*'Traffic Data'!BF46*annualizationFactor</f>
        <v>8484.4033701000008</v>
      </c>
      <c r="AE513" s="777">
        <f>$H$21*$H$8*'Traffic Data'!BG46*annualizationFactor</f>
        <v>8598.9197578200001</v>
      </c>
      <c r="AF513" s="777">
        <f>$H$21*$H$8*'Traffic Data'!BH46*annualizationFactor</f>
        <v>8713.7872791900027</v>
      </c>
      <c r="AG513" s="777">
        <f>$H$21*$H$8*'Traffic Data'!BI46*annualizationFactor</f>
        <v>8828.6548005599998</v>
      </c>
      <c r="AH513" s="778">
        <f>$H$21*$H$8*'Traffic Data'!BJ46*annualizationFactor</f>
        <v>8943.1711882800009</v>
      </c>
      <c r="AI513" s="40"/>
      <c r="AJ513" s="40"/>
      <c r="AK513" s="40"/>
      <c r="AL513" s="40"/>
      <c r="AM513" s="40"/>
    </row>
    <row r="514" spans="2:39" ht="21.95" customHeight="1" x14ac:dyDescent="0.2">
      <c r="B514" s="1346" t="s">
        <v>334</v>
      </c>
      <c r="C514" s="116" t="s">
        <v>336</v>
      </c>
      <c r="D514" s="116" t="s">
        <v>337</v>
      </c>
      <c r="E514" s="220" t="s">
        <v>19</v>
      </c>
      <c r="F514" s="220" t="s">
        <v>40</v>
      </c>
      <c r="G514" s="775"/>
      <c r="H514" s="775"/>
      <c r="I514" s="775">
        <f>$H$21*$I$8*'Traffic Data'!AK47*annualizationFactor</f>
        <v>7282.7720000000008</v>
      </c>
      <c r="J514" s="775">
        <f>$H$21*$I$8*'Traffic Data'!AL47*annualizationFactor</f>
        <v>7484.5047844000001</v>
      </c>
      <c r="K514" s="775">
        <f>$H$21*$I$8*'Traffic Data'!AM47*annualizationFactor</f>
        <v>7810.0707027000008</v>
      </c>
      <c r="L514" s="775">
        <f>$H$21*$I$8*'Traffic Data'!AN47*annualizationFactor</f>
        <v>8275.1797345000014</v>
      </c>
      <c r="M514" s="775">
        <f>$H$21*$I$8*'Traffic Data'!AO47*annualizationFactor</f>
        <v>8740.4968455000035</v>
      </c>
      <c r="N514" s="775">
        <f>$H$21*$I$8*'Traffic Data'!AP47*annualizationFactor</f>
        <v>9205.7879466000031</v>
      </c>
      <c r="O514" s="775">
        <f>$H$21*$I$8*'Traffic Data'!AQ47*annualizationFactor</f>
        <v>9670.8969784000055</v>
      </c>
      <c r="P514" s="775">
        <f>$H$21*$I$8*'Traffic Data'!AR47*annualizationFactor</f>
        <v>10136.422168600002</v>
      </c>
      <c r="Q514" s="775">
        <f>$H$21*$I$8*'Traffic Data'!AS47*annualizationFactor</f>
        <v>10550.785885499999</v>
      </c>
      <c r="R514" s="775">
        <f>$H$21*$I$8*'Traffic Data'!AT47*annualizationFactor</f>
        <v>10965.2796519</v>
      </c>
      <c r="S514" s="775">
        <f>$H$21*$I$8*'Traffic Data'!AU47*annualizationFactor</f>
        <v>11379.6433688</v>
      </c>
      <c r="T514" s="775">
        <f>$H$21*$I$8*'Traffic Data'!AV47*annualizationFactor</f>
        <v>11794.007085700001</v>
      </c>
      <c r="U514" s="775">
        <f>$H$21*$I$8*'Traffic Data'!AW47*annualizationFactor</f>
        <v>12208.786961000002</v>
      </c>
      <c r="V514" s="775">
        <f>$H$21*$I$8*'Traffic Data'!AX47*annualizationFactor</f>
        <v>12483.399485200003</v>
      </c>
      <c r="W514" s="775">
        <f>$H$21*$I$8*'Traffic Data'!AY47*annualizationFactor</f>
        <v>12685.132269600002</v>
      </c>
      <c r="X514" s="775">
        <f>$H$21*$I$8*'Traffic Data'!AZ47*annualizationFactor</f>
        <v>12886.865054000002</v>
      </c>
      <c r="Y514" s="775">
        <f>$H$21*$I$8*'Traffic Data'!BA47*annualizationFactor</f>
        <v>13088.597838399999</v>
      </c>
      <c r="Z514" s="775">
        <f>$H$21*$I$8*'Traffic Data'!BB47*annualizationFactor</f>
        <v>13290.460672300002</v>
      </c>
      <c r="AA514" s="775">
        <f>$H$21*$I$8*'Traffic Data'!BC47*annualizationFactor</f>
        <v>13492.193456700003</v>
      </c>
      <c r="AB514" s="775">
        <f>$H$21*$I$8*'Traffic Data'!BD47*annualizationFactor</f>
        <v>13694.0562906</v>
      </c>
      <c r="AC514" s="775">
        <f>$H$21*$I$8*'Traffic Data'!BE47*annualizationFactor</f>
        <v>13895.789075000001</v>
      </c>
      <c r="AD514" s="775">
        <f>$H$21*$I$8*'Traffic Data'!BF47*annualizationFactor</f>
        <v>14097.521859400002</v>
      </c>
      <c r="AE514" s="775">
        <f>$H$21*$I$8*'Traffic Data'!BG47*annualizationFactor</f>
        <v>14299.3846933</v>
      </c>
      <c r="AF514" s="775">
        <f>$H$21*$I$8*'Traffic Data'!BH47*annualizationFactor</f>
        <v>14501.117477699998</v>
      </c>
      <c r="AG514" s="775">
        <f>$H$21*$I$8*'Traffic Data'!BI47*annualizationFactor</f>
        <v>14702.850262099999</v>
      </c>
      <c r="AH514" s="776">
        <f>$H$21*$I$8*'Traffic Data'!BJ47*annualizationFactor</f>
        <v>14904.713096000001</v>
      </c>
      <c r="AI514" s="40"/>
      <c r="AJ514" s="40"/>
      <c r="AK514" s="40"/>
      <c r="AL514" s="40"/>
      <c r="AM514" s="40"/>
    </row>
    <row r="515" spans="2:39" ht="21.95" customHeight="1" x14ac:dyDescent="0.2">
      <c r="B515" s="1346"/>
      <c r="C515" s="116" t="s">
        <v>337</v>
      </c>
      <c r="D515" s="116" t="s">
        <v>386</v>
      </c>
      <c r="E515" s="116" t="s">
        <v>19</v>
      </c>
      <c r="F515" s="116" t="s">
        <v>40</v>
      </c>
      <c r="G515" s="970"/>
      <c r="H515" s="970"/>
      <c r="I515" s="777">
        <f>$H$21*$I$8*'Traffic Data'!AK48*annualizationFactor</f>
        <v>11444.356000000002</v>
      </c>
      <c r="J515" s="777">
        <f>$H$21*$I$8*'Traffic Data'!AL48*annualizationFactor</f>
        <v>11467.244712000002</v>
      </c>
      <c r="K515" s="777">
        <f>$H$21*$I$8*'Traffic Data'!AM48*annualizationFactor</f>
        <v>11490.133424000001</v>
      </c>
      <c r="L515" s="777">
        <f>$H$21*$I$8*'Traffic Data'!AN48*annualizationFactor</f>
        <v>11513.022136000001</v>
      </c>
      <c r="M515" s="777">
        <f>$H$21*$I$8*'Traffic Data'!AO48*annualizationFactor</f>
        <v>11535.910848000001</v>
      </c>
      <c r="N515" s="777">
        <f>$H$21*$I$8*'Traffic Data'!AP48*annualizationFactor</f>
        <v>11558.799560000001</v>
      </c>
      <c r="O515" s="777">
        <f>$H$21*$I$8*'Traffic Data'!AQ48*annualizationFactor</f>
        <v>11581.688272000001</v>
      </c>
      <c r="P515" s="777">
        <f>$H$21*$I$8*'Traffic Data'!AR48*annualizationFactor</f>
        <v>11604.576984000001</v>
      </c>
      <c r="Q515" s="777">
        <f>$H$21*$I$8*'Traffic Data'!AS48*annualizationFactor</f>
        <v>11627.465696000001</v>
      </c>
      <c r="R515" s="777">
        <f>$H$21*$I$8*'Traffic Data'!AT48*annualizationFactor</f>
        <v>11627.465696000001</v>
      </c>
      <c r="S515" s="777">
        <f>$H$21*$I$8*'Traffic Data'!AU48*annualizationFactor</f>
        <v>11902.07301822</v>
      </c>
      <c r="T515" s="777">
        <f>$H$21*$I$8*'Traffic Data'!AV48*annualizationFactor</f>
        <v>12204.984313619998</v>
      </c>
      <c r="U515" s="777">
        <f>$H$21*$I$8*'Traffic Data'!AW48*annualizationFactor</f>
        <v>12508.0828803</v>
      </c>
      <c r="V515" s="777">
        <f>$H$21*$I$8*'Traffic Data'!AX48*annualizationFactor</f>
        <v>12752.42508288</v>
      </c>
      <c r="W515" s="777">
        <f>$H$21*$I$8*'Traffic Data'!AY48*annualizationFactor</f>
        <v>12953.03944158</v>
      </c>
      <c r="X515" s="777">
        <f>$H$21*$I$8*'Traffic Data'!AZ48*annualizationFactor</f>
        <v>13153.653800279997</v>
      </c>
      <c r="Y515" s="777">
        <f>$H$21*$I$8*'Traffic Data'!BA48*annualizationFactor</f>
        <v>13354.268158979998</v>
      </c>
      <c r="Z515" s="777">
        <f>$H$21*$I$8*'Traffic Data'!BB48*annualizationFactor</f>
        <v>13554.929335500001</v>
      </c>
      <c r="AA515" s="777">
        <f>$H$21*$I$8*'Traffic Data'!BC48*annualizationFactor</f>
        <v>13755.543694199998</v>
      </c>
      <c r="AB515" s="777">
        <f>$H$21*$I$8*'Traffic Data'!BD48*annualizationFactor</f>
        <v>13956.204870720001</v>
      </c>
      <c r="AC515" s="777">
        <f>$H$21*$I$8*'Traffic Data'!BE48*annualizationFactor</f>
        <v>14156.819229420002</v>
      </c>
      <c r="AD515" s="777">
        <f>$H$21*$I$8*'Traffic Data'!BF48*annualizationFactor</f>
        <v>14357.433588119999</v>
      </c>
      <c r="AE515" s="777">
        <f>$H$21*$I$8*'Traffic Data'!BG48*annualizationFactor</f>
        <v>14558.094764640002</v>
      </c>
      <c r="AF515" s="777">
        <f>$H$21*$I$8*'Traffic Data'!BH48*annualizationFactor</f>
        <v>14758.709123339997</v>
      </c>
      <c r="AG515" s="777">
        <f>$H$21*$I$8*'Traffic Data'!BI48*annualizationFactor</f>
        <v>14959.323482039999</v>
      </c>
      <c r="AH515" s="778">
        <f>$H$21*$I$8*'Traffic Data'!BJ48*annualizationFactor</f>
        <v>15159.984658559999</v>
      </c>
      <c r="AI515" s="40"/>
      <c r="AJ515" s="40"/>
      <c r="AK515" s="40"/>
      <c r="AL515" s="40"/>
      <c r="AM515" s="40"/>
    </row>
    <row r="516" spans="2:39" ht="21.95" customHeight="1" x14ac:dyDescent="0.2">
      <c r="B516" s="1346"/>
      <c r="C516" s="116" t="s">
        <v>342</v>
      </c>
      <c r="D516" s="116" t="s">
        <v>341</v>
      </c>
      <c r="E516" s="116" t="s">
        <v>19</v>
      </c>
      <c r="F516" s="116" t="s">
        <v>40</v>
      </c>
      <c r="G516" s="970"/>
      <c r="H516" s="970"/>
      <c r="I516" s="777">
        <f>$H$21*$I$8*'Traffic Data'!AK49*annualizationFactor</f>
        <v>14877.662800000002</v>
      </c>
      <c r="J516" s="777">
        <f>$H$21*$I$8*'Traffic Data'!AL49*annualizationFactor</f>
        <v>14907.418125600001</v>
      </c>
      <c r="K516" s="777">
        <f>$H$21*$I$8*'Traffic Data'!AM49*annualizationFactor</f>
        <v>14937.173451200002</v>
      </c>
      <c r="L516" s="777">
        <f>$H$21*$I$8*'Traffic Data'!AN49*annualizationFactor</f>
        <v>14966.928776800003</v>
      </c>
      <c r="M516" s="777">
        <f>$H$21*$I$8*'Traffic Data'!AO49*annualizationFactor</f>
        <v>14996.684102400002</v>
      </c>
      <c r="N516" s="777">
        <f>$H$21*$I$8*'Traffic Data'!AP49*annualizationFactor</f>
        <v>15026.439428000003</v>
      </c>
      <c r="O516" s="777">
        <f>$H$21*$I$8*'Traffic Data'!AQ49*annualizationFactor</f>
        <v>15056.194753600001</v>
      </c>
      <c r="P516" s="777">
        <f>$H$21*$I$8*'Traffic Data'!AR49*annualizationFactor</f>
        <v>15085.950079200002</v>
      </c>
      <c r="Q516" s="777">
        <f>$H$21*$I$8*'Traffic Data'!AS49*annualizationFactor</f>
        <v>15115.705404800003</v>
      </c>
      <c r="R516" s="777">
        <f>$H$21*$I$8*'Traffic Data'!AT49*annualizationFactor</f>
        <v>15115.705404800003</v>
      </c>
      <c r="S516" s="777">
        <f>$H$21*$I$8*'Traffic Data'!AU49*annualizationFactor</f>
        <v>15472.694923686</v>
      </c>
      <c r="T516" s="777">
        <f>$H$21*$I$8*'Traffic Data'!AV49*annualizationFactor</f>
        <v>15866.479607705998</v>
      </c>
      <c r="U516" s="777">
        <f>$H$21*$I$8*'Traffic Data'!AW49*annualizationFactor</f>
        <v>16260.507744389997</v>
      </c>
      <c r="V516" s="777">
        <f>$H$21*$I$8*'Traffic Data'!AX49*annualizationFactor</f>
        <v>16578.152607743999</v>
      </c>
      <c r="W516" s="777">
        <f>$H$21*$I$8*'Traffic Data'!AY49*annualizationFactor</f>
        <v>16838.951274054001</v>
      </c>
      <c r="X516" s="777">
        <f>$H$21*$I$8*'Traffic Data'!AZ49*annualizationFactor</f>
        <v>17099.749940363999</v>
      </c>
      <c r="Y516" s="777">
        <f>$H$21*$I$8*'Traffic Data'!BA49*annualizationFactor</f>
        <v>17360.548606673998</v>
      </c>
      <c r="Z516" s="777">
        <f>$H$21*$I$8*'Traffic Data'!BB49*annualizationFactor</f>
        <v>17621.408136149999</v>
      </c>
      <c r="AA516" s="777">
        <f>$H$21*$I$8*'Traffic Data'!BC49*annualizationFactor</f>
        <v>17882.206802460001</v>
      </c>
      <c r="AB516" s="777">
        <f>$H$21*$I$8*'Traffic Data'!BD49*annualizationFactor</f>
        <v>18143.066331935999</v>
      </c>
      <c r="AC516" s="777">
        <f>$H$21*$I$8*'Traffic Data'!BE49*annualizationFactor</f>
        <v>18403.864998246001</v>
      </c>
      <c r="AD516" s="777">
        <f>$H$21*$I$8*'Traffic Data'!BF49*annualizationFactor</f>
        <v>18664.663664555999</v>
      </c>
      <c r="AE516" s="777">
        <f>$H$21*$I$8*'Traffic Data'!BG49*annualizationFactor</f>
        <v>18925.523194032001</v>
      </c>
      <c r="AF516" s="777">
        <f>$H$21*$I$8*'Traffic Data'!BH49*annualizationFactor</f>
        <v>19186.321860341995</v>
      </c>
      <c r="AG516" s="777">
        <f>$H$21*$I$8*'Traffic Data'!BI49*annualizationFactor</f>
        <v>19447.120526652001</v>
      </c>
      <c r="AH516" s="778">
        <f>$H$21*$I$8*'Traffic Data'!BJ49*annualizationFactor</f>
        <v>19707.980056128003</v>
      </c>
      <c r="AI516" s="40"/>
      <c r="AJ516" s="40"/>
      <c r="AK516" s="40"/>
      <c r="AL516" s="40"/>
      <c r="AM516" s="40"/>
    </row>
    <row r="517" spans="2:39" ht="21.95" customHeight="1" x14ac:dyDescent="0.2">
      <c r="B517" s="1346"/>
      <c r="C517" s="116" t="s">
        <v>341</v>
      </c>
      <c r="D517" s="116" t="s">
        <v>344</v>
      </c>
      <c r="E517" s="116" t="s">
        <v>19</v>
      </c>
      <c r="F517" s="116" t="s">
        <v>40</v>
      </c>
      <c r="G517" s="970"/>
      <c r="H517" s="970"/>
      <c r="I517" s="777">
        <f>$H$21*$I$8*'Traffic Data'!AK50*annualizationFactor</f>
        <v>16500.680560000001</v>
      </c>
      <c r="J517" s="777">
        <f>$H$21*$I$8*'Traffic Data'!AL50*annualizationFactor</f>
        <v>16533.681921120002</v>
      </c>
      <c r="K517" s="777">
        <f>$H$21*$I$8*'Traffic Data'!AM50*annualizationFactor</f>
        <v>16566.683282240003</v>
      </c>
      <c r="L517" s="777">
        <f>$H$21*$I$8*'Traffic Data'!AN50*annualizationFactor</f>
        <v>16599.684643360004</v>
      </c>
      <c r="M517" s="777">
        <f>$H$21*$I$8*'Traffic Data'!AO50*annualizationFactor</f>
        <v>16632.686004480001</v>
      </c>
      <c r="N517" s="777">
        <f>$H$21*$I$8*'Traffic Data'!AP50*annualizationFactor</f>
        <v>16665.687365600003</v>
      </c>
      <c r="O517" s="777">
        <f>$H$21*$I$8*'Traffic Data'!AQ50*annualizationFactor</f>
        <v>16698.68872672</v>
      </c>
      <c r="P517" s="777">
        <f>$H$21*$I$8*'Traffic Data'!AR50*annualizationFactor</f>
        <v>16731.690087840001</v>
      </c>
      <c r="Q517" s="777">
        <f>$H$21*$I$8*'Traffic Data'!AS50*annualizationFactor</f>
        <v>16764.691448960002</v>
      </c>
      <c r="R517" s="777">
        <f>$H$21*$I$8*'Traffic Data'!AT50*annualizationFactor</f>
        <v>16764.691448960002</v>
      </c>
      <c r="S517" s="777">
        <f>$H$21*$I$8*'Traffic Data'!AU50*annualizationFactor</f>
        <v>16843.813735384942</v>
      </c>
      <c r="T517" s="777">
        <f>$H$21*$I$8*'Traffic Data'!AV50*annualizationFactor</f>
        <v>17123.592992008857</v>
      </c>
      <c r="U517" s="777">
        <f>$H$21*$I$8*'Traffic Data'!AW50*annualizationFactor</f>
        <v>17396.241669921237</v>
      </c>
      <c r="V517" s="777">
        <f>$H$21*$I$8*'Traffic Data'!AX50*annualizationFactor</f>
        <v>17580.493219258366</v>
      </c>
      <c r="W517" s="777">
        <f>$H$21*$I$8*'Traffic Data'!AY50*annualizationFactor</f>
        <v>17699.033092974914</v>
      </c>
      <c r="X517" s="777">
        <f>$H$21*$I$8*'Traffic Data'!AZ50*annualizationFactor</f>
        <v>17973.152552702591</v>
      </c>
      <c r="Y517" s="777">
        <f>$H$21*$I$8*'Traffic Data'!BA50*annualizationFactor</f>
        <v>18247.272012430272</v>
      </c>
      <c r="Z517" s="777">
        <f>$H$21*$I$8*'Traffic Data'!BB50*annualizationFactor</f>
        <v>18521.455444027204</v>
      </c>
      <c r="AA517" s="777">
        <f>$H$21*$I$8*'Traffic Data'!BC50*annualizationFactor</f>
        <v>18795.574903754878</v>
      </c>
      <c r="AB517" s="777">
        <f>$H$21*$I$8*'Traffic Data'!BD50*annualizationFactor</f>
        <v>19069.758335351809</v>
      </c>
      <c r="AC517" s="777">
        <f>$H$21*$I$8*'Traffic Data'!BE50*annualizationFactor</f>
        <v>19343.877795079487</v>
      </c>
      <c r="AD517" s="777">
        <f>$H$21*$I$8*'Traffic Data'!BF50*annualizationFactor</f>
        <v>19617.997254807167</v>
      </c>
      <c r="AE517" s="777">
        <f>$H$21*$I$8*'Traffic Data'!BG50*annualizationFactor</f>
        <v>19892.180686404095</v>
      </c>
      <c r="AF517" s="777">
        <f>$H$21*$I$8*'Traffic Data'!BH50*annualizationFactor</f>
        <v>20166.300146131773</v>
      </c>
      <c r="AG517" s="777">
        <f>$H$21*$I$8*'Traffic Data'!BI50*annualizationFactor</f>
        <v>20440.419605859457</v>
      </c>
      <c r="AH517" s="778">
        <f>$H$21*$I$8*'Traffic Data'!BJ50*annualizationFactor</f>
        <v>20714.603037456385</v>
      </c>
      <c r="AI517" s="40"/>
      <c r="AJ517" s="40"/>
      <c r="AK517" s="40"/>
      <c r="AL517" s="40"/>
      <c r="AM517" s="40"/>
    </row>
    <row r="518" spans="2:39" ht="21.95" customHeight="1" x14ac:dyDescent="0.2">
      <c r="B518" s="1346"/>
      <c r="C518" s="116" t="s">
        <v>344</v>
      </c>
      <c r="D518" s="116" t="s">
        <v>345</v>
      </c>
      <c r="E518" s="116" t="s">
        <v>19</v>
      </c>
      <c r="F518" s="116" t="s">
        <v>40</v>
      </c>
      <c r="G518" s="970"/>
      <c r="H518" s="970"/>
      <c r="I518" s="777">
        <f>$H$21*$I$8*'Traffic Data'!AK51*annualizationFactor</f>
        <v>6762.5740000000014</v>
      </c>
      <c r="J518" s="777">
        <f>$H$21*$I$8*'Traffic Data'!AL51*annualizationFactor</f>
        <v>6776.0991480000002</v>
      </c>
      <c r="K518" s="777">
        <f>$H$21*$I$8*'Traffic Data'!AM51*annualizationFactor</f>
        <v>6789.6242960000009</v>
      </c>
      <c r="L518" s="777">
        <f>$H$21*$I$8*'Traffic Data'!AN51*annualizationFactor</f>
        <v>6803.1494440000006</v>
      </c>
      <c r="M518" s="777">
        <f>$H$21*$I$8*'Traffic Data'!AO51*annualizationFactor</f>
        <v>6816.6745920000012</v>
      </c>
      <c r="N518" s="777">
        <f>$H$21*$I$8*'Traffic Data'!AP51*annualizationFactor</f>
        <v>6830.1997400000009</v>
      </c>
      <c r="O518" s="777">
        <f>$H$21*$I$8*'Traffic Data'!AQ51*annualizationFactor</f>
        <v>6843.7248880000006</v>
      </c>
      <c r="P518" s="777">
        <f>$H$21*$I$8*'Traffic Data'!AR51*annualizationFactor</f>
        <v>6857.2500360000013</v>
      </c>
      <c r="Q518" s="777">
        <f>$H$21*$I$8*'Traffic Data'!AS51*annualizationFactor</f>
        <v>6870.7751840000001</v>
      </c>
      <c r="R518" s="777">
        <f>$H$21*$I$8*'Traffic Data'!AT51*annualizationFactor</f>
        <v>6870.7751840000001</v>
      </c>
      <c r="S518" s="777">
        <f>$H$21*$I$8*'Traffic Data'!AU51*annualizationFactor</f>
        <v>6903.2023505675998</v>
      </c>
      <c r="T518" s="777">
        <f>$H$21*$I$8*'Traffic Data'!AV51*annualizationFactor</f>
        <v>7017.8659803314986</v>
      </c>
      <c r="U518" s="777">
        <f>$H$21*$I$8*'Traffic Data'!AW51*annualizationFactor</f>
        <v>7129.6072417709993</v>
      </c>
      <c r="V518" s="777">
        <f>$H$21*$I$8*'Traffic Data'!AX51*annualizationFactor</f>
        <v>7205.1201718271996</v>
      </c>
      <c r="W518" s="777">
        <f>$H$21*$I$8*'Traffic Data'!AY51*annualizationFactor</f>
        <v>7253.7020872848007</v>
      </c>
      <c r="X518" s="777">
        <f>$H$21*$I$8*'Traffic Data'!AZ51*annualizationFactor</f>
        <v>7366.0461281568005</v>
      </c>
      <c r="Y518" s="777">
        <f>$H$21*$I$8*'Traffic Data'!BA51*annualizationFactor</f>
        <v>7478.3901690287994</v>
      </c>
      <c r="Z518" s="777">
        <f>$H$21*$I$8*'Traffic Data'!BB51*annualizationFactor</f>
        <v>7590.7604278800009</v>
      </c>
      <c r="AA518" s="777">
        <f>$H$21*$I$8*'Traffic Data'!BC51*annualizationFactor</f>
        <v>7703.1044687519998</v>
      </c>
      <c r="AB518" s="777">
        <f>$H$21*$I$8*'Traffic Data'!BD51*annualizationFactor</f>
        <v>7815.4747276032012</v>
      </c>
      <c r="AC518" s="777">
        <f>$H$21*$I$8*'Traffic Data'!BE51*annualizationFactor</f>
        <v>7927.8187684752002</v>
      </c>
      <c r="AD518" s="777">
        <f>$H$21*$I$8*'Traffic Data'!BF51*annualizationFactor</f>
        <v>8040.1628093472009</v>
      </c>
      <c r="AE518" s="777">
        <f>$H$21*$I$8*'Traffic Data'!BG51*annualizationFactor</f>
        <v>8152.5330681984005</v>
      </c>
      <c r="AF518" s="777">
        <f>$H$21*$I$8*'Traffic Data'!BH51*annualizationFactor</f>
        <v>8264.8771090703995</v>
      </c>
      <c r="AG518" s="777">
        <f>$H$21*$I$8*'Traffic Data'!BI51*annualizationFactor</f>
        <v>8377.2211499424011</v>
      </c>
      <c r="AH518" s="778">
        <f>$H$21*$I$8*'Traffic Data'!BJ51*annualizationFactor</f>
        <v>8489.5914087935998</v>
      </c>
      <c r="AI518" s="40"/>
      <c r="AJ518" s="40"/>
      <c r="AK518" s="40"/>
      <c r="AL518" s="40"/>
      <c r="AM518" s="40"/>
    </row>
    <row r="519" spans="2:39" ht="21.95" customHeight="1" x14ac:dyDescent="0.2">
      <c r="B519" s="1346"/>
      <c r="C519" s="116" t="s">
        <v>345</v>
      </c>
      <c r="D519" s="116" t="s">
        <v>323</v>
      </c>
      <c r="E519" s="116" t="s">
        <v>19</v>
      </c>
      <c r="F519" s="116" t="s">
        <v>40</v>
      </c>
      <c r="G519" s="970"/>
      <c r="H519" s="970"/>
      <c r="I519" s="777">
        <f>$H$21*$I$8*'Traffic Data'!AK52*annualizationFactor</f>
        <v>81567.046400000007</v>
      </c>
      <c r="J519" s="777">
        <f>$H$21*$I$8*'Traffic Data'!AL52*annualizationFactor</f>
        <v>83439.447081200007</v>
      </c>
      <c r="K519" s="777">
        <f>$H$21*$I$8*'Traffic Data'!AM52*annualizationFactor</f>
        <v>86178.206319520003</v>
      </c>
      <c r="L519" s="777">
        <f>$H$21*$I$8*'Traffic Data'!AN52*annualizationFactor</f>
        <v>89462.736491520001</v>
      </c>
      <c r="M519" s="777">
        <f>$H$21*$I$8*'Traffic Data'!AO52*annualizationFactor</f>
        <v>92748.140596159996</v>
      </c>
      <c r="N519" s="777">
        <f>$H$21*$I$8*'Traffic Data'!AP52*annualizationFactor</f>
        <v>96033.836011680047</v>
      </c>
      <c r="O519" s="777">
        <f>$H$21*$I$8*'Traffic Data'!AQ52*annualizationFactor</f>
        <v>99318.366183680031</v>
      </c>
      <c r="P519" s="777">
        <f>$H$21*$I$8*'Traffic Data'!AR52*annualizationFactor</f>
        <v>102604.64422096002</v>
      </c>
      <c r="Q519" s="777">
        <f>$H$21*$I$8*'Traffic Data'!AS52*annualizationFactor</f>
        <v>105431.81631135999</v>
      </c>
      <c r="R519" s="777">
        <f>$H$21*$I$8*'Traffic Data'!AT52*annualizationFactor</f>
        <v>108258.84274632001</v>
      </c>
      <c r="S519" s="777">
        <f>$H$21*$I$8*'Traffic Data'!AU52*annualizationFactor</f>
        <v>111086.01483672</v>
      </c>
      <c r="T519" s="777">
        <f>$H$21*$I$8*'Traffic Data'!AV52*annualizationFactor</f>
        <v>113913.18692711998</v>
      </c>
      <c r="U519" s="777">
        <f>$H$21*$I$8*'Traffic Data'!AW52*annualizationFactor</f>
        <v>116742.10688279998</v>
      </c>
      <c r="V519" s="777">
        <f>$H$21*$I$8*'Traffic Data'!AX52*annualizationFactor</f>
        <v>119022.63410688</v>
      </c>
      <c r="W519" s="777">
        <f>$H$21*$I$8*'Traffic Data'!AY52*annualizationFactor</f>
        <v>120895.03478807998</v>
      </c>
      <c r="X519" s="777">
        <f>$H$21*$I$8*'Traffic Data'!AZ52*annualizationFactor</f>
        <v>122767.43546927998</v>
      </c>
      <c r="Y519" s="777">
        <f>$H$21*$I$8*'Traffic Data'!BA52*annualizationFactor</f>
        <v>124639.83615047997</v>
      </c>
      <c r="Z519" s="777">
        <f>$H$21*$I$8*'Traffic Data'!BB52*annualizationFactor</f>
        <v>126512.67379799999</v>
      </c>
      <c r="AA519" s="777">
        <f>$H$21*$I$8*'Traffic Data'!BC52*annualizationFactor</f>
        <v>128385.07447919999</v>
      </c>
      <c r="AB519" s="777">
        <f>$H$21*$I$8*'Traffic Data'!BD52*annualizationFactor</f>
        <v>130257.91212671998</v>
      </c>
      <c r="AC519" s="777">
        <f>$H$21*$I$8*'Traffic Data'!BE52*annualizationFactor</f>
        <v>132130.31280791998</v>
      </c>
      <c r="AD519" s="777">
        <f>$H$21*$I$8*'Traffic Data'!BF52*annualizationFactor</f>
        <v>134002.71348911998</v>
      </c>
      <c r="AE519" s="777">
        <f>$H$21*$I$8*'Traffic Data'!BG52*annualizationFactor</f>
        <v>135875.55113663999</v>
      </c>
      <c r="AF519" s="777">
        <f>$H$21*$I$8*'Traffic Data'!BH52*annualizationFactor</f>
        <v>137747.95181783999</v>
      </c>
      <c r="AG519" s="777">
        <f>$H$21*$I$8*'Traffic Data'!BI52*annualizationFactor</f>
        <v>139620.35249903999</v>
      </c>
      <c r="AH519" s="778">
        <f>$H$21*$I$8*'Traffic Data'!BJ52*annualizationFactor</f>
        <v>141493.19014655999</v>
      </c>
      <c r="AI519" s="40"/>
      <c r="AJ519" s="40"/>
      <c r="AK519" s="40"/>
      <c r="AL519" s="40"/>
      <c r="AM519" s="40"/>
    </row>
    <row r="520" spans="2:39" ht="21.95" customHeight="1" x14ac:dyDescent="0.2">
      <c r="B520" s="1346"/>
      <c r="C520" s="116" t="s">
        <v>323</v>
      </c>
      <c r="D520" s="116" t="s">
        <v>347</v>
      </c>
      <c r="E520" s="116" t="s">
        <v>19</v>
      </c>
      <c r="F520" s="116" t="s">
        <v>40</v>
      </c>
      <c r="G520" s="970"/>
      <c r="H520" s="970"/>
      <c r="I520" s="777">
        <f>$H$21*$I$8*'Traffic Data'!AK53*annualizationFactor</f>
        <v>14565.544000000002</v>
      </c>
      <c r="J520" s="777">
        <f>$H$21*$I$8*'Traffic Data'!AL53*annualizationFactor</f>
        <v>14887.390502600003</v>
      </c>
      <c r="K520" s="777">
        <f>$H$21*$I$8*'Traffic Data'!AM53*annualizationFactor</f>
        <v>15363.917880500001</v>
      </c>
      <c r="L520" s="777">
        <f>$H$21*$I$8*'Traffic Data'!AN53*annualizationFactor</f>
        <v>15968.6740654</v>
      </c>
      <c r="M520" s="777">
        <f>$H$21*$I$8*'Traffic Data'!AO53*annualizationFactor</f>
        <v>16573.612319600004</v>
      </c>
      <c r="N520" s="777">
        <f>$H$21*$I$8*'Traffic Data'!AP53*annualizationFactor</f>
        <v>17178.514159940001</v>
      </c>
      <c r="O520" s="777">
        <f>$H$21*$I$8*'Traffic Data'!AQ53*annualizationFactor</f>
        <v>17783.270344839999</v>
      </c>
      <c r="P520" s="777">
        <f>$H$21*$I$8*'Traffic Data'!AR53*annualizationFactor</f>
        <v>18388.35425448</v>
      </c>
      <c r="Q520" s="777">
        <f>$H$21*$I$8*'Traffic Data'!AS53*annualizationFactor</f>
        <v>18926.030907280001</v>
      </c>
      <c r="R520" s="777">
        <f>$H$21*$I$8*'Traffic Data'!AT53*annualizationFactor</f>
        <v>19463.759579879999</v>
      </c>
      <c r="S520" s="777">
        <f>$H$21*$I$8*'Traffic Data'!AU53*annualizationFactor</f>
        <v>20001.43623268</v>
      </c>
      <c r="T520" s="777">
        <f>$H$21*$I$8*'Traffic Data'!AV53*annualizationFactor</f>
        <v>20539.112885480004</v>
      </c>
      <c r="U520" s="777">
        <f>$H$21*$I$8*'Traffic Data'!AW53*annualizationFactor</f>
        <v>21077.03923332</v>
      </c>
      <c r="V520" s="777">
        <f>$H$21*$I$8*'Traffic Data'!AX53*annualizationFactor</f>
        <v>21486.341423680002</v>
      </c>
      <c r="W520" s="777">
        <f>$H$21*$I$8*'Traffic Data'!AY53*annualizationFactor</f>
        <v>21808.187926280003</v>
      </c>
      <c r="X520" s="777">
        <f>$H$21*$I$8*'Traffic Data'!AZ53*annualizationFactor</f>
        <v>22130.034428880004</v>
      </c>
      <c r="Y520" s="777">
        <f>$H$21*$I$8*'Traffic Data'!BA53*annualizationFactor</f>
        <v>22451.880931480006</v>
      </c>
      <c r="Z520" s="777">
        <f>$H$21*$I$8*'Traffic Data'!BB53*annualizationFactor</f>
        <v>22773.779453880004</v>
      </c>
      <c r="AA520" s="777">
        <f>$H$21*$I$8*'Traffic Data'!BC53*annualizationFactor</f>
        <v>23095.625956480002</v>
      </c>
      <c r="AB520" s="777">
        <f>$H$21*$I$8*'Traffic Data'!BD53*annualizationFactor</f>
        <v>23417.524478880005</v>
      </c>
      <c r="AC520" s="777">
        <f>$H$21*$I$8*'Traffic Data'!BE53*annualizationFactor</f>
        <v>23739.370981480006</v>
      </c>
      <c r="AD520" s="777">
        <f>$H$21*$I$8*'Traffic Data'!BF53*annualizationFactor</f>
        <v>24061.217484080007</v>
      </c>
      <c r="AE520" s="777">
        <f>$H$21*$I$8*'Traffic Data'!BG53*annualizationFactor</f>
        <v>24383.116006480006</v>
      </c>
      <c r="AF520" s="777">
        <f>$H$21*$I$8*'Traffic Data'!BH53*annualizationFactor</f>
        <v>24704.962509080011</v>
      </c>
      <c r="AG520" s="777">
        <f>$H$21*$I$8*'Traffic Data'!BI53*annualizationFactor</f>
        <v>25026.809011680009</v>
      </c>
      <c r="AH520" s="778">
        <f>$H$21*$I$8*'Traffic Data'!BJ53*annualizationFactor</f>
        <v>25348.707534080004</v>
      </c>
      <c r="AI520" s="40"/>
      <c r="AJ520" s="40"/>
      <c r="AK520" s="40"/>
      <c r="AL520" s="40"/>
      <c r="AM520" s="40"/>
    </row>
    <row r="521" spans="2:39" ht="21.95" customHeight="1" x14ac:dyDescent="0.2">
      <c r="B521" s="1346"/>
      <c r="C521" s="116" t="s">
        <v>347</v>
      </c>
      <c r="D521" s="116" t="s">
        <v>348</v>
      </c>
      <c r="E521" s="116" t="s">
        <v>19</v>
      </c>
      <c r="F521" s="116" t="s">
        <v>40</v>
      </c>
      <c r="G521" s="970"/>
      <c r="H521" s="970"/>
      <c r="I521" s="777">
        <f>$H$21*$I$8*'Traffic Data'!AK54*annualizationFactor</f>
        <v>10195.880800000001</v>
      </c>
      <c r="J521" s="777">
        <f>$H$21*$I$8*'Traffic Data'!AL54*annualizationFactor</f>
        <v>10421.173351820002</v>
      </c>
      <c r="K521" s="777">
        <f>$H$21*$I$8*'Traffic Data'!AM54*annualizationFactor</f>
        <v>10754.742516349999</v>
      </c>
      <c r="L521" s="777">
        <f>$H$21*$I$8*'Traffic Data'!AN54*annualizationFactor</f>
        <v>11178.071845779999</v>
      </c>
      <c r="M521" s="777">
        <f>$H$21*$I$8*'Traffic Data'!AO54*annualizationFactor</f>
        <v>11601.528623720003</v>
      </c>
      <c r="N521" s="777">
        <f>$H$21*$I$8*'Traffic Data'!AP54*annualizationFactor</f>
        <v>12024.959911958002</v>
      </c>
      <c r="O521" s="777">
        <f>$H$21*$I$8*'Traffic Data'!AQ54*annualizationFactor</f>
        <v>12448.289241388</v>
      </c>
      <c r="P521" s="777">
        <f>$H$21*$I$8*'Traffic Data'!AR54*annualizationFactor</f>
        <v>12871.847978135998</v>
      </c>
      <c r="Q521" s="777">
        <f>$H$21*$I$8*'Traffic Data'!AS54*annualizationFactor</f>
        <v>13248.221635096003</v>
      </c>
      <c r="R521" s="777">
        <f>$H$21*$I$8*'Traffic Data'!AT54*annualizationFactor</f>
        <v>13624.631705916001</v>
      </c>
      <c r="S521" s="777">
        <f>$H$21*$I$8*'Traffic Data'!AU54*annualizationFactor</f>
        <v>14001.005362876</v>
      </c>
      <c r="T521" s="777">
        <f>$H$21*$I$8*'Traffic Data'!AV54*annualizationFactor</f>
        <v>14377.379019836002</v>
      </c>
      <c r="U521" s="777">
        <f>$H$21*$I$8*'Traffic Data'!AW54*annualizationFactor</f>
        <v>14753.927463323998</v>
      </c>
      <c r="V521" s="777">
        <f>$H$21*$I$8*'Traffic Data'!AX54*annualizationFactor</f>
        <v>15040.438996576</v>
      </c>
      <c r="W521" s="777">
        <f>$H$21*$I$8*'Traffic Data'!AY54*annualizationFactor</f>
        <v>15265.731548395999</v>
      </c>
      <c r="X521" s="777">
        <f>$H$21*$I$8*'Traffic Data'!AZ54*annualizationFactor</f>
        <v>15491.024100216002</v>
      </c>
      <c r="Y521" s="777">
        <f>$H$21*$I$8*'Traffic Data'!BA54*annualizationFactor</f>
        <v>15716.316652036005</v>
      </c>
      <c r="Z521" s="777">
        <f>$H$21*$I$8*'Traffic Data'!BB54*annualizationFactor</f>
        <v>15941.645617716003</v>
      </c>
      <c r="AA521" s="777">
        <f>$H$21*$I$8*'Traffic Data'!BC54*annualizationFactor</f>
        <v>16166.938169535997</v>
      </c>
      <c r="AB521" s="777">
        <f>$H$21*$I$8*'Traffic Data'!BD54*annualizationFactor</f>
        <v>16392.267135216</v>
      </c>
      <c r="AC521" s="777">
        <f>$H$21*$I$8*'Traffic Data'!BE54*annualizationFactor</f>
        <v>16617.559687036002</v>
      </c>
      <c r="AD521" s="777">
        <f>$H$21*$I$8*'Traffic Data'!BF54*annualizationFactor</f>
        <v>16842.852238856001</v>
      </c>
      <c r="AE521" s="777">
        <f>$H$21*$I$8*'Traffic Data'!BG54*annualizationFactor</f>
        <v>17068.181204536002</v>
      </c>
      <c r="AF521" s="777">
        <f>$H$21*$I$8*'Traffic Data'!BH54*annualizationFactor</f>
        <v>17293.473756356005</v>
      </c>
      <c r="AG521" s="777">
        <f>$H$21*$I$8*'Traffic Data'!BI54*annualizationFactor</f>
        <v>17518.766308176007</v>
      </c>
      <c r="AH521" s="778">
        <f>$H$21*$I$8*'Traffic Data'!BJ54*annualizationFactor</f>
        <v>17744.095273856004</v>
      </c>
      <c r="AI521" s="40"/>
      <c r="AJ521" s="40"/>
      <c r="AK521" s="40"/>
      <c r="AL521" s="40"/>
      <c r="AM521" s="40"/>
    </row>
    <row r="522" spans="2:39" ht="21.95" customHeight="1" x14ac:dyDescent="0.2">
      <c r="B522" s="1346"/>
      <c r="C522" s="254" t="s">
        <v>348</v>
      </c>
      <c r="D522" s="254" t="s">
        <v>349</v>
      </c>
      <c r="E522" s="254" t="s">
        <v>19</v>
      </c>
      <c r="F522" s="116" t="s">
        <v>40</v>
      </c>
      <c r="G522" s="779"/>
      <c r="H522" s="779"/>
      <c r="I522" s="777">
        <f>$H$21*$I$8*'Traffic Data'!AK55*annualizationFactor</f>
        <v>16646.336000000003</v>
      </c>
      <c r="J522" s="777">
        <f>$H$21*$I$8*'Traffic Data'!AL55*annualizationFactor</f>
        <v>17043.949341300002</v>
      </c>
      <c r="K522" s="777">
        <f>$H$21*$I$8*'Traffic Data'!AM55*annualizationFactor</f>
        <v>17596.269567800002</v>
      </c>
      <c r="L522" s="777">
        <f>$H$21*$I$8*'Traffic Data'!AN55*annualizationFactor</f>
        <v>18329.800767600002</v>
      </c>
      <c r="M522" s="777">
        <f>$H$21*$I$8*'Traffic Data'!AO55*annualizationFactor</f>
        <v>19063.540046600003</v>
      </c>
      <c r="N522" s="777">
        <f>$H$21*$I$8*'Traffic Data'!AP55*annualizationFactor</f>
        <v>19797.331345400002</v>
      </c>
      <c r="O522" s="777">
        <f>$H$21*$I$8*'Traffic Data'!AQ55*annualizationFactor</f>
        <v>20530.862545200001</v>
      </c>
      <c r="P522" s="777">
        <f>$H$21*$I$8*'Traffic Data'!AR55*annualizationFactor</f>
        <v>21264.809903400008</v>
      </c>
      <c r="Q522" s="777">
        <f>$H$21*$I$8*'Traffic Data'!AS55*annualizationFactor</f>
        <v>21965.308530200004</v>
      </c>
      <c r="R522" s="777">
        <f>$H$21*$I$8*'Traffic Data'!AT55*annualizationFactor</f>
        <v>22665.8331669</v>
      </c>
      <c r="S522" s="777">
        <f>$H$21*$I$8*'Traffic Data'!AU55*annualizationFactor</f>
        <v>23366.331793700003</v>
      </c>
      <c r="T522" s="777">
        <f>$H$21*$I$8*'Traffic Data'!AV55*annualizationFactor</f>
        <v>24066.830420500006</v>
      </c>
      <c r="U522" s="777">
        <f>$H$21*$I$8*'Traffic Data'!AW55*annualizationFactor</f>
        <v>24767.745205700005</v>
      </c>
      <c r="V522" s="777">
        <f>$H$21*$I$8*'Traffic Data'!AX55*annualizationFactor</f>
        <v>25286.824780000003</v>
      </c>
      <c r="W522" s="777">
        <f>$H$21*$I$8*'Traffic Data'!AY55*annualizationFactor</f>
        <v>25684.438121300005</v>
      </c>
      <c r="X522" s="777">
        <f>$H$21*$I$8*'Traffic Data'!AZ55*annualizationFactor</f>
        <v>26082.0514626</v>
      </c>
      <c r="Y522" s="777">
        <f>$H$21*$I$8*'Traffic Data'!BA55*annualizationFactor</f>
        <v>26479.664803899999</v>
      </c>
      <c r="Z522" s="777">
        <f>$H$21*$I$8*'Traffic Data'!BB55*annualizationFactor</f>
        <v>26877.3561749</v>
      </c>
      <c r="AA522" s="777">
        <f>$H$21*$I$8*'Traffic Data'!BC55*annualizationFactor</f>
        <v>27274.969516200003</v>
      </c>
      <c r="AB522" s="777">
        <f>$H$21*$I$8*'Traffic Data'!BD55*annualizationFactor</f>
        <v>27672.660887200007</v>
      </c>
      <c r="AC522" s="777">
        <f>$H$21*$I$8*'Traffic Data'!BE55*annualizationFactor</f>
        <v>28070.274228500002</v>
      </c>
      <c r="AD522" s="777">
        <f>$H$21*$I$8*'Traffic Data'!BF55*annualizationFactor</f>
        <v>28467.887569800001</v>
      </c>
      <c r="AE522" s="777">
        <f>$H$21*$I$8*'Traffic Data'!BG55*annualizationFactor</f>
        <v>28865.578940800002</v>
      </c>
      <c r="AF522" s="777">
        <f>$H$21*$I$8*'Traffic Data'!BH55*annualizationFactor</f>
        <v>29263.192282100001</v>
      </c>
      <c r="AG522" s="777">
        <f>$H$21*$I$8*'Traffic Data'!BI55*annualizationFactor</f>
        <v>29660.805623400003</v>
      </c>
      <c r="AH522" s="778">
        <f>$H$21*$I$8*'Traffic Data'!BJ55*annualizationFactor</f>
        <v>30058.4969944</v>
      </c>
      <c r="AI522" s="40"/>
      <c r="AJ522" s="40"/>
      <c r="AK522" s="40"/>
      <c r="AL522" s="40"/>
      <c r="AM522" s="40"/>
    </row>
    <row r="523" spans="2:39" ht="21.95" customHeight="1" x14ac:dyDescent="0.2">
      <c r="B523" s="492" t="s">
        <v>288</v>
      </c>
      <c r="C523" s="116" t="s">
        <v>323</v>
      </c>
      <c r="D523" s="116" t="s">
        <v>348</v>
      </c>
      <c r="E523" s="116" t="s">
        <v>19</v>
      </c>
      <c r="F523" s="220" t="s">
        <v>40</v>
      </c>
      <c r="G523" s="970"/>
      <c r="H523" s="970"/>
      <c r="I523" s="775">
        <f>$H$21*$J$8*'Traffic Data'!AK56*annualizationFactor</f>
        <v>1337.652</v>
      </c>
      <c r="J523" s="775">
        <f>$H$21*$J$8*'Traffic Data'!AL56*annualizationFactor</f>
        <v>1419.9027352000001</v>
      </c>
      <c r="K523" s="775">
        <f>$H$21*$J$8*'Traffic Data'!AM56*annualizationFactor</f>
        <v>1528.7504510000001</v>
      </c>
      <c r="L523" s="775">
        <f>$H$21*$J$8*'Traffic Data'!AN56*annualizationFactor</f>
        <v>1673.4026519999998</v>
      </c>
      <c r="M523" s="775">
        <f>$H$21*$J$8*'Traffic Data'!AO56*annualizationFactor</f>
        <v>1818.0994413999997</v>
      </c>
      <c r="N523" s="775">
        <f>$H$21*$J$8*'Traffic Data'!AP56*annualizationFactor</f>
        <v>1963.1083496000001</v>
      </c>
      <c r="O523" s="775">
        <f>$H$21*$J$8*'Traffic Data'!AQ56*annualizationFactor</f>
        <v>2107.7605505999995</v>
      </c>
      <c r="P523" s="775">
        <f>$H$21*$J$8*'Traffic Data'!AR56*annualizationFactor</f>
        <v>2252.5688110000001</v>
      </c>
      <c r="Q523" s="775">
        <f>$H$21*$J$8*'Traffic Data'!AS56*annualizationFactor</f>
        <v>2384.6099262000002</v>
      </c>
      <c r="R523" s="775">
        <f>$H$21*$J$8*'Traffic Data'!AT56*annualizationFactor</f>
        <v>2516.5395704000002</v>
      </c>
      <c r="S523" s="775">
        <f>$H$21*$J$8*'Traffic Data'!AU56*annualizationFactor</f>
        <v>2648.5881169999998</v>
      </c>
      <c r="T523" s="775">
        <f>$H$21*$J$8*'Traffic Data'!AV56*annualizationFactor</f>
        <v>2780.6292321999999</v>
      </c>
      <c r="U523" s="775">
        <f>$H$21*$J$8*'Traffic Data'!AW56*annualizationFactor</f>
        <v>2913.1385256000003</v>
      </c>
      <c r="V523" s="775">
        <f>$H$21*$J$8*'Traffic Data'!AX56*annualizationFactor</f>
        <v>3009.2711159999999</v>
      </c>
      <c r="W523" s="775">
        <f>$H$21*$J$8*'Traffic Data'!AY56*annualizationFactor</f>
        <v>3091.5218512000001</v>
      </c>
      <c r="X523" s="775">
        <f>$H$21*$J$8*'Traffic Data'!AZ56*annualizationFactor</f>
        <v>3173.7725863999995</v>
      </c>
      <c r="Y523" s="775">
        <f>$H$21*$J$8*'Traffic Data'!BA56*annualizationFactor</f>
        <v>3256.0233215999997</v>
      </c>
      <c r="Z523" s="775">
        <f>$H$21*$J$8*'Traffic Data'!BB56*annualizationFactor</f>
        <v>3338.3632336000001</v>
      </c>
      <c r="AA523" s="775">
        <f>$H$21*$J$8*'Traffic Data'!BC56*annualizationFactor</f>
        <v>3420.6139687999994</v>
      </c>
      <c r="AB523" s="775">
        <f>$H$21*$J$8*'Traffic Data'!BD56*annualizationFactor</f>
        <v>3503.0653517999999</v>
      </c>
      <c r="AC523" s="775">
        <f>$H$21*$J$8*'Traffic Data'!BE56*annualizationFactor</f>
        <v>3585.3160869999992</v>
      </c>
      <c r="AD523" s="775">
        <f>$H$21*$J$8*'Traffic Data'!BF56*annualizationFactor</f>
        <v>3667.5668221999995</v>
      </c>
      <c r="AE523" s="775">
        <f>$H$21*$J$8*'Traffic Data'!BG56*annualizationFactor</f>
        <v>3749.9067341999989</v>
      </c>
      <c r="AF523" s="775">
        <f>$H$21*$J$8*'Traffic Data'!BH56*annualizationFactor</f>
        <v>3832.1574693999996</v>
      </c>
      <c r="AG523" s="775">
        <f>$H$21*$J$8*'Traffic Data'!BI56*annualizationFactor</f>
        <v>3914.4082045999999</v>
      </c>
      <c r="AH523" s="776">
        <f>$H$21*$J$8*'Traffic Data'!BJ56*annualizationFactor</f>
        <v>3996.8595875999995</v>
      </c>
      <c r="AI523" s="40"/>
      <c r="AJ523" s="40"/>
      <c r="AK523" s="40"/>
      <c r="AL523" s="40"/>
      <c r="AM523" s="40"/>
    </row>
    <row r="524" spans="2:39" ht="21.95" customHeight="1" x14ac:dyDescent="0.2">
      <c r="B524" s="782" t="s">
        <v>340</v>
      </c>
      <c r="C524" s="277" t="s">
        <v>335</v>
      </c>
      <c r="D524" s="277" t="s">
        <v>323</v>
      </c>
      <c r="E524" s="277" t="s">
        <v>19</v>
      </c>
      <c r="F524" s="220" t="s">
        <v>40</v>
      </c>
      <c r="G524" s="780"/>
      <c r="H524" s="780"/>
      <c r="I524" s="775">
        <f>$H$21*$K$8*'Traffic Data'!AK57*annualizationFactor</f>
        <v>0</v>
      </c>
      <c r="J524" s="775">
        <f>$H$21*$K$8*'Traffic Data'!AL57*annualizationFactor</f>
        <v>0</v>
      </c>
      <c r="K524" s="775">
        <f>$H$21*$K$8*'Traffic Data'!AM57*annualizationFactor</f>
        <v>0</v>
      </c>
      <c r="L524" s="775">
        <f>$H$21*$K$8*'Traffic Data'!AN57*annualizationFactor</f>
        <v>0</v>
      </c>
      <c r="M524" s="775">
        <f>$H$21*$K$8*'Traffic Data'!AO57*annualizationFactor</f>
        <v>0</v>
      </c>
      <c r="N524" s="775">
        <f>$H$21*$K$8*'Traffic Data'!AP57*annualizationFactor</f>
        <v>0</v>
      </c>
      <c r="O524" s="775">
        <f>$H$21*$K$8*'Traffic Data'!AQ57*annualizationFactor</f>
        <v>0</v>
      </c>
      <c r="P524" s="775">
        <f>$H$21*$K$8*'Traffic Data'!AR57*annualizationFactor</f>
        <v>0</v>
      </c>
      <c r="Q524" s="775">
        <f>$H$21*$K$8*'Traffic Data'!AS57*annualizationFactor</f>
        <v>0</v>
      </c>
      <c r="R524" s="775">
        <f>$H$21*$K$8*'Traffic Data'!AT57*annualizationFactor</f>
        <v>0</v>
      </c>
      <c r="S524" s="775">
        <f>$H$21*$K$8*'Traffic Data'!AU57*annualizationFactor</f>
        <v>0</v>
      </c>
      <c r="T524" s="775">
        <f>$H$21*$K$8*'Traffic Data'!AV57*annualizationFactor</f>
        <v>0</v>
      </c>
      <c r="U524" s="775">
        <f>$H$21*$K$8*'Traffic Data'!AW57*annualizationFactor</f>
        <v>0</v>
      </c>
      <c r="V524" s="775">
        <f>$H$21*$K$8*'Traffic Data'!AX57*annualizationFactor</f>
        <v>0</v>
      </c>
      <c r="W524" s="775">
        <f>$H$21*$K$8*'Traffic Data'!AY57*annualizationFactor</f>
        <v>0</v>
      </c>
      <c r="X524" s="775">
        <f>$H$21*$K$8*'Traffic Data'!AZ57*annualizationFactor</f>
        <v>0</v>
      </c>
      <c r="Y524" s="775">
        <f>$H$21*$K$8*'Traffic Data'!BA57*annualizationFactor</f>
        <v>0</v>
      </c>
      <c r="Z524" s="775">
        <f>$H$21*$K$8*'Traffic Data'!BB57*annualizationFactor</f>
        <v>0</v>
      </c>
      <c r="AA524" s="775">
        <f>$H$21*$K$8*'Traffic Data'!BC57*annualizationFactor</f>
        <v>0</v>
      </c>
      <c r="AB524" s="775">
        <f>$H$21*$K$8*'Traffic Data'!BD57*annualizationFactor</f>
        <v>0</v>
      </c>
      <c r="AC524" s="775">
        <f>$H$21*$K$8*'Traffic Data'!BE57*annualizationFactor</f>
        <v>0</v>
      </c>
      <c r="AD524" s="775">
        <f>$H$21*$K$8*'Traffic Data'!BF57*annualizationFactor</f>
        <v>0</v>
      </c>
      <c r="AE524" s="775">
        <f>$H$21*$K$8*'Traffic Data'!BG57*annualizationFactor</f>
        <v>0</v>
      </c>
      <c r="AF524" s="775">
        <f>$H$21*$K$8*'Traffic Data'!BH57*annualizationFactor</f>
        <v>0</v>
      </c>
      <c r="AG524" s="775">
        <f>$H$21*$K$8*'Traffic Data'!BI57*annualizationFactor</f>
        <v>0</v>
      </c>
      <c r="AH524" s="776">
        <f>$H$21*$K$8*'Traffic Data'!BJ57*annualizationFactor</f>
        <v>0</v>
      </c>
      <c r="AI524" s="40"/>
      <c r="AJ524" s="40"/>
      <c r="AK524" s="40"/>
      <c r="AL524" s="40"/>
      <c r="AM524" s="40"/>
    </row>
    <row r="525" spans="2:39" ht="21.95" customHeight="1" x14ac:dyDescent="0.2">
      <c r="B525" s="782" t="s">
        <v>357</v>
      </c>
      <c r="C525" s="277" t="s">
        <v>338</v>
      </c>
      <c r="D525" s="277" t="s">
        <v>323</v>
      </c>
      <c r="E525" s="116" t="s">
        <v>19</v>
      </c>
      <c r="F525" s="220" t="s">
        <v>40</v>
      </c>
      <c r="G525" s="970"/>
      <c r="H525" s="970"/>
      <c r="I525" s="775">
        <f>$H$21*$L$8*'Traffic Data'!AK58*annualizationFactor</f>
        <v>2480.7364363636366</v>
      </c>
      <c r="J525" s="775">
        <f>$H$21*$L$8*'Traffic Data'!AL58*annualizationFactor</f>
        <v>2514.7983258218183</v>
      </c>
      <c r="K525" s="775">
        <f>$H$21*$L$8*'Traffic Data'!AM58*annualizationFactor</f>
        <v>2573.6744705781816</v>
      </c>
      <c r="L525" s="775">
        <f>$H$21*$L$8*'Traffic Data'!AN58*annualizationFactor</f>
        <v>2654.5051327963643</v>
      </c>
      <c r="M525" s="775">
        <f>$H$21*$L$8*'Traffic Data'!AO58*annualizationFactor</f>
        <v>2735.3702496872729</v>
      </c>
      <c r="N525" s="775">
        <f>$H$21*$L$8*'Traffic Data'!AP58*annualizationFactor</f>
        <v>2816.3525124654543</v>
      </c>
      <c r="O525" s="775">
        <f>$H$21*$L$8*'Traffic Data'!AQ58*annualizationFactor</f>
        <v>2897.1831746836369</v>
      </c>
      <c r="P525" s="775">
        <f>$H$21*$L$8*'Traffic Data'!AR58*annualizationFactor</f>
        <v>2978.2963652181816</v>
      </c>
      <c r="Q525" s="775">
        <f>$H$21*$L$8*'Traffic Data'!AS58*annualizationFactor</f>
        <v>3034.5470639127275</v>
      </c>
      <c r="R525" s="775">
        <f>$H$21*$L$8*'Traffic Data'!AT58*annualizationFactor</f>
        <v>3090.804653541818</v>
      </c>
      <c r="S525" s="775">
        <f>$H$21*$L$8*'Traffic Data'!AU58*annualizationFactor</f>
        <v>3147.0691341054544</v>
      </c>
      <c r="T525" s="775">
        <f>$H$21*$L$8*'Traffic Data'!AV58*annualizationFactor</f>
        <v>3203.3198328000003</v>
      </c>
      <c r="U525" s="775">
        <f>$H$21*$L$8*'Traffic Data'!AW58*annualizationFactor</f>
        <v>3259.9702056981814</v>
      </c>
      <c r="V525" s="775">
        <f>$H$21*$L$8*'Traffic Data'!AX58*annualizationFactor</f>
        <v>3294.0320951563635</v>
      </c>
      <c r="W525" s="775">
        <f>$H$21*$L$8*'Traffic Data'!AY58*annualizationFactor</f>
        <v>3328.0939846145448</v>
      </c>
      <c r="X525" s="775">
        <f>$H$21*$L$8*'Traffic Data'!AZ58*annualizationFactor</f>
        <v>3362.1558740727273</v>
      </c>
      <c r="Y525" s="775">
        <f>$H$21*$L$8*'Traffic Data'!BA58*annualizationFactor</f>
        <v>3396.2177635309081</v>
      </c>
      <c r="Z525" s="775">
        <f>$H$21*$L$8*'Traffic Data'!BB58*annualizationFactor</f>
        <v>3430.513944763637</v>
      </c>
      <c r="AA525" s="775">
        <f>$H$21*$L$8*'Traffic Data'!BC58*annualizationFactor</f>
        <v>3464.5758342218182</v>
      </c>
      <c r="AB525" s="775">
        <f>$H$21*$L$8*'Traffic Data'!BD58*annualizationFactor</f>
        <v>3498.7686514363641</v>
      </c>
      <c r="AC525" s="775">
        <f>$H$21*$L$8*'Traffic Data'!BE58*annualizationFactor</f>
        <v>3532.8305408945448</v>
      </c>
      <c r="AD525" s="775">
        <f>$H$21*$L$8*'Traffic Data'!BF58*annualizationFactor</f>
        <v>3566.8924303527278</v>
      </c>
      <c r="AE525" s="775">
        <f>$H$21*$L$8*'Traffic Data'!BG58*annualizationFactor</f>
        <v>3601.188611585455</v>
      </c>
      <c r="AF525" s="775">
        <f>$H$21*$L$8*'Traffic Data'!BH58*annualizationFactor</f>
        <v>3635.2505010436371</v>
      </c>
      <c r="AG525" s="775">
        <f>$H$21*$L$8*'Traffic Data'!BI58*annualizationFactor</f>
        <v>3669.3123905018183</v>
      </c>
      <c r="AH525" s="776">
        <f>$H$21*$L$8*'Traffic Data'!BJ58*annualizationFactor</f>
        <v>3703.5052077163637</v>
      </c>
      <c r="AI525" s="40"/>
      <c r="AJ525" s="40"/>
      <c r="AK525" s="40"/>
      <c r="AL525" s="40"/>
      <c r="AM525" s="40"/>
    </row>
    <row r="526" spans="2:39" ht="21.95" customHeight="1" x14ac:dyDescent="0.2">
      <c r="B526" s="492" t="s">
        <v>338</v>
      </c>
      <c r="C526" s="116" t="s">
        <v>282</v>
      </c>
      <c r="D526" s="116" t="s">
        <v>357</v>
      </c>
      <c r="E526" s="220" t="s">
        <v>19</v>
      </c>
      <c r="F526" s="220" t="s">
        <v>40</v>
      </c>
      <c r="G526" s="775"/>
      <c r="H526" s="775"/>
      <c r="I526" s="775">
        <f>$H$21*$M$8*'Traffic Data'!AK59*annualizationFactor</f>
        <v>8909.2352272727276</v>
      </c>
      <c r="J526" s="775">
        <f>$H$21*$M$8*'Traffic Data'!AL59*annualizationFactor</f>
        <v>9166.0617511693217</v>
      </c>
      <c r="K526" s="775">
        <f>$H$21*$M$8*'Traffic Data'!AM59*annualizationFactor</f>
        <v>9444.0477087306826</v>
      </c>
      <c r="L526" s="775">
        <f>$H$21*$M$8*'Traffic Data'!AN59*annualizationFactor</f>
        <v>9812.8455009636364</v>
      </c>
      <c r="M526" s="775">
        <f>$H$21*$M$8*'Traffic Data'!AO59*annualizationFactor</f>
        <v>10181.705657843182</v>
      </c>
      <c r="N526" s="775">
        <f>$H$21*$M$8*'Traffic Data'!AP59*annualizationFactor</f>
        <v>10550.717271721591</v>
      </c>
      <c r="O526" s="775">
        <f>$H$21*$M$8*'Traffic Data'!AQ59*annualizationFactor</f>
        <v>10919.515063954548</v>
      </c>
      <c r="P526" s="775">
        <f>$H$21*$M$8*'Traffic Data'!AR59*annualizationFactor</f>
        <v>11288.410857775003</v>
      </c>
      <c r="Q526" s="775">
        <f>$H$21*$M$8*'Traffic Data'!AS59*annualizationFactor</f>
        <v>11694.333433200001</v>
      </c>
      <c r="R526" s="775">
        <f>$H$21*$M$8*'Traffic Data'!AT59*annualizationFactor</f>
        <v>12100.122370096593</v>
      </c>
      <c r="S526" s="775">
        <f>$H$21*$M$8*'Traffic Data'!AU59*annualizationFactor</f>
        <v>12506.044945521593</v>
      </c>
      <c r="T526" s="775">
        <f>$H$21*$M$8*'Traffic Data'!AV59*annualizationFactor</f>
        <v>12911.967520946593</v>
      </c>
      <c r="U526" s="775">
        <f>$H$21*$M$8*'Traffic Data'!AW59*annualizationFactor</f>
        <v>13318.121736487503</v>
      </c>
      <c r="V526" s="775">
        <f>$H$21*$M$8*'Traffic Data'!AX59*annualizationFactor</f>
        <v>13633.196840299999</v>
      </c>
      <c r="W526" s="775">
        <f>$H$21*$M$8*'Traffic Data'!AY59*annualizationFactor</f>
        <v>13890.023364196592</v>
      </c>
      <c r="X526" s="775">
        <f>$H$21*$M$8*'Traffic Data'!AZ59*annualizationFactor</f>
        <v>14146.849888093184</v>
      </c>
      <c r="Y526" s="775">
        <f>$H$21*$M$8*'Traffic Data'!BA59*annualizationFactor</f>
        <v>14403.676411989774</v>
      </c>
      <c r="Z526" s="775">
        <f>$H$21*$M$8*'Traffic Data'!BB59*annualizationFactor</f>
        <v>14660.476208180684</v>
      </c>
      <c r="AA526" s="775">
        <f>$H$21*$M$8*'Traffic Data'!BC59*annualizationFactor</f>
        <v>14917.302732077271</v>
      </c>
      <c r="AB526" s="775">
        <f>$H$21*$M$8*'Traffic Data'!BD59*annualizationFactor</f>
        <v>15174.102528268177</v>
      </c>
      <c r="AC526" s="775">
        <f>$H$21*$M$8*'Traffic Data'!BE59*annualizationFactor</f>
        <v>15430.929052164778</v>
      </c>
      <c r="AD526" s="775">
        <f>$H$21*$M$8*'Traffic Data'!BF59*annualizationFactor</f>
        <v>15687.755576061367</v>
      </c>
      <c r="AE526" s="775">
        <f>$H$21*$M$8*'Traffic Data'!BG59*annualizationFactor</f>
        <v>15944.555372252275</v>
      </c>
      <c r="AF526" s="775">
        <f>$H$21*$M$8*'Traffic Data'!BH59*annualizationFactor</f>
        <v>16201.381896148867</v>
      </c>
      <c r="AG526" s="775">
        <f>$H$21*$M$8*'Traffic Data'!BI59*annualizationFactor</f>
        <v>16458.208420045456</v>
      </c>
      <c r="AH526" s="776">
        <f>$H$21*$M$8*'Traffic Data'!BJ59*annualizationFactor</f>
        <v>16715.008216236369</v>
      </c>
      <c r="AI526" s="40"/>
      <c r="AJ526" s="40"/>
      <c r="AK526" s="40"/>
      <c r="AL526" s="40"/>
      <c r="AM526" s="40"/>
    </row>
    <row r="527" spans="2:39" ht="21.95" customHeight="1" x14ac:dyDescent="0.2">
      <c r="B527" s="492"/>
      <c r="C527" s="116" t="s">
        <v>357</v>
      </c>
      <c r="D527" s="116" t="s">
        <v>346</v>
      </c>
      <c r="E527" s="116" t="s">
        <v>19</v>
      </c>
      <c r="F527" s="116" t="s">
        <v>40</v>
      </c>
      <c r="G527" s="970"/>
      <c r="H527" s="970"/>
      <c r="I527" s="777">
        <f>$H$21*$M$8*'Traffic Data'!AK60*annualizationFactor</f>
        <v>1297.5111803030304</v>
      </c>
      <c r="J527" s="777">
        <f>$H$21*$M$8*'Traffic Data'!AL60*annualizationFactor</f>
        <v>1334.3365963018939</v>
      </c>
      <c r="K527" s="777">
        <f>$H$21*$M$8*'Traffic Data'!AM60*annualizationFactor</f>
        <v>1375.2030767267802</v>
      </c>
      <c r="L527" s="777">
        <f>$H$21*$M$8*'Traffic Data'!AN60*annualizationFactor</f>
        <v>1432.5633144054923</v>
      </c>
      <c r="M527" s="777">
        <f>$H$21*$M$8*'Traffic Data'!AO60*annualizationFactor</f>
        <v>1489.9337955935227</v>
      </c>
      <c r="N527" s="777">
        <f>$H$21*$M$8*'Traffic Data'!AP60*annualizationFactor</f>
        <v>1547.3162275424238</v>
      </c>
      <c r="O527" s="777">
        <f>$H$21*$M$8*'Traffic Data'!AQ60*annualizationFactor</f>
        <v>1604.6764652211366</v>
      </c>
      <c r="P527" s="777">
        <f>$H$21*$M$8*'Traffic Data'!AR60*annualizationFactor</f>
        <v>1662.0401174029544</v>
      </c>
      <c r="Q527" s="777">
        <f>$H$21*$M$8*'Traffic Data'!AS60*annualizationFactor</f>
        <v>1726.5144723031444</v>
      </c>
      <c r="R527" s="777">
        <f>$H$21*$M$8*'Traffic Data'!AT60*annualizationFactor</f>
        <v>1790.9666329331437</v>
      </c>
      <c r="S527" s="777">
        <f>$H$21*$M$8*'Traffic Data'!AU60*annualizationFactor</f>
        <v>1855.4409878333331</v>
      </c>
      <c r="T527" s="777">
        <f>$H$21*$M$8*'Traffic Data'!AV60*annualizationFactor</f>
        <v>1919.9153427335223</v>
      </c>
      <c r="U527" s="777">
        <f>$H$21*$M$8*'Traffic Data'!AW60*annualizationFactor</f>
        <v>1984.3999411430304</v>
      </c>
      <c r="V527" s="777">
        <f>$H$21*$M$8*'Traffic Data'!AX60*annualizationFactor</f>
        <v>2032.387367795606</v>
      </c>
      <c r="W527" s="777">
        <f>$H$21*$M$8*'Traffic Data'!AY60*annualizationFactor</f>
        <v>2069.2127837944695</v>
      </c>
      <c r="X527" s="777">
        <f>$H$21*$M$8*'Traffic Data'!AZ60*annualizationFactor</f>
        <v>2106.0381997933337</v>
      </c>
      <c r="Y527" s="777">
        <f>$H$21*$M$8*'Traffic Data'!BA60*annualizationFactor</f>
        <v>2142.8636157921969</v>
      </c>
      <c r="Z527" s="777">
        <f>$H$21*$M$8*'Traffic Data'!BB60*annualizationFactor</f>
        <v>2179.6702520239769</v>
      </c>
      <c r="AA527" s="777">
        <f>$H$21*$M$8*'Traffic Data'!BC60*annualizationFactor</f>
        <v>2216.4956680228411</v>
      </c>
      <c r="AB527" s="777">
        <f>$H$21*$M$8*'Traffic Data'!BD60*annualizationFactor</f>
        <v>2253.302304254621</v>
      </c>
      <c r="AC527" s="777">
        <f>$H$21*$M$8*'Traffic Data'!BE60*annualizationFactor</f>
        <v>2290.1277202534848</v>
      </c>
      <c r="AD527" s="777">
        <f>$H$21*$M$8*'Traffic Data'!BF60*annualizationFactor</f>
        <v>2326.9531362523485</v>
      </c>
      <c r="AE527" s="777">
        <f>$H$21*$M$8*'Traffic Data'!BG60*annualizationFactor</f>
        <v>2363.7597724841285</v>
      </c>
      <c r="AF527" s="777">
        <f>$H$21*$M$8*'Traffic Data'!BH60*annualizationFactor</f>
        <v>2400.5851884829922</v>
      </c>
      <c r="AG527" s="777">
        <f>$H$21*$M$8*'Traffic Data'!BI60*annualizationFactor</f>
        <v>2437.4106044818559</v>
      </c>
      <c r="AH527" s="778">
        <f>$H$21*$M$8*'Traffic Data'!BJ60*annualizationFactor</f>
        <v>2474.2172407136359</v>
      </c>
      <c r="AI527" s="40"/>
      <c r="AJ527" s="40"/>
      <c r="AK527" s="40"/>
      <c r="AL527" s="40"/>
      <c r="AM527" s="40"/>
    </row>
    <row r="528" spans="2:39" ht="21.95" customHeight="1" x14ac:dyDescent="0.2">
      <c r="B528" s="492"/>
      <c r="C528" s="116" t="s">
        <v>346</v>
      </c>
      <c r="D528" s="116" t="s">
        <v>343</v>
      </c>
      <c r="E528" s="116" t="s">
        <v>19</v>
      </c>
      <c r="F528" s="116" t="s">
        <v>40</v>
      </c>
      <c r="G528" s="970"/>
      <c r="H528" s="970"/>
      <c r="I528" s="777">
        <f>$H$21*$M$8*'Traffic Data'!AK61*annualizationFactor</f>
        <v>320.90136363636361</v>
      </c>
      <c r="J528" s="777">
        <f>$H$21*$M$8*'Traffic Data'!AL61*annualizationFactor</f>
        <v>330.00905102272731</v>
      </c>
      <c r="K528" s="777">
        <f>$H$21*$M$8*'Traffic Data'!AM61*annualizationFactor</f>
        <v>340.11617726136365</v>
      </c>
      <c r="L528" s="777">
        <f>$H$21*$M$8*'Traffic Data'!AN61*annualizationFactor</f>
        <v>354.30255096590906</v>
      </c>
      <c r="M528" s="777">
        <f>$H$21*$M$8*'Traffic Data'!AO61*annualizationFactor</f>
        <v>368.4914581022727</v>
      </c>
      <c r="N528" s="777">
        <f>$H$21*$M$8*'Traffic Data'!AP61*annualizationFactor</f>
        <v>382.68332090909092</v>
      </c>
      <c r="O528" s="777">
        <f>$H$21*$M$8*'Traffic Data'!AQ61*annualizationFactor</f>
        <v>396.8696946136364</v>
      </c>
      <c r="P528" s="777">
        <f>$H$21*$M$8*'Traffic Data'!AR61*annualizationFactor</f>
        <v>411.05691279545459</v>
      </c>
      <c r="Q528" s="777">
        <f>$H$21*$M$8*'Traffic Data'!AS61*annualizationFactor</f>
        <v>427.0027548977273</v>
      </c>
      <c r="R528" s="777">
        <f>$H$21*$M$8*'Traffic Data'!AT61*annualizationFactor</f>
        <v>442.94310789772715</v>
      </c>
      <c r="S528" s="777">
        <f>$H$21*$M$8*'Traffic Data'!AU61*annualizationFactor</f>
        <v>458.88894999999997</v>
      </c>
      <c r="T528" s="777">
        <f>$H$21*$M$8*'Traffic Data'!AV61*annualizationFactor</f>
        <v>474.83479210227267</v>
      </c>
      <c r="U528" s="777">
        <f>$H$21*$M$8*'Traffic Data'!AW61*annualizationFactor</f>
        <v>490.7831676363636</v>
      </c>
      <c r="V528" s="777">
        <f>$H$21*$M$8*'Traffic Data'!AX61*annualizationFactor</f>
        <v>502.65145122727262</v>
      </c>
      <c r="W528" s="777">
        <f>$H$21*$M$8*'Traffic Data'!AY61*annualizationFactor</f>
        <v>511.75913861363631</v>
      </c>
      <c r="X528" s="777">
        <f>$H$21*$M$8*'Traffic Data'!AZ61*annualizationFactor</f>
        <v>520.86682600000006</v>
      </c>
      <c r="Y528" s="777">
        <f>$H$21*$M$8*'Traffic Data'!BA61*annualizationFactor</f>
        <v>529.97451338636358</v>
      </c>
      <c r="Z528" s="777">
        <f>$H$21*$M$8*'Traffic Data'!BB61*annualizationFactor</f>
        <v>539.07755614772714</v>
      </c>
      <c r="AA528" s="777">
        <f>$H$21*$M$8*'Traffic Data'!BC61*annualizationFactor</f>
        <v>548.18524353409077</v>
      </c>
      <c r="AB528" s="777">
        <f>$H$21*$M$8*'Traffic Data'!BD61*annualizationFactor</f>
        <v>557.28828629545455</v>
      </c>
      <c r="AC528" s="777">
        <f>$H$21*$M$8*'Traffic Data'!BE61*annualizationFactor</f>
        <v>566.39597368181819</v>
      </c>
      <c r="AD528" s="777">
        <f>$H$21*$M$8*'Traffic Data'!BF61*annualizationFactor</f>
        <v>575.50366106818183</v>
      </c>
      <c r="AE528" s="777">
        <f>$H$21*$M$8*'Traffic Data'!BG61*annualizationFactor</f>
        <v>584.60670382954538</v>
      </c>
      <c r="AF528" s="777">
        <f>$H$21*$M$8*'Traffic Data'!BH61*annualizationFactor</f>
        <v>593.71439121590902</v>
      </c>
      <c r="AG528" s="777">
        <f>$H$21*$M$8*'Traffic Data'!BI61*annualizationFactor</f>
        <v>602.82207860227254</v>
      </c>
      <c r="AH528" s="778">
        <f>$H$21*$M$8*'Traffic Data'!BJ61*annualizationFactor</f>
        <v>611.92512136363632</v>
      </c>
      <c r="AI528" s="40"/>
      <c r="AJ528" s="40"/>
      <c r="AK528" s="40"/>
      <c r="AL528" s="40"/>
      <c r="AM528" s="40"/>
    </row>
    <row r="529" spans="2:39" ht="21.95" customHeight="1" x14ac:dyDescent="0.2">
      <c r="B529" s="492"/>
      <c r="C529" s="116" t="s">
        <v>343</v>
      </c>
      <c r="D529" s="116" t="s">
        <v>350</v>
      </c>
      <c r="E529" s="116" t="s">
        <v>19</v>
      </c>
      <c r="F529" s="116" t="s">
        <v>40</v>
      </c>
      <c r="G529" s="970"/>
      <c r="H529" s="970"/>
      <c r="I529" s="777">
        <f>$H$21*$M$8*'Traffic Data'!AK62*annualizationFactor</f>
        <v>823.36534090909095</v>
      </c>
      <c r="J529" s="777">
        <f>$H$21*$M$8*'Traffic Data'!AL62*annualizationFactor</f>
        <v>846.71323742613629</v>
      </c>
      <c r="K529" s="777">
        <f>$H$21*$M$8*'Traffic Data'!AM62*annualizationFactor</f>
        <v>873.31754386647731</v>
      </c>
      <c r="L529" s="777">
        <f>$H$21*$M$8*'Traffic Data'!AN62*annualizationFactor</f>
        <v>907.31155424147732</v>
      </c>
      <c r="M529" s="777">
        <f>$H$21*$M$8*'Traffic Data'!AO62*annualizationFactor</f>
        <v>941.31654282102272</v>
      </c>
      <c r="N529" s="777">
        <f>$H$21*$M$8*'Traffic Data'!AP62*annualizationFactor</f>
        <v>975.31604229829577</v>
      </c>
      <c r="O529" s="777">
        <f>$H$21*$M$8*'Traffic Data'!AQ62*annualizationFactor</f>
        <v>1009.3100526732957</v>
      </c>
      <c r="P529" s="777">
        <f>$H$21*$M$8*'Traffic Data'!AR62*annualizationFactor</f>
        <v>1043.3109244261366</v>
      </c>
      <c r="Q529" s="777">
        <f>$H$21*$M$8*'Traffic Data'!AS62*annualizationFactor</f>
        <v>1081.7401294374999</v>
      </c>
      <c r="R529" s="777">
        <f>$H$21*$M$8*'Traffic Data'!AT62*annualizationFactor</f>
        <v>1120.1679621732956</v>
      </c>
      <c r="S529" s="777">
        <f>$H$21*$M$8*'Traffic Data'!AU62*annualizationFactor</f>
        <v>1158.5916780823866</v>
      </c>
      <c r="T529" s="777">
        <f>$H$21*$M$8*'Traffic Data'!AV62*annualizationFactor</f>
        <v>1197.0208830937502</v>
      </c>
      <c r="U529" s="777">
        <f>$H$21*$M$8*'Traffic Data'!AW62*annualizationFactor</f>
        <v>1235.4569494829545</v>
      </c>
      <c r="V529" s="777">
        <f>$H$21*$M$8*'Traffic Data'!AX62*annualizationFactor</f>
        <v>1266.4950782840911</v>
      </c>
      <c r="W529" s="777">
        <f>$H$21*$M$8*'Traffic Data'!AY62*annualizationFactor</f>
        <v>1289.8429748011367</v>
      </c>
      <c r="X529" s="777">
        <f>$H$21*$M$8*'Traffic Data'!AZ62*annualizationFactor</f>
        <v>1313.1908713181822</v>
      </c>
      <c r="Y529" s="777">
        <f>$H$21*$M$8*'Traffic Data'!BA62*annualizationFactor</f>
        <v>1336.5387678352274</v>
      </c>
      <c r="Z529" s="777">
        <f>$H$21*$M$8*'Traffic Data'!BB62*annualizationFactor</f>
        <v>1359.8798029744321</v>
      </c>
      <c r="AA529" s="777">
        <f>$H$21*$M$8*'Traffic Data'!BC62*annualizationFactor</f>
        <v>1383.2276994914771</v>
      </c>
      <c r="AB529" s="777">
        <f>$H$21*$M$8*'Traffic Data'!BD62*annualizationFactor</f>
        <v>1406.5687346306815</v>
      </c>
      <c r="AC529" s="777">
        <f>$H$21*$M$8*'Traffic Data'!BE62*annualizationFactor</f>
        <v>1429.916631147727</v>
      </c>
      <c r="AD529" s="777">
        <f>$H$21*$M$8*'Traffic Data'!BF62*annualizationFactor</f>
        <v>1453.2645276647727</v>
      </c>
      <c r="AE529" s="777">
        <f>$H$21*$M$8*'Traffic Data'!BG62*annualizationFactor</f>
        <v>1476.6055628039769</v>
      </c>
      <c r="AF529" s="777">
        <f>$H$21*$M$8*'Traffic Data'!BH62*annualizationFactor</f>
        <v>1499.9534593210226</v>
      </c>
      <c r="AG529" s="777">
        <f>$H$21*$M$8*'Traffic Data'!BI62*annualizationFactor</f>
        <v>1523.3013558380678</v>
      </c>
      <c r="AH529" s="778">
        <f>$H$21*$M$8*'Traffic Data'!BJ62*annualizationFactor</f>
        <v>1546.6423909772725</v>
      </c>
      <c r="AI529" s="40"/>
      <c r="AJ529" s="40"/>
      <c r="AK529" s="40"/>
      <c r="AL529" s="40"/>
      <c r="AM529" s="40"/>
    </row>
    <row r="530" spans="2:39" ht="21.95" customHeight="1" x14ac:dyDescent="0.2">
      <c r="B530" s="492"/>
      <c r="C530" s="116" t="s">
        <v>350</v>
      </c>
      <c r="D530" s="116" t="s">
        <v>280</v>
      </c>
      <c r="E530" s="116" t="s">
        <v>19</v>
      </c>
      <c r="F530" s="116" t="s">
        <v>40</v>
      </c>
      <c r="G530" s="970"/>
      <c r="H530" s="970"/>
      <c r="I530" s="777">
        <f>$H$21*$M$8*'Traffic Data'!AK63*annualizationFactor</f>
        <v>6836.0435227272728</v>
      </c>
      <c r="J530" s="777">
        <f>$H$21*$M$8*'Traffic Data'!AL63*annualizationFactor</f>
        <v>7029.8909302200773</v>
      </c>
      <c r="K530" s="777">
        <f>$H$21*$M$8*'Traffic Data'!AM63*annualizationFactor</f>
        <v>7250.7748898452655</v>
      </c>
      <c r="L530" s="777">
        <f>$H$21*$M$8*'Traffic Data'!AN63*annualizationFactor</f>
        <v>7533.0123400869325</v>
      </c>
      <c r="M530" s="777">
        <f>$H$21*$M$8*'Traffic Data'!AO63*annualizationFactor</f>
        <v>7815.3409375755691</v>
      </c>
      <c r="N530" s="777">
        <f>$H$21*$M$8*'Traffic Data'!AP63*annualizationFactor</f>
        <v>8097.6239614407241</v>
      </c>
      <c r="O530" s="777">
        <f>$H$21*$M$8*'Traffic Data'!AQ63*annualizationFactor</f>
        <v>8379.8614116823883</v>
      </c>
      <c r="P530" s="777">
        <f>$H$21*$M$8*'Traffic Data'!AR63*annualizationFactor</f>
        <v>8662.1558289534114</v>
      </c>
      <c r="Q530" s="777">
        <f>$H$21*$M$8*'Traffic Data'!AS63*annualizationFactor</f>
        <v>8981.2167669708324</v>
      </c>
      <c r="R530" s="777">
        <f>$H$21*$M$8*'Traffic Data'!AT63*annualizationFactor</f>
        <v>9300.2663115823889</v>
      </c>
      <c r="S530" s="777">
        <f>$H$21*$M$8*'Traffic Data'!AU63*annualizationFactor</f>
        <v>9619.2816759763264</v>
      </c>
      <c r="T530" s="777">
        <f>$H$21*$M$8*'Traffic Data'!AV63*annualizationFactor</f>
        <v>9938.3426139937528</v>
      </c>
      <c r="U530" s="777">
        <f>$H$21*$M$8*'Traffic Data'!AW63*annualizationFactor</f>
        <v>10257.460519040531</v>
      </c>
      <c r="V530" s="777">
        <f>$H$21*$M$8*'Traffic Data'!AX63*annualizationFactor</f>
        <v>10515.156573035607</v>
      </c>
      <c r="W530" s="777">
        <f>$H$21*$M$8*'Traffic Data'!AY63*annualizationFactor</f>
        <v>10709.00398052841</v>
      </c>
      <c r="X530" s="777">
        <f>$H$21*$M$8*'Traffic Data'!AZ63*annualizationFactor</f>
        <v>10902.851388021214</v>
      </c>
      <c r="Y530" s="777">
        <f>$H$21*$M$8*'Traffic Data'!BA63*annualizationFactor</f>
        <v>11096.698795514018</v>
      </c>
      <c r="Z530" s="777">
        <f>$H$21*$M$8*'Traffic Data'!BB63*annualizationFactor</f>
        <v>11290.489235977466</v>
      </c>
      <c r="AA530" s="777">
        <f>$H$21*$M$8*'Traffic Data'!BC63*annualizationFactor</f>
        <v>11484.336643470264</v>
      </c>
      <c r="AB530" s="777">
        <f>$H$21*$M$8*'Traffic Data'!BD63*annualizationFactor</f>
        <v>11678.12708393371</v>
      </c>
      <c r="AC530" s="777">
        <f>$H$21*$M$8*'Traffic Data'!BE63*annualizationFactor</f>
        <v>11871.974491426514</v>
      </c>
      <c r="AD530" s="777">
        <f>$H$21*$M$8*'Traffic Data'!BF63*annualizationFactor</f>
        <v>12065.821898919317</v>
      </c>
      <c r="AE530" s="777">
        <f>$H$21*$M$8*'Traffic Data'!BG63*annualizationFactor</f>
        <v>12259.612339382762</v>
      </c>
      <c r="AF530" s="777">
        <f>$H$21*$M$8*'Traffic Data'!BH63*annualizationFactor</f>
        <v>12453.459746875569</v>
      </c>
      <c r="AG530" s="777">
        <f>$H$21*$M$8*'Traffic Data'!BI63*annualizationFactor</f>
        <v>12647.307154368367</v>
      </c>
      <c r="AH530" s="778">
        <f>$H$21*$M$8*'Traffic Data'!BJ63*annualizationFactor</f>
        <v>12841.097594831817</v>
      </c>
      <c r="AI530" s="40"/>
      <c r="AJ530" s="40"/>
      <c r="AK530" s="40"/>
      <c r="AL530" s="40"/>
      <c r="AM530" s="40"/>
    </row>
    <row r="531" spans="2:39" ht="21.95" customHeight="1" x14ac:dyDescent="0.2">
      <c r="B531" s="493"/>
      <c r="C531" s="254" t="s">
        <v>280</v>
      </c>
      <c r="D531" s="254" t="s">
        <v>333</v>
      </c>
      <c r="E531" s="254" t="s">
        <v>19</v>
      </c>
      <c r="F531" s="254" t="s">
        <v>40</v>
      </c>
      <c r="G531" s="779"/>
      <c r="H531" s="779"/>
      <c r="I531" s="779">
        <f>$H$21*$M$8*'Traffic Data'!AK64*annualizationFactor</f>
        <v>168.89545454545456</v>
      </c>
      <c r="J531" s="779">
        <f>$H$21*$M$8*'Traffic Data'!AL64*annualizationFactor</f>
        <v>173.68476665151519</v>
      </c>
      <c r="K531" s="779">
        <f>$H$21*$M$8*'Traffic Data'!AM64*annualizationFactor</f>
        <v>179.14206028030301</v>
      </c>
      <c r="L531" s="779">
        <f>$H$21*$M$8*'Traffic Data'!AN64*annualizationFactor</f>
        <v>186.1151906136364</v>
      </c>
      <c r="M531" s="779">
        <f>$H$21*$M$8*'Traffic Data'!AO64*annualizationFactor</f>
        <v>193.09057288636365</v>
      </c>
      <c r="N531" s="779">
        <f>$H$21*$M$8*'Traffic Data'!AP64*annualizationFactor</f>
        <v>200.064829189394</v>
      </c>
      <c r="O531" s="779">
        <f>$H$21*$M$8*'Traffic Data'!AQ64*annualizationFactor</f>
        <v>207.03795952272733</v>
      </c>
      <c r="P531" s="779">
        <f>$H$21*$M$8*'Traffic Data'!AR64*annualizationFactor</f>
        <v>214.01249731818186</v>
      </c>
      <c r="Q531" s="779">
        <f>$H$21*$M$8*'Traffic Data'!AS64*annualizationFactor</f>
        <v>221.89541116666669</v>
      </c>
      <c r="R531" s="779">
        <f>$H$21*$M$8*'Traffic Data'!AT64*annualizationFactor</f>
        <v>229.7780435227273</v>
      </c>
      <c r="S531" s="779">
        <f>$H$21*$M$8*'Traffic Data'!AU64*annualizationFactor</f>
        <v>237.65983140151513</v>
      </c>
      <c r="T531" s="779">
        <f>$H$21*$M$8*'Traffic Data'!AV64*annualizationFactor</f>
        <v>245.54274525000008</v>
      </c>
      <c r="U531" s="779">
        <f>$H$21*$M$8*'Traffic Data'!AW64*annualizationFactor</f>
        <v>253.42706656060608</v>
      </c>
      <c r="V531" s="779">
        <f>$H$21*$M$8*'Traffic Data'!AX64*annualizationFactor</f>
        <v>259.79386221212127</v>
      </c>
      <c r="W531" s="779">
        <f>$H$21*$M$8*'Traffic Data'!AY64*annualizationFactor</f>
        <v>264.58317431818188</v>
      </c>
      <c r="X531" s="779">
        <f>$H$21*$M$8*'Traffic Data'!AZ64*annualizationFactor</f>
        <v>269.37248642424254</v>
      </c>
      <c r="Y531" s="779">
        <f>$H$21*$M$8*'Traffic Data'!BA64*annualizationFactor</f>
        <v>274.16179853030309</v>
      </c>
      <c r="Z531" s="779">
        <f>$H$21*$M$8*'Traffic Data'!BB64*annualizationFactor</f>
        <v>278.94970317424247</v>
      </c>
      <c r="AA531" s="779">
        <f>$H$21*$M$8*'Traffic Data'!BC64*annualizationFactor</f>
        <v>283.73901528030297</v>
      </c>
      <c r="AB531" s="779">
        <f>$H$21*$M$8*'Traffic Data'!BD64*annualizationFactor</f>
        <v>288.52691992424235</v>
      </c>
      <c r="AC531" s="779">
        <f>$H$21*$M$8*'Traffic Data'!BE64*annualizationFactor</f>
        <v>293.31623203030296</v>
      </c>
      <c r="AD531" s="779">
        <f>$H$21*$M$8*'Traffic Data'!BF64*annualizationFactor</f>
        <v>298.10554413636362</v>
      </c>
      <c r="AE531" s="779">
        <f>$H$21*$M$8*'Traffic Data'!BG64*annualizationFactor</f>
        <v>302.893448780303</v>
      </c>
      <c r="AF531" s="779">
        <f>$H$21*$M$8*'Traffic Data'!BH64*annualizationFactor</f>
        <v>307.68276088636367</v>
      </c>
      <c r="AG531" s="779">
        <f>$H$21*$M$8*'Traffic Data'!BI64*annualizationFactor</f>
        <v>312.47207299242416</v>
      </c>
      <c r="AH531" s="783">
        <f>$H$21*$M$8*'Traffic Data'!BJ64*annualizationFactor</f>
        <v>317.2599776363636</v>
      </c>
      <c r="AI531" s="40"/>
      <c r="AJ531" s="40"/>
      <c r="AK531" s="40"/>
      <c r="AL531" s="40"/>
      <c r="AM531" s="40"/>
    </row>
    <row r="532" spans="2:39" ht="21.95" customHeight="1" x14ac:dyDescent="0.2">
      <c r="B532" s="1109" t="s">
        <v>496</v>
      </c>
      <c r="C532" s="240"/>
      <c r="D532" s="240"/>
      <c r="E532" s="240"/>
      <c r="F532" s="240"/>
      <c r="G532" s="969">
        <f>SUM(G503:G531)</f>
        <v>0</v>
      </c>
      <c r="H532" s="969">
        <f>SUM(H503:H531)</f>
        <v>0</v>
      </c>
      <c r="I532" s="785">
        <f t="shared" ref="I532:AH532" si="38">SUM(I503:I531)</f>
        <v>265055.34408075758</v>
      </c>
      <c r="J532" s="785">
        <f t="shared" si="38"/>
        <v>272938.82774816395</v>
      </c>
      <c r="K532" s="785">
        <f t="shared" si="38"/>
        <v>286444.03077837703</v>
      </c>
      <c r="L532" s="785">
        <f t="shared" si="38"/>
        <v>307272.79394573241</v>
      </c>
      <c r="M532" s="785">
        <f t="shared" si="38"/>
        <v>328110.78673116962</v>
      </c>
      <c r="N532" s="785">
        <f t="shared" si="38"/>
        <v>348949.24648692302</v>
      </c>
      <c r="O532" s="785">
        <f t="shared" si="38"/>
        <v>369778.0096542784</v>
      </c>
      <c r="P532" s="785">
        <f t="shared" si="38"/>
        <v>390625.35327012441</v>
      </c>
      <c r="Q532" s="785">
        <f t="shared" si="38"/>
        <v>410159.18926952407</v>
      </c>
      <c r="R532" s="785">
        <f t="shared" si="38"/>
        <v>429597.82593935169</v>
      </c>
      <c r="S532" s="785">
        <f t="shared" si="38"/>
        <v>449775.3652645176</v>
      </c>
      <c r="T532" s="785">
        <f t="shared" si="38"/>
        <v>470301.16958300519</v>
      </c>
      <c r="U532" s="785">
        <f t="shared" si="38"/>
        <v>490836.10782601795</v>
      </c>
      <c r="V532" s="785">
        <f t="shared" si="38"/>
        <v>503838.71436041169</v>
      </c>
      <c r="W532" s="785">
        <f t="shared" si="38"/>
        <v>512097.13222973223</v>
      </c>
      <c r="X532" s="785">
        <f t="shared" si="38"/>
        <v>520574.89181047824</v>
      </c>
      <c r="Y532" s="785">
        <f t="shared" si="38"/>
        <v>529052.65139122435</v>
      </c>
      <c r="Z532" s="785">
        <f t="shared" si="38"/>
        <v>537535.35953386873</v>
      </c>
      <c r="AA532" s="785">
        <f t="shared" si="38"/>
        <v>546013.11911461491</v>
      </c>
      <c r="AB532" s="785">
        <f t="shared" si="38"/>
        <v>554495.83536424115</v>
      </c>
      <c r="AC532" s="785">
        <f t="shared" si="38"/>
        <v>562973.59494498733</v>
      </c>
      <c r="AD532" s="785">
        <f t="shared" si="38"/>
        <v>571451.35452573327</v>
      </c>
      <c r="AE532" s="785">
        <f t="shared" si="38"/>
        <v>579934.06266837788</v>
      </c>
      <c r="AF532" s="785">
        <f t="shared" si="38"/>
        <v>588411.82224912406</v>
      </c>
      <c r="AG532" s="785">
        <f t="shared" si="38"/>
        <v>596889.58182987024</v>
      </c>
      <c r="AH532" s="786">
        <f t="shared" si="38"/>
        <v>605372.29807949648</v>
      </c>
      <c r="AI532" s="40"/>
      <c r="AJ532" s="40"/>
      <c r="AK532" s="40"/>
      <c r="AL532" s="40"/>
      <c r="AM532" s="40"/>
    </row>
    <row r="533" spans="2:39" ht="21.95" customHeight="1" x14ac:dyDescent="0.2">
      <c r="B533" s="787" t="s">
        <v>328</v>
      </c>
      <c r="C533" s="1344" t="s">
        <v>18</v>
      </c>
      <c r="D533" s="1344"/>
      <c r="E533" s="46" t="s">
        <v>24</v>
      </c>
      <c r="F533" s="46" t="s">
        <v>42</v>
      </c>
      <c r="G533" s="123" cm="1">
        <f t="array" ref="G533:AH533">year</f>
        <v>2021</v>
      </c>
      <c r="H533" s="123">
        <v>2022</v>
      </c>
      <c r="I533" s="46">
        <v>2023</v>
      </c>
      <c r="J533" s="46">
        <v>2024</v>
      </c>
      <c r="K533" s="46">
        <v>2025</v>
      </c>
      <c r="L533" s="46">
        <v>2026</v>
      </c>
      <c r="M533" s="46">
        <v>2027</v>
      </c>
      <c r="N533" s="46">
        <v>2028</v>
      </c>
      <c r="O533" s="46">
        <v>2029</v>
      </c>
      <c r="P533" s="46">
        <v>2030</v>
      </c>
      <c r="Q533" s="46">
        <v>2031</v>
      </c>
      <c r="R533" s="46">
        <v>2032</v>
      </c>
      <c r="S533" s="46">
        <v>2033</v>
      </c>
      <c r="T533" s="46">
        <v>2034</v>
      </c>
      <c r="U533" s="46">
        <v>2035</v>
      </c>
      <c r="V533" s="46">
        <v>2036</v>
      </c>
      <c r="W533" s="46">
        <v>2037</v>
      </c>
      <c r="X533" s="46">
        <v>2038</v>
      </c>
      <c r="Y533" s="46">
        <v>2039</v>
      </c>
      <c r="Z533" s="46">
        <v>2040</v>
      </c>
      <c r="AA533" s="46">
        <v>2041</v>
      </c>
      <c r="AB533" s="46">
        <v>2042</v>
      </c>
      <c r="AC533" s="46">
        <v>2043</v>
      </c>
      <c r="AD533" s="46">
        <v>2044</v>
      </c>
      <c r="AE533" s="46">
        <v>2045</v>
      </c>
      <c r="AF533" s="46">
        <v>2046</v>
      </c>
      <c r="AG533" s="46">
        <v>2047</v>
      </c>
      <c r="AH533" s="495">
        <v>2048</v>
      </c>
      <c r="AI533" s="40"/>
      <c r="AJ533" s="40"/>
      <c r="AK533" s="40"/>
      <c r="AL533" s="40"/>
      <c r="AM533" s="40"/>
    </row>
    <row r="534" spans="2:39" ht="21.95" customHeight="1" x14ac:dyDescent="0.2">
      <c r="B534" s="1346" t="s">
        <v>331</v>
      </c>
      <c r="C534" s="220" t="s">
        <v>332</v>
      </c>
      <c r="D534" s="220" t="s">
        <v>282</v>
      </c>
      <c r="E534" s="220" t="s">
        <v>467</v>
      </c>
      <c r="F534" s="220" t="s">
        <v>40</v>
      </c>
      <c r="G534" s="775"/>
      <c r="H534" s="775"/>
      <c r="I534" s="775">
        <f>$H$22*$E$9*'Traffic Data'!AK36*annualizationFactor</f>
        <v>3845.795928</v>
      </c>
      <c r="J534" s="775">
        <f>$H$22*$E$9*'Traffic Data'!AL36*annualizationFactor</f>
        <v>4020.6714797135251</v>
      </c>
      <c r="K534" s="775">
        <f>$H$22*$E$9*'Traffic Data'!AM36*annualizationFactor</f>
        <v>4267.0547994633007</v>
      </c>
      <c r="L534" s="775">
        <f>$H$22*$E$9*'Traffic Data'!AN36*annualizationFactor</f>
        <v>4629.4729932281998</v>
      </c>
      <c r="M534" s="775">
        <f>$H$22*$E$9*'Traffic Data'!AO36*annualizationFactor</f>
        <v>4992.0233862281248</v>
      </c>
      <c r="N534" s="775">
        <f>$H$22*$E$9*'Traffic Data'!AP36*annualizationFactor</f>
        <v>5354.5737792280497</v>
      </c>
      <c r="O534" s="775">
        <f>$H$22*$E$9*'Traffic Data'!AQ36*annualizationFactor</f>
        <v>5716.9919729929488</v>
      </c>
      <c r="P534" s="775">
        <f>$H$22*$E$9*'Traffic Data'!AR36*annualizationFactor</f>
        <v>6079.6745652278987</v>
      </c>
      <c r="Q534" s="775">
        <f>$H$22*$E$9*'Traffic Data'!AS36*annualizationFactor</f>
        <v>6438.0666913806745</v>
      </c>
      <c r="R534" s="775">
        <f>$H$22*$E$9*'Traffic Data'!AT36*annualizationFactor</f>
        <v>6796.5309262071005</v>
      </c>
      <c r="S534" s="775">
        <f>$H$22*$E$9*'Traffic Data'!AU36*annualizationFactor</f>
        <v>7154.9230523598762</v>
      </c>
      <c r="T534" s="775">
        <f>$H$22*$E$9*'Traffic Data'!AV36*annualizationFactor</f>
        <v>7513.3151785126493</v>
      </c>
      <c r="U534" s="775">
        <f>$H$22*$E$9*'Traffic Data'!AW36*annualizationFactor</f>
        <v>7871.9717031354749</v>
      </c>
      <c r="V534" s="775">
        <f>$H$22*$E$9*'Traffic Data'!AX36*annualizationFactor</f>
        <v>8114.1967560380999</v>
      </c>
      <c r="W534" s="775">
        <f>$H$22*$E$9*'Traffic Data'!AY36*annualizationFactor</f>
        <v>8289.072307751625</v>
      </c>
      <c r="X534" s="775">
        <f>$H$22*$E$9*'Traffic Data'!AZ36*annualizationFactor</f>
        <v>8463.9478594651482</v>
      </c>
      <c r="Y534" s="775">
        <f>$H$22*$E$9*'Traffic Data'!BA36*annualizationFactor</f>
        <v>8638.8234111786733</v>
      </c>
      <c r="Z534" s="775">
        <f>$H$22*$E$9*'Traffic Data'!BB36*annualizationFactor</f>
        <v>8813.7590534535757</v>
      </c>
      <c r="AA534" s="775">
        <f>$H$22*$E$9*'Traffic Data'!BC36*annualizationFactor</f>
        <v>8988.6346051671007</v>
      </c>
      <c r="AB534" s="775">
        <f>$H$22*$E$9*'Traffic Data'!BD36*annualizationFactor</f>
        <v>9163.5702474419977</v>
      </c>
      <c r="AC534" s="775">
        <f>$H$22*$E$9*'Traffic Data'!BE36*annualizationFactor</f>
        <v>9338.4457991555264</v>
      </c>
      <c r="AD534" s="775">
        <f>$H$22*$E$9*'Traffic Data'!BF36*annualizationFactor</f>
        <v>9513.3213508690496</v>
      </c>
      <c r="AE534" s="775">
        <f>$H$22*$E$9*'Traffic Data'!BG36*annualizationFactor</f>
        <v>9688.2569931439484</v>
      </c>
      <c r="AF534" s="775">
        <f>$H$22*$E$9*'Traffic Data'!BH36*annualizationFactor</f>
        <v>9863.1325448574735</v>
      </c>
      <c r="AG534" s="775">
        <f>$H$22*$E$9*'Traffic Data'!BI36*annualizationFactor</f>
        <v>10038.008096571</v>
      </c>
      <c r="AH534" s="776">
        <f>$H$22*$E$9*'Traffic Data'!BJ36*annualizationFactor</f>
        <v>10212.943738845899</v>
      </c>
      <c r="AI534" s="40"/>
      <c r="AJ534" s="40"/>
      <c r="AK534" s="40"/>
      <c r="AL534" s="40"/>
      <c r="AM534" s="40"/>
    </row>
    <row r="535" spans="2:39" ht="21.95" customHeight="1" x14ac:dyDescent="0.2">
      <c r="B535" s="1346"/>
      <c r="C535" s="116" t="s">
        <v>282</v>
      </c>
      <c r="D535" s="116" t="s">
        <v>280</v>
      </c>
      <c r="E535" s="116" t="s">
        <v>467</v>
      </c>
      <c r="F535" s="116" t="s">
        <v>40</v>
      </c>
      <c r="G535" s="970"/>
      <c r="H535" s="970"/>
      <c r="I535" s="777">
        <f>$H$22*$E$9*'Traffic Data'!AK37*annualizationFactor</f>
        <v>123662.92513397729</v>
      </c>
      <c r="J535" s="777">
        <f>$H$22*$E$9*'Traffic Data'!AL37*annualizationFactor</f>
        <v>130190.49553771593</v>
      </c>
      <c r="K535" s="777">
        <f>$H$22*$E$9*'Traffic Data'!AM37*annualizationFactor</f>
        <v>139989.17931666528</v>
      </c>
      <c r="L535" s="777">
        <f>$H$22*$E$9*'Traffic Data'!AN37*annualizationFactor</f>
        <v>156178.03024920434</v>
      </c>
      <c r="M535" s="777">
        <f>$H$22*$E$9*'Traffic Data'!AO37*annualizationFactor</f>
        <v>172374.20935508475</v>
      </c>
      <c r="N535" s="777">
        <f>$H$22*$E$9*'Traffic Data'!AP37*annualizationFactor</f>
        <v>188569.47243929745</v>
      </c>
      <c r="O535" s="777">
        <f>$H$22*$E$9*'Traffic Data'!AQ37*annualizationFactor</f>
        <v>204758.32337183662</v>
      </c>
      <c r="P535" s="777">
        <f>$H$22*$E$9*'Traffic Data'!AR37*annualizationFactor</f>
        <v>220961.83065105823</v>
      </c>
      <c r="Q535" s="777">
        <f>$H$22*$E$9*'Traffic Data'!AS37*annualizationFactor</f>
        <v>237309.15333210235</v>
      </c>
      <c r="R535" s="777">
        <f>$H$22*$E$9*'Traffic Data'!AT37*annualizationFactor</f>
        <v>253661.97214315244</v>
      </c>
      <c r="S535" s="777">
        <f>$H$22*$E$9*'Traffic Data'!AU37*annualizationFactor</f>
        <v>270009.29482419655</v>
      </c>
      <c r="T535" s="777">
        <f>$H$22*$E$9*'Traffic Data'!AV37*annualizationFactor</f>
        <v>286356.61750524072</v>
      </c>
      <c r="U535" s="777">
        <f>$H$22*$E$9*'Traffic Data'!AW37*annualizationFactor</f>
        <v>302718.59653296741</v>
      </c>
      <c r="V535" s="777">
        <f>$H$22*$E$9*'Traffic Data'!AX37*annualizationFactor</f>
        <v>312668.42388708051</v>
      </c>
      <c r="W535" s="777">
        <f>$H$22*$E$9*'Traffic Data'!AY37*annualizationFactor</f>
        <v>319195.9942908191</v>
      </c>
      <c r="X535" s="777">
        <f>$H$22*$E$9*'Traffic Data'!AZ37*annualizationFactor</f>
        <v>325723.5646945578</v>
      </c>
      <c r="Y535" s="777">
        <f>$H$22*$E$9*'Traffic Data'!BA37*annualizationFactor</f>
        <v>332251.13509829663</v>
      </c>
      <c r="Z535" s="777">
        <f>$H$22*$E$9*'Traffic Data'!BB37*annualizationFactor</f>
        <v>338782.36958870583</v>
      </c>
      <c r="AA535" s="777">
        <f>$H$22*$E$9*'Traffic Data'!BC37*annualizationFactor</f>
        <v>345309.93999244442</v>
      </c>
      <c r="AB535" s="777">
        <f>$H$22*$E$9*'Traffic Data'!BD37*annualizationFactor</f>
        <v>351841.17448285385</v>
      </c>
      <c r="AC535" s="777">
        <f>$H$22*$E$9*'Traffic Data'!BE37*annualizationFactor</f>
        <v>358368.74488659255</v>
      </c>
      <c r="AD535" s="777">
        <f>$H$22*$E$9*'Traffic Data'!BF37*annualizationFactor</f>
        <v>364896.3152903312</v>
      </c>
      <c r="AE535" s="777">
        <f>$H$22*$E$9*'Traffic Data'!BG37*annualizationFactor</f>
        <v>371427.54978074058</v>
      </c>
      <c r="AF535" s="777">
        <f>$H$22*$E$9*'Traffic Data'!BH37*annualizationFactor</f>
        <v>377955.12018447916</v>
      </c>
      <c r="AG535" s="777">
        <f>$H$22*$E$9*'Traffic Data'!BI37*annualizationFactor</f>
        <v>384482.69058821787</v>
      </c>
      <c r="AH535" s="778">
        <f>$H$22*$E$9*'Traffic Data'!BJ37*annualizationFactor</f>
        <v>391013.92507862719</v>
      </c>
      <c r="AI535" s="40"/>
      <c r="AJ535" s="40"/>
      <c r="AK535" s="40"/>
      <c r="AL535" s="40"/>
      <c r="AM535" s="40"/>
    </row>
    <row r="536" spans="2:39" ht="21.95" customHeight="1" x14ac:dyDescent="0.2">
      <c r="B536" s="1346"/>
      <c r="C536" s="116" t="s">
        <v>280</v>
      </c>
      <c r="D536" s="116" t="s">
        <v>333</v>
      </c>
      <c r="E536" s="254" t="s">
        <v>467</v>
      </c>
      <c r="F536" s="116" t="s">
        <v>40</v>
      </c>
      <c r="G536" s="779"/>
      <c r="H536" s="779"/>
      <c r="I536" s="777">
        <f>$H$22*$E$9*'Traffic Data'!AK38*annualizationFactor</f>
        <v>2884.3469460000001</v>
      </c>
      <c r="J536" s="777">
        <f>$H$22*$E$9*'Traffic Data'!AL38*annualizationFactor</f>
        <v>3004.7924672200497</v>
      </c>
      <c r="K536" s="777">
        <f>$H$22*$E$9*'Traffic Data'!AM38*annualizationFactor</f>
        <v>3153.8651318791494</v>
      </c>
      <c r="L536" s="777">
        <f>$H$22*$E$9*'Traffic Data'!AN38*annualizationFactor</f>
        <v>3354.5676068716498</v>
      </c>
      <c r="M536" s="777">
        <f>$H$22*$E$9*'Traffic Data'!AO38*annualizationFactor</f>
        <v>3555.3421905378004</v>
      </c>
      <c r="N536" s="777">
        <f>$H$22*$E$9*'Traffic Data'!AP38*annualizationFactor</f>
        <v>3756.0927379794007</v>
      </c>
      <c r="O536" s="777">
        <f>$H$22*$E$9*'Traffic Data'!AQ38*annualizationFactor</f>
        <v>3956.7952129719006</v>
      </c>
      <c r="P536" s="777">
        <f>$H$22*$E$9*'Traffic Data'!AR38*annualizationFactor</f>
        <v>4157.6419053117015</v>
      </c>
      <c r="Q536" s="777">
        <f>$H$22*$E$9*'Traffic Data'!AS38*annualizationFactor</f>
        <v>4352.2391792685003</v>
      </c>
      <c r="R536" s="777">
        <f>$H$22*$E$9*'Traffic Data'!AT38*annualizationFactor</f>
        <v>4546.9085618989484</v>
      </c>
      <c r="S536" s="777">
        <f>$H$22*$E$9*'Traffic Data'!AU38*annualizationFactor</f>
        <v>4741.5058358557499</v>
      </c>
      <c r="T536" s="777">
        <f>$H$22*$E$9*'Traffic Data'!AV38*annualizationFactor</f>
        <v>4936.1031098125495</v>
      </c>
      <c r="U536" s="777">
        <f>$H$22*$E$9*'Traffic Data'!AW38*annualizationFactor</f>
        <v>5130.8446011166507</v>
      </c>
      <c r="V536" s="777">
        <f>$H$22*$E$9*'Traffic Data'!AX38*annualizationFactor</f>
        <v>5273.7399560663989</v>
      </c>
      <c r="W536" s="777">
        <f>$H$22*$E$9*'Traffic Data'!AY38*annualizationFactor</f>
        <v>5394.1854772864499</v>
      </c>
      <c r="X536" s="777">
        <f>$H$22*$E$9*'Traffic Data'!AZ38*annualizationFactor</f>
        <v>5514.6309985064991</v>
      </c>
      <c r="Y536" s="777">
        <f>$H$22*$E$9*'Traffic Data'!BA38*annualizationFactor</f>
        <v>5635.07651972655</v>
      </c>
      <c r="Z536" s="777">
        <f>$H$22*$E$9*'Traffic Data'!BB38*annualizationFactor</f>
        <v>5755.5701133957</v>
      </c>
      <c r="AA536" s="777">
        <f>$H$22*$E$9*'Traffic Data'!BC38*annualizationFactor</f>
        <v>5876.0156346157491</v>
      </c>
      <c r="AB536" s="777">
        <f>$H$22*$E$9*'Traffic Data'!BD38*annualizationFactor</f>
        <v>5996.5092282849</v>
      </c>
      <c r="AC536" s="777">
        <f>$H$22*$E$9*'Traffic Data'!BE38*annualizationFactor</f>
        <v>6116.9547495049519</v>
      </c>
      <c r="AD536" s="777">
        <f>$H$22*$E$9*'Traffic Data'!BF38*annualizationFactor</f>
        <v>6237.4002707249992</v>
      </c>
      <c r="AE536" s="777">
        <f>$H$22*$E$9*'Traffic Data'!BG38*annualizationFactor</f>
        <v>6357.8938643941501</v>
      </c>
      <c r="AF536" s="777">
        <f>$H$22*$E$9*'Traffic Data'!BH38*annualizationFactor</f>
        <v>6478.3393856142002</v>
      </c>
      <c r="AG536" s="777">
        <f>$H$22*$E$9*'Traffic Data'!BI38*annualizationFactor</f>
        <v>6598.7849068342493</v>
      </c>
      <c r="AH536" s="778">
        <f>$H$22*$E$9*'Traffic Data'!BJ38*annualizationFactor</f>
        <v>6719.2785005034002</v>
      </c>
      <c r="AI536" s="40"/>
      <c r="AJ536" s="40"/>
      <c r="AK536" s="40"/>
      <c r="AL536" s="40"/>
      <c r="AM536" s="40"/>
    </row>
    <row r="537" spans="2:39" ht="21.95" customHeight="1" x14ac:dyDescent="0.2">
      <c r="B537" s="1346" t="s">
        <v>280</v>
      </c>
      <c r="C537" s="220" t="s">
        <v>281</v>
      </c>
      <c r="D537" s="220" t="s">
        <v>335</v>
      </c>
      <c r="E537" s="116" t="s">
        <v>467</v>
      </c>
      <c r="F537" s="220" t="s">
        <v>40</v>
      </c>
      <c r="G537" s="970"/>
      <c r="H537" s="970"/>
      <c r="I537" s="775">
        <f>$H$22*$F$9*'Traffic Data'!AK39*annualizationFactor</f>
        <v>26884.241440000002</v>
      </c>
      <c r="J537" s="775">
        <f>$H$22*$F$9*'Traffic Data'!AL39*annualizationFactor</f>
        <v>29603.716882863198</v>
      </c>
      <c r="K537" s="775">
        <f>$H$22*$F$9*'Traffic Data'!AM39*annualizationFactor</f>
        <v>35683.722505726393</v>
      </c>
      <c r="L537" s="775">
        <f>$H$22*$F$9*'Traffic Data'!AN39*annualizationFactor</f>
        <v>47895.889179846403</v>
      </c>
      <c r="M537" s="775">
        <f>$H$22*$F$9*'Traffic Data'!AO39*annualizationFactor</f>
        <v>60115.583441569594</v>
      </c>
      <c r="N537" s="775">
        <f>$H$22*$F$9*'Traffic Data'!AP39*annualizationFactor</f>
        <v>72333.933491220785</v>
      </c>
      <c r="O537" s="775">
        <f>$H$22*$F$9*'Traffic Data'!AQ39*annualizationFactor</f>
        <v>84546.100165340787</v>
      </c>
      <c r="P537" s="775">
        <f>$H$22*$F$9*'Traffic Data'!AR39*annualizationFactor</f>
        <v>96773.322014667196</v>
      </c>
      <c r="Q537" s="775">
        <f>$H$22*$F$9*'Traffic Data'!AS39*annualizationFactor</f>
        <v>108771.22128451038</v>
      </c>
      <c r="R537" s="775">
        <f>$H$22*$F$9*'Traffic Data'!AT39*annualizationFactor</f>
        <v>120775.16950867756</v>
      </c>
      <c r="S537" s="775">
        <f>$H$22*$F$9*'Traffic Data'!AU39*annualizationFactor</f>
        <v>132773.06877852077</v>
      </c>
      <c r="T537" s="775">
        <f>$H$22*$F$9*'Traffic Data'!AV39*annualizationFactor</f>
        <v>144770.96804836398</v>
      </c>
      <c r="U537" s="775">
        <f>$H$22*$F$9*'Traffic Data'!AW39*annualizationFactor</f>
        <v>156783.92249341361</v>
      </c>
      <c r="V537" s="775">
        <f>$H$22*$F$9*'Traffic Data'!AX39*annualizationFactor</f>
        <v>162642.13312439676</v>
      </c>
      <c r="W537" s="775">
        <f>$H$22*$F$9*'Traffic Data'!AY39*annualizationFactor</f>
        <v>165361.60856725997</v>
      </c>
      <c r="X537" s="775">
        <f>$H$22*$F$9*'Traffic Data'!AZ39*annualizationFactor</f>
        <v>168081.08401012316</v>
      </c>
      <c r="Y537" s="775">
        <f>$H$22*$F$9*'Traffic Data'!BA39*annualizationFactor</f>
        <v>170800.55945298634</v>
      </c>
      <c r="Z537" s="775">
        <f>$H$22*$F$9*'Traffic Data'!BB39*annualizationFactor</f>
        <v>173524.2019532728</v>
      </c>
      <c r="AA537" s="775">
        <f>$H$22*$F$9*'Traffic Data'!BC39*annualizationFactor</f>
        <v>176243.67739613599</v>
      </c>
      <c r="AB537" s="775">
        <f>$H$22*$F$9*'Traffic Data'!BD39*annualizationFactor</f>
        <v>178967.31989642236</v>
      </c>
      <c r="AC537" s="775">
        <f>$H$22*$F$9*'Traffic Data'!BE39*annualizationFactor</f>
        <v>181686.79533928554</v>
      </c>
      <c r="AD537" s="775">
        <f>$H$22*$F$9*'Traffic Data'!BF39*annualizationFactor</f>
        <v>184406.27078214876</v>
      </c>
      <c r="AE537" s="775">
        <f>$H$22*$F$9*'Traffic Data'!BG39*annualizationFactor</f>
        <v>187129.91328243521</v>
      </c>
      <c r="AF537" s="775">
        <f>$H$22*$F$9*'Traffic Data'!BH39*annualizationFactor</f>
        <v>189849.38872529837</v>
      </c>
      <c r="AG537" s="775">
        <f>$H$22*$F$9*'Traffic Data'!BI39*annualizationFactor</f>
        <v>192568.86416816156</v>
      </c>
      <c r="AH537" s="776">
        <f>$H$22*$F$9*'Traffic Data'!BJ39*annualizationFactor</f>
        <v>195292.50666844792</v>
      </c>
      <c r="AI537" s="40"/>
      <c r="AJ537" s="40"/>
      <c r="AK537" s="40"/>
      <c r="AL537" s="40"/>
      <c r="AM537" s="40"/>
    </row>
    <row r="538" spans="2:39" ht="21.95" customHeight="1" x14ac:dyDescent="0.2">
      <c r="B538" s="1346"/>
      <c r="C538" s="116" t="s">
        <v>335</v>
      </c>
      <c r="D538" s="116" t="s">
        <v>323</v>
      </c>
      <c r="E538" s="116" t="s">
        <v>467</v>
      </c>
      <c r="F538" s="116" t="s">
        <v>40</v>
      </c>
      <c r="G538" s="970"/>
      <c r="H538" s="970"/>
      <c r="I538" s="777">
        <f>$H$22*$F$9*'Traffic Data'!AK40*annualizationFactor</f>
        <v>3114.0048000000002</v>
      </c>
      <c r="J538" s="777">
        <f>$H$22*$F$9*'Traffic Data'!AL40*annualizationFactor</f>
        <v>3439.0031009600002</v>
      </c>
      <c r="K538" s="777">
        <f>$H$22*$F$9*'Traffic Data'!AM40*annualizationFactor</f>
        <v>3887.6533425199991</v>
      </c>
      <c r="L538" s="777">
        <f>$H$22*$F$9*'Traffic Data'!AN40*annualizationFactor</f>
        <v>4711.5671125199997</v>
      </c>
      <c r="M538" s="777">
        <f>$H$22*$F$9*'Traffic Data'!AO40*annualizationFactor</f>
        <v>5535.7144328800005</v>
      </c>
      <c r="N538" s="777">
        <f>$H$22*$F$9*'Traffic Data'!AP40*annualizationFactor</f>
        <v>6360.0174534799999</v>
      </c>
      <c r="O538" s="777">
        <f>$H$22*$F$9*'Traffic Data'!AQ40*annualizationFactor</f>
        <v>7183.93122348</v>
      </c>
      <c r="P538" s="777">
        <f>$H$22*$F$9*'Traffic Data'!AR40*annualizationFactor</f>
        <v>8008.5975446400016</v>
      </c>
      <c r="Q538" s="777">
        <f>$H$22*$F$9*'Traffic Data'!AS40*annualizationFactor</f>
        <v>9194.3586723999997</v>
      </c>
      <c r="R538" s="777">
        <f>$H$22*$F$9*'Traffic Data'!AT40*annualizationFactor</f>
        <v>10380.379300559998</v>
      </c>
      <c r="S538" s="777">
        <f>$H$22*$F$9*'Traffic Data'!AU40*annualizationFactor</f>
        <v>11565.906877959998</v>
      </c>
      <c r="T538" s="777">
        <f>$H$22*$F$9*'Traffic Data'!AV40*annualizationFactor</f>
        <v>12751.668005720001</v>
      </c>
      <c r="U538" s="777">
        <f>$H$22*$F$9*'Traffic Data'!AW40*annualizationFactor</f>
        <v>13938.181684640002</v>
      </c>
      <c r="V538" s="777">
        <f>$H$22*$F$9*'Traffic Data'!AX40*annualizationFactor</f>
        <v>14747.926732799999</v>
      </c>
      <c r="W538" s="777">
        <f>$H$22*$F$9*'Traffic Data'!AY40*annualizationFactor</f>
        <v>15072.925033760001</v>
      </c>
      <c r="X538" s="777">
        <f>$H$22*$F$9*'Traffic Data'!AZ40*annualizationFactor</f>
        <v>15397.923334720001</v>
      </c>
      <c r="Y538" s="777">
        <f>$H$22*$F$9*'Traffic Data'!BA40*annualizationFactor</f>
        <v>15722.921635679999</v>
      </c>
      <c r="Z538" s="777">
        <f>$H$22*$F$9*'Traffic Data'!BB40*annualizationFactor</f>
        <v>16048.153487000003</v>
      </c>
      <c r="AA538" s="777">
        <f>$H$22*$F$9*'Traffic Data'!BC40*annualizationFactor</f>
        <v>16373.15178796</v>
      </c>
      <c r="AB538" s="777">
        <f>$H$22*$F$9*'Traffic Data'!BD40*annualizationFactor</f>
        <v>16698.38363928</v>
      </c>
      <c r="AC538" s="777">
        <f>$H$22*$F$9*'Traffic Data'!BE40*annualizationFactor</f>
        <v>17023.38194024</v>
      </c>
      <c r="AD538" s="777">
        <f>$H$22*$F$9*'Traffic Data'!BF40*annualizationFactor</f>
        <v>17348.3802412</v>
      </c>
      <c r="AE538" s="777">
        <f>$H$22*$F$9*'Traffic Data'!BG40*annualizationFactor</f>
        <v>17673.612092520001</v>
      </c>
      <c r="AF538" s="777">
        <f>$H$22*$F$9*'Traffic Data'!BH40*annualizationFactor</f>
        <v>17998.610393479998</v>
      </c>
      <c r="AG538" s="777">
        <f>$H$22*$F$9*'Traffic Data'!BI40*annualizationFactor</f>
        <v>18323.608694440001</v>
      </c>
      <c r="AH538" s="778">
        <f>$H$22*$F$9*'Traffic Data'!BJ40*annualizationFactor</f>
        <v>18648.840545759998</v>
      </c>
      <c r="AI538" s="26"/>
      <c r="AJ538" s="26"/>
      <c r="AK538" s="26"/>
      <c r="AL538" s="26"/>
      <c r="AM538" s="26"/>
    </row>
    <row r="539" spans="2:39" ht="21.95" customHeight="1" x14ac:dyDescent="0.2">
      <c r="B539" s="1346"/>
      <c r="C539" s="254" t="s">
        <v>323</v>
      </c>
      <c r="D539" s="254" t="s">
        <v>338</v>
      </c>
      <c r="E539" s="116" t="s">
        <v>467</v>
      </c>
      <c r="F539" s="116" t="s">
        <v>40</v>
      </c>
      <c r="G539" s="970"/>
      <c r="H539" s="970"/>
      <c r="I539" s="777">
        <f>$H$22*$F$9*'Traffic Data'!AK41*annualizationFactor</f>
        <v>41727.664320000003</v>
      </c>
      <c r="J539" s="777">
        <f>$H$22*$F$9*'Traffic Data'!AL41*annualizationFactor</f>
        <v>42896.178013174402</v>
      </c>
      <c r="K539" s="777">
        <f>$H$22*$F$9*'Traffic Data'!AM41*annualizationFactor</f>
        <v>44561.390003971203</v>
      </c>
      <c r="L539" s="777">
        <f>$H$22*$F$9*'Traffic Data'!AN41*annualizationFactor</f>
        <v>46898.556482534404</v>
      </c>
      <c r="M539" s="777">
        <f>$H$22*$F$9*'Traffic Data'!AO41*annualizationFactor</f>
        <v>49236.696606598387</v>
      </c>
      <c r="N539" s="777">
        <f>$H$22*$F$9*'Traffic Data'!AP41*annualizationFactor</f>
        <v>51574.628092340819</v>
      </c>
      <c r="O539" s="777">
        <f>$H$22*$F$9*'Traffic Data'!AQ41*annualizationFactor</f>
        <v>53911.794570904007</v>
      </c>
      <c r="P539" s="777">
        <f>$H$22*$F$9*'Traffic Data'!AR41*annualizationFactor</f>
        <v>56250.838794361611</v>
      </c>
      <c r="Q539" s="777">
        <f>$H$22*$F$9*'Traffic Data'!AS41*annualizationFactor</f>
        <v>58612.068226016003</v>
      </c>
      <c r="R539" s="777">
        <f>$H$22*$F$9*'Traffic Data'!AT41*annualizationFactor</f>
        <v>60973.993118742401</v>
      </c>
      <c r="S539" s="777">
        <f>$H$22*$F$9*'Traffic Data'!AU41*annualizationFactor</f>
        <v>63335.013912075192</v>
      </c>
      <c r="T539" s="777">
        <f>$H$22*$F$9*'Traffic Data'!AV41*annualizationFactor</f>
        <v>65696.243343729613</v>
      </c>
      <c r="U539" s="777">
        <f>$H$22*$F$9*'Traffic Data'!AW41*annualizationFactor</f>
        <v>68059.350520278414</v>
      </c>
      <c r="V539" s="777">
        <f>$H$22*$F$9*'Traffic Data'!AX41*annualizationFactor</f>
        <v>69747.512726451198</v>
      </c>
      <c r="W539" s="777">
        <f>$H$22*$F$9*'Traffic Data'!AY41*annualizationFactor</f>
        <v>70916.026419625603</v>
      </c>
      <c r="X539" s="777">
        <f>$H$22*$F$9*'Traffic Data'!AZ41*annualizationFactor</f>
        <v>72084.540112799994</v>
      </c>
      <c r="Y539" s="777">
        <f>$H$22*$F$9*'Traffic Data'!BA41*annualizationFactor</f>
        <v>73253.053805974385</v>
      </c>
      <c r="Z539" s="777">
        <f>$H$22*$F$9*'Traffic Data'!BB41*annualizationFactor</f>
        <v>74422.123868006398</v>
      </c>
      <c r="AA539" s="777">
        <f>$H$22*$F$9*'Traffic Data'!BC41*annualizationFactor</f>
        <v>75590.637561180818</v>
      </c>
      <c r="AB539" s="777">
        <f>$H$22*$F$9*'Traffic Data'!BD41*annualizationFactor</f>
        <v>76759.707623212817</v>
      </c>
      <c r="AC539" s="777">
        <f>$H$22*$F$9*'Traffic Data'!BE41*annualizationFactor</f>
        <v>77928.221316387207</v>
      </c>
      <c r="AD539" s="777">
        <f>$H$22*$F$9*'Traffic Data'!BF41*annualizationFactor</f>
        <v>79096.735009561613</v>
      </c>
      <c r="AE539" s="777">
        <f>$H$22*$F$9*'Traffic Data'!BG41*annualizationFactor</f>
        <v>80265.805071593582</v>
      </c>
      <c r="AF539" s="777">
        <f>$H$22*$F$9*'Traffic Data'!BH41*annualizationFactor</f>
        <v>81434.318764767988</v>
      </c>
      <c r="AG539" s="777">
        <f>$H$22*$F$9*'Traffic Data'!BI41*annualizationFactor</f>
        <v>82602.832457942379</v>
      </c>
      <c r="AH539" s="778">
        <f>$H$22*$F$9*'Traffic Data'!BJ41*annualizationFactor</f>
        <v>83771.902519974392</v>
      </c>
      <c r="AI539" s="26"/>
      <c r="AJ539" s="26"/>
      <c r="AK539" s="26"/>
      <c r="AL539" s="26"/>
      <c r="AM539" s="26"/>
    </row>
    <row r="540" spans="2:39" ht="21.95" customHeight="1" x14ac:dyDescent="0.2">
      <c r="B540" s="492" t="s">
        <v>339</v>
      </c>
      <c r="C540" s="116" t="s">
        <v>335</v>
      </c>
      <c r="D540" s="116" t="s">
        <v>323</v>
      </c>
      <c r="E540" s="277" t="s">
        <v>467</v>
      </c>
      <c r="F540" s="220" t="s">
        <v>40</v>
      </c>
      <c r="G540" s="780"/>
      <c r="H540" s="780"/>
      <c r="I540" s="775">
        <f>$H$22*$G$9*'Traffic Data'!AK42*annualizationFactor</f>
        <v>121.965188</v>
      </c>
      <c r="J540" s="775">
        <f>$H$22*$G$9*'Traffic Data'!AL42*annualizationFactor</f>
        <v>924.37415985200005</v>
      </c>
      <c r="K540" s="775">
        <f>$H$22*$G$9*'Traffic Data'!AM42*annualizationFactor</f>
        <v>5355.3694398919997</v>
      </c>
      <c r="L540" s="775">
        <f>$H$22*$G$9*'Traffic Data'!AN42*annualizationFactor</f>
        <v>12334.705358004001</v>
      </c>
      <c r="M540" s="775">
        <f>$H$22*$G$9*'Traffic Data'!AO42*annualizationFactor</f>
        <v>19318.432022883997</v>
      </c>
      <c r="N540" s="775">
        <f>$H$22*$G$9*'Traffic Data'!AP42*annualizationFactor</f>
        <v>26302.524583328006</v>
      </c>
      <c r="O540" s="775">
        <f>$H$22*$G$9*'Traffic Data'!AQ42*annualizationFactor</f>
        <v>33281.860501440002</v>
      </c>
      <c r="P540" s="775">
        <f>$H$22*$G$9*'Traffic Data'!AR42*annualizationFactor</f>
        <v>40270.465773840006</v>
      </c>
      <c r="Q540" s="775">
        <f>$H$22*$G$9*'Traffic Data'!AS42*annualizationFactor</f>
        <v>44194.573732551995</v>
      </c>
      <c r="R540" s="775">
        <f>$H$22*$G$9*'Traffic Data'!AT42*annualizationFactor</f>
        <v>48120.145273520007</v>
      </c>
      <c r="S540" s="775">
        <f>$H$22*$G$9*'Traffic Data'!AU42*annualizationFactor</f>
        <v>52045.350918923999</v>
      </c>
      <c r="T540" s="775">
        <f>$H$22*$G$9*'Traffic Data'!AV42*annualizationFactor</f>
        <v>55969.458877635989</v>
      </c>
      <c r="U540" s="775">
        <f>$H$22*$G$9*'Traffic Data'!AW42*annualizationFactor</f>
        <v>59902.836190636015</v>
      </c>
      <c r="V540" s="775">
        <f>$H$22*$G$9*'Traffic Data'!AX42*annualizationFactor</f>
        <v>61274.82259044802</v>
      </c>
      <c r="W540" s="775">
        <f>$H$22*$G$9*'Traffic Data'!AY42*annualizationFactor</f>
        <v>62077.231562300003</v>
      </c>
      <c r="X540" s="775">
        <f>$H$22*$G$9*'Traffic Data'!AZ42*annualizationFactor</f>
        <v>62879.640534152015</v>
      </c>
      <c r="Y540" s="775">
        <f>$H$22*$G$9*'Traffic Data'!BA42*annualizationFactor</f>
        <v>63682.049506004005</v>
      </c>
      <c r="Z540" s="775">
        <f>$H$22*$G$9*'Traffic Data'!BB42*annualizationFactor</f>
        <v>64487.629572744008</v>
      </c>
      <c r="AA540" s="775">
        <f>$H$22*$G$9*'Traffic Data'!BC42*annualizationFactor</f>
        <v>65290.038544596006</v>
      </c>
      <c r="AB540" s="775">
        <f>$H$22*$G$9*'Traffic Data'!BD42*annualizationFactor</f>
        <v>66095.618611336016</v>
      </c>
      <c r="AC540" s="775">
        <f>$H$22*$G$9*'Traffic Data'!BE42*annualizationFactor</f>
        <v>66898.027583187999</v>
      </c>
      <c r="AD540" s="775">
        <f>$H$22*$G$9*'Traffic Data'!BF42*annualizationFactor</f>
        <v>67700.436555040011</v>
      </c>
      <c r="AE540" s="775">
        <f>$H$22*$G$9*'Traffic Data'!BG42*annualizationFactor</f>
        <v>68506.016621780029</v>
      </c>
      <c r="AF540" s="775">
        <f>$H$22*$G$9*'Traffic Data'!BH42*annualizationFactor</f>
        <v>69308.425593632011</v>
      </c>
      <c r="AG540" s="775">
        <f>$H$22*$G$9*'Traffic Data'!BI42*annualizationFactor</f>
        <v>70110.834565484009</v>
      </c>
      <c r="AH540" s="776">
        <f>$H$22*$G$9*'Traffic Data'!BJ42*annualizationFactor</f>
        <v>70916.414632224027</v>
      </c>
      <c r="AI540" s="26"/>
      <c r="AJ540" s="26"/>
      <c r="AK540" s="26"/>
      <c r="AL540" s="26"/>
      <c r="AM540" s="26"/>
    </row>
    <row r="541" spans="2:39" ht="21.95" customHeight="1" x14ac:dyDescent="0.2">
      <c r="B541" s="1346" t="s">
        <v>323</v>
      </c>
      <c r="C541" s="220" t="s">
        <v>282</v>
      </c>
      <c r="D541" s="220" t="s">
        <v>339</v>
      </c>
      <c r="E541" s="116" t="s">
        <v>467</v>
      </c>
      <c r="F541" s="220" t="s">
        <v>40</v>
      </c>
      <c r="G541" s="970"/>
      <c r="H541" s="970"/>
      <c r="I541" s="775">
        <f>$H$22*$H$9*'Traffic Data'!AK43*annualizationFactor</f>
        <v>350.32553999999999</v>
      </c>
      <c r="J541" s="775">
        <f>$H$22*$H$9*'Traffic Data'!AL43*annualizationFactor</f>
        <v>778.59851264999998</v>
      </c>
      <c r="K541" s="775">
        <f>$H$22*$H$9*'Traffic Data'!AM43*annualizationFactor</f>
        <v>3290.7829599900006</v>
      </c>
      <c r="L541" s="775">
        <f>$H$22*$H$9*'Traffic Data'!AN43*annualizationFactor</f>
        <v>7397.4741026399997</v>
      </c>
      <c r="M541" s="775">
        <f>$H$22*$H$9*'Traffic Data'!AO43*annualizationFactor</f>
        <v>11506.442361300002</v>
      </c>
      <c r="N541" s="775">
        <f>$H$22*$H$9*'Traffic Data'!AP43*annualizationFactor</f>
        <v>15615.585782729997</v>
      </c>
      <c r="O541" s="775">
        <f>$H$22*$H$9*'Traffic Data'!AQ43*annualizationFactor</f>
        <v>19722.27692538</v>
      </c>
      <c r="P541" s="775">
        <f>$H$22*$H$9*'Traffic Data'!AR43*annualizationFactor</f>
        <v>23833.697462820004</v>
      </c>
      <c r="Q541" s="775">
        <f>$H$22*$H$9*'Traffic Data'!AS43*annualizationFactor</f>
        <v>27004.143599820007</v>
      </c>
      <c r="R541" s="775">
        <f>$H$22*$H$9*'Traffic Data'!AT43*annualizationFactor</f>
        <v>30175.115225130005</v>
      </c>
      <c r="S541" s="775">
        <f>$H$22*$H$9*'Traffic Data'!AU43*annualizationFactor</f>
        <v>33345.56136213</v>
      </c>
      <c r="T541" s="775">
        <f>$H$22*$H$9*'Traffic Data'!AV43*annualizationFactor</f>
        <v>36516.007499129999</v>
      </c>
      <c r="U541" s="775">
        <f>$H$22*$H$9*'Traffic Data'!AW43*annualizationFactor</f>
        <v>39690.657542610003</v>
      </c>
      <c r="V541" s="775">
        <f>$H$22*$H$9*'Traffic Data'!AX43*annualizationFactor</f>
        <v>41264.144705519997</v>
      </c>
      <c r="W541" s="775">
        <f>$H$22*$H$9*'Traffic Data'!AY43*annualizationFactor</f>
        <v>41692.417678170008</v>
      </c>
      <c r="X541" s="775">
        <f>$H$22*$H$9*'Traffic Data'!AZ43*annualizationFactor</f>
        <v>42120.690650819997</v>
      </c>
      <c r="Y541" s="775">
        <f>$H$22*$H$9*'Traffic Data'!BA43*annualizationFactor</f>
        <v>42548.963623470008</v>
      </c>
      <c r="Z541" s="775">
        <f>$H$22*$H$9*'Traffic Data'!BB43*annualizationFactor</f>
        <v>42978.462735510009</v>
      </c>
      <c r="AA541" s="775">
        <f>$H$22*$H$9*'Traffic Data'!BC43*annualizationFactor</f>
        <v>43406.735708159998</v>
      </c>
      <c r="AB541" s="775">
        <f>$H$22*$H$9*'Traffic Data'!BD43*annualizationFactor</f>
        <v>43836.234820199985</v>
      </c>
      <c r="AC541" s="775">
        <f>$H$22*$H$9*'Traffic Data'!BE43*annualizationFactor</f>
        <v>44264.507792849996</v>
      </c>
      <c r="AD541" s="775">
        <f>$H$22*$H$9*'Traffic Data'!BF43*annualizationFactor</f>
        <v>44692.7807655</v>
      </c>
      <c r="AE541" s="775">
        <f>$H$22*$H$9*'Traffic Data'!BG43*annualizationFactor</f>
        <v>45122.279877539993</v>
      </c>
      <c r="AF541" s="775">
        <f>$H$22*$H$9*'Traffic Data'!BH43*annualizationFactor</f>
        <v>45550.552850189997</v>
      </c>
      <c r="AG541" s="775">
        <f>$H$22*$H$9*'Traffic Data'!BI43*annualizationFactor</f>
        <v>45978.825822839994</v>
      </c>
      <c r="AH541" s="776">
        <f>$H$22*$H$9*'Traffic Data'!BJ43*annualizationFactor</f>
        <v>46408.324934880002</v>
      </c>
      <c r="AI541" s="26"/>
      <c r="AJ541" s="26"/>
      <c r="AK541" s="26"/>
      <c r="AL541" s="26"/>
      <c r="AM541" s="26"/>
    </row>
    <row r="542" spans="2:39" s="1" customFormat="1" ht="21.95" customHeight="1" x14ac:dyDescent="0.2">
      <c r="B542" s="1346"/>
      <c r="C542" s="116" t="s">
        <v>339</v>
      </c>
      <c r="D542" s="116" t="s">
        <v>288</v>
      </c>
      <c r="E542" s="116" t="s">
        <v>467</v>
      </c>
      <c r="F542" s="116" t="s">
        <v>40</v>
      </c>
      <c r="G542" s="970"/>
      <c r="H542" s="970"/>
      <c r="I542" s="777">
        <f>$H$22*$H$9*'Traffic Data'!AK44*annualizationFactor</f>
        <v>0</v>
      </c>
      <c r="J542" s="777">
        <f>$H$22*$H$9*'Traffic Data'!AL44*annualizationFactor</f>
        <v>238.32516735999999</v>
      </c>
      <c r="K542" s="777">
        <f>$H$22*$H$9*'Traffic Data'!AM44*annualizationFactor</f>
        <v>682.53276207199997</v>
      </c>
      <c r="L542" s="777">
        <f>$H$22*$H$9*'Traffic Data'!AN44*annualizationFactor</f>
        <v>1534.2909249920001</v>
      </c>
      <c r="M542" s="777">
        <f>$H$22*$H$9*'Traffic Data'!AO44*annualizationFactor</f>
        <v>2386.5213786400004</v>
      </c>
      <c r="N542" s="777">
        <f>$H$22*$H$9*'Traffic Data'!AP44*annualizationFactor</f>
        <v>3238.7881623439994</v>
      </c>
      <c r="O542" s="777">
        <f>$H$22*$H$9*'Traffic Data'!AQ44*annualizationFactor</f>
        <v>4090.5463252640002</v>
      </c>
      <c r="P542" s="777">
        <f>$H$22*$H$9*'Traffic Data'!AR44*annualizationFactor</f>
        <v>4943.2853996960002</v>
      </c>
      <c r="Q542" s="777">
        <f>$H$22*$H$9*'Traffic Data'!AS44*annualizationFactor</f>
        <v>5600.8594132960006</v>
      </c>
      <c r="R542" s="777">
        <f>$H$22*$H$9*'Traffic Data'!AT44*annualizationFactor</f>
        <v>6258.5424170640017</v>
      </c>
      <c r="S542" s="777">
        <f>$H$22*$H$9*'Traffic Data'!AU44*annualizationFactor</f>
        <v>6916.1164306640003</v>
      </c>
      <c r="T542" s="777">
        <f>$H$22*$H$9*'Traffic Data'!AV44*annualizationFactor</f>
        <v>7573.6904442639989</v>
      </c>
      <c r="U542" s="777">
        <f>$H$22*$H$9*'Traffic Data'!AW44*annualizationFactor</f>
        <v>8232.136379208001</v>
      </c>
      <c r="V542" s="777">
        <f>$H$22*$H$9*'Traffic Data'!AX44*annualizationFactor</f>
        <v>8558.4892722559998</v>
      </c>
      <c r="W542" s="777">
        <f>$H$22*$H$9*'Traffic Data'!AY44*annualizationFactor</f>
        <v>8647.3162591760029</v>
      </c>
      <c r="X542" s="777">
        <f>$H$22*$H$9*'Traffic Data'!AZ44*annualizationFactor</f>
        <v>8736.1432460960004</v>
      </c>
      <c r="Y542" s="777">
        <f>$H$22*$H$9*'Traffic Data'!BA44*annualizationFactor</f>
        <v>8824.9702330160017</v>
      </c>
      <c r="Z542" s="777">
        <f>$H$22*$H$9*'Traffic Data'!BB44*annualizationFactor</f>
        <v>8914.0515303280008</v>
      </c>
      <c r="AA542" s="777">
        <f>$H$22*$H$9*'Traffic Data'!BC44*annualizationFactor</f>
        <v>9002.8785172480002</v>
      </c>
      <c r="AB542" s="777">
        <f>$H$22*$H$9*'Traffic Data'!BD44*annualizationFactor</f>
        <v>9091.9598145599994</v>
      </c>
      <c r="AC542" s="777">
        <f>$H$22*$H$9*'Traffic Data'!BE44*annualizationFactor</f>
        <v>9180.7868014799988</v>
      </c>
      <c r="AD542" s="777">
        <f>$H$22*$H$9*'Traffic Data'!BF44*annualizationFactor</f>
        <v>9269.6137884</v>
      </c>
      <c r="AE542" s="777">
        <f>$H$22*$H$9*'Traffic Data'!BG44*annualizationFactor</f>
        <v>9358.6950857119991</v>
      </c>
      <c r="AF542" s="777">
        <f>$H$22*$H$9*'Traffic Data'!BH44*annualizationFactor</f>
        <v>9447.5220726319985</v>
      </c>
      <c r="AG542" s="777">
        <f>$H$22*$H$9*'Traffic Data'!BI44*annualizationFactor</f>
        <v>9536.3490595519997</v>
      </c>
      <c r="AH542" s="778">
        <f>$H$22*$H$9*'Traffic Data'!BJ44*annualizationFactor</f>
        <v>9625.4303568639989</v>
      </c>
      <c r="AI542" s="25"/>
      <c r="AJ542" s="25"/>
      <c r="AK542" s="25"/>
      <c r="AL542" s="25"/>
      <c r="AM542" s="25"/>
    </row>
    <row r="543" spans="2:39" s="1" customFormat="1" ht="21.95" customHeight="1" x14ac:dyDescent="0.2">
      <c r="B543" s="1346"/>
      <c r="C543" s="116" t="s">
        <v>288</v>
      </c>
      <c r="D543" s="116" t="s">
        <v>340</v>
      </c>
      <c r="E543" s="116" t="s">
        <v>467</v>
      </c>
      <c r="F543" s="116" t="s">
        <v>40</v>
      </c>
      <c r="G543" s="970"/>
      <c r="H543" s="970"/>
      <c r="I543" s="777">
        <f>$H$22*$H$9*'Traffic Data'!AK45*annualizationFactor</f>
        <v>0</v>
      </c>
      <c r="J543" s="777">
        <f>$H$22*$H$9*'Traffic Data'!AL45*annualizationFactor</f>
        <v>621.34775776000004</v>
      </c>
      <c r="K543" s="777">
        <f>$H$22*$H$9*'Traffic Data'!AM45*annualizationFactor</f>
        <v>1779.4604154020001</v>
      </c>
      <c r="L543" s="777">
        <f>$H$22*$H$9*'Traffic Data'!AN45*annualizationFactor</f>
        <v>4000.1156258719998</v>
      </c>
      <c r="M543" s="777">
        <f>$H$22*$H$9*'Traffic Data'!AO45*annualizationFactor</f>
        <v>6222.0021657400002</v>
      </c>
      <c r="N543" s="777">
        <f>$H$22*$H$9*'Traffic Data'!AP45*annualizationFactor</f>
        <v>8443.9834232539979</v>
      </c>
      <c r="O543" s="777">
        <f>$H$22*$H$9*'Traffic Data'!AQ45*annualizationFactor</f>
        <v>10664.638633723998</v>
      </c>
      <c r="P543" s="777">
        <f>$H$22*$H$9*'Traffic Data'!AR45*annualizationFactor</f>
        <v>12887.851220635997</v>
      </c>
      <c r="Q543" s="777">
        <f>$H$22*$H$9*'Traffic Data'!AS45*annualizationFactor</f>
        <v>14602.240613236001</v>
      </c>
      <c r="R543" s="777">
        <f>$H$22*$H$9*'Traffic Data'!AT45*annualizationFactor</f>
        <v>16316.914158774001</v>
      </c>
      <c r="S543" s="777">
        <f>$H$22*$H$9*'Traffic Data'!AU45*annualizationFactor</f>
        <v>18031.303551373996</v>
      </c>
      <c r="T543" s="777">
        <f>$H$22*$H$9*'Traffic Data'!AV45*annualizationFactor</f>
        <v>19745.692943973998</v>
      </c>
      <c r="U543" s="777">
        <f>$H$22*$H$9*'Traffic Data'!AW45*annualizationFactor</f>
        <v>21462.355560078002</v>
      </c>
      <c r="V543" s="777">
        <f>$H$22*$H$9*'Traffic Data'!AX45*annualizationFactor</f>
        <v>22313.204174095998</v>
      </c>
      <c r="W543" s="777">
        <f>$H$22*$H$9*'Traffic Data'!AY45*annualizationFactor</f>
        <v>22544.788818565998</v>
      </c>
      <c r="X543" s="777">
        <f>$H$22*$H$9*'Traffic Data'!AZ45*annualizationFactor</f>
        <v>22776.373463035998</v>
      </c>
      <c r="Y543" s="777">
        <f>$H$22*$H$9*'Traffic Data'!BA45*annualizationFactor</f>
        <v>23007.958107506001</v>
      </c>
      <c r="Z543" s="777">
        <f>$H$22*$H$9*'Traffic Data'!BB45*annualizationFactor</f>
        <v>23240.205775498005</v>
      </c>
      <c r="AA543" s="777">
        <f>$H$22*$H$9*'Traffic Data'!BC45*annualizationFactor</f>
        <v>23471.790419967998</v>
      </c>
      <c r="AB543" s="777">
        <f>$H$22*$H$9*'Traffic Data'!BD45*annualizationFactor</f>
        <v>23704.038087959994</v>
      </c>
      <c r="AC543" s="777">
        <f>$H$22*$H$9*'Traffic Data'!BE45*annualizationFactor</f>
        <v>23935.622732429994</v>
      </c>
      <c r="AD543" s="777">
        <f>$H$22*$H$9*'Traffic Data'!BF45*annualizationFactor</f>
        <v>24167.207376899998</v>
      </c>
      <c r="AE543" s="777">
        <f>$H$22*$H$9*'Traffic Data'!BG45*annualizationFactor</f>
        <v>24399.455044891994</v>
      </c>
      <c r="AF543" s="777">
        <f>$H$22*$H$9*'Traffic Data'!BH45*annualizationFactor</f>
        <v>24631.039689361995</v>
      </c>
      <c r="AG543" s="777">
        <f>$H$22*$H$9*'Traffic Data'!BI45*annualizationFactor</f>
        <v>24862.624333831998</v>
      </c>
      <c r="AH543" s="778">
        <f>$H$22*$H$9*'Traffic Data'!BJ45*annualizationFactor</f>
        <v>25094.872001823995</v>
      </c>
      <c r="AI543" s="25"/>
      <c r="AJ543" s="25"/>
      <c r="AK543" s="25"/>
      <c r="AL543" s="25"/>
      <c r="AM543" s="25"/>
    </row>
    <row r="544" spans="2:39" ht="21.95" customHeight="1" x14ac:dyDescent="0.2">
      <c r="B544" s="1346"/>
      <c r="C544" s="254" t="s">
        <v>340</v>
      </c>
      <c r="D544" s="254" t="s">
        <v>280</v>
      </c>
      <c r="E544" s="116" t="s">
        <v>467</v>
      </c>
      <c r="F544" s="116" t="s">
        <v>40</v>
      </c>
      <c r="G544" s="970"/>
      <c r="H544" s="970"/>
      <c r="I544" s="777">
        <f>$H$22*$H$9*'Traffic Data'!AK46*annualizationFactor</f>
        <v>817.42625999999996</v>
      </c>
      <c r="J544" s="777">
        <f>$H$22*$H$9*'Traffic Data'!AL46*annualizationFactor</f>
        <v>1218.5373257819999</v>
      </c>
      <c r="K544" s="777">
        <f>$H$22*$H$9*'Traffic Data'!AM46*annualizationFactor</f>
        <v>1715.614234488</v>
      </c>
      <c r="L544" s="777">
        <f>$H$22*$H$9*'Traffic Data'!AN46*annualizationFactor</f>
        <v>2972.2163764439997</v>
      </c>
      <c r="M544" s="777">
        <f>$H$22*$H$9*'Traffic Data'!AO46*annualizationFactor</f>
        <v>4228.9547561099998</v>
      </c>
      <c r="N544" s="777">
        <f>$H$22*$H$9*'Traffic Data'!AP46*annualizationFactor</f>
        <v>5486.3198292420011</v>
      </c>
      <c r="O544" s="777">
        <f>$H$22*$H$9*'Traffic Data'!AQ46*annualizationFactor</f>
        <v>6742.9219711980004</v>
      </c>
      <c r="P544" s="777">
        <f>$H$22*$H$9*'Traffic Data'!AR46*annualizationFactor</f>
        <v>7999.1154000239985</v>
      </c>
      <c r="Q544" s="777">
        <f>$H$22*$H$9*'Traffic Data'!AS46*annualizationFactor</f>
        <v>11196.641701265999</v>
      </c>
      <c r="R544" s="777">
        <f>$H$22*$H$9*'Traffic Data'!AT46*annualizationFactor</f>
        <v>14392.914615576001</v>
      </c>
      <c r="S544" s="777">
        <f>$H$22*$H$9*'Traffic Data'!AU46*annualizationFactor</f>
        <v>17588.942302007999</v>
      </c>
      <c r="T544" s="777">
        <f>$H$22*$H$9*'Traffic Data'!AV46*annualizationFactor</f>
        <v>20786.468603249999</v>
      </c>
      <c r="U544" s="777">
        <f>$H$22*$H$9*'Traffic Data'!AW46*annualizationFactor</f>
        <v>23983.586191362003</v>
      </c>
      <c r="V544" s="777">
        <f>$H$22*$H$9*'Traffic Data'!AX46*annualizationFactor</f>
        <v>26420.633595384003</v>
      </c>
      <c r="W544" s="777">
        <f>$H$22*$H$9*'Traffic Data'!AY46*annualizationFactor</f>
        <v>26821.744661165998</v>
      </c>
      <c r="X544" s="777">
        <f>$H$22*$H$9*'Traffic Data'!AZ46*annualizationFactor</f>
        <v>27222.855726948004</v>
      </c>
      <c r="Y544" s="777">
        <f>$H$22*$H$9*'Traffic Data'!BA46*annualizationFactor</f>
        <v>27623.966792730003</v>
      </c>
      <c r="Z544" s="777">
        <f>$H$22*$H$9*'Traffic Data'!BB46*annualizationFactor</f>
        <v>28023.851719122002</v>
      </c>
      <c r="AA544" s="777">
        <f>$H$22*$H$9*'Traffic Data'!BC46*annualizationFactor</f>
        <v>28424.962784904001</v>
      </c>
      <c r="AB544" s="777">
        <f>$H$22*$H$9*'Traffic Data'!BD46*annualizationFactor</f>
        <v>28824.847711296003</v>
      </c>
      <c r="AC544" s="777">
        <f>$H$22*$H$9*'Traffic Data'!BE46*annualizationFactor</f>
        <v>29225.958777077998</v>
      </c>
      <c r="AD544" s="777">
        <f>$H$22*$H$9*'Traffic Data'!BF46*annualizationFactor</f>
        <v>29627.069842860004</v>
      </c>
      <c r="AE544" s="777">
        <f>$H$22*$H$9*'Traffic Data'!BG46*annualizationFactor</f>
        <v>30026.954769252003</v>
      </c>
      <c r="AF544" s="777">
        <f>$H$22*$H$9*'Traffic Data'!BH46*annualizationFactor</f>
        <v>30428.065835034002</v>
      </c>
      <c r="AG544" s="777">
        <f>$H$22*$H$9*'Traffic Data'!BI46*annualizationFactor</f>
        <v>30829.176900815997</v>
      </c>
      <c r="AH544" s="778">
        <f>$H$22*$H$9*'Traffic Data'!BJ46*annualizationFactor</f>
        <v>31229.061827207999</v>
      </c>
      <c r="AI544" s="26"/>
      <c r="AJ544" s="26"/>
      <c r="AK544" s="26"/>
      <c r="AL544" s="26"/>
      <c r="AM544" s="26"/>
    </row>
    <row r="545" spans="2:39" ht="21.95" customHeight="1" x14ac:dyDescent="0.2">
      <c r="B545" s="1346" t="s">
        <v>334</v>
      </c>
      <c r="C545" s="116" t="s">
        <v>336</v>
      </c>
      <c r="D545" s="116" t="s">
        <v>337</v>
      </c>
      <c r="E545" s="220" t="s">
        <v>467</v>
      </c>
      <c r="F545" s="220" t="s">
        <v>40</v>
      </c>
      <c r="G545" s="775"/>
      <c r="H545" s="775"/>
      <c r="I545" s="775">
        <f>$H$22*$I$9*'Traffic Data'!AK47*annualizationFactor</f>
        <v>16348.525199999998</v>
      </c>
      <c r="J545" s="775">
        <f>$H$22*$I$9*'Traffic Data'!AL47*annualizationFactor</f>
        <v>16801.379348039998</v>
      </c>
      <c r="K545" s="775">
        <f>$H$22*$I$9*'Traffic Data'!AM47*annualizationFactor</f>
        <v>17532.216812069997</v>
      </c>
      <c r="L545" s="775">
        <f>$H$22*$I$9*'Traffic Data'!AN47*annualizationFactor</f>
        <v>18576.303696449995</v>
      </c>
      <c r="M545" s="775">
        <f>$H$22*$I$9*'Traffic Data'!AO47*annualizationFactor</f>
        <v>19620.857681549998</v>
      </c>
      <c r="N545" s="775">
        <f>$H$22*$I$9*'Traffic Data'!AP47*annualizationFactor</f>
        <v>20665.35327906</v>
      </c>
      <c r="O545" s="775">
        <f>$H$22*$I$9*'Traffic Data'!AQ47*annualizationFactor</f>
        <v>21709.440163440002</v>
      </c>
      <c r="P545" s="775">
        <f>$H$22*$I$9*'Traffic Data'!AR47*annualizationFactor</f>
        <v>22754.461249259995</v>
      </c>
      <c r="Q545" s="775">
        <f>$H$22*$I$9*'Traffic Data'!AS47*annualizationFactor</f>
        <v>23684.633945549991</v>
      </c>
      <c r="R545" s="775">
        <f>$H$22*$I$9*'Traffic Data'!AT47*annualizationFactor</f>
        <v>24615.098579789996</v>
      </c>
      <c r="S545" s="775">
        <f>$H$22*$I$9*'Traffic Data'!AU47*annualizationFactor</f>
        <v>25545.271276079995</v>
      </c>
      <c r="T545" s="775">
        <f>$H$22*$I$9*'Traffic Data'!AV47*annualizationFactor</f>
        <v>26475.443972369994</v>
      </c>
      <c r="U545" s="775">
        <f>$H$22*$I$9*'Traffic Data'!AW47*annualizationFactor</f>
        <v>27406.550870099996</v>
      </c>
      <c r="V545" s="775">
        <f>$H$22*$I$9*'Traffic Data'!AX47*annualizationFactor</f>
        <v>28023.007045319999</v>
      </c>
      <c r="W545" s="775">
        <f>$H$22*$I$9*'Traffic Data'!AY47*annualizationFactor</f>
        <v>28475.861193359997</v>
      </c>
      <c r="X545" s="775">
        <f>$H$22*$I$9*'Traffic Data'!AZ47*annualizationFactor</f>
        <v>28928.715341399995</v>
      </c>
      <c r="Y545" s="775">
        <f>$H$22*$I$9*'Traffic Data'!BA47*annualizationFactor</f>
        <v>29381.569489439993</v>
      </c>
      <c r="Z545" s="775">
        <f>$H$22*$I$9*'Traffic Data'!BB47*annualizationFactor</f>
        <v>29834.715575429993</v>
      </c>
      <c r="AA545" s="775">
        <f>$H$22*$I$9*'Traffic Data'!BC47*annualizationFactor</f>
        <v>30287.569723469998</v>
      </c>
      <c r="AB545" s="775">
        <f>$H$22*$I$9*'Traffic Data'!BD47*annualizationFactor</f>
        <v>30740.715809459994</v>
      </c>
      <c r="AC545" s="775">
        <f>$H$22*$I$9*'Traffic Data'!BE47*annualizationFactor</f>
        <v>31193.569957499993</v>
      </c>
      <c r="AD545" s="775">
        <f>$H$22*$I$9*'Traffic Data'!BF47*annualizationFactor</f>
        <v>31646.424105539994</v>
      </c>
      <c r="AE545" s="775">
        <f>$H$22*$I$9*'Traffic Data'!BG47*annualizationFactor</f>
        <v>32099.570191529991</v>
      </c>
      <c r="AF545" s="775">
        <f>$H$22*$I$9*'Traffic Data'!BH47*annualizationFactor</f>
        <v>32552.424339569989</v>
      </c>
      <c r="AG545" s="775">
        <f>$H$22*$I$9*'Traffic Data'!BI47*annualizationFactor</f>
        <v>33005.27848760999</v>
      </c>
      <c r="AH545" s="776">
        <f>$H$22*$I$9*'Traffic Data'!BJ47*annualizationFactor</f>
        <v>33458.424573599987</v>
      </c>
      <c r="AI545" s="26"/>
      <c r="AJ545" s="26"/>
      <c r="AK545" s="26"/>
      <c r="AL545" s="26"/>
      <c r="AM545" s="26"/>
    </row>
    <row r="546" spans="2:39" ht="21.95" customHeight="1" x14ac:dyDescent="0.2">
      <c r="B546" s="1346"/>
      <c r="C546" s="116" t="s">
        <v>337</v>
      </c>
      <c r="D546" s="116" t="s">
        <v>386</v>
      </c>
      <c r="E546" s="116" t="s">
        <v>467</v>
      </c>
      <c r="F546" s="116" t="s">
        <v>40</v>
      </c>
      <c r="G546" s="970"/>
      <c r="H546" s="970"/>
      <c r="I546" s="777">
        <f>$H$22*$I$9*'Traffic Data'!AK48*annualizationFactor</f>
        <v>25690.539599999996</v>
      </c>
      <c r="J546" s="777">
        <f>$H$22*$I$9*'Traffic Data'!AL48*annualizationFactor</f>
        <v>25741.920679199993</v>
      </c>
      <c r="K546" s="777">
        <f>$H$22*$I$9*'Traffic Data'!AM48*annualizationFactor</f>
        <v>25793.301758399994</v>
      </c>
      <c r="L546" s="777">
        <f>$H$22*$I$9*'Traffic Data'!AN48*annualizationFactor</f>
        <v>25844.682837599998</v>
      </c>
      <c r="M546" s="777">
        <f>$H$22*$I$9*'Traffic Data'!AO48*annualizationFactor</f>
        <v>25896.063916799994</v>
      </c>
      <c r="N546" s="777">
        <f>$H$22*$I$9*'Traffic Data'!AP48*annualizationFactor</f>
        <v>25947.444995999995</v>
      </c>
      <c r="O546" s="777">
        <f>$H$22*$I$9*'Traffic Data'!AQ48*annualizationFactor</f>
        <v>25998.826075199999</v>
      </c>
      <c r="P546" s="777">
        <f>$H$22*$I$9*'Traffic Data'!AR48*annualizationFactor</f>
        <v>26050.207154399995</v>
      </c>
      <c r="Q546" s="777">
        <f>$H$22*$I$9*'Traffic Data'!AS48*annualizationFactor</f>
        <v>26101.588233599996</v>
      </c>
      <c r="R546" s="777">
        <f>$H$22*$I$9*'Traffic Data'!AT48*annualizationFactor</f>
        <v>26101.588233599996</v>
      </c>
      <c r="S546" s="777">
        <f>$H$22*$I$9*'Traffic Data'!AU48*annualizationFactor</f>
        <v>26718.032731301995</v>
      </c>
      <c r="T546" s="777">
        <f>$H$22*$I$9*'Traffic Data'!AV48*annualizationFactor</f>
        <v>27398.014604441993</v>
      </c>
      <c r="U546" s="777">
        <f>$H$22*$I$9*'Traffic Data'!AW48*annualizationFactor</f>
        <v>28078.41686822999</v>
      </c>
      <c r="V546" s="777">
        <f>$H$22*$I$9*'Traffic Data'!AX48*annualizationFactor</f>
        <v>28626.921566207995</v>
      </c>
      <c r="W546" s="777">
        <f>$H$22*$I$9*'Traffic Data'!AY48*annualizationFactor</f>
        <v>29077.265047877991</v>
      </c>
      <c r="X546" s="777">
        <f>$H$22*$I$9*'Traffic Data'!AZ48*annualizationFactor</f>
        <v>29527.608529547986</v>
      </c>
      <c r="Y546" s="777">
        <f>$H$22*$I$9*'Traffic Data'!BA48*annualizationFactor</f>
        <v>29977.952011217989</v>
      </c>
      <c r="Z546" s="777">
        <f>$H$22*$I$9*'Traffic Data'!BB48*annualizationFactor</f>
        <v>30428.400590549991</v>
      </c>
      <c r="AA546" s="777">
        <f>$H$22*$I$9*'Traffic Data'!BC48*annualizationFactor</f>
        <v>30878.744072219986</v>
      </c>
      <c r="AB546" s="777">
        <f>$H$22*$I$9*'Traffic Data'!BD48*annualizationFactor</f>
        <v>31329.192651551992</v>
      </c>
      <c r="AC546" s="777">
        <f>$H$22*$I$9*'Traffic Data'!BE48*annualizationFactor</f>
        <v>31779.536133221991</v>
      </c>
      <c r="AD546" s="777">
        <f>$H$22*$I$9*'Traffic Data'!BF48*annualizationFactor</f>
        <v>32229.879614891986</v>
      </c>
      <c r="AE546" s="777">
        <f>$H$22*$I$9*'Traffic Data'!BG48*annualizationFactor</f>
        <v>32680.328194223992</v>
      </c>
      <c r="AF546" s="777">
        <f>$H$22*$I$9*'Traffic Data'!BH48*annualizationFactor</f>
        <v>33130.67167589398</v>
      </c>
      <c r="AG546" s="777">
        <f>$H$22*$I$9*'Traffic Data'!BI48*annualizationFactor</f>
        <v>33581.01515756399</v>
      </c>
      <c r="AH546" s="778">
        <f>$H$22*$I$9*'Traffic Data'!BJ48*annualizationFactor</f>
        <v>34031.463736895988</v>
      </c>
      <c r="AI546" s="26"/>
      <c r="AJ546" s="26"/>
      <c r="AK546" s="26"/>
      <c r="AL546" s="26"/>
      <c r="AM546" s="26"/>
    </row>
    <row r="547" spans="2:39" ht="21.95" customHeight="1" x14ac:dyDescent="0.2">
      <c r="B547" s="1346"/>
      <c r="C547" s="116" t="s">
        <v>342</v>
      </c>
      <c r="D547" s="116" t="s">
        <v>341</v>
      </c>
      <c r="E547" s="116" t="s">
        <v>467</v>
      </c>
      <c r="F547" s="116" t="s">
        <v>40</v>
      </c>
      <c r="G547" s="970"/>
      <c r="H547" s="970"/>
      <c r="I547" s="777">
        <f>$H$22*$I$9*'Traffic Data'!AK49*annualizationFactor</f>
        <v>33397.701479999996</v>
      </c>
      <c r="J547" s="777">
        <f>$H$22*$I$9*'Traffic Data'!AL49*annualizationFactor</f>
        <v>33464.496882959997</v>
      </c>
      <c r="K547" s="777">
        <f>$H$22*$I$9*'Traffic Data'!AM49*annualizationFactor</f>
        <v>33531.292285919997</v>
      </c>
      <c r="L547" s="777">
        <f>$H$22*$I$9*'Traffic Data'!AN49*annualizationFactor</f>
        <v>33598.087688879998</v>
      </c>
      <c r="M547" s="777">
        <f>$H$22*$I$9*'Traffic Data'!AO49*annualizationFactor</f>
        <v>33664.883091839991</v>
      </c>
      <c r="N547" s="777">
        <f>$H$22*$I$9*'Traffic Data'!AP49*annualizationFactor</f>
        <v>33731.678494799991</v>
      </c>
      <c r="O547" s="777">
        <f>$H$22*$I$9*'Traffic Data'!AQ49*annualizationFactor</f>
        <v>33798.473897759999</v>
      </c>
      <c r="P547" s="777">
        <f>$H$22*$I$9*'Traffic Data'!AR49*annualizationFactor</f>
        <v>33865.26930072</v>
      </c>
      <c r="Q547" s="777">
        <f>$H$22*$I$9*'Traffic Data'!AS49*annualizationFactor</f>
        <v>33932.064703679993</v>
      </c>
      <c r="R547" s="777">
        <f>$H$22*$I$9*'Traffic Data'!AT49*annualizationFactor</f>
        <v>33932.064703679993</v>
      </c>
      <c r="S547" s="777">
        <f>$H$22*$I$9*'Traffic Data'!AU49*annualizationFactor</f>
        <v>34733.442550692598</v>
      </c>
      <c r="T547" s="777">
        <f>$H$22*$I$9*'Traffic Data'!AV49*annualizationFactor</f>
        <v>35617.418985774588</v>
      </c>
      <c r="U547" s="777">
        <f>$H$22*$I$9*'Traffic Data'!AW49*annualizationFactor</f>
        <v>36501.941928698987</v>
      </c>
      <c r="V547" s="777">
        <f>$H$22*$I$9*'Traffic Data'!AX49*annualizationFactor</f>
        <v>37214.998036070385</v>
      </c>
      <c r="W547" s="777">
        <f>$H$22*$I$9*'Traffic Data'!AY49*annualizationFactor</f>
        <v>37800.444562241384</v>
      </c>
      <c r="X547" s="777">
        <f>$H$22*$I$9*'Traffic Data'!AZ49*annualizationFactor</f>
        <v>38385.891088412383</v>
      </c>
      <c r="Y547" s="777">
        <f>$H$22*$I$9*'Traffic Data'!BA49*annualizationFactor</f>
        <v>38971.33761458339</v>
      </c>
      <c r="Z547" s="777">
        <f>$H$22*$I$9*'Traffic Data'!BB49*annualizationFactor</f>
        <v>39556.92076771499</v>
      </c>
      <c r="AA547" s="777">
        <f>$H$22*$I$9*'Traffic Data'!BC49*annualizationFactor</f>
        <v>40142.367293885989</v>
      </c>
      <c r="AB547" s="777">
        <f>$H$22*$I$9*'Traffic Data'!BD49*annualizationFactor</f>
        <v>40727.950447017589</v>
      </c>
      <c r="AC547" s="777">
        <f>$H$22*$I$9*'Traffic Data'!BE49*annualizationFactor</f>
        <v>41313.396973188588</v>
      </c>
      <c r="AD547" s="777">
        <f>$H$22*$I$9*'Traffic Data'!BF49*annualizationFactor</f>
        <v>41898.843499359587</v>
      </c>
      <c r="AE547" s="777">
        <f>$H$22*$I$9*'Traffic Data'!BG49*annualizationFactor</f>
        <v>42484.426652491187</v>
      </c>
      <c r="AF547" s="777">
        <f>$H$22*$I$9*'Traffic Data'!BH49*annualizationFactor</f>
        <v>43069.873178662187</v>
      </c>
      <c r="AG547" s="777">
        <f>$H$22*$I$9*'Traffic Data'!BI49*annualizationFactor</f>
        <v>43655.319704833179</v>
      </c>
      <c r="AH547" s="778">
        <f>$H$22*$I$9*'Traffic Data'!BJ49*annualizationFactor</f>
        <v>44240.902857964793</v>
      </c>
      <c r="AI547" s="26"/>
      <c r="AJ547" s="26"/>
      <c r="AK547" s="26"/>
      <c r="AL547" s="26"/>
      <c r="AM547" s="26"/>
    </row>
    <row r="548" spans="2:39" s="1" customFormat="1" ht="21.95" customHeight="1" x14ac:dyDescent="0.2">
      <c r="B548" s="1346"/>
      <c r="C548" s="116" t="s">
        <v>341</v>
      </c>
      <c r="D548" s="116" t="s">
        <v>344</v>
      </c>
      <c r="E548" s="116" t="s">
        <v>467</v>
      </c>
      <c r="F548" s="116" t="s">
        <v>40</v>
      </c>
      <c r="G548" s="970"/>
      <c r="H548" s="970"/>
      <c r="I548" s="777">
        <f>$H$22*$I$9*'Traffic Data'!AK50*annualizationFactor</f>
        <v>37041.087095999996</v>
      </c>
      <c r="J548" s="777">
        <f>$H$22*$I$9*'Traffic Data'!AL50*annualizationFactor</f>
        <v>37115.169270191989</v>
      </c>
      <c r="K548" s="777">
        <f>$H$22*$I$9*'Traffic Data'!AM50*annualizationFactor</f>
        <v>37189.251444383997</v>
      </c>
      <c r="L548" s="777">
        <f>$H$22*$I$9*'Traffic Data'!AN50*annualizationFactor</f>
        <v>37263.333618575991</v>
      </c>
      <c r="M548" s="777">
        <f>$H$22*$I$9*'Traffic Data'!AO50*annualizationFactor</f>
        <v>37337.415792767992</v>
      </c>
      <c r="N548" s="777">
        <f>$H$22*$I$9*'Traffic Data'!AP50*annualizationFactor</f>
        <v>37411.497966959992</v>
      </c>
      <c r="O548" s="777">
        <f>$H$22*$I$9*'Traffic Data'!AQ50*annualizationFactor</f>
        <v>37485.580141151993</v>
      </c>
      <c r="P548" s="777">
        <f>$H$22*$I$9*'Traffic Data'!AR50*annualizationFactor</f>
        <v>37559.662315343994</v>
      </c>
      <c r="Q548" s="777">
        <f>$H$22*$I$9*'Traffic Data'!AS50*annualizationFactor</f>
        <v>37633.744489535995</v>
      </c>
      <c r="R548" s="777">
        <f>$H$22*$I$9*'Traffic Data'!AT50*annualizationFactor</f>
        <v>37633.744489535995</v>
      </c>
      <c r="S548" s="777">
        <f>$H$22*$I$9*'Traffic Data'!AU50*annualizationFactor</f>
        <v>37811.359921338575</v>
      </c>
      <c r="T548" s="777">
        <f>$H$22*$I$9*'Traffic Data'!AV50*annualizationFactor</f>
        <v>38439.414490032104</v>
      </c>
      <c r="U548" s="777">
        <f>$H$22*$I$9*'Traffic Data'!AW50*annualizationFactor</f>
        <v>39051.462180334267</v>
      </c>
      <c r="V548" s="777">
        <f>$H$22*$I$9*'Traffic Data'!AX50*annualizationFactor</f>
        <v>39465.074071174335</v>
      </c>
      <c r="W548" s="777">
        <f>$H$22*$I$9*'Traffic Data'!AY50*annualizationFactor</f>
        <v>39731.174961420496</v>
      </c>
      <c r="X548" s="777">
        <f>$H$22*$I$9*'Traffic Data'!AZ50*annualizationFactor</f>
        <v>40346.524294774368</v>
      </c>
      <c r="Y548" s="777">
        <f>$H$22*$I$9*'Traffic Data'!BA50*annualizationFactor</f>
        <v>40961.873628128262</v>
      </c>
      <c r="Z548" s="777">
        <f>$H$22*$I$9*'Traffic Data'!BB50*annualizationFactor</f>
        <v>41577.366566927514</v>
      </c>
      <c r="AA548" s="777">
        <f>$H$22*$I$9*'Traffic Data'!BC50*annualizationFactor</f>
        <v>42192.715900281393</v>
      </c>
      <c r="AB548" s="777">
        <f>$H$22*$I$9*'Traffic Data'!BD50*annualizationFactor</f>
        <v>42808.208839080646</v>
      </c>
      <c r="AC548" s="777">
        <f>$H$22*$I$9*'Traffic Data'!BE50*annualizationFactor</f>
        <v>43423.558172434525</v>
      </c>
      <c r="AD548" s="777">
        <f>$H$22*$I$9*'Traffic Data'!BF50*annualizationFactor</f>
        <v>44038.907505788418</v>
      </c>
      <c r="AE548" s="777">
        <f>$H$22*$I$9*'Traffic Data'!BG50*annualizationFactor</f>
        <v>44654.400444587656</v>
      </c>
      <c r="AF548" s="777">
        <f>$H$22*$I$9*'Traffic Data'!BH50*annualizationFactor</f>
        <v>45269.749777941543</v>
      </c>
      <c r="AG548" s="777">
        <f>$H$22*$I$9*'Traffic Data'!BI50*annualizationFactor</f>
        <v>45885.099111295436</v>
      </c>
      <c r="AH548" s="778">
        <f>$H$22*$I$9*'Traffic Data'!BJ50*annualizationFactor</f>
        <v>46500.592050094681</v>
      </c>
      <c r="AI548" s="25"/>
      <c r="AJ548" s="25"/>
      <c r="AK548" s="25"/>
      <c r="AL548" s="25"/>
      <c r="AM548" s="25"/>
    </row>
    <row r="549" spans="2:39" s="1" customFormat="1" ht="21.95" customHeight="1" x14ac:dyDescent="0.2">
      <c r="B549" s="1346"/>
      <c r="C549" s="116" t="s">
        <v>344</v>
      </c>
      <c r="D549" s="116" t="s">
        <v>345</v>
      </c>
      <c r="E549" s="116" t="s">
        <v>467</v>
      </c>
      <c r="F549" s="116" t="s">
        <v>40</v>
      </c>
      <c r="G549" s="970"/>
      <c r="H549" s="970"/>
      <c r="I549" s="777">
        <f>$H$22*$I$9*'Traffic Data'!AK51*annualizationFactor</f>
        <v>15180.773399999998</v>
      </c>
      <c r="J549" s="777">
        <f>$H$22*$I$9*'Traffic Data'!AL51*annualizationFactor</f>
        <v>15211.134946799997</v>
      </c>
      <c r="K549" s="777">
        <f>$H$22*$I$9*'Traffic Data'!AM51*annualizationFactor</f>
        <v>15241.496493599998</v>
      </c>
      <c r="L549" s="777">
        <f>$H$22*$I$9*'Traffic Data'!AN51*annualizationFactor</f>
        <v>15271.858040399997</v>
      </c>
      <c r="M549" s="777">
        <f>$H$22*$I$9*'Traffic Data'!AO51*annualizationFactor</f>
        <v>15302.219587199996</v>
      </c>
      <c r="N549" s="777">
        <f>$H$22*$I$9*'Traffic Data'!AP51*annualizationFactor</f>
        <v>15332.581133999996</v>
      </c>
      <c r="O549" s="777">
        <f>$H$22*$I$9*'Traffic Data'!AQ51*annualizationFactor</f>
        <v>15362.942680799999</v>
      </c>
      <c r="P549" s="777">
        <f>$H$22*$I$9*'Traffic Data'!AR51*annualizationFactor</f>
        <v>15393.304227599998</v>
      </c>
      <c r="Q549" s="777">
        <f>$H$22*$I$9*'Traffic Data'!AS51*annualizationFactor</f>
        <v>15423.665774399997</v>
      </c>
      <c r="R549" s="777">
        <f>$H$22*$I$9*'Traffic Data'!AT51*annualizationFactor</f>
        <v>15423.665774399997</v>
      </c>
      <c r="S549" s="777">
        <f>$H$22*$I$9*'Traffic Data'!AU51*annualizationFactor</f>
        <v>15496.458984155155</v>
      </c>
      <c r="T549" s="777">
        <f>$H$22*$I$9*'Traffic Data'!AV51*annualizationFactor</f>
        <v>15753.858397554142</v>
      </c>
      <c r="U549" s="777">
        <f>$H$22*$I$9*'Traffic Data'!AW51*annualizationFactor</f>
        <v>16004.697614891093</v>
      </c>
      <c r="V549" s="777">
        <f>$H$22*$I$9*'Traffic Data'!AX51*annualizationFactor</f>
        <v>16174.210684907515</v>
      </c>
      <c r="W549" s="777">
        <f>$H$22*$I$9*'Traffic Data'!AY51*annualizationFactor</f>
        <v>16283.268426811677</v>
      </c>
      <c r="X549" s="777">
        <f>$H$22*$I$9*'Traffic Data'!AZ51*annualizationFactor</f>
        <v>16535.460776546875</v>
      </c>
      <c r="Y549" s="777">
        <f>$H$22*$I$9*'Traffic Data'!BA51*annualizationFactor</f>
        <v>16787.653126282075</v>
      </c>
      <c r="Z549" s="777">
        <f>$H$22*$I$9*'Traffic Data'!BB51*annualizationFactor</f>
        <v>17039.904330707996</v>
      </c>
      <c r="AA549" s="777">
        <f>$H$22*$I$9*'Traffic Data'!BC51*annualizationFactor</f>
        <v>17292.096680443192</v>
      </c>
      <c r="AB549" s="777">
        <f>$H$22*$I$9*'Traffic Data'!BD51*annualizationFactor</f>
        <v>17544.347884869116</v>
      </c>
      <c r="AC549" s="777">
        <f>$H$22*$I$9*'Traffic Data'!BE51*annualizationFactor</f>
        <v>17796.540234604316</v>
      </c>
      <c r="AD549" s="777">
        <f>$H$22*$I$9*'Traffic Data'!BF51*annualizationFactor</f>
        <v>18048.732584339516</v>
      </c>
      <c r="AE549" s="777">
        <f>$H$22*$I$9*'Traffic Data'!BG51*annualizationFactor</f>
        <v>18300.983788765436</v>
      </c>
      <c r="AF549" s="777">
        <f>$H$22*$I$9*'Traffic Data'!BH51*annualizationFactor</f>
        <v>18553.176138500632</v>
      </c>
      <c r="AG549" s="777">
        <f>$H$22*$I$9*'Traffic Data'!BI51*annualizationFactor</f>
        <v>18805.368488235836</v>
      </c>
      <c r="AH549" s="778">
        <f>$H$22*$I$9*'Traffic Data'!BJ51*annualizationFactor</f>
        <v>19057.619692661756</v>
      </c>
      <c r="AI549" s="25"/>
      <c r="AJ549" s="25"/>
      <c r="AK549" s="25"/>
      <c r="AL549" s="25"/>
      <c r="AM549" s="25"/>
    </row>
    <row r="550" spans="2:39" ht="21.95" customHeight="1" x14ac:dyDescent="0.2">
      <c r="B550" s="1346"/>
      <c r="C550" s="116" t="s">
        <v>345</v>
      </c>
      <c r="D550" s="116" t="s">
        <v>323</v>
      </c>
      <c r="E550" s="116" t="s">
        <v>467</v>
      </c>
      <c r="F550" s="116" t="s">
        <v>40</v>
      </c>
      <c r="G550" s="970"/>
      <c r="H550" s="970"/>
      <c r="I550" s="777">
        <f>$H$22*$I$9*'Traffic Data'!AK52*annualizationFactor</f>
        <v>183103.48223999998</v>
      </c>
      <c r="J550" s="777">
        <f>$H$22*$I$9*'Traffic Data'!AL52*annualizationFactor</f>
        <v>187306.68806891996</v>
      </c>
      <c r="K550" s="777">
        <f>$H$22*$I$9*'Traffic Data'!AM52*annualizationFactor</f>
        <v>193454.71445563194</v>
      </c>
      <c r="L550" s="777">
        <f>$H$22*$I$9*'Traffic Data'!AN52*annualizationFactor</f>
        <v>200827.89932083193</v>
      </c>
      <c r="M550" s="777">
        <f>$H$22*$I$9*'Traffic Data'!AO52*annualizationFactor</f>
        <v>208203.04600905592</v>
      </c>
      <c r="N550" s="777">
        <f>$H$22*$I$9*'Traffic Data'!AP52*annualizationFactor</f>
        <v>215578.84663828803</v>
      </c>
      <c r="O550" s="777">
        <f>$H$22*$I$9*'Traffic Data'!AQ52*annualizationFactor</f>
        <v>222952.03150348799</v>
      </c>
      <c r="P550" s="777">
        <f>$H$22*$I$9*'Traffic Data'!AR52*annualizationFactor</f>
        <v>230329.14001473601</v>
      </c>
      <c r="Q550" s="777">
        <f>$H$22*$I$9*'Traffic Data'!AS52*annualizationFactor</f>
        <v>236675.63749737595</v>
      </c>
      <c r="R550" s="777">
        <f>$H$22*$I$9*'Traffic Data'!AT52*annualizationFactor</f>
        <v>243021.80800951194</v>
      </c>
      <c r="S550" s="777">
        <f>$H$22*$I$9*'Traffic Data'!AU52*annualizationFactor</f>
        <v>249368.30549215194</v>
      </c>
      <c r="T550" s="777">
        <f>$H$22*$I$9*'Traffic Data'!AV52*annualizationFactor</f>
        <v>255714.80297479191</v>
      </c>
      <c r="U550" s="777">
        <f>$H$22*$I$9*'Traffic Data'!AW52*annualizationFactor</f>
        <v>262065.22410347991</v>
      </c>
      <c r="V550" s="777">
        <f>$H$22*$I$9*'Traffic Data'!AX52*annualizationFactor</f>
        <v>267184.6012846079</v>
      </c>
      <c r="W550" s="777">
        <f>$H$22*$I$9*'Traffic Data'!AY52*annualizationFactor</f>
        <v>271387.80711352784</v>
      </c>
      <c r="X550" s="777">
        <f>$H$22*$I$9*'Traffic Data'!AZ52*annualizationFactor</f>
        <v>275591.01294244785</v>
      </c>
      <c r="Y550" s="777">
        <f>$H$22*$I$9*'Traffic Data'!BA52*annualizationFactor</f>
        <v>279794.21877136786</v>
      </c>
      <c r="Z550" s="777">
        <f>$H$22*$I$9*'Traffic Data'!BB52*annualizationFactor</f>
        <v>283998.40551179985</v>
      </c>
      <c r="AA550" s="777">
        <f>$H$22*$I$9*'Traffic Data'!BC52*annualizationFactor</f>
        <v>288201.61134071986</v>
      </c>
      <c r="AB550" s="777">
        <f>$H$22*$I$9*'Traffic Data'!BD52*annualizationFactor</f>
        <v>292405.79808115191</v>
      </c>
      <c r="AC550" s="777">
        <f>$H$22*$I$9*'Traffic Data'!BE52*annualizationFactor</f>
        <v>296609.00391007192</v>
      </c>
      <c r="AD550" s="777">
        <f>$H$22*$I$9*'Traffic Data'!BF52*annualizationFactor</f>
        <v>300812.20973899186</v>
      </c>
      <c r="AE550" s="777">
        <f>$H$22*$I$9*'Traffic Data'!BG52*annualizationFactor</f>
        <v>305016.39647942391</v>
      </c>
      <c r="AF550" s="777">
        <f>$H$22*$I$9*'Traffic Data'!BH52*annualizationFactor</f>
        <v>309219.6023083438</v>
      </c>
      <c r="AG550" s="777">
        <f>$H$22*$I$9*'Traffic Data'!BI52*annualizationFactor</f>
        <v>313422.80813726393</v>
      </c>
      <c r="AH550" s="778">
        <f>$H$22*$I$9*'Traffic Data'!BJ52*annualizationFactor</f>
        <v>317626.99487769592</v>
      </c>
      <c r="AI550" s="26"/>
      <c r="AJ550" s="26"/>
      <c r="AK550" s="26"/>
      <c r="AL550" s="26"/>
      <c r="AM550" s="26"/>
    </row>
    <row r="551" spans="2:39" ht="21.95" customHeight="1" x14ac:dyDescent="0.2">
      <c r="B551" s="1346"/>
      <c r="C551" s="116" t="s">
        <v>323</v>
      </c>
      <c r="D551" s="116" t="s">
        <v>347</v>
      </c>
      <c r="E551" s="116" t="s">
        <v>467</v>
      </c>
      <c r="F551" s="116" t="s">
        <v>40</v>
      </c>
      <c r="G551" s="970"/>
      <c r="H551" s="970"/>
      <c r="I551" s="777">
        <f>$H$22*$I$9*'Traffic Data'!AK53*annualizationFactor</f>
        <v>32697.050399999996</v>
      </c>
      <c r="J551" s="777">
        <f>$H$22*$I$9*'Traffic Data'!AL53*annualizationFactor</f>
        <v>33419.538438659998</v>
      </c>
      <c r="K551" s="777">
        <f>$H$22*$I$9*'Traffic Data'!AM53*annualizationFactor</f>
        <v>34489.257475049992</v>
      </c>
      <c r="L551" s="777">
        <f>$H$22*$I$9*'Traffic Data'!AN53*annualizationFactor</f>
        <v>35846.827330139989</v>
      </c>
      <c r="M551" s="777">
        <f>$H$22*$I$9*'Traffic Data'!AO53*annualizationFactor</f>
        <v>37204.805898359999</v>
      </c>
      <c r="N551" s="777">
        <f>$H$22*$I$9*'Traffic Data'!AP53*annualizationFactor</f>
        <v>38562.702723953989</v>
      </c>
      <c r="O551" s="777">
        <f>$H$22*$I$9*'Traffic Data'!AQ53*annualizationFactor</f>
        <v>39920.272579043987</v>
      </c>
      <c r="P551" s="777">
        <f>$H$22*$I$9*'Traffic Data'!AR53*annualizationFactor</f>
        <v>41278.578117767982</v>
      </c>
      <c r="Q551" s="777">
        <f>$H$22*$I$9*'Traffic Data'!AS53*annualizationFactor</f>
        <v>42485.56637824799</v>
      </c>
      <c r="R551" s="777">
        <f>$H$22*$I$9*'Traffic Data'!AT53*annualizationFactor</f>
        <v>43692.671413907985</v>
      </c>
      <c r="S551" s="777">
        <f>$H$22*$I$9*'Traffic Data'!AU53*annualizationFactor</f>
        <v>44899.659674387985</v>
      </c>
      <c r="T551" s="777">
        <f>$H$22*$I$9*'Traffic Data'!AV53*annualizationFactor</f>
        <v>46106.647934867993</v>
      </c>
      <c r="U551" s="777">
        <f>$H$22*$I$9*'Traffic Data'!AW53*annualizationFactor</f>
        <v>47314.196716211984</v>
      </c>
      <c r="V551" s="777">
        <f>$H$22*$I$9*'Traffic Data'!AX53*annualizationFactor</f>
        <v>48233.007187487987</v>
      </c>
      <c r="W551" s="777">
        <f>$H$22*$I$9*'Traffic Data'!AY53*annualizationFactor</f>
        <v>48955.495226147992</v>
      </c>
      <c r="X551" s="777">
        <f>$H$22*$I$9*'Traffic Data'!AZ53*annualizationFactor</f>
        <v>49677.983264807997</v>
      </c>
      <c r="Y551" s="777">
        <f>$H$22*$I$9*'Traffic Data'!BA53*annualizationFactor</f>
        <v>50400.47130346801</v>
      </c>
      <c r="Z551" s="777">
        <f>$H$22*$I$9*'Traffic Data'!BB53*annualizationFactor</f>
        <v>51123.076117308003</v>
      </c>
      <c r="AA551" s="777">
        <f>$H$22*$I$9*'Traffic Data'!BC53*annualizationFactor</f>
        <v>51845.564155967986</v>
      </c>
      <c r="AB551" s="777">
        <f>$H$22*$I$9*'Traffic Data'!BD53*annualizationFactor</f>
        <v>52568.168969808001</v>
      </c>
      <c r="AC551" s="777">
        <f>$H$22*$I$9*'Traffic Data'!BE53*annualizationFactor</f>
        <v>53290.657008467999</v>
      </c>
      <c r="AD551" s="777">
        <f>$H$22*$I$9*'Traffic Data'!BF53*annualizationFactor</f>
        <v>54013.145047128004</v>
      </c>
      <c r="AE551" s="777">
        <f>$H$22*$I$9*'Traffic Data'!BG53*annualizationFactor</f>
        <v>54735.749860967997</v>
      </c>
      <c r="AF551" s="777">
        <f>$H$22*$I$9*'Traffic Data'!BH53*annualizationFactor</f>
        <v>55458.237899628002</v>
      </c>
      <c r="AG551" s="777">
        <f>$H$22*$I$9*'Traffic Data'!BI53*annualizationFactor</f>
        <v>56180.725938288</v>
      </c>
      <c r="AH551" s="778">
        <f>$H$22*$I$9*'Traffic Data'!BJ53*annualizationFactor</f>
        <v>56903.330752127993</v>
      </c>
      <c r="AI551" s="26"/>
      <c r="AJ551" s="26"/>
      <c r="AK551" s="26"/>
      <c r="AL551" s="26"/>
      <c r="AM551" s="26"/>
    </row>
    <row r="552" spans="2:39" ht="21.95" customHeight="1" x14ac:dyDescent="0.2">
      <c r="B552" s="1346"/>
      <c r="C552" s="116" t="s">
        <v>347</v>
      </c>
      <c r="D552" s="116" t="s">
        <v>348</v>
      </c>
      <c r="E552" s="116" t="s">
        <v>467</v>
      </c>
      <c r="F552" s="116" t="s">
        <v>40</v>
      </c>
      <c r="G552" s="970"/>
      <c r="H552" s="970"/>
      <c r="I552" s="777">
        <f>$H$22*$I$9*'Traffic Data'!AK54*annualizationFactor</f>
        <v>22887.935279999998</v>
      </c>
      <c r="J552" s="777">
        <f>$H$22*$I$9*'Traffic Data'!AL54*annualizationFactor</f>
        <v>23393.676907061996</v>
      </c>
      <c r="K552" s="777">
        <f>$H$22*$I$9*'Traffic Data'!AM54*annualizationFactor</f>
        <v>24142.480232534992</v>
      </c>
      <c r="L552" s="777">
        <f>$H$22*$I$9*'Traffic Data'!AN54*annualizationFactor</f>
        <v>25092.779131097992</v>
      </c>
      <c r="M552" s="777">
        <f>$H$22*$I$9*'Traffic Data'!AO54*annualizationFactor</f>
        <v>26043.364128852001</v>
      </c>
      <c r="N552" s="777">
        <f>$H$22*$I$9*'Traffic Data'!AP54*annualizationFactor</f>
        <v>26993.891906767793</v>
      </c>
      <c r="O552" s="777">
        <f>$H$22*$I$9*'Traffic Data'!AQ54*annualizationFactor</f>
        <v>27944.190805330789</v>
      </c>
      <c r="P552" s="777">
        <f>$H$22*$I$9*'Traffic Data'!AR54*annualizationFactor</f>
        <v>28895.00468243759</v>
      </c>
      <c r="Q552" s="777">
        <f>$H$22*$I$9*'Traffic Data'!AS54*annualizationFactor</f>
        <v>29739.896464773592</v>
      </c>
      <c r="R552" s="777">
        <f>$H$22*$I$9*'Traffic Data'!AT54*annualizationFactor</f>
        <v>30584.869989735591</v>
      </c>
      <c r="S552" s="777">
        <f>$H$22*$I$9*'Traffic Data'!AU54*annualizationFactor</f>
        <v>31429.761772071586</v>
      </c>
      <c r="T552" s="777">
        <f>$H$22*$I$9*'Traffic Data'!AV54*annualizationFactor</f>
        <v>32274.653554407596</v>
      </c>
      <c r="U552" s="777">
        <f>$H$22*$I$9*'Traffic Data'!AW54*annualizationFactor</f>
        <v>33119.93770134839</v>
      </c>
      <c r="V552" s="777">
        <f>$H$22*$I$9*'Traffic Data'!AX54*annualizationFactor</f>
        <v>33763.10503124159</v>
      </c>
      <c r="W552" s="777">
        <f>$H$22*$I$9*'Traffic Data'!AY54*annualizationFactor</f>
        <v>34268.846658303584</v>
      </c>
      <c r="X552" s="777">
        <f>$H$22*$I$9*'Traffic Data'!AZ54*annualizationFactor</f>
        <v>34774.588285365593</v>
      </c>
      <c r="Y552" s="777">
        <f>$H$22*$I$9*'Traffic Data'!BA54*annualizationFactor</f>
        <v>35280.329912427595</v>
      </c>
      <c r="Z552" s="777">
        <f>$H$22*$I$9*'Traffic Data'!BB54*annualizationFactor</f>
        <v>35786.1532821156</v>
      </c>
      <c r="AA552" s="777">
        <f>$H$22*$I$9*'Traffic Data'!BC54*annualizationFactor</f>
        <v>36291.894909177587</v>
      </c>
      <c r="AB552" s="777">
        <f>$H$22*$I$9*'Traffic Data'!BD54*annualizationFactor</f>
        <v>36797.718278865592</v>
      </c>
      <c r="AC552" s="777">
        <f>$H$22*$I$9*'Traffic Data'!BE54*annualizationFactor</f>
        <v>37303.459905927601</v>
      </c>
      <c r="AD552" s="777">
        <f>$H$22*$I$9*'Traffic Data'!BF54*annualizationFactor</f>
        <v>37809.201532989595</v>
      </c>
      <c r="AE552" s="777">
        <f>$H$22*$I$9*'Traffic Data'!BG54*annualizationFactor</f>
        <v>38315.024902677593</v>
      </c>
      <c r="AF552" s="777">
        <f>$H$22*$I$9*'Traffic Data'!BH54*annualizationFactor</f>
        <v>38820.766529739594</v>
      </c>
      <c r="AG552" s="777">
        <f>$H$22*$I$9*'Traffic Data'!BI54*annualizationFactor</f>
        <v>39326.508156801603</v>
      </c>
      <c r="AH552" s="778">
        <f>$H$22*$I$9*'Traffic Data'!BJ54*annualizationFactor</f>
        <v>39832.331526489601</v>
      </c>
      <c r="AI552" s="26"/>
      <c r="AJ552" s="26"/>
      <c r="AK552" s="26"/>
      <c r="AL552" s="26"/>
      <c r="AM552" s="26"/>
    </row>
    <row r="553" spans="2:39" ht="21.95" customHeight="1" x14ac:dyDescent="0.2">
      <c r="B553" s="1346"/>
      <c r="C553" s="254" t="s">
        <v>348</v>
      </c>
      <c r="D553" s="254" t="s">
        <v>349</v>
      </c>
      <c r="E553" s="254" t="s">
        <v>467</v>
      </c>
      <c r="F553" s="116" t="s">
        <v>40</v>
      </c>
      <c r="G553" s="779"/>
      <c r="H553" s="779"/>
      <c r="I553" s="777">
        <f>$H$22*$I$9*'Traffic Data'!AK55*annualizationFactor</f>
        <v>37368.057599999993</v>
      </c>
      <c r="J553" s="777">
        <f>$H$22*$I$9*'Traffic Data'!AL55*annualizationFactor</f>
        <v>38260.628688329991</v>
      </c>
      <c r="K553" s="777">
        <f>$H$22*$I$9*'Traffic Data'!AM55*annualizationFactor</f>
        <v>39500.489161979989</v>
      </c>
      <c r="L553" s="777">
        <f>$H$22*$I$9*'Traffic Data'!AN55*annualizationFactor</f>
        <v>41147.135975159988</v>
      </c>
      <c r="M553" s="777">
        <f>$H$22*$I$9*'Traffic Data'!AO55*annualizationFactor</f>
        <v>42794.249889059996</v>
      </c>
      <c r="N553" s="777">
        <f>$H$22*$I$9*'Traffic Data'!AP55*annualizationFactor</f>
        <v>44441.480578139992</v>
      </c>
      <c r="O553" s="777">
        <f>$H$22*$I$9*'Traffic Data'!AQ55*annualizationFactor</f>
        <v>46088.127391319991</v>
      </c>
      <c r="P553" s="777">
        <f>$H$22*$I$9*'Traffic Data'!AR55*annualizationFactor</f>
        <v>47735.708405940008</v>
      </c>
      <c r="Q553" s="777">
        <f>$H$22*$I$9*'Traffic Data'!AS55*annualizationFactor</f>
        <v>49308.202979819987</v>
      </c>
      <c r="R553" s="777">
        <f>$H$22*$I$9*'Traffic Data'!AT55*annualizationFactor</f>
        <v>50880.755941289986</v>
      </c>
      <c r="S553" s="777">
        <f>$H$22*$I$9*'Traffic Data'!AU55*annualizationFactor</f>
        <v>52453.250515169981</v>
      </c>
      <c r="T553" s="777">
        <f>$H$22*$I$9*'Traffic Data'!AV55*annualizationFactor</f>
        <v>54025.745089049989</v>
      </c>
      <c r="U553" s="777">
        <f>$H$22*$I$9*'Traffic Data'!AW55*annualizationFactor</f>
        <v>55599.173864369994</v>
      </c>
      <c r="V553" s="777">
        <f>$H$22*$I$9*'Traffic Data'!AX55*annualizationFactor</f>
        <v>56764.414997999986</v>
      </c>
      <c r="W553" s="777">
        <f>$H$22*$I$9*'Traffic Data'!AY55*annualizationFactor</f>
        <v>57656.986086329991</v>
      </c>
      <c r="X553" s="777">
        <f>$H$22*$I$9*'Traffic Data'!AZ55*annualizationFactor</f>
        <v>58549.557174659989</v>
      </c>
      <c r="Y553" s="777">
        <f>$H$22*$I$9*'Traffic Data'!BA55*annualizationFactor</f>
        <v>59442.12826298998</v>
      </c>
      <c r="Z553" s="777">
        <f>$H$22*$I$9*'Traffic Data'!BB55*annualizationFactor</f>
        <v>60334.874514089985</v>
      </c>
      <c r="AA553" s="777">
        <f>$H$22*$I$9*'Traffic Data'!BC55*annualizationFactor</f>
        <v>61227.445602419975</v>
      </c>
      <c r="AB553" s="777">
        <f>$H$22*$I$9*'Traffic Data'!BD55*annualizationFactor</f>
        <v>62120.191853519995</v>
      </c>
      <c r="AC553" s="777">
        <f>$H$22*$I$9*'Traffic Data'!BE55*annualizationFactor</f>
        <v>63012.762941849986</v>
      </c>
      <c r="AD553" s="777">
        <f>$H$22*$I$9*'Traffic Data'!BF55*annualizationFactor</f>
        <v>63905.334030179984</v>
      </c>
      <c r="AE553" s="777">
        <f>$H$22*$I$9*'Traffic Data'!BG55*annualizationFactor</f>
        <v>64798.080281279981</v>
      </c>
      <c r="AF553" s="777">
        <f>$H$22*$I$9*'Traffic Data'!BH55*annualizationFactor</f>
        <v>65690.651369609986</v>
      </c>
      <c r="AG553" s="777">
        <f>$H$22*$I$9*'Traffic Data'!BI55*annualizationFactor</f>
        <v>66583.222457939992</v>
      </c>
      <c r="AH553" s="778">
        <f>$H$22*$I$9*'Traffic Data'!BJ55*annualizationFactor</f>
        <v>67475.968709039982</v>
      </c>
      <c r="AI553" s="26"/>
      <c r="AJ553" s="26"/>
      <c r="AK553" s="26"/>
      <c r="AL553" s="26"/>
      <c r="AM553" s="26"/>
    </row>
    <row r="554" spans="2:39" s="1" customFormat="1" ht="21.95" customHeight="1" x14ac:dyDescent="0.2">
      <c r="B554" s="492" t="s">
        <v>288</v>
      </c>
      <c r="C554" s="116" t="s">
        <v>323</v>
      </c>
      <c r="D554" s="116" t="s">
        <v>348</v>
      </c>
      <c r="E554" s="116" t="s">
        <v>467</v>
      </c>
      <c r="F554" s="220" t="s">
        <v>40</v>
      </c>
      <c r="G554" s="970"/>
      <c r="H554" s="970"/>
      <c r="I554" s="775">
        <f>$H$22*$J$9*'Traffic Data'!AK56*annualizationFactor</f>
        <v>4671.0072</v>
      </c>
      <c r="J554" s="775">
        <f>$H$22*$J$9*'Traffic Data'!AL56*annualizationFactor</f>
        <v>4958.2222427199995</v>
      </c>
      <c r="K554" s="775">
        <f>$H$22*$J$9*'Traffic Data'!AM56*annualizationFactor</f>
        <v>5338.3124785999998</v>
      </c>
      <c r="L554" s="775">
        <f>$H$22*$J$9*'Traffic Data'!AN56*annualizationFactor</f>
        <v>5843.4300071999996</v>
      </c>
      <c r="M554" s="775">
        <f>$H$22*$J$9*'Traffic Data'!AO56*annualizationFactor</f>
        <v>6348.703236039999</v>
      </c>
      <c r="N554" s="775">
        <f>$H$22*$J$9*'Traffic Data'!AP56*annualizationFactor</f>
        <v>6855.0663665600014</v>
      </c>
      <c r="O554" s="775">
        <f>$H$22*$J$9*'Traffic Data'!AQ56*annualizationFactor</f>
        <v>7360.1838951599984</v>
      </c>
      <c r="P554" s="775">
        <f>$H$22*$J$9*'Traffic Data'!AR56*annualizationFactor</f>
        <v>7865.8463745999998</v>
      </c>
      <c r="Q554" s="775">
        <f>$H$22*$J$9*'Traffic Data'!AS56*annualizationFactor</f>
        <v>8326.9266853199988</v>
      </c>
      <c r="R554" s="775">
        <f>$H$22*$J$9*'Traffic Data'!AT56*annualizationFactor</f>
        <v>8787.6177454400004</v>
      </c>
      <c r="S554" s="775">
        <f>$H$22*$J$9*'Traffic Data'!AU56*annualizationFactor</f>
        <v>9248.7240061999983</v>
      </c>
      <c r="T554" s="775">
        <f>$H$22*$J$9*'Traffic Data'!AV56*annualizationFactor</f>
        <v>9709.8043169199991</v>
      </c>
      <c r="U554" s="775">
        <f>$H$22*$J$9*'Traffic Data'!AW56*annualizationFactor</f>
        <v>10172.519480159999</v>
      </c>
      <c r="V554" s="775">
        <f>$H$22*$J$9*'Traffic Data'!AX56*annualizationFactor</f>
        <v>10508.209197599999</v>
      </c>
      <c r="W554" s="775">
        <f>$H$22*$J$9*'Traffic Data'!AY56*annualizationFactor</f>
        <v>10795.424240320001</v>
      </c>
      <c r="X554" s="775">
        <f>$H$22*$J$9*'Traffic Data'!AZ56*annualizationFactor</f>
        <v>11082.639283039998</v>
      </c>
      <c r="Y554" s="775">
        <f>$H$22*$J$9*'Traffic Data'!BA56*annualizationFactor</f>
        <v>11369.854325759999</v>
      </c>
      <c r="Z554" s="775">
        <f>$H$22*$J$9*'Traffic Data'!BB56*annualizationFactor</f>
        <v>11657.380768959998</v>
      </c>
      <c r="AA554" s="775">
        <f>$H$22*$J$9*'Traffic Data'!BC56*annualizationFactor</f>
        <v>11944.595811679997</v>
      </c>
      <c r="AB554" s="775">
        <f>$H$22*$J$9*'Traffic Data'!BD56*annualizationFactor</f>
        <v>12232.511505480001</v>
      </c>
      <c r="AC554" s="775">
        <f>$H$22*$J$9*'Traffic Data'!BE56*annualizationFactor</f>
        <v>12519.726548199998</v>
      </c>
      <c r="AD554" s="775">
        <f>$H$22*$J$9*'Traffic Data'!BF56*annualizationFactor</f>
        <v>12806.941590919998</v>
      </c>
      <c r="AE554" s="775">
        <f>$H$22*$J$9*'Traffic Data'!BG56*annualizationFactor</f>
        <v>13094.468034119998</v>
      </c>
      <c r="AF554" s="775">
        <f>$H$22*$J$9*'Traffic Data'!BH56*annualizationFactor</f>
        <v>13381.683076840001</v>
      </c>
      <c r="AG554" s="775">
        <f>$H$22*$J$9*'Traffic Data'!BI56*annualizationFactor</f>
        <v>13668.898119559999</v>
      </c>
      <c r="AH554" s="776">
        <f>$H$22*$J$9*'Traffic Data'!BJ56*annualizationFactor</f>
        <v>13956.813813359999</v>
      </c>
      <c r="AI554" s="25"/>
      <c r="AJ554" s="25"/>
      <c r="AK554" s="25"/>
      <c r="AL554" s="25"/>
      <c r="AM554" s="25"/>
    </row>
    <row r="555" spans="2:39" s="1" customFormat="1" ht="21.95" customHeight="1" x14ac:dyDescent="0.2">
      <c r="B555" s="782" t="s">
        <v>340</v>
      </c>
      <c r="C555" s="277" t="s">
        <v>335</v>
      </c>
      <c r="D555" s="277" t="s">
        <v>323</v>
      </c>
      <c r="E555" s="277" t="s">
        <v>467</v>
      </c>
      <c r="F555" s="220" t="s">
        <v>40</v>
      </c>
      <c r="G555" s="780"/>
      <c r="H555" s="780"/>
      <c r="I555" s="775">
        <f>$H$22*$K$9*'Traffic Data'!AK57*annualizationFactor</f>
        <v>0</v>
      </c>
      <c r="J555" s="775">
        <f>$H$22*$K$9*'Traffic Data'!AL57*annualizationFactor</f>
        <v>0</v>
      </c>
      <c r="K555" s="775">
        <f>$H$22*$K$9*'Traffic Data'!AM57*annualizationFactor</f>
        <v>0</v>
      </c>
      <c r="L555" s="775">
        <f>$H$22*$K$9*'Traffic Data'!AN57*annualizationFactor</f>
        <v>0</v>
      </c>
      <c r="M555" s="775">
        <f>$H$22*$K$9*'Traffic Data'!AO57*annualizationFactor</f>
        <v>0</v>
      </c>
      <c r="N555" s="775">
        <f>$H$22*$K$9*'Traffic Data'!AP57*annualizationFactor</f>
        <v>0</v>
      </c>
      <c r="O555" s="775">
        <f>$H$22*$K$9*'Traffic Data'!AQ57*annualizationFactor</f>
        <v>0</v>
      </c>
      <c r="P555" s="775">
        <f>$H$22*$K$9*'Traffic Data'!AR57*annualizationFactor</f>
        <v>0</v>
      </c>
      <c r="Q555" s="775">
        <f>$H$22*$K$9*'Traffic Data'!AS57*annualizationFactor</f>
        <v>0</v>
      </c>
      <c r="R555" s="775">
        <f>$H$22*$K$9*'Traffic Data'!AT57*annualizationFactor</f>
        <v>0</v>
      </c>
      <c r="S555" s="775">
        <f>$H$22*$K$9*'Traffic Data'!AU57*annualizationFactor</f>
        <v>0</v>
      </c>
      <c r="T555" s="775">
        <f>$H$22*$K$9*'Traffic Data'!AV57*annualizationFactor</f>
        <v>0</v>
      </c>
      <c r="U555" s="775">
        <f>$H$22*$K$9*'Traffic Data'!AW57*annualizationFactor</f>
        <v>0</v>
      </c>
      <c r="V555" s="775">
        <f>$H$22*$K$9*'Traffic Data'!AX57*annualizationFactor</f>
        <v>0</v>
      </c>
      <c r="W555" s="775">
        <f>$H$22*$K$9*'Traffic Data'!AY57*annualizationFactor</f>
        <v>0</v>
      </c>
      <c r="X555" s="775">
        <f>$H$22*$K$9*'Traffic Data'!AZ57*annualizationFactor</f>
        <v>0</v>
      </c>
      <c r="Y555" s="775">
        <f>$H$22*$K$9*'Traffic Data'!BA57*annualizationFactor</f>
        <v>0</v>
      </c>
      <c r="Z555" s="775">
        <f>$H$22*$K$9*'Traffic Data'!BB57*annualizationFactor</f>
        <v>0</v>
      </c>
      <c r="AA555" s="775">
        <f>$H$22*$K$9*'Traffic Data'!BC57*annualizationFactor</f>
        <v>0</v>
      </c>
      <c r="AB555" s="775">
        <f>$H$22*$K$9*'Traffic Data'!BD57*annualizationFactor</f>
        <v>0</v>
      </c>
      <c r="AC555" s="775">
        <f>$H$22*$K$9*'Traffic Data'!BE57*annualizationFactor</f>
        <v>0</v>
      </c>
      <c r="AD555" s="775">
        <f>$H$22*$K$9*'Traffic Data'!BF57*annualizationFactor</f>
        <v>0</v>
      </c>
      <c r="AE555" s="775">
        <f>$H$22*$K$9*'Traffic Data'!BG57*annualizationFactor</f>
        <v>0</v>
      </c>
      <c r="AF555" s="775">
        <f>$H$22*$K$9*'Traffic Data'!BH57*annualizationFactor</f>
        <v>0</v>
      </c>
      <c r="AG555" s="775">
        <f>$H$22*$K$9*'Traffic Data'!BI57*annualizationFactor</f>
        <v>0</v>
      </c>
      <c r="AH555" s="776">
        <f>$H$22*$K$9*'Traffic Data'!BJ57*annualizationFactor</f>
        <v>0</v>
      </c>
      <c r="AI555" s="25"/>
      <c r="AJ555" s="25"/>
      <c r="AK555" s="25"/>
      <c r="AL555" s="25"/>
      <c r="AM555" s="25"/>
    </row>
    <row r="556" spans="2:39" ht="21.95" customHeight="1" x14ac:dyDescent="0.2">
      <c r="B556" s="782" t="s">
        <v>357</v>
      </c>
      <c r="C556" s="277" t="s">
        <v>338</v>
      </c>
      <c r="D556" s="277" t="s">
        <v>323</v>
      </c>
      <c r="E556" s="116" t="s">
        <v>467</v>
      </c>
      <c r="F556" s="220" t="s">
        <v>40</v>
      </c>
      <c r="G556" s="970"/>
      <c r="H556" s="970"/>
      <c r="I556" s="775">
        <f>$H$22*$L$9*'Traffic Data'!AK58*annualizationFactor</f>
        <v>8662.5951709090896</v>
      </c>
      <c r="J556" s="775">
        <f>$H$22*$L$9*'Traffic Data'!AL58*annualizationFactor</f>
        <v>8781.5374151585456</v>
      </c>
      <c r="K556" s="775">
        <f>$H$22*$L$9*'Traffic Data'!AM58*annualizationFactor</f>
        <v>8987.1296738814544</v>
      </c>
      <c r="L556" s="775">
        <f>$H$22*$L$9*'Traffic Data'!AN58*annualizationFactor</f>
        <v>9269.3858998669093</v>
      </c>
      <c r="M556" s="775">
        <f>$H$22*$L$9*'Traffic Data'!AO58*annualizationFactor</f>
        <v>9551.7624396741812</v>
      </c>
      <c r="N556" s="775">
        <f>$H$22*$L$9*'Traffic Data'!AP58*annualizationFactor</f>
        <v>9834.5480464756347</v>
      </c>
      <c r="O556" s="775">
        <f>$H$22*$L$9*'Traffic Data'!AQ58*annualizationFactor</f>
        <v>10116.804272461091</v>
      </c>
      <c r="P556" s="775">
        <f>$H$22*$L$9*'Traffic Data'!AR58*annualizationFactor</f>
        <v>10400.047071785453</v>
      </c>
      <c r="Q556" s="775">
        <f>$H$22*$L$9*'Traffic Data'!AS58*annualizationFactor</f>
        <v>10596.471417285818</v>
      </c>
      <c r="R556" s="775">
        <f>$H$22*$L$9*'Traffic Data'!AT58*annualizationFactor</f>
        <v>10792.919825550543</v>
      </c>
      <c r="S556" s="775">
        <f>$H$22*$L$9*'Traffic Data'!AU58*annualizationFactor</f>
        <v>10989.392296579636</v>
      </c>
      <c r="T556" s="775">
        <f>$H$22*$L$9*'Traffic Data'!AV58*annualizationFactor</f>
        <v>11185.816642080001</v>
      </c>
      <c r="U556" s="775">
        <f>$H$22*$L$9*'Traffic Data'!AW58*annualizationFactor</f>
        <v>11383.636627913455</v>
      </c>
      <c r="V556" s="775">
        <f>$H$22*$L$9*'Traffic Data'!AX58*annualizationFactor</f>
        <v>11502.578872162907</v>
      </c>
      <c r="W556" s="775">
        <f>$H$22*$L$9*'Traffic Data'!AY58*annualizationFactor</f>
        <v>11621.521116412361</v>
      </c>
      <c r="X556" s="775">
        <f>$H$22*$L$9*'Traffic Data'!AZ58*annualizationFactor</f>
        <v>11740.463360661819</v>
      </c>
      <c r="Y556" s="775">
        <f>$H$22*$L$9*'Traffic Data'!BA58*annualizationFactor</f>
        <v>11859.40560491127</v>
      </c>
      <c r="Z556" s="775">
        <f>$H$22*$L$9*'Traffic Data'!BB58*annualizationFactor</f>
        <v>11979.165983149092</v>
      </c>
      <c r="AA556" s="775">
        <f>$H$22*$L$9*'Traffic Data'!BC58*annualizationFactor</f>
        <v>12098.108227398545</v>
      </c>
      <c r="AB556" s="775">
        <f>$H$22*$L$9*'Traffic Data'!BD58*annualizationFactor</f>
        <v>12217.507664170909</v>
      </c>
      <c r="AC556" s="775">
        <f>$H$22*$L$9*'Traffic Data'!BE58*annualizationFactor</f>
        <v>12336.449908420362</v>
      </c>
      <c r="AD556" s="775">
        <f>$H$22*$L$9*'Traffic Data'!BF58*annualizationFactor</f>
        <v>12455.39215266982</v>
      </c>
      <c r="AE556" s="775">
        <f>$H$22*$L$9*'Traffic Data'!BG58*annualizationFactor</f>
        <v>12575.152530907635</v>
      </c>
      <c r="AF556" s="775">
        <f>$H$22*$L$9*'Traffic Data'!BH58*annualizationFactor</f>
        <v>12694.094775157093</v>
      </c>
      <c r="AG556" s="775">
        <f>$H$22*$L$9*'Traffic Data'!BI58*annualizationFactor</f>
        <v>12813.037019406544</v>
      </c>
      <c r="AH556" s="776">
        <f>$H$22*$L$9*'Traffic Data'!BJ58*annualizationFactor</f>
        <v>12932.43645617891</v>
      </c>
      <c r="AI556" s="26"/>
      <c r="AJ556" s="26"/>
      <c r="AK556" s="26"/>
      <c r="AL556" s="26"/>
      <c r="AM556" s="26"/>
    </row>
    <row r="557" spans="2:39" ht="21.95" customHeight="1" x14ac:dyDescent="0.2">
      <c r="B557" s="492" t="s">
        <v>338</v>
      </c>
      <c r="C557" s="116" t="s">
        <v>282</v>
      </c>
      <c r="D557" s="116" t="s">
        <v>357</v>
      </c>
      <c r="E557" s="220" t="s">
        <v>467</v>
      </c>
      <c r="F557" s="220" t="s">
        <v>40</v>
      </c>
      <c r="G557" s="775"/>
      <c r="H557" s="775"/>
      <c r="I557" s="775">
        <f>$H$22*$M$9*'Traffic Data'!AK59*annualizationFactor</f>
        <v>31110.559318181819</v>
      </c>
      <c r="J557" s="775">
        <f>$H$22*$M$9*'Traffic Data'!AL59*annualizationFactor</f>
        <v>32007.383411647057</v>
      </c>
      <c r="K557" s="775">
        <f>$H$22*$M$9*'Traffic Data'!AM59*annualizationFactor</f>
        <v>32978.095083492961</v>
      </c>
      <c r="L557" s="775">
        <f>$H$22*$M$9*'Traffic Data'!AN59*annualizationFactor</f>
        <v>34265.916686469092</v>
      </c>
      <c r="M557" s="775">
        <f>$H$22*$M$9*'Traffic Data'!AO59*annualizationFactor</f>
        <v>35553.956063360456</v>
      </c>
      <c r="N557" s="775">
        <f>$H$22*$M$9*'Traffic Data'!AP59*annualizationFactor</f>
        <v>36842.524319760225</v>
      </c>
      <c r="O557" s="775">
        <f>$H$22*$M$9*'Traffic Data'!AQ59*annualizationFactor</f>
        <v>38130.345922736371</v>
      </c>
      <c r="P557" s="775">
        <f>$H$22*$M$9*'Traffic Data'!AR59*annualizationFactor</f>
        <v>39418.509741865004</v>
      </c>
      <c r="Q557" s="775">
        <f>$H$22*$M$9*'Traffic Data'!AS59*annualizationFactor</f>
        <v>40835.969045520011</v>
      </c>
      <c r="R557" s="775">
        <f>$H$22*$M$9*'Traffic Data'!AT59*annualizationFactor</f>
        <v>42252.961690785225</v>
      </c>
      <c r="S557" s="775">
        <f>$H$22*$M$9*'Traffic Data'!AU59*annualizationFactor</f>
        <v>43670.420994440225</v>
      </c>
      <c r="T557" s="775">
        <f>$H$22*$M$9*'Traffic Data'!AV59*annualizationFactor</f>
        <v>45087.880298095231</v>
      </c>
      <c r="U557" s="775">
        <f>$H$22*$M$9*'Traffic Data'!AW59*annualizationFactor</f>
        <v>46506.148476292503</v>
      </c>
      <c r="V557" s="775">
        <f>$H$22*$M$9*'Traffic Data'!AX59*annualizationFactor</f>
        <v>47606.373406580002</v>
      </c>
      <c r="W557" s="775">
        <f>$H$22*$M$9*'Traffic Data'!AY59*annualizationFactor</f>
        <v>48503.197500045229</v>
      </c>
      <c r="X557" s="775">
        <f>$H$22*$M$9*'Traffic Data'!AZ59*annualizationFactor</f>
        <v>49400.021593510457</v>
      </c>
      <c r="Y557" s="775">
        <f>$H$22*$M$9*'Traffic Data'!BA59*annualizationFactor</f>
        <v>50296.845686975692</v>
      </c>
      <c r="Z557" s="775">
        <f>$H$22*$M$9*'Traffic Data'!BB59*annualizationFactor</f>
        <v>51193.576448762949</v>
      </c>
      <c r="AA557" s="775">
        <f>$H$22*$M$9*'Traffic Data'!BC59*annualizationFactor</f>
        <v>52090.40054222817</v>
      </c>
      <c r="AB557" s="775">
        <f>$H$22*$M$9*'Traffic Data'!BD59*annualizationFactor</f>
        <v>52987.131304015435</v>
      </c>
      <c r="AC557" s="775">
        <f>$H$22*$M$9*'Traffic Data'!BE59*annualizationFactor</f>
        <v>53883.955397480699</v>
      </c>
      <c r="AD557" s="775">
        <f>$H$22*$M$9*'Traffic Data'!BF59*annualizationFactor</f>
        <v>54780.779490945919</v>
      </c>
      <c r="AE557" s="775">
        <f>$H$22*$M$9*'Traffic Data'!BG59*annualizationFactor</f>
        <v>55677.510252733191</v>
      </c>
      <c r="AF557" s="775">
        <f>$H$22*$M$9*'Traffic Data'!BH59*annualizationFactor</f>
        <v>56574.334346198411</v>
      </c>
      <c r="AG557" s="775">
        <f>$H$22*$M$9*'Traffic Data'!BI59*annualizationFactor</f>
        <v>57471.158439663639</v>
      </c>
      <c r="AH557" s="776">
        <f>$H$22*$M$9*'Traffic Data'!BJ59*annualizationFactor</f>
        <v>58367.889201450926</v>
      </c>
      <c r="AI557" s="26"/>
      <c r="AJ557" s="26"/>
      <c r="AK557" s="26"/>
      <c r="AL557" s="26"/>
      <c r="AM557" s="26"/>
    </row>
    <row r="558" spans="2:39" ht="21.95" customHeight="1" x14ac:dyDescent="0.2">
      <c r="B558" s="492"/>
      <c r="C558" s="116" t="s">
        <v>357</v>
      </c>
      <c r="D558" s="116" t="s">
        <v>346</v>
      </c>
      <c r="E558" s="116" t="s">
        <v>467</v>
      </c>
      <c r="F558" s="116" t="s">
        <v>40</v>
      </c>
      <c r="G558" s="970"/>
      <c r="H558" s="970"/>
      <c r="I558" s="777">
        <f>$H$22*$M$9*'Traffic Data'!AK60*annualizationFactor</f>
        <v>4530.8376657575755</v>
      </c>
      <c r="J558" s="777">
        <f>$H$22*$M$9*'Traffic Data'!AL60*annualizationFactor</f>
        <v>4659.4299926659842</v>
      </c>
      <c r="K558" s="777">
        <f>$H$22*$M$9*'Traffic Data'!AM60*annualizationFactor</f>
        <v>4802.1334942518261</v>
      </c>
      <c r="L558" s="777">
        <f>$H$22*$M$9*'Traffic Data'!AN60*annualizationFactor</f>
        <v>5002.4322888493552</v>
      </c>
      <c r="M558" s="777">
        <f>$H$22*$M$9*'Traffic Data'!AO60*annualizationFactor</f>
        <v>5202.7668532179323</v>
      </c>
      <c r="N558" s="777">
        <f>$H$22*$M$9*'Traffic Data'!AP60*annualizationFactor</f>
        <v>5403.1431489860588</v>
      </c>
      <c r="O558" s="777">
        <f>$H$22*$M$9*'Traffic Data'!AQ60*annualizationFactor</f>
        <v>5603.4419435835907</v>
      </c>
      <c r="P558" s="777">
        <f>$H$22*$M$9*'Traffic Data'!AR60*annualizationFactor</f>
        <v>5803.7526614381359</v>
      </c>
      <c r="Q558" s="777">
        <f>$H$22*$M$9*'Traffic Data'!AS60*annualizationFactor</f>
        <v>6028.8935620267348</v>
      </c>
      <c r="R558" s="777">
        <f>$H$22*$M$9*'Traffic Data'!AT60*annualizationFactor</f>
        <v>6253.9569614447337</v>
      </c>
      <c r="S558" s="777">
        <f>$H$22*$M$9*'Traffic Data'!AU60*annualizationFactor</f>
        <v>6479.0978620333317</v>
      </c>
      <c r="T558" s="777">
        <f>$H$22*$M$9*'Traffic Data'!AV60*annualizationFactor</f>
        <v>6704.2387626219297</v>
      </c>
      <c r="U558" s="777">
        <f>$H$22*$M$9*'Traffic Data'!AW60*annualizationFactor</f>
        <v>6929.4154329815756</v>
      </c>
      <c r="V558" s="777">
        <f>$H$22*$M$9*'Traffic Data'!AX60*annualizationFactor</f>
        <v>7096.9848870725145</v>
      </c>
      <c r="W558" s="777">
        <f>$H$22*$M$9*'Traffic Data'!AY60*annualizationFactor</f>
        <v>7225.5772139809242</v>
      </c>
      <c r="X558" s="777">
        <f>$H$22*$M$9*'Traffic Data'!AZ60*annualizationFactor</f>
        <v>7354.1695408893338</v>
      </c>
      <c r="Y558" s="777">
        <f>$H$22*$M$9*'Traffic Data'!BA60*annualizationFactor</f>
        <v>7482.7618677977416</v>
      </c>
      <c r="Z558" s="777">
        <f>$H$22*$M$9*'Traffic Data'!BB60*annualizationFactor</f>
        <v>7611.2886167925662</v>
      </c>
      <c r="AA558" s="777">
        <f>$H$22*$M$9*'Traffic Data'!BC60*annualizationFactor</f>
        <v>7739.8809437009768</v>
      </c>
      <c r="AB558" s="777">
        <f>$H$22*$M$9*'Traffic Data'!BD60*annualizationFactor</f>
        <v>7868.4076926958032</v>
      </c>
      <c r="AC558" s="777">
        <f>$H$22*$M$9*'Traffic Data'!BE60*annualizationFactor</f>
        <v>7997.000019604211</v>
      </c>
      <c r="AD558" s="777">
        <f>$H$22*$M$9*'Traffic Data'!BF60*annualizationFactor</f>
        <v>8125.5923465126198</v>
      </c>
      <c r="AE558" s="777">
        <f>$H$22*$M$9*'Traffic Data'!BG60*annualizationFactor</f>
        <v>8254.1190955074453</v>
      </c>
      <c r="AF558" s="777">
        <f>$H$22*$M$9*'Traffic Data'!BH60*annualizationFactor</f>
        <v>8382.7114224158558</v>
      </c>
      <c r="AG558" s="777">
        <f>$H$22*$M$9*'Traffic Data'!BI60*annualizationFactor</f>
        <v>8511.3037493242628</v>
      </c>
      <c r="AH558" s="778">
        <f>$H$22*$M$9*'Traffic Data'!BJ60*annualizationFactor</f>
        <v>8639.8304983190883</v>
      </c>
      <c r="AI558" s="26"/>
      <c r="AJ558" s="26"/>
      <c r="AK558" s="26"/>
      <c r="AL558" s="26"/>
      <c r="AM558" s="26"/>
    </row>
    <row r="559" spans="2:39" ht="21.95" customHeight="1" x14ac:dyDescent="0.2">
      <c r="B559" s="492"/>
      <c r="C559" s="116" t="s">
        <v>346</v>
      </c>
      <c r="D559" s="116" t="s">
        <v>343</v>
      </c>
      <c r="E559" s="116" t="s">
        <v>467</v>
      </c>
      <c r="F559" s="116" t="s">
        <v>40</v>
      </c>
      <c r="G559" s="970"/>
      <c r="H559" s="970"/>
      <c r="I559" s="777">
        <f>$H$22*$M$9*'Traffic Data'!AK61*annualizationFactor</f>
        <v>1120.5699090909091</v>
      </c>
      <c r="J559" s="777">
        <f>$H$22*$M$9*'Traffic Data'!AL61*annualizationFactor</f>
        <v>1152.3734524318181</v>
      </c>
      <c r="K559" s="777">
        <f>$H$22*$M$9*'Traffic Data'!AM61*annualizationFactor</f>
        <v>1187.666981265909</v>
      </c>
      <c r="L559" s="777">
        <f>$H$22*$M$9*'Traffic Data'!AN61*annualizationFactor</f>
        <v>1237.2050178522727</v>
      </c>
      <c r="M559" s="777">
        <f>$H$22*$M$9*'Traffic Data'!AO61*annualizationFactor</f>
        <v>1286.7519010431818</v>
      </c>
      <c r="N559" s="777">
        <f>$H$22*$M$9*'Traffic Data'!AP61*annualizationFactor</f>
        <v>1336.309105272727</v>
      </c>
      <c r="O559" s="777">
        <f>$H$22*$M$9*'Traffic Data'!AQ61*annualizationFactor</f>
        <v>1385.8471418590909</v>
      </c>
      <c r="P559" s="777">
        <f>$H$22*$M$9*'Traffic Data'!AR61*annualizationFactor</f>
        <v>1435.3881273136365</v>
      </c>
      <c r="Q559" s="777">
        <f>$H$22*$M$9*'Traffic Data'!AS61*annualizationFactor</f>
        <v>1491.0701307568181</v>
      </c>
      <c r="R559" s="777">
        <f>$H$22*$M$9*'Traffic Data'!AT61*annualizationFactor</f>
        <v>1546.7329665568177</v>
      </c>
      <c r="S559" s="777">
        <f>$H$22*$M$9*'Traffic Data'!AU61*annualizationFactor</f>
        <v>1602.4149699999996</v>
      </c>
      <c r="T559" s="777">
        <f>$H$22*$M$9*'Traffic Data'!AV61*annualizationFactor</f>
        <v>1658.0969734431815</v>
      </c>
      <c r="U559" s="777">
        <f>$H$22*$M$9*'Traffic Data'!AW61*annualizationFactor</f>
        <v>1713.7878234909087</v>
      </c>
      <c r="V559" s="777">
        <f>$H$22*$M$9*'Traffic Data'!AX61*annualizationFactor</f>
        <v>1755.2312169181814</v>
      </c>
      <c r="W559" s="777">
        <f>$H$22*$M$9*'Traffic Data'!AY61*annualizationFactor</f>
        <v>1787.0347602590907</v>
      </c>
      <c r="X559" s="777">
        <f>$H$22*$M$9*'Traffic Data'!AZ61*annualizationFactor</f>
        <v>1818.8383036</v>
      </c>
      <c r="Y559" s="777">
        <f>$H$22*$M$9*'Traffic Data'!BA61*annualizationFactor</f>
        <v>1850.6418469409089</v>
      </c>
      <c r="Z559" s="777">
        <f>$H$22*$M$9*'Traffic Data'!BB61*annualizationFactor</f>
        <v>1882.4291715068177</v>
      </c>
      <c r="AA559" s="777">
        <f>$H$22*$M$9*'Traffic Data'!BC61*annualizationFactor</f>
        <v>1914.2327148477268</v>
      </c>
      <c r="AB559" s="777">
        <f>$H$22*$M$9*'Traffic Data'!BD61*annualizationFactor</f>
        <v>1946.0200394136364</v>
      </c>
      <c r="AC559" s="777">
        <f>$H$22*$M$9*'Traffic Data'!BE61*annualizationFactor</f>
        <v>1977.8235827545452</v>
      </c>
      <c r="AD559" s="777">
        <f>$H$22*$M$9*'Traffic Data'!BF61*annualizationFactor</f>
        <v>2009.6271260954545</v>
      </c>
      <c r="AE559" s="777">
        <f>$H$22*$M$9*'Traffic Data'!BG61*annualizationFactor</f>
        <v>2041.4144506613629</v>
      </c>
      <c r="AF559" s="777">
        <f>$H$22*$M$9*'Traffic Data'!BH61*annualizationFactor</f>
        <v>2073.217994002272</v>
      </c>
      <c r="AG559" s="777">
        <f>$H$22*$M$9*'Traffic Data'!BI61*annualizationFactor</f>
        <v>2105.0215373431811</v>
      </c>
      <c r="AH559" s="778">
        <f>$H$22*$M$9*'Traffic Data'!BJ61*annualizationFactor</f>
        <v>2136.8088619090904</v>
      </c>
      <c r="AI559" s="26"/>
      <c r="AJ559" s="26"/>
      <c r="AK559" s="26"/>
      <c r="AL559" s="26"/>
      <c r="AM559" s="26"/>
    </row>
    <row r="560" spans="2:39" s="1" customFormat="1" ht="21.95" customHeight="1" x14ac:dyDescent="0.2">
      <c r="B560" s="492"/>
      <c r="C560" s="116" t="s">
        <v>343</v>
      </c>
      <c r="D560" s="116" t="s">
        <v>350</v>
      </c>
      <c r="E560" s="116" t="s">
        <v>467</v>
      </c>
      <c r="F560" s="116" t="s">
        <v>40</v>
      </c>
      <c r="G560" s="970"/>
      <c r="H560" s="970"/>
      <c r="I560" s="777">
        <f>$H$22*$M$9*'Traffic Data'!AK62*annualizationFactor</f>
        <v>2875.1464772727272</v>
      </c>
      <c r="J560" s="777">
        <f>$H$22*$M$9*'Traffic Data'!AL62*annualizationFactor</f>
        <v>2956.6760475465908</v>
      </c>
      <c r="K560" s="777">
        <f>$H$22*$M$9*'Traffic Data'!AM62*annualizationFactor</f>
        <v>3049.5768221380681</v>
      </c>
      <c r="L560" s="777">
        <f>$H$22*$M$9*'Traffic Data'!AN62*annualizationFactor</f>
        <v>3168.2820363630681</v>
      </c>
      <c r="M560" s="777">
        <f>$H$22*$M$9*'Traffic Data'!AO62*annualizationFactor</f>
        <v>3287.0255858744317</v>
      </c>
      <c r="N560" s="777">
        <f>$H$22*$M$9*'Traffic Data'!AP62*annualizationFactor</f>
        <v>3405.7499677426149</v>
      </c>
      <c r="O560" s="777">
        <f>$H$22*$M$9*'Traffic Data'!AQ62*annualizationFactor</f>
        <v>3524.455181967614</v>
      </c>
      <c r="P560" s="777">
        <f>$H$22*$M$9*'Traffic Data'!AR62*annualizationFactor</f>
        <v>3643.1843557465913</v>
      </c>
      <c r="Q560" s="777">
        <f>$H$22*$M$9*'Traffic Data'!AS62*annualizationFactor</f>
        <v>3777.3770256624998</v>
      </c>
      <c r="R560" s="777">
        <f>$H$22*$M$9*'Traffic Data'!AT62*annualizationFactor</f>
        <v>3911.5649036676136</v>
      </c>
      <c r="S560" s="777">
        <f>$H$22*$M$9*'Traffic Data'!AU62*annualizationFactor</f>
        <v>4045.7384059403412</v>
      </c>
      <c r="T560" s="777">
        <f>$H$22*$M$9*'Traffic Data'!AV62*annualizationFactor</f>
        <v>4179.9310758562497</v>
      </c>
      <c r="U560" s="777">
        <f>$H$22*$M$9*'Traffic Data'!AW62*annualizationFactor</f>
        <v>4314.147705326136</v>
      </c>
      <c r="V560" s="777">
        <f>$H$22*$M$9*'Traffic Data'!AX62*annualizationFactor</f>
        <v>4422.5311436977272</v>
      </c>
      <c r="W560" s="777">
        <f>$H$22*$M$9*'Traffic Data'!AY62*annualizationFactor</f>
        <v>4504.0607139715912</v>
      </c>
      <c r="X560" s="777">
        <f>$H$22*$M$9*'Traffic Data'!AZ62*annualizationFactor</f>
        <v>4585.5902842454552</v>
      </c>
      <c r="Y560" s="777">
        <f>$H$22*$M$9*'Traffic Data'!BA62*annualizationFactor</f>
        <v>4667.1198545193183</v>
      </c>
      <c r="Z560" s="777">
        <f>$H$22*$M$9*'Traffic Data'!BB62*annualizationFactor</f>
        <v>4748.6254652392054</v>
      </c>
      <c r="AA560" s="777">
        <f>$H$22*$M$9*'Traffic Data'!BC62*annualizationFactor</f>
        <v>4830.1550355130676</v>
      </c>
      <c r="AB560" s="777">
        <f>$H$22*$M$9*'Traffic Data'!BD62*annualizationFactor</f>
        <v>4911.6606462329528</v>
      </c>
      <c r="AC560" s="777">
        <f>$H$22*$M$9*'Traffic Data'!BE62*annualizationFactor</f>
        <v>4993.1902165068177</v>
      </c>
      <c r="AD560" s="777">
        <f>$H$22*$M$9*'Traffic Data'!BF62*annualizationFactor</f>
        <v>5074.7197867806817</v>
      </c>
      <c r="AE560" s="777">
        <f>$H$22*$M$9*'Traffic Data'!BG62*annualizationFactor</f>
        <v>5156.2253975005669</v>
      </c>
      <c r="AF560" s="777">
        <f>$H$22*$M$9*'Traffic Data'!BH62*annualizationFactor</f>
        <v>5237.754967774431</v>
      </c>
      <c r="AG560" s="777">
        <f>$H$22*$M$9*'Traffic Data'!BI62*annualizationFactor</f>
        <v>5319.2845380482941</v>
      </c>
      <c r="AH560" s="778">
        <f>$H$22*$M$9*'Traffic Data'!BJ62*annualizationFactor</f>
        <v>5400.7901487681802</v>
      </c>
      <c r="AI560" s="25"/>
      <c r="AJ560" s="25"/>
      <c r="AK560" s="25"/>
      <c r="AL560" s="25"/>
      <c r="AM560" s="25"/>
    </row>
    <row r="561" spans="2:39" s="1" customFormat="1" ht="21.95" customHeight="1" x14ac:dyDescent="0.2">
      <c r="B561" s="492"/>
      <c r="C561" s="116" t="s">
        <v>350</v>
      </c>
      <c r="D561" s="116" t="s">
        <v>280</v>
      </c>
      <c r="E561" s="116" t="s">
        <v>467</v>
      </c>
      <c r="F561" s="116" t="s">
        <v>40</v>
      </c>
      <c r="G561" s="970"/>
      <c r="H561" s="970"/>
      <c r="I561" s="777">
        <f>$H$22*$M$9*'Traffic Data'!AK63*annualizationFactor</f>
        <v>23871.087931818183</v>
      </c>
      <c r="J561" s="777">
        <f>$H$22*$M$9*'Traffic Data'!AL63*annualizationFactor</f>
        <v>24547.992415271441</v>
      </c>
      <c r="K561" s="777">
        <f>$H$22*$M$9*'Traffic Data'!AM63*annualizationFactor</f>
        <v>25319.307051495038</v>
      </c>
      <c r="L561" s="777">
        <f>$H$22*$M$9*'Traffic Data'!AN63*annualizationFactor</f>
        <v>26304.86470190671</v>
      </c>
      <c r="M561" s="777">
        <f>$H$22*$M$9*'Traffic Data'!AO63*annualizationFactor</f>
        <v>27290.740633490797</v>
      </c>
      <c r="N561" s="777">
        <f>$H$22*$M$9*'Traffic Data'!AP63*annualizationFactor</f>
        <v>28276.457424488686</v>
      </c>
      <c r="O561" s="777">
        <f>$H$22*$M$9*'Traffic Data'!AQ63*annualizationFactor</f>
        <v>29262.015074900344</v>
      </c>
      <c r="P561" s="777">
        <f>$H$22*$M$9*'Traffic Data'!AR63*annualizationFactor</f>
        <v>30247.771651044779</v>
      </c>
      <c r="Q561" s="777">
        <f>$H$22*$M$9*'Traffic Data'!AS63*annualizationFactor</f>
        <v>31361.914895115828</v>
      </c>
      <c r="R561" s="777">
        <f>$H$22*$M$9*'Traffic Data'!AT63*annualizationFactor</f>
        <v>32476.018354040345</v>
      </c>
      <c r="S561" s="777">
        <f>$H$22*$M$9*'Traffic Data'!AU63*annualizationFactor</f>
        <v>33590.002457525188</v>
      </c>
      <c r="T561" s="777">
        <f>$H$22*$M$9*'Traffic Data'!AV63*annualizationFactor</f>
        <v>34704.145701596251</v>
      </c>
      <c r="U561" s="777">
        <f>$H$22*$M$9*'Traffic Data'!AW63*annualizationFactor</f>
        <v>35818.487871400073</v>
      </c>
      <c r="V561" s="777">
        <f>$H$22*$M$9*'Traffic Data'!AX63*annualizationFactor</f>
        <v>36718.348316136515</v>
      </c>
      <c r="W561" s="777">
        <f>$H$22*$M$9*'Traffic Data'!AY63*annualizationFactor</f>
        <v>37395.252799589776</v>
      </c>
      <c r="X561" s="777">
        <f>$H$22*$M$9*'Traffic Data'!AZ63*annualizationFactor</f>
        <v>38072.157283043038</v>
      </c>
      <c r="Y561" s="777">
        <f>$H$22*$M$9*'Traffic Data'!BA63*annualizationFactor</f>
        <v>38749.061766496292</v>
      </c>
      <c r="Z561" s="777">
        <f>$H$22*$M$9*'Traffic Data'!BB63*annualizationFactor</f>
        <v>39425.767324216788</v>
      </c>
      <c r="AA561" s="777">
        <f>$H$22*$M$9*'Traffic Data'!BC63*annualizationFactor</f>
        <v>40102.671807670027</v>
      </c>
      <c r="AB561" s="777">
        <f>$H$22*$M$9*'Traffic Data'!BD63*annualizationFactor</f>
        <v>40779.377365390523</v>
      </c>
      <c r="AC561" s="777">
        <f>$H$22*$M$9*'Traffic Data'!BE63*annualizationFactor</f>
        <v>41456.281848843784</v>
      </c>
      <c r="AD561" s="777">
        <f>$H$22*$M$9*'Traffic Data'!BF63*annualizationFactor</f>
        <v>42133.186332297038</v>
      </c>
      <c r="AE561" s="777">
        <f>$H$22*$M$9*'Traffic Data'!BG63*annualizationFactor</f>
        <v>42809.891890017527</v>
      </c>
      <c r="AF561" s="777">
        <f>$H$22*$M$9*'Traffic Data'!BH63*annualizationFactor</f>
        <v>43486.796373470796</v>
      </c>
      <c r="AG561" s="777">
        <f>$H$22*$M$9*'Traffic Data'!BI63*annualizationFactor</f>
        <v>44163.700856924042</v>
      </c>
      <c r="AH561" s="778">
        <f>$H$22*$M$9*'Traffic Data'!BJ63*annualizationFactor</f>
        <v>44840.406414644531</v>
      </c>
      <c r="AI561" s="25"/>
      <c r="AJ561" s="25"/>
      <c r="AK561" s="25"/>
      <c r="AL561" s="25"/>
      <c r="AM561" s="25"/>
    </row>
    <row r="562" spans="2:39" ht="21.95" customHeight="1" x14ac:dyDescent="0.2">
      <c r="B562" s="493"/>
      <c r="C562" s="254" t="s">
        <v>280</v>
      </c>
      <c r="D562" s="254" t="s">
        <v>333</v>
      </c>
      <c r="E562" s="254" t="s">
        <v>467</v>
      </c>
      <c r="F562" s="254" t="s">
        <v>40</v>
      </c>
      <c r="G562" s="779"/>
      <c r="H562" s="779"/>
      <c r="I562" s="779">
        <f>$H$22*$M$9*'Traffic Data'!AK64*annualizationFactor</f>
        <v>589.77363636363634</v>
      </c>
      <c r="J562" s="779">
        <f>$H$22*$M$9*'Traffic Data'!AL64*annualizationFactor</f>
        <v>606.49765077878806</v>
      </c>
      <c r="K562" s="779">
        <f>$H$22*$M$9*'Traffic Data'!AM64*annualizationFactor</f>
        <v>625.55421992575748</v>
      </c>
      <c r="L562" s="779">
        <f>$H$22*$M$9*'Traffic Data'!AN64*annualizationFactor</f>
        <v>649.90400745909108</v>
      </c>
      <c r="M562" s="779">
        <f>$H$22*$M$9*'Traffic Data'!AO64*annualizationFactor</f>
        <v>674.26165864090899</v>
      </c>
      <c r="N562" s="779">
        <f>$H$22*$M$9*'Traffic Data'!AP64*annualizationFactor</f>
        <v>698.61537799848509</v>
      </c>
      <c r="O562" s="779">
        <f>$H$22*$M$9*'Traffic Data'!AQ64*annualizationFactor</f>
        <v>722.96516553181834</v>
      </c>
      <c r="P562" s="779">
        <f>$H$22*$M$9*'Traffic Data'!AR64*annualizationFactor</f>
        <v>747.31986784545461</v>
      </c>
      <c r="Q562" s="779">
        <f>$H$22*$M$9*'Traffic Data'!AS64*annualizationFactor</f>
        <v>774.8465693666667</v>
      </c>
      <c r="R562" s="779">
        <f>$H$22*$M$9*'Traffic Data'!AT64*annualizationFactor</f>
        <v>802.37228793181839</v>
      </c>
      <c r="S562" s="779">
        <f>$H$22*$M$9*'Traffic Data'!AU64*annualizationFactor</f>
        <v>829.89505762878787</v>
      </c>
      <c r="T562" s="779">
        <f>$H$22*$M$9*'Traffic Data'!AV64*annualizationFactor</f>
        <v>857.42175915000018</v>
      </c>
      <c r="U562" s="779">
        <f>$H$22*$M$9*'Traffic Data'!AW64*annualizationFactor</f>
        <v>884.95337545151506</v>
      </c>
      <c r="V562" s="779">
        <f>$H$22*$M$9*'Traffic Data'!AX64*annualizationFactor</f>
        <v>907.18587563030303</v>
      </c>
      <c r="W562" s="779">
        <f>$H$22*$M$9*'Traffic Data'!AY64*annualizationFactor</f>
        <v>923.90989004545474</v>
      </c>
      <c r="X562" s="779">
        <f>$H$22*$M$9*'Traffic Data'!AZ64*annualizationFactor</f>
        <v>940.63390446060635</v>
      </c>
      <c r="Y562" s="779">
        <f>$H$22*$M$9*'Traffic Data'!BA64*annualizationFactor</f>
        <v>957.35791887575772</v>
      </c>
      <c r="Z562" s="779">
        <f>$H$22*$M$9*'Traffic Data'!BB64*annualizationFactor</f>
        <v>974.07701851060619</v>
      </c>
      <c r="AA562" s="779">
        <f>$H$22*$M$9*'Traffic Data'!BC64*annualizationFactor</f>
        <v>990.80103292575734</v>
      </c>
      <c r="AB562" s="779">
        <f>$H$22*$M$9*'Traffic Data'!BD64*annualizationFactor</f>
        <v>1007.5201325606058</v>
      </c>
      <c r="AC562" s="779">
        <f>$H$22*$M$9*'Traffic Data'!BE64*annualizationFactor</f>
        <v>1024.2441469757573</v>
      </c>
      <c r="AD562" s="779">
        <f>$H$22*$M$9*'Traffic Data'!BF64*annualizationFactor</f>
        <v>1040.9681613909088</v>
      </c>
      <c r="AE562" s="779">
        <f>$H$22*$M$9*'Traffic Data'!BG64*annualizationFactor</f>
        <v>1057.6872610257574</v>
      </c>
      <c r="AF562" s="779">
        <f>$H$22*$M$9*'Traffic Data'!BH64*annualizationFactor</f>
        <v>1074.4112754409091</v>
      </c>
      <c r="AG562" s="779">
        <f>$H$22*$M$9*'Traffic Data'!BI64*annualizationFactor</f>
        <v>1091.1352898560604</v>
      </c>
      <c r="AH562" s="783">
        <f>$H$22*$M$9*'Traffic Data'!BJ64*annualizationFactor</f>
        <v>1107.8543894909089</v>
      </c>
    </row>
    <row r="563" spans="2:39" ht="21.95" customHeight="1" thickBot="1" x14ac:dyDescent="0.25">
      <c r="B563" s="788" t="s">
        <v>497</v>
      </c>
      <c r="C563" s="789"/>
      <c r="D563" s="789"/>
      <c r="E563" s="789"/>
      <c r="F563" s="789"/>
      <c r="G563" s="790">
        <f>SUM(G534:G562)</f>
        <v>0</v>
      </c>
      <c r="H563" s="790">
        <f>SUM(H534:H562)</f>
        <v>0</v>
      </c>
      <c r="I563" s="790">
        <f t="shared" ref="I563:AH563" si="39">SUM(I534:I562)</f>
        <v>684555.42516137124</v>
      </c>
      <c r="J563" s="790">
        <f t="shared" si="39"/>
        <v>707320.78626343515</v>
      </c>
      <c r="K563" s="790">
        <f t="shared" si="39"/>
        <v>747528.90083669126</v>
      </c>
      <c r="L563" s="790">
        <f t="shared" si="39"/>
        <v>811117.21429725923</v>
      </c>
      <c r="M563" s="790">
        <f t="shared" si="39"/>
        <v>874734.79646440072</v>
      </c>
      <c r="N563" s="790">
        <f t="shared" si="39"/>
        <v>938353.81124969875</v>
      </c>
      <c r="O563" s="790">
        <f t="shared" si="39"/>
        <v>1001942.1247102667</v>
      </c>
      <c r="P563" s="790">
        <f t="shared" si="39"/>
        <v>1065589.4760521271</v>
      </c>
      <c r="Q563" s="790">
        <f t="shared" si="39"/>
        <v>1125454.036243886</v>
      </c>
      <c r="R563" s="790">
        <f t="shared" si="39"/>
        <v>1185108.9971201713</v>
      </c>
      <c r="S563" s="790">
        <f t="shared" si="39"/>
        <v>1246418.2168137657</v>
      </c>
      <c r="T563" s="790">
        <f t="shared" si="39"/>
        <v>1308509.5690926868</v>
      </c>
      <c r="U563" s="790">
        <f t="shared" si="39"/>
        <v>1370639.1380401265</v>
      </c>
      <c r="V563" s="790">
        <f t="shared" si="39"/>
        <v>1408992.0103413528</v>
      </c>
      <c r="W563" s="790">
        <f t="shared" si="39"/>
        <v>1432406.4385865263</v>
      </c>
      <c r="X563" s="790">
        <f t="shared" si="39"/>
        <v>1456313.2498826387</v>
      </c>
      <c r="Y563" s="790">
        <f t="shared" si="39"/>
        <v>1480220.0611787506</v>
      </c>
      <c r="Z563" s="790">
        <f t="shared" si="39"/>
        <v>1504142.5074508185</v>
      </c>
      <c r="AA563" s="790">
        <f t="shared" si="39"/>
        <v>1528049.31874693</v>
      </c>
      <c r="AB563" s="790">
        <f t="shared" si="39"/>
        <v>1551971.7933281322</v>
      </c>
      <c r="AC563" s="790">
        <f t="shared" si="39"/>
        <v>1575878.6046242444</v>
      </c>
      <c r="AD563" s="790">
        <f t="shared" si="39"/>
        <v>1599785.415920357</v>
      </c>
      <c r="AE563" s="790">
        <f t="shared" si="39"/>
        <v>1623707.8621924249</v>
      </c>
      <c r="AF563" s="790">
        <f t="shared" si="39"/>
        <v>1647614.6734885366</v>
      </c>
      <c r="AG563" s="790">
        <f t="shared" si="39"/>
        <v>1671521.484784649</v>
      </c>
      <c r="AH563" s="791">
        <f t="shared" si="39"/>
        <v>1695443.9593658512</v>
      </c>
    </row>
    <row r="564" spans="2:39" ht="21.95" customHeight="1" x14ac:dyDescent="0.2">
      <c r="F56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row>
    <row r="565" spans="2:39" ht="21.95" customHeight="1" x14ac:dyDescent="0.2">
      <c r="F565"/>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row>
    <row r="566" spans="2:39" ht="21.95" customHeight="1" thickBot="1" x14ac:dyDescent="0.25">
      <c r="B566" s="796" t="s">
        <v>499</v>
      </c>
      <c r="F566"/>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row>
    <row r="567" spans="2:39" ht="21.95" customHeight="1" x14ac:dyDescent="0.2">
      <c r="B567" s="573"/>
      <c r="C567" s="482"/>
      <c r="D567" s="482"/>
      <c r="E567" s="482" t="s">
        <v>24</v>
      </c>
      <c r="F567" s="482"/>
      <c r="G567" s="482" cm="1">
        <f t="array" ref="G567:AH567">year</f>
        <v>2021</v>
      </c>
      <c r="H567" s="482">
        <v>2022</v>
      </c>
      <c r="I567" s="482">
        <v>2023</v>
      </c>
      <c r="J567" s="482">
        <v>2024</v>
      </c>
      <c r="K567" s="482">
        <v>2025</v>
      </c>
      <c r="L567" s="482">
        <v>2026</v>
      </c>
      <c r="M567" s="482">
        <v>2027</v>
      </c>
      <c r="N567" s="482">
        <v>2028</v>
      </c>
      <c r="O567" s="482">
        <v>2029</v>
      </c>
      <c r="P567" s="482">
        <v>2030</v>
      </c>
      <c r="Q567" s="482">
        <v>2031</v>
      </c>
      <c r="R567" s="482">
        <v>2032</v>
      </c>
      <c r="S567" s="482">
        <v>2033</v>
      </c>
      <c r="T567" s="482">
        <v>2034</v>
      </c>
      <c r="U567" s="482">
        <v>2035</v>
      </c>
      <c r="V567" s="482">
        <v>2036</v>
      </c>
      <c r="W567" s="482">
        <v>2037</v>
      </c>
      <c r="X567" s="482">
        <v>2038</v>
      </c>
      <c r="Y567" s="482">
        <v>2039</v>
      </c>
      <c r="Z567" s="482">
        <v>2040</v>
      </c>
      <c r="AA567" s="482">
        <v>2041</v>
      </c>
      <c r="AB567" s="482">
        <v>2042</v>
      </c>
      <c r="AC567" s="482">
        <v>2043</v>
      </c>
      <c r="AD567" s="482">
        <v>2044</v>
      </c>
      <c r="AE567" s="482">
        <v>2045</v>
      </c>
      <c r="AF567" s="482">
        <v>2046</v>
      </c>
      <c r="AG567" s="482">
        <v>2047</v>
      </c>
      <c r="AH567" s="494">
        <v>2048</v>
      </c>
    </row>
    <row r="568" spans="2:39" ht="21.95" customHeight="1" x14ac:dyDescent="0.2">
      <c r="B568" s="1346" t="s">
        <v>43</v>
      </c>
      <c r="C568" s="220"/>
      <c r="D568" s="220"/>
      <c r="E568" s="220" t="s">
        <v>19</v>
      </c>
      <c r="F568" s="220"/>
      <c r="G568" s="775">
        <f>G346</f>
        <v>0</v>
      </c>
      <c r="H568" s="775">
        <f>H346</f>
        <v>0</v>
      </c>
      <c r="I568" s="775">
        <f t="shared" ref="I568:AH568" si="40">I346</f>
        <v>108.54771409358332</v>
      </c>
      <c r="J568" s="775">
        <f t="shared" si="40"/>
        <v>111.77622523399759</v>
      </c>
      <c r="K568" s="775">
        <f t="shared" si="40"/>
        <v>117.30699060069293</v>
      </c>
      <c r="L568" s="775">
        <f t="shared" si="40"/>
        <v>125.83696247148902</v>
      </c>
      <c r="M568" s="775">
        <f t="shared" si="40"/>
        <v>134.37071413381597</v>
      </c>
      <c r="N568" s="775">
        <f t="shared" si="40"/>
        <v>142.90465703378996</v>
      </c>
      <c r="O568" s="775">
        <f t="shared" si="40"/>
        <v>151.43462890458608</v>
      </c>
      <c r="P568" s="775">
        <f t="shared" si="40"/>
        <v>159.97220999834457</v>
      </c>
      <c r="Q568" s="775">
        <f t="shared" si="40"/>
        <v>167.97187230497505</v>
      </c>
      <c r="R568" s="775">
        <f t="shared" si="40"/>
        <v>175.93254777418045</v>
      </c>
      <c r="S568" s="775">
        <f t="shared" si="40"/>
        <v>184.19582493003665</v>
      </c>
      <c r="T568" s="775">
        <f t="shared" si="40"/>
        <v>192.60172652176314</v>
      </c>
      <c r="U568" s="775">
        <f t="shared" si="40"/>
        <v>201.01136871578271</v>
      </c>
      <c r="V568" s="775">
        <f t="shared" si="40"/>
        <v>206.3363064998581</v>
      </c>
      <c r="W568" s="775">
        <f t="shared" si="40"/>
        <v>209.71836387679303</v>
      </c>
      <c r="X568" s="775">
        <f t="shared" si="40"/>
        <v>213.19024793299445</v>
      </c>
      <c r="Y568" s="775">
        <f t="shared" si="40"/>
        <v>216.66213198919593</v>
      </c>
      <c r="Z568" s="775">
        <f t="shared" si="40"/>
        <v>220.13604262246548</v>
      </c>
      <c r="AA568" s="775">
        <f t="shared" si="40"/>
        <v>223.6079266786669</v>
      </c>
      <c r="AB568" s="775">
        <f t="shared" si="40"/>
        <v>227.08184063197663</v>
      </c>
      <c r="AC568" s="775">
        <f t="shared" si="40"/>
        <v>230.55372468817797</v>
      </c>
      <c r="AD568" s="775">
        <f t="shared" si="40"/>
        <v>234.02560874437944</v>
      </c>
      <c r="AE568" s="775">
        <f t="shared" si="40"/>
        <v>237.49951937764911</v>
      </c>
      <c r="AF568" s="775">
        <f t="shared" si="40"/>
        <v>240.97140343385044</v>
      </c>
      <c r="AG568" s="775">
        <f t="shared" si="40"/>
        <v>244.44328749005189</v>
      </c>
      <c r="AH568" s="776">
        <f t="shared" si="40"/>
        <v>247.91720144336156</v>
      </c>
    </row>
    <row r="569" spans="2:39" ht="21.95" customHeight="1" x14ac:dyDescent="0.2">
      <c r="B569" s="1346"/>
      <c r="C569" s="116"/>
      <c r="D569" s="116"/>
      <c r="E569" s="116" t="s">
        <v>467</v>
      </c>
      <c r="F569" s="116"/>
      <c r="G569" s="777">
        <f>G377</f>
        <v>0</v>
      </c>
      <c r="H569" s="777">
        <f>H377</f>
        <v>0</v>
      </c>
      <c r="I569" s="777">
        <f t="shared" ref="I569:AH569" si="41">I377</f>
        <v>14.789539960727273</v>
      </c>
      <c r="J569" s="777">
        <f t="shared" si="41"/>
        <v>15.2813762757488</v>
      </c>
      <c r="K569" s="777">
        <f t="shared" si="41"/>
        <v>16.150056145003344</v>
      </c>
      <c r="L569" s="777">
        <f t="shared" si="41"/>
        <v>17.523855648146036</v>
      </c>
      <c r="M569" s="777">
        <f t="shared" si="41"/>
        <v>18.89828748972262</v>
      </c>
      <c r="N569" s="777">
        <f t="shared" si="41"/>
        <v>20.272750282428515</v>
      </c>
      <c r="O569" s="777">
        <f t="shared" si="41"/>
        <v>21.646549785571207</v>
      </c>
      <c r="P569" s="777">
        <f t="shared" si="41"/>
        <v>23.021624777991274</v>
      </c>
      <c r="Q569" s="777">
        <f t="shared" si="41"/>
        <v>24.314974114867347</v>
      </c>
      <c r="R569" s="777">
        <f t="shared" si="41"/>
        <v>25.603795144263852</v>
      </c>
      <c r="S569" s="777">
        <f t="shared" si="41"/>
        <v>26.928355758776078</v>
      </c>
      <c r="T569" s="777">
        <f t="shared" si="41"/>
        <v>28.269814027882958</v>
      </c>
      <c r="U569" s="777">
        <f t="shared" si="41"/>
        <v>29.612097952481633</v>
      </c>
      <c r="V569" s="777">
        <f t="shared" si="41"/>
        <v>30.440696071288386</v>
      </c>
      <c r="W569" s="777">
        <f t="shared" si="41"/>
        <v>30.946555216452467</v>
      </c>
      <c r="X569" s="777">
        <f t="shared" si="41"/>
        <v>31.463052096035398</v>
      </c>
      <c r="Y569" s="777">
        <f t="shared" si="41"/>
        <v>31.979548975618339</v>
      </c>
      <c r="Z569" s="777">
        <f t="shared" si="41"/>
        <v>32.496383642461701</v>
      </c>
      <c r="AA569" s="777">
        <f t="shared" si="41"/>
        <v>33.012880522044625</v>
      </c>
      <c r="AB569" s="777">
        <f t="shared" si="41"/>
        <v>33.529715800495268</v>
      </c>
      <c r="AC569" s="777">
        <f t="shared" si="41"/>
        <v>34.046212680078206</v>
      </c>
      <c r="AD569" s="777">
        <f t="shared" si="41"/>
        <v>34.562709559661144</v>
      </c>
      <c r="AE569" s="777">
        <f t="shared" si="41"/>
        <v>35.079544226504517</v>
      </c>
      <c r="AF569" s="777">
        <f t="shared" si="41"/>
        <v>35.596041106087441</v>
      </c>
      <c r="AG569" s="777">
        <f t="shared" si="41"/>
        <v>36.112537985670379</v>
      </c>
      <c r="AH569" s="778">
        <f t="shared" si="41"/>
        <v>36.629373264121007</v>
      </c>
    </row>
    <row r="570" spans="2:39" ht="21.95" customHeight="1" x14ac:dyDescent="0.2">
      <c r="B570" s="1346"/>
      <c r="C570" s="116"/>
      <c r="D570" s="116"/>
      <c r="E570" s="772" t="s">
        <v>25</v>
      </c>
      <c r="F570" s="240"/>
      <c r="G570" s="793">
        <f>G568+G569</f>
        <v>0</v>
      </c>
      <c r="H570" s="793">
        <f>H568+H569</f>
        <v>0</v>
      </c>
      <c r="I570" s="793">
        <f t="shared" ref="I570:AH570" si="42">I568+I569</f>
        <v>123.33725405431059</v>
      </c>
      <c r="J570" s="793">
        <f t="shared" si="42"/>
        <v>127.05760150974639</v>
      </c>
      <c r="K570" s="793">
        <f t="shared" si="42"/>
        <v>133.45704674569626</v>
      </c>
      <c r="L570" s="793">
        <f t="shared" si="42"/>
        <v>143.36081811963504</v>
      </c>
      <c r="M570" s="793">
        <f t="shared" si="42"/>
        <v>153.2690016235386</v>
      </c>
      <c r="N570" s="793">
        <f t="shared" si="42"/>
        <v>163.17740731621848</v>
      </c>
      <c r="O570" s="793">
        <f t="shared" si="42"/>
        <v>173.08117869015729</v>
      </c>
      <c r="P570" s="793">
        <f t="shared" si="42"/>
        <v>182.99383477633583</v>
      </c>
      <c r="Q570" s="793">
        <f t="shared" si="42"/>
        <v>192.28684641984239</v>
      </c>
      <c r="R570" s="793">
        <f t="shared" si="42"/>
        <v>201.53634291844429</v>
      </c>
      <c r="S570" s="793">
        <f t="shared" si="42"/>
        <v>211.12418068881271</v>
      </c>
      <c r="T570" s="793">
        <f t="shared" si="42"/>
        <v>220.87154054964611</v>
      </c>
      <c r="U570" s="793">
        <f t="shared" si="42"/>
        <v>230.62346666826434</v>
      </c>
      <c r="V570" s="793">
        <f t="shared" si="42"/>
        <v>236.77700257114648</v>
      </c>
      <c r="W570" s="793">
        <f t="shared" si="42"/>
        <v>240.66491909324549</v>
      </c>
      <c r="X570" s="793">
        <f t="shared" si="42"/>
        <v>244.65330002902985</v>
      </c>
      <c r="Y570" s="793">
        <f t="shared" si="42"/>
        <v>248.64168096481427</v>
      </c>
      <c r="Z570" s="793">
        <f t="shared" si="42"/>
        <v>252.63242626492718</v>
      </c>
      <c r="AA570" s="793">
        <f t="shared" si="42"/>
        <v>256.62080720071151</v>
      </c>
      <c r="AB570" s="793">
        <f t="shared" si="42"/>
        <v>260.6115564324719</v>
      </c>
      <c r="AC570" s="793">
        <f t="shared" si="42"/>
        <v>264.59993736825618</v>
      </c>
      <c r="AD570" s="793">
        <f t="shared" si="42"/>
        <v>268.58831830404057</v>
      </c>
      <c r="AE570" s="793">
        <f t="shared" si="42"/>
        <v>272.57906360415365</v>
      </c>
      <c r="AF570" s="793">
        <f t="shared" si="42"/>
        <v>276.56744453993787</v>
      </c>
      <c r="AG570" s="793">
        <f t="shared" si="42"/>
        <v>280.55582547572226</v>
      </c>
      <c r="AH570" s="794">
        <f t="shared" si="42"/>
        <v>284.54657470748259</v>
      </c>
    </row>
    <row r="571" spans="2:39" ht="21.95" customHeight="1" x14ac:dyDescent="0.2">
      <c r="B571" s="1346" t="s">
        <v>438</v>
      </c>
      <c r="C571" s="220"/>
      <c r="D571" s="220"/>
      <c r="E571" s="220" t="s">
        <v>19</v>
      </c>
      <c r="F571" s="220"/>
      <c r="G571" s="777">
        <f>G408</f>
        <v>0</v>
      </c>
      <c r="H571" s="777">
        <f>H408</f>
        <v>0</v>
      </c>
      <c r="I571" s="777">
        <f t="shared" ref="I571:AH571" si="43">I408</f>
        <v>2.3240492592116246E-2</v>
      </c>
      <c r="J571" s="777">
        <f t="shared" si="43"/>
        <v>2.3931729527586619E-2</v>
      </c>
      <c r="K571" s="777">
        <f t="shared" si="43"/>
        <v>2.5115888149504693E-2</v>
      </c>
      <c r="L571" s="777">
        <f t="shared" si="43"/>
        <v>2.6942188682220539E-2</v>
      </c>
      <c r="M571" s="777">
        <f t="shared" si="43"/>
        <v>2.8769298483172036E-2</v>
      </c>
      <c r="N571" s="777">
        <f t="shared" si="43"/>
        <v>3.0596449228856088E-2</v>
      </c>
      <c r="O571" s="777">
        <f t="shared" si="43"/>
        <v>3.242274976157191E-2</v>
      </c>
      <c r="P571" s="777">
        <f t="shared" si="43"/>
        <v>3.4250679458857146E-2</v>
      </c>
      <c r="Q571" s="777">
        <f t="shared" si="43"/>
        <v>3.5963438627754883E-2</v>
      </c>
      <c r="R571" s="777">
        <f t="shared" si="43"/>
        <v>3.7667850561393629E-2</v>
      </c>
      <c r="S571" s="777">
        <f t="shared" si="43"/>
        <v>3.943705070651795E-2</v>
      </c>
      <c r="T571" s="777">
        <f t="shared" si="43"/>
        <v>4.1236787304417662E-2</v>
      </c>
      <c r="U571" s="777">
        <f t="shared" si="43"/>
        <v>4.3037324779983122E-2</v>
      </c>
      <c r="V571" s="777">
        <f t="shared" si="43"/>
        <v>4.4177414906778331E-2</v>
      </c>
      <c r="W571" s="777">
        <f t="shared" si="43"/>
        <v>4.4901526695507496E-2</v>
      </c>
      <c r="X571" s="777">
        <f t="shared" si="43"/>
        <v>4.5644870729627564E-2</v>
      </c>
      <c r="Y571" s="777">
        <f t="shared" si="43"/>
        <v>4.6388214763747639E-2</v>
      </c>
      <c r="Z571" s="777">
        <f t="shared" si="43"/>
        <v>4.7131992695990145E-2</v>
      </c>
      <c r="AA571" s="777">
        <f t="shared" si="43"/>
        <v>4.7875336730110206E-2</v>
      </c>
      <c r="AB571" s="777">
        <f t="shared" si="43"/>
        <v>4.8619115373186354E-2</v>
      </c>
      <c r="AC571" s="777">
        <f t="shared" si="43"/>
        <v>4.9362459407306408E-2</v>
      </c>
      <c r="AD571" s="777">
        <f t="shared" si="43"/>
        <v>5.0105803441426476E-2</v>
      </c>
      <c r="AE571" s="777">
        <f t="shared" si="43"/>
        <v>5.0849581373668983E-2</v>
      </c>
      <c r="AF571" s="777">
        <f t="shared" si="43"/>
        <v>5.1592925407789057E-2</v>
      </c>
      <c r="AG571" s="777">
        <f t="shared" si="43"/>
        <v>5.2336269441909118E-2</v>
      </c>
      <c r="AH571" s="778">
        <f t="shared" si="43"/>
        <v>5.3080048084985253E-2</v>
      </c>
    </row>
    <row r="572" spans="2:39" ht="21.95" customHeight="1" x14ac:dyDescent="0.2">
      <c r="B572" s="1346"/>
      <c r="C572" s="116"/>
      <c r="D572" s="116"/>
      <c r="E572" s="116" t="s">
        <v>467</v>
      </c>
      <c r="F572" s="116"/>
      <c r="G572" s="777">
        <f>G439</f>
        <v>0</v>
      </c>
      <c r="H572" s="777">
        <f>H439</f>
        <v>0</v>
      </c>
      <c r="I572" s="777">
        <f t="shared" ref="I572:AH572" si="44">I439</f>
        <v>0.17036184390205916</v>
      </c>
      <c r="J572" s="777">
        <f t="shared" si="44"/>
        <v>0.17602734409662654</v>
      </c>
      <c r="K572" s="777">
        <f t="shared" si="44"/>
        <v>0.18603373406411591</v>
      </c>
      <c r="L572" s="777">
        <f t="shared" si="44"/>
        <v>0.20185863579389304</v>
      </c>
      <c r="M572" s="777">
        <f t="shared" si="44"/>
        <v>0.21769082147853661</v>
      </c>
      <c r="N572" s="777">
        <f t="shared" si="44"/>
        <v>0.23352336369160995</v>
      </c>
      <c r="O572" s="777">
        <f t="shared" si="44"/>
        <v>0.24934826542138711</v>
      </c>
      <c r="P572" s="777">
        <f t="shared" si="44"/>
        <v>0.26518785960987151</v>
      </c>
      <c r="Q572" s="777">
        <f t="shared" si="44"/>
        <v>0.28008604971076745</v>
      </c>
      <c r="R572" s="777">
        <f t="shared" si="44"/>
        <v>0.29493207789087206</v>
      </c>
      <c r="S572" s="777">
        <f t="shared" si="44"/>
        <v>0.31018979309009792</v>
      </c>
      <c r="T572" s="777">
        <f t="shared" si="44"/>
        <v>0.32564215366720645</v>
      </c>
      <c r="U572" s="777">
        <f t="shared" si="44"/>
        <v>0.34110402503318227</v>
      </c>
      <c r="V572" s="777">
        <f t="shared" si="44"/>
        <v>0.35064871024641669</v>
      </c>
      <c r="W572" s="777">
        <f t="shared" si="44"/>
        <v>0.35647574049574932</v>
      </c>
      <c r="X572" s="777">
        <f t="shared" si="44"/>
        <v>0.36242530762285857</v>
      </c>
      <c r="Y572" s="777">
        <f t="shared" si="44"/>
        <v>0.36837487474996755</v>
      </c>
      <c r="Z572" s="777">
        <f t="shared" si="44"/>
        <v>0.37432833287440898</v>
      </c>
      <c r="AA572" s="777">
        <f t="shared" si="44"/>
        <v>0.38027790000151801</v>
      </c>
      <c r="AB572" s="777">
        <f t="shared" si="44"/>
        <v>0.38623136517111034</v>
      </c>
      <c r="AC572" s="777">
        <f t="shared" si="44"/>
        <v>0.39218093229821949</v>
      </c>
      <c r="AD572" s="777">
        <f t="shared" si="44"/>
        <v>0.39813049942532847</v>
      </c>
      <c r="AE572" s="777">
        <f t="shared" si="44"/>
        <v>0.40408395754976978</v>
      </c>
      <c r="AF572" s="777">
        <f t="shared" si="44"/>
        <v>0.41003352467687881</v>
      </c>
      <c r="AG572" s="777">
        <f t="shared" si="44"/>
        <v>0.41598309180398801</v>
      </c>
      <c r="AH572" s="778">
        <f t="shared" si="44"/>
        <v>0.42193655697358051</v>
      </c>
    </row>
    <row r="573" spans="2:39" ht="21.95" customHeight="1" x14ac:dyDescent="0.2">
      <c r="B573" s="1346"/>
      <c r="C573" s="116"/>
      <c r="D573" s="116"/>
      <c r="E573" s="772" t="s">
        <v>25</v>
      </c>
      <c r="F573" s="240"/>
      <c r="G573" s="785">
        <f>G571+G572</f>
        <v>0</v>
      </c>
      <c r="H573" s="785">
        <f>H571+H572</f>
        <v>0</v>
      </c>
      <c r="I573" s="785">
        <f t="shared" ref="I573:AH573" si="45">I571+I572</f>
        <v>0.19360233649417541</v>
      </c>
      <c r="J573" s="785">
        <f t="shared" si="45"/>
        <v>0.19995907362421317</v>
      </c>
      <c r="K573" s="785">
        <f t="shared" si="45"/>
        <v>0.2111496222136206</v>
      </c>
      <c r="L573" s="785">
        <f t="shared" si="45"/>
        <v>0.22880082447611358</v>
      </c>
      <c r="M573" s="785">
        <f t="shared" si="45"/>
        <v>0.24646011996170863</v>
      </c>
      <c r="N573" s="785">
        <f t="shared" si="45"/>
        <v>0.26411981292046605</v>
      </c>
      <c r="O573" s="785">
        <f t="shared" si="45"/>
        <v>0.28177101518295899</v>
      </c>
      <c r="P573" s="785">
        <f t="shared" si="45"/>
        <v>0.29943853906872864</v>
      </c>
      <c r="Q573" s="785">
        <f t="shared" si="45"/>
        <v>0.31604948833852231</v>
      </c>
      <c r="R573" s="785">
        <f t="shared" si="45"/>
        <v>0.33259992845226571</v>
      </c>
      <c r="S573" s="785">
        <f t="shared" si="45"/>
        <v>0.34962684379661585</v>
      </c>
      <c r="T573" s="785">
        <f t="shared" si="45"/>
        <v>0.3668789409716241</v>
      </c>
      <c r="U573" s="785">
        <f t="shared" si="45"/>
        <v>0.38414134981316539</v>
      </c>
      <c r="V573" s="785">
        <f t="shared" si="45"/>
        <v>0.39482612515319504</v>
      </c>
      <c r="W573" s="785">
        <f t="shared" si="45"/>
        <v>0.40137726719125683</v>
      </c>
      <c r="X573" s="785">
        <f t="shared" si="45"/>
        <v>0.40807017835248616</v>
      </c>
      <c r="Y573" s="785">
        <f t="shared" si="45"/>
        <v>0.41476308951371521</v>
      </c>
      <c r="Z573" s="785">
        <f t="shared" si="45"/>
        <v>0.42146032557039914</v>
      </c>
      <c r="AA573" s="785">
        <f t="shared" si="45"/>
        <v>0.4281532367316282</v>
      </c>
      <c r="AB573" s="785">
        <f t="shared" si="45"/>
        <v>0.4348504805442967</v>
      </c>
      <c r="AC573" s="785">
        <f t="shared" si="45"/>
        <v>0.44154339170552592</v>
      </c>
      <c r="AD573" s="785">
        <f t="shared" si="45"/>
        <v>0.44823630286675492</v>
      </c>
      <c r="AE573" s="785">
        <f t="shared" si="45"/>
        <v>0.45493353892343874</v>
      </c>
      <c r="AF573" s="785">
        <f t="shared" si="45"/>
        <v>0.46162645008466785</v>
      </c>
      <c r="AG573" s="785">
        <f t="shared" si="45"/>
        <v>0.46831936124589713</v>
      </c>
      <c r="AH573" s="786">
        <f t="shared" si="45"/>
        <v>0.47501660505856574</v>
      </c>
    </row>
    <row r="574" spans="2:39" ht="21.95" customHeight="1" x14ac:dyDescent="0.2">
      <c r="B574" s="1346" t="s">
        <v>41</v>
      </c>
      <c r="C574" s="220"/>
      <c r="D574" s="220"/>
      <c r="E574" s="220" t="s">
        <v>19</v>
      </c>
      <c r="F574" s="220"/>
      <c r="G574" s="775">
        <f>G470</f>
        <v>0</v>
      </c>
      <c r="H574" s="775">
        <f>H470</f>
        <v>0</v>
      </c>
      <c r="I574" s="775">
        <f t="shared" ref="I574:AH574" si="46">I470</f>
        <v>3.0983876174469707</v>
      </c>
      <c r="J574" s="775">
        <f t="shared" si="46"/>
        <v>3.1905422890011308</v>
      </c>
      <c r="K574" s="775">
        <f t="shared" si="46"/>
        <v>3.3484125405330918</v>
      </c>
      <c r="L574" s="775">
        <f t="shared" si="46"/>
        <v>3.5918921885601334</v>
      </c>
      <c r="M574" s="775">
        <f t="shared" si="46"/>
        <v>3.8354797270146554</v>
      </c>
      <c r="N574" s="775">
        <f t="shared" si="46"/>
        <v>4.0790727241595128</v>
      </c>
      <c r="O574" s="775">
        <f t="shared" si="46"/>
        <v>4.3225523721865544</v>
      </c>
      <c r="P574" s="775">
        <f t="shared" si="46"/>
        <v>4.5662492179906478</v>
      </c>
      <c r="Q574" s="775">
        <f t="shared" si="46"/>
        <v>4.7945917016771489</v>
      </c>
      <c r="R574" s="775">
        <f t="shared" si="46"/>
        <v>5.0218213444776856</v>
      </c>
      <c r="S574" s="775">
        <f t="shared" si="46"/>
        <v>5.2576884544673481</v>
      </c>
      <c r="T574" s="775">
        <f t="shared" si="46"/>
        <v>5.49762663854397</v>
      </c>
      <c r="U574" s="775">
        <f t="shared" si="46"/>
        <v>5.7376715944298748</v>
      </c>
      <c r="V574" s="775">
        <f t="shared" si="46"/>
        <v>5.889666700283791</v>
      </c>
      <c r="W574" s="775">
        <f t="shared" si="46"/>
        <v>5.9862041979703458</v>
      </c>
      <c r="X574" s="775">
        <f t="shared" si="46"/>
        <v>6.0853057097688517</v>
      </c>
      <c r="Y574" s="775">
        <f t="shared" si="46"/>
        <v>6.1844072215673584</v>
      </c>
      <c r="Z574" s="775">
        <f t="shared" si="46"/>
        <v>6.2835665800128098</v>
      </c>
      <c r="AA574" s="775">
        <f t="shared" si="46"/>
        <v>6.3826680918113148</v>
      </c>
      <c r="AB574" s="775">
        <f t="shared" si="46"/>
        <v>6.4818275450240392</v>
      </c>
      <c r="AC574" s="775">
        <f t="shared" si="46"/>
        <v>6.5809290568225443</v>
      </c>
      <c r="AD574" s="775">
        <f t="shared" si="46"/>
        <v>6.680030568621051</v>
      </c>
      <c r="AE574" s="775">
        <f t="shared" si="46"/>
        <v>6.7791899270664997</v>
      </c>
      <c r="AF574" s="775">
        <f t="shared" si="46"/>
        <v>6.8782914388650065</v>
      </c>
      <c r="AG574" s="775">
        <f t="shared" si="46"/>
        <v>6.9773929506635097</v>
      </c>
      <c r="AH574" s="776">
        <f t="shared" si="46"/>
        <v>7.076552403876236</v>
      </c>
    </row>
    <row r="575" spans="2:39" ht="21.95" customHeight="1" x14ac:dyDescent="0.2">
      <c r="B575" s="1346"/>
      <c r="C575" s="116"/>
      <c r="D575" s="116"/>
      <c r="E575" s="116" t="s">
        <v>467</v>
      </c>
      <c r="F575" s="116"/>
      <c r="G575" s="777">
        <f>G501</f>
        <v>0</v>
      </c>
      <c r="H575" s="777">
        <f>H501</f>
        <v>0</v>
      </c>
      <c r="I575" s="777">
        <f t="shared" ref="I575:AH575" si="47">I501</f>
        <v>0.77028853962121213</v>
      </c>
      <c r="J575" s="777">
        <f t="shared" si="47"/>
        <v>0.79590501436191663</v>
      </c>
      <c r="K575" s="777">
        <f t="shared" si="47"/>
        <v>0.84114875755225738</v>
      </c>
      <c r="L575" s="777">
        <f t="shared" si="47"/>
        <v>0.91270081500760603</v>
      </c>
      <c r="M575" s="777">
        <f t="shared" si="47"/>
        <v>0.98428580675638633</v>
      </c>
      <c r="N575" s="777">
        <f t="shared" si="47"/>
        <v>1.0558724105431518</v>
      </c>
      <c r="O575" s="777">
        <f t="shared" si="47"/>
        <v>1.1274244679984999</v>
      </c>
      <c r="P575" s="777">
        <f t="shared" si="47"/>
        <v>1.1990429571870458</v>
      </c>
      <c r="Q575" s="777">
        <f t="shared" si="47"/>
        <v>1.2664049018160077</v>
      </c>
      <c r="R575" s="777">
        <f t="shared" si="47"/>
        <v>1.3335309970970757</v>
      </c>
      <c r="S575" s="777">
        <f t="shared" si="47"/>
        <v>1.4025185291029207</v>
      </c>
      <c r="T575" s="777">
        <f t="shared" si="47"/>
        <v>1.4723861472855702</v>
      </c>
      <c r="U575" s="777">
        <f t="shared" si="47"/>
        <v>1.5422967683584183</v>
      </c>
      <c r="V575" s="777">
        <f t="shared" si="47"/>
        <v>1.5854529203796031</v>
      </c>
      <c r="W575" s="777">
        <f t="shared" si="47"/>
        <v>1.6117997508568991</v>
      </c>
      <c r="X575" s="777">
        <f t="shared" si="47"/>
        <v>1.6387006300018441</v>
      </c>
      <c r="Y575" s="777">
        <f t="shared" si="47"/>
        <v>1.6656015091467886</v>
      </c>
      <c r="Z575" s="777">
        <f t="shared" si="47"/>
        <v>1.6925199813782137</v>
      </c>
      <c r="AA575" s="777">
        <f t="shared" si="47"/>
        <v>1.719420860523158</v>
      </c>
      <c r="AB575" s="777">
        <f t="shared" si="47"/>
        <v>1.7463393646091288</v>
      </c>
      <c r="AC575" s="777">
        <f t="shared" si="47"/>
        <v>1.7732402437540733</v>
      </c>
      <c r="AD575" s="777">
        <f t="shared" si="47"/>
        <v>1.8001411228990181</v>
      </c>
      <c r="AE575" s="777">
        <f t="shared" si="47"/>
        <v>1.8270595951304427</v>
      </c>
      <c r="AF575" s="777">
        <f t="shared" si="47"/>
        <v>1.8539604742753875</v>
      </c>
      <c r="AG575" s="777">
        <f t="shared" si="47"/>
        <v>1.880861353420332</v>
      </c>
      <c r="AH575" s="778">
        <f t="shared" si="47"/>
        <v>1.9077798575063032</v>
      </c>
    </row>
    <row r="576" spans="2:39" ht="21.95" customHeight="1" x14ac:dyDescent="0.2">
      <c r="B576" s="1346"/>
      <c r="C576" s="116"/>
      <c r="D576" s="116"/>
      <c r="E576" s="772" t="s">
        <v>25</v>
      </c>
      <c r="F576" s="240"/>
      <c r="G576" s="793">
        <f>G574+G575</f>
        <v>0</v>
      </c>
      <c r="H576" s="793">
        <f>H574+H575</f>
        <v>0</v>
      </c>
      <c r="I576" s="793">
        <f t="shared" ref="I576:AH576" si="48">I574+I575</f>
        <v>3.8686761570681827</v>
      </c>
      <c r="J576" s="793">
        <f t="shared" si="48"/>
        <v>3.9864473033630476</v>
      </c>
      <c r="K576" s="793">
        <f t="shared" si="48"/>
        <v>4.1895612980853496</v>
      </c>
      <c r="L576" s="793">
        <f t="shared" si="48"/>
        <v>4.5045930035677397</v>
      </c>
      <c r="M576" s="793">
        <f t="shared" si="48"/>
        <v>4.8197655337710419</v>
      </c>
      <c r="N576" s="793">
        <f t="shared" si="48"/>
        <v>5.1349451347026651</v>
      </c>
      <c r="O576" s="793">
        <f t="shared" si="48"/>
        <v>5.4499768401850543</v>
      </c>
      <c r="P576" s="793">
        <f t="shared" si="48"/>
        <v>5.7652921751776933</v>
      </c>
      <c r="Q576" s="793">
        <f t="shared" si="48"/>
        <v>6.0609966034931571</v>
      </c>
      <c r="R576" s="793">
        <f t="shared" si="48"/>
        <v>6.3553523415747613</v>
      </c>
      <c r="S576" s="793">
        <f t="shared" si="48"/>
        <v>6.6602069835702693</v>
      </c>
      <c r="T576" s="793">
        <f t="shared" si="48"/>
        <v>6.9700127858295406</v>
      </c>
      <c r="U576" s="793">
        <f t="shared" si="48"/>
        <v>7.279968362788293</v>
      </c>
      <c r="V576" s="793">
        <f t="shared" si="48"/>
        <v>7.4751196206633939</v>
      </c>
      <c r="W576" s="793">
        <f t="shared" si="48"/>
        <v>7.5980039488272446</v>
      </c>
      <c r="X576" s="793">
        <f t="shared" si="48"/>
        <v>7.7240063397706962</v>
      </c>
      <c r="Y576" s="793">
        <f t="shared" si="48"/>
        <v>7.8500087307141468</v>
      </c>
      <c r="Z576" s="793">
        <f t="shared" si="48"/>
        <v>7.976086561391023</v>
      </c>
      <c r="AA576" s="793">
        <f t="shared" si="48"/>
        <v>8.1020889523344728</v>
      </c>
      <c r="AB576" s="793">
        <f t="shared" si="48"/>
        <v>8.2281669096331687</v>
      </c>
      <c r="AC576" s="793">
        <f t="shared" si="48"/>
        <v>8.3541693005766184</v>
      </c>
      <c r="AD576" s="793">
        <f t="shared" si="48"/>
        <v>8.48017169152007</v>
      </c>
      <c r="AE576" s="793">
        <f t="shared" si="48"/>
        <v>8.6062495221969417</v>
      </c>
      <c r="AF576" s="793">
        <f t="shared" si="48"/>
        <v>8.7322519131403933</v>
      </c>
      <c r="AG576" s="793">
        <f t="shared" si="48"/>
        <v>8.8582543040838413</v>
      </c>
      <c r="AH576" s="794">
        <f t="shared" si="48"/>
        <v>8.9843322613825389</v>
      </c>
    </row>
    <row r="577" spans="2:34" ht="21.95" customHeight="1" x14ac:dyDescent="0.2">
      <c r="B577" s="1346" t="s">
        <v>40</v>
      </c>
      <c r="C577" s="220"/>
      <c r="D577" s="220"/>
      <c r="E577" s="220" t="s">
        <v>19</v>
      </c>
      <c r="F577" s="220"/>
      <c r="G577" s="777">
        <f>G532</f>
        <v>0</v>
      </c>
      <c r="H577" s="777">
        <f>H532</f>
        <v>0</v>
      </c>
      <c r="I577" s="777">
        <f t="shared" ref="I577:AH577" si="49">I532</f>
        <v>265055.34408075758</v>
      </c>
      <c r="J577" s="777">
        <f t="shared" si="49"/>
        <v>272938.82774816395</v>
      </c>
      <c r="K577" s="777">
        <f t="shared" si="49"/>
        <v>286444.03077837703</v>
      </c>
      <c r="L577" s="777">
        <f t="shared" si="49"/>
        <v>307272.79394573241</v>
      </c>
      <c r="M577" s="777">
        <f t="shared" si="49"/>
        <v>328110.78673116962</v>
      </c>
      <c r="N577" s="777">
        <f t="shared" si="49"/>
        <v>348949.24648692302</v>
      </c>
      <c r="O577" s="777">
        <f t="shared" si="49"/>
        <v>369778.0096542784</v>
      </c>
      <c r="P577" s="777">
        <f t="shared" si="49"/>
        <v>390625.35327012441</v>
      </c>
      <c r="Q577" s="777">
        <f t="shared" si="49"/>
        <v>410159.18926952407</v>
      </c>
      <c r="R577" s="777">
        <f t="shared" si="49"/>
        <v>429597.82593935169</v>
      </c>
      <c r="S577" s="777">
        <f t="shared" si="49"/>
        <v>449775.3652645176</v>
      </c>
      <c r="T577" s="777">
        <f t="shared" si="49"/>
        <v>470301.16958300519</v>
      </c>
      <c r="U577" s="777">
        <f t="shared" si="49"/>
        <v>490836.10782601795</v>
      </c>
      <c r="V577" s="777">
        <f t="shared" si="49"/>
        <v>503838.71436041169</v>
      </c>
      <c r="W577" s="777">
        <f t="shared" si="49"/>
        <v>512097.13222973223</v>
      </c>
      <c r="X577" s="777">
        <f t="shared" si="49"/>
        <v>520574.89181047824</v>
      </c>
      <c r="Y577" s="777">
        <f t="shared" si="49"/>
        <v>529052.65139122435</v>
      </c>
      <c r="Z577" s="777">
        <f t="shared" si="49"/>
        <v>537535.35953386873</v>
      </c>
      <c r="AA577" s="777">
        <f t="shared" si="49"/>
        <v>546013.11911461491</v>
      </c>
      <c r="AB577" s="777">
        <f t="shared" si="49"/>
        <v>554495.83536424115</v>
      </c>
      <c r="AC577" s="777">
        <f t="shared" si="49"/>
        <v>562973.59494498733</v>
      </c>
      <c r="AD577" s="777">
        <f t="shared" si="49"/>
        <v>571451.35452573327</v>
      </c>
      <c r="AE577" s="777">
        <f t="shared" si="49"/>
        <v>579934.06266837788</v>
      </c>
      <c r="AF577" s="777">
        <f t="shared" si="49"/>
        <v>588411.82224912406</v>
      </c>
      <c r="AG577" s="777">
        <f t="shared" si="49"/>
        <v>596889.58182987024</v>
      </c>
      <c r="AH577" s="778">
        <f t="shared" si="49"/>
        <v>605372.29807949648</v>
      </c>
    </row>
    <row r="578" spans="2:34" ht="21.95" customHeight="1" x14ac:dyDescent="0.2">
      <c r="B578" s="1346"/>
      <c r="C578" s="116"/>
      <c r="D578" s="116"/>
      <c r="E578" s="116" t="s">
        <v>467</v>
      </c>
      <c r="F578" s="116"/>
      <c r="G578" s="777">
        <f>G563</f>
        <v>0</v>
      </c>
      <c r="H578" s="777">
        <f>H563</f>
        <v>0</v>
      </c>
      <c r="I578" s="777">
        <f t="shared" ref="I578:AH578" si="50">I563</f>
        <v>684555.42516137124</v>
      </c>
      <c r="J578" s="777">
        <f t="shared" si="50"/>
        <v>707320.78626343515</v>
      </c>
      <c r="K578" s="777">
        <f t="shared" si="50"/>
        <v>747528.90083669126</v>
      </c>
      <c r="L578" s="777">
        <f t="shared" si="50"/>
        <v>811117.21429725923</v>
      </c>
      <c r="M578" s="777">
        <f t="shared" si="50"/>
        <v>874734.79646440072</v>
      </c>
      <c r="N578" s="777">
        <f t="shared" si="50"/>
        <v>938353.81124969875</v>
      </c>
      <c r="O578" s="777">
        <f t="shared" si="50"/>
        <v>1001942.1247102667</v>
      </c>
      <c r="P578" s="777">
        <f t="shared" si="50"/>
        <v>1065589.4760521271</v>
      </c>
      <c r="Q578" s="777">
        <f t="shared" si="50"/>
        <v>1125454.036243886</v>
      </c>
      <c r="R578" s="777">
        <f t="shared" si="50"/>
        <v>1185108.9971201713</v>
      </c>
      <c r="S578" s="777">
        <f t="shared" si="50"/>
        <v>1246418.2168137657</v>
      </c>
      <c r="T578" s="777">
        <f t="shared" si="50"/>
        <v>1308509.5690926868</v>
      </c>
      <c r="U578" s="777">
        <f t="shared" si="50"/>
        <v>1370639.1380401265</v>
      </c>
      <c r="V578" s="777">
        <f t="shared" si="50"/>
        <v>1408992.0103413528</v>
      </c>
      <c r="W578" s="777">
        <f t="shared" si="50"/>
        <v>1432406.4385865263</v>
      </c>
      <c r="X578" s="777">
        <f t="shared" si="50"/>
        <v>1456313.2498826387</v>
      </c>
      <c r="Y578" s="777">
        <f t="shared" si="50"/>
        <v>1480220.0611787506</v>
      </c>
      <c r="Z578" s="777">
        <f t="shared" si="50"/>
        <v>1504142.5074508185</v>
      </c>
      <c r="AA578" s="777">
        <f t="shared" si="50"/>
        <v>1528049.31874693</v>
      </c>
      <c r="AB578" s="777">
        <f t="shared" si="50"/>
        <v>1551971.7933281322</v>
      </c>
      <c r="AC578" s="777">
        <f t="shared" si="50"/>
        <v>1575878.6046242444</v>
      </c>
      <c r="AD578" s="777">
        <f t="shared" si="50"/>
        <v>1599785.415920357</v>
      </c>
      <c r="AE578" s="777">
        <f t="shared" si="50"/>
        <v>1623707.8621924249</v>
      </c>
      <c r="AF578" s="777">
        <f t="shared" si="50"/>
        <v>1647614.6734885366</v>
      </c>
      <c r="AG578" s="777">
        <f t="shared" si="50"/>
        <v>1671521.484784649</v>
      </c>
      <c r="AH578" s="778">
        <f t="shared" si="50"/>
        <v>1695443.9593658512</v>
      </c>
    </row>
    <row r="579" spans="2:34" ht="21.95" customHeight="1" thickBot="1" x14ac:dyDescent="0.25">
      <c r="B579" s="1347"/>
      <c r="C579" s="278"/>
      <c r="D579" s="278"/>
      <c r="E579" s="789" t="s">
        <v>25</v>
      </c>
      <c r="F579" s="789"/>
      <c r="G579" s="790">
        <f>G577+G578</f>
        <v>0</v>
      </c>
      <c r="H579" s="790">
        <f>H577+H578</f>
        <v>0</v>
      </c>
      <c r="I579" s="790">
        <f t="shared" ref="I579:AH579" si="51">I577+I578</f>
        <v>949610.76924212882</v>
      </c>
      <c r="J579" s="790">
        <f t="shared" si="51"/>
        <v>980259.6140115991</v>
      </c>
      <c r="K579" s="790">
        <f t="shared" si="51"/>
        <v>1033972.9316150683</v>
      </c>
      <c r="L579" s="790">
        <f t="shared" si="51"/>
        <v>1118390.0082429918</v>
      </c>
      <c r="M579" s="790">
        <f t="shared" si="51"/>
        <v>1202845.5831955704</v>
      </c>
      <c r="N579" s="790">
        <f t="shared" si="51"/>
        <v>1287303.0577366217</v>
      </c>
      <c r="O579" s="790">
        <f t="shared" si="51"/>
        <v>1371720.1343645451</v>
      </c>
      <c r="P579" s="790">
        <f t="shared" si="51"/>
        <v>1456214.8293222515</v>
      </c>
      <c r="Q579" s="790">
        <f t="shared" si="51"/>
        <v>1535613.2255134101</v>
      </c>
      <c r="R579" s="790">
        <f t="shared" si="51"/>
        <v>1614706.823059523</v>
      </c>
      <c r="S579" s="790">
        <f t="shared" si="51"/>
        <v>1696193.5820782832</v>
      </c>
      <c r="T579" s="790">
        <f t="shared" si="51"/>
        <v>1778810.7386756919</v>
      </c>
      <c r="U579" s="790">
        <f t="shared" si="51"/>
        <v>1861475.2458661445</v>
      </c>
      <c r="V579" s="790">
        <f t="shared" si="51"/>
        <v>1912830.7247017645</v>
      </c>
      <c r="W579" s="790">
        <f t="shared" si="51"/>
        <v>1944503.5708162584</v>
      </c>
      <c r="X579" s="790">
        <f t="shared" si="51"/>
        <v>1976888.1416931169</v>
      </c>
      <c r="Y579" s="790">
        <f t="shared" si="51"/>
        <v>2009272.7125699748</v>
      </c>
      <c r="Z579" s="790">
        <f t="shared" si="51"/>
        <v>2041677.8669846873</v>
      </c>
      <c r="AA579" s="790">
        <f t="shared" si="51"/>
        <v>2074062.437861545</v>
      </c>
      <c r="AB579" s="790">
        <f t="shared" si="51"/>
        <v>2106467.6286923736</v>
      </c>
      <c r="AC579" s="790">
        <f t="shared" si="51"/>
        <v>2138852.1995692318</v>
      </c>
      <c r="AD579" s="790">
        <f t="shared" si="51"/>
        <v>2171236.77044609</v>
      </c>
      <c r="AE579" s="790">
        <f t="shared" si="51"/>
        <v>2203641.9248608029</v>
      </c>
      <c r="AF579" s="790">
        <f t="shared" si="51"/>
        <v>2236026.4957376607</v>
      </c>
      <c r="AG579" s="790">
        <f t="shared" si="51"/>
        <v>2268411.0666145193</v>
      </c>
      <c r="AH579" s="791">
        <f t="shared" si="51"/>
        <v>2300816.2574453475</v>
      </c>
    </row>
    <row r="580" spans="2:34" ht="21.95" customHeight="1" x14ac:dyDescent="0.2">
      <c r="F580"/>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row>
    <row r="581" spans="2:34" ht="21.95" customHeight="1" x14ac:dyDescent="0.2">
      <c r="F581"/>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row>
    <row r="582" spans="2:34" ht="21.95" customHeight="1" thickBot="1" x14ac:dyDescent="0.25">
      <c r="B582" s="796" t="s">
        <v>500</v>
      </c>
      <c r="F582"/>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row>
    <row r="583" spans="2:34" ht="21.95" customHeight="1" x14ac:dyDescent="0.2">
      <c r="B583" s="573"/>
      <c r="C583" s="482"/>
      <c r="D583" s="482"/>
      <c r="E583" s="482" t="s">
        <v>24</v>
      </c>
      <c r="F583" s="482"/>
      <c r="G583" s="482" cm="1">
        <f t="array" ref="G583:AH583">year</f>
        <v>2021</v>
      </c>
      <c r="H583" s="482">
        <v>2022</v>
      </c>
      <c r="I583" s="482">
        <v>2023</v>
      </c>
      <c r="J583" s="482">
        <v>2024</v>
      </c>
      <c r="K583" s="482">
        <v>2025</v>
      </c>
      <c r="L583" s="482">
        <v>2026</v>
      </c>
      <c r="M583" s="482">
        <v>2027</v>
      </c>
      <c r="N583" s="482">
        <v>2028</v>
      </c>
      <c r="O583" s="482">
        <v>2029</v>
      </c>
      <c r="P583" s="482">
        <v>2030</v>
      </c>
      <c r="Q583" s="482">
        <v>2031</v>
      </c>
      <c r="R583" s="482">
        <v>2032</v>
      </c>
      <c r="S583" s="482">
        <v>2033</v>
      </c>
      <c r="T583" s="482">
        <v>2034</v>
      </c>
      <c r="U583" s="482">
        <v>2035</v>
      </c>
      <c r="V583" s="482">
        <v>2036</v>
      </c>
      <c r="W583" s="482">
        <v>2037</v>
      </c>
      <c r="X583" s="482">
        <v>2038</v>
      </c>
      <c r="Y583" s="482">
        <v>2039</v>
      </c>
      <c r="Z583" s="482">
        <v>2040</v>
      </c>
      <c r="AA583" s="482">
        <v>2041</v>
      </c>
      <c r="AB583" s="482">
        <v>2042</v>
      </c>
      <c r="AC583" s="482">
        <v>2043</v>
      </c>
      <c r="AD583" s="482">
        <v>2044</v>
      </c>
      <c r="AE583" s="482">
        <v>2045</v>
      </c>
      <c r="AF583" s="482">
        <v>2046</v>
      </c>
      <c r="AG583" s="482">
        <v>2047</v>
      </c>
      <c r="AH583" s="494">
        <v>2048</v>
      </c>
    </row>
    <row r="584" spans="2:34" ht="21.95" customHeight="1" x14ac:dyDescent="0.2">
      <c r="B584" s="1346" t="s">
        <v>43</v>
      </c>
      <c r="C584" s="220"/>
      <c r="D584" s="220"/>
      <c r="E584" s="220" t="s">
        <v>19</v>
      </c>
      <c r="F584" s="220"/>
      <c r="G584" s="799">
        <f t="shared" ref="G584:AH584" si="52">G568*G13</f>
        <v>0</v>
      </c>
      <c r="H584" s="799">
        <f t="shared" si="52"/>
        <v>0</v>
      </c>
      <c r="I584" s="799">
        <f t="shared" si="52"/>
        <v>1823601.5967721997</v>
      </c>
      <c r="J584" s="799">
        <f t="shared" si="52"/>
        <v>1900195.828977959</v>
      </c>
      <c r="K584" s="799">
        <f t="shared" si="52"/>
        <v>2017680.2383319184</v>
      </c>
      <c r="L584" s="799">
        <f t="shared" si="52"/>
        <v>2202146.8432510579</v>
      </c>
      <c r="M584" s="799">
        <f t="shared" si="52"/>
        <v>2405235.782995306</v>
      </c>
      <c r="N584" s="799">
        <f t="shared" si="52"/>
        <v>2600864.7580149774</v>
      </c>
      <c r="O584" s="799">
        <f t="shared" si="52"/>
        <v>2816684.0976253012</v>
      </c>
      <c r="P584" s="799">
        <f t="shared" si="52"/>
        <v>3023474.7689687125</v>
      </c>
      <c r="Q584" s="799">
        <f t="shared" si="52"/>
        <v>3174668.3865640284</v>
      </c>
      <c r="R584" s="799">
        <f t="shared" si="52"/>
        <v>3325125.1529320106</v>
      </c>
      <c r="S584" s="799">
        <f t="shared" si="52"/>
        <v>3481301.0911776926</v>
      </c>
      <c r="T584" s="799">
        <f t="shared" si="52"/>
        <v>3640172.6312613236</v>
      </c>
      <c r="U584" s="799">
        <f t="shared" si="52"/>
        <v>3799114.8687282931</v>
      </c>
      <c r="V584" s="799">
        <f t="shared" si="52"/>
        <v>3899756.192847318</v>
      </c>
      <c r="W584" s="799">
        <f t="shared" si="52"/>
        <v>3963677.0772713884</v>
      </c>
      <c r="X584" s="799">
        <f t="shared" si="52"/>
        <v>4029295.6859335951</v>
      </c>
      <c r="Y584" s="799">
        <f t="shared" si="52"/>
        <v>4094914.2945958031</v>
      </c>
      <c r="Z584" s="799">
        <f t="shared" si="52"/>
        <v>4160571.2055645976</v>
      </c>
      <c r="AA584" s="799">
        <f t="shared" si="52"/>
        <v>4226189.8142268043</v>
      </c>
      <c r="AB584" s="799">
        <f t="shared" si="52"/>
        <v>4291846.7879443588</v>
      </c>
      <c r="AC584" s="799">
        <f t="shared" si="52"/>
        <v>4357465.3966065636</v>
      </c>
      <c r="AD584" s="799">
        <f t="shared" si="52"/>
        <v>4423084.0052687712</v>
      </c>
      <c r="AE584" s="799">
        <f t="shared" si="52"/>
        <v>4488740.9162375685</v>
      </c>
      <c r="AF584" s="799">
        <f t="shared" si="52"/>
        <v>4554359.5248997733</v>
      </c>
      <c r="AG584" s="799">
        <f t="shared" si="52"/>
        <v>4619978.1335619809</v>
      </c>
      <c r="AH584" s="800">
        <f t="shared" si="52"/>
        <v>4685635.1072795335</v>
      </c>
    </row>
    <row r="585" spans="2:34" ht="21.95" customHeight="1" x14ac:dyDescent="0.2">
      <c r="B585" s="1346"/>
      <c r="C585" s="116"/>
      <c r="D585" s="116"/>
      <c r="E585" s="116" t="s">
        <v>467</v>
      </c>
      <c r="F585" s="116"/>
      <c r="G585" s="810">
        <f t="shared" ref="G585:AH585" si="53">G569*G13</f>
        <v>0</v>
      </c>
      <c r="H585" s="810">
        <f t="shared" si="53"/>
        <v>0</v>
      </c>
      <c r="I585" s="810">
        <f t="shared" si="53"/>
        <v>248464.2713402182</v>
      </c>
      <c r="J585" s="810">
        <f t="shared" si="53"/>
        <v>259783.3966877296</v>
      </c>
      <c r="K585" s="810">
        <f t="shared" si="53"/>
        <v>277780.96569405752</v>
      </c>
      <c r="L585" s="810">
        <f t="shared" si="53"/>
        <v>306667.4738425556</v>
      </c>
      <c r="M585" s="810">
        <f t="shared" si="53"/>
        <v>338279.34606603486</v>
      </c>
      <c r="N585" s="810">
        <f t="shared" si="53"/>
        <v>368964.05514019897</v>
      </c>
      <c r="O585" s="810">
        <f t="shared" si="53"/>
        <v>402625.82601162442</v>
      </c>
      <c r="P585" s="810">
        <f t="shared" si="53"/>
        <v>435108.70830403507</v>
      </c>
      <c r="Q585" s="810">
        <f t="shared" si="53"/>
        <v>459553.01077099284</v>
      </c>
      <c r="R585" s="810">
        <f t="shared" si="53"/>
        <v>483911.72822658683</v>
      </c>
      <c r="S585" s="810">
        <f t="shared" si="53"/>
        <v>508945.92384086788</v>
      </c>
      <c r="T585" s="810">
        <f t="shared" si="53"/>
        <v>534299.48512698791</v>
      </c>
      <c r="U585" s="810">
        <f t="shared" si="53"/>
        <v>559668.65130190284</v>
      </c>
      <c r="V585" s="810">
        <f t="shared" si="53"/>
        <v>575329.15574735054</v>
      </c>
      <c r="W585" s="810">
        <f t="shared" si="53"/>
        <v>584889.89359095157</v>
      </c>
      <c r="X585" s="810">
        <f t="shared" si="53"/>
        <v>594651.68461506907</v>
      </c>
      <c r="Y585" s="810">
        <f t="shared" si="53"/>
        <v>604413.47563918657</v>
      </c>
      <c r="Z585" s="810">
        <f t="shared" si="53"/>
        <v>614181.65084252611</v>
      </c>
      <c r="AA585" s="810">
        <f t="shared" si="53"/>
        <v>623943.44186664338</v>
      </c>
      <c r="AB585" s="810">
        <f t="shared" si="53"/>
        <v>633711.62862936058</v>
      </c>
      <c r="AC585" s="810">
        <f t="shared" si="53"/>
        <v>643473.41965347808</v>
      </c>
      <c r="AD585" s="810">
        <f t="shared" si="53"/>
        <v>653235.21067759558</v>
      </c>
      <c r="AE585" s="810">
        <f t="shared" si="53"/>
        <v>663003.38588093536</v>
      </c>
      <c r="AF585" s="810">
        <f t="shared" si="53"/>
        <v>672765.17690505262</v>
      </c>
      <c r="AG585" s="810">
        <f t="shared" si="53"/>
        <v>682526.96792917012</v>
      </c>
      <c r="AH585" s="802">
        <f t="shared" si="53"/>
        <v>692295.15469188709</v>
      </c>
    </row>
    <row r="586" spans="2:34" ht="21.95" customHeight="1" x14ac:dyDescent="0.2">
      <c r="B586" s="1346"/>
      <c r="C586" s="116"/>
      <c r="D586" s="116"/>
      <c r="E586" s="772" t="s">
        <v>25</v>
      </c>
      <c r="F586" s="240"/>
      <c r="G586" s="803">
        <f>G584+G585</f>
        <v>0</v>
      </c>
      <c r="H586" s="803">
        <f>H584+H585</f>
        <v>0</v>
      </c>
      <c r="I586" s="803">
        <f t="shared" ref="I586:AH586" si="54">I584+I585</f>
        <v>2072065.8681124179</v>
      </c>
      <c r="J586" s="803">
        <f t="shared" si="54"/>
        <v>2159979.2256656885</v>
      </c>
      <c r="K586" s="803">
        <f t="shared" si="54"/>
        <v>2295461.2040259759</v>
      </c>
      <c r="L586" s="803">
        <f t="shared" si="54"/>
        <v>2508814.3170936136</v>
      </c>
      <c r="M586" s="803">
        <f t="shared" si="54"/>
        <v>2743515.1290613408</v>
      </c>
      <c r="N586" s="803">
        <f t="shared" si="54"/>
        <v>2969828.8131551766</v>
      </c>
      <c r="O586" s="803">
        <f t="shared" si="54"/>
        <v>3219309.9236369254</v>
      </c>
      <c r="P586" s="803">
        <f t="shared" si="54"/>
        <v>3458583.4772727476</v>
      </c>
      <c r="Q586" s="803">
        <f t="shared" si="54"/>
        <v>3634221.3973350213</v>
      </c>
      <c r="R586" s="803">
        <f t="shared" si="54"/>
        <v>3809036.8811585973</v>
      </c>
      <c r="S586" s="803">
        <f t="shared" si="54"/>
        <v>3990247.0150185605</v>
      </c>
      <c r="T586" s="803">
        <f t="shared" si="54"/>
        <v>4174472.1163883116</v>
      </c>
      <c r="U586" s="803">
        <f t="shared" si="54"/>
        <v>4358783.5200301958</v>
      </c>
      <c r="V586" s="803">
        <f t="shared" si="54"/>
        <v>4475085.3485946683</v>
      </c>
      <c r="W586" s="803">
        <f t="shared" si="54"/>
        <v>4548566.9708623402</v>
      </c>
      <c r="X586" s="803">
        <f t="shared" si="54"/>
        <v>4623947.3705486637</v>
      </c>
      <c r="Y586" s="803">
        <f t="shared" si="54"/>
        <v>4699327.7702349899</v>
      </c>
      <c r="Z586" s="803">
        <f t="shared" si="54"/>
        <v>4774752.8564071236</v>
      </c>
      <c r="AA586" s="803">
        <f t="shared" si="54"/>
        <v>4850133.256093448</v>
      </c>
      <c r="AB586" s="803">
        <f t="shared" si="54"/>
        <v>4925558.4165737191</v>
      </c>
      <c r="AC586" s="803">
        <f t="shared" si="54"/>
        <v>5000938.8162600417</v>
      </c>
      <c r="AD586" s="803">
        <f t="shared" si="54"/>
        <v>5076319.215946367</v>
      </c>
      <c r="AE586" s="803">
        <f t="shared" si="54"/>
        <v>5151744.3021185035</v>
      </c>
      <c r="AF586" s="803">
        <f t="shared" si="54"/>
        <v>5227124.701804826</v>
      </c>
      <c r="AG586" s="803">
        <f t="shared" si="54"/>
        <v>5302505.1014911514</v>
      </c>
      <c r="AH586" s="804">
        <f t="shared" si="54"/>
        <v>5377930.2619714206</v>
      </c>
    </row>
    <row r="587" spans="2:34" ht="21.95" customHeight="1" x14ac:dyDescent="0.2">
      <c r="B587" s="1346" t="s">
        <v>438</v>
      </c>
      <c r="C587" s="220"/>
      <c r="D587" s="220"/>
      <c r="E587" s="220" t="s">
        <v>19</v>
      </c>
      <c r="F587" s="220"/>
      <c r="G587" s="810">
        <f t="shared" ref="G587:AH587" si="55">G571*G14</f>
        <v>0</v>
      </c>
      <c r="H587" s="810">
        <f t="shared" si="55"/>
        <v>0</v>
      </c>
      <c r="I587" s="810">
        <f t="shared" si="55"/>
        <v>1048.1462159044427</v>
      </c>
      <c r="J587" s="810">
        <f t="shared" si="55"/>
        <v>1100.8595582689845</v>
      </c>
      <c r="K587" s="810">
        <f t="shared" si="55"/>
        <v>1177.9351542117702</v>
      </c>
      <c r="L587" s="810">
        <f t="shared" si="55"/>
        <v>1287.8366190101417</v>
      </c>
      <c r="M587" s="810">
        <f t="shared" si="55"/>
        <v>1401.0648361304782</v>
      </c>
      <c r="N587" s="810">
        <f t="shared" si="55"/>
        <v>1514.5242368283764</v>
      </c>
      <c r="O587" s="810">
        <f t="shared" si="55"/>
        <v>1634.1065879832242</v>
      </c>
      <c r="P587" s="810">
        <f t="shared" si="55"/>
        <v>1757.0598562393716</v>
      </c>
      <c r="Q587" s="810">
        <f t="shared" si="55"/>
        <v>1844.9244016038256</v>
      </c>
      <c r="R587" s="810">
        <f t="shared" si="55"/>
        <v>1932.3607337994931</v>
      </c>
      <c r="S587" s="810">
        <f t="shared" si="55"/>
        <v>2023.1207012443708</v>
      </c>
      <c r="T587" s="810">
        <f t="shared" si="55"/>
        <v>2115.447188716626</v>
      </c>
      <c r="U587" s="810">
        <f t="shared" si="55"/>
        <v>2207.8147612131343</v>
      </c>
      <c r="V587" s="810">
        <f t="shared" si="55"/>
        <v>2266.3013847177285</v>
      </c>
      <c r="W587" s="810">
        <f t="shared" si="55"/>
        <v>2303.4483194795343</v>
      </c>
      <c r="X587" s="810">
        <f t="shared" si="55"/>
        <v>2341.5818684298938</v>
      </c>
      <c r="Y587" s="810">
        <f t="shared" si="55"/>
        <v>2379.7154173802537</v>
      </c>
      <c r="Z587" s="810">
        <f t="shared" si="55"/>
        <v>2417.8712253042945</v>
      </c>
      <c r="AA587" s="810">
        <f t="shared" si="55"/>
        <v>2456.0047742546535</v>
      </c>
      <c r="AB587" s="810">
        <f t="shared" si="55"/>
        <v>2494.1606186444601</v>
      </c>
      <c r="AC587" s="810">
        <f t="shared" si="55"/>
        <v>2532.2941675948186</v>
      </c>
      <c r="AD587" s="810">
        <f t="shared" si="55"/>
        <v>2570.4277165451781</v>
      </c>
      <c r="AE587" s="810">
        <f t="shared" si="55"/>
        <v>2608.5835244692189</v>
      </c>
      <c r="AF587" s="810">
        <f t="shared" si="55"/>
        <v>2646.7170734195788</v>
      </c>
      <c r="AG587" s="810">
        <f t="shared" si="55"/>
        <v>2684.8506223699378</v>
      </c>
      <c r="AH587" s="802">
        <f t="shared" si="55"/>
        <v>2723.0064667597435</v>
      </c>
    </row>
    <row r="588" spans="2:34" ht="21.95" customHeight="1" x14ac:dyDescent="0.2">
      <c r="B588" s="1346"/>
      <c r="C588" s="116"/>
      <c r="D588" s="116"/>
      <c r="E588" s="116" t="s">
        <v>467</v>
      </c>
      <c r="F588" s="116"/>
      <c r="G588" s="810">
        <f>G572*G314</f>
        <v>0</v>
      </c>
      <c r="H588" s="810">
        <f>H572*H314</f>
        <v>0</v>
      </c>
      <c r="I588" s="810">
        <f t="shared" ref="I588:AH588" si="56">I572*I314</f>
        <v>0</v>
      </c>
      <c r="J588" s="810">
        <f t="shared" si="56"/>
        <v>0</v>
      </c>
      <c r="K588" s="810">
        <f t="shared" si="56"/>
        <v>0</v>
      </c>
      <c r="L588" s="810">
        <f t="shared" si="56"/>
        <v>0</v>
      </c>
      <c r="M588" s="810">
        <f t="shared" si="56"/>
        <v>0</v>
      </c>
      <c r="N588" s="810">
        <f t="shared" si="56"/>
        <v>0</v>
      </c>
      <c r="O588" s="810">
        <f t="shared" si="56"/>
        <v>0</v>
      </c>
      <c r="P588" s="810">
        <f t="shared" si="56"/>
        <v>0</v>
      </c>
      <c r="Q588" s="810">
        <f t="shared" si="56"/>
        <v>0</v>
      </c>
      <c r="R588" s="810">
        <f t="shared" si="56"/>
        <v>0</v>
      </c>
      <c r="S588" s="810">
        <f t="shared" si="56"/>
        <v>0</v>
      </c>
      <c r="T588" s="810">
        <f t="shared" si="56"/>
        <v>0</v>
      </c>
      <c r="U588" s="810">
        <f t="shared" si="56"/>
        <v>0</v>
      </c>
      <c r="V588" s="810">
        <f t="shared" si="56"/>
        <v>0</v>
      </c>
      <c r="W588" s="810">
        <f t="shared" si="56"/>
        <v>0</v>
      </c>
      <c r="X588" s="810">
        <f t="shared" si="56"/>
        <v>0</v>
      </c>
      <c r="Y588" s="810">
        <f t="shared" si="56"/>
        <v>0</v>
      </c>
      <c r="Z588" s="810">
        <f t="shared" si="56"/>
        <v>0</v>
      </c>
      <c r="AA588" s="810">
        <f t="shared" si="56"/>
        <v>0</v>
      </c>
      <c r="AB588" s="810">
        <f t="shared" si="56"/>
        <v>0</v>
      </c>
      <c r="AC588" s="810">
        <f t="shared" si="56"/>
        <v>0</v>
      </c>
      <c r="AD588" s="810">
        <f t="shared" si="56"/>
        <v>0</v>
      </c>
      <c r="AE588" s="810">
        <f t="shared" si="56"/>
        <v>0</v>
      </c>
      <c r="AF588" s="810">
        <f t="shared" si="56"/>
        <v>0</v>
      </c>
      <c r="AG588" s="810">
        <f t="shared" si="56"/>
        <v>0</v>
      </c>
      <c r="AH588" s="802">
        <f t="shared" si="56"/>
        <v>0</v>
      </c>
    </row>
    <row r="589" spans="2:34" ht="21.95" customHeight="1" x14ac:dyDescent="0.2">
      <c r="B589" s="1346"/>
      <c r="C589" s="116"/>
      <c r="D589" s="116"/>
      <c r="E589" s="772" t="s">
        <v>25</v>
      </c>
      <c r="F589" s="240"/>
      <c r="G589" s="811">
        <f>G587+G588</f>
        <v>0</v>
      </c>
      <c r="H589" s="811">
        <f>H587+H588</f>
        <v>0</v>
      </c>
      <c r="I589" s="811">
        <f t="shared" ref="I589:AH589" si="57">I587+I588</f>
        <v>1048.1462159044427</v>
      </c>
      <c r="J589" s="811">
        <f t="shared" si="57"/>
        <v>1100.8595582689845</v>
      </c>
      <c r="K589" s="811">
        <f t="shared" si="57"/>
        <v>1177.9351542117702</v>
      </c>
      <c r="L589" s="811">
        <f t="shared" si="57"/>
        <v>1287.8366190101417</v>
      </c>
      <c r="M589" s="811">
        <f t="shared" si="57"/>
        <v>1401.0648361304782</v>
      </c>
      <c r="N589" s="811">
        <f t="shared" si="57"/>
        <v>1514.5242368283764</v>
      </c>
      <c r="O589" s="811">
        <f t="shared" si="57"/>
        <v>1634.1065879832242</v>
      </c>
      <c r="P589" s="811">
        <f t="shared" si="57"/>
        <v>1757.0598562393716</v>
      </c>
      <c r="Q589" s="811">
        <f t="shared" si="57"/>
        <v>1844.9244016038256</v>
      </c>
      <c r="R589" s="811">
        <f t="shared" si="57"/>
        <v>1932.3607337994931</v>
      </c>
      <c r="S589" s="811">
        <f t="shared" si="57"/>
        <v>2023.1207012443708</v>
      </c>
      <c r="T589" s="811">
        <f t="shared" si="57"/>
        <v>2115.447188716626</v>
      </c>
      <c r="U589" s="811">
        <f t="shared" si="57"/>
        <v>2207.8147612131343</v>
      </c>
      <c r="V589" s="811">
        <f t="shared" si="57"/>
        <v>2266.3013847177285</v>
      </c>
      <c r="W589" s="811">
        <f t="shared" si="57"/>
        <v>2303.4483194795343</v>
      </c>
      <c r="X589" s="811">
        <f t="shared" si="57"/>
        <v>2341.5818684298938</v>
      </c>
      <c r="Y589" s="811">
        <f t="shared" si="57"/>
        <v>2379.7154173802537</v>
      </c>
      <c r="Z589" s="811">
        <f t="shared" si="57"/>
        <v>2417.8712253042945</v>
      </c>
      <c r="AA589" s="811">
        <f t="shared" si="57"/>
        <v>2456.0047742546535</v>
      </c>
      <c r="AB589" s="811">
        <f t="shared" si="57"/>
        <v>2494.1606186444601</v>
      </c>
      <c r="AC589" s="811">
        <f t="shared" si="57"/>
        <v>2532.2941675948186</v>
      </c>
      <c r="AD589" s="811">
        <f t="shared" si="57"/>
        <v>2570.4277165451781</v>
      </c>
      <c r="AE589" s="811">
        <f t="shared" si="57"/>
        <v>2608.5835244692189</v>
      </c>
      <c r="AF589" s="811">
        <f t="shared" si="57"/>
        <v>2646.7170734195788</v>
      </c>
      <c r="AG589" s="811">
        <f t="shared" si="57"/>
        <v>2684.8506223699378</v>
      </c>
      <c r="AH589" s="805">
        <f t="shared" si="57"/>
        <v>2723.0064667597435</v>
      </c>
    </row>
    <row r="590" spans="2:34" ht="21.95" customHeight="1" x14ac:dyDescent="0.2">
      <c r="B590" s="1346" t="s">
        <v>41</v>
      </c>
      <c r="C590" s="220"/>
      <c r="D590" s="220"/>
      <c r="E590" s="220" t="s">
        <v>19</v>
      </c>
      <c r="F590" s="220"/>
      <c r="G590" s="799">
        <f t="shared" ref="G590:AH590" si="58">G574*G15</f>
        <v>0</v>
      </c>
      <c r="H590" s="799">
        <f t="shared" si="58"/>
        <v>0</v>
      </c>
      <c r="I590" s="799">
        <f t="shared" si="58"/>
        <v>2511243.1639407696</v>
      </c>
      <c r="J590" s="799">
        <f t="shared" si="58"/>
        <v>2630602.1172814323</v>
      </c>
      <c r="K590" s="799">
        <f t="shared" si="58"/>
        <v>2808648.4389991574</v>
      </c>
      <c r="L590" s="799">
        <f t="shared" si="58"/>
        <v>3060651.3338720896</v>
      </c>
      <c r="M590" s="799">
        <f t="shared" si="58"/>
        <v>3319991.2517038858</v>
      </c>
      <c r="N590" s="799">
        <f t="shared" si="58"/>
        <v>3587136.5536258756</v>
      </c>
      <c r="O590" s="799">
        <f t="shared" si="58"/>
        <v>3861768.2893114677</v>
      </c>
      <c r="P590" s="799">
        <f t="shared" si="58"/>
        <v>4144327.7902483121</v>
      </c>
      <c r="Q590" s="799">
        <f t="shared" si="58"/>
        <v>4351571.4284421802</v>
      </c>
      <c r="R590" s="799">
        <f t="shared" si="58"/>
        <v>4557805.0522479471</v>
      </c>
      <c r="S590" s="799">
        <f t="shared" si="58"/>
        <v>4771878.0412745653</v>
      </c>
      <c r="T590" s="799">
        <f t="shared" si="58"/>
        <v>4989645.9371425072</v>
      </c>
      <c r="U590" s="799">
        <f t="shared" si="58"/>
        <v>5207510.7391045541</v>
      </c>
      <c r="V590" s="799">
        <f t="shared" si="58"/>
        <v>5345461.4971775692</v>
      </c>
      <c r="W590" s="799">
        <f t="shared" si="58"/>
        <v>5433078.9300778862</v>
      </c>
      <c r="X590" s="799">
        <f t="shared" si="58"/>
        <v>5523023.4621862099</v>
      </c>
      <c r="Y590" s="799">
        <f t="shared" si="58"/>
        <v>5612967.9942945344</v>
      </c>
      <c r="Z590" s="799">
        <f t="shared" si="58"/>
        <v>5702965.0280196257</v>
      </c>
      <c r="AA590" s="799">
        <f t="shared" si="58"/>
        <v>5792909.5601279493</v>
      </c>
      <c r="AB590" s="799">
        <f t="shared" si="58"/>
        <v>5882906.679863818</v>
      </c>
      <c r="AC590" s="799">
        <f t="shared" si="58"/>
        <v>5972851.2119721407</v>
      </c>
      <c r="AD590" s="799">
        <f t="shared" si="58"/>
        <v>6062795.7440804662</v>
      </c>
      <c r="AE590" s="799">
        <f t="shared" si="58"/>
        <v>6152792.7778055547</v>
      </c>
      <c r="AF590" s="799">
        <f t="shared" si="58"/>
        <v>6242737.3099138802</v>
      </c>
      <c r="AG590" s="799">
        <f t="shared" si="58"/>
        <v>6332681.842022201</v>
      </c>
      <c r="AH590" s="800">
        <f t="shared" si="58"/>
        <v>6422678.9617580716</v>
      </c>
    </row>
    <row r="591" spans="2:34" ht="21.95" customHeight="1" x14ac:dyDescent="0.2">
      <c r="B591" s="1346"/>
      <c r="C591" s="116"/>
      <c r="D591" s="116"/>
      <c r="E591" s="116" t="s">
        <v>467</v>
      </c>
      <c r="F591" s="116"/>
      <c r="G591" s="810">
        <f t="shared" ref="G591:AH591" si="59">G575*G15</f>
        <v>0</v>
      </c>
      <c r="H591" s="810">
        <f t="shared" si="59"/>
        <v>0</v>
      </c>
      <c r="I591" s="810">
        <f t="shared" si="59"/>
        <v>624318.86136299244</v>
      </c>
      <c r="J591" s="810">
        <f t="shared" si="59"/>
        <v>656223.68434140028</v>
      </c>
      <c r="K591" s="810">
        <f t="shared" si="59"/>
        <v>705555.57783483353</v>
      </c>
      <c r="L591" s="810">
        <f t="shared" si="59"/>
        <v>777712.36446798104</v>
      </c>
      <c r="M591" s="810">
        <f t="shared" si="59"/>
        <v>851997.79432832799</v>
      </c>
      <c r="N591" s="810">
        <f t="shared" si="59"/>
        <v>928534.1978316477</v>
      </c>
      <c r="O591" s="810">
        <f t="shared" si="59"/>
        <v>1007241.0197098599</v>
      </c>
      <c r="P591" s="810">
        <f t="shared" si="59"/>
        <v>1088251.3879429628</v>
      </c>
      <c r="Q591" s="810">
        <f t="shared" si="59"/>
        <v>1149389.0888882086</v>
      </c>
      <c r="R591" s="810">
        <f t="shared" si="59"/>
        <v>1210312.7329653059</v>
      </c>
      <c r="S591" s="810">
        <f t="shared" si="59"/>
        <v>1272925.8170138109</v>
      </c>
      <c r="T591" s="810">
        <f t="shared" si="59"/>
        <v>1336337.6672763834</v>
      </c>
      <c r="U591" s="810">
        <f t="shared" si="59"/>
        <v>1399788.5469621005</v>
      </c>
      <c r="V591" s="810">
        <f t="shared" si="59"/>
        <v>1438957.0705365278</v>
      </c>
      <c r="W591" s="810">
        <f t="shared" si="59"/>
        <v>1462869.4538777217</v>
      </c>
      <c r="X591" s="810">
        <f t="shared" si="59"/>
        <v>1487284.6917896736</v>
      </c>
      <c r="Y591" s="810">
        <f t="shared" si="59"/>
        <v>1511699.9297016254</v>
      </c>
      <c r="Z591" s="810">
        <f t="shared" si="59"/>
        <v>1536131.1350988667</v>
      </c>
      <c r="AA591" s="810">
        <f t="shared" si="59"/>
        <v>1560546.3730108181</v>
      </c>
      <c r="AB591" s="810">
        <f t="shared" si="59"/>
        <v>1584977.6073192453</v>
      </c>
      <c r="AC591" s="810">
        <f t="shared" si="59"/>
        <v>1609392.8452311968</v>
      </c>
      <c r="AD591" s="810">
        <f t="shared" si="59"/>
        <v>1633808.0831431488</v>
      </c>
      <c r="AE591" s="810">
        <f t="shared" si="59"/>
        <v>1658239.2885403899</v>
      </c>
      <c r="AF591" s="810">
        <f t="shared" si="59"/>
        <v>1682654.5264523416</v>
      </c>
      <c r="AG591" s="810">
        <f t="shared" si="59"/>
        <v>1707069.7643642933</v>
      </c>
      <c r="AH591" s="802">
        <f t="shared" si="59"/>
        <v>1731500.9986727207</v>
      </c>
    </row>
    <row r="592" spans="2:34" ht="21.95" customHeight="1" x14ac:dyDescent="0.2">
      <c r="B592" s="1346"/>
      <c r="C592" s="116"/>
      <c r="D592" s="116"/>
      <c r="E592" s="772" t="s">
        <v>25</v>
      </c>
      <c r="F592" s="240"/>
      <c r="G592" s="803">
        <f>G590+G591</f>
        <v>0</v>
      </c>
      <c r="H592" s="803">
        <f>H590+H591</f>
        <v>0</v>
      </c>
      <c r="I592" s="803">
        <f t="shared" ref="I592:AH592" si="60">I590+I591</f>
        <v>3135562.0253037619</v>
      </c>
      <c r="J592" s="803">
        <f t="shared" si="60"/>
        <v>3286825.8016228327</v>
      </c>
      <c r="K592" s="803">
        <f t="shared" si="60"/>
        <v>3514204.0168339908</v>
      </c>
      <c r="L592" s="803">
        <f t="shared" si="60"/>
        <v>3838363.6983400704</v>
      </c>
      <c r="M592" s="803">
        <f t="shared" si="60"/>
        <v>4171989.0460322136</v>
      </c>
      <c r="N592" s="803">
        <f t="shared" si="60"/>
        <v>4515670.7514575236</v>
      </c>
      <c r="O592" s="803">
        <f t="shared" si="60"/>
        <v>4869009.3090213276</v>
      </c>
      <c r="P592" s="803">
        <f t="shared" si="60"/>
        <v>5232579.1781912744</v>
      </c>
      <c r="Q592" s="803">
        <f t="shared" si="60"/>
        <v>5500960.5173303885</v>
      </c>
      <c r="R592" s="803">
        <f t="shared" si="60"/>
        <v>5768117.7852132525</v>
      </c>
      <c r="S592" s="803">
        <f t="shared" si="60"/>
        <v>6044803.8582883757</v>
      </c>
      <c r="T592" s="803">
        <f t="shared" si="60"/>
        <v>6325983.6044188906</v>
      </c>
      <c r="U592" s="803">
        <f t="shared" si="60"/>
        <v>6607299.2860666551</v>
      </c>
      <c r="V592" s="803">
        <f t="shared" si="60"/>
        <v>6784418.567714097</v>
      </c>
      <c r="W592" s="803">
        <f t="shared" si="60"/>
        <v>6895948.3839556081</v>
      </c>
      <c r="X592" s="803">
        <f t="shared" si="60"/>
        <v>7010308.1539758835</v>
      </c>
      <c r="Y592" s="803">
        <f t="shared" si="60"/>
        <v>7124667.9239961598</v>
      </c>
      <c r="Z592" s="803">
        <f t="shared" si="60"/>
        <v>7239096.1631184928</v>
      </c>
      <c r="AA592" s="803">
        <f t="shared" si="60"/>
        <v>7353455.9331387673</v>
      </c>
      <c r="AB592" s="803">
        <f t="shared" si="60"/>
        <v>7467884.2871830631</v>
      </c>
      <c r="AC592" s="803">
        <f t="shared" si="60"/>
        <v>7582244.0572033376</v>
      </c>
      <c r="AD592" s="803">
        <f t="shared" si="60"/>
        <v>7696603.8272236148</v>
      </c>
      <c r="AE592" s="803">
        <f t="shared" si="60"/>
        <v>7811032.066345945</v>
      </c>
      <c r="AF592" s="803">
        <f t="shared" si="60"/>
        <v>7925391.8363662213</v>
      </c>
      <c r="AG592" s="803">
        <f t="shared" si="60"/>
        <v>8039751.6063864939</v>
      </c>
      <c r="AH592" s="804">
        <f t="shared" si="60"/>
        <v>8154179.9604307925</v>
      </c>
    </row>
    <row r="593" spans="1:39" ht="21.95" customHeight="1" x14ac:dyDescent="0.2">
      <c r="B593" s="1346" t="s">
        <v>40</v>
      </c>
      <c r="C593" s="220"/>
      <c r="D593" s="220"/>
      <c r="E593" s="220" t="s">
        <v>19</v>
      </c>
      <c r="F593" s="220"/>
      <c r="G593" s="810">
        <f t="shared" ref="G593:AH593" si="61">G577*G16</f>
        <v>0</v>
      </c>
      <c r="H593" s="810">
        <f t="shared" si="61"/>
        <v>0</v>
      </c>
      <c r="I593" s="810">
        <f t="shared" si="61"/>
        <v>15108154.612603182</v>
      </c>
      <c r="J593" s="810">
        <f t="shared" si="61"/>
        <v>15830452.009393509</v>
      </c>
      <c r="K593" s="810">
        <f t="shared" si="61"/>
        <v>16900197.815924246</v>
      </c>
      <c r="L593" s="810">
        <f t="shared" si="61"/>
        <v>18436367.636743944</v>
      </c>
      <c r="M593" s="810">
        <f t="shared" si="61"/>
        <v>20014757.990601346</v>
      </c>
      <c r="N593" s="810">
        <f t="shared" si="61"/>
        <v>21634853.282189228</v>
      </c>
      <c r="O593" s="810">
        <f t="shared" si="61"/>
        <v>23296014.608219538</v>
      </c>
      <c r="P593" s="810">
        <f t="shared" si="61"/>
        <v>25390647.962558087</v>
      </c>
      <c r="Q593" s="810">
        <f t="shared" si="61"/>
        <v>27070506.491788588</v>
      </c>
      <c r="R593" s="810">
        <f t="shared" si="61"/>
        <v>28783054.337936565</v>
      </c>
      <c r="S593" s="810">
        <f t="shared" si="61"/>
        <v>30584724.837987196</v>
      </c>
      <c r="T593" s="810">
        <f t="shared" si="61"/>
        <v>32450780.701227359</v>
      </c>
      <c r="U593" s="810">
        <f t="shared" si="61"/>
        <v>34358527.547821254</v>
      </c>
      <c r="V593" s="810">
        <f t="shared" si="61"/>
        <v>36276387.433949642</v>
      </c>
      <c r="W593" s="810">
        <f t="shared" si="61"/>
        <v>37383090.652770452</v>
      </c>
      <c r="X593" s="810">
        <f t="shared" si="61"/>
        <v>38522541.993975386</v>
      </c>
      <c r="Y593" s="810">
        <f t="shared" si="61"/>
        <v>39678948.854341827</v>
      </c>
      <c r="Z593" s="810">
        <f t="shared" si="61"/>
        <v>40852687.324574023</v>
      </c>
      <c r="AA593" s="810">
        <f t="shared" si="61"/>
        <v>42589023.290939964</v>
      </c>
      <c r="AB593" s="810">
        <f t="shared" si="61"/>
        <v>43805170.993775055</v>
      </c>
      <c r="AC593" s="810">
        <f t="shared" si="61"/>
        <v>45037887.595598988</v>
      </c>
      <c r="AD593" s="810">
        <f t="shared" si="61"/>
        <v>46287559.716584392</v>
      </c>
      <c r="AE593" s="810">
        <f t="shared" si="61"/>
        <v>47554593.138806984</v>
      </c>
      <c r="AF593" s="810">
        <f t="shared" si="61"/>
        <v>49426593.068926424</v>
      </c>
      <c r="AG593" s="810">
        <f t="shared" si="61"/>
        <v>50735614.455538973</v>
      </c>
      <c r="AH593" s="802">
        <f t="shared" si="61"/>
        <v>52062017.634836696</v>
      </c>
    </row>
    <row r="594" spans="1:39" ht="21.95" customHeight="1" x14ac:dyDescent="0.2">
      <c r="B594" s="1346"/>
      <c r="C594" s="116"/>
      <c r="D594" s="116"/>
      <c r="E594" s="116" t="s">
        <v>467</v>
      </c>
      <c r="F594" s="116"/>
      <c r="G594" s="810">
        <f t="shared" ref="G594:AH594" si="62">G578*G16</f>
        <v>0</v>
      </c>
      <c r="H594" s="810">
        <f t="shared" si="62"/>
        <v>0</v>
      </c>
      <c r="I594" s="810">
        <f t="shared" si="62"/>
        <v>39019659.23419816</v>
      </c>
      <c r="J594" s="810">
        <f t="shared" si="62"/>
        <v>41024605.60327924</v>
      </c>
      <c r="K594" s="810">
        <f t="shared" si="62"/>
        <v>44104205.149364784</v>
      </c>
      <c r="L594" s="810">
        <f t="shared" si="62"/>
        <v>48667032.857835554</v>
      </c>
      <c r="M594" s="810">
        <f t="shared" si="62"/>
        <v>53358822.584328443</v>
      </c>
      <c r="N594" s="810">
        <f t="shared" si="62"/>
        <v>58177936.297481321</v>
      </c>
      <c r="O594" s="810">
        <f t="shared" si="62"/>
        <v>63122353.8567468</v>
      </c>
      <c r="P594" s="810">
        <f t="shared" si="62"/>
        <v>69263315.943388253</v>
      </c>
      <c r="Q594" s="810">
        <f t="shared" si="62"/>
        <v>74279966.392096475</v>
      </c>
      <c r="R594" s="810">
        <f t="shared" si="62"/>
        <v>79402302.80705148</v>
      </c>
      <c r="S594" s="810">
        <f t="shared" si="62"/>
        <v>84756438.743336067</v>
      </c>
      <c r="T594" s="810">
        <f t="shared" si="62"/>
        <v>90287160.267395392</v>
      </c>
      <c r="U594" s="810">
        <f t="shared" si="62"/>
        <v>95944739.66280885</v>
      </c>
      <c r="V594" s="810">
        <f t="shared" si="62"/>
        <v>101447424.74457741</v>
      </c>
      <c r="W594" s="810">
        <f t="shared" si="62"/>
        <v>104565670.01681642</v>
      </c>
      <c r="X594" s="810">
        <f t="shared" si="62"/>
        <v>107767180.49131526</v>
      </c>
      <c r="Y594" s="810">
        <f t="shared" si="62"/>
        <v>111016504.58840629</v>
      </c>
      <c r="Z594" s="810">
        <f t="shared" si="62"/>
        <v>114314830.56626222</v>
      </c>
      <c r="AA594" s="810">
        <f t="shared" si="62"/>
        <v>119187846.86226054</v>
      </c>
      <c r="AB594" s="810">
        <f t="shared" si="62"/>
        <v>122605771.67292245</v>
      </c>
      <c r="AC594" s="810">
        <f t="shared" si="62"/>
        <v>126070288.36993955</v>
      </c>
      <c r="AD594" s="810">
        <f t="shared" si="62"/>
        <v>129582618.68954891</v>
      </c>
      <c r="AE594" s="810">
        <f t="shared" si="62"/>
        <v>133144044.69977884</v>
      </c>
      <c r="AF594" s="810">
        <f t="shared" si="62"/>
        <v>138399632.57303709</v>
      </c>
      <c r="AG594" s="810">
        <f t="shared" si="62"/>
        <v>142079326.20669517</v>
      </c>
      <c r="AH594" s="802">
        <f t="shared" si="62"/>
        <v>145808180.50546321</v>
      </c>
    </row>
    <row r="595" spans="1:39" ht="21.95" customHeight="1" thickBot="1" x14ac:dyDescent="0.25">
      <c r="B595" s="1347"/>
      <c r="C595" s="278"/>
      <c r="D595" s="278"/>
      <c r="E595" s="789" t="s">
        <v>25</v>
      </c>
      <c r="F595" s="789"/>
      <c r="G595" s="806">
        <f>G593+G594</f>
        <v>0</v>
      </c>
      <c r="H595" s="806">
        <f>H593+H594</f>
        <v>0</v>
      </c>
      <c r="I595" s="806">
        <f t="shared" ref="I595:AH595" si="63">I593+I594</f>
        <v>54127813.846801341</v>
      </c>
      <c r="J595" s="806">
        <f t="shared" si="63"/>
        <v>56855057.612672746</v>
      </c>
      <c r="K595" s="806">
        <f t="shared" si="63"/>
        <v>61004402.965289026</v>
      </c>
      <c r="L595" s="806">
        <f t="shared" si="63"/>
        <v>67103400.494579494</v>
      </c>
      <c r="M595" s="806">
        <f t="shared" si="63"/>
        <v>73373580.574929789</v>
      </c>
      <c r="N595" s="806">
        <f t="shared" si="63"/>
        <v>79812789.579670548</v>
      </c>
      <c r="O595" s="806">
        <f t="shared" si="63"/>
        <v>86418368.464966342</v>
      </c>
      <c r="P595" s="806">
        <f t="shared" si="63"/>
        <v>94653963.905946344</v>
      </c>
      <c r="Q595" s="806">
        <f t="shared" si="63"/>
        <v>101350472.88388506</v>
      </c>
      <c r="R595" s="806">
        <f t="shared" si="63"/>
        <v>108185357.14498805</v>
      </c>
      <c r="S595" s="806">
        <f t="shared" si="63"/>
        <v>115341163.58132327</v>
      </c>
      <c r="T595" s="806">
        <f t="shared" si="63"/>
        <v>122737940.96862274</v>
      </c>
      <c r="U595" s="806">
        <f t="shared" si="63"/>
        <v>130303267.2106301</v>
      </c>
      <c r="V595" s="806">
        <f t="shared" si="63"/>
        <v>137723812.17852706</v>
      </c>
      <c r="W595" s="806">
        <f t="shared" si="63"/>
        <v>141948760.66958687</v>
      </c>
      <c r="X595" s="806">
        <f t="shared" si="63"/>
        <v>146289722.48529065</v>
      </c>
      <c r="Y595" s="806">
        <f t="shared" si="63"/>
        <v>150695453.44274813</v>
      </c>
      <c r="Z595" s="806">
        <f t="shared" si="63"/>
        <v>155167517.89083624</v>
      </c>
      <c r="AA595" s="806">
        <f t="shared" si="63"/>
        <v>161776870.15320051</v>
      </c>
      <c r="AB595" s="806">
        <f t="shared" si="63"/>
        <v>166410942.6666975</v>
      </c>
      <c r="AC595" s="806">
        <f t="shared" si="63"/>
        <v>171108175.96553853</v>
      </c>
      <c r="AD595" s="806">
        <f t="shared" si="63"/>
        <v>175870178.40613329</v>
      </c>
      <c r="AE595" s="806">
        <f t="shared" si="63"/>
        <v>180698637.83858582</v>
      </c>
      <c r="AF595" s="806">
        <f t="shared" si="63"/>
        <v>187826225.64196351</v>
      </c>
      <c r="AG595" s="806">
        <f t="shared" si="63"/>
        <v>192814940.66223413</v>
      </c>
      <c r="AH595" s="807">
        <f t="shared" si="63"/>
        <v>197870198.14029992</v>
      </c>
    </row>
    <row r="596" spans="1:39" ht="21.95" customHeight="1" x14ac:dyDescent="0.2">
      <c r="B596" s="9"/>
      <c r="F596"/>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row>
    <row r="597" spans="1:39" ht="21.95" customHeight="1" x14ac:dyDescent="0.2">
      <c r="K597" s="2"/>
      <c r="L597" s="2"/>
      <c r="M597" s="2"/>
      <c r="N597" s="2"/>
      <c r="O597" s="2"/>
    </row>
    <row r="598" spans="1:39" ht="21.95" customHeight="1" x14ac:dyDescent="0.2">
      <c r="A598" s="227" t="s">
        <v>87</v>
      </c>
      <c r="B598" s="227" t="s">
        <v>486</v>
      </c>
      <c r="K598" s="2"/>
      <c r="L598" s="2"/>
      <c r="M598" s="2"/>
      <c r="N598" s="2"/>
      <c r="O598" s="2"/>
    </row>
    <row r="599" spans="1:39" ht="21.95" customHeight="1" x14ac:dyDescent="0.2">
      <c r="B599" s="1"/>
      <c r="C599" s="1"/>
      <c r="D599" s="1"/>
      <c r="E599" s="1"/>
      <c r="F599" s="1"/>
      <c r="G599" s="967"/>
      <c r="H599" s="967"/>
      <c r="I599" s="471"/>
      <c r="J599" s="471"/>
      <c r="K599" s="471"/>
      <c r="L599" s="471"/>
      <c r="M599" s="471"/>
      <c r="N599" s="471"/>
      <c r="O599" s="471"/>
      <c r="P599" s="471"/>
      <c r="Q599" s="471"/>
      <c r="R599" s="471"/>
      <c r="S599" s="471"/>
      <c r="T599" s="471"/>
      <c r="U599" s="471"/>
      <c r="V599" s="471"/>
      <c r="W599" s="471"/>
      <c r="X599" s="471"/>
      <c r="Y599" s="471"/>
      <c r="Z599" s="471"/>
      <c r="AA599" s="471"/>
      <c r="AB599" s="471"/>
      <c r="AC599" s="471"/>
      <c r="AD599" s="471"/>
      <c r="AE599" s="471"/>
      <c r="AF599" s="471"/>
      <c r="AG599" s="471"/>
      <c r="AH599" s="471"/>
    </row>
    <row r="600" spans="1:39" ht="21.95" customHeight="1" x14ac:dyDescent="0.2">
      <c r="B600" s="1"/>
      <c r="C600" s="1"/>
      <c r="D600" s="1"/>
      <c r="E600" s="1"/>
      <c r="F600" s="1"/>
      <c r="G600" s="967"/>
      <c r="H600" s="967"/>
      <c r="I600" s="471"/>
      <c r="J600" s="471"/>
      <c r="K600" s="471"/>
      <c r="L600" s="471"/>
      <c r="M600" s="471"/>
      <c r="N600" s="471"/>
      <c r="O600" s="471"/>
      <c r="P600" s="471"/>
      <c r="Q600" s="471"/>
      <c r="R600" s="471"/>
      <c r="S600" s="471"/>
      <c r="T600" s="471"/>
      <c r="U600" s="471"/>
      <c r="V600" s="471"/>
      <c r="W600" s="471"/>
      <c r="X600" s="471"/>
      <c r="Y600" s="471"/>
      <c r="Z600" s="471"/>
      <c r="AA600" s="471"/>
      <c r="AB600" s="471"/>
      <c r="AC600" s="471"/>
      <c r="AD600" s="471"/>
      <c r="AE600" s="471"/>
      <c r="AF600" s="471"/>
      <c r="AG600" s="471"/>
      <c r="AH600" s="471"/>
    </row>
    <row r="601" spans="1:39" ht="21.95" customHeight="1" thickBot="1" x14ac:dyDescent="0.25">
      <c r="B601" s="812" t="s">
        <v>498</v>
      </c>
      <c r="C601" s="202"/>
      <c r="D601" s="202"/>
      <c r="K601" s="2"/>
      <c r="L601" s="2"/>
      <c r="M601" s="2"/>
      <c r="N601" s="2"/>
      <c r="O601" s="2"/>
      <c r="AI601" s="24"/>
      <c r="AJ601" s="24"/>
      <c r="AK601" s="24"/>
      <c r="AL601" s="24"/>
      <c r="AM601" s="24"/>
    </row>
    <row r="602" spans="1:39" ht="21.95" customHeight="1" x14ac:dyDescent="0.2">
      <c r="B602" s="787" t="s">
        <v>328</v>
      </c>
      <c r="C602" s="1344" t="s">
        <v>18</v>
      </c>
      <c r="D602" s="1344"/>
      <c r="E602" s="482" t="s">
        <v>24</v>
      </c>
      <c r="F602" s="482" t="s">
        <v>42</v>
      </c>
      <c r="G602" s="482" cm="1">
        <f t="array" ref="G602:AH602">year</f>
        <v>2021</v>
      </c>
      <c r="H602" s="482">
        <v>2022</v>
      </c>
      <c r="I602" s="482">
        <v>2023</v>
      </c>
      <c r="J602" s="482">
        <v>2024</v>
      </c>
      <c r="K602" s="482">
        <v>2025</v>
      </c>
      <c r="L602" s="482">
        <v>2026</v>
      </c>
      <c r="M602" s="482">
        <v>2027</v>
      </c>
      <c r="N602" s="482">
        <v>2028</v>
      </c>
      <c r="O602" s="482">
        <v>2029</v>
      </c>
      <c r="P602" s="482">
        <v>2030</v>
      </c>
      <c r="Q602" s="482">
        <v>2031</v>
      </c>
      <c r="R602" s="482">
        <v>2032</v>
      </c>
      <c r="S602" s="482">
        <v>2033</v>
      </c>
      <c r="T602" s="482">
        <v>2034</v>
      </c>
      <c r="U602" s="482">
        <v>2035</v>
      </c>
      <c r="V602" s="482">
        <v>2036</v>
      </c>
      <c r="W602" s="482">
        <v>2037</v>
      </c>
      <c r="X602" s="482">
        <v>2038</v>
      </c>
      <c r="Y602" s="482">
        <v>2039</v>
      </c>
      <c r="Z602" s="482">
        <v>2040</v>
      </c>
      <c r="AA602" s="482">
        <v>2041</v>
      </c>
      <c r="AB602" s="482">
        <v>2042</v>
      </c>
      <c r="AC602" s="482">
        <v>2043</v>
      </c>
      <c r="AD602" s="482">
        <v>2044</v>
      </c>
      <c r="AE602" s="482">
        <v>2045</v>
      </c>
      <c r="AF602" s="482">
        <v>2046</v>
      </c>
      <c r="AG602" s="482">
        <v>2047</v>
      </c>
      <c r="AH602" s="494">
        <v>2048</v>
      </c>
      <c r="AI602" s="24"/>
      <c r="AJ602" s="24"/>
      <c r="AK602" s="24"/>
      <c r="AL602" s="24"/>
      <c r="AM602" s="24"/>
    </row>
    <row r="603" spans="1:39" ht="21.95" customHeight="1" x14ac:dyDescent="0.2">
      <c r="B603" s="1346" t="s">
        <v>331</v>
      </c>
      <c r="C603" s="220" t="s">
        <v>332</v>
      </c>
      <c r="D603" s="220" t="s">
        <v>282</v>
      </c>
      <c r="E603" s="220" t="s">
        <v>19</v>
      </c>
      <c r="F603" s="220" t="s">
        <v>43</v>
      </c>
      <c r="G603" s="775"/>
      <c r="H603" s="775"/>
      <c r="I603" s="775">
        <f>$E$21*$E$8*'Traffic Data'!AK65*annualizationFactor</f>
        <v>0.50885146399999992</v>
      </c>
      <c r="J603" s="775">
        <f>$E$21*$E$8*'Traffic Data'!AL65*annualizationFactor</f>
        <v>0.53198989416457487</v>
      </c>
      <c r="K603" s="775">
        <f>$E$21*$E$8*'Traffic Data'!AM65*annualizationFactor</f>
        <v>0.56458978123790005</v>
      </c>
      <c r="L603" s="775">
        <f>$E$21*$E$8*'Traffic Data'!AN65*annualizationFactor</f>
        <v>0.61254267107659988</v>
      </c>
      <c r="M603" s="775">
        <f>$E$21*$E$8*'Traffic Data'!AO65*annualizationFactor</f>
        <v>0.66051305268437488</v>
      </c>
      <c r="N603" s="775">
        <f>$E$21*$E$8*'Traffic Data'!AP65*annualizationFactor</f>
        <v>0.70848343429214977</v>
      </c>
      <c r="O603" s="775">
        <f>$E$21*$E$8*'Traffic Data'!AQ65*annualizationFactor</f>
        <v>0.75643632413084982</v>
      </c>
      <c r="P603" s="775">
        <f>$E$21*$E$8*'Traffic Data'!AR65*annualizationFactor</f>
        <v>0.80442419750769967</v>
      </c>
      <c r="Q603" s="775">
        <f>$E$21*$E$8*'Traffic Data'!AS65*annualizationFactor</f>
        <v>0.85184438347002489</v>
      </c>
      <c r="R603" s="775">
        <f>$E$21*$E$8*'Traffic Data'!AT65*annualizationFactor</f>
        <v>0.89927411039729988</v>
      </c>
      <c r="S603" s="775">
        <f>$E$21*$E$8*'Traffic Data'!AU65*annualizationFactor</f>
        <v>0.9466942963596251</v>
      </c>
      <c r="T603" s="775">
        <f>$E$21*$E$8*'Traffic Data'!AV65*annualizationFactor</f>
        <v>0.99411448232194988</v>
      </c>
      <c r="U603" s="775">
        <f>$E$21*$E$8*'Traffic Data'!AW65*annualizationFactor</f>
        <v>1.0415696518224249</v>
      </c>
      <c r="V603" s="775">
        <f>$E$21*$E$8*'Traffic Data'!AX65*annualizationFactor</f>
        <v>1.0736193432502998</v>
      </c>
      <c r="W603" s="775">
        <f>$E$21*$E$8*'Traffic Data'!AY65*annualizationFactor</f>
        <v>1.0967577734148748</v>
      </c>
      <c r="X603" s="775">
        <f>$E$21*$E$8*'Traffic Data'!AZ65*annualizationFactor</f>
        <v>1.1198962035794497</v>
      </c>
      <c r="Y603" s="775">
        <f>$E$21*$E$8*'Traffic Data'!BA65*annualizationFactor</f>
        <v>1.1430346337440247</v>
      </c>
      <c r="Z603" s="775">
        <f>$E$21*$E$8*'Traffic Data'!BB65*annualizationFactor</f>
        <v>1.166181014712725</v>
      </c>
      <c r="AA603" s="775">
        <f>$E$21*$E$8*'Traffic Data'!BC65*annualizationFactor</f>
        <v>1.1893194448772999</v>
      </c>
      <c r="AB603" s="775">
        <f>$E$21*$E$8*'Traffic Data'!BD65*annualizationFactor</f>
        <v>1.2124658258459995</v>
      </c>
      <c r="AC603" s="775">
        <f>$E$21*$E$8*'Traffic Data'!BE65*annualizationFactor</f>
        <v>1.2356042560105749</v>
      </c>
      <c r="AD603" s="775">
        <f>$E$21*$E$8*'Traffic Data'!BF65*annualizationFactor</f>
        <v>1.2587426861751496</v>
      </c>
      <c r="AE603" s="775">
        <f>$E$21*$E$8*'Traffic Data'!BG65*annualizationFactor</f>
        <v>1.2818890671438496</v>
      </c>
      <c r="AF603" s="775">
        <f>$E$21*$E$8*'Traffic Data'!BH65*annualizationFactor</f>
        <v>1.3050274973084248</v>
      </c>
      <c r="AG603" s="775">
        <f>$E$21*$E$8*'Traffic Data'!BI65*annualizationFactor</f>
        <v>1.3281659274729998</v>
      </c>
      <c r="AH603" s="776">
        <f>$E$21*$E$8*'Traffic Data'!BJ65*annualizationFactor</f>
        <v>1.3513123084416996</v>
      </c>
      <c r="AI603" s="24"/>
      <c r="AJ603" s="24"/>
      <c r="AK603" s="24"/>
      <c r="AL603" s="24"/>
      <c r="AM603" s="24"/>
    </row>
    <row r="604" spans="1:39" ht="21.95" customHeight="1" x14ac:dyDescent="0.2">
      <c r="B604" s="1346"/>
      <c r="C604" s="116" t="s">
        <v>282</v>
      </c>
      <c r="D604" s="116" t="s">
        <v>280</v>
      </c>
      <c r="E604" s="116" t="s">
        <v>19</v>
      </c>
      <c r="F604" s="116" t="s">
        <v>43</v>
      </c>
      <c r="G604" s="970"/>
      <c r="H604" s="970"/>
      <c r="I604" s="777">
        <f>$E$21*$E$8*'Traffic Data'!AK66*annualizationFactor</f>
        <v>16.362298383749998</v>
      </c>
      <c r="J604" s="777">
        <f>$E$21*$E$8*'Traffic Data'!AL66*annualizationFactor</f>
        <v>17.225985333991495</v>
      </c>
      <c r="K604" s="777">
        <f>$E$21*$E$8*'Traffic Data'!AM66*annualizationFactor</f>
        <v>18.52248537703575</v>
      </c>
      <c r="L604" s="777">
        <f>$E$21*$E$8*'Traffic Data'!AN66*annualizationFactor</f>
        <v>20.664492038783997</v>
      </c>
      <c r="M604" s="777">
        <f>$E$21*$E$8*'Traffic Data'!AO66*annualizationFactor</f>
        <v>22.807468318214248</v>
      </c>
      <c r="N604" s="777">
        <f>$E$21*$E$8*'Traffic Data'!AP66*annualizationFactor</f>
        <v>24.950323395434243</v>
      </c>
      <c r="O604" s="777">
        <f>$E$21*$E$8*'Traffic Data'!AQ66*annualizationFactor</f>
        <v>27.092330057182497</v>
      </c>
      <c r="P604" s="777">
        <f>$E$21*$E$8*'Traffic Data'!AR66*annualizationFactor</f>
        <v>29.236275954294744</v>
      </c>
      <c r="Q604" s="777">
        <f>$E$21*$E$8*'Traffic Data'!AS66*annualizationFactor</f>
        <v>31.399250598416241</v>
      </c>
      <c r="R604" s="777">
        <f>$E$21*$E$8*'Traffic Data'!AT66*annualizationFactor</f>
        <v>33.562952455799241</v>
      </c>
      <c r="S604" s="777">
        <f>$E$21*$E$8*'Traffic Data'!AU66*annualizationFactor</f>
        <v>35.725927099920739</v>
      </c>
      <c r="T604" s="777">
        <f>$E$21*$E$8*'Traffic Data'!AV66*annualizationFactor</f>
        <v>37.888901744042244</v>
      </c>
      <c r="U604" s="777">
        <f>$E$21*$E$8*'Traffic Data'!AW66*annualizationFactor</f>
        <v>40.05381562352774</v>
      </c>
      <c r="V604" s="777">
        <f>$E$21*$E$8*'Traffic Data'!AX66*annualizationFactor</f>
        <v>41.370314031263248</v>
      </c>
      <c r="W604" s="777">
        <f>$E$21*$E$8*'Traffic Data'!AY66*annualizationFactor</f>
        <v>42.234000981504735</v>
      </c>
      <c r="X604" s="777">
        <f>$E$21*$E$8*'Traffic Data'!AZ66*annualizationFactor</f>
        <v>43.097687931746243</v>
      </c>
      <c r="Y604" s="777">
        <f>$E$21*$E$8*'Traffic Data'!BA66*annualizationFactor</f>
        <v>43.961374881987759</v>
      </c>
      <c r="Z604" s="777">
        <f>$E$21*$E$8*'Traffic Data'!BB66*annualizationFactor</f>
        <v>44.82554664107024</v>
      </c>
      <c r="AA604" s="777">
        <f>$E$21*$E$8*'Traffic Data'!BC66*annualizationFactor</f>
        <v>45.689233591311741</v>
      </c>
      <c r="AB604" s="777">
        <f>$E$21*$E$8*'Traffic Data'!BD66*annualizationFactor</f>
        <v>46.55340535039425</v>
      </c>
      <c r="AC604" s="777">
        <f>$E$21*$E$8*'Traffic Data'!BE66*annualizationFactor</f>
        <v>47.417092300635744</v>
      </c>
      <c r="AD604" s="777">
        <f>$E$21*$E$8*'Traffic Data'!BF66*annualizationFactor</f>
        <v>48.280779250877252</v>
      </c>
      <c r="AE604" s="777">
        <f>$E$21*$E$8*'Traffic Data'!BG66*annualizationFactor</f>
        <v>49.144951009959755</v>
      </c>
      <c r="AF604" s="777">
        <f>$E$21*$E$8*'Traffic Data'!BH66*annualizationFactor</f>
        <v>50.008637960201241</v>
      </c>
      <c r="AG604" s="777">
        <f>$E$21*$E$8*'Traffic Data'!BI66*annualizationFactor</f>
        <v>50.872324910442742</v>
      </c>
      <c r="AH604" s="778">
        <f>$E$21*$E$8*'Traffic Data'!BJ66*annualizationFactor</f>
        <v>51.736496669525245</v>
      </c>
      <c r="AI604" s="24"/>
      <c r="AJ604" s="24"/>
      <c r="AK604" s="24"/>
      <c r="AL604" s="24"/>
      <c r="AM604" s="24"/>
    </row>
    <row r="605" spans="1:39" ht="21.95" customHeight="1" x14ac:dyDescent="0.2">
      <c r="B605" s="1346"/>
      <c r="C605" s="116" t="s">
        <v>280</v>
      </c>
      <c r="D605" s="116" t="s">
        <v>333</v>
      </c>
      <c r="E605" s="254" t="s">
        <v>19</v>
      </c>
      <c r="F605" s="254" t="s">
        <v>43</v>
      </c>
      <c r="G605" s="779"/>
      <c r="H605" s="779"/>
      <c r="I605" s="777">
        <f>$E$21*$E$8*'Traffic Data'!AK67*annualizationFactor</f>
        <v>0.38163859799999994</v>
      </c>
      <c r="J605" s="777">
        <f>$E$21*$E$8*'Traffic Data'!AL67*annualizationFactor</f>
        <v>0.39757518978814987</v>
      </c>
      <c r="K605" s="777">
        <f>$E$21*$E$8*'Traffic Data'!AM67*annualizationFactor</f>
        <v>0.41729954466144981</v>
      </c>
      <c r="L605" s="777">
        <f>$E$21*$E$8*'Traffic Data'!AN67*annualizationFactor</f>
        <v>0.44385523043894998</v>
      </c>
      <c r="M605" s="777">
        <f>$E$21*$E$8*'Traffic Data'!AO67*annualizationFactor</f>
        <v>0.47042045718139996</v>
      </c>
      <c r="N605" s="777">
        <f>$E$21*$E$8*'Traffic Data'!AP67*annualizationFactor</f>
        <v>0.49698250360220003</v>
      </c>
      <c r="O605" s="777">
        <f>$E$21*$E$8*'Traffic Data'!AQ67*annualizationFactor</f>
        <v>0.52353818937969998</v>
      </c>
      <c r="P605" s="777">
        <f>$E$21*$E$8*'Traffic Data'!AR67*annualizationFactor</f>
        <v>0.55011295708710006</v>
      </c>
      <c r="Q605" s="777">
        <f>$E$21*$E$8*'Traffic Data'!AS67*annualizationFactor</f>
        <v>0.57586084116549985</v>
      </c>
      <c r="R605" s="777">
        <f>$E$21*$E$8*'Traffic Data'!AT67*annualizationFactor</f>
        <v>0.60161826620884973</v>
      </c>
      <c r="S605" s="777">
        <f>$E$21*$E$8*'Traffic Data'!AU67*annualizationFactor</f>
        <v>0.62736615028724985</v>
      </c>
      <c r="T605" s="777">
        <f>$E$21*$E$8*'Traffic Data'!AV67*annualizationFactor</f>
        <v>0.65311403436564996</v>
      </c>
      <c r="U605" s="777">
        <f>$E$21*$E$8*'Traffic Data'!AW67*annualizationFactor</f>
        <v>0.67888100037395005</v>
      </c>
      <c r="V605" s="777">
        <f>$E$21*$E$8*'Traffic Data'!AX67*annualizationFactor</f>
        <v>0.69778801258319989</v>
      </c>
      <c r="W605" s="777">
        <f>$E$21*$E$8*'Traffic Data'!AY67*annualizationFactor</f>
        <v>0.71372460437134988</v>
      </c>
      <c r="X605" s="777">
        <f>$E$21*$E$8*'Traffic Data'!AZ67*annualizationFactor</f>
        <v>0.72966119615949976</v>
      </c>
      <c r="Y605" s="777">
        <f>$E$21*$E$8*'Traffic Data'!BA67*annualizationFactor</f>
        <v>0.74559778794764986</v>
      </c>
      <c r="Z605" s="777">
        <f>$E$21*$E$8*'Traffic Data'!BB67*annualizationFactor</f>
        <v>0.76154074037909991</v>
      </c>
      <c r="AA605" s="777">
        <f>$E$21*$E$8*'Traffic Data'!BC67*annualizationFactor</f>
        <v>0.77747733216724979</v>
      </c>
      <c r="AB605" s="777">
        <f>$E$21*$E$8*'Traffic Data'!BD67*annualizationFactor</f>
        <v>0.79342028459869995</v>
      </c>
      <c r="AC605" s="777">
        <f>$E$21*$E$8*'Traffic Data'!BE67*annualizationFactor</f>
        <v>0.80935687638685005</v>
      </c>
      <c r="AD605" s="777">
        <f>$E$21*$E$8*'Traffic Data'!BF67*annualizationFactor</f>
        <v>0.82529346817499971</v>
      </c>
      <c r="AE605" s="777">
        <f>$E$21*$E$8*'Traffic Data'!BG67*annualizationFactor</f>
        <v>0.84123642060644988</v>
      </c>
      <c r="AF605" s="777">
        <f>$E$21*$E$8*'Traffic Data'!BH67*annualizationFactor</f>
        <v>0.85717301239459986</v>
      </c>
      <c r="AG605" s="777">
        <f>$E$21*$E$8*'Traffic Data'!BI67*annualizationFactor</f>
        <v>0.87310960418274963</v>
      </c>
      <c r="AH605" s="778">
        <f>$E$21*$E$8*'Traffic Data'!BJ67*annualizationFactor</f>
        <v>0.88905255661419991</v>
      </c>
      <c r="AI605" s="24"/>
      <c r="AJ605" s="24"/>
      <c r="AK605" s="24"/>
      <c r="AL605" s="24"/>
      <c r="AM605" s="24"/>
    </row>
    <row r="606" spans="1:39" ht="21.95" customHeight="1" x14ac:dyDescent="0.2">
      <c r="B606" s="1346" t="s">
        <v>280</v>
      </c>
      <c r="C606" s="220" t="s">
        <v>281</v>
      </c>
      <c r="D606" s="220" t="s">
        <v>335</v>
      </c>
      <c r="E606" s="116" t="s">
        <v>19</v>
      </c>
      <c r="F606" s="116" t="s">
        <v>43</v>
      </c>
      <c r="G606" s="970"/>
      <c r="H606" s="970"/>
      <c r="I606" s="775">
        <f>$E$21*$F$8*'Traffic Data'!AK68*annualizationFactor</f>
        <v>3.15293132</v>
      </c>
      <c r="J606" s="775">
        <f>$E$21*$F$8*'Traffic Data'!AL68*annualizationFactor</f>
        <v>3.4718660876745999</v>
      </c>
      <c r="K606" s="775">
        <f>$E$21*$F$8*'Traffic Data'!AM68*annualizationFactor</f>
        <v>4.1849172703491995</v>
      </c>
      <c r="L606" s="775">
        <f>$E$21*$F$8*'Traffic Data'!AN68*annualizationFactor</f>
        <v>5.6171363224592001</v>
      </c>
      <c r="M606" s="775">
        <f>$E$21*$F$8*'Traffic Data'!AO68*annualizationFactor</f>
        <v>7.0502381953387996</v>
      </c>
      <c r="N606" s="775">
        <f>$E$21*$F$8*'Traffic Data'!AP68*annualizationFactor</f>
        <v>8.4831824216523977</v>
      </c>
      <c r="O606" s="775">
        <f>$E$21*$F$8*'Traffic Data'!AQ68*annualizationFactor</f>
        <v>9.9154014737623974</v>
      </c>
      <c r="P606" s="775">
        <f>$E$21*$F$8*'Traffic Data'!AR68*annualizationFactor</f>
        <v>11.349386167411598</v>
      </c>
      <c r="Q606" s="775">
        <f>$E$21*$F$8*'Traffic Data'!AS68*annualizationFactor</f>
        <v>12.756476356901198</v>
      </c>
      <c r="R606" s="775">
        <f>$E$21*$F$8*'Traffic Data'!AT68*annualizationFactor</f>
        <v>14.164275955937795</v>
      </c>
      <c r="S606" s="775">
        <f>$E$21*$F$8*'Traffic Data'!AU68*annualizationFactor</f>
        <v>15.571366145427396</v>
      </c>
      <c r="T606" s="775">
        <f>$E$21*$F$8*'Traffic Data'!AV68*annualizationFactor</f>
        <v>16.978456334916999</v>
      </c>
      <c r="U606" s="775">
        <f>$E$21*$F$8*'Traffic Data'!AW68*annualizationFactor</f>
        <v>18.387312165945797</v>
      </c>
      <c r="V606" s="775">
        <f>$E$21*$F$8*'Traffic Data'!AX68*annualizationFactor</f>
        <v>19.074351665230395</v>
      </c>
      <c r="W606" s="775">
        <f>$E$21*$F$8*'Traffic Data'!AY68*annualizationFactor</f>
        <v>19.393286432904997</v>
      </c>
      <c r="X606" s="775">
        <f>$E$21*$F$8*'Traffic Data'!AZ68*annualizationFactor</f>
        <v>19.712221200579599</v>
      </c>
      <c r="Y606" s="775">
        <f>$E$21*$F$8*'Traffic Data'!BA68*annualizationFactor</f>
        <v>20.031155968254197</v>
      </c>
      <c r="Z606" s="775">
        <f>$E$21*$F$8*'Traffic Data'!BB68*annualizationFactor</f>
        <v>20.350579440283397</v>
      </c>
      <c r="AA606" s="775">
        <f>$E$21*$F$8*'Traffic Data'!BC68*annualizationFactor</f>
        <v>20.669514207957999</v>
      </c>
      <c r="AB606" s="775">
        <f>$E$21*$F$8*'Traffic Data'!BD68*annualizationFactor</f>
        <v>20.988937679987195</v>
      </c>
      <c r="AC606" s="775">
        <f>$E$21*$F$8*'Traffic Data'!BE68*annualizationFactor</f>
        <v>21.307872447661794</v>
      </c>
      <c r="AD606" s="775">
        <f>$E$21*$F$8*'Traffic Data'!BF68*annualizationFactor</f>
        <v>21.626807215336395</v>
      </c>
      <c r="AE606" s="775">
        <f>$E$21*$F$8*'Traffic Data'!BG68*annualizationFactor</f>
        <v>21.946230687365599</v>
      </c>
      <c r="AF606" s="775">
        <f>$E$21*$F$8*'Traffic Data'!BH68*annualizationFactor</f>
        <v>22.265165455040197</v>
      </c>
      <c r="AG606" s="775">
        <f>$E$21*$F$8*'Traffic Data'!BI68*annualizationFactor</f>
        <v>22.584100222714792</v>
      </c>
      <c r="AH606" s="776">
        <f>$E$21*$F$8*'Traffic Data'!BJ68*annualizationFactor</f>
        <v>22.903523694743996</v>
      </c>
      <c r="AI606" s="24"/>
      <c r="AJ606" s="24"/>
      <c r="AK606" s="24"/>
      <c r="AL606" s="24"/>
      <c r="AM606" s="24"/>
    </row>
    <row r="607" spans="1:39" ht="21.95" customHeight="1" x14ac:dyDescent="0.2">
      <c r="B607" s="1346"/>
      <c r="C607" s="116" t="s">
        <v>335</v>
      </c>
      <c r="D607" s="116" t="s">
        <v>323</v>
      </c>
      <c r="E607" s="116" t="s">
        <v>19</v>
      </c>
      <c r="F607" s="116" t="s">
        <v>43</v>
      </c>
      <c r="G607" s="970"/>
      <c r="H607" s="970"/>
      <c r="I607" s="777">
        <f>$E$21*$F$8*'Traffic Data'!AK69*annualizationFactor</f>
        <v>0.36520439999999998</v>
      </c>
      <c r="J607" s="777">
        <f>$E$21*$F$8*'Traffic Data'!AL69*annualizationFactor</f>
        <v>0.39987751440999991</v>
      </c>
      <c r="K607" s="777">
        <f>$E$21*$F$8*'Traffic Data'!AM69*annualizationFactor</f>
        <v>0.44906446034999992</v>
      </c>
      <c r="L607" s="777">
        <f>$E$21*$F$8*'Traffic Data'!AN69*annualizationFactor</f>
        <v>0.52920856592999999</v>
      </c>
      <c r="M607" s="777">
        <f>$E$21*$F$8*'Traffic Data'!AO69*annualizationFactor</f>
        <v>0.60937701846999992</v>
      </c>
      <c r="N607" s="777">
        <f>$E$21*$F$8*'Traffic Data'!AP69*annualizationFactor</f>
        <v>0.68955307943499999</v>
      </c>
      <c r="O607" s="777">
        <f>$E$21*$F$8*'Traffic Data'!AQ69*annualizationFactor</f>
        <v>0.76969718501500006</v>
      </c>
      <c r="P607" s="777">
        <f>$E$21*$F$8*'Traffic Data'!AR69*annualizationFactor</f>
        <v>0.84992802664</v>
      </c>
      <c r="Q607" s="777">
        <f>$E$21*$F$8*'Traffic Data'!AS69*annualizationFactor</f>
        <v>0.94120782304999984</v>
      </c>
      <c r="R607" s="777">
        <f>$E$21*$F$8*'Traffic Data'!AT69*annualizationFactor</f>
        <v>1.0325302266400003</v>
      </c>
      <c r="S607" s="777">
        <f>$E$21*$F$8*'Traffic Data'!AU69*annualizationFactor</f>
        <v>1.1238054579950001</v>
      </c>
      <c r="T607" s="777">
        <f>$E$21*$F$8*'Traffic Data'!AV69*annualizationFactor</f>
        <v>1.2150852544049999</v>
      </c>
      <c r="U607" s="777">
        <f>$E$21*$F$8*'Traffic Data'!AW69*annualizationFactor</f>
        <v>1.3064487434899998</v>
      </c>
      <c r="V607" s="777">
        <f>$E$21*$F$8*'Traffic Data'!AX69*annualizationFactor</f>
        <v>1.3667044261200001</v>
      </c>
      <c r="W607" s="777">
        <f>$E$21*$F$8*'Traffic Data'!AY69*annualizationFactor</f>
        <v>1.4013775405299997</v>
      </c>
      <c r="X607" s="777">
        <f>$E$21*$F$8*'Traffic Data'!AZ69*annualizationFactor</f>
        <v>1.4360506549399996</v>
      </c>
      <c r="Y607" s="777">
        <f>$E$21*$F$8*'Traffic Data'!BA69*annualizationFactor</f>
        <v>1.4707237693499997</v>
      </c>
      <c r="Z607" s="777">
        <f>$E$21*$F$8*'Traffic Data'!BB69*annualizationFactor</f>
        <v>1.5054364475699997</v>
      </c>
      <c r="AA607" s="777">
        <f>$E$21*$F$8*'Traffic Data'!BC69*annualizationFactor</f>
        <v>1.5401095619799994</v>
      </c>
      <c r="AB607" s="777">
        <f>$E$21*$F$8*'Traffic Data'!BD69*annualizationFactor</f>
        <v>1.5748222401999998</v>
      </c>
      <c r="AC607" s="777">
        <f>$E$21*$F$8*'Traffic Data'!BE69*annualizationFactor</f>
        <v>1.6094953546099999</v>
      </c>
      <c r="AD607" s="777">
        <f>$E$21*$F$8*'Traffic Data'!BF69*annualizationFactor</f>
        <v>1.64416846902</v>
      </c>
      <c r="AE607" s="777">
        <f>$E$21*$F$8*'Traffic Data'!BG69*annualizationFactor</f>
        <v>1.6788811472399996</v>
      </c>
      <c r="AF607" s="777">
        <f>$E$21*$F$8*'Traffic Data'!BH69*annualizationFactor</f>
        <v>1.7135542616499995</v>
      </c>
      <c r="AG607" s="777">
        <f>$E$21*$F$8*'Traffic Data'!BI69*annualizationFactor</f>
        <v>1.7482273760599996</v>
      </c>
      <c r="AH607" s="778">
        <f>$E$21*$F$8*'Traffic Data'!BJ69*annualizationFactor</f>
        <v>1.7829400542799998</v>
      </c>
      <c r="AI607" s="24"/>
      <c r="AJ607" s="24"/>
      <c r="AK607" s="24"/>
      <c r="AL607" s="24"/>
      <c r="AM607" s="24"/>
    </row>
    <row r="608" spans="1:39" ht="21.95" customHeight="1" x14ac:dyDescent="0.2">
      <c r="B608" s="1346"/>
      <c r="C608" s="254" t="s">
        <v>323</v>
      </c>
      <c r="D608" s="254" t="s">
        <v>338</v>
      </c>
      <c r="E608" s="116" t="s">
        <v>19</v>
      </c>
      <c r="F608" s="116" t="s">
        <v>43</v>
      </c>
      <c r="G608" s="970"/>
      <c r="H608" s="970"/>
      <c r="I608" s="777">
        <f>$E$21*$F$8*'Traffic Data'!AK70*annualizationFactor</f>
        <v>4.8937389600000003</v>
      </c>
      <c r="J608" s="777">
        <f>$E$21*$F$8*'Traffic Data'!AL70*annualizationFactor</f>
        <v>5.0307799633432007</v>
      </c>
      <c r="K608" s="777">
        <f>$E$21*$F$8*'Traffic Data'!AM70*annualizationFactor</f>
        <v>5.2260727727735992</v>
      </c>
      <c r="L608" s="777">
        <f>$E$21*$F$8*'Traffic Data'!AN70*annualizationFactor</f>
        <v>5.5001710919231996</v>
      </c>
      <c r="M608" s="777">
        <f>$E$21*$F$8*'Traffic Data'!AO70*annualizationFactor</f>
        <v>5.7743835983151994</v>
      </c>
      <c r="N608" s="777">
        <f>$E$21*$F$8*'Traffic Data'!AP70*annualizationFactor</f>
        <v>6.0485716360124027</v>
      </c>
      <c r="O608" s="777">
        <f>$E$21*$F$8*'Traffic Data'!AQ70*annualizationFactor</f>
        <v>6.3226699551620014</v>
      </c>
      <c r="P608" s="777">
        <f>$E$21*$F$8*'Traffic Data'!AR70*annualizationFactor</f>
        <v>6.596988492564801</v>
      </c>
      <c r="Q608" s="777">
        <f>$E$21*$F$8*'Traffic Data'!AS70*annualizationFactor</f>
        <v>6.8739088678479998</v>
      </c>
      <c r="R608" s="777">
        <f>$E$21*$F$8*'Traffic Data'!AT70*annualizationFactor</f>
        <v>7.1509108054472001</v>
      </c>
      <c r="S608" s="777">
        <f>$E$21*$F$8*'Traffic Data'!AU70*annualizationFactor</f>
        <v>7.4278067120355988</v>
      </c>
      <c r="T608" s="777">
        <f>$E$21*$F$8*'Traffic Data'!AV70*annualizationFactor</f>
        <v>7.7047270873188003</v>
      </c>
      <c r="U608" s="777">
        <f>$E$21*$F$8*'Traffic Data'!AW70*annualizationFactor</f>
        <v>7.9818676808552018</v>
      </c>
      <c r="V608" s="777">
        <f>$E$21*$F$8*'Traffic Data'!AX70*annualizationFactor</f>
        <v>8.1798520467136004</v>
      </c>
      <c r="W608" s="777">
        <f>$E$21*$F$8*'Traffic Data'!AY70*annualizationFactor</f>
        <v>8.3168930500567999</v>
      </c>
      <c r="X608" s="777">
        <f>$E$21*$F$8*'Traffic Data'!AZ70*annualizationFactor</f>
        <v>8.4539340533999994</v>
      </c>
      <c r="Y608" s="777">
        <f>$E$21*$F$8*'Traffic Data'!BA70*annualizationFactor</f>
        <v>8.5909750567431988</v>
      </c>
      <c r="Z608" s="777">
        <f>$E$21*$F$8*'Traffic Data'!BB70*annualizationFactor</f>
        <v>8.7280813099391992</v>
      </c>
      <c r="AA608" s="777">
        <f>$E$21*$F$8*'Traffic Data'!BC70*annualizationFactor</f>
        <v>8.8651223132824004</v>
      </c>
      <c r="AB608" s="777">
        <f>$E$21*$F$8*'Traffic Data'!BD70*annualizationFactor</f>
        <v>9.0022285664784008</v>
      </c>
      <c r="AC608" s="777">
        <f>$E$21*$F$8*'Traffic Data'!BE70*annualizationFactor</f>
        <v>9.1392695698216002</v>
      </c>
      <c r="AD608" s="777">
        <f>$E$21*$F$8*'Traffic Data'!BF70*annualizationFactor</f>
        <v>9.2763105731648015</v>
      </c>
      <c r="AE608" s="777">
        <f>$E$21*$F$8*'Traffic Data'!BG70*annualizationFactor</f>
        <v>9.4134168263608</v>
      </c>
      <c r="AF608" s="777">
        <f>$E$21*$F$8*'Traffic Data'!BH70*annualizationFactor</f>
        <v>9.5504578297039995</v>
      </c>
      <c r="AG608" s="777">
        <f>$E$21*$F$8*'Traffic Data'!BI70*annualizationFactor</f>
        <v>9.6874988330471989</v>
      </c>
      <c r="AH608" s="778">
        <f>$E$21*$F$8*'Traffic Data'!BJ70*annualizationFactor</f>
        <v>9.8246050862431993</v>
      </c>
      <c r="AI608" s="24"/>
      <c r="AJ608" s="24"/>
      <c r="AK608" s="24"/>
      <c r="AL608" s="24"/>
      <c r="AM608" s="24"/>
    </row>
    <row r="609" spans="2:39" ht="21.95" customHeight="1" x14ac:dyDescent="0.2">
      <c r="B609" s="492" t="s">
        <v>339</v>
      </c>
      <c r="C609" s="116" t="s">
        <v>335</v>
      </c>
      <c r="D609" s="116" t="s">
        <v>323</v>
      </c>
      <c r="E609" s="277" t="s">
        <v>19</v>
      </c>
      <c r="F609" s="277" t="s">
        <v>43</v>
      </c>
      <c r="G609" s="780"/>
      <c r="H609" s="780"/>
      <c r="I609" s="775">
        <f>$E$21*$G$8*'Traffic Data'!AK71*annualizationFactor</f>
        <v>1.4303839E-2</v>
      </c>
      <c r="J609" s="775">
        <f>$E$21*$G$8*'Traffic Data'!AL71*annualizationFactor</f>
        <v>5.9410995286499992E-2</v>
      </c>
      <c r="K609" s="775">
        <f>$E$21*$G$8*'Traffic Data'!AM71*annualizationFactor</f>
        <v>0.53002160222549999</v>
      </c>
      <c r="L609" s="775">
        <f>$E$21*$G$8*'Traffic Data'!AN71*annualizationFactor</f>
        <v>1.2536313614770001</v>
      </c>
      <c r="M609" s="775">
        <f>$E$21*$G$8*'Traffic Data'!AO71*annualizationFactor</f>
        <v>1.9777560589325003</v>
      </c>
      <c r="N609" s="775">
        <f>$E$21*$G$8*'Traffic Data'!AP71*annualizationFactor</f>
        <v>2.7015946796079993</v>
      </c>
      <c r="O609" s="775">
        <f>$E$21*$G$8*'Traffic Data'!AQ71*annualizationFactor</f>
        <v>3.4252044388594998</v>
      </c>
      <c r="P609" s="775">
        <f>$E$21*$G$8*'Traffic Data'!AR71*annualizationFactor</f>
        <v>4.1498083149215006</v>
      </c>
      <c r="Q609" s="775">
        <f>$E$21*$G$8*'Traffic Data'!AS71*annualizationFactor</f>
        <v>4.4482364598980002</v>
      </c>
      <c r="R609" s="775">
        <f>$E$21*$G$8*'Traffic Data'!AT71*annualizationFactor</f>
        <v>4.7468934662985003</v>
      </c>
      <c r="S609" s="775">
        <f>$E$21*$G$8*'Traffic Data'!AU71*annualizationFactor</f>
        <v>5.0454789535040003</v>
      </c>
      <c r="T609" s="775">
        <f>$E$21*$G$8*'Traffic Data'!AV71*annualizationFactor</f>
        <v>5.3439070984804999</v>
      </c>
      <c r="U609" s="775">
        <f>$E$21*$G$8*'Traffic Data'!AW71*annualizationFactor</f>
        <v>5.6430432834875006</v>
      </c>
      <c r="V609" s="775">
        <f>$E$21*$G$8*'Traffic Data'!AX71*annualizationFactor</f>
        <v>5.6881504397740006</v>
      </c>
      <c r="W609" s="775">
        <f>$E$21*$G$8*'Traffic Data'!AY71*annualizationFactor</f>
        <v>5.7332575960604997</v>
      </c>
      <c r="X609" s="775">
        <f>$E$21*$G$8*'Traffic Data'!AZ71*annualizationFactor</f>
        <v>5.7783647523470014</v>
      </c>
      <c r="Y609" s="775">
        <f>$E$21*$G$8*'Traffic Data'!BA71*annualizationFactor</f>
        <v>5.8234719086335005</v>
      </c>
      <c r="Z609" s="775">
        <f>$E$21*$G$8*'Traffic Data'!BB71*annualizationFactor</f>
        <v>5.8689009012974998</v>
      </c>
      <c r="AA609" s="775">
        <f>$E$21*$G$8*'Traffic Data'!BC71*annualizationFactor</f>
        <v>5.9140080575840006</v>
      </c>
      <c r="AB609" s="775">
        <f>$E$21*$G$8*'Traffic Data'!BD71*annualizationFactor</f>
        <v>5.9592582522605015</v>
      </c>
      <c r="AC609" s="775">
        <f>$E$21*$G$8*'Traffic Data'!BE71*annualizationFactor</f>
        <v>6.0043654085470006</v>
      </c>
      <c r="AD609" s="775">
        <f>$E$21*$G$8*'Traffic Data'!BF71*annualizationFactor</f>
        <v>6.0494725648335006</v>
      </c>
      <c r="AE609" s="775">
        <f>$E$21*$G$8*'Traffic Data'!BG71*annualizationFactor</f>
        <v>6.0949015574975016</v>
      </c>
      <c r="AF609" s="775">
        <f>$E$21*$G$8*'Traffic Data'!BH71*annualizationFactor</f>
        <v>6.1400087137840007</v>
      </c>
      <c r="AG609" s="775">
        <f>$E$21*$G$8*'Traffic Data'!BI71*annualizationFactor</f>
        <v>6.1851158700704998</v>
      </c>
      <c r="AH609" s="776">
        <f>$E$21*$G$8*'Traffic Data'!BJ71*annualizationFactor</f>
        <v>6.2303660647469989</v>
      </c>
      <c r="AI609" s="24"/>
      <c r="AJ609" s="24"/>
      <c r="AK609" s="24"/>
      <c r="AL609" s="24"/>
      <c r="AM609" s="24"/>
    </row>
    <row r="610" spans="2:39" ht="21.95" customHeight="1" x14ac:dyDescent="0.2">
      <c r="B610" s="1346" t="s">
        <v>323</v>
      </c>
      <c r="C610" s="220" t="s">
        <v>282</v>
      </c>
      <c r="D610" s="220" t="s">
        <v>339</v>
      </c>
      <c r="E610" s="116" t="s">
        <v>19</v>
      </c>
      <c r="F610" s="116" t="s">
        <v>43</v>
      </c>
      <c r="G610" s="970"/>
      <c r="H610" s="970"/>
      <c r="I610" s="775">
        <f>$E$21*$H$8*'Traffic Data'!AK72*annualizationFactor</f>
        <v>4.1085495E-2</v>
      </c>
      <c r="J610" s="775">
        <f>$E$21*$H$8*'Traffic Data'!AL72*annualizationFactor</f>
        <v>9.1312512637499982E-2</v>
      </c>
      <c r="K610" s="775">
        <f>$E$21*$H$8*'Traffic Data'!AM72*annualizationFactor</f>
        <v>0.38593659728250002</v>
      </c>
      <c r="L610" s="775">
        <f>$E$21*$H$8*'Traffic Data'!AN72*annualizationFactor</f>
        <v>0.8675613124199999</v>
      </c>
      <c r="M610" s="775">
        <f>$E$21*$H$8*'Traffic Data'!AO72*annualizationFactor</f>
        <v>1.349453083275</v>
      </c>
      <c r="N610" s="775">
        <f>$E$21*$H$8*'Traffic Data'!AP72*annualizationFactor</f>
        <v>1.8313653968774997</v>
      </c>
      <c r="O610" s="775">
        <f>$E$21*$H$8*'Traffic Data'!AQ72*annualizationFactor</f>
        <v>2.312990112015</v>
      </c>
      <c r="P610" s="775">
        <f>$E$21*$H$8*'Traffic Data'!AR72*annualizationFactor</f>
        <v>2.7951694813350003</v>
      </c>
      <c r="Q610" s="775">
        <f>$E$21*$H$8*'Traffic Data'!AS72*annualizationFactor</f>
        <v>3.1669932110849999</v>
      </c>
      <c r="R610" s="775">
        <f>$E$21*$H$8*'Traffic Data'!AT72*annualizationFactor</f>
        <v>3.5388785690775002</v>
      </c>
      <c r="S610" s="775">
        <f>$E$21*$H$8*'Traffic Data'!AU72*annualizationFactor</f>
        <v>3.9107022988274993</v>
      </c>
      <c r="T610" s="775">
        <f>$E$21*$H$8*'Traffic Data'!AV72*annualizationFactor</f>
        <v>4.2825260285774993</v>
      </c>
      <c r="U610" s="775">
        <f>$E$21*$H$8*'Traffic Data'!AW72*annualizationFactor</f>
        <v>4.6548427842675002</v>
      </c>
      <c r="V610" s="775">
        <f>$E$21*$H$8*'Traffic Data'!AX72*annualizationFactor</f>
        <v>4.8393782850599996</v>
      </c>
      <c r="W610" s="775">
        <f>$E$21*$H$8*'Traffic Data'!AY72*annualizationFactor</f>
        <v>4.8896053026975004</v>
      </c>
      <c r="X610" s="775">
        <f>$E$21*$H$8*'Traffic Data'!AZ72*annualizationFactor</f>
        <v>4.9398323203349994</v>
      </c>
      <c r="Y610" s="775">
        <f>$E$21*$H$8*'Traffic Data'!BA72*annualizationFactor</f>
        <v>4.9900593379725011</v>
      </c>
      <c r="Z610" s="775">
        <f>$E$21*$H$8*'Traffic Data'!BB72*annualizationFactor</f>
        <v>5.0404301548425003</v>
      </c>
      <c r="AA610" s="775">
        <f>$E$21*$H$8*'Traffic Data'!BC72*annualizationFactor</f>
        <v>5.0906571724800003</v>
      </c>
      <c r="AB610" s="775">
        <f>$E$21*$H$8*'Traffic Data'!BD72*annualizationFactor</f>
        <v>5.1410279893499986</v>
      </c>
      <c r="AC610" s="775">
        <f>$E$21*$H$8*'Traffic Data'!BE72*annualizationFactor</f>
        <v>5.1912550069874994</v>
      </c>
      <c r="AD610" s="775">
        <f>$E$21*$H$8*'Traffic Data'!BF72*annualizationFactor</f>
        <v>5.2414820246249993</v>
      </c>
      <c r="AE610" s="775">
        <f>$E$21*$H$8*'Traffic Data'!BG72*annualizationFactor</f>
        <v>5.2918528414949995</v>
      </c>
      <c r="AF610" s="775">
        <f>$E$21*$H$8*'Traffic Data'!BH72*annualizationFactor</f>
        <v>5.3420798591324994</v>
      </c>
      <c r="AG610" s="775">
        <f>$E$21*$H$8*'Traffic Data'!BI72*annualizationFactor</f>
        <v>5.3923068767699993</v>
      </c>
      <c r="AH610" s="776">
        <f>$E$21*$H$8*'Traffic Data'!BJ72*annualizationFactor</f>
        <v>5.4426776936400003</v>
      </c>
      <c r="AI610" s="24"/>
      <c r="AJ610" s="24"/>
      <c r="AK610" s="24"/>
      <c r="AL610" s="24"/>
      <c r="AM610" s="24"/>
    </row>
    <row r="611" spans="2:39" ht="21.95" customHeight="1" x14ac:dyDescent="0.2">
      <c r="B611" s="1346"/>
      <c r="C611" s="116" t="s">
        <v>339</v>
      </c>
      <c r="D611" s="116" t="s">
        <v>288</v>
      </c>
      <c r="E611" s="116" t="s">
        <v>19</v>
      </c>
      <c r="F611" s="116" t="s">
        <v>43</v>
      </c>
      <c r="G611" s="970"/>
      <c r="H611" s="970"/>
      <c r="I611" s="777">
        <f>$E$21*$H$8*'Traffic Data'!AK73*annualizationFactor</f>
        <v>0</v>
      </c>
      <c r="J611" s="777">
        <f>$E$21*$H$8*'Traffic Data'!AL73*annualizationFactor</f>
        <v>2.7694667000000003E-2</v>
      </c>
      <c r="K611" s="777">
        <f>$E$21*$H$8*'Traffic Data'!AM73*annualizationFactor</f>
        <v>8.0046109066000001E-2</v>
      </c>
      <c r="L611" s="777">
        <f>$E$21*$H$8*'Traffic Data'!AN73*annualizationFactor</f>
        <v>0.17993864257600004</v>
      </c>
      <c r="M611" s="777">
        <f>$E$21*$H$8*'Traffic Data'!AO73*annualizationFactor</f>
        <v>0.27988656542000001</v>
      </c>
      <c r="N611" s="777">
        <f>$E$21*$H$8*'Traffic Data'!AP73*annualizationFactor</f>
        <v>0.37983874898199993</v>
      </c>
      <c r="O611" s="777">
        <f>$E$21*$H$8*'Traffic Data'!AQ73*annualizationFactor</f>
        <v>0.47973128249199998</v>
      </c>
      <c r="P611" s="777">
        <f>$E$21*$H$8*'Traffic Data'!AR73*annualizationFactor</f>
        <v>0.57973885538800007</v>
      </c>
      <c r="Q611" s="777">
        <f>$E$21*$H$8*'Traffic Data'!AS73*annualizationFactor</f>
        <v>0.65685785118800022</v>
      </c>
      <c r="R611" s="777">
        <f>$E$21*$H$8*'Traffic Data'!AT73*annualizationFactor</f>
        <v>0.73398962914200006</v>
      </c>
      <c r="S611" s="777">
        <f>$E$21*$H$8*'Traffic Data'!AU73*annualizationFactor</f>
        <v>0.81110862494199998</v>
      </c>
      <c r="T611" s="777">
        <f>$E$21*$H$8*'Traffic Data'!AV73*annualizationFactor</f>
        <v>0.8882276207419999</v>
      </c>
      <c r="U611" s="777">
        <f>$E$21*$H$8*'Traffic Data'!AW73*annualizationFactor</f>
        <v>0.96544887377400002</v>
      </c>
      <c r="V611" s="777">
        <f>$E$21*$H$8*'Traffic Data'!AX73*annualizationFactor</f>
        <v>1.003722903568</v>
      </c>
      <c r="W611" s="777">
        <f>$E$21*$H$8*'Traffic Data'!AY73*annualizationFactor</f>
        <v>1.0141403590780003</v>
      </c>
      <c r="X611" s="777">
        <f>$E$21*$H$8*'Traffic Data'!AZ73*annualizationFactor</f>
        <v>1.0245578145880001</v>
      </c>
      <c r="Y611" s="777">
        <f>$E$21*$H$8*'Traffic Data'!BA73*annualizationFactor</f>
        <v>1.0349752700980002</v>
      </c>
      <c r="Z611" s="777">
        <f>$E$21*$H$8*'Traffic Data'!BB73*annualizationFactor</f>
        <v>1.045422550634</v>
      </c>
      <c r="AA611" s="777">
        <f>$E$21*$H$8*'Traffic Data'!BC73*annualizationFactor</f>
        <v>1.0558400061440001</v>
      </c>
      <c r="AB611" s="777">
        <f>$E$21*$H$8*'Traffic Data'!BD73*annualizationFactor</f>
        <v>1.0662872866799997</v>
      </c>
      <c r="AC611" s="777">
        <f>$E$21*$H$8*'Traffic Data'!BE73*annualizationFactor</f>
        <v>1.0767047421899998</v>
      </c>
      <c r="AD611" s="777">
        <f>$E$21*$H$8*'Traffic Data'!BF73*annualizationFactor</f>
        <v>1.0871221976999998</v>
      </c>
      <c r="AE611" s="777">
        <f>$E$21*$H$8*'Traffic Data'!BG73*annualizationFactor</f>
        <v>1.0975694782359999</v>
      </c>
      <c r="AF611" s="777">
        <f>$E$21*$H$8*'Traffic Data'!BH73*annualizationFactor</f>
        <v>1.107986933746</v>
      </c>
      <c r="AG611" s="777">
        <f>$E$21*$H$8*'Traffic Data'!BI73*annualizationFactor</f>
        <v>1.1184043892560001</v>
      </c>
      <c r="AH611" s="778">
        <f>$E$21*$H$8*'Traffic Data'!BJ73*annualizationFactor</f>
        <v>1.1288516697919999</v>
      </c>
      <c r="AI611" s="24"/>
      <c r="AJ611" s="24"/>
      <c r="AK611" s="24"/>
      <c r="AL611" s="24"/>
      <c r="AM611" s="24"/>
    </row>
    <row r="612" spans="2:39" ht="21.95" customHeight="1" x14ac:dyDescent="0.2">
      <c r="B612" s="1346"/>
      <c r="C612" s="116" t="s">
        <v>288</v>
      </c>
      <c r="D612" s="116" t="s">
        <v>340</v>
      </c>
      <c r="E612" s="116" t="s">
        <v>19</v>
      </c>
      <c r="F612" s="116" t="s">
        <v>43</v>
      </c>
      <c r="G612" s="970"/>
      <c r="H612" s="970"/>
      <c r="I612" s="777">
        <f>$E$21*$H$8*'Traffic Data'!AK74*annualizationFactor</f>
        <v>0</v>
      </c>
      <c r="J612" s="777">
        <f>$E$21*$H$8*'Traffic Data'!AL74*annualizationFactor</f>
        <v>7.2203953249999994E-2</v>
      </c>
      <c r="K612" s="777">
        <f>$E$21*$H$8*'Traffic Data'!AM74*annualizationFactor</f>
        <v>0.2086916414935</v>
      </c>
      <c r="L612" s="777">
        <f>$E$21*$H$8*'Traffic Data'!AN74*annualizationFactor</f>
        <v>0.46912574671599994</v>
      </c>
      <c r="M612" s="777">
        <f>$E$21*$H$8*'Traffic Data'!AO74*annualizationFactor</f>
        <v>0.72970425984500009</v>
      </c>
      <c r="N612" s="777">
        <f>$E$21*$H$8*'Traffic Data'!AP74*annualizationFactor</f>
        <v>0.9902938812744998</v>
      </c>
      <c r="O612" s="777">
        <f>$E$21*$H$8*'Traffic Data'!AQ74*annualizationFactor</f>
        <v>1.2507279864969998</v>
      </c>
      <c r="P612" s="777">
        <f>$E$21*$H$8*'Traffic Data'!AR74*annualizationFactor</f>
        <v>1.5114620158329997</v>
      </c>
      <c r="Q612" s="777">
        <f>$E$21*$H$8*'Traffic Data'!AS74*annualizationFactor</f>
        <v>1.7125222548830001</v>
      </c>
      <c r="R612" s="777">
        <f>$E$21*$H$8*'Traffic Data'!AT74*annualizationFactor</f>
        <v>1.9136158188344998</v>
      </c>
      <c r="S612" s="777">
        <f>$E$21*$H$8*'Traffic Data'!AU74*annualizationFactor</f>
        <v>2.1146760578844996</v>
      </c>
      <c r="T612" s="777">
        <f>$E$21*$H$8*'Traffic Data'!AV74*annualizationFactor</f>
        <v>2.3157362969344994</v>
      </c>
      <c r="U612" s="777">
        <f>$E$21*$H$8*'Traffic Data'!AW74*annualizationFactor</f>
        <v>2.5170631351965</v>
      </c>
      <c r="V612" s="777">
        <f>$E$21*$H$8*'Traffic Data'!AX74*annualizationFactor</f>
        <v>2.6168489985879999</v>
      </c>
      <c r="W612" s="777">
        <f>$E$21*$H$8*'Traffic Data'!AY74*annualizationFactor</f>
        <v>2.6440087933104999</v>
      </c>
      <c r="X612" s="777">
        <f>$E$21*$H$8*'Traffic Data'!AZ74*annualizationFactor</f>
        <v>2.6711685880329998</v>
      </c>
      <c r="Y612" s="777">
        <f>$E$21*$H$8*'Traffic Data'!BA74*annualizationFactor</f>
        <v>2.6983283827555002</v>
      </c>
      <c r="Z612" s="777">
        <f>$E$21*$H$8*'Traffic Data'!BB74*annualizationFactor</f>
        <v>2.7255659355815003</v>
      </c>
      <c r="AA612" s="777">
        <f>$E$21*$H$8*'Traffic Data'!BC74*annualizationFactor</f>
        <v>2.7527257303039998</v>
      </c>
      <c r="AB612" s="777">
        <f>$E$21*$H$8*'Traffic Data'!BD74*annualizationFactor</f>
        <v>2.779963283129999</v>
      </c>
      <c r="AC612" s="777">
        <f>$E$21*$H$8*'Traffic Data'!BE74*annualizationFactor</f>
        <v>2.8071230778524994</v>
      </c>
      <c r="AD612" s="777">
        <f>$E$21*$H$8*'Traffic Data'!BF74*annualizationFactor</f>
        <v>2.8342828725749993</v>
      </c>
      <c r="AE612" s="777">
        <f>$E$21*$H$8*'Traffic Data'!BG74*annualizationFactor</f>
        <v>2.8615204254009989</v>
      </c>
      <c r="AF612" s="777">
        <f>$E$21*$H$8*'Traffic Data'!BH74*annualizationFactor</f>
        <v>2.8886802201234998</v>
      </c>
      <c r="AG612" s="777">
        <f>$E$21*$H$8*'Traffic Data'!BI74*annualizationFactor</f>
        <v>2.9158400148459998</v>
      </c>
      <c r="AH612" s="778">
        <f>$E$21*$H$8*'Traffic Data'!BJ74*annualizationFactor</f>
        <v>2.9430775676719994</v>
      </c>
      <c r="AI612" s="24"/>
      <c r="AJ612" s="24"/>
      <c r="AK612" s="24"/>
      <c r="AL612" s="24"/>
      <c r="AM612" s="24"/>
    </row>
    <row r="613" spans="2:39" ht="21.95" customHeight="1" x14ac:dyDescent="0.2">
      <c r="B613" s="1346"/>
      <c r="C613" s="254" t="s">
        <v>340</v>
      </c>
      <c r="D613" s="254" t="s">
        <v>280</v>
      </c>
      <c r="E613" s="116" t="s">
        <v>19</v>
      </c>
      <c r="F613" s="116" t="s">
        <v>43</v>
      </c>
      <c r="G613" s="970"/>
      <c r="H613" s="970"/>
      <c r="I613" s="777">
        <f>$E$21*$H$8*'Traffic Data'!AK75*annualizationFactor</f>
        <v>9.5866154999999995E-2</v>
      </c>
      <c r="J613" s="777">
        <f>$E$21*$H$8*'Traffic Data'!AL75*annualizationFactor</f>
        <v>0.14168059047449999</v>
      </c>
      <c r="K613" s="777">
        <f>$E$21*$H$8*'Traffic Data'!AM75*annualizationFactor</f>
        <v>0.19875610362300003</v>
      </c>
      <c r="L613" s="777">
        <f>$E$21*$H$8*'Traffic Data'!AN75*annualizationFactor</f>
        <v>0.32096627801700001</v>
      </c>
      <c r="M613" s="777">
        <f>$E$21*$H$8*'Traffic Data'!AO75*annualizationFactor</f>
        <v>0.44319243010350001</v>
      </c>
      <c r="N613" s="777">
        <f>$E$21*$H$8*'Traffic Data'!AP75*annualizationFactor</f>
        <v>0.56546971080599995</v>
      </c>
      <c r="O613" s="777">
        <f>$E$21*$H$8*'Traffic Data'!AQ75*annualizationFactor</f>
        <v>0.6876798851999999</v>
      </c>
      <c r="P613" s="777">
        <f>$E$21*$H$8*'Traffic Data'!AR75*annualizationFactor</f>
        <v>0.80982614882400006</v>
      </c>
      <c r="Q613" s="777">
        <f>$E$21*$H$8*'Traffic Data'!AS75*annualizationFactor</f>
        <v>1.0550901197760001</v>
      </c>
      <c r="R613" s="777">
        <f>$E$21*$H$8*'Traffic Data'!AT75*annualizationFactor</f>
        <v>1.3002134870340001</v>
      </c>
      <c r="S613" s="777">
        <f>$E$21*$H$8*'Traffic Data'!AU75*annualizationFactor</f>
        <v>1.5453911784465002</v>
      </c>
      <c r="T613" s="777">
        <f>$E$21*$H$8*'Traffic Data'!AV75*annualizationFactor</f>
        <v>1.7906551493985001</v>
      </c>
      <c r="U613" s="777">
        <f>$E$21*$H$8*'Traffic Data'!AW75*annualizationFactor</f>
        <v>2.0358552095805003</v>
      </c>
      <c r="V613" s="777">
        <f>$E$21*$H$8*'Traffic Data'!AX75*annualizationFactor</f>
        <v>2.2159781282099997</v>
      </c>
      <c r="W613" s="777">
        <f>$E$21*$H$8*'Traffic Data'!AY75*annualizationFactor</f>
        <v>2.2617925636845002</v>
      </c>
      <c r="X613" s="777">
        <f>$E$21*$H$8*'Traffic Data'!AZ75*annualizationFactor</f>
        <v>2.3076069991589998</v>
      </c>
      <c r="Y613" s="777">
        <f>$E$21*$H$8*'Traffic Data'!BA75*annualizationFactor</f>
        <v>2.3534214346334998</v>
      </c>
      <c r="Z613" s="777">
        <f>$E$21*$H$8*'Traffic Data'!BB75*annualizationFactor</f>
        <v>2.3990984619524998</v>
      </c>
      <c r="AA613" s="777">
        <f>$E$21*$H$8*'Traffic Data'!BC75*annualizationFactor</f>
        <v>2.4449128974269998</v>
      </c>
      <c r="AB613" s="777">
        <f>$E$21*$H$8*'Traffic Data'!BD75*annualizationFactor</f>
        <v>2.4905899247459997</v>
      </c>
      <c r="AC613" s="777">
        <f>$E$21*$H$8*'Traffic Data'!BE75*annualizationFactor</f>
        <v>2.5364043602204998</v>
      </c>
      <c r="AD613" s="777">
        <f>$E$21*$H$8*'Traffic Data'!BF75*annualizationFactor</f>
        <v>2.5822187956950002</v>
      </c>
      <c r="AE613" s="777">
        <f>$E$21*$H$8*'Traffic Data'!BG75*annualizationFactor</f>
        <v>2.6278958230139997</v>
      </c>
      <c r="AF613" s="777">
        <f>$E$21*$H$8*'Traffic Data'!BH75*annualizationFactor</f>
        <v>2.6737102584884993</v>
      </c>
      <c r="AG613" s="777">
        <f>$E$21*$H$8*'Traffic Data'!BI75*annualizationFactor</f>
        <v>2.7195246939629998</v>
      </c>
      <c r="AH613" s="778">
        <f>$E$21*$H$8*'Traffic Data'!BJ75*annualizationFactor</f>
        <v>2.7652017212819993</v>
      </c>
      <c r="AI613" s="24"/>
      <c r="AJ613" s="24"/>
      <c r="AK613" s="24"/>
      <c r="AL613" s="24"/>
      <c r="AM613" s="24"/>
    </row>
    <row r="614" spans="2:39" ht="21.95" customHeight="1" x14ac:dyDescent="0.2">
      <c r="B614" s="1346" t="s">
        <v>334</v>
      </c>
      <c r="C614" s="116" t="s">
        <v>336</v>
      </c>
      <c r="D614" s="116" t="s">
        <v>337</v>
      </c>
      <c r="E614" s="220" t="s">
        <v>19</v>
      </c>
      <c r="F614" s="220" t="s">
        <v>43</v>
      </c>
      <c r="G614" s="775"/>
      <c r="H614" s="775"/>
      <c r="I614" s="775">
        <f>$E$21*$I$8*'Traffic Data'!AK76*annualizationFactor</f>
        <v>2.9825026000000001</v>
      </c>
      <c r="J614" s="775">
        <f>$E$21*$I$8*'Traffic Data'!AL76*annualizationFactor</f>
        <v>3.0651179220199993</v>
      </c>
      <c r="K614" s="775">
        <f>$E$21*$I$8*'Traffic Data'!AM76*annualizationFactor</f>
        <v>3.1984464400349997</v>
      </c>
      <c r="L614" s="775">
        <f>$E$21*$I$8*'Traffic Data'!AN76*annualizationFactor</f>
        <v>3.3889218382249999</v>
      </c>
      <c r="M614" s="775">
        <f>$E$21*$I$8*'Traffic Data'!AO76*annualizationFactor</f>
        <v>3.5794824507750009</v>
      </c>
      <c r="N614" s="775">
        <f>$E$21*$I$8*'Traffic Data'!AP76*annualizationFactor</f>
        <v>3.7700324115300008</v>
      </c>
      <c r="O614" s="775">
        <f>$E$21*$I$8*'Traffic Data'!AQ76*annualizationFactor</f>
        <v>3.9605078097200015</v>
      </c>
      <c r="P614" s="775">
        <f>$E$21*$I$8*'Traffic Data'!AR76*annualizationFactor</f>
        <v>4.1511536366300001</v>
      </c>
      <c r="Q614" s="775">
        <f>$E$21*$I$8*'Traffic Data'!AS76*annualizationFactor</f>
        <v>4.3208473827749989</v>
      </c>
      <c r="R614" s="775">
        <f>$E$21*$I$8*'Traffic Data'!AT76*annualizationFactor</f>
        <v>4.4905943878949994</v>
      </c>
      <c r="S614" s="775">
        <f>$E$21*$I$8*'Traffic Data'!AU76*annualizationFactor</f>
        <v>4.6602881340399991</v>
      </c>
      <c r="T614" s="775">
        <f>$E$21*$I$8*'Traffic Data'!AV76*annualizationFactor</f>
        <v>4.8299818801849987</v>
      </c>
      <c r="U614" s="775">
        <f>$E$21*$I$8*'Traffic Data'!AW76*annualizationFactor</f>
        <v>4.9998460550499999</v>
      </c>
      <c r="V614" s="775">
        <f>$E$21*$I$8*'Traffic Data'!AX76*annualizationFactor</f>
        <v>5.1123077066600002</v>
      </c>
      <c r="W614" s="775">
        <f>$E$21*$I$8*'Traffic Data'!AY76*annualizationFactor</f>
        <v>5.1949230286799999</v>
      </c>
      <c r="X614" s="775">
        <f>$E$21*$I$8*'Traffic Data'!AZ76*annualizationFactor</f>
        <v>5.2775383506999995</v>
      </c>
      <c r="Y614" s="775">
        <f>$E$21*$I$8*'Traffic Data'!BA76*annualizationFactor</f>
        <v>5.3601536727199992</v>
      </c>
      <c r="Z614" s="775">
        <f>$E$21*$I$8*'Traffic Data'!BB76*annualizationFactor</f>
        <v>5.4428222537149997</v>
      </c>
      <c r="AA614" s="775">
        <f>$E$21*$I$8*'Traffic Data'!BC76*annualizationFactor</f>
        <v>5.5254375757350012</v>
      </c>
      <c r="AB614" s="775">
        <f>$E$21*$I$8*'Traffic Data'!BD76*annualizationFactor</f>
        <v>5.608106156729999</v>
      </c>
      <c r="AC614" s="775">
        <f>$E$21*$I$8*'Traffic Data'!BE76*annualizationFactor</f>
        <v>5.6907214787499987</v>
      </c>
      <c r="AD614" s="775">
        <f>$E$21*$I$8*'Traffic Data'!BF76*annualizationFactor</f>
        <v>5.7733368007699992</v>
      </c>
      <c r="AE614" s="775">
        <f>$E$21*$I$8*'Traffic Data'!BG76*annualizationFactor</f>
        <v>5.8560053817649997</v>
      </c>
      <c r="AF614" s="775">
        <f>$E$21*$I$8*'Traffic Data'!BH76*annualizationFactor</f>
        <v>5.9386207037849985</v>
      </c>
      <c r="AG614" s="775">
        <f>$E$21*$I$8*'Traffic Data'!BI76*annualizationFactor</f>
        <v>6.0212360258049991</v>
      </c>
      <c r="AH614" s="776">
        <f>$E$21*$I$8*'Traffic Data'!BJ76*annualizationFactor</f>
        <v>6.1039046067999987</v>
      </c>
      <c r="AI614" s="24"/>
      <c r="AJ614" s="24"/>
      <c r="AK614" s="24"/>
      <c r="AL614" s="24"/>
      <c r="AM614" s="24"/>
    </row>
    <row r="615" spans="2:39" ht="21.95" customHeight="1" x14ac:dyDescent="0.2">
      <c r="B615" s="1346"/>
      <c r="C615" s="116" t="s">
        <v>337</v>
      </c>
      <c r="D615" s="116" t="s">
        <v>386</v>
      </c>
      <c r="E615" s="116" t="s">
        <v>19</v>
      </c>
      <c r="F615" s="116" t="s">
        <v>43</v>
      </c>
      <c r="G615" s="970"/>
      <c r="H615" s="970"/>
      <c r="I615" s="777">
        <f>$E$21*$I$8*'Traffic Data'!AK77*annualizationFactor</f>
        <v>4.6867897999999997</v>
      </c>
      <c r="J615" s="777">
        <f>$E$21*$I$8*'Traffic Data'!AL77*annualizationFactor</f>
        <v>4.6938199847000002</v>
      </c>
      <c r="K615" s="777">
        <f>$E$21*$I$8*'Traffic Data'!AM77*annualizationFactor</f>
        <v>4.7008501693999989</v>
      </c>
      <c r="L615" s="777">
        <f>$E$21*$I$8*'Traffic Data'!AN77*annualizationFactor</f>
        <v>4.7078803540999994</v>
      </c>
      <c r="M615" s="777">
        <f>$E$21*$I$8*'Traffic Data'!AO77*annualizationFactor</f>
        <v>4.7149105387999999</v>
      </c>
      <c r="N615" s="777">
        <f>$E$21*$I$8*'Traffic Data'!AP77*annualizationFactor</f>
        <v>4.7219407235000004</v>
      </c>
      <c r="O615" s="777">
        <f>$E$21*$I$8*'Traffic Data'!AQ77*annualizationFactor</f>
        <v>4.7289709081999991</v>
      </c>
      <c r="P615" s="777">
        <f>$E$21*$I$8*'Traffic Data'!AR77*annualizationFactor</f>
        <v>4.7360010928999996</v>
      </c>
      <c r="Q615" s="777">
        <f>$E$21*$I$8*'Traffic Data'!AS77*annualizationFactor</f>
        <v>4.7430312776000001</v>
      </c>
      <c r="R615" s="777">
        <f>$E$21*$I$8*'Traffic Data'!AT77*annualizationFactor</f>
        <v>4.7430312776000001</v>
      </c>
      <c r="S615" s="777">
        <f>$E$21*$I$8*'Traffic Data'!AU77*annualizationFactor</f>
        <v>4.7430312776000001</v>
      </c>
      <c r="T615" s="777">
        <f>$E$21*$I$8*'Traffic Data'!AV77*annualizationFactor</f>
        <v>4.7430312776000001</v>
      </c>
      <c r="U615" s="777">
        <f>$E$21*$I$8*'Traffic Data'!AW77*annualizationFactor</f>
        <v>4.7430312776000001</v>
      </c>
      <c r="V615" s="777">
        <f>$E$21*$I$8*'Traffic Data'!AX77*annualizationFactor</f>
        <v>4.7430312776000001</v>
      </c>
      <c r="W615" s="777">
        <f>$E$21*$I$8*'Traffic Data'!AY77*annualizationFactor</f>
        <v>4.7741747827850993</v>
      </c>
      <c r="X615" s="777">
        <f>$E$21*$I$8*'Traffic Data'!AZ77*annualizationFactor</f>
        <v>4.8481163481365988</v>
      </c>
      <c r="Y615" s="777">
        <f>$E$21*$I$8*'Traffic Data'!BA77*annualizationFactor</f>
        <v>4.9220579134880991</v>
      </c>
      <c r="Z615" s="777">
        <f>$E$21*$I$8*'Traffic Data'!BB77*annualizationFactor</f>
        <v>4.9960167347474993</v>
      </c>
      <c r="AA615" s="777">
        <f>$E$21*$I$8*'Traffic Data'!BC77*annualizationFactor</f>
        <v>5.0699583000989996</v>
      </c>
      <c r="AB615" s="777">
        <f>$E$21*$I$8*'Traffic Data'!BD77*annualizationFactor</f>
        <v>5.143917121358399</v>
      </c>
      <c r="AC615" s="777">
        <f>$E$21*$I$8*'Traffic Data'!BE77*annualizationFactor</f>
        <v>5.2178586867098993</v>
      </c>
      <c r="AD615" s="777">
        <f>$E$21*$I$8*'Traffic Data'!BF77*annualizationFactor</f>
        <v>5.2918002520613996</v>
      </c>
      <c r="AE615" s="777">
        <f>$E$21*$I$8*'Traffic Data'!BG77*annualizationFactor</f>
        <v>5.3657590733207998</v>
      </c>
      <c r="AF615" s="777">
        <f>$E$21*$I$8*'Traffic Data'!BH77*annualizationFactor</f>
        <v>5.4397006386722992</v>
      </c>
      <c r="AG615" s="777">
        <f>$E$21*$I$8*'Traffic Data'!BI77*annualizationFactor</f>
        <v>5.5136422040237996</v>
      </c>
      <c r="AH615" s="778">
        <f>$E$21*$I$8*'Traffic Data'!BJ77*annualizationFactor</f>
        <v>5.5876010252831998</v>
      </c>
      <c r="AI615" s="24"/>
      <c r="AJ615" s="24"/>
      <c r="AK615" s="24"/>
      <c r="AL615" s="24"/>
      <c r="AM615" s="24"/>
    </row>
    <row r="616" spans="2:39" ht="21.95" customHeight="1" x14ac:dyDescent="0.2">
      <c r="B616" s="1346"/>
      <c r="C616" s="116" t="s">
        <v>342</v>
      </c>
      <c r="D616" s="116" t="s">
        <v>341</v>
      </c>
      <c r="E616" s="116" t="s">
        <v>19</v>
      </c>
      <c r="F616" s="116" t="s">
        <v>43</v>
      </c>
      <c r="G616" s="970"/>
      <c r="H616" s="970"/>
      <c r="I616" s="777">
        <f>$E$21*$I$8*'Traffic Data'!AK78*annualizationFactor</f>
        <v>6.0928267399999996</v>
      </c>
      <c r="J616" s="777">
        <f>$E$21*$I$8*'Traffic Data'!AL78*annualizationFactor</f>
        <v>6.1019659801100001</v>
      </c>
      <c r="K616" s="777">
        <f>$E$21*$I$8*'Traffic Data'!AM78*annualizationFactor</f>
        <v>6.1111052202199989</v>
      </c>
      <c r="L616" s="777">
        <f>$E$21*$I$8*'Traffic Data'!AN78*annualizationFactor</f>
        <v>6.1202444603300004</v>
      </c>
      <c r="M616" s="777">
        <f>$E$21*$I$8*'Traffic Data'!AO78*annualizationFactor</f>
        <v>6.12938370044</v>
      </c>
      <c r="N616" s="777">
        <f>$E$21*$I$8*'Traffic Data'!AP78*annualizationFactor</f>
        <v>6.1385229405500006</v>
      </c>
      <c r="O616" s="777">
        <f>$E$21*$I$8*'Traffic Data'!AQ78*annualizationFactor</f>
        <v>6.1476621806599994</v>
      </c>
      <c r="P616" s="777">
        <f>$E$21*$I$8*'Traffic Data'!AR78*annualizationFactor</f>
        <v>6.156801420769999</v>
      </c>
      <c r="Q616" s="777">
        <f>$E$21*$I$8*'Traffic Data'!AS78*annualizationFactor</f>
        <v>6.1659406608800005</v>
      </c>
      <c r="R616" s="777">
        <f>$E$21*$I$8*'Traffic Data'!AT78*annualizationFactor</f>
        <v>6.1659406608800005</v>
      </c>
      <c r="S616" s="777">
        <f>$E$21*$I$8*'Traffic Data'!AU78*annualizationFactor</f>
        <v>6.1659406608800005</v>
      </c>
      <c r="T616" s="777">
        <f>$E$21*$I$8*'Traffic Data'!AV78*annualizationFactor</f>
        <v>6.1659406608800005</v>
      </c>
      <c r="U616" s="777">
        <f>$E$21*$I$8*'Traffic Data'!AW78*annualizationFactor</f>
        <v>6.1659406608800005</v>
      </c>
      <c r="V616" s="777">
        <f>$E$21*$I$8*'Traffic Data'!AX78*annualizationFactor</f>
        <v>6.1659406608800005</v>
      </c>
      <c r="W616" s="777">
        <f>$E$21*$I$8*'Traffic Data'!AY78*annualizationFactor</f>
        <v>6.2064272176206288</v>
      </c>
      <c r="X616" s="777">
        <f>$E$21*$I$8*'Traffic Data'!AZ78*annualizationFactor</f>
        <v>6.3025512525775786</v>
      </c>
      <c r="Y616" s="777">
        <f>$E$21*$I$8*'Traffic Data'!BA78*annualizationFactor</f>
        <v>6.3986752875345294</v>
      </c>
      <c r="Z616" s="777">
        <f>$E$21*$I$8*'Traffic Data'!BB78*annualizationFactor</f>
        <v>6.4948217551717491</v>
      </c>
      <c r="AA616" s="777">
        <f>$E$21*$I$8*'Traffic Data'!BC78*annualizationFactor</f>
        <v>6.590945790128699</v>
      </c>
      <c r="AB616" s="777">
        <f>$E$21*$I$8*'Traffic Data'!BD78*annualizationFactor</f>
        <v>6.6870922577659204</v>
      </c>
      <c r="AC616" s="777">
        <f>$E$21*$I$8*'Traffic Data'!BE78*annualizationFactor</f>
        <v>6.7832162927228694</v>
      </c>
      <c r="AD616" s="777">
        <f>$E$21*$I$8*'Traffic Data'!BF78*annualizationFactor</f>
        <v>6.8793403276798202</v>
      </c>
      <c r="AE616" s="777">
        <f>$E$21*$I$8*'Traffic Data'!BG78*annualizationFactor</f>
        <v>6.9754867953170399</v>
      </c>
      <c r="AF616" s="777">
        <f>$E$21*$I$8*'Traffic Data'!BH78*annualizationFactor</f>
        <v>7.0716108302739888</v>
      </c>
      <c r="AG616" s="777">
        <f>$E$21*$I$8*'Traffic Data'!BI78*annualizationFactor</f>
        <v>7.1677348652309396</v>
      </c>
      <c r="AH616" s="778">
        <f>$E$21*$I$8*'Traffic Data'!BJ78*annualizationFactor</f>
        <v>7.2638813328681593</v>
      </c>
      <c r="AI616" s="24"/>
      <c r="AJ616" s="24"/>
      <c r="AK616" s="24"/>
      <c r="AL616" s="24"/>
      <c r="AM616" s="24"/>
    </row>
    <row r="617" spans="2:39" ht="21.95" customHeight="1" x14ac:dyDescent="0.2">
      <c r="B617" s="1346"/>
      <c r="C617" s="116" t="s">
        <v>341</v>
      </c>
      <c r="D617" s="116" t="s">
        <v>344</v>
      </c>
      <c r="E617" s="116" t="s">
        <v>19</v>
      </c>
      <c r="F617" s="116" t="s">
        <v>43</v>
      </c>
      <c r="G617" s="970"/>
      <c r="H617" s="970"/>
      <c r="I617" s="777">
        <f>$E$21*$I$8*'Traffic Data'!AK79*annualizationFactor</f>
        <v>6.7574987479999997</v>
      </c>
      <c r="J617" s="777">
        <f>$E$21*$I$8*'Traffic Data'!AL79*annualizationFactor</f>
        <v>6.7676349961219993</v>
      </c>
      <c r="K617" s="777">
        <f>$E$21*$I$8*'Traffic Data'!AM79*annualizationFactor</f>
        <v>6.7777712442439988</v>
      </c>
      <c r="L617" s="777">
        <f>$E$21*$I$8*'Traffic Data'!AN79*annualizationFactor</f>
        <v>6.7879074923659992</v>
      </c>
      <c r="M617" s="777">
        <f>$E$21*$I$8*'Traffic Data'!AO79*annualizationFactor</f>
        <v>6.7980437404879996</v>
      </c>
      <c r="N617" s="777">
        <f>$E$21*$I$8*'Traffic Data'!AP79*annualizationFactor</f>
        <v>6.8081799886100001</v>
      </c>
      <c r="O617" s="777">
        <f>$E$21*$I$8*'Traffic Data'!AQ79*annualizationFactor</f>
        <v>6.8183162367319996</v>
      </c>
      <c r="P617" s="777">
        <f>$E$21*$I$8*'Traffic Data'!AR79*annualizationFactor</f>
        <v>6.8284524848539991</v>
      </c>
      <c r="Q617" s="777">
        <f>$E$21*$I$8*'Traffic Data'!AS79*annualizationFactor</f>
        <v>6.8385887329760005</v>
      </c>
      <c r="R617" s="777">
        <f>$E$21*$I$8*'Traffic Data'!AT79*annualizationFactor</f>
        <v>6.8385887329760005</v>
      </c>
      <c r="S617" s="777">
        <f>$E$21*$I$8*'Traffic Data'!AU79*annualizationFactor</f>
        <v>6.8385887329760005</v>
      </c>
      <c r="T617" s="777">
        <f>$E$21*$I$8*'Traffic Data'!AV79*annualizationFactor</f>
        <v>6.8385887329760005</v>
      </c>
      <c r="U617" s="777">
        <f>$E$21*$I$8*'Traffic Data'!AW79*annualizationFactor</f>
        <v>6.8385887329760005</v>
      </c>
      <c r="V617" s="777">
        <f>$E$21*$I$8*'Traffic Data'!AX79*annualizationFactor</f>
        <v>6.8385887329760005</v>
      </c>
      <c r="W617" s="777">
        <f>$E$21*$I$8*'Traffic Data'!AY79*annualizationFactor</f>
        <v>6.8385887329760005</v>
      </c>
      <c r="X617" s="777">
        <f>$E$21*$I$8*'Traffic Data'!AZ79*annualizationFactor</f>
        <v>6.8385887329760005</v>
      </c>
      <c r="Y617" s="777">
        <f>$E$21*$I$8*'Traffic Data'!BA79*annualizationFactor</f>
        <v>6.8385887329760005</v>
      </c>
      <c r="Z617" s="777">
        <f>$E$21*$I$8*'Traffic Data'!BB79*annualizationFactor</f>
        <v>6.8385887329760005</v>
      </c>
      <c r="AA617" s="777">
        <f>$E$21*$I$8*'Traffic Data'!BC79*annualizationFactor</f>
        <v>6.9275910212552718</v>
      </c>
      <c r="AB617" s="777">
        <f>$E$21*$I$8*'Traffic Data'!BD79*annualizationFactor</f>
        <v>7.0286483546241172</v>
      </c>
      <c r="AC617" s="777">
        <f>$E$21*$I$8*'Traffic Data'!BE79*annualizationFactor</f>
        <v>7.1296821095204068</v>
      </c>
      <c r="AD617" s="777">
        <f>$E$21*$I$8*'Traffic Data'!BF79*annualizationFactor</f>
        <v>7.2307158644166982</v>
      </c>
      <c r="AE617" s="777">
        <f>$E$21*$I$8*'Traffic Data'!BG79*annualizationFactor</f>
        <v>7.3317731977855409</v>
      </c>
      <c r="AF617" s="777">
        <f>$E$21*$I$8*'Traffic Data'!BH79*annualizationFactor</f>
        <v>7.4328069526818288</v>
      </c>
      <c r="AG617" s="777">
        <f>$E$21*$I$8*'Traffic Data'!BI79*annualizationFactor</f>
        <v>7.5338407075781202</v>
      </c>
      <c r="AH617" s="778">
        <f>$E$21*$I$8*'Traffic Data'!BJ79*annualizationFactor</f>
        <v>7.6348980409469647</v>
      </c>
      <c r="AI617" s="24"/>
      <c r="AJ617" s="24"/>
      <c r="AK617" s="24"/>
      <c r="AL617" s="24"/>
      <c r="AM617" s="24"/>
    </row>
    <row r="618" spans="2:39" ht="21.95" customHeight="1" x14ac:dyDescent="0.2">
      <c r="B618" s="1346"/>
      <c r="C618" s="116" t="s">
        <v>344</v>
      </c>
      <c r="D618" s="116" t="s">
        <v>345</v>
      </c>
      <c r="E618" s="116" t="s">
        <v>19</v>
      </c>
      <c r="F618" s="116" t="s">
        <v>43</v>
      </c>
      <c r="G618" s="970"/>
      <c r="H618" s="970"/>
      <c r="I618" s="777">
        <f>$E$21*$I$8*'Traffic Data'!AK80*annualizationFactor</f>
        <v>2.7694667000000002</v>
      </c>
      <c r="J618" s="777">
        <f>$E$21*$I$8*'Traffic Data'!AL80*annualizationFactor</f>
        <v>2.7736209000500001</v>
      </c>
      <c r="K618" s="777">
        <f>$E$21*$I$8*'Traffic Data'!AM80*annualizationFactor</f>
        <v>2.7777751000999995</v>
      </c>
      <c r="L618" s="777">
        <f>$E$21*$I$8*'Traffic Data'!AN80*annualizationFactor</f>
        <v>2.7819293001499998</v>
      </c>
      <c r="M618" s="777">
        <f>$E$21*$I$8*'Traffic Data'!AO80*annualizationFactor</f>
        <v>2.7860835001999997</v>
      </c>
      <c r="N618" s="777">
        <f>$E$21*$I$8*'Traffic Data'!AP80*annualizationFactor</f>
        <v>2.7902377002500001</v>
      </c>
      <c r="O618" s="777">
        <f>$E$21*$I$8*'Traffic Data'!AQ80*annualizationFactor</f>
        <v>2.7943919002999995</v>
      </c>
      <c r="P618" s="777">
        <f>$E$21*$I$8*'Traffic Data'!AR80*annualizationFactor</f>
        <v>2.7985461003499998</v>
      </c>
      <c r="Q618" s="777">
        <f>$E$21*$I$8*'Traffic Data'!AS80*annualizationFactor</f>
        <v>2.8027003003999997</v>
      </c>
      <c r="R618" s="777">
        <f>$E$21*$I$8*'Traffic Data'!AT80*annualizationFactor</f>
        <v>2.8027003003999997</v>
      </c>
      <c r="S618" s="777">
        <f>$E$21*$I$8*'Traffic Data'!AU80*annualizationFactor</f>
        <v>2.8027003003999997</v>
      </c>
      <c r="T618" s="777">
        <f>$E$21*$I$8*'Traffic Data'!AV80*annualizationFactor</f>
        <v>2.8027003003999997</v>
      </c>
      <c r="U618" s="777">
        <f>$E$21*$I$8*'Traffic Data'!AW80*annualizationFactor</f>
        <v>2.8027003003999997</v>
      </c>
      <c r="V618" s="777">
        <f>$E$21*$I$8*'Traffic Data'!AX80*annualizationFactor</f>
        <v>2.8027003003999997</v>
      </c>
      <c r="W618" s="777">
        <f>$E$21*$I$8*'Traffic Data'!AY80*annualizationFactor</f>
        <v>2.8027003003999997</v>
      </c>
      <c r="X618" s="777">
        <f>$E$21*$I$8*'Traffic Data'!AZ80*annualizationFactor</f>
        <v>2.8027003003999997</v>
      </c>
      <c r="Y618" s="777">
        <f>$E$21*$I$8*'Traffic Data'!BA80*annualizationFactor</f>
        <v>2.8027003003999997</v>
      </c>
      <c r="Z618" s="777">
        <f>$E$21*$I$8*'Traffic Data'!BB80*annualizationFactor</f>
        <v>2.8027003003999997</v>
      </c>
      <c r="AA618" s="777">
        <f>$E$21*$I$8*'Traffic Data'!BC80*annualizationFactor</f>
        <v>2.8391766480554397</v>
      </c>
      <c r="AB618" s="777">
        <f>$E$21*$I$8*'Traffic Data'!BD80*annualizationFactor</f>
        <v>2.8805935879607039</v>
      </c>
      <c r="AC618" s="777">
        <f>$E$21*$I$8*'Traffic Data'!BE80*annualizationFactor</f>
        <v>2.9220008645575435</v>
      </c>
      <c r="AD618" s="777">
        <f>$E$21*$I$8*'Traffic Data'!BF80*annualizationFactor</f>
        <v>2.963408141154384</v>
      </c>
      <c r="AE618" s="777">
        <f>$E$21*$I$8*'Traffic Data'!BG80*annualizationFactor</f>
        <v>3.0048250810596477</v>
      </c>
      <c r="AF618" s="777">
        <f>$E$21*$I$8*'Traffic Data'!BH80*annualizationFactor</f>
        <v>3.0462323576564878</v>
      </c>
      <c r="AG618" s="777">
        <f>$E$21*$I$8*'Traffic Data'!BI80*annualizationFactor</f>
        <v>3.0876396342533283</v>
      </c>
      <c r="AH618" s="778">
        <f>$E$21*$I$8*'Traffic Data'!BJ80*annualizationFactor</f>
        <v>3.1290565741585921</v>
      </c>
      <c r="AI618" s="24"/>
      <c r="AJ618" s="24"/>
      <c r="AK618" s="24"/>
      <c r="AL618" s="24"/>
      <c r="AM618" s="24"/>
    </row>
    <row r="619" spans="2:39" ht="21.95" customHeight="1" x14ac:dyDescent="0.2">
      <c r="B619" s="1346"/>
      <c r="C619" s="116" t="s">
        <v>345</v>
      </c>
      <c r="D619" s="116" t="s">
        <v>323</v>
      </c>
      <c r="E619" s="116" t="s">
        <v>19</v>
      </c>
      <c r="F619" s="116" t="s">
        <v>43</v>
      </c>
      <c r="G619" s="970"/>
      <c r="H619" s="970"/>
      <c r="I619" s="777">
        <f>$E$21*$I$8*'Traffic Data'!AK81*annualizationFactor</f>
        <v>33.404029119999997</v>
      </c>
      <c r="J619" s="777">
        <f>$E$21*$I$8*'Traffic Data'!AL81*annualizationFactor</f>
        <v>34.170830538460002</v>
      </c>
      <c r="K619" s="777">
        <f>$E$21*$I$8*'Traffic Data'!AM81*annualizationFactor</f>
        <v>35.292430466215997</v>
      </c>
      <c r="L619" s="777">
        <f>$E$21*$I$8*'Traffic Data'!AN81*annualizationFactor</f>
        <v>36.637539138815995</v>
      </c>
      <c r="M619" s="777">
        <f>$E$21*$I$8*'Traffic Data'!AO81*annualizationFactor</f>
        <v>37.983005711727998</v>
      </c>
      <c r="N619" s="777">
        <f>$E$21*$I$8*'Traffic Data'!AP81*annualizationFactor</f>
        <v>39.328591584744011</v>
      </c>
      <c r="O619" s="777">
        <f>$E$21*$I$8*'Traffic Data'!AQ81*annualizationFactor</f>
        <v>40.673700257344002</v>
      </c>
      <c r="P619" s="777">
        <f>$E$21*$I$8*'Traffic Data'!AR81*annualizationFactor</f>
        <v>42.019524730568001</v>
      </c>
      <c r="Q619" s="777">
        <f>$E$21*$I$8*'Traffic Data'!AS81*annualizationFactor</f>
        <v>43.177332239887996</v>
      </c>
      <c r="R619" s="777">
        <f>$E$21*$I$8*'Traffic Data'!AT81*annualizationFactor</f>
        <v>44.335080099155995</v>
      </c>
      <c r="S619" s="777">
        <f>$E$21*$I$8*'Traffic Data'!AU81*annualizationFactor</f>
        <v>45.492887608475996</v>
      </c>
      <c r="T619" s="777">
        <f>$E$21*$I$8*'Traffic Data'!AV81*annualizationFactor</f>
        <v>46.650695117795983</v>
      </c>
      <c r="U619" s="777">
        <f>$E$21*$I$8*'Traffic Data'!AW81*annualizationFactor</f>
        <v>47.809218427739992</v>
      </c>
      <c r="V619" s="777">
        <f>$E$21*$I$8*'Traffic Data'!AX81*annualizationFactor</f>
        <v>48.743159291903986</v>
      </c>
      <c r="W619" s="777">
        <f>$E$21*$I$8*'Traffic Data'!AY81*annualizationFactor</f>
        <v>49.509960710363977</v>
      </c>
      <c r="X619" s="777">
        <f>$E$21*$I$8*'Traffic Data'!AZ81*annualizationFactor</f>
        <v>50.276762128823982</v>
      </c>
      <c r="Y619" s="777">
        <f>$E$21*$I$8*'Traffic Data'!BA81*annualizationFactor</f>
        <v>51.043563547283981</v>
      </c>
      <c r="Z619" s="777">
        <f>$E$21*$I$8*'Traffic Data'!BB81*annualizationFactor</f>
        <v>51.810543915899984</v>
      </c>
      <c r="AA619" s="777">
        <f>$E$21*$I$8*'Traffic Data'!BC81*annualizationFactor</f>
        <v>52.577345334359983</v>
      </c>
      <c r="AB619" s="777">
        <f>$E$21*$I$8*'Traffic Data'!BD81*annualizationFactor</f>
        <v>53.344325702975986</v>
      </c>
      <c r="AC619" s="777">
        <f>$E$21*$I$8*'Traffic Data'!BE81*annualizationFactor</f>
        <v>54.111127121435992</v>
      </c>
      <c r="AD619" s="777">
        <f>$E$21*$I$8*'Traffic Data'!BF81*annualizationFactor</f>
        <v>54.87792853989599</v>
      </c>
      <c r="AE619" s="777">
        <f>$E$21*$I$8*'Traffic Data'!BG81*annualizationFactor</f>
        <v>55.644908908511994</v>
      </c>
      <c r="AF619" s="777">
        <f>$E$21*$I$8*'Traffic Data'!BH81*annualizationFactor</f>
        <v>56.411710326971971</v>
      </c>
      <c r="AG619" s="777">
        <f>$E$21*$I$8*'Traffic Data'!BI81*annualizationFactor</f>
        <v>57.178511745431997</v>
      </c>
      <c r="AH619" s="778">
        <f>$E$21*$I$8*'Traffic Data'!BJ81*annualizationFactor</f>
        <v>57.945492114047994</v>
      </c>
      <c r="AI619" s="24"/>
      <c r="AJ619" s="24"/>
      <c r="AK619" s="24"/>
      <c r="AL619" s="24"/>
      <c r="AM619" s="24"/>
    </row>
    <row r="620" spans="2:39" ht="21.95" customHeight="1" x14ac:dyDescent="0.2">
      <c r="B620" s="1346"/>
      <c r="C620" s="116" t="s">
        <v>323</v>
      </c>
      <c r="D620" s="116" t="s">
        <v>347</v>
      </c>
      <c r="E620" s="116" t="s">
        <v>19</v>
      </c>
      <c r="F620" s="116" t="s">
        <v>43</v>
      </c>
      <c r="G620" s="970"/>
      <c r="H620" s="970"/>
      <c r="I620" s="777">
        <f>$E$21*$I$8*'Traffic Data'!AK82*annualizationFactor</f>
        <v>5.9650052000000002</v>
      </c>
      <c r="J620" s="777">
        <f>$E$21*$I$8*'Traffic Data'!AL82*annualizationFactor</f>
        <v>6.0968105113300002</v>
      </c>
      <c r="K620" s="777">
        <f>$E$21*$I$8*'Traffic Data'!AM82*annualizationFactor</f>
        <v>6.2919620475249998</v>
      </c>
      <c r="L620" s="777">
        <f>$E$21*$I$8*'Traffic Data'!AN82*annualizationFactor</f>
        <v>6.5396269330700001</v>
      </c>
      <c r="M620" s="777">
        <f>$E$21*$I$8*'Traffic Data'!AO82*annualizationFactor</f>
        <v>6.7873663811800009</v>
      </c>
      <c r="N620" s="777">
        <f>$E$21*$I$8*'Traffic Data'!AP82*annualizationFactor</f>
        <v>7.0350909167769995</v>
      </c>
      <c r="O620" s="777">
        <f>$E$21*$I$8*'Traffic Data'!AQ82*annualizationFactor</f>
        <v>7.282755802321998</v>
      </c>
      <c r="P620" s="777">
        <f>$E$21*$I$8*'Traffic Data'!AR82*annualizationFactor</f>
        <v>7.5305549004839989</v>
      </c>
      <c r="Q620" s="777">
        <f>$E$21*$I$8*'Traffic Data'!AS82*annualizationFactor</f>
        <v>7.7507488067239994</v>
      </c>
      <c r="R620" s="777">
        <f>$E$21*$I$8*'Traffic Data'!AT82*annualizationFactor</f>
        <v>7.9709640165539986</v>
      </c>
      <c r="S620" s="777">
        <f>$E$21*$I$8*'Traffic Data'!AU82*annualizationFactor</f>
        <v>8.1911579227939981</v>
      </c>
      <c r="T620" s="777">
        <f>$E$21*$I$8*'Traffic Data'!AV82*annualizationFactor</f>
        <v>8.4113518290340004</v>
      </c>
      <c r="U620" s="777">
        <f>$E$21*$I$8*'Traffic Data'!AW82*annualizationFactor</f>
        <v>8.6316479925059983</v>
      </c>
      <c r="V620" s="777">
        <f>$E$21*$I$8*'Traffic Data'!AX82*annualizationFactor</f>
        <v>8.7992688993439998</v>
      </c>
      <c r="W620" s="777">
        <f>$E$21*$I$8*'Traffic Data'!AY82*annualizationFactor</f>
        <v>8.9310742106739998</v>
      </c>
      <c r="X620" s="777">
        <f>$E$21*$I$8*'Traffic Data'!AZ82*annualizationFactor</f>
        <v>9.0628795220040015</v>
      </c>
      <c r="Y620" s="777">
        <f>$E$21*$I$8*'Traffic Data'!BA82*annualizationFactor</f>
        <v>9.1946848333340014</v>
      </c>
      <c r="Z620" s="777">
        <f>$E$21*$I$8*'Traffic Data'!BB82*annualizationFactor</f>
        <v>9.326511448254001</v>
      </c>
      <c r="AA620" s="777">
        <f>$E$21*$I$8*'Traffic Data'!BC82*annualizationFactor</f>
        <v>9.4583167595839974</v>
      </c>
      <c r="AB620" s="777">
        <f>$E$21*$I$8*'Traffic Data'!BD82*annualizationFactor</f>
        <v>9.5901433745040006</v>
      </c>
      <c r="AC620" s="777">
        <f>$E$21*$I$8*'Traffic Data'!BE82*annualizationFactor</f>
        <v>9.7219486858340023</v>
      </c>
      <c r="AD620" s="777">
        <f>$E$21*$I$8*'Traffic Data'!BF82*annualizationFactor</f>
        <v>9.8537539971640005</v>
      </c>
      <c r="AE620" s="777">
        <f>$E$21*$I$8*'Traffic Data'!BG82*annualizationFactor</f>
        <v>9.9855806120840001</v>
      </c>
      <c r="AF620" s="777">
        <f>$E$21*$I$8*'Traffic Data'!BH82*annualizationFactor</f>
        <v>10.117385923414004</v>
      </c>
      <c r="AG620" s="777">
        <f>$E$21*$I$8*'Traffic Data'!BI82*annualizationFactor</f>
        <v>10.249191234744002</v>
      </c>
      <c r="AH620" s="778">
        <f>$E$21*$I$8*'Traffic Data'!BJ82*annualizationFactor</f>
        <v>10.381017849664001</v>
      </c>
      <c r="AI620" s="24"/>
      <c r="AJ620" s="24"/>
      <c r="AK620" s="24"/>
      <c r="AL620" s="24"/>
      <c r="AM620" s="24"/>
    </row>
    <row r="621" spans="2:39" ht="21.95" customHeight="1" x14ac:dyDescent="0.2">
      <c r="B621" s="1346"/>
      <c r="C621" s="116" t="s">
        <v>347</v>
      </c>
      <c r="D621" s="116" t="s">
        <v>348</v>
      </c>
      <c r="E621" s="116" t="s">
        <v>19</v>
      </c>
      <c r="F621" s="116" t="s">
        <v>43</v>
      </c>
      <c r="G621" s="970"/>
      <c r="H621" s="970"/>
      <c r="I621" s="777">
        <f>$E$21*$I$8*'Traffic Data'!AK83*annualizationFactor</f>
        <v>4.1755036399999996</v>
      </c>
      <c r="J621" s="777">
        <f>$E$21*$I$8*'Traffic Data'!AL83*annualizationFactor</f>
        <v>4.2677673579310005</v>
      </c>
      <c r="K621" s="777">
        <f>$E$21*$I$8*'Traffic Data'!AM83*annualizationFactor</f>
        <v>4.4043734332674989</v>
      </c>
      <c r="L621" s="777">
        <f>$E$21*$I$8*'Traffic Data'!AN83*annualizationFactor</f>
        <v>4.5777388531489995</v>
      </c>
      <c r="M621" s="777">
        <f>$E$21*$I$8*'Traffic Data'!AO83*annualizationFactor</f>
        <v>4.751156466826</v>
      </c>
      <c r="N621" s="777">
        <f>$E$21*$I$8*'Traffic Data'!AP83*annualizationFactor</f>
        <v>4.9245636417438998</v>
      </c>
      <c r="O621" s="777">
        <f>$E$21*$I$8*'Traffic Data'!AQ83*annualizationFactor</f>
        <v>5.0979290616253987</v>
      </c>
      <c r="P621" s="777">
        <f>$E$21*$I$8*'Traffic Data'!AR83*annualizationFactor</f>
        <v>5.2713884303387983</v>
      </c>
      <c r="Q621" s="777">
        <f>$E$21*$I$8*'Traffic Data'!AS83*annualizationFactor</f>
        <v>5.4255241647067995</v>
      </c>
      <c r="R621" s="777">
        <f>$E$21*$I$8*'Traffic Data'!AT83*annualizationFactor</f>
        <v>5.5796748115877994</v>
      </c>
      <c r="S621" s="777">
        <f>$E$21*$I$8*'Traffic Data'!AU83*annualizationFactor</f>
        <v>5.7338105459557989</v>
      </c>
      <c r="T621" s="777">
        <f>$E$21*$I$8*'Traffic Data'!AV83*annualizationFactor</f>
        <v>5.8879462803238001</v>
      </c>
      <c r="U621" s="777">
        <f>$E$21*$I$8*'Traffic Data'!AW83*annualizationFactor</f>
        <v>6.0421535947541987</v>
      </c>
      <c r="V621" s="777">
        <f>$E$21*$I$8*'Traffic Data'!AX83*annualizationFactor</f>
        <v>6.1594882295407984</v>
      </c>
      <c r="W621" s="777">
        <f>$E$21*$I$8*'Traffic Data'!AY83*annualizationFactor</f>
        <v>6.2517519474717993</v>
      </c>
      <c r="X621" s="777">
        <f>$E$21*$I$8*'Traffic Data'!AZ83*annualizationFactor</f>
        <v>6.3440156654027993</v>
      </c>
      <c r="Y621" s="777">
        <f>$E$21*$I$8*'Traffic Data'!BA83*annualizationFactor</f>
        <v>6.436279383333801</v>
      </c>
      <c r="Z621" s="777">
        <f>$E$21*$I$8*'Traffic Data'!BB83*annualizationFactor</f>
        <v>6.5285580137778005</v>
      </c>
      <c r="AA621" s="777">
        <f>$E$21*$I$8*'Traffic Data'!BC83*annualizationFactor</f>
        <v>6.6208217317087978</v>
      </c>
      <c r="AB621" s="777">
        <f>$E$21*$I$8*'Traffic Data'!BD83*annualizationFactor</f>
        <v>6.7131003621528</v>
      </c>
      <c r="AC621" s="777">
        <f>$E$21*$I$8*'Traffic Data'!BE83*annualizationFactor</f>
        <v>6.8053640800838</v>
      </c>
      <c r="AD621" s="777">
        <f>$E$21*$I$8*'Traffic Data'!BF83*annualizationFactor</f>
        <v>6.8976277980147991</v>
      </c>
      <c r="AE621" s="777">
        <f>$E$21*$I$8*'Traffic Data'!BG83*annualizationFactor</f>
        <v>6.9899064284587995</v>
      </c>
      <c r="AF621" s="777">
        <f>$E$21*$I$8*'Traffic Data'!BH83*annualizationFactor</f>
        <v>7.0821701463898004</v>
      </c>
      <c r="AG621" s="777">
        <f>$E$21*$I$8*'Traffic Data'!BI83*annualizationFactor</f>
        <v>7.1744338643208021</v>
      </c>
      <c r="AH621" s="778">
        <f>$E$21*$I$8*'Traffic Data'!BJ83*annualizationFactor</f>
        <v>7.2667124947648007</v>
      </c>
      <c r="AI621" s="24"/>
      <c r="AJ621" s="24"/>
      <c r="AK621" s="24"/>
      <c r="AL621" s="24"/>
      <c r="AM621" s="24"/>
    </row>
    <row r="622" spans="2:39" ht="21.95" customHeight="1" x14ac:dyDescent="0.2">
      <c r="B622" s="1346"/>
      <c r="C622" s="254" t="s">
        <v>348</v>
      </c>
      <c r="D622" s="254" t="s">
        <v>349</v>
      </c>
      <c r="E622" s="254" t="s">
        <v>19</v>
      </c>
      <c r="F622" s="254" t="s">
        <v>43</v>
      </c>
      <c r="G622" s="779"/>
      <c r="H622" s="779"/>
      <c r="I622" s="777">
        <f>$E$21*$I$8*'Traffic Data'!AK84*annualizationFactor</f>
        <v>6.8171487999999991</v>
      </c>
      <c r="J622" s="777">
        <f>$E$21*$I$8*'Traffic Data'!AL84*annualizationFactor</f>
        <v>6.9799827901649998</v>
      </c>
      <c r="K622" s="777">
        <f>$E$21*$I$8*'Traffic Data'!AM84*annualizationFactor</f>
        <v>7.206173656989999</v>
      </c>
      <c r="L622" s="777">
        <f>$E$21*$I$8*'Traffic Data'!AN84*annualizationFactor</f>
        <v>7.5065755795799989</v>
      </c>
      <c r="M622" s="777">
        <f>$E$21*$I$8*'Traffic Data'!AO84*annualizationFactor</f>
        <v>7.8070627165300008</v>
      </c>
      <c r="N622" s="777">
        <f>$E$21*$I$8*'Traffic Data'!AP84*annualizationFactor</f>
        <v>8.1075711570699998</v>
      </c>
      <c r="O622" s="777">
        <f>$E$21*$I$8*'Traffic Data'!AQ84*annualizationFactor</f>
        <v>8.4079730796599996</v>
      </c>
      <c r="P622" s="777">
        <f>$E$21*$I$8*'Traffic Data'!AR84*annualizationFactor</f>
        <v>8.7085454309700019</v>
      </c>
      <c r="Q622" s="777">
        <f>$E$21*$I$8*'Traffic Data'!AS84*annualizationFactor</f>
        <v>8.9954195739100005</v>
      </c>
      <c r="R622" s="777">
        <f>$E$21*$I$8*'Traffic Data'!AT84*annualizationFactor</f>
        <v>9.2823043686449989</v>
      </c>
      <c r="S622" s="777">
        <f>$E$21*$I$8*'Traffic Data'!AU84*annualizationFactor</f>
        <v>9.5691785115849992</v>
      </c>
      <c r="T622" s="777">
        <f>$E$21*$I$8*'Traffic Data'!AV84*annualizationFactor</f>
        <v>9.8560526545249996</v>
      </c>
      <c r="U622" s="777">
        <f>$E$21*$I$8*'Traffic Data'!AW84*annualizationFactor</f>
        <v>10.143097226185001</v>
      </c>
      <c r="V622" s="777">
        <f>$E$21*$I$8*'Traffic Data'!AX84*annualizationFactor</f>
        <v>10.355675098999999</v>
      </c>
      <c r="W622" s="777">
        <f>$E$21*$I$8*'Traffic Data'!AY84*annualizationFactor</f>
        <v>10.518509089165001</v>
      </c>
      <c r="X622" s="777">
        <f>$E$21*$I$8*'Traffic Data'!AZ84*annualizationFactor</f>
        <v>10.681343079329999</v>
      </c>
      <c r="Y622" s="777">
        <f>$E$21*$I$8*'Traffic Data'!BA84*annualizationFactor</f>
        <v>10.844177069494998</v>
      </c>
      <c r="Z622" s="777">
        <f>$E$21*$I$8*'Traffic Data'!BB84*annualizationFactor</f>
        <v>11.007043015044999</v>
      </c>
      <c r="AA622" s="777">
        <f>$E$21*$I$8*'Traffic Data'!BC84*annualizationFactor</f>
        <v>11.169877005209997</v>
      </c>
      <c r="AB622" s="777">
        <f>$E$21*$I$8*'Traffic Data'!BD84*annualizationFactor</f>
        <v>11.33274295076</v>
      </c>
      <c r="AC622" s="777">
        <f>$E$21*$I$8*'Traffic Data'!BE84*annualizationFactor</f>
        <v>11.495576940925</v>
      </c>
      <c r="AD622" s="777">
        <f>$E$21*$I$8*'Traffic Data'!BF84*annualizationFactor</f>
        <v>11.65841093109</v>
      </c>
      <c r="AE622" s="777">
        <f>$E$21*$I$8*'Traffic Data'!BG84*annualizationFactor</f>
        <v>11.821276876639999</v>
      </c>
      <c r="AF622" s="777">
        <f>$E$21*$I$8*'Traffic Data'!BH84*annualizationFactor</f>
        <v>11.984110866804999</v>
      </c>
      <c r="AG622" s="777">
        <f>$E$21*$I$8*'Traffic Data'!BI84*annualizationFactor</f>
        <v>12.146944856969998</v>
      </c>
      <c r="AH622" s="778">
        <f>$E$21*$I$8*'Traffic Data'!BJ84*annualizationFactor</f>
        <v>12.309810802519998</v>
      </c>
      <c r="AI622" s="24"/>
      <c r="AJ622" s="24"/>
      <c r="AK622" s="24"/>
      <c r="AL622" s="24"/>
      <c r="AM622" s="24"/>
    </row>
    <row r="623" spans="2:39" ht="21.95" customHeight="1" x14ac:dyDescent="0.2">
      <c r="B623" s="492" t="s">
        <v>288</v>
      </c>
      <c r="C623" s="116" t="s">
        <v>323</v>
      </c>
      <c r="D623" s="116" t="s">
        <v>348</v>
      </c>
      <c r="E623" s="116" t="s">
        <v>19</v>
      </c>
      <c r="F623" s="116" t="s">
        <v>43</v>
      </c>
      <c r="G623" s="970"/>
      <c r="H623" s="970"/>
      <c r="I623" s="775">
        <f>$E$21*$J$8*'Traffic Data'!AK85*annualizationFactor</f>
        <v>0.54780660000000003</v>
      </c>
      <c r="J623" s="775">
        <f>$E$21*$J$8*'Traffic Data'!AL85*annualizationFactor</f>
        <v>0.58149061916</v>
      </c>
      <c r="K623" s="775">
        <f>$E$21*$J$8*'Traffic Data'!AM85*annualizationFactor</f>
        <v>0.62606685954999997</v>
      </c>
      <c r="L623" s="775">
        <f>$E$21*$J$8*'Traffic Data'!AN85*annualizationFactor</f>
        <v>0.68530605659999988</v>
      </c>
      <c r="M623" s="775">
        <f>$E$21*$J$8*'Traffic Data'!AO85*annualizationFactor</f>
        <v>0.74456351386999986</v>
      </c>
      <c r="N623" s="775">
        <f>$E$21*$J$8*'Traffic Data'!AP85*annualizationFactor</f>
        <v>0.80394879267999997</v>
      </c>
      <c r="O623" s="775">
        <f>$E$21*$J$8*'Traffic Data'!AQ85*annualizationFactor</f>
        <v>0.86318798972999988</v>
      </c>
      <c r="P623" s="775">
        <f>$E$21*$J$8*'Traffic Data'!AR85*annualizationFactor</f>
        <v>0.92249109754999981</v>
      </c>
      <c r="Q623" s="775">
        <f>$E$21*$J$8*'Traffic Data'!AS85*annualizationFactor</f>
        <v>0.97656569570999996</v>
      </c>
      <c r="R623" s="775">
        <f>$E$21*$J$8*'Traffic Data'!AT85*annualizationFactor</f>
        <v>1.0305946433200002</v>
      </c>
      <c r="S623" s="775">
        <f>$E$21*$J$8*'Traffic Data'!AU85*annualizationFactor</f>
        <v>1.0846722848499999</v>
      </c>
      <c r="T623" s="775">
        <f>$E$21*$J$8*'Traffic Data'!AV85*annualizationFactor</f>
        <v>1.13874688301</v>
      </c>
      <c r="U623" s="775">
        <f>$E$21*$J$8*'Traffic Data'!AW85*annualizationFactor</f>
        <v>1.19301321348</v>
      </c>
      <c r="V623" s="775">
        <f>$E$21*$J$8*'Traffic Data'!AX85*annualizationFactor</f>
        <v>1.2323822477999999</v>
      </c>
      <c r="W623" s="775">
        <f>$E$21*$J$8*'Traffic Data'!AY85*annualizationFactor</f>
        <v>1.26606626696</v>
      </c>
      <c r="X623" s="775">
        <f>$E$21*$J$8*'Traffic Data'!AZ85*annualizationFactor</f>
        <v>1.2997502861199997</v>
      </c>
      <c r="Y623" s="775">
        <f>$E$21*$J$8*'Traffic Data'!BA85*annualizationFactor</f>
        <v>1.3334343052799997</v>
      </c>
      <c r="Z623" s="775">
        <f>$E$21*$J$8*'Traffic Data'!BB85*annualizationFactor</f>
        <v>1.3671548448799999</v>
      </c>
      <c r="AA623" s="775">
        <f>$E$21*$J$8*'Traffic Data'!BC85*annualizationFactor</f>
        <v>1.4008388640399996</v>
      </c>
      <c r="AB623" s="775">
        <f>$E$21*$J$8*'Traffic Data'!BD85*annualizationFactor</f>
        <v>1.4346050541899997</v>
      </c>
      <c r="AC623" s="775">
        <f>$E$21*$J$8*'Traffic Data'!BE85*annualizationFactor</f>
        <v>1.4682890733499998</v>
      </c>
      <c r="AD623" s="775">
        <f>$E$21*$J$8*'Traffic Data'!BF85*annualizationFactor</f>
        <v>1.5019730925099999</v>
      </c>
      <c r="AE623" s="775">
        <f>$E$21*$J$8*'Traffic Data'!BG85*annualizationFactor</f>
        <v>1.5356936321099997</v>
      </c>
      <c r="AF623" s="775">
        <f>$E$21*$J$8*'Traffic Data'!BH85*annualizationFactor</f>
        <v>1.5693776512700002</v>
      </c>
      <c r="AG623" s="775">
        <f>$E$21*$J$8*'Traffic Data'!BI85*annualizationFactor</f>
        <v>1.6030616704299998</v>
      </c>
      <c r="AH623" s="776">
        <f>$E$21*$J$8*'Traffic Data'!BJ85*annualizationFactor</f>
        <v>1.6368278605799997</v>
      </c>
      <c r="AI623" s="24"/>
      <c r="AJ623" s="24"/>
      <c r="AK623" s="24"/>
      <c r="AL623" s="24"/>
      <c r="AM623" s="24"/>
    </row>
    <row r="624" spans="2:39" ht="21.95" customHeight="1" x14ac:dyDescent="0.2">
      <c r="B624" s="782" t="s">
        <v>340</v>
      </c>
      <c r="C624" s="277" t="s">
        <v>335</v>
      </c>
      <c r="D624" s="277" t="s">
        <v>323</v>
      </c>
      <c r="E624" s="277" t="s">
        <v>19</v>
      </c>
      <c r="F624" s="277" t="s">
        <v>43</v>
      </c>
      <c r="G624" s="780"/>
      <c r="H624" s="780"/>
      <c r="I624" s="775">
        <f>$E$21*$K$8*'Traffic Data'!AK86*annualizationFactor</f>
        <v>0</v>
      </c>
      <c r="J624" s="775">
        <f>$E$21*$K$8*'Traffic Data'!AL86*annualizationFactor</f>
        <v>0.91875517827279995</v>
      </c>
      <c r="K624" s="775">
        <f>$E$21*$K$8*'Traffic Data'!AM86*annualizationFactor</f>
        <v>0.98918563808900017</v>
      </c>
      <c r="L624" s="775">
        <f>$E$21*$K$8*'Traffic Data'!AN86*annualizationFactor</f>
        <v>1.0827835694279999</v>
      </c>
      <c r="M624" s="775">
        <f>$E$21*$K$8*'Traffic Data'!AO86*annualizationFactor</f>
        <v>1.1764103519145999</v>
      </c>
      <c r="N624" s="775">
        <f>$E$21*$K$8*'Traffic Data'!AP86*annualizationFactor</f>
        <v>1.2702390924344003</v>
      </c>
      <c r="O624" s="775">
        <f>$E$21*$K$8*'Traffic Data'!AQ86*annualizationFactor</f>
        <v>1.3638370237733997</v>
      </c>
      <c r="P624" s="775">
        <f>$E$21*$K$8*'Traffic Data'!AR86*annualizationFactor</f>
        <v>1.4575359341289997</v>
      </c>
      <c r="Q624" s="775">
        <f>$E$21*$K$8*'Traffic Data'!AS86*annualizationFactor</f>
        <v>1.5429737992218</v>
      </c>
      <c r="R624" s="775">
        <f>$E$21*$K$8*'Traffic Data'!AT86*annualizationFactor</f>
        <v>1.6283395364455999</v>
      </c>
      <c r="S624" s="775">
        <f>$E$21*$K$8*'Traffic Data'!AU86*annualizationFactor</f>
        <v>1.7137822100629996</v>
      </c>
      <c r="T624" s="775">
        <f>$E$21*$K$8*'Traffic Data'!AV86*annualizationFactor</f>
        <v>1.7992200751557998</v>
      </c>
      <c r="U624" s="775">
        <f>$E$21*$K$8*'Traffic Data'!AW86*annualizationFactor</f>
        <v>1.8849608772983999</v>
      </c>
      <c r="V624" s="775">
        <f>$E$21*$K$8*'Traffic Data'!AX86*annualizationFactor</f>
        <v>1.9471639515240002</v>
      </c>
      <c r="W624" s="775">
        <f>$E$21*$K$8*'Traffic Data'!AY86*annualizationFactor</f>
        <v>2.0003847017968002</v>
      </c>
      <c r="X624" s="775">
        <f>$E$21*$K$8*'Traffic Data'!AZ86*annualizationFactor</f>
        <v>2.0536054520695997</v>
      </c>
      <c r="Y624" s="775">
        <f>$E$21*$K$8*'Traffic Data'!BA86*annualizationFactor</f>
        <v>2.1068262023423996</v>
      </c>
      <c r="Z624" s="775">
        <f>$E$21*$K$8*'Traffic Data'!BB86*annualizationFactor</f>
        <v>2.1601046549103997</v>
      </c>
      <c r="AA624" s="775">
        <f>$E$21*$K$8*'Traffic Data'!BC86*annualizationFactor</f>
        <v>2.2133254051831996</v>
      </c>
      <c r="AB624" s="775">
        <f>$E$21*$K$8*'Traffic Data'!BD86*annualizationFactor</f>
        <v>2.2666759856201999</v>
      </c>
      <c r="AC624" s="775">
        <f>$E$21*$K$8*'Traffic Data'!BE86*annualizationFactor</f>
        <v>2.3198967358929994</v>
      </c>
      <c r="AD624" s="775">
        <f>$E$21*$K$8*'Traffic Data'!BF86*annualizationFactor</f>
        <v>2.3731174861657998</v>
      </c>
      <c r="AE624" s="775">
        <f>$E$21*$K$8*'Traffic Data'!BG86*annualizationFactor</f>
        <v>2.4263959387337994</v>
      </c>
      <c r="AF624" s="775">
        <f>$E$21*$K$8*'Traffic Data'!BH86*annualizationFactor</f>
        <v>2.4796166890066003</v>
      </c>
      <c r="AG624" s="775">
        <f>$E$21*$K$8*'Traffic Data'!BI86*annualizationFactor</f>
        <v>2.5328374392793993</v>
      </c>
      <c r="AH624" s="776">
        <f>$E$21*$K$8*'Traffic Data'!BJ86*annualizationFactor</f>
        <v>2.5861880197163996</v>
      </c>
      <c r="AI624" s="24"/>
      <c r="AJ624" s="24"/>
      <c r="AK624" s="24"/>
      <c r="AL624" s="24"/>
      <c r="AM624" s="24"/>
    </row>
    <row r="625" spans="2:39" ht="21.95" customHeight="1" x14ac:dyDescent="0.2">
      <c r="B625" s="782" t="s">
        <v>357</v>
      </c>
      <c r="C625" s="277" t="s">
        <v>338</v>
      </c>
      <c r="D625" s="277" t="s">
        <v>323</v>
      </c>
      <c r="E625" s="116" t="s">
        <v>19</v>
      </c>
      <c r="F625" s="116" t="s">
        <v>43</v>
      </c>
      <c r="G625" s="970"/>
      <c r="H625" s="970"/>
      <c r="I625" s="775">
        <f>$E$21*$L$8*'Traffic Data'!AK87*annualizationFactor</f>
        <v>1.0159322399999999</v>
      </c>
      <c r="J625" s="775">
        <f>$E$21*$L$8*'Traffic Data'!AL87*annualizationFactor</f>
        <v>1.0298815540619999</v>
      </c>
      <c r="K625" s="775">
        <f>$E$21*$L$8*'Traffic Data'!AM87*annualizationFactor</f>
        <v>1.0539930125579999</v>
      </c>
      <c r="L625" s="775">
        <f>$E$21*$L$8*'Traffic Data'!AN87*annualizationFactor</f>
        <v>1.0870954713780001</v>
      </c>
      <c r="M625" s="775">
        <f>$E$21*$L$8*'Traffic Data'!AO87*annualizationFactor</f>
        <v>1.120212040368</v>
      </c>
      <c r="N625" s="775">
        <f>$E$21*$L$8*'Traffic Data'!AP87*annualizationFactor</f>
        <v>1.1533765839359997</v>
      </c>
      <c r="O625" s="775">
        <f>$E$21*$L$8*'Traffic Data'!AQ87*annualizationFactor</f>
        <v>1.1864790427559999</v>
      </c>
      <c r="P625" s="775">
        <f>$E$21*$L$8*'Traffic Data'!AR87*annualizationFactor</f>
        <v>1.2196972049699999</v>
      </c>
      <c r="Q625" s="775">
        <f>$E$21*$L$8*'Traffic Data'!AS87*annualizationFactor</f>
        <v>1.242733468512</v>
      </c>
      <c r="R625" s="775">
        <f>$E$21*$L$8*'Traffic Data'!AT87*annualizationFactor</f>
        <v>1.2657725540879998</v>
      </c>
      <c r="S625" s="775">
        <f>$E$21*$L$8*'Traffic Data'!AU87*annualizationFactor</f>
        <v>1.288814461698</v>
      </c>
      <c r="T625" s="775">
        <f>$E$21*$L$8*'Traffic Data'!AV87*annualizationFactor</f>
        <v>1.3118507252400002</v>
      </c>
      <c r="U625" s="775">
        <f>$E$21*$L$8*'Traffic Data'!AW87*annualizationFactor</f>
        <v>1.3350506667539999</v>
      </c>
      <c r="V625" s="775">
        <f>$E$21*$L$8*'Traffic Data'!AX87*annualizationFactor</f>
        <v>1.3489999808159998</v>
      </c>
      <c r="W625" s="775">
        <f>$E$21*$L$8*'Traffic Data'!AY87*annualizationFactor</f>
        <v>1.3629492948779995</v>
      </c>
      <c r="X625" s="775">
        <f>$E$21*$L$8*'Traffic Data'!AZ87*annualizationFactor</f>
        <v>1.3768986089400002</v>
      </c>
      <c r="Y625" s="775">
        <f>$E$21*$L$8*'Traffic Data'!BA87*annualizationFactor</f>
        <v>1.3908479230019997</v>
      </c>
      <c r="Z625" s="775">
        <f>$E$21*$L$8*'Traffic Data'!BB87*annualizationFactor</f>
        <v>1.40489318622</v>
      </c>
      <c r="AA625" s="775">
        <f>$E$21*$L$8*'Traffic Data'!BC87*annualizationFactor</f>
        <v>1.418842500282</v>
      </c>
      <c r="AB625" s="775">
        <f>$E$21*$L$8*'Traffic Data'!BD87*annualizationFactor</f>
        <v>1.4328454329900002</v>
      </c>
      <c r="AC625" s="775">
        <f>$E$21*$L$8*'Traffic Data'!BE87*annualizationFactor</f>
        <v>1.4467947470519997</v>
      </c>
      <c r="AD625" s="775">
        <f>$E$21*$L$8*'Traffic Data'!BF87*annualizationFactor</f>
        <v>1.4607440611140001</v>
      </c>
      <c r="AE625" s="775">
        <f>$E$21*$L$8*'Traffic Data'!BG87*annualizationFactor</f>
        <v>1.4747893243319998</v>
      </c>
      <c r="AF625" s="775">
        <f>$E$21*$L$8*'Traffic Data'!BH87*annualizationFactor</f>
        <v>1.488738638394</v>
      </c>
      <c r="AG625" s="775">
        <f>$E$21*$L$8*'Traffic Data'!BI87*annualizationFactor</f>
        <v>1.502687952456</v>
      </c>
      <c r="AH625" s="776">
        <f>$E$21*$L$8*'Traffic Data'!BJ87*annualizationFactor</f>
        <v>1.516690885164</v>
      </c>
      <c r="AI625" s="24"/>
      <c r="AJ625" s="24"/>
      <c r="AK625" s="24"/>
      <c r="AL625" s="24"/>
      <c r="AM625" s="24"/>
    </row>
    <row r="626" spans="2:39" ht="21.95" customHeight="1" x14ac:dyDescent="0.2">
      <c r="B626" s="492" t="s">
        <v>338</v>
      </c>
      <c r="C626" s="116" t="s">
        <v>282</v>
      </c>
      <c r="D626" s="116" t="s">
        <v>357</v>
      </c>
      <c r="E626" s="220" t="s">
        <v>19</v>
      </c>
      <c r="F626" s="220" t="s">
        <v>43</v>
      </c>
      <c r="G626" s="775"/>
      <c r="H626" s="775"/>
      <c r="I626" s="775">
        <f>$E$21*$M$8*'Traffic Data'!AK88*annualizationFactor</f>
        <v>3.6485856249999999</v>
      </c>
      <c r="J626" s="775">
        <f>$E$21*$M$8*'Traffic Data'!AL88*annualizationFactor</f>
        <v>3.7537634028118756</v>
      </c>
      <c r="K626" s="775">
        <f>$E$21*$M$8*'Traffic Data'!AM88*annualizationFactor</f>
        <v>3.8676065714831251</v>
      </c>
      <c r="L626" s="775">
        <f>$E$21*$M$8*'Traffic Data'!AN88*annualizationFactor</f>
        <v>4.0186397734300003</v>
      </c>
      <c r="M626" s="775">
        <f>$E$21*$M$8*'Traffic Data'!AO88*annualizationFactor</f>
        <v>4.1696985154762496</v>
      </c>
      <c r="N626" s="775">
        <f>$E$21*$M$8*'Traffic Data'!AP88*annualizationFactor</f>
        <v>4.3208192834781247</v>
      </c>
      <c r="O626" s="775">
        <f>$E$21*$M$8*'Traffic Data'!AQ88*annualizationFactor</f>
        <v>4.4718524854250008</v>
      </c>
      <c r="P626" s="775">
        <f>$E$21*$M$8*'Traffic Data'!AR88*annualizationFactor</f>
        <v>4.6229258218137508</v>
      </c>
      <c r="Q626" s="775">
        <f>$E$21*$M$8*'Traffic Data'!AS88*annualizationFactor</f>
        <v>4.7891626800600005</v>
      </c>
      <c r="R626" s="775">
        <f>$E$21*$M$8*'Traffic Data'!AT88*annualizationFactor</f>
        <v>4.9553448095218746</v>
      </c>
      <c r="S626" s="775">
        <f>$E$21*$M$8*'Traffic Data'!AU88*annualizationFactor</f>
        <v>5.1215816677681252</v>
      </c>
      <c r="T626" s="775">
        <f>$E$21*$M$8*'Traffic Data'!AV88*annualizationFactor</f>
        <v>5.2878185260143749</v>
      </c>
      <c r="U626" s="775">
        <f>$E$21*$M$8*'Traffic Data'!AW88*annualizationFactor</f>
        <v>5.4541502474868757</v>
      </c>
      <c r="V626" s="775">
        <f>$E$21*$M$8*'Traffic Data'!AX88*annualizationFactor</f>
        <v>5.5831824781149999</v>
      </c>
      <c r="W626" s="775">
        <f>$E$21*$M$8*'Traffic Data'!AY88*annualizationFactor</f>
        <v>5.6883602559268747</v>
      </c>
      <c r="X626" s="775">
        <f>$E$21*$M$8*'Traffic Data'!AZ88*annualizationFactor</f>
        <v>5.7935380337387503</v>
      </c>
      <c r="Y626" s="775">
        <f>$E$21*$M$8*'Traffic Data'!BA88*annualizationFactor</f>
        <v>5.898715811550626</v>
      </c>
      <c r="Z626" s="775">
        <f>$E$21*$M$8*'Traffic Data'!BB88*annualizationFactor</f>
        <v>6.0038826436056256</v>
      </c>
      <c r="AA626" s="775">
        <f>$E$21*$M$8*'Traffic Data'!BC88*annualizationFactor</f>
        <v>6.1090604214174986</v>
      </c>
      <c r="AB626" s="775">
        <f>$E$21*$M$8*'Traffic Data'!BD88*annualizationFactor</f>
        <v>6.2142272534724974</v>
      </c>
      <c r="AC626" s="775">
        <f>$E$21*$M$8*'Traffic Data'!BE88*annualizationFactor</f>
        <v>6.3194050312843757</v>
      </c>
      <c r="AD626" s="775">
        <f>$E$21*$M$8*'Traffic Data'!BF88*annualizationFactor</f>
        <v>6.4245828090962513</v>
      </c>
      <c r="AE626" s="775">
        <f>$E$21*$M$8*'Traffic Data'!BG88*annualizationFactor</f>
        <v>6.529749641151251</v>
      </c>
      <c r="AF626" s="775">
        <f>$E$21*$M$8*'Traffic Data'!BH88*annualizationFactor</f>
        <v>6.6349274189631249</v>
      </c>
      <c r="AG626" s="775">
        <f>$E$21*$M$8*'Traffic Data'!BI88*annualizationFactor</f>
        <v>6.7401051967749996</v>
      </c>
      <c r="AH626" s="776">
        <f>$E$21*$M$8*'Traffic Data'!BJ88*annualizationFactor</f>
        <v>6.8452720288300011</v>
      </c>
      <c r="AI626" s="24"/>
      <c r="AJ626" s="24"/>
      <c r="AK626" s="24"/>
      <c r="AL626" s="24"/>
      <c r="AM626" s="24"/>
    </row>
    <row r="627" spans="2:39" ht="21.95" customHeight="1" x14ac:dyDescent="0.2">
      <c r="B627" s="492"/>
      <c r="C627" s="116" t="s">
        <v>357</v>
      </c>
      <c r="D627" s="116" t="s">
        <v>346</v>
      </c>
      <c r="E627" s="116" t="s">
        <v>19</v>
      </c>
      <c r="F627" s="116" t="s">
        <v>43</v>
      </c>
      <c r="G627" s="970"/>
      <c r="H627" s="970"/>
      <c r="I627" s="777">
        <f>$E$21*$M$8*'Traffic Data'!AK89*annualizationFactor</f>
        <v>0.5313677908333333</v>
      </c>
      <c r="J627" s="777">
        <f>$E$21*$M$8*'Traffic Data'!AL89*annualizationFactor</f>
        <v>0.5464488477389583</v>
      </c>
      <c r="K627" s="777">
        <f>$E$21*$M$8*'Traffic Data'!AM89*annualizationFactor</f>
        <v>0.56318483564577082</v>
      </c>
      <c r="L627" s="777">
        <f>$E$21*$M$8*'Traffic Data'!AN89*annualizationFactor</f>
        <v>0.58667548700947902</v>
      </c>
      <c r="M627" s="777">
        <f>$E$21*$M$8*'Traffic Data'!AO89*annualizationFactor</f>
        <v>0.6101703333820625</v>
      </c>
      <c r="N627" s="777">
        <f>$E$21*$M$8*'Traffic Data'!AP89*annualizationFactor</f>
        <v>0.63367007393166652</v>
      </c>
      <c r="O627" s="777">
        <f>$E$21*$M$8*'Traffic Data'!AQ89*annualizationFactor</f>
        <v>0.65716072529537495</v>
      </c>
      <c r="P627" s="777">
        <f>$E$21*$M$8*'Traffic Data'!AR89*annualizationFactor</f>
        <v>0.68065277499537491</v>
      </c>
      <c r="Q627" s="777">
        <f>$E$21*$M$8*'Traffic Data'!AS89*annualizationFactor</f>
        <v>0.70705686002277091</v>
      </c>
      <c r="R627" s="777">
        <f>$E$21*$M$8*'Traffic Data'!AT89*annualizationFactor</f>
        <v>0.73345185586427075</v>
      </c>
      <c r="S627" s="777">
        <f>$E$21*$M$8*'Traffic Data'!AU89*annualizationFactor</f>
        <v>0.75985594089166641</v>
      </c>
      <c r="T627" s="777">
        <f>$E$21*$M$8*'Traffic Data'!AV89*annualizationFactor</f>
        <v>0.7862600259190623</v>
      </c>
      <c r="U627" s="777">
        <f>$E$21*$M$8*'Traffic Data'!AW89*annualizationFactor</f>
        <v>0.81266830595533335</v>
      </c>
      <c r="V627" s="777">
        <f>$E$21*$M$8*'Traffic Data'!AX89*annualizationFactor</f>
        <v>0.83232052419841651</v>
      </c>
      <c r="W627" s="777">
        <f>$E$21*$M$8*'Traffic Data'!AY89*annualizationFactor</f>
        <v>0.84740158110404162</v>
      </c>
      <c r="X627" s="777">
        <f>$E$21*$M$8*'Traffic Data'!AZ89*annualizationFactor</f>
        <v>0.86248263800966674</v>
      </c>
      <c r="Y627" s="777">
        <f>$E$21*$M$8*'Traffic Data'!BA89*annualizationFactor</f>
        <v>0.87756369491529151</v>
      </c>
      <c r="Z627" s="777">
        <f>$E$21*$M$8*'Traffic Data'!BB89*annualizationFactor</f>
        <v>0.89263706097131224</v>
      </c>
      <c r="AA627" s="777">
        <f>$E$21*$M$8*'Traffic Data'!BC89*annualizationFactor</f>
        <v>0.90771811787693735</v>
      </c>
      <c r="AB627" s="777">
        <f>$E$21*$M$8*'Traffic Data'!BD89*annualizationFactor</f>
        <v>0.92279148393295829</v>
      </c>
      <c r="AC627" s="777">
        <f>$E$21*$M$8*'Traffic Data'!BE89*annualizationFactor</f>
        <v>0.93787254083858318</v>
      </c>
      <c r="AD627" s="777">
        <f>$E$21*$M$8*'Traffic Data'!BF89*annualizationFactor</f>
        <v>0.95295359774420829</v>
      </c>
      <c r="AE627" s="777">
        <f>$E$21*$M$8*'Traffic Data'!BG89*annualizationFactor</f>
        <v>0.96802696380022901</v>
      </c>
      <c r="AF627" s="777">
        <f>$E$21*$M$8*'Traffic Data'!BH89*annualizationFactor</f>
        <v>0.98310802070585412</v>
      </c>
      <c r="AG627" s="777">
        <f>$E$21*$M$8*'Traffic Data'!BI89*annualizationFactor</f>
        <v>0.9981890776114789</v>
      </c>
      <c r="AH627" s="778">
        <f>$E$21*$M$8*'Traffic Data'!BJ89*annualizationFactor</f>
        <v>1.0132624436674997</v>
      </c>
      <c r="AI627" s="24"/>
      <c r="AJ627" s="24"/>
      <c r="AK627" s="24"/>
      <c r="AL627" s="24"/>
      <c r="AM627" s="24"/>
    </row>
    <row r="628" spans="2:39" ht="21.95" customHeight="1" x14ac:dyDescent="0.2">
      <c r="B628" s="492"/>
      <c r="C628" s="116" t="s">
        <v>346</v>
      </c>
      <c r="D628" s="116" t="s">
        <v>343</v>
      </c>
      <c r="E628" s="116" t="s">
        <v>19</v>
      </c>
      <c r="F628" s="116" t="s">
        <v>43</v>
      </c>
      <c r="G628" s="970"/>
      <c r="H628" s="970"/>
      <c r="I628" s="777">
        <f>$E$21*$M$8*'Traffic Data'!AK90*annualizationFactor</f>
        <v>0.13141824999999999</v>
      </c>
      <c r="J628" s="777">
        <f>$E$21*$M$8*'Traffic Data'!AL90*annualizationFactor</f>
        <v>0.1351481074375</v>
      </c>
      <c r="K628" s="777">
        <f>$E$21*$M$8*'Traffic Data'!AM90*annualizationFactor</f>
        <v>0.13928726355624999</v>
      </c>
      <c r="L628" s="777">
        <f>$E$21*$M$8*'Traffic Data'!AN90*annualizationFactor</f>
        <v>0.14509698771874999</v>
      </c>
      <c r="M628" s="777">
        <f>$E$21*$M$8*'Traffic Data'!AO90*annualizationFactor</f>
        <v>0.15090774939374998</v>
      </c>
      <c r="N628" s="777">
        <f>$E$21*$M$8*'Traffic Data'!AP90*annualizationFactor</f>
        <v>0.15671972149999996</v>
      </c>
      <c r="O628" s="777">
        <f>$E$21*$M$8*'Traffic Data'!AQ90*annualizationFactor</f>
        <v>0.16252944566249999</v>
      </c>
      <c r="P628" s="777">
        <f>$E$21*$M$8*'Traffic Data'!AR90*annualizationFactor</f>
        <v>0.16833951566250002</v>
      </c>
      <c r="Q628" s="777">
        <f>$E$21*$M$8*'Traffic Data'!AS90*annualizationFactor</f>
        <v>0.17486979225625002</v>
      </c>
      <c r="R628" s="777">
        <f>$E$21*$M$8*'Traffic Data'!AT90*annualizationFactor</f>
        <v>0.18139782090624998</v>
      </c>
      <c r="S628" s="777">
        <f>$E$21*$M$8*'Traffic Data'!AU90*annualizationFactor</f>
        <v>0.18792809749999997</v>
      </c>
      <c r="T628" s="777">
        <f>$E$21*$M$8*'Traffic Data'!AV90*annualizationFactor</f>
        <v>0.19445837409374997</v>
      </c>
      <c r="U628" s="777">
        <f>$E$21*$M$8*'Traffic Data'!AW90*annualizationFactor</f>
        <v>0.20098968819999999</v>
      </c>
      <c r="V628" s="777">
        <f>$E$21*$M$8*'Traffic Data'!AX90*annualizationFactor</f>
        <v>0.20585008842499997</v>
      </c>
      <c r="W628" s="777">
        <f>$E$21*$M$8*'Traffic Data'!AY90*annualizationFactor</f>
        <v>0.20957994586249998</v>
      </c>
      <c r="X628" s="777">
        <f>$E$21*$M$8*'Traffic Data'!AZ90*annualizationFactor</f>
        <v>0.21330980329999999</v>
      </c>
      <c r="Y628" s="777">
        <f>$E$21*$M$8*'Traffic Data'!BA90*annualizationFactor</f>
        <v>0.21703966073749995</v>
      </c>
      <c r="Z628" s="777">
        <f>$E$21*$M$8*'Traffic Data'!BB90*annualizationFactor</f>
        <v>0.22076761606874995</v>
      </c>
      <c r="AA628" s="777">
        <f>$E$21*$M$8*'Traffic Data'!BC90*annualizationFactor</f>
        <v>0.22449747350624996</v>
      </c>
      <c r="AB628" s="777">
        <f>$E$21*$M$8*'Traffic Data'!BD90*annualizationFactor</f>
        <v>0.22822542883749999</v>
      </c>
      <c r="AC628" s="777">
        <f>$E$21*$M$8*'Traffic Data'!BE90*annualizationFactor</f>
        <v>0.23195528627499998</v>
      </c>
      <c r="AD628" s="777">
        <f>$E$21*$M$8*'Traffic Data'!BF90*annualizationFactor</f>
        <v>0.23568514371249996</v>
      </c>
      <c r="AE628" s="777">
        <f>$E$21*$M$8*'Traffic Data'!BG90*annualizationFactor</f>
        <v>0.23941309904374994</v>
      </c>
      <c r="AF628" s="777">
        <f>$E$21*$M$8*'Traffic Data'!BH90*annualizationFactor</f>
        <v>0.24314295648124998</v>
      </c>
      <c r="AG628" s="777">
        <f>$E$21*$M$8*'Traffic Data'!BI90*annualizationFactor</f>
        <v>0.24687281391874993</v>
      </c>
      <c r="AH628" s="778">
        <f>$E$21*$M$8*'Traffic Data'!BJ90*annualizationFactor</f>
        <v>0.25060076924999991</v>
      </c>
      <c r="AI628" s="24"/>
      <c r="AJ628" s="24"/>
      <c r="AK628" s="24"/>
      <c r="AL628" s="24"/>
      <c r="AM628" s="24"/>
    </row>
    <row r="629" spans="2:39" ht="21.95" customHeight="1" x14ac:dyDescent="0.2">
      <c r="B629" s="492"/>
      <c r="C629" s="116" t="s">
        <v>343</v>
      </c>
      <c r="D629" s="116" t="s">
        <v>350</v>
      </c>
      <c r="E629" s="116" t="s">
        <v>19</v>
      </c>
      <c r="F629" s="116" t="s">
        <v>43</v>
      </c>
      <c r="G629" s="970"/>
      <c r="H629" s="970"/>
      <c r="I629" s="777">
        <f>$E$21*$M$8*'Traffic Data'!AK91*annualizationFactor</f>
        <v>0.33719156250000004</v>
      </c>
      <c r="J629" s="777">
        <f>$E$21*$M$8*'Traffic Data'!AL91*annualizationFactor</f>
        <v>0.34675319124062498</v>
      </c>
      <c r="K629" s="777">
        <f>$E$21*$M$8*'Traffic Data'!AM91*annualizationFactor</f>
        <v>0.35764841261093744</v>
      </c>
      <c r="L629" s="777">
        <f>$E$21*$M$8*'Traffic Data'!AN91*annualizationFactor</f>
        <v>0.37156992825468749</v>
      </c>
      <c r="M629" s="777">
        <f>$E$21*$M$8*'Traffic Data'!AO91*annualizationFactor</f>
        <v>0.38549593978593749</v>
      </c>
      <c r="N629" s="777">
        <f>$E$21*$M$8*'Traffic Data'!AP91*annualizationFactor</f>
        <v>0.39941970337343757</v>
      </c>
      <c r="O629" s="777">
        <f>$E$21*$M$8*'Traffic Data'!AQ91*annualizationFactor</f>
        <v>0.41334121901718757</v>
      </c>
      <c r="P629" s="777">
        <f>$E$21*$M$8*'Traffic Data'!AR91*annualizationFactor</f>
        <v>0.42726554459062505</v>
      </c>
      <c r="Q629" s="777">
        <f>$E$21*$M$8*'Traffic Data'!AS91*annualizationFactor</f>
        <v>0.443003398784375</v>
      </c>
      <c r="R629" s="777">
        <f>$E$21*$M$8*'Traffic Data'!AT91*annualizationFactor</f>
        <v>0.45874069099218745</v>
      </c>
      <c r="S629" s="777">
        <f>$E$21*$M$8*'Traffic Data'!AU91*annualizationFactor</f>
        <v>0.47447629724218748</v>
      </c>
      <c r="T629" s="777">
        <f>$E$21*$M$8*'Traffic Data'!AV91*annualizationFactor</f>
        <v>0.4902141514359375</v>
      </c>
      <c r="U629" s="777">
        <f>$E$21*$M$8*'Traffic Data'!AW91*annualizationFactor</f>
        <v>0.50595481555937494</v>
      </c>
      <c r="V629" s="777">
        <f>$E$21*$M$8*'Traffic Data'!AX91*annualizationFactor</f>
        <v>0.51866581349375007</v>
      </c>
      <c r="W629" s="777">
        <f>$E$21*$M$8*'Traffic Data'!AY91*annualizationFactor</f>
        <v>0.52822744223437512</v>
      </c>
      <c r="X629" s="777">
        <f>$E$21*$M$8*'Traffic Data'!AZ91*annualizationFactor</f>
        <v>0.53778907097500017</v>
      </c>
      <c r="Y629" s="777">
        <f>$E$21*$M$8*'Traffic Data'!BA91*annualizationFactor</f>
        <v>0.54735069971562511</v>
      </c>
      <c r="Z629" s="777">
        <f>$E$21*$M$8*'Traffic Data'!BB91*annualizationFactor</f>
        <v>0.55690951852656256</v>
      </c>
      <c r="AA629" s="777">
        <f>$E$21*$M$8*'Traffic Data'!BC91*annualizationFactor</f>
        <v>0.56647114726718739</v>
      </c>
      <c r="AB629" s="777">
        <f>$E$21*$M$8*'Traffic Data'!BD91*annualizationFactor</f>
        <v>0.57602996607812484</v>
      </c>
      <c r="AC629" s="777">
        <f>$E$21*$M$8*'Traffic Data'!BE91*annualizationFactor</f>
        <v>0.58559159481874989</v>
      </c>
      <c r="AD629" s="777">
        <f>$E$21*$M$8*'Traffic Data'!BF91*annualizationFactor</f>
        <v>0.59515322355937483</v>
      </c>
      <c r="AE629" s="777">
        <f>$E$21*$M$8*'Traffic Data'!BG91*annualizationFactor</f>
        <v>0.60471204237031229</v>
      </c>
      <c r="AF629" s="777">
        <f>$E$21*$M$8*'Traffic Data'!BH91*annualizationFactor</f>
        <v>0.61427367111093745</v>
      </c>
      <c r="AG629" s="777">
        <f>$E$21*$M$8*'Traffic Data'!BI91*annualizationFactor</f>
        <v>0.62383529985156227</v>
      </c>
      <c r="AH629" s="778">
        <f>$E$21*$M$8*'Traffic Data'!BJ91*annualizationFactor</f>
        <v>0.63339411866249973</v>
      </c>
      <c r="AI629" s="24"/>
      <c r="AJ629" s="24"/>
      <c r="AK629" s="24"/>
      <c r="AL629" s="24"/>
      <c r="AM629" s="24"/>
    </row>
    <row r="630" spans="2:39" ht="21.95" customHeight="1" x14ac:dyDescent="0.2">
      <c r="B630" s="492"/>
      <c r="C630" s="116" t="s">
        <v>350</v>
      </c>
      <c r="D630" s="116" t="s">
        <v>280</v>
      </c>
      <c r="E630" s="116" t="s">
        <v>19</v>
      </c>
      <c r="F630" s="116" t="s">
        <v>43</v>
      </c>
      <c r="G630" s="970"/>
      <c r="H630" s="970"/>
      <c r="I630" s="777">
        <f>$E$21*$M$8*'Traffic Data'!AK92*annualizationFactor</f>
        <v>2.7995545624999996</v>
      </c>
      <c r="J630" s="777">
        <f>$E$21*$M$8*'Traffic Data'!AL92*annualizationFactor</f>
        <v>2.8789405980439589</v>
      </c>
      <c r="K630" s="777">
        <f>$E$21*$M$8*'Traffic Data'!AM92*annualizationFactor</f>
        <v>2.9693988718826039</v>
      </c>
      <c r="L630" s="777">
        <f>$E$21*$M$8*'Traffic Data'!AN92*annualizationFactor</f>
        <v>3.0849831479196879</v>
      </c>
      <c r="M630" s="777">
        <f>$E$21*$M$8*'Traffic Data'!AO92*annualizationFactor</f>
        <v>3.2006047513509377</v>
      </c>
      <c r="N630" s="777">
        <f>$E$21*$M$8*'Traffic Data'!AP92*annualizationFactor</f>
        <v>3.3162076910851059</v>
      </c>
      <c r="O630" s="777">
        <f>$E$21*$M$8*'Traffic Data'!AQ92*annualizationFactor</f>
        <v>3.4317919671221877</v>
      </c>
      <c r="P630" s="777">
        <f>$E$21*$M$8*'Traffic Data'!AR92*annualizationFactor</f>
        <v>3.5473995727806256</v>
      </c>
      <c r="Q630" s="777">
        <f>$E$21*$M$8*'Traffic Data'!AS92*annualizationFactor</f>
        <v>3.6780641160610417</v>
      </c>
      <c r="R630" s="777">
        <f>$E$21*$M$8*'Traffic Data'!AT92*annualizationFactor</f>
        <v>3.8087239934171877</v>
      </c>
      <c r="S630" s="777">
        <f>$E$21*$M$8*'Traffic Data'!AU92*annualizationFactor</f>
        <v>3.9393698730005209</v>
      </c>
      <c r="T630" s="777">
        <f>$E$21*$M$8*'Traffic Data'!AV92*annualizationFactor</f>
        <v>4.0700344162809383</v>
      </c>
      <c r="U630" s="777">
        <f>$E$21*$M$8*'Traffic Data'!AW92*annualizationFactor</f>
        <v>4.2007222891827078</v>
      </c>
      <c r="V630" s="777">
        <f>$E$21*$M$8*'Traffic Data'!AX92*annualizationFactor</f>
        <v>4.3062561643404171</v>
      </c>
      <c r="W630" s="777">
        <f>$E$21*$M$8*'Traffic Data'!AY92*annualizationFactor</f>
        <v>4.3856421998843755</v>
      </c>
      <c r="X630" s="777">
        <f>$E$21*$M$8*'Traffic Data'!AZ92*annualizationFactor</f>
        <v>4.4650282354283339</v>
      </c>
      <c r="Y630" s="777">
        <f>$E$21*$M$8*'Traffic Data'!BA92*annualizationFactor</f>
        <v>4.5444142709722923</v>
      </c>
      <c r="Z630" s="777">
        <f>$E$21*$M$8*'Traffic Data'!BB92*annualizationFactor</f>
        <v>4.6237769768948969</v>
      </c>
      <c r="AA630" s="777">
        <f>$E$21*$M$8*'Traffic Data'!BC92*annualizationFactor</f>
        <v>4.7031630124388526</v>
      </c>
      <c r="AB630" s="777">
        <f>$E$21*$M$8*'Traffic Data'!BD92*annualizationFactor</f>
        <v>4.7825257183614571</v>
      </c>
      <c r="AC630" s="777">
        <f>$E$21*$M$8*'Traffic Data'!BE92*annualizationFactor</f>
        <v>4.8619117539054155</v>
      </c>
      <c r="AD630" s="777">
        <f>$E$21*$M$8*'Traffic Data'!BF92*annualizationFactor</f>
        <v>4.9412977894493739</v>
      </c>
      <c r="AE630" s="777">
        <f>$E$21*$M$8*'Traffic Data'!BG92*annualizationFactor</f>
        <v>5.0206604953719776</v>
      </c>
      <c r="AF630" s="777">
        <f>$E$21*$M$8*'Traffic Data'!BH92*annualizationFactor</f>
        <v>5.1000465309159368</v>
      </c>
      <c r="AG630" s="777">
        <f>$E$21*$M$8*'Traffic Data'!BI92*annualizationFactor</f>
        <v>5.1794325664598944</v>
      </c>
      <c r="AH630" s="778">
        <f>$E$21*$M$8*'Traffic Data'!BJ92*annualizationFactor</f>
        <v>5.2587952723824989</v>
      </c>
      <c r="AI630" s="24"/>
      <c r="AJ630" s="24"/>
      <c r="AK630" s="24"/>
      <c r="AL630" s="24"/>
      <c r="AM630" s="24"/>
    </row>
    <row r="631" spans="2:39" ht="21.95" customHeight="1" x14ac:dyDescent="0.2">
      <c r="B631" s="493"/>
      <c r="C631" s="254" t="s">
        <v>280</v>
      </c>
      <c r="D631" s="254" t="s">
        <v>333</v>
      </c>
      <c r="E631" s="254" t="s">
        <v>19</v>
      </c>
      <c r="F631" s="254" t="s">
        <v>43</v>
      </c>
      <c r="G631" s="779"/>
      <c r="H631" s="779"/>
      <c r="I631" s="779">
        <f>$E$21*$M$8*'Traffic Data'!AK93*annualizationFactor</f>
        <v>6.9167499999999993E-2</v>
      </c>
      <c r="J631" s="779">
        <f>$E$21*$M$8*'Traffic Data'!AL93*annualizationFactor</f>
        <v>7.1128859741666675E-2</v>
      </c>
      <c r="K631" s="779">
        <f>$E$21*$M$8*'Traffic Data'!AM93*annualizationFactor</f>
        <v>7.336377694583332E-2</v>
      </c>
      <c r="L631" s="779">
        <f>$E$21*$M$8*'Traffic Data'!AN93*annualizationFactor</f>
        <v>7.6219472462500007E-2</v>
      </c>
      <c r="M631" s="779">
        <f>$E$21*$M$8*'Traffic Data'!AO93*annualizationFactor</f>
        <v>7.9076090212499991E-2</v>
      </c>
      <c r="N631" s="779">
        <f>$E$21*$M$8*'Traffic Data'!AP93*annualizationFactor</f>
        <v>8.1932246845833362E-2</v>
      </c>
      <c r="O631" s="779">
        <f>$E$21*$M$8*'Traffic Data'!AQ93*annualizationFactor</f>
        <v>8.4787942362500021E-2</v>
      </c>
      <c r="P631" s="779">
        <f>$E$21*$M$8*'Traffic Data'!AR93*annualizationFactor</f>
        <v>8.7644214275000021E-2</v>
      </c>
      <c r="Q631" s="779">
        <f>$E$21*$M$8*'Traffic Data'!AS93*annualizationFactor</f>
        <v>9.0872492058333337E-2</v>
      </c>
      <c r="R631" s="779">
        <f>$E$21*$M$8*'Traffic Data'!AT93*annualizationFactor</f>
        <v>9.4100654562500011E-2</v>
      </c>
      <c r="S631" s="779">
        <f>$E$21*$M$8*'Traffic Data'!AU93*annualizationFactor</f>
        <v>9.7328471229166658E-2</v>
      </c>
      <c r="T631" s="779">
        <f>$E$21*$M$8*'Traffic Data'!AV93*annualizationFactor</f>
        <v>0.10055674901250003</v>
      </c>
      <c r="U631" s="779">
        <f>$E$21*$M$8*'Traffic Data'!AW93*annualizationFactor</f>
        <v>0.10378560319166666</v>
      </c>
      <c r="V631" s="779">
        <f>$E$21*$M$8*'Traffic Data'!AX93*annualizationFactor</f>
        <v>0.10639298738333335</v>
      </c>
      <c r="W631" s="779">
        <f>$E$21*$M$8*'Traffic Data'!AY93*annualizationFactor</f>
        <v>0.10835434712500003</v>
      </c>
      <c r="X631" s="779">
        <f>$E$21*$M$8*'Traffic Data'!AZ93*annualizationFactor</f>
        <v>0.1103157068666667</v>
      </c>
      <c r="Y631" s="779">
        <f>$E$21*$M$8*'Traffic Data'!BA93*annualizationFactor</f>
        <v>0.11227706660833336</v>
      </c>
      <c r="Z631" s="779">
        <f>$E$21*$M$8*'Traffic Data'!BB93*annualizationFactor</f>
        <v>0.11423784995416668</v>
      </c>
      <c r="AA631" s="779">
        <f>$E$21*$M$8*'Traffic Data'!BC93*annualizationFactor</f>
        <v>0.11619920969583329</v>
      </c>
      <c r="AB631" s="779">
        <f>$E$21*$M$8*'Traffic Data'!BD93*annualizationFactor</f>
        <v>0.11815999304166663</v>
      </c>
      <c r="AC631" s="779">
        <f>$E$21*$M$8*'Traffic Data'!BE93*annualizationFactor</f>
        <v>0.12012135278333329</v>
      </c>
      <c r="AD631" s="779">
        <f>$E$21*$M$8*'Traffic Data'!BF93*annualizationFactor</f>
        <v>0.12208271252499997</v>
      </c>
      <c r="AE631" s="779">
        <f>$E$21*$M$8*'Traffic Data'!BG93*annualizationFactor</f>
        <v>0.12404349587083331</v>
      </c>
      <c r="AF631" s="779">
        <f>$E$21*$M$8*'Traffic Data'!BH93*annualizationFactor</f>
        <v>0.12600485561249999</v>
      </c>
      <c r="AG631" s="779">
        <f>$E$21*$M$8*'Traffic Data'!BI93*annualizationFactor</f>
        <v>0.12796621535416663</v>
      </c>
      <c r="AH631" s="783">
        <f>$E$21*$M$8*'Traffic Data'!BJ93*annualizationFactor</f>
        <v>0.12992699869999999</v>
      </c>
      <c r="AI631" s="24"/>
      <c r="AJ631" s="24"/>
      <c r="AK631" s="24"/>
      <c r="AL631" s="24"/>
      <c r="AM631" s="24"/>
    </row>
    <row r="632" spans="2:39" ht="21.95" customHeight="1" x14ac:dyDescent="0.2">
      <c r="B632" s="1109" t="s">
        <v>490</v>
      </c>
      <c r="C632" s="240"/>
      <c r="D632" s="240"/>
      <c r="E632" s="240"/>
      <c r="F632" s="240"/>
      <c r="G632" s="969">
        <f>SUM(G603:G631)</f>
        <v>0</v>
      </c>
      <c r="H632" s="969">
        <f>SUM(H603:H631)</f>
        <v>0</v>
      </c>
      <c r="I632" s="785">
        <f t="shared" ref="I632:AH632" si="64">SUM(I603:I631)</f>
        <v>108.54771409358332</v>
      </c>
      <c r="J632" s="785">
        <f t="shared" si="64"/>
        <v>112.6302380414179</v>
      </c>
      <c r="K632" s="785">
        <f t="shared" si="64"/>
        <v>118.16850428041741</v>
      </c>
      <c r="L632" s="785">
        <f t="shared" si="64"/>
        <v>126.64536310580503</v>
      </c>
      <c r="M632" s="785">
        <f t="shared" si="64"/>
        <v>135.12602753050106</v>
      </c>
      <c r="N632" s="785">
        <f t="shared" si="64"/>
        <v>143.60672314201585</v>
      </c>
      <c r="O632" s="785">
        <f t="shared" si="64"/>
        <v>152.08358196740349</v>
      </c>
      <c r="P632" s="785">
        <f t="shared" si="64"/>
        <v>160.56804052043904</v>
      </c>
      <c r="Q632" s="785">
        <f t="shared" si="64"/>
        <v>168.30368421022737</v>
      </c>
      <c r="R632" s="785">
        <f t="shared" si="64"/>
        <v>176.01049800562856</v>
      </c>
      <c r="S632" s="785">
        <f t="shared" si="64"/>
        <v>183.7157159745795</v>
      </c>
      <c r="T632" s="785">
        <f t="shared" si="64"/>
        <v>191.42089979138578</v>
      </c>
      <c r="U632" s="785">
        <f t="shared" si="64"/>
        <v>199.13366812752062</v>
      </c>
      <c r="V632" s="785">
        <f t="shared" si="64"/>
        <v>203.92808271476142</v>
      </c>
      <c r="W632" s="785">
        <f t="shared" si="64"/>
        <v>207.12392105352225</v>
      </c>
      <c r="X632" s="785">
        <f t="shared" si="64"/>
        <v>210.41819493066578</v>
      </c>
      <c r="Y632" s="785">
        <f t="shared" si="64"/>
        <v>213.71246880780939</v>
      </c>
      <c r="Z632" s="785">
        <f t="shared" si="64"/>
        <v>217.00875412028142</v>
      </c>
      <c r="AA632" s="785">
        <f t="shared" si="64"/>
        <v>220.4285066333596</v>
      </c>
      <c r="AB632" s="785">
        <f t="shared" si="64"/>
        <v>223.86716286902745</v>
      </c>
      <c r="AC632" s="785">
        <f t="shared" si="64"/>
        <v>227.30387777766401</v>
      </c>
      <c r="AD632" s="785">
        <f t="shared" si="64"/>
        <v>230.74059268630074</v>
      </c>
      <c r="AE632" s="785">
        <f t="shared" si="64"/>
        <v>234.17935227204694</v>
      </c>
      <c r="AF632" s="785">
        <f t="shared" si="64"/>
        <v>237.61606718068353</v>
      </c>
      <c r="AG632" s="785">
        <f t="shared" si="64"/>
        <v>241.0527820893202</v>
      </c>
      <c r="AH632" s="786">
        <f t="shared" si="64"/>
        <v>244.49143832498797</v>
      </c>
      <c r="AI632" s="24"/>
      <c r="AJ632" s="24"/>
      <c r="AK632" s="24"/>
      <c r="AL632" s="24"/>
      <c r="AM632" s="24"/>
    </row>
    <row r="633" spans="2:39" ht="21.95" customHeight="1" x14ac:dyDescent="0.2">
      <c r="B633" s="787" t="s">
        <v>328</v>
      </c>
      <c r="C633" s="1344" t="s">
        <v>18</v>
      </c>
      <c r="D633" s="1344"/>
      <c r="E633" s="46" t="s">
        <v>24</v>
      </c>
      <c r="F633" s="46" t="s">
        <v>42</v>
      </c>
      <c r="G633" s="123" cm="1">
        <f t="array" ref="G633:AH633">year</f>
        <v>2021</v>
      </c>
      <c r="H633" s="123">
        <v>2022</v>
      </c>
      <c r="I633" s="46">
        <v>2023</v>
      </c>
      <c r="J633" s="46">
        <v>2024</v>
      </c>
      <c r="K633" s="46">
        <v>2025</v>
      </c>
      <c r="L633" s="46">
        <v>2026</v>
      </c>
      <c r="M633" s="46">
        <v>2027</v>
      </c>
      <c r="N633" s="46">
        <v>2028</v>
      </c>
      <c r="O633" s="46">
        <v>2029</v>
      </c>
      <c r="P633" s="46">
        <v>2030</v>
      </c>
      <c r="Q633" s="46">
        <v>2031</v>
      </c>
      <c r="R633" s="46">
        <v>2032</v>
      </c>
      <c r="S633" s="46">
        <v>2033</v>
      </c>
      <c r="T633" s="46">
        <v>2034</v>
      </c>
      <c r="U633" s="46">
        <v>2035</v>
      </c>
      <c r="V633" s="46">
        <v>2036</v>
      </c>
      <c r="W633" s="46">
        <v>2037</v>
      </c>
      <c r="X633" s="46">
        <v>2038</v>
      </c>
      <c r="Y633" s="46">
        <v>2039</v>
      </c>
      <c r="Z633" s="46">
        <v>2040</v>
      </c>
      <c r="AA633" s="46">
        <v>2041</v>
      </c>
      <c r="AB633" s="46">
        <v>2042</v>
      </c>
      <c r="AC633" s="46">
        <v>2043</v>
      </c>
      <c r="AD633" s="46">
        <v>2044</v>
      </c>
      <c r="AE633" s="46">
        <v>2045</v>
      </c>
      <c r="AF633" s="46">
        <v>2046</v>
      </c>
      <c r="AG633" s="46">
        <v>2047</v>
      </c>
      <c r="AH633" s="495">
        <v>2048</v>
      </c>
      <c r="AI633" s="24"/>
      <c r="AJ633" s="24"/>
      <c r="AK633" s="24"/>
      <c r="AL633" s="24"/>
      <c r="AM633" s="24"/>
    </row>
    <row r="634" spans="2:39" ht="21.95" customHeight="1" x14ac:dyDescent="0.2">
      <c r="B634" s="1346" t="s">
        <v>331</v>
      </c>
      <c r="C634" s="220" t="s">
        <v>332</v>
      </c>
      <c r="D634" s="220" t="s">
        <v>282</v>
      </c>
      <c r="E634" s="220" t="s">
        <v>467</v>
      </c>
      <c r="F634" s="220" t="s">
        <v>43</v>
      </c>
      <c r="G634" s="775"/>
      <c r="H634" s="775"/>
      <c r="I634" s="775">
        <f>$E$22*$E$9*'Traffic Data'!AK65*annualizationFactor</f>
        <v>8.3086848000000005E-2</v>
      </c>
      <c r="J634" s="775">
        <f>$E$22*$E$9*'Traffic Data'!AL65*annualizationFactor</f>
        <v>8.6864962766400017E-2</v>
      </c>
      <c r="K634" s="775">
        <f>$E$22*$E$9*'Traffic Data'!AM65*annualizationFactor</f>
        <v>9.2187973612800025E-2</v>
      </c>
      <c r="L634" s="775">
        <f>$E$22*$E$9*'Traffic Data'!AN65*annualizationFactor</f>
        <v>0.10001787045120002</v>
      </c>
      <c r="M634" s="775">
        <f>$E$22*$E$9*'Traffic Data'!AO65*annualizationFactor</f>
        <v>0.1078506234</v>
      </c>
      <c r="N634" s="775">
        <f>$E$22*$E$9*'Traffic Data'!AP65*annualizationFactor</f>
        <v>0.11568337634879999</v>
      </c>
      <c r="O634" s="775">
        <f>$E$22*$E$9*'Traffic Data'!AQ65*annualizationFactor</f>
        <v>0.1235132731872</v>
      </c>
      <c r="P634" s="775">
        <f>$E$22*$E$9*'Traffic Data'!AR65*annualizationFactor</f>
        <v>0.13134888224639998</v>
      </c>
      <c r="Q634" s="775">
        <f>$E$22*$E$9*'Traffic Data'!AS65*annualizationFactor</f>
        <v>0.13909179754080001</v>
      </c>
      <c r="R634" s="775">
        <f>$E$22*$E$9*'Traffic Data'!AT65*annualizationFactor</f>
        <v>0.1468362707136</v>
      </c>
      <c r="S634" s="775">
        <f>$E$22*$E$9*'Traffic Data'!AU65*annualizationFactor</f>
        <v>0.15457918600800002</v>
      </c>
      <c r="T634" s="775">
        <f>$E$22*$E$9*'Traffic Data'!AV65*annualizationFactor</f>
        <v>0.16232210130240002</v>
      </c>
      <c r="U634" s="775">
        <f>$E$22*$E$9*'Traffic Data'!AW65*annualizationFactor</f>
        <v>0.17007072881760002</v>
      </c>
      <c r="V634" s="775">
        <f>$E$22*$E$9*'Traffic Data'!AX65*annualizationFactor</f>
        <v>0.17530390200960005</v>
      </c>
      <c r="W634" s="775">
        <f>$E$22*$E$9*'Traffic Data'!AY65*annualizationFactor</f>
        <v>0.17908201677600002</v>
      </c>
      <c r="X634" s="775">
        <f>$E$22*$E$9*'Traffic Data'!AZ65*annualizationFactor</f>
        <v>0.1828601315424</v>
      </c>
      <c r="Y634" s="775">
        <f>$E$22*$E$9*'Traffic Data'!BA65*annualizationFactor</f>
        <v>0.18663824630880002</v>
      </c>
      <c r="Z634" s="775">
        <f>$E$22*$E$9*'Traffic Data'!BB65*annualizationFactor</f>
        <v>0.19041765930720003</v>
      </c>
      <c r="AA634" s="775">
        <f>$E$22*$E$9*'Traffic Data'!BC65*annualizationFactor</f>
        <v>0.19419577407360006</v>
      </c>
      <c r="AB634" s="775">
        <f>$E$22*$E$9*'Traffic Data'!BD65*annualizationFactor</f>
        <v>0.19797518707199996</v>
      </c>
      <c r="AC634" s="775">
        <f>$E$22*$E$9*'Traffic Data'!BE65*annualizationFactor</f>
        <v>0.20175330183840007</v>
      </c>
      <c r="AD634" s="775">
        <f>$E$22*$E$9*'Traffic Data'!BF65*annualizationFactor</f>
        <v>0.20553141660479998</v>
      </c>
      <c r="AE634" s="775">
        <f>$E$22*$E$9*'Traffic Data'!BG65*annualizationFactor</f>
        <v>0.20931082960319997</v>
      </c>
      <c r="AF634" s="775">
        <f>$E$22*$E$9*'Traffic Data'!BH65*annualizationFactor</f>
        <v>0.21308894436959999</v>
      </c>
      <c r="AG634" s="775">
        <f>$E$22*$E$9*'Traffic Data'!BI65*annualizationFactor</f>
        <v>0.21686705913599999</v>
      </c>
      <c r="AH634" s="776">
        <f>$E$22*$E$9*'Traffic Data'!BJ65*annualizationFactor</f>
        <v>0.22064647213439997</v>
      </c>
      <c r="AI634" s="24"/>
      <c r="AJ634" s="24"/>
      <c r="AK634" s="24"/>
      <c r="AL634" s="24"/>
      <c r="AM634" s="24"/>
    </row>
    <row r="635" spans="2:39" ht="21.95" customHeight="1" x14ac:dyDescent="0.2">
      <c r="B635" s="1346"/>
      <c r="C635" s="116" t="s">
        <v>282</v>
      </c>
      <c r="D635" s="116" t="s">
        <v>280</v>
      </c>
      <c r="E635" s="116" t="s">
        <v>467</v>
      </c>
      <c r="F635" s="116" t="s">
        <v>43</v>
      </c>
      <c r="G635" s="970"/>
      <c r="H635" s="970"/>
      <c r="I635" s="777">
        <f>$E$22*$E$9*'Traffic Data'!AK66*annualizationFactor</f>
        <v>2.6716869163636368</v>
      </c>
      <c r="J635" s="777">
        <f>$E$22*$E$9*'Traffic Data'!AL66*annualizationFactor</f>
        <v>2.8127124050007271</v>
      </c>
      <c r="K635" s="777">
        <f>$E$22*$E$9*'Traffic Data'!AM66*annualizationFactor</f>
        <v>3.0244089601440005</v>
      </c>
      <c r="L635" s="777">
        <f>$E$22*$E$9*'Traffic Data'!AN66*annualizationFactor</f>
        <v>3.3741624629061824</v>
      </c>
      <c r="M635" s="777">
        <f>$E$22*$E$9*'Traffic Data'!AO66*annualizationFactor</f>
        <v>3.7240742878560007</v>
      </c>
      <c r="N635" s="777">
        <f>$E$22*$E$9*'Traffic Data'!AP66*annualizationFactor</f>
        <v>4.073966322532363</v>
      </c>
      <c r="O635" s="777">
        <f>$E$22*$E$9*'Traffic Data'!AQ66*annualizationFactor</f>
        <v>4.4237198252945467</v>
      </c>
      <c r="P635" s="777">
        <f>$E$22*$E$9*'Traffic Data'!AR66*annualizationFactor</f>
        <v>4.7737899724319997</v>
      </c>
      <c r="Q635" s="777">
        <f>$E$22*$E$9*'Traffic Data'!AS66*annualizationFactor</f>
        <v>5.1269671925018185</v>
      </c>
      <c r="R635" s="777">
        <f>$E$22*$E$9*'Traffic Data'!AT66*annualizationFactor</f>
        <v>5.4802631542123637</v>
      </c>
      <c r="S635" s="777">
        <f>$E$22*$E$9*'Traffic Data'!AU66*annualizationFactor</f>
        <v>5.8334403742821817</v>
      </c>
      <c r="T635" s="777">
        <f>$E$22*$E$9*'Traffic Data'!AV66*annualizationFactor</f>
        <v>6.1866175943519996</v>
      </c>
      <c r="U635" s="777">
        <f>$E$22*$E$9*'Traffic Data'!AW66*annualizationFactor</f>
        <v>6.5401114587970914</v>
      </c>
      <c r="V635" s="777">
        <f>$E$22*$E$9*'Traffic Data'!AX66*annualizationFactor</f>
        <v>6.7550734090603655</v>
      </c>
      <c r="W635" s="777">
        <f>$E$22*$E$9*'Traffic Data'!AY66*annualizationFactor</f>
        <v>6.8960988976974535</v>
      </c>
      <c r="X635" s="777">
        <f>$E$22*$E$9*'Traffic Data'!AZ66*annualizationFactor</f>
        <v>7.0371243863345461</v>
      </c>
      <c r="Y635" s="777">
        <f>$E$22*$E$9*'Traffic Data'!BA66*annualizationFactor</f>
        <v>7.1781498749716386</v>
      </c>
      <c r="Z635" s="777">
        <f>$E$22*$E$9*'Traffic Data'!BB66*annualizationFactor</f>
        <v>7.3192545247025462</v>
      </c>
      <c r="AA635" s="777">
        <f>$E$22*$E$9*'Traffic Data'!BC66*annualizationFactor</f>
        <v>7.4602800133396361</v>
      </c>
      <c r="AB635" s="777">
        <f>$E$22*$E$9*'Traffic Data'!BD66*annualizationFactor</f>
        <v>7.6013846630705473</v>
      </c>
      <c r="AC635" s="777">
        <f>$E$22*$E$9*'Traffic Data'!BE66*annualizationFactor</f>
        <v>7.742410151707638</v>
      </c>
      <c r="AD635" s="777">
        <f>$E$22*$E$9*'Traffic Data'!BF66*annualizationFactor</f>
        <v>7.8834356403447297</v>
      </c>
      <c r="AE635" s="777">
        <f>$E$22*$E$9*'Traffic Data'!BG66*annualizationFactor</f>
        <v>8.0245402900756382</v>
      </c>
      <c r="AF635" s="777">
        <f>$E$22*$E$9*'Traffic Data'!BH66*annualizationFactor</f>
        <v>8.1655657787127272</v>
      </c>
      <c r="AG635" s="777">
        <f>$E$22*$E$9*'Traffic Data'!BI66*annualizationFactor</f>
        <v>8.3065912673498197</v>
      </c>
      <c r="AH635" s="778">
        <f>$E$22*$E$9*'Traffic Data'!BJ66*annualizationFactor</f>
        <v>8.4476959170807291</v>
      </c>
      <c r="AI635" s="24"/>
      <c r="AJ635" s="24"/>
      <c r="AK635" s="24"/>
      <c r="AL635" s="24"/>
      <c r="AM635" s="24"/>
    </row>
    <row r="636" spans="2:39" ht="21.95" customHeight="1" x14ac:dyDescent="0.2">
      <c r="B636" s="1346"/>
      <c r="C636" s="116" t="s">
        <v>280</v>
      </c>
      <c r="D636" s="116" t="s">
        <v>333</v>
      </c>
      <c r="E636" s="254" t="s">
        <v>467</v>
      </c>
      <c r="F636" s="254" t="s">
        <v>43</v>
      </c>
      <c r="G636" s="779"/>
      <c r="H636" s="779"/>
      <c r="I636" s="777">
        <f>$E$22*$E$9*'Traffic Data'!AK67*annualizationFactor</f>
        <v>6.2315136E-2</v>
      </c>
      <c r="J636" s="777">
        <f>$E$22*$E$9*'Traffic Data'!AL67*annualizationFactor</f>
        <v>6.4917312220799994E-2</v>
      </c>
      <c r="K636" s="777">
        <f>$E$22*$E$9*'Traffic Data'!AM67*annualizationFactor</f>
        <v>6.8137966166399999E-2</v>
      </c>
      <c r="L636" s="777">
        <f>$E$22*$E$9*'Traffic Data'!AN67*annualizationFactor</f>
        <v>7.2474061046400015E-2</v>
      </c>
      <c r="M636" s="777">
        <f>$E$22*$E$9*'Traffic Data'!AO67*annualizationFactor</f>
        <v>7.6811713804800022E-2</v>
      </c>
      <c r="N636" s="777">
        <f>$E$22*$E$9*'Traffic Data'!AP67*annualizationFactor</f>
        <v>8.1148847270400032E-2</v>
      </c>
      <c r="O636" s="777">
        <f>$E$22*$E$9*'Traffic Data'!AQ67*annualizationFactor</f>
        <v>8.548494215040002E-2</v>
      </c>
      <c r="P636" s="777">
        <f>$E$22*$E$9*'Traffic Data'!AR67*annualizationFactor</f>
        <v>8.9824152787200046E-2</v>
      </c>
      <c r="Q636" s="777">
        <f>$E$22*$E$9*'Traffic Data'!AS67*annualizationFactor</f>
        <v>9.4028347296000001E-2</v>
      </c>
      <c r="R636" s="777">
        <f>$E$22*$E$9*'Traffic Data'!AT67*annualizationFactor</f>
        <v>9.8234099683199988E-2</v>
      </c>
      <c r="S636" s="777">
        <f>$E$22*$E$9*'Traffic Data'!AU67*annualizationFactor</f>
        <v>0.10243829419200001</v>
      </c>
      <c r="T636" s="777">
        <f>$E$22*$E$9*'Traffic Data'!AV67*annualizationFactor</f>
        <v>0.10664248870080001</v>
      </c>
      <c r="U636" s="777">
        <f>$E$22*$E$9*'Traffic Data'!AW67*annualizationFactor</f>
        <v>0.11084979896640001</v>
      </c>
      <c r="V636" s="777">
        <f>$E$22*$E$9*'Traffic Data'!AX67*annualizationFactor</f>
        <v>0.1139369946624</v>
      </c>
      <c r="W636" s="777">
        <f>$E$22*$E$9*'Traffic Data'!AY67*annualizationFactor</f>
        <v>0.11653917088320001</v>
      </c>
      <c r="X636" s="777">
        <f>$E$22*$E$9*'Traffic Data'!AZ67*annualizationFactor</f>
        <v>0.11914134710399998</v>
      </c>
      <c r="Y636" s="777">
        <f>$E$22*$E$9*'Traffic Data'!BA67*annualizationFactor</f>
        <v>0.12174352332480001</v>
      </c>
      <c r="Z636" s="777">
        <f>$E$22*$E$9*'Traffic Data'!BB67*annualizationFactor</f>
        <v>0.12434673813120001</v>
      </c>
      <c r="AA636" s="777">
        <f>$E$22*$E$9*'Traffic Data'!BC67*annualizationFactor</f>
        <v>0.12694891435200001</v>
      </c>
      <c r="AB636" s="777">
        <f>$E$22*$E$9*'Traffic Data'!BD67*annualizationFactor</f>
        <v>0.1295521291584</v>
      </c>
      <c r="AC636" s="777">
        <f>$E$22*$E$9*'Traffic Data'!BE67*annualizationFactor</f>
        <v>0.13215430537920006</v>
      </c>
      <c r="AD636" s="777">
        <f>$E$22*$E$9*'Traffic Data'!BF67*annualizationFactor</f>
        <v>0.13475648159999998</v>
      </c>
      <c r="AE636" s="777">
        <f>$E$22*$E$9*'Traffic Data'!BG67*annualizationFactor</f>
        <v>0.13735969640640003</v>
      </c>
      <c r="AF636" s="777">
        <f>$E$22*$E$9*'Traffic Data'!BH67*annualizationFactor</f>
        <v>0.1399618726272</v>
      </c>
      <c r="AG636" s="777">
        <f>$E$22*$E$9*'Traffic Data'!BI67*annualizationFactor</f>
        <v>0.14256404884799997</v>
      </c>
      <c r="AH636" s="778">
        <f>$E$22*$E$9*'Traffic Data'!BJ67*annualizationFactor</f>
        <v>0.14516726365440002</v>
      </c>
      <c r="AI636" s="24"/>
      <c r="AJ636" s="24"/>
      <c r="AK636" s="24"/>
      <c r="AL636" s="24"/>
      <c r="AM636" s="24"/>
    </row>
    <row r="637" spans="2:39" ht="21.95" customHeight="1" x14ac:dyDescent="0.2">
      <c r="B637" s="1346" t="s">
        <v>280</v>
      </c>
      <c r="C637" s="220" t="s">
        <v>281</v>
      </c>
      <c r="D637" s="220" t="s">
        <v>335</v>
      </c>
      <c r="E637" s="116" t="s">
        <v>467</v>
      </c>
      <c r="F637" s="116" t="s">
        <v>43</v>
      </c>
      <c r="G637" s="970"/>
      <c r="H637" s="970"/>
      <c r="I637" s="775">
        <f>$E$22*$F$9*'Traffic Data'!AK68*annualizationFactor</f>
        <v>0.58082304000000007</v>
      </c>
      <c r="J637" s="775">
        <f>$E$22*$F$9*'Traffic Data'!AL68*annualizationFactor</f>
        <v>0.63957619461119997</v>
      </c>
      <c r="K637" s="775">
        <f>$E$22*$F$9*'Traffic Data'!AM68*annualizationFactor</f>
        <v>0.7709322292223999</v>
      </c>
      <c r="L637" s="775">
        <f>$E$22*$F$9*'Traffic Data'!AN68*annualizationFactor</f>
        <v>1.0347710951424001</v>
      </c>
      <c r="M637" s="775">
        <f>$E$22*$F$9*'Traffic Data'!AO68*annualizationFactor</f>
        <v>1.2987725915135997</v>
      </c>
      <c r="N637" s="775">
        <f>$E$22*$F$9*'Traffic Data'!AP68*annualizationFactor</f>
        <v>1.5627450467327997</v>
      </c>
      <c r="O637" s="775">
        <f>$E$22*$F$9*'Traffic Data'!AQ68*annualizationFactor</f>
        <v>1.8265839126527998</v>
      </c>
      <c r="P637" s="775">
        <f>$E$22*$F$9*'Traffic Data'!AR68*annualizationFactor</f>
        <v>2.0907480394751996</v>
      </c>
      <c r="Q637" s="775">
        <f>$E$22*$F$9*'Traffic Data'!AS68*annualizationFactor</f>
        <v>2.3499577457663996</v>
      </c>
      <c r="R637" s="775">
        <f>$E$22*$F$9*'Traffic Data'!AT68*annualizationFactor</f>
        <v>2.6092981372415989</v>
      </c>
      <c r="S637" s="775">
        <f>$E$22*$F$9*'Traffic Data'!AU68*annualizationFactor</f>
        <v>2.8685078435327993</v>
      </c>
      <c r="T637" s="775">
        <f>$E$22*$F$9*'Traffic Data'!AV68*annualizationFactor</f>
        <v>3.1277175498239997</v>
      </c>
      <c r="U637" s="775">
        <f>$E$22*$F$9*'Traffic Data'!AW68*annualizationFactor</f>
        <v>3.3872525170175996</v>
      </c>
      <c r="V637" s="775">
        <f>$E$22*$F$9*'Traffic Data'!AX68*annualizationFactor</f>
        <v>3.5138167615487994</v>
      </c>
      <c r="W637" s="775">
        <f>$E$22*$F$9*'Traffic Data'!AY68*annualizationFactor</f>
        <v>3.5725699161599995</v>
      </c>
      <c r="X637" s="775">
        <f>$E$22*$F$9*'Traffic Data'!AZ68*annualizationFactor</f>
        <v>3.6313230707711996</v>
      </c>
      <c r="Y637" s="775">
        <f>$E$22*$F$9*'Traffic Data'!BA68*annualizationFactor</f>
        <v>3.6900762253823989</v>
      </c>
      <c r="Z637" s="775">
        <f>$E$22*$F$9*'Traffic Data'!BB68*annualizationFactor</f>
        <v>3.7489194075648</v>
      </c>
      <c r="AA637" s="775">
        <f>$E$22*$F$9*'Traffic Data'!BC68*annualizationFactor</f>
        <v>3.8076725621760001</v>
      </c>
      <c r="AB637" s="775">
        <f>$E$22*$F$9*'Traffic Data'!BD68*annualizationFactor</f>
        <v>3.8665157443583986</v>
      </c>
      <c r="AC637" s="775">
        <f>$E$22*$F$9*'Traffic Data'!BE68*annualizationFactor</f>
        <v>3.9252688989695992</v>
      </c>
      <c r="AD637" s="775">
        <f>$E$22*$F$9*'Traffic Data'!BF68*annualizationFactor</f>
        <v>3.9840220535807993</v>
      </c>
      <c r="AE637" s="775">
        <f>$E$22*$F$9*'Traffic Data'!BG68*annualizationFactor</f>
        <v>4.0428652357632</v>
      </c>
      <c r="AF637" s="775">
        <f>$E$22*$F$9*'Traffic Data'!BH68*annualizationFactor</f>
        <v>4.1016183903743997</v>
      </c>
      <c r="AG637" s="775">
        <f>$E$22*$F$9*'Traffic Data'!BI68*annualizationFactor</f>
        <v>4.1603715449855994</v>
      </c>
      <c r="AH637" s="776">
        <f>$E$22*$F$9*'Traffic Data'!BJ68*annualizationFactor</f>
        <v>4.2192147271679987</v>
      </c>
      <c r="AI637" s="24"/>
      <c r="AJ637" s="24"/>
      <c r="AK637" s="24"/>
      <c r="AL637" s="24"/>
      <c r="AM637" s="24"/>
    </row>
    <row r="638" spans="2:39" ht="21.95" customHeight="1" x14ac:dyDescent="0.2">
      <c r="B638" s="1346"/>
      <c r="C638" s="116" t="s">
        <v>335</v>
      </c>
      <c r="D638" s="116" t="s">
        <v>323</v>
      </c>
      <c r="E638" s="116" t="s">
        <v>467</v>
      </c>
      <c r="F638" s="116" t="s">
        <v>43</v>
      </c>
      <c r="G638" s="970"/>
      <c r="H638" s="970"/>
      <c r="I638" s="777">
        <f>$E$22*$F$9*'Traffic Data'!AK69*annualizationFactor</f>
        <v>6.7276799999999998E-2</v>
      </c>
      <c r="J638" s="777">
        <f>$E$22*$F$9*'Traffic Data'!AL69*annualizationFactor</f>
        <v>7.3664171519999988E-2</v>
      </c>
      <c r="K638" s="777">
        <f>$E$22*$F$9*'Traffic Data'!AM69*annualizationFactor</f>
        <v>8.2725235199999997E-2</v>
      </c>
      <c r="L638" s="777">
        <f>$E$22*$F$9*'Traffic Data'!AN69*annualizationFactor</f>
        <v>9.7489128959999991E-2</v>
      </c>
      <c r="M638" s="777">
        <f>$E$22*$F$9*'Traffic Data'!AO69*annualizationFactor</f>
        <v>0.11225750783999999</v>
      </c>
      <c r="N638" s="777">
        <f>$E$22*$F$9*'Traffic Data'!AP69*annualizationFactor</f>
        <v>0.12702728832000001</v>
      </c>
      <c r="O638" s="777">
        <f>$E$22*$F$9*'Traffic Data'!AQ69*annualizationFactor</f>
        <v>0.14179118208000002</v>
      </c>
      <c r="P638" s="777">
        <f>$E$22*$F$9*'Traffic Data'!AR69*annualizationFactor</f>
        <v>0.15657105408000002</v>
      </c>
      <c r="Q638" s="777">
        <f>$E$22*$F$9*'Traffic Data'!AS69*annualizationFactor</f>
        <v>0.17338632959999997</v>
      </c>
      <c r="R638" s="777">
        <f>$E$22*$F$9*'Traffic Data'!AT69*annualizationFactor</f>
        <v>0.19020945408000003</v>
      </c>
      <c r="S638" s="777">
        <f>$E$22*$F$9*'Traffic Data'!AU69*annualizationFactor</f>
        <v>0.20702388864000004</v>
      </c>
      <c r="T638" s="777">
        <f>$E$22*$F$9*'Traffic Data'!AV69*annualizationFactor</f>
        <v>0.22383916416000002</v>
      </c>
      <c r="U638" s="777">
        <f>$E$22*$F$9*'Traffic Data'!AW69*annualizationFactor</f>
        <v>0.24066985727999995</v>
      </c>
      <c r="V638" s="777">
        <f>$E$22*$F$9*'Traffic Data'!AX69*annualizationFactor</f>
        <v>0.25176996864000001</v>
      </c>
      <c r="W638" s="777">
        <f>$E$22*$F$9*'Traffic Data'!AY69*annualizationFactor</f>
        <v>0.25815734015999997</v>
      </c>
      <c r="X638" s="777">
        <f>$E$22*$F$9*'Traffic Data'!AZ69*annualizationFactor</f>
        <v>0.26454471167999993</v>
      </c>
      <c r="Y638" s="777">
        <f>$E$22*$F$9*'Traffic Data'!BA69*annualizationFactor</f>
        <v>0.27093208319999995</v>
      </c>
      <c r="Z638" s="777">
        <f>$E$22*$F$9*'Traffic Data'!BB69*annualizationFactor</f>
        <v>0.27732674303999993</v>
      </c>
      <c r="AA638" s="777">
        <f>$E$22*$F$9*'Traffic Data'!BC69*annualizationFactor</f>
        <v>0.28371411455999995</v>
      </c>
      <c r="AB638" s="777">
        <f>$E$22*$F$9*'Traffic Data'!BD69*annualizationFactor</f>
        <v>0.29010877439999999</v>
      </c>
      <c r="AC638" s="777">
        <f>$E$22*$F$9*'Traffic Data'!BE69*annualizationFactor</f>
        <v>0.29649614592000001</v>
      </c>
      <c r="AD638" s="777">
        <f>$E$22*$F$9*'Traffic Data'!BF69*annualizationFactor</f>
        <v>0.30288351743999997</v>
      </c>
      <c r="AE638" s="777">
        <f>$E$22*$F$9*'Traffic Data'!BG69*annualizationFactor</f>
        <v>0.30927817727999996</v>
      </c>
      <c r="AF638" s="777">
        <f>$E$22*$F$9*'Traffic Data'!BH69*annualizationFactor</f>
        <v>0.31566554879999997</v>
      </c>
      <c r="AG638" s="777">
        <f>$E$22*$F$9*'Traffic Data'!BI69*annualizationFactor</f>
        <v>0.32205292031999999</v>
      </c>
      <c r="AH638" s="778">
        <f>$E$22*$F$9*'Traffic Data'!BJ69*annualizationFactor</f>
        <v>0.32844758015999997</v>
      </c>
      <c r="AI638" s="24"/>
      <c r="AJ638" s="24"/>
      <c r="AK638" s="24"/>
      <c r="AL638" s="24"/>
      <c r="AM638" s="24"/>
    </row>
    <row r="639" spans="2:39" ht="21.95" customHeight="1" x14ac:dyDescent="0.2">
      <c r="B639" s="1346"/>
      <c r="C639" s="254" t="s">
        <v>323</v>
      </c>
      <c r="D639" s="254" t="s">
        <v>338</v>
      </c>
      <c r="E639" s="116" t="s">
        <v>467</v>
      </c>
      <c r="F639" s="116" t="s">
        <v>43</v>
      </c>
      <c r="G639" s="970"/>
      <c r="H639" s="970"/>
      <c r="I639" s="777">
        <f>$E$22*$F$9*'Traffic Data'!AK70*annualizationFactor</f>
        <v>0.90150912000000016</v>
      </c>
      <c r="J639" s="777">
        <f>$E$22*$F$9*'Traffic Data'!AL70*annualizationFactor</f>
        <v>0.92675438039040003</v>
      </c>
      <c r="K639" s="777">
        <f>$E$22*$F$9*'Traffic Data'!AM70*annualizationFactor</f>
        <v>0.96273060433919999</v>
      </c>
      <c r="L639" s="777">
        <f>$E$22*$F$9*'Traffic Data'!AN70*annualizationFactor</f>
        <v>1.0132241301503999</v>
      </c>
      <c r="M639" s="777">
        <f>$E$22*$F$9*'Traffic Data'!AO70*annualizationFactor</f>
        <v>1.0637386911743998</v>
      </c>
      <c r="N639" s="777">
        <f>$E$22*$F$9*'Traffic Data'!AP70*annualizationFactor</f>
        <v>1.1142487446528004</v>
      </c>
      <c r="O639" s="777">
        <f>$E$22*$F$9*'Traffic Data'!AQ70*annualizationFactor</f>
        <v>1.1647422704640005</v>
      </c>
      <c r="P639" s="777">
        <f>$E$22*$F$9*'Traffic Data'!AR70*annualizationFactor</f>
        <v>1.2152763641856001</v>
      </c>
      <c r="Q639" s="777">
        <f>$E$22*$F$9*'Traffic Data'!AS70*annualizationFactor</f>
        <v>1.2662897602559999</v>
      </c>
      <c r="R639" s="777">
        <f>$E$22*$F$9*'Traffic Data'!AT70*annualizationFactor</f>
        <v>1.3173181814784001</v>
      </c>
      <c r="S639" s="777">
        <f>$E$22*$F$9*'Traffic Data'!AU70*annualizationFactor</f>
        <v>1.3683270700032</v>
      </c>
      <c r="T639" s="777">
        <f>$E$22*$F$9*'Traffic Data'!AV70*annualizationFactor</f>
        <v>1.4193404660736</v>
      </c>
      <c r="U639" s="777">
        <f>$E$22*$F$9*'Traffic Data'!AW70*annualizationFactor</f>
        <v>1.4703944300544003</v>
      </c>
      <c r="V639" s="777">
        <f>$E$22*$F$9*'Traffic Data'!AX70*annualizationFactor</f>
        <v>1.5068664840192001</v>
      </c>
      <c r="W639" s="777">
        <f>$E$22*$F$9*'Traffic Data'!AY70*annualizationFactor</f>
        <v>1.5321117444095997</v>
      </c>
      <c r="X639" s="777">
        <f>$E$22*$F$9*'Traffic Data'!AZ70*annualizationFactor</f>
        <v>1.5573570047999998</v>
      </c>
      <c r="Y639" s="777">
        <f>$E$22*$F$9*'Traffic Data'!BA70*annualizationFactor</f>
        <v>1.5826022651903997</v>
      </c>
      <c r="Z639" s="777">
        <f>$E$22*$F$9*'Traffic Data'!BB70*annualizationFactor</f>
        <v>1.6078595457024001</v>
      </c>
      <c r="AA639" s="777">
        <f>$E$22*$F$9*'Traffic Data'!BC70*annualizationFactor</f>
        <v>1.6331048060928002</v>
      </c>
      <c r="AB639" s="777">
        <f>$E$22*$F$9*'Traffic Data'!BD70*annualizationFactor</f>
        <v>1.6583620866048001</v>
      </c>
      <c r="AC639" s="777">
        <f>$E$22*$F$9*'Traffic Data'!BE70*annualizationFactor</f>
        <v>1.6836073469952002</v>
      </c>
      <c r="AD639" s="777">
        <f>$E$22*$F$9*'Traffic Data'!BF70*annualizationFactor</f>
        <v>1.7088526073856001</v>
      </c>
      <c r="AE639" s="777">
        <f>$E$22*$F$9*'Traffic Data'!BG70*annualizationFactor</f>
        <v>1.7341098878975998</v>
      </c>
      <c r="AF639" s="777">
        <f>$E$22*$F$9*'Traffic Data'!BH70*annualizationFactor</f>
        <v>1.7593551482879997</v>
      </c>
      <c r="AG639" s="777">
        <f>$E$22*$F$9*'Traffic Data'!BI70*annualizationFactor</f>
        <v>1.7846004086783998</v>
      </c>
      <c r="AH639" s="778">
        <f>$E$22*$F$9*'Traffic Data'!BJ70*annualizationFactor</f>
        <v>1.8098576891903997</v>
      </c>
      <c r="AI639" s="24"/>
      <c r="AJ639" s="24"/>
      <c r="AK639" s="24"/>
      <c r="AL639" s="24"/>
      <c r="AM639" s="24"/>
    </row>
    <row r="640" spans="2:39" ht="21.95" customHeight="1" x14ac:dyDescent="0.2">
      <c r="B640" s="492" t="s">
        <v>339</v>
      </c>
      <c r="C640" s="116" t="s">
        <v>335</v>
      </c>
      <c r="D640" s="116" t="s">
        <v>323</v>
      </c>
      <c r="E640" s="277" t="s">
        <v>467</v>
      </c>
      <c r="F640" s="277" t="s">
        <v>43</v>
      </c>
      <c r="G640" s="780"/>
      <c r="H640" s="780"/>
      <c r="I640" s="775">
        <f>$E$22*$G$9*'Traffic Data'!AK71*annualizationFactor</f>
        <v>2.6350080000000003E-3</v>
      </c>
      <c r="J640" s="775">
        <f>$E$22*$G$9*'Traffic Data'!AL71*annualizationFactor</f>
        <v>1.0944505727999999E-2</v>
      </c>
      <c r="K640" s="775">
        <f>$E$22*$G$9*'Traffic Data'!AM71*annualizationFactor</f>
        <v>9.7638903935999999E-2</v>
      </c>
      <c r="L640" s="775">
        <f>$E$22*$G$9*'Traffic Data'!AN71*annualizationFactor</f>
        <v>0.23094000614400001</v>
      </c>
      <c r="M640" s="775">
        <f>$E$22*$G$9*'Traffic Data'!AO71*annualizationFactor</f>
        <v>0.36433596864000001</v>
      </c>
      <c r="N640" s="775">
        <f>$E$22*$G$9*'Traffic Data'!AP71*annualizationFactor</f>
        <v>0.49767923097599992</v>
      </c>
      <c r="O640" s="775">
        <f>$E$22*$G$9*'Traffic Data'!AQ71*annualizationFactor</f>
        <v>0.63098033318400004</v>
      </c>
      <c r="P640" s="775">
        <f>$E$22*$G$9*'Traffic Data'!AR71*annualizationFactor</f>
        <v>0.76446456844800026</v>
      </c>
      <c r="Q640" s="775">
        <f>$E$22*$G$9*'Traffic Data'!AS71*annualizationFactor</f>
        <v>0.81944005785599994</v>
      </c>
      <c r="R640" s="775">
        <f>$E$22*$G$9*'Traffic Data'!AT71*annualizationFactor</f>
        <v>0.87445770739200002</v>
      </c>
      <c r="S640" s="775">
        <f>$E$22*$G$9*'Traffic Data'!AU71*annualizationFactor</f>
        <v>0.92946218188800001</v>
      </c>
      <c r="T640" s="775">
        <f>$E$22*$G$9*'Traffic Data'!AV71*annualizationFactor</f>
        <v>0.98443767129600013</v>
      </c>
      <c r="U640" s="775">
        <f>$E$22*$G$9*'Traffic Data'!AW71*annualizationFactor</f>
        <v>1.0395435935999999</v>
      </c>
      <c r="V640" s="775">
        <f>$E$22*$G$9*'Traffic Data'!AX71*annualizationFactor</f>
        <v>1.0478530913280002</v>
      </c>
      <c r="W640" s="775">
        <f>$E$22*$G$9*'Traffic Data'!AY71*annualizationFactor</f>
        <v>1.056162589056</v>
      </c>
      <c r="X640" s="775">
        <f>$E$22*$G$9*'Traffic Data'!AZ71*annualizationFactor</f>
        <v>1.0644720867840003</v>
      </c>
      <c r="Y640" s="775">
        <f>$E$22*$G$9*'Traffic Data'!BA71*annualizationFactor</f>
        <v>1.0727815845120001</v>
      </c>
      <c r="Z640" s="775">
        <f>$E$22*$G$9*'Traffic Data'!BB71*annualizationFactor</f>
        <v>1.0811503699200002</v>
      </c>
      <c r="AA640" s="775">
        <f>$E$22*$G$9*'Traffic Data'!BC71*annualizationFactor</f>
        <v>1.0894598676480001</v>
      </c>
      <c r="AB640" s="775">
        <f>$E$22*$G$9*'Traffic Data'!BD71*annualizationFactor</f>
        <v>1.0977957154560003</v>
      </c>
      <c r="AC640" s="775">
        <f>$E$22*$G$9*'Traffic Data'!BE71*annualizationFactor</f>
        <v>1.1061052131840001</v>
      </c>
      <c r="AD640" s="775">
        <f>$E$22*$G$9*'Traffic Data'!BF71*annualizationFactor</f>
        <v>1.1144147109120002</v>
      </c>
      <c r="AE640" s="775">
        <f>$E$22*$G$9*'Traffic Data'!BG71*annualizationFactor</f>
        <v>1.1227834963200003</v>
      </c>
      <c r="AF640" s="775">
        <f>$E$22*$G$9*'Traffic Data'!BH71*annualizationFactor</f>
        <v>1.1310929940480001</v>
      </c>
      <c r="AG640" s="775">
        <f>$E$22*$G$9*'Traffic Data'!BI71*annualizationFactor</f>
        <v>1.1394024917759999</v>
      </c>
      <c r="AH640" s="776">
        <f>$E$22*$G$9*'Traffic Data'!BJ71*annualizationFactor</f>
        <v>1.1477383395840002</v>
      </c>
      <c r="AI640" s="24"/>
      <c r="AJ640" s="24"/>
      <c r="AK640" s="24"/>
      <c r="AL640" s="24"/>
      <c r="AM640" s="24"/>
    </row>
    <row r="641" spans="2:39" ht="21.95" customHeight="1" x14ac:dyDescent="0.2">
      <c r="B641" s="1346" t="s">
        <v>323</v>
      </c>
      <c r="C641" s="220" t="s">
        <v>282</v>
      </c>
      <c r="D641" s="220" t="s">
        <v>339</v>
      </c>
      <c r="E641" s="116" t="s">
        <v>467</v>
      </c>
      <c r="F641" s="116" t="s">
        <v>43</v>
      </c>
      <c r="G641" s="970"/>
      <c r="H641" s="970"/>
      <c r="I641" s="775">
        <f>$E$22*$H$9*'Traffic Data'!AK72*annualizationFactor</f>
        <v>7.5686399999999997E-3</v>
      </c>
      <c r="J641" s="775">
        <f>$E$22*$H$9*'Traffic Data'!AL72*annualizationFactor</f>
        <v>1.6821302399999998E-2</v>
      </c>
      <c r="K641" s="775">
        <f>$E$22*$H$9*'Traffic Data'!AM72*annualizationFactor</f>
        <v>7.109601984000001E-2</v>
      </c>
      <c r="L641" s="775">
        <f>$E$22*$H$9*'Traffic Data'!AN72*annualizationFactor</f>
        <v>0.15981940223999999</v>
      </c>
      <c r="M641" s="775">
        <f>$E$22*$H$9*'Traffic Data'!AO72*annualizationFactor</f>
        <v>0.24859198080000006</v>
      </c>
      <c r="N641" s="775">
        <f>$E$22*$H$9*'Traffic Data'!AP72*annualizationFactor</f>
        <v>0.33736834367999996</v>
      </c>
      <c r="O641" s="775">
        <f>$E$22*$H$9*'Traffic Data'!AQ72*annualizationFactor</f>
        <v>0.42609172608000007</v>
      </c>
      <c r="P641" s="775">
        <f>$E$22*$H$9*'Traffic Data'!AR72*annualizationFactor</f>
        <v>0.51491728512000012</v>
      </c>
      <c r="Q641" s="775">
        <f>$E$22*$H$9*'Traffic Data'!AS72*annualizationFactor</f>
        <v>0.58341347712000013</v>
      </c>
      <c r="R641" s="775">
        <f>$E$22*$H$9*'Traffic Data'!AT72*annualizationFactor</f>
        <v>0.65192102208000013</v>
      </c>
      <c r="S641" s="775">
        <f>$E$22*$H$9*'Traffic Data'!AU72*annualizationFactor</f>
        <v>0.72041721407999992</v>
      </c>
      <c r="T641" s="775">
        <f>$E$22*$H$9*'Traffic Data'!AV72*annualizationFactor</f>
        <v>0.78891340608000005</v>
      </c>
      <c r="U641" s="775">
        <f>$E$22*$H$9*'Traffic Data'!AW72*annualizationFactor</f>
        <v>0.85750042176000008</v>
      </c>
      <c r="V641" s="775">
        <f>$E$22*$H$9*'Traffic Data'!AX72*annualizationFactor</f>
        <v>0.89149496831999997</v>
      </c>
      <c r="W641" s="775">
        <f>$E$22*$H$9*'Traffic Data'!AY72*annualizationFactor</f>
        <v>0.90074763072000019</v>
      </c>
      <c r="X641" s="775">
        <f>$E$22*$H$9*'Traffic Data'!AZ72*annualizationFactor</f>
        <v>0.91000029312000008</v>
      </c>
      <c r="Y641" s="775">
        <f>$E$22*$H$9*'Traffic Data'!BA72*annualizationFactor</f>
        <v>0.91925295552000019</v>
      </c>
      <c r="Z641" s="775">
        <f>$E$22*$H$9*'Traffic Data'!BB72*annualizationFactor</f>
        <v>0.92853210816000009</v>
      </c>
      <c r="AA641" s="775">
        <f>$E$22*$H$9*'Traffic Data'!BC72*annualizationFactor</f>
        <v>0.93778477056000009</v>
      </c>
      <c r="AB641" s="775">
        <f>$E$22*$H$9*'Traffic Data'!BD72*annualizationFactor</f>
        <v>0.94706392319999966</v>
      </c>
      <c r="AC641" s="775">
        <f>$E$22*$H$9*'Traffic Data'!BE72*annualizationFactor</f>
        <v>0.95631658559999988</v>
      </c>
      <c r="AD641" s="775">
        <f>$E$22*$H$9*'Traffic Data'!BF72*annualizationFactor</f>
        <v>0.96556924799999999</v>
      </c>
      <c r="AE641" s="775">
        <f>$E$22*$H$9*'Traffic Data'!BG72*annualizationFactor</f>
        <v>0.97484840063999989</v>
      </c>
      <c r="AF641" s="775">
        <f>$E$22*$H$9*'Traffic Data'!BH72*annualizationFactor</f>
        <v>0.98410106304</v>
      </c>
      <c r="AG641" s="775">
        <f>$E$22*$H$9*'Traffic Data'!BI72*annualizationFactor</f>
        <v>0.99335372544</v>
      </c>
      <c r="AH641" s="776">
        <f>$E$22*$H$9*'Traffic Data'!BJ72*annualizationFactor</f>
        <v>1.00263287808</v>
      </c>
      <c r="AI641" s="24"/>
      <c r="AJ641" s="24"/>
      <c r="AK641" s="24"/>
      <c r="AL641" s="24"/>
      <c r="AM641" s="24"/>
    </row>
    <row r="642" spans="2:39" ht="21.95" customHeight="1" x14ac:dyDescent="0.2">
      <c r="B642" s="1346"/>
      <c r="C642" s="116" t="s">
        <v>339</v>
      </c>
      <c r="D642" s="116" t="s">
        <v>288</v>
      </c>
      <c r="E642" s="116" t="s">
        <v>467</v>
      </c>
      <c r="F642" s="116" t="s">
        <v>43</v>
      </c>
      <c r="G642" s="970"/>
      <c r="H642" s="970"/>
      <c r="I642" s="777">
        <f>$E$22*$H$9*'Traffic Data'!AK73*annualizationFactor</f>
        <v>0</v>
      </c>
      <c r="J642" s="777">
        <f>$E$22*$H$9*'Traffic Data'!AL73*annualizationFactor</f>
        <v>5.1018240000000005E-3</v>
      </c>
      <c r="K642" s="777">
        <f>$E$22*$H$9*'Traffic Data'!AM73*annualizationFactor</f>
        <v>1.4745841152000002E-2</v>
      </c>
      <c r="L642" s="777">
        <f>$E$22*$H$9*'Traffic Data'!AN73*annualizationFactor</f>
        <v>3.3147727872000002E-2</v>
      </c>
      <c r="M642" s="777">
        <f>$E$22*$H$9*'Traffic Data'!AO73*annualizationFactor</f>
        <v>5.1559818240000013E-2</v>
      </c>
      <c r="N642" s="777">
        <f>$E$22*$H$9*'Traffic Data'!AP73*annualizationFactor</f>
        <v>6.9972693503999997E-2</v>
      </c>
      <c r="O642" s="777">
        <f>$E$22*$H$9*'Traffic Data'!AQ73*annualizationFactor</f>
        <v>8.8374580223999993E-2</v>
      </c>
      <c r="P642" s="777">
        <f>$E$22*$H$9*'Traffic Data'!AR73*annualizationFactor</f>
        <v>0.10679765913600001</v>
      </c>
      <c r="Q642" s="777">
        <f>$E$22*$H$9*'Traffic Data'!AS73*annualizationFactor</f>
        <v>0.12100427673600003</v>
      </c>
      <c r="R642" s="777">
        <f>$E$22*$H$9*'Traffic Data'!AT73*annualizationFactor</f>
        <v>0.13521324902400003</v>
      </c>
      <c r="S642" s="777">
        <f>$E$22*$H$9*'Traffic Data'!AU73*annualizationFactor</f>
        <v>0.149419866624</v>
      </c>
      <c r="T642" s="777">
        <f>$E$22*$H$9*'Traffic Data'!AV73*annualizationFactor</f>
        <v>0.163626484224</v>
      </c>
      <c r="U642" s="777">
        <f>$E$22*$H$9*'Traffic Data'!AW73*annualizationFactor</f>
        <v>0.177851939328</v>
      </c>
      <c r="V642" s="777">
        <f>$E$22*$H$9*'Traffic Data'!AX73*annualizationFactor</f>
        <v>0.18490266009600001</v>
      </c>
      <c r="W642" s="777">
        <f>$E$22*$H$9*'Traffic Data'!AY73*annualizationFactor</f>
        <v>0.18682173081600006</v>
      </c>
      <c r="X642" s="777">
        <f>$E$22*$H$9*'Traffic Data'!AZ73*annualizationFactor</f>
        <v>0.18874080153600001</v>
      </c>
      <c r="Y642" s="777">
        <f>$E$22*$H$9*'Traffic Data'!BA73*annualizationFactor</f>
        <v>0.19065987225600003</v>
      </c>
      <c r="Z642" s="777">
        <f>$E$22*$H$9*'Traffic Data'!BB73*annualizationFactor</f>
        <v>0.19258443724800003</v>
      </c>
      <c r="AA642" s="777">
        <f>$E$22*$H$9*'Traffic Data'!BC73*annualizationFactor</f>
        <v>0.19450350796800003</v>
      </c>
      <c r="AB642" s="777">
        <f>$E$22*$H$9*'Traffic Data'!BD73*annualizationFactor</f>
        <v>0.19642807295999995</v>
      </c>
      <c r="AC642" s="777">
        <f>$E$22*$H$9*'Traffic Data'!BE73*annualizationFactor</f>
        <v>0.19834714367999998</v>
      </c>
      <c r="AD642" s="777">
        <f>$E$22*$H$9*'Traffic Data'!BF73*annualizationFactor</f>
        <v>0.2002662144</v>
      </c>
      <c r="AE642" s="777">
        <f>$E$22*$H$9*'Traffic Data'!BG73*annualizationFactor</f>
        <v>0.20219077939199998</v>
      </c>
      <c r="AF642" s="777">
        <f>$E$22*$H$9*'Traffic Data'!BH73*annualizationFactor</f>
        <v>0.204109850112</v>
      </c>
      <c r="AG642" s="777">
        <f>$E$22*$H$9*'Traffic Data'!BI73*annualizationFactor</f>
        <v>0.20602892083199997</v>
      </c>
      <c r="AH642" s="778">
        <f>$E$22*$H$9*'Traffic Data'!BJ73*annualizationFactor</f>
        <v>0.207953485824</v>
      </c>
      <c r="AI642" s="24"/>
      <c r="AJ642" s="24"/>
      <c r="AK642" s="24"/>
      <c r="AL642" s="24"/>
      <c r="AM642" s="24"/>
    </row>
    <row r="643" spans="2:39" ht="21.95" customHeight="1" x14ac:dyDescent="0.2">
      <c r="B643" s="1346"/>
      <c r="C643" s="116" t="s">
        <v>288</v>
      </c>
      <c r="D643" s="116" t="s">
        <v>340</v>
      </c>
      <c r="E643" s="116" t="s">
        <v>467</v>
      </c>
      <c r="F643" s="116" t="s">
        <v>43</v>
      </c>
      <c r="G643" s="970"/>
      <c r="H643" s="970"/>
      <c r="I643" s="777">
        <f>$E$22*$H$9*'Traffic Data'!AK74*annualizationFactor</f>
        <v>0</v>
      </c>
      <c r="J643" s="777">
        <f>$E$22*$H$9*'Traffic Data'!AL74*annualizationFactor</f>
        <v>1.3301184000000001E-2</v>
      </c>
      <c r="K643" s="777">
        <f>$E$22*$H$9*'Traffic Data'!AM74*annualizationFactor</f>
        <v>3.8444514431999997E-2</v>
      </c>
      <c r="L643" s="777">
        <f>$E$22*$H$9*'Traffic Data'!AN74*annualizationFactor</f>
        <v>8.6420861951999994E-2</v>
      </c>
      <c r="M643" s="777">
        <f>$E$22*$H$9*'Traffic Data'!AO74*annualizationFactor</f>
        <v>0.13442381184000002</v>
      </c>
      <c r="N643" s="777">
        <f>$E$22*$H$9*'Traffic Data'!AP74*annualizationFactor</f>
        <v>0.18242880806399997</v>
      </c>
      <c r="O643" s="777">
        <f>$E$22*$H$9*'Traffic Data'!AQ74*annualizationFactor</f>
        <v>0.23040515558399996</v>
      </c>
      <c r="P643" s="777">
        <f>$E$22*$H$9*'Traffic Data'!AR74*annualizationFactor</f>
        <v>0.278436754176</v>
      </c>
      <c r="Q643" s="777">
        <f>$E$22*$H$9*'Traffic Data'!AS74*annualizationFactor</f>
        <v>0.31547543577600007</v>
      </c>
      <c r="R643" s="777">
        <f>$E$22*$H$9*'Traffic Data'!AT74*annualizationFactor</f>
        <v>0.35252025638400003</v>
      </c>
      <c r="S643" s="777">
        <f>$E$22*$H$9*'Traffic Data'!AU74*annualizationFactor</f>
        <v>0.38955893798399993</v>
      </c>
      <c r="T643" s="777">
        <f>$E$22*$H$9*'Traffic Data'!AV74*annualizationFactor</f>
        <v>0.42659761958399994</v>
      </c>
      <c r="U643" s="777">
        <f>$E$22*$H$9*'Traffic Data'!AW74*annualizationFactor</f>
        <v>0.46368541324800006</v>
      </c>
      <c r="V643" s="777">
        <f>$E$22*$H$9*'Traffic Data'!AX74*annualizationFactor</f>
        <v>0.48206764953600001</v>
      </c>
      <c r="W643" s="777">
        <f>$E$22*$H$9*'Traffic Data'!AY74*annualizationFactor</f>
        <v>0.48707094105599996</v>
      </c>
      <c r="X643" s="777">
        <f>$E$22*$H$9*'Traffic Data'!AZ74*annualizationFactor</f>
        <v>0.49207423257599997</v>
      </c>
      <c r="Y643" s="777">
        <f>$E$22*$H$9*'Traffic Data'!BA74*annualizationFactor</f>
        <v>0.49707752409600003</v>
      </c>
      <c r="Z643" s="777">
        <f>$E$22*$H$9*'Traffic Data'!BB74*annualizationFactor</f>
        <v>0.50209513996800015</v>
      </c>
      <c r="AA643" s="777">
        <f>$E$22*$H$9*'Traffic Data'!BC74*annualizationFactor</f>
        <v>0.50709843148800005</v>
      </c>
      <c r="AB643" s="777">
        <f>$E$22*$H$9*'Traffic Data'!BD74*annualizationFactor</f>
        <v>0.51211604735999983</v>
      </c>
      <c r="AC643" s="777">
        <f>$E$22*$H$9*'Traffic Data'!BE74*annualizationFactor</f>
        <v>0.51711933887999995</v>
      </c>
      <c r="AD643" s="777">
        <f>$E$22*$H$9*'Traffic Data'!BF74*annualizationFactor</f>
        <v>0.52212263039999995</v>
      </c>
      <c r="AE643" s="777">
        <f>$E$22*$H$9*'Traffic Data'!BG74*annualizationFactor</f>
        <v>0.52714024627199985</v>
      </c>
      <c r="AF643" s="777">
        <f>$E$22*$H$9*'Traffic Data'!BH74*annualizationFactor</f>
        <v>0.53214353779199985</v>
      </c>
      <c r="AG643" s="777">
        <f>$E$22*$H$9*'Traffic Data'!BI74*annualizationFactor</f>
        <v>0.53714682931199997</v>
      </c>
      <c r="AH643" s="778">
        <f>$E$22*$H$9*'Traffic Data'!BJ74*annualizationFactor</f>
        <v>0.54216444518399987</v>
      </c>
      <c r="AI643" s="24"/>
      <c r="AJ643" s="24"/>
      <c r="AK643" s="24"/>
      <c r="AL643" s="24"/>
      <c r="AM643" s="24"/>
    </row>
    <row r="644" spans="2:39" ht="21.95" customHeight="1" x14ac:dyDescent="0.2">
      <c r="B644" s="1346"/>
      <c r="C644" s="254" t="s">
        <v>340</v>
      </c>
      <c r="D644" s="254" t="s">
        <v>280</v>
      </c>
      <c r="E644" s="116" t="s">
        <v>467</v>
      </c>
      <c r="F644" s="116" t="s">
        <v>43</v>
      </c>
      <c r="G644" s="970"/>
      <c r="H644" s="970"/>
      <c r="I644" s="777">
        <f>$E$22*$H$9*'Traffic Data'!AK75*annualizationFactor</f>
        <v>1.7660160000000001E-2</v>
      </c>
      <c r="J644" s="777">
        <f>$E$22*$H$9*'Traffic Data'!AL75*annualizationFactor</f>
        <v>2.6099950464000002E-2</v>
      </c>
      <c r="K644" s="777">
        <f>$E$22*$H$9*'Traffic Data'!AM75*annualizationFactor</f>
        <v>3.6614221056000006E-2</v>
      </c>
      <c r="L644" s="777">
        <f>$E$22*$H$9*'Traffic Data'!AN75*annualizationFactor</f>
        <v>5.9127393024000004E-2</v>
      </c>
      <c r="M644" s="777">
        <f>$E$22*$H$9*'Traffic Data'!AO75*annualizationFactor</f>
        <v>8.1643508352000016E-2</v>
      </c>
      <c r="N644" s="777">
        <f>$E$22*$H$9*'Traffic Data'!AP75*annualizationFactor</f>
        <v>0.10416904243200001</v>
      </c>
      <c r="O644" s="777">
        <f>$E$22*$H$9*'Traffic Data'!AQ75*annualizationFactor</f>
        <v>0.12668221439999999</v>
      </c>
      <c r="P644" s="777">
        <f>$E$22*$H$9*'Traffic Data'!AR75*annualizationFactor</f>
        <v>0.149183612928</v>
      </c>
      <c r="Q644" s="777">
        <f>$E$22*$H$9*'Traffic Data'!AS75*annualizationFactor</f>
        <v>0.19436536627199999</v>
      </c>
      <c r="R644" s="777">
        <f>$E$22*$H$9*'Traffic Data'!AT75*annualizationFactor</f>
        <v>0.239521218048</v>
      </c>
      <c r="S644" s="777">
        <f>$E$22*$H$9*'Traffic Data'!AU75*annualizationFactor</f>
        <v>0.28468707724800002</v>
      </c>
      <c r="T644" s="777">
        <f>$E$22*$H$9*'Traffic Data'!AV75*annualizationFactor</f>
        <v>0.32986883059200001</v>
      </c>
      <c r="U644" s="777">
        <f>$E$22*$H$9*'Traffic Data'!AW75*annualizationFactor</f>
        <v>0.37503881049600002</v>
      </c>
      <c r="V644" s="777">
        <f>$E$22*$H$9*'Traffic Data'!AX75*annualizationFactor</f>
        <v>0.40822048511999998</v>
      </c>
      <c r="W644" s="777">
        <f>$E$22*$H$9*'Traffic Data'!AY75*annualizationFactor</f>
        <v>0.41666027558399998</v>
      </c>
      <c r="X644" s="777">
        <f>$E$22*$H$9*'Traffic Data'!AZ75*annualizationFactor</f>
        <v>0.42510006604800005</v>
      </c>
      <c r="Y644" s="777">
        <f>$E$22*$H$9*'Traffic Data'!BA75*annualizationFactor</f>
        <v>0.43353985651199994</v>
      </c>
      <c r="Z644" s="777">
        <f>$E$22*$H$9*'Traffic Data'!BB75*annualizationFactor</f>
        <v>0.4419543340799999</v>
      </c>
      <c r="AA644" s="777">
        <f>$E$22*$H$9*'Traffic Data'!BC75*annualizationFactor</f>
        <v>0.45039412454400002</v>
      </c>
      <c r="AB644" s="777">
        <f>$E$22*$H$9*'Traffic Data'!BD75*annualizationFactor</f>
        <v>0.45880860211199997</v>
      </c>
      <c r="AC644" s="777">
        <f>$E$22*$H$9*'Traffic Data'!BE75*annualizationFactor</f>
        <v>0.46724839257599998</v>
      </c>
      <c r="AD644" s="777">
        <f>$E$22*$H$9*'Traffic Data'!BF75*annualizationFactor</f>
        <v>0.47568818303999999</v>
      </c>
      <c r="AE644" s="777">
        <f>$E$22*$H$9*'Traffic Data'!BG75*annualizationFactor</f>
        <v>0.48410266060799995</v>
      </c>
      <c r="AF644" s="777">
        <f>$E$22*$H$9*'Traffic Data'!BH75*annualizationFactor</f>
        <v>0.4925424510719999</v>
      </c>
      <c r="AG644" s="777">
        <f>$E$22*$H$9*'Traffic Data'!BI75*annualizationFactor</f>
        <v>0.50098224153600002</v>
      </c>
      <c r="AH644" s="778">
        <f>$E$22*$H$9*'Traffic Data'!BJ75*annualizationFactor</f>
        <v>0.50939671910399997</v>
      </c>
      <c r="AI644" s="24"/>
      <c r="AJ644" s="24"/>
      <c r="AK644" s="24"/>
      <c r="AL644" s="24"/>
      <c r="AM644" s="24"/>
    </row>
    <row r="645" spans="2:39" ht="21.95" customHeight="1" x14ac:dyDescent="0.2">
      <c r="B645" s="1346" t="s">
        <v>334</v>
      </c>
      <c r="C645" s="116" t="s">
        <v>336</v>
      </c>
      <c r="D645" s="116" t="s">
        <v>337</v>
      </c>
      <c r="E645" s="220" t="s">
        <v>467</v>
      </c>
      <c r="F645" s="220" t="s">
        <v>43</v>
      </c>
      <c r="G645" s="775"/>
      <c r="H645" s="775"/>
      <c r="I645" s="775">
        <f>$E$22*$I$9*'Traffic Data'!AK76*annualizationFactor</f>
        <v>0.35320319999999999</v>
      </c>
      <c r="J645" s="775">
        <f>$E$22*$I$9*'Traffic Data'!AL76*annualizationFactor</f>
        <v>0.36298692863999998</v>
      </c>
      <c r="K645" s="775">
        <f>$E$22*$I$9*'Traffic Data'!AM76*annualizationFactor</f>
        <v>0.37877637312000001</v>
      </c>
      <c r="L645" s="775">
        <f>$E$22*$I$9*'Traffic Data'!AN76*annualizationFactor</f>
        <v>0.40133344320000003</v>
      </c>
      <c r="M645" s="775">
        <f>$E$22*$I$9*'Traffic Data'!AO76*annualizationFactor</f>
        <v>0.42390060480000014</v>
      </c>
      <c r="N645" s="775">
        <f>$E$22*$I$9*'Traffic Data'!AP76*annualizationFactor</f>
        <v>0.44646650496000012</v>
      </c>
      <c r="O645" s="775">
        <f>$E$22*$I$9*'Traffic Data'!AQ76*annualizationFactor</f>
        <v>0.4690235750400002</v>
      </c>
      <c r="P645" s="775">
        <f>$E$22*$I$9*'Traffic Data'!AR76*annualizationFactor</f>
        <v>0.49160082816000006</v>
      </c>
      <c r="Q645" s="775">
        <f>$E$22*$I$9*'Traffic Data'!AS76*annualizationFactor</f>
        <v>0.51169682879999989</v>
      </c>
      <c r="R645" s="775">
        <f>$E$22*$I$9*'Traffic Data'!AT76*annualizationFactor</f>
        <v>0.53179913664</v>
      </c>
      <c r="S645" s="775">
        <f>$E$22*$I$9*'Traffic Data'!AU76*annualizationFactor</f>
        <v>0.55189513727999995</v>
      </c>
      <c r="T645" s="775">
        <f>$E$22*$I$9*'Traffic Data'!AV76*annualizationFactor</f>
        <v>0.57199113792</v>
      </c>
      <c r="U645" s="775">
        <f>$E$22*$I$9*'Traffic Data'!AW76*annualizationFactor</f>
        <v>0.59210732160000001</v>
      </c>
      <c r="V645" s="775">
        <f>$E$22*$I$9*'Traffic Data'!AX76*annualizationFactor</f>
        <v>0.60542560511999999</v>
      </c>
      <c r="W645" s="775">
        <f>$E$22*$I$9*'Traffic Data'!AY76*annualizationFactor</f>
        <v>0.61520933375999998</v>
      </c>
      <c r="X645" s="775">
        <f>$E$22*$I$9*'Traffic Data'!AZ76*annualizationFactor</f>
        <v>0.62499306239999997</v>
      </c>
      <c r="Y645" s="775">
        <f>$E$22*$I$9*'Traffic Data'!BA76*annualizationFactor</f>
        <v>0.63477679103999995</v>
      </c>
      <c r="Z645" s="775">
        <f>$E$22*$I$9*'Traffic Data'!BB76*annualizationFactor</f>
        <v>0.64456682688</v>
      </c>
      <c r="AA645" s="775">
        <f>$E$22*$I$9*'Traffic Data'!BC76*annualizationFactor</f>
        <v>0.6543505555200001</v>
      </c>
      <c r="AB645" s="775">
        <f>$E$22*$I$9*'Traffic Data'!BD76*annualizationFactor</f>
        <v>0.66414059135999992</v>
      </c>
      <c r="AC645" s="775">
        <f>$E$22*$I$9*'Traffic Data'!BE76*annualizationFactor</f>
        <v>0.67392431999999991</v>
      </c>
      <c r="AD645" s="775">
        <f>$E$22*$I$9*'Traffic Data'!BF76*annualizationFactor</f>
        <v>0.6837080486399999</v>
      </c>
      <c r="AE645" s="775">
        <f>$E$22*$I$9*'Traffic Data'!BG76*annualizationFactor</f>
        <v>0.69349808447999994</v>
      </c>
      <c r="AF645" s="775">
        <f>$E$22*$I$9*'Traffic Data'!BH76*annualizationFactor</f>
        <v>0.70328181311999982</v>
      </c>
      <c r="AG645" s="775">
        <f>$E$22*$I$9*'Traffic Data'!BI76*annualizationFactor</f>
        <v>0.71306554175999992</v>
      </c>
      <c r="AH645" s="776">
        <f>$E$22*$I$9*'Traffic Data'!BJ76*annualizationFactor</f>
        <v>0.72285557759999997</v>
      </c>
      <c r="AI645" s="24"/>
      <c r="AJ645" s="24"/>
      <c r="AK645" s="24"/>
      <c r="AL645" s="24"/>
      <c r="AM645" s="24"/>
    </row>
    <row r="646" spans="2:39" ht="21.95" customHeight="1" x14ac:dyDescent="0.2">
      <c r="B646" s="1346"/>
      <c r="C646" s="116" t="s">
        <v>337</v>
      </c>
      <c r="D646" s="116" t="s">
        <v>386</v>
      </c>
      <c r="E646" s="116" t="s">
        <v>467</v>
      </c>
      <c r="F646" s="116" t="s">
        <v>43</v>
      </c>
      <c r="G646" s="970"/>
      <c r="H646" s="970"/>
      <c r="I646" s="777">
        <f>$E$22*$I$9*'Traffic Data'!AK77*annualizationFactor</f>
        <v>0.55503360000000002</v>
      </c>
      <c r="J646" s="777">
        <f>$E$22*$I$9*'Traffic Data'!AL77*annualizationFactor</f>
        <v>0.55586615039999998</v>
      </c>
      <c r="K646" s="777">
        <f>$E$22*$I$9*'Traffic Data'!AM77*annualizationFactor</f>
        <v>0.55669870079999983</v>
      </c>
      <c r="L646" s="777">
        <f>$E$22*$I$9*'Traffic Data'!AN77*annualizationFactor</f>
        <v>0.55753125119999991</v>
      </c>
      <c r="M646" s="777">
        <f>$E$22*$I$9*'Traffic Data'!AO77*annualizationFactor</f>
        <v>0.55836380159999999</v>
      </c>
      <c r="N646" s="777">
        <f>$E$22*$I$9*'Traffic Data'!AP77*annualizationFactor</f>
        <v>0.55919635200000006</v>
      </c>
      <c r="O646" s="777">
        <f>$E$22*$I$9*'Traffic Data'!AQ77*annualizationFactor</f>
        <v>0.56002890239999992</v>
      </c>
      <c r="P646" s="777">
        <f>$E$22*$I$9*'Traffic Data'!AR77*annualizationFactor</f>
        <v>0.56086145279999999</v>
      </c>
      <c r="Q646" s="777">
        <f>$E$22*$I$9*'Traffic Data'!AS77*annualizationFactor</f>
        <v>0.56169400319999996</v>
      </c>
      <c r="R646" s="777">
        <f>$E$22*$I$9*'Traffic Data'!AT77*annualizationFactor</f>
        <v>0.56169400319999996</v>
      </c>
      <c r="S646" s="777">
        <f>$E$22*$I$9*'Traffic Data'!AU77*annualizationFactor</f>
        <v>0.56169400319999996</v>
      </c>
      <c r="T646" s="777">
        <f>$E$22*$I$9*'Traffic Data'!AV77*annualizationFactor</f>
        <v>0.56169400319999996</v>
      </c>
      <c r="U646" s="777">
        <f>$E$22*$I$9*'Traffic Data'!AW77*annualizationFactor</f>
        <v>0.56169400319999996</v>
      </c>
      <c r="V646" s="777">
        <f>$E$22*$I$9*'Traffic Data'!AX77*annualizationFactor</f>
        <v>0.56169400319999996</v>
      </c>
      <c r="W646" s="777">
        <f>$E$22*$I$9*'Traffic Data'!AY77*annualizationFactor</f>
        <v>0.56538217624319997</v>
      </c>
      <c r="X646" s="777">
        <f>$E$22*$I$9*'Traffic Data'!AZ77*annualizationFactor</f>
        <v>0.5741387142912</v>
      </c>
      <c r="Y646" s="777">
        <f>$E$22*$I$9*'Traffic Data'!BA77*annualizationFactor</f>
        <v>0.58289525233919992</v>
      </c>
      <c r="Z646" s="777">
        <f>$E$22*$I$9*'Traffic Data'!BB77*annualizationFactor</f>
        <v>0.59165383391999993</v>
      </c>
      <c r="AA646" s="777">
        <f>$E$22*$I$9*'Traffic Data'!BC77*annualizationFactor</f>
        <v>0.60041037196799996</v>
      </c>
      <c r="AB646" s="777">
        <f>$E$22*$I$9*'Traffic Data'!BD77*annualizationFactor</f>
        <v>0.60916895354879996</v>
      </c>
      <c r="AC646" s="777">
        <f>$E$22*$I$9*'Traffic Data'!BE77*annualizationFactor</f>
        <v>0.61792549159679988</v>
      </c>
      <c r="AD646" s="777">
        <f>$E$22*$I$9*'Traffic Data'!BF77*annualizationFactor</f>
        <v>0.62668202964480002</v>
      </c>
      <c r="AE646" s="777">
        <f>$E$22*$I$9*'Traffic Data'!BG77*annualizationFactor</f>
        <v>0.63544061122560003</v>
      </c>
      <c r="AF646" s="777">
        <f>$E$22*$I$9*'Traffic Data'!BH77*annualizationFactor</f>
        <v>0.64419714927359983</v>
      </c>
      <c r="AG646" s="777">
        <f>$E$22*$I$9*'Traffic Data'!BI77*annualizationFactor</f>
        <v>0.65295368732159997</v>
      </c>
      <c r="AH646" s="778">
        <f>$E$22*$I$9*'Traffic Data'!BJ77*annualizationFactor</f>
        <v>0.66171226890239998</v>
      </c>
      <c r="AI646" s="24"/>
      <c r="AJ646" s="24"/>
      <c r="AK646" s="24"/>
      <c r="AL646" s="24"/>
      <c r="AM646" s="24"/>
    </row>
    <row r="647" spans="2:39" ht="21.95" customHeight="1" x14ac:dyDescent="0.2">
      <c r="B647" s="1346"/>
      <c r="C647" s="116" t="s">
        <v>342</v>
      </c>
      <c r="D647" s="116" t="s">
        <v>341</v>
      </c>
      <c r="E647" s="116" t="s">
        <v>467</v>
      </c>
      <c r="F647" s="116" t="s">
        <v>43</v>
      </c>
      <c r="G647" s="970"/>
      <c r="H647" s="970"/>
      <c r="I647" s="777">
        <f>$E$22*$I$9*'Traffic Data'!AK78*annualizationFactor</f>
        <v>0.72154368000000002</v>
      </c>
      <c r="J647" s="777">
        <f>$E$22*$I$9*'Traffic Data'!AL78*annualizationFactor</f>
        <v>0.72262599552000006</v>
      </c>
      <c r="K647" s="777">
        <f>$E$22*$I$9*'Traffic Data'!AM78*annualizationFactor</f>
        <v>0.72370831103999989</v>
      </c>
      <c r="L647" s="777">
        <f>$E$22*$I$9*'Traffic Data'!AN78*annualizationFactor</f>
        <v>0.72479062656000004</v>
      </c>
      <c r="M647" s="777">
        <f>$E$22*$I$9*'Traffic Data'!AO78*annualizationFactor</f>
        <v>0.72587294208000008</v>
      </c>
      <c r="N647" s="777">
        <f>$E$22*$I$9*'Traffic Data'!AP78*annualizationFactor</f>
        <v>0.7269552575999999</v>
      </c>
      <c r="O647" s="777">
        <f>$E$22*$I$9*'Traffic Data'!AQ78*annualizationFactor</f>
        <v>0.72803757311999995</v>
      </c>
      <c r="P647" s="777">
        <f>$E$22*$I$9*'Traffic Data'!AR78*annualizationFactor</f>
        <v>0.72911988863999999</v>
      </c>
      <c r="Q647" s="777">
        <f>$E$22*$I$9*'Traffic Data'!AS78*annualizationFactor</f>
        <v>0.73020220415999992</v>
      </c>
      <c r="R647" s="777">
        <f>$E$22*$I$9*'Traffic Data'!AT78*annualizationFactor</f>
        <v>0.73020220415999992</v>
      </c>
      <c r="S647" s="777">
        <f>$E$22*$I$9*'Traffic Data'!AU78*annualizationFactor</f>
        <v>0.73020220415999992</v>
      </c>
      <c r="T647" s="777">
        <f>$E$22*$I$9*'Traffic Data'!AV78*annualizationFactor</f>
        <v>0.73020220415999992</v>
      </c>
      <c r="U647" s="777">
        <f>$E$22*$I$9*'Traffic Data'!AW78*annualizationFactor</f>
        <v>0.73020220415999992</v>
      </c>
      <c r="V647" s="777">
        <f>$E$22*$I$9*'Traffic Data'!AX78*annualizationFactor</f>
        <v>0.73020220415999992</v>
      </c>
      <c r="W647" s="777">
        <f>$E$22*$I$9*'Traffic Data'!AY78*annualizationFactor</f>
        <v>0.73499682911616004</v>
      </c>
      <c r="X647" s="777">
        <f>$E$22*$I$9*'Traffic Data'!AZ78*annualizationFactor</f>
        <v>0.74638032857855996</v>
      </c>
      <c r="Y647" s="777">
        <f>$E$22*$I$9*'Traffic Data'!BA78*annualizationFactor</f>
        <v>0.75776382804095999</v>
      </c>
      <c r="Z647" s="777">
        <f>$E$22*$I$9*'Traffic Data'!BB78*annualizationFactor</f>
        <v>0.76914998409599999</v>
      </c>
      <c r="AA647" s="777">
        <f>$E$22*$I$9*'Traffic Data'!BC78*annualizationFactor</f>
        <v>0.78053348355839991</v>
      </c>
      <c r="AB647" s="777">
        <f>$E$22*$I$9*'Traffic Data'!BD78*annualizationFactor</f>
        <v>0.79191963961344003</v>
      </c>
      <c r="AC647" s="777">
        <f>$E$22*$I$9*'Traffic Data'!BE78*annualizationFactor</f>
        <v>0.80330313907583994</v>
      </c>
      <c r="AD647" s="777">
        <f>$E$22*$I$9*'Traffic Data'!BF78*annualizationFactor</f>
        <v>0.81468663853824008</v>
      </c>
      <c r="AE647" s="777">
        <f>$E$22*$I$9*'Traffic Data'!BG78*annualizationFactor</f>
        <v>0.82607279459328009</v>
      </c>
      <c r="AF647" s="777">
        <f>$E$22*$I$9*'Traffic Data'!BH78*annualizationFactor</f>
        <v>0.8374562940556799</v>
      </c>
      <c r="AG647" s="777">
        <f>$E$22*$I$9*'Traffic Data'!BI78*annualizationFactor</f>
        <v>0.84883979351807981</v>
      </c>
      <c r="AH647" s="778">
        <f>$E$22*$I$9*'Traffic Data'!BJ78*annualizationFactor</f>
        <v>0.86022594957312004</v>
      </c>
      <c r="AI647" s="24"/>
      <c r="AJ647" s="24"/>
      <c r="AK647" s="24"/>
      <c r="AL647" s="24"/>
      <c r="AM647" s="24"/>
    </row>
    <row r="648" spans="2:39" ht="21.95" customHeight="1" x14ac:dyDescent="0.2">
      <c r="B648" s="1346"/>
      <c r="C648" s="116" t="s">
        <v>341</v>
      </c>
      <c r="D648" s="116" t="s">
        <v>344</v>
      </c>
      <c r="E648" s="116" t="s">
        <v>467</v>
      </c>
      <c r="F648" s="116" t="s">
        <v>43</v>
      </c>
      <c r="G648" s="970"/>
      <c r="H648" s="970"/>
      <c r="I648" s="777">
        <f>$E$22*$I$9*'Traffic Data'!AK79*annualizationFactor</f>
        <v>0.80025753600000005</v>
      </c>
      <c r="J648" s="777">
        <f>$E$22*$I$9*'Traffic Data'!AL79*annualizationFactor</f>
        <v>0.80145792230399981</v>
      </c>
      <c r="K648" s="777">
        <f>$E$22*$I$9*'Traffic Data'!AM79*annualizationFactor</f>
        <v>0.8026583086079998</v>
      </c>
      <c r="L648" s="777">
        <f>$E$22*$I$9*'Traffic Data'!AN79*annualizationFactor</f>
        <v>0.80385869491200002</v>
      </c>
      <c r="M648" s="777">
        <f>$E$22*$I$9*'Traffic Data'!AO79*annualizationFactor</f>
        <v>0.80505908121600001</v>
      </c>
      <c r="N648" s="777">
        <f>$E$22*$I$9*'Traffic Data'!AP79*annualizationFactor</f>
        <v>0.80625946751999988</v>
      </c>
      <c r="O648" s="777">
        <f>$E$22*$I$9*'Traffic Data'!AQ79*annualizationFactor</f>
        <v>0.80745985382399987</v>
      </c>
      <c r="P648" s="777">
        <f>$E$22*$I$9*'Traffic Data'!AR79*annualizationFactor</f>
        <v>0.80866024012799986</v>
      </c>
      <c r="Q648" s="777">
        <f>$E$22*$I$9*'Traffic Data'!AS79*annualizationFactor</f>
        <v>0.80986062643200007</v>
      </c>
      <c r="R648" s="777">
        <f>$E$22*$I$9*'Traffic Data'!AT79*annualizationFactor</f>
        <v>0.80986062643200007</v>
      </c>
      <c r="S648" s="777">
        <f>$E$22*$I$9*'Traffic Data'!AU79*annualizationFactor</f>
        <v>0.80986062643200007</v>
      </c>
      <c r="T648" s="777">
        <f>$E$22*$I$9*'Traffic Data'!AV79*annualizationFactor</f>
        <v>0.80986062643200007</v>
      </c>
      <c r="U648" s="777">
        <f>$E$22*$I$9*'Traffic Data'!AW79*annualizationFactor</f>
        <v>0.80986062643200007</v>
      </c>
      <c r="V648" s="777">
        <f>$E$22*$I$9*'Traffic Data'!AX79*annualizationFactor</f>
        <v>0.80986062643200007</v>
      </c>
      <c r="W648" s="777">
        <f>$E$22*$I$9*'Traffic Data'!AY79*annualizationFactor</f>
        <v>0.80986062643200007</v>
      </c>
      <c r="X648" s="777">
        <f>$E$22*$I$9*'Traffic Data'!AZ79*annualizationFactor</f>
        <v>0.80986062643200007</v>
      </c>
      <c r="Y648" s="777">
        <f>$E$22*$I$9*'Traffic Data'!BA79*annualizationFactor</f>
        <v>0.80986062643200007</v>
      </c>
      <c r="Z648" s="777">
        <f>$E$22*$I$9*'Traffic Data'!BB79*annualizationFactor</f>
        <v>0.80986062643200007</v>
      </c>
      <c r="AA648" s="777">
        <f>$E$22*$I$9*'Traffic Data'!BC79*annualizationFactor</f>
        <v>0.8204007322570751</v>
      </c>
      <c r="AB648" s="777">
        <f>$E$22*$I$9*'Traffic Data'!BD79*annualizationFactor</f>
        <v>0.83236845812908022</v>
      </c>
      <c r="AC648" s="777">
        <f>$E$22*$I$9*'Traffic Data'!BE79*annualizationFactor</f>
        <v>0.84433339171786748</v>
      </c>
      <c r="AD648" s="777">
        <f>$E$22*$I$9*'Traffic Data'!BF79*annualizationFactor</f>
        <v>0.85629832530665484</v>
      </c>
      <c r="AE648" s="777">
        <f>$E$22*$I$9*'Traffic Data'!BG79*annualizationFactor</f>
        <v>0.86826605117865985</v>
      </c>
      <c r="AF648" s="777">
        <f>$E$22*$I$9*'Traffic Data'!BH79*annualizationFactor</f>
        <v>0.88023098476744677</v>
      </c>
      <c r="AG648" s="777">
        <f>$E$22*$I$9*'Traffic Data'!BI79*annualizationFactor</f>
        <v>0.89219591835623424</v>
      </c>
      <c r="AH648" s="778">
        <f>$E$22*$I$9*'Traffic Data'!BJ79*annualizationFactor</f>
        <v>0.90416364422823936</v>
      </c>
      <c r="AI648" s="24"/>
      <c r="AJ648" s="24"/>
      <c r="AK648" s="24"/>
      <c r="AL648" s="24"/>
      <c r="AM648" s="24"/>
    </row>
    <row r="649" spans="2:39" ht="21.95" customHeight="1" x14ac:dyDescent="0.2">
      <c r="B649" s="1346"/>
      <c r="C649" s="116" t="s">
        <v>344</v>
      </c>
      <c r="D649" s="116" t="s">
        <v>345</v>
      </c>
      <c r="E649" s="116" t="s">
        <v>467</v>
      </c>
      <c r="F649" s="116" t="s">
        <v>43</v>
      </c>
      <c r="G649" s="970"/>
      <c r="H649" s="970"/>
      <c r="I649" s="777">
        <f>$E$22*$I$9*'Traffic Data'!AK80*annualizationFactor</f>
        <v>0.3279744</v>
      </c>
      <c r="J649" s="777">
        <f>$E$22*$I$9*'Traffic Data'!AL80*annualizationFactor</f>
        <v>0.32846636160000003</v>
      </c>
      <c r="K649" s="777">
        <f>$E$22*$I$9*'Traffic Data'!AM80*annualizationFactor</f>
        <v>0.32895832319999996</v>
      </c>
      <c r="L649" s="777">
        <f>$E$22*$I$9*'Traffic Data'!AN80*annualizationFactor</f>
        <v>0.32945028479999999</v>
      </c>
      <c r="M649" s="777">
        <f>$E$22*$I$9*'Traffic Data'!AO80*annualizationFactor</f>
        <v>0.32994224640000003</v>
      </c>
      <c r="N649" s="777">
        <f>$E$22*$I$9*'Traffic Data'!AP80*annualizationFactor</f>
        <v>0.33043420800000001</v>
      </c>
      <c r="O649" s="777">
        <f>$E$22*$I$9*'Traffic Data'!AQ80*annualizationFactor</f>
        <v>0.33092616959999993</v>
      </c>
      <c r="P649" s="777">
        <f>$E$22*$I$9*'Traffic Data'!AR80*annualizationFactor</f>
        <v>0.33141813120000002</v>
      </c>
      <c r="Q649" s="777">
        <f>$E$22*$I$9*'Traffic Data'!AS80*annualizationFactor</f>
        <v>0.3319100928</v>
      </c>
      <c r="R649" s="777">
        <f>$E$22*$I$9*'Traffic Data'!AT80*annualizationFactor</f>
        <v>0.3319100928</v>
      </c>
      <c r="S649" s="777">
        <f>$E$22*$I$9*'Traffic Data'!AU80*annualizationFactor</f>
        <v>0.3319100928</v>
      </c>
      <c r="T649" s="777">
        <f>$E$22*$I$9*'Traffic Data'!AV80*annualizationFactor</f>
        <v>0.3319100928</v>
      </c>
      <c r="U649" s="777">
        <f>$E$22*$I$9*'Traffic Data'!AW80*annualizationFactor</f>
        <v>0.3319100928</v>
      </c>
      <c r="V649" s="777">
        <f>$E$22*$I$9*'Traffic Data'!AX80*annualizationFactor</f>
        <v>0.3319100928</v>
      </c>
      <c r="W649" s="777">
        <f>$E$22*$I$9*'Traffic Data'!AY80*annualizationFactor</f>
        <v>0.3319100928</v>
      </c>
      <c r="X649" s="777">
        <f>$E$22*$I$9*'Traffic Data'!AZ80*annualizationFactor</f>
        <v>0.3319100928</v>
      </c>
      <c r="Y649" s="777">
        <f>$E$22*$I$9*'Traffic Data'!BA80*annualizationFactor</f>
        <v>0.3319100928</v>
      </c>
      <c r="Z649" s="777">
        <f>$E$22*$I$9*'Traffic Data'!BB80*annualizationFactor</f>
        <v>0.3319100928</v>
      </c>
      <c r="AA649" s="777">
        <f>$E$22*$I$9*'Traffic Data'!BC80*annualizationFactor</f>
        <v>0.33622980830207999</v>
      </c>
      <c r="AB649" s="777">
        <f>$E$22*$I$9*'Traffic Data'!BD80*annualizationFactor</f>
        <v>0.34113461398732803</v>
      </c>
      <c r="AC649" s="777">
        <f>$E$22*$I$9*'Traffic Data'!BE80*annualizationFactor</f>
        <v>0.346038275294208</v>
      </c>
      <c r="AD649" s="777">
        <f>$E$22*$I$9*'Traffic Data'!BF80*annualizationFactor</f>
        <v>0.35094193660108802</v>
      </c>
      <c r="AE649" s="777">
        <f>$E$22*$I$9*'Traffic Data'!BG80*annualizationFactor</f>
        <v>0.35584674228633606</v>
      </c>
      <c r="AF649" s="777">
        <f>$E$22*$I$9*'Traffic Data'!BH80*annualizationFactor</f>
        <v>0.36075040359321597</v>
      </c>
      <c r="AG649" s="777">
        <f>$E$22*$I$9*'Traffic Data'!BI80*annualizationFactor</f>
        <v>0.365654064900096</v>
      </c>
      <c r="AH649" s="778">
        <f>$E$22*$I$9*'Traffic Data'!BJ80*annualizationFactor</f>
        <v>0.37055887058534404</v>
      </c>
      <c r="AI649" s="24"/>
      <c r="AJ649" s="24"/>
      <c r="AK649" s="24"/>
      <c r="AL649" s="24"/>
      <c r="AM649" s="24"/>
    </row>
    <row r="650" spans="2:39" ht="21.95" customHeight="1" x14ac:dyDescent="0.2">
      <c r="B650" s="1346"/>
      <c r="C650" s="116" t="s">
        <v>345</v>
      </c>
      <c r="D650" s="116" t="s">
        <v>323</v>
      </c>
      <c r="E650" s="116" t="s">
        <v>467</v>
      </c>
      <c r="F650" s="116" t="s">
        <v>43</v>
      </c>
      <c r="G650" s="970"/>
      <c r="H650" s="970"/>
      <c r="I650" s="777">
        <f>$E$22*$I$9*'Traffic Data'!AK81*annualizationFactor</f>
        <v>3.95587584</v>
      </c>
      <c r="J650" s="777">
        <f>$E$22*$I$9*'Traffic Data'!AL81*annualizationFactor</f>
        <v>4.0466843827199996</v>
      </c>
      <c r="K650" s="777">
        <f>$E$22*$I$9*'Traffic Data'!AM81*annualizationFactor</f>
        <v>4.1795099781119998</v>
      </c>
      <c r="L650" s="777">
        <f>$E$22*$I$9*'Traffic Data'!AN81*annualizationFactor</f>
        <v>4.3388046213119997</v>
      </c>
      <c r="M650" s="777">
        <f>$E$22*$I$9*'Traffic Data'!AO81*annualizationFactor</f>
        <v>4.4981416488959995</v>
      </c>
      <c r="N650" s="777">
        <f>$E$22*$I$9*'Traffic Data'!AP81*annualizationFactor</f>
        <v>4.6574928046080011</v>
      </c>
      <c r="O650" s="777">
        <f>$E$22*$I$9*'Traffic Data'!AQ81*annualizationFactor</f>
        <v>4.8167874478080011</v>
      </c>
      <c r="P650" s="777">
        <f>$E$22*$I$9*'Traffic Data'!AR81*annualizationFactor</f>
        <v>4.9761668597760007</v>
      </c>
      <c r="Q650" s="777">
        <f>$E$22*$I$9*'Traffic Data'!AS81*annualizationFactor</f>
        <v>5.1132803420159991</v>
      </c>
      <c r="R650" s="777">
        <f>$E$22*$I$9*'Traffic Data'!AT81*annualizationFactor</f>
        <v>5.2503867601919998</v>
      </c>
      <c r="S650" s="777">
        <f>$E$22*$I$9*'Traffic Data'!AU81*annualizationFactor</f>
        <v>5.3875002424319991</v>
      </c>
      <c r="T650" s="777">
        <f>$E$22*$I$9*'Traffic Data'!AV81*annualizationFactor</f>
        <v>5.5246137246719984</v>
      </c>
      <c r="U650" s="777">
        <f>$E$22*$I$9*'Traffic Data'!AW81*annualizationFactor</f>
        <v>5.6618119756799992</v>
      </c>
      <c r="V650" s="777">
        <f>$E$22*$I$9*'Traffic Data'!AX81*annualizationFactor</f>
        <v>5.7724140257279988</v>
      </c>
      <c r="W650" s="777">
        <f>$E$22*$I$9*'Traffic Data'!AY81*annualizationFactor</f>
        <v>5.8632225684479984</v>
      </c>
      <c r="X650" s="777">
        <f>$E$22*$I$9*'Traffic Data'!AZ81*annualizationFactor</f>
        <v>5.9540311111679989</v>
      </c>
      <c r="Y650" s="777">
        <f>$E$22*$I$9*'Traffic Data'!BA81*annualizationFactor</f>
        <v>6.0448396538879976</v>
      </c>
      <c r="Z650" s="777">
        <f>$E$22*$I$9*'Traffic Data'!BB81*annualizationFactor</f>
        <v>6.1356693887999976</v>
      </c>
      <c r="AA650" s="777">
        <f>$E$22*$I$9*'Traffic Data'!BC81*annualizationFactor</f>
        <v>6.2264779315199981</v>
      </c>
      <c r="AB650" s="777">
        <f>$E$22*$I$9*'Traffic Data'!BD81*annualizationFactor</f>
        <v>6.317307666431998</v>
      </c>
      <c r="AC650" s="777">
        <f>$E$22*$I$9*'Traffic Data'!BE81*annualizationFactor</f>
        <v>6.4081162091519985</v>
      </c>
      <c r="AD650" s="777">
        <f>$E$22*$I$9*'Traffic Data'!BF81*annualizationFactor</f>
        <v>6.4989247518719981</v>
      </c>
      <c r="AE650" s="777">
        <f>$E$22*$I$9*'Traffic Data'!BG81*annualizationFactor</f>
        <v>6.589754486783999</v>
      </c>
      <c r="AF650" s="777">
        <f>$E$22*$I$9*'Traffic Data'!BH81*annualizationFactor</f>
        <v>6.6805630295039977</v>
      </c>
      <c r="AG650" s="777">
        <f>$E$22*$I$9*'Traffic Data'!BI81*annualizationFactor</f>
        <v>6.7713715722239991</v>
      </c>
      <c r="AH650" s="778">
        <f>$E$22*$I$9*'Traffic Data'!BJ81*annualizationFactor</f>
        <v>6.8622013071359991</v>
      </c>
      <c r="AI650" s="24"/>
      <c r="AJ650" s="24"/>
      <c r="AK650" s="24"/>
      <c r="AL650" s="24"/>
      <c r="AM650" s="24"/>
    </row>
    <row r="651" spans="2:39" ht="21.95" customHeight="1" x14ac:dyDescent="0.2">
      <c r="B651" s="1346"/>
      <c r="C651" s="116" t="s">
        <v>323</v>
      </c>
      <c r="D651" s="116" t="s">
        <v>347</v>
      </c>
      <c r="E651" s="116" t="s">
        <v>467</v>
      </c>
      <c r="F651" s="116" t="s">
        <v>43</v>
      </c>
      <c r="G651" s="970"/>
      <c r="H651" s="970"/>
      <c r="I651" s="777">
        <f>$E$22*$I$9*'Traffic Data'!AK82*annualizationFactor</f>
        <v>0.70640639999999999</v>
      </c>
      <c r="J651" s="777">
        <f>$E$22*$I$9*'Traffic Data'!AL82*annualizationFactor</f>
        <v>0.72201545855999993</v>
      </c>
      <c r="K651" s="777">
        <f>$E$22*$I$9*'Traffic Data'!AM82*annualizationFactor</f>
        <v>0.74512630079999997</v>
      </c>
      <c r="L651" s="777">
        <f>$E$22*$I$9*'Traffic Data'!AN82*annualizationFactor</f>
        <v>0.77445604224000009</v>
      </c>
      <c r="M651" s="777">
        <f>$E$22*$I$9*'Traffic Data'!AO82*annualizationFactor</f>
        <v>0.80379461376000017</v>
      </c>
      <c r="N651" s="777">
        <f>$E$22*$I$9*'Traffic Data'!AP82*annualizationFactor</f>
        <v>0.83313141926400003</v>
      </c>
      <c r="O651" s="777">
        <f>$E$22*$I$9*'Traffic Data'!AQ82*annualizationFactor</f>
        <v>0.86246116070399981</v>
      </c>
      <c r="P651" s="777">
        <f>$E$22*$I$9*'Traffic Data'!AR82*annualizationFactor</f>
        <v>0.89180679628799986</v>
      </c>
      <c r="Q651" s="777">
        <f>$E$22*$I$9*'Traffic Data'!AS82*annualizationFactor</f>
        <v>0.91788328396800001</v>
      </c>
      <c r="R651" s="777">
        <f>$E$22*$I$9*'Traffic Data'!AT82*annualizationFactor</f>
        <v>0.94396229452799996</v>
      </c>
      <c r="S651" s="777">
        <f>$E$22*$I$9*'Traffic Data'!AU82*annualizationFactor</f>
        <v>0.97003878220799988</v>
      </c>
      <c r="T651" s="777">
        <f>$E$22*$I$9*'Traffic Data'!AV82*annualizationFactor</f>
        <v>0.99611526988800003</v>
      </c>
      <c r="U651" s="777">
        <f>$E$22*$I$9*'Traffic Data'!AW82*annualizationFactor</f>
        <v>1.022203867392</v>
      </c>
      <c r="V651" s="777">
        <f>$E$22*$I$9*'Traffic Data'!AX82*annualizationFactor</f>
        <v>1.0420543918079999</v>
      </c>
      <c r="W651" s="777">
        <f>$E$22*$I$9*'Traffic Data'!AY82*annualizationFactor</f>
        <v>1.057663450368</v>
      </c>
      <c r="X651" s="777">
        <f>$E$22*$I$9*'Traffic Data'!AZ82*annualizationFactor</f>
        <v>1.0732725089280002</v>
      </c>
      <c r="Y651" s="777">
        <f>$E$22*$I$9*'Traffic Data'!BA82*annualizationFactor</f>
        <v>1.0888815674880001</v>
      </c>
      <c r="Z651" s="777">
        <f>$E$22*$I$9*'Traffic Data'!BB82*annualizationFactor</f>
        <v>1.1044931489280001</v>
      </c>
      <c r="AA651" s="777">
        <f>$E$22*$I$9*'Traffic Data'!BC82*annualizationFactor</f>
        <v>1.120102207488</v>
      </c>
      <c r="AB651" s="777">
        <f>$E$22*$I$9*'Traffic Data'!BD82*annualizationFactor</f>
        <v>1.135713788928</v>
      </c>
      <c r="AC651" s="777">
        <f>$E$22*$I$9*'Traffic Data'!BE82*annualizationFactor</f>
        <v>1.1513228474880002</v>
      </c>
      <c r="AD651" s="777">
        <f>$E$22*$I$9*'Traffic Data'!BF82*annualizationFactor</f>
        <v>1.1669319060480001</v>
      </c>
      <c r="AE651" s="777">
        <f>$E$22*$I$9*'Traffic Data'!BG82*annualizationFactor</f>
        <v>1.1825434874880001</v>
      </c>
      <c r="AF651" s="777">
        <f>$E$22*$I$9*'Traffic Data'!BH82*annualizationFactor</f>
        <v>1.1981525460480003</v>
      </c>
      <c r="AG651" s="777">
        <f>$E$22*$I$9*'Traffic Data'!BI82*annualizationFactor</f>
        <v>1.2137616046080002</v>
      </c>
      <c r="AH651" s="778">
        <f>$E$22*$I$9*'Traffic Data'!BJ82*annualizationFactor</f>
        <v>1.2293731860480002</v>
      </c>
      <c r="AI651" s="24"/>
      <c r="AJ651" s="24"/>
      <c r="AK651" s="24"/>
      <c r="AL651" s="24"/>
      <c r="AM651" s="24"/>
    </row>
    <row r="652" spans="2:39" ht="21.95" customHeight="1" x14ac:dyDescent="0.2">
      <c r="B652" s="1346"/>
      <c r="C652" s="116" t="s">
        <v>347</v>
      </c>
      <c r="D652" s="116" t="s">
        <v>348</v>
      </c>
      <c r="E652" s="116" t="s">
        <v>467</v>
      </c>
      <c r="F652" s="116" t="s">
        <v>43</v>
      </c>
      <c r="G652" s="970"/>
      <c r="H652" s="970"/>
      <c r="I652" s="777">
        <f>$E$22*$I$9*'Traffic Data'!AK83*annualizationFactor</f>
        <v>0.49448448</v>
      </c>
      <c r="J652" s="777">
        <f>$E$22*$I$9*'Traffic Data'!AL83*annualizationFactor</f>
        <v>0.50541082099200008</v>
      </c>
      <c r="K652" s="777">
        <f>$E$22*$I$9*'Traffic Data'!AM83*annualizationFactor</f>
        <v>0.52158841055999994</v>
      </c>
      <c r="L652" s="777">
        <f>$E$22*$I$9*'Traffic Data'!AN83*annualizationFactor</f>
        <v>0.54211922956799985</v>
      </c>
      <c r="M652" s="777">
        <f>$E$22*$I$9*'Traffic Data'!AO83*annualizationFactor</f>
        <v>0.56265622963200013</v>
      </c>
      <c r="N652" s="777">
        <f>$E$22*$I$9*'Traffic Data'!AP83*annualizationFactor</f>
        <v>0.5831919934848</v>
      </c>
      <c r="O652" s="777">
        <f>$E$22*$I$9*'Traffic Data'!AQ83*annualizationFactor</f>
        <v>0.60372281249279991</v>
      </c>
      <c r="P652" s="777">
        <f>$E$22*$I$9*'Traffic Data'!AR83*annualizationFactor</f>
        <v>0.62426475740159981</v>
      </c>
      <c r="Q652" s="777">
        <f>$E$22*$I$9*'Traffic Data'!AS83*annualizationFactor</f>
        <v>0.64251829877759992</v>
      </c>
      <c r="R652" s="777">
        <f>$E$22*$I$9*'Traffic Data'!AT83*annualizationFactor</f>
        <v>0.6607736061695999</v>
      </c>
      <c r="S652" s="777">
        <f>$E$22*$I$9*'Traffic Data'!AU83*annualizationFactor</f>
        <v>0.6790271475455999</v>
      </c>
      <c r="T652" s="777">
        <f>$E$22*$I$9*'Traffic Data'!AV83*annualizationFactor</f>
        <v>0.6972806889216</v>
      </c>
      <c r="U652" s="777">
        <f>$E$22*$I$9*'Traffic Data'!AW83*annualizationFactor</f>
        <v>0.71554270717439994</v>
      </c>
      <c r="V652" s="777">
        <f>$E$22*$I$9*'Traffic Data'!AX83*annualizationFactor</f>
        <v>0.72943807426560003</v>
      </c>
      <c r="W652" s="777">
        <f>$E$22*$I$9*'Traffic Data'!AY83*annualizationFactor</f>
        <v>0.74036441525759999</v>
      </c>
      <c r="X652" s="777">
        <f>$E$22*$I$9*'Traffic Data'!AZ83*annualizationFactor</f>
        <v>0.75129075624959996</v>
      </c>
      <c r="Y652" s="777">
        <f>$E$22*$I$9*'Traffic Data'!BA83*annualizationFactor</f>
        <v>0.76221709724160014</v>
      </c>
      <c r="Z652" s="777">
        <f>$E$22*$I$9*'Traffic Data'!BB83*annualizationFactor</f>
        <v>0.77314520424959998</v>
      </c>
      <c r="AA652" s="777">
        <f>$E$22*$I$9*'Traffic Data'!BC83*annualizationFactor</f>
        <v>0.78407154524159983</v>
      </c>
      <c r="AB652" s="777">
        <f>$E$22*$I$9*'Traffic Data'!BD83*annualizationFactor</f>
        <v>0.79499965224960001</v>
      </c>
      <c r="AC652" s="777">
        <f>$E$22*$I$9*'Traffic Data'!BE83*annualizationFactor</f>
        <v>0.80592599324160008</v>
      </c>
      <c r="AD652" s="777">
        <f>$E$22*$I$9*'Traffic Data'!BF83*annualizationFactor</f>
        <v>0.81685233423360004</v>
      </c>
      <c r="AE652" s="777">
        <f>$E$22*$I$9*'Traffic Data'!BG83*annualizationFactor</f>
        <v>0.82778044124159988</v>
      </c>
      <c r="AF652" s="777">
        <f>$E$22*$I$9*'Traffic Data'!BH83*annualizationFactor</f>
        <v>0.83870678223360007</v>
      </c>
      <c r="AG652" s="777">
        <f>$E$22*$I$9*'Traffic Data'!BI83*annualizationFactor</f>
        <v>0.84963312322560025</v>
      </c>
      <c r="AH652" s="778">
        <f>$E$22*$I$9*'Traffic Data'!BJ83*annualizationFactor</f>
        <v>0.86056123023360009</v>
      </c>
      <c r="AI652" s="24"/>
      <c r="AJ652" s="24"/>
      <c r="AK652" s="24"/>
      <c r="AL652" s="24"/>
      <c r="AM652" s="24"/>
    </row>
    <row r="653" spans="2:39" ht="21.95" customHeight="1" x14ac:dyDescent="0.2">
      <c r="B653" s="1346"/>
      <c r="C653" s="254" t="s">
        <v>348</v>
      </c>
      <c r="D653" s="254" t="s">
        <v>349</v>
      </c>
      <c r="E653" s="254" t="s">
        <v>467</v>
      </c>
      <c r="F653" s="254" t="s">
        <v>43</v>
      </c>
      <c r="G653" s="779"/>
      <c r="H653" s="779"/>
      <c r="I653" s="777">
        <f>$E$22*$I$9*'Traffic Data'!AK84*annualizationFactor</f>
        <v>0.80732159999999997</v>
      </c>
      <c r="J653" s="777">
        <f>$E$22*$I$9*'Traffic Data'!AL84*annualizationFactor</f>
        <v>0.82660523327999991</v>
      </c>
      <c r="K653" s="777">
        <f>$E$22*$I$9*'Traffic Data'!AM84*annualizationFactor</f>
        <v>0.85339191167999995</v>
      </c>
      <c r="L653" s="777">
        <f>$E$22*$I$9*'Traffic Data'!AN84*annualizationFactor</f>
        <v>0.88896704255999992</v>
      </c>
      <c r="M653" s="777">
        <f>$E$22*$I$9*'Traffic Data'!AO84*annualizationFactor</f>
        <v>0.92455226496000009</v>
      </c>
      <c r="N653" s="777">
        <f>$E$22*$I$9*'Traffic Data'!AP84*annualizationFactor</f>
        <v>0.96014001024000006</v>
      </c>
      <c r="O653" s="777">
        <f>$E$22*$I$9*'Traffic Data'!AQ84*annualizationFactor</f>
        <v>0.99571514112000004</v>
      </c>
      <c r="P653" s="777">
        <f>$E$22*$I$9*'Traffic Data'!AR84*annualizationFactor</f>
        <v>1.0313104550400001</v>
      </c>
      <c r="Q653" s="777">
        <f>$E$22*$I$9*'Traffic Data'!AS84*annualizationFactor</f>
        <v>1.0652835571200001</v>
      </c>
      <c r="R653" s="777">
        <f>$E$22*$I$9*'Traffic Data'!AT84*annualizationFactor</f>
        <v>1.0992579206399999</v>
      </c>
      <c r="S653" s="777">
        <f>$E$22*$I$9*'Traffic Data'!AU84*annualizationFactor</f>
        <v>1.1332310227199998</v>
      </c>
      <c r="T653" s="777">
        <f>$E$22*$I$9*'Traffic Data'!AV84*annualizationFactor</f>
        <v>1.1672041248</v>
      </c>
      <c r="U653" s="777">
        <f>$E$22*$I$9*'Traffic Data'!AW84*annualizationFactor</f>
        <v>1.20119740992</v>
      </c>
      <c r="V653" s="777">
        <f>$E$22*$I$9*'Traffic Data'!AX84*annualizationFactor</f>
        <v>1.226371968</v>
      </c>
      <c r="W653" s="777">
        <f>$E$22*$I$9*'Traffic Data'!AY84*annualizationFactor</f>
        <v>1.24565560128</v>
      </c>
      <c r="X653" s="777">
        <f>$E$22*$I$9*'Traffic Data'!AZ84*annualizationFactor</f>
        <v>1.2649392345599999</v>
      </c>
      <c r="Y653" s="777">
        <f>$E$22*$I$9*'Traffic Data'!BA84*annualizationFactor</f>
        <v>1.2842228678399998</v>
      </c>
      <c r="Z653" s="777">
        <f>$E$22*$I$9*'Traffic Data'!BB84*annualizationFactor</f>
        <v>1.30351028544</v>
      </c>
      <c r="AA653" s="777">
        <f>$E$22*$I$9*'Traffic Data'!BC84*annualizationFactor</f>
        <v>1.3227939187199997</v>
      </c>
      <c r="AB653" s="777">
        <f>$E$22*$I$9*'Traffic Data'!BD84*annualizationFactor</f>
        <v>1.3420813363199999</v>
      </c>
      <c r="AC653" s="777">
        <f>$E$22*$I$9*'Traffic Data'!BE84*annualizationFactor</f>
        <v>1.3613649696000001</v>
      </c>
      <c r="AD653" s="777">
        <f>$E$22*$I$9*'Traffic Data'!BF84*annualizationFactor</f>
        <v>1.3806486028799998</v>
      </c>
      <c r="AE653" s="777">
        <f>$E$22*$I$9*'Traffic Data'!BG84*annualizationFactor</f>
        <v>1.39993602048</v>
      </c>
      <c r="AF653" s="777">
        <f>$E$22*$I$9*'Traffic Data'!BH84*annualizationFactor</f>
        <v>1.4192196537599999</v>
      </c>
      <c r="AG653" s="777">
        <f>$E$22*$I$9*'Traffic Data'!BI84*annualizationFactor</f>
        <v>1.4385032870399999</v>
      </c>
      <c r="AH653" s="778">
        <f>$E$22*$I$9*'Traffic Data'!BJ84*annualizationFactor</f>
        <v>1.4577907046399998</v>
      </c>
      <c r="AI653" s="24"/>
      <c r="AJ653" s="24"/>
      <c r="AK653" s="24"/>
      <c r="AL653" s="24"/>
      <c r="AM653" s="24"/>
    </row>
    <row r="654" spans="2:39" ht="21.95" customHeight="1" x14ac:dyDescent="0.2">
      <c r="B654" s="492" t="s">
        <v>288</v>
      </c>
      <c r="C654" s="116" t="s">
        <v>323</v>
      </c>
      <c r="D654" s="116" t="s">
        <v>348</v>
      </c>
      <c r="E654" s="116" t="s">
        <v>467</v>
      </c>
      <c r="F654" s="116" t="s">
        <v>43</v>
      </c>
      <c r="G654" s="970"/>
      <c r="H654" s="970"/>
      <c r="I654" s="775">
        <f>$E$22*$J$9*'Traffic Data'!AK85*annualizationFactor</f>
        <v>0.1009152</v>
      </c>
      <c r="J654" s="775">
        <f>$E$22*$J$9*'Traffic Data'!AL85*annualizationFactor</f>
        <v>0.10712036352</v>
      </c>
      <c r="K654" s="775">
        <f>$E$22*$J$9*'Traffic Data'!AM85*annualizationFactor</f>
        <v>0.11533205760000001</v>
      </c>
      <c r="L654" s="775">
        <f>$E$22*$J$9*'Traffic Data'!AN85*annualizationFactor</f>
        <v>0.12624491519999997</v>
      </c>
      <c r="M654" s="775">
        <f>$E$22*$J$9*'Traffic Data'!AO85*annualizationFactor</f>
        <v>0.13716113663999999</v>
      </c>
      <c r="N654" s="775">
        <f>$E$22*$J$9*'Traffic Data'!AP85*annualizationFactor</f>
        <v>0.14810090496000003</v>
      </c>
      <c r="O654" s="775">
        <f>$E$22*$J$9*'Traffic Data'!AQ85*annualizationFactor</f>
        <v>0.15901376255999997</v>
      </c>
      <c r="P654" s="775">
        <f>$E$22*$J$9*'Traffic Data'!AR85*annualizationFactor</f>
        <v>0.16993839359999999</v>
      </c>
      <c r="Q654" s="775">
        <f>$E$22*$J$9*'Traffic Data'!AS85*annualizationFactor</f>
        <v>0.17989984511999998</v>
      </c>
      <c r="R654" s="775">
        <f>$E$22*$J$9*'Traffic Data'!AT85*annualizationFactor</f>
        <v>0.18985288704000003</v>
      </c>
      <c r="S654" s="775">
        <f>$E$22*$J$9*'Traffic Data'!AU85*annualizationFactor</f>
        <v>0.19981489919999998</v>
      </c>
      <c r="T654" s="775">
        <f>$E$22*$J$9*'Traffic Data'!AV85*annualizationFactor</f>
        <v>0.20977635071999998</v>
      </c>
      <c r="U654" s="775">
        <f>$E$22*$J$9*'Traffic Data'!AW85*annualizationFactor</f>
        <v>0.21977312255999998</v>
      </c>
      <c r="V654" s="775">
        <f>$E$22*$J$9*'Traffic Data'!AX85*annualizationFactor</f>
        <v>0.22702556159999998</v>
      </c>
      <c r="W654" s="775">
        <f>$E$22*$J$9*'Traffic Data'!AY85*annualizationFactor</f>
        <v>0.23323072512000001</v>
      </c>
      <c r="X654" s="775">
        <f>$E$22*$J$9*'Traffic Data'!AZ85*annualizationFactor</f>
        <v>0.23943588863999996</v>
      </c>
      <c r="Y654" s="775">
        <f>$E$22*$J$9*'Traffic Data'!BA85*annualizationFactor</f>
        <v>0.24564105215999998</v>
      </c>
      <c r="Z654" s="775">
        <f>$E$22*$J$9*'Traffic Data'!BB85*annualizationFactor</f>
        <v>0.25185294335999997</v>
      </c>
      <c r="AA654" s="775">
        <f>$E$22*$J$9*'Traffic Data'!BC85*annualizationFactor</f>
        <v>0.25805810687999997</v>
      </c>
      <c r="AB654" s="775">
        <f>$E$22*$J$9*'Traffic Data'!BD85*annualizationFactor</f>
        <v>0.26427840767999999</v>
      </c>
      <c r="AC654" s="775">
        <f>$E$22*$J$9*'Traffic Data'!BE85*annualizationFactor</f>
        <v>0.27048357119999994</v>
      </c>
      <c r="AD654" s="775">
        <f>$E$22*$J$9*'Traffic Data'!BF85*annualizationFactor</f>
        <v>0.27668873472</v>
      </c>
      <c r="AE654" s="775">
        <f>$E$22*$J$9*'Traffic Data'!BG85*annualizationFactor</f>
        <v>0.28290062591999993</v>
      </c>
      <c r="AF654" s="775">
        <f>$E$22*$J$9*'Traffic Data'!BH85*annualizationFactor</f>
        <v>0.28910578943999998</v>
      </c>
      <c r="AG654" s="775">
        <f>$E$22*$J$9*'Traffic Data'!BI85*annualizationFactor</f>
        <v>0.29531095295999993</v>
      </c>
      <c r="AH654" s="776">
        <f>$E$22*$J$9*'Traffic Data'!BJ85*annualizationFactor</f>
        <v>0.30153125375999995</v>
      </c>
      <c r="AI654" s="24"/>
      <c r="AJ654" s="24"/>
      <c r="AK654" s="24"/>
      <c r="AL654" s="24"/>
      <c r="AM654" s="24"/>
    </row>
    <row r="655" spans="2:39" ht="21.95" customHeight="1" x14ac:dyDescent="0.2">
      <c r="B655" s="782" t="s">
        <v>340</v>
      </c>
      <c r="C655" s="277" t="s">
        <v>335</v>
      </c>
      <c r="D655" s="277" t="s">
        <v>323</v>
      </c>
      <c r="E655" s="277" t="s">
        <v>467</v>
      </c>
      <c r="F655" s="277" t="s">
        <v>43</v>
      </c>
      <c r="G655" s="780"/>
      <c r="H655" s="780"/>
      <c r="I655" s="775">
        <f>$E$22*$K$9*'Traffic Data'!AK86*annualizationFactor</f>
        <v>0</v>
      </c>
      <c r="J655" s="775">
        <f>$E$22*$K$9*'Traffic Data'!AL86*annualizationFactor</f>
        <v>0.1692501743616</v>
      </c>
      <c r="K655" s="775">
        <f>$E$22*$K$9*'Traffic Data'!AM86*annualizationFactor</f>
        <v>0.182224651008</v>
      </c>
      <c r="L655" s="775">
        <f>$E$22*$K$9*'Traffic Data'!AN86*annualizationFactor</f>
        <v>0.19946696601599995</v>
      </c>
      <c r="M655" s="775">
        <f>$E$22*$K$9*'Traffic Data'!AO86*annualizationFactor</f>
        <v>0.21671459589119998</v>
      </c>
      <c r="N655" s="775">
        <f>$E$22*$K$9*'Traffic Data'!AP86*annualizationFactor</f>
        <v>0.23399942983680005</v>
      </c>
      <c r="O655" s="775">
        <f>$E$22*$K$9*'Traffic Data'!AQ86*annualizationFactor</f>
        <v>0.25124174484479994</v>
      </c>
      <c r="P655" s="775">
        <f>$E$22*$K$9*'Traffic Data'!AR86*annualizationFactor</f>
        <v>0.26850266188799998</v>
      </c>
      <c r="Q655" s="775">
        <f>$E$22*$K$9*'Traffic Data'!AS86*annualizationFactor</f>
        <v>0.2842417552896</v>
      </c>
      <c r="R655" s="775">
        <f>$E$22*$K$9*'Traffic Data'!AT86*annualizationFactor</f>
        <v>0.29996756152319998</v>
      </c>
      <c r="S655" s="775">
        <f>$E$22*$K$9*'Traffic Data'!AU86*annualizationFactor</f>
        <v>0.31570754073599994</v>
      </c>
      <c r="T655" s="775">
        <f>$E$22*$K$9*'Traffic Data'!AV86*annualizationFactor</f>
        <v>0.3314466341376</v>
      </c>
      <c r="U655" s="775">
        <f>$E$22*$K$9*'Traffic Data'!AW86*annualizationFactor</f>
        <v>0.34724153364479998</v>
      </c>
      <c r="V655" s="775">
        <f>$E$22*$K$9*'Traffic Data'!AX86*annualizationFactor</f>
        <v>0.35870038732800003</v>
      </c>
      <c r="W655" s="775">
        <f>$E$22*$K$9*'Traffic Data'!AY86*annualizationFactor</f>
        <v>0.3685045456896</v>
      </c>
      <c r="X655" s="775">
        <f>$E$22*$K$9*'Traffic Data'!AZ86*annualizationFactor</f>
        <v>0.37830870405119993</v>
      </c>
      <c r="Y655" s="775">
        <f>$E$22*$K$9*'Traffic Data'!BA86*annualizationFactor</f>
        <v>0.38811286241279996</v>
      </c>
      <c r="Z655" s="775">
        <f>$E$22*$K$9*'Traffic Data'!BB86*annualizationFactor</f>
        <v>0.39792765050879997</v>
      </c>
      <c r="AA655" s="775">
        <f>$E$22*$K$9*'Traffic Data'!BC86*annualizationFactor</f>
        <v>0.40773180887039989</v>
      </c>
      <c r="AB655" s="775">
        <f>$E$22*$K$9*'Traffic Data'!BD86*annualizationFactor</f>
        <v>0.41755988413439998</v>
      </c>
      <c r="AC655" s="775">
        <f>$E$22*$K$9*'Traffic Data'!BE86*annualizationFactor</f>
        <v>0.42736404249599991</v>
      </c>
      <c r="AD655" s="775">
        <f>$E$22*$K$9*'Traffic Data'!BF86*annualizationFactor</f>
        <v>0.43716820085759994</v>
      </c>
      <c r="AE655" s="775">
        <f>$E$22*$K$9*'Traffic Data'!BG86*annualizationFactor</f>
        <v>0.44698298895359995</v>
      </c>
      <c r="AF655" s="775">
        <f>$E$22*$K$9*'Traffic Data'!BH86*annualizationFactor</f>
        <v>0.45678714731520004</v>
      </c>
      <c r="AG655" s="775">
        <f>$E$22*$K$9*'Traffic Data'!BI86*annualizationFactor</f>
        <v>0.46659130567679996</v>
      </c>
      <c r="AH655" s="776">
        <f>$E$22*$K$9*'Traffic Data'!BJ86*annualizationFactor</f>
        <v>0.47641938094079989</v>
      </c>
      <c r="AI655" s="24"/>
      <c r="AJ655" s="24"/>
      <c r="AK655" s="24"/>
      <c r="AL655" s="24"/>
      <c r="AM655" s="24"/>
    </row>
    <row r="656" spans="2:39" ht="21.95" customHeight="1" x14ac:dyDescent="0.2">
      <c r="B656" s="782" t="s">
        <v>357</v>
      </c>
      <c r="C656" s="277" t="s">
        <v>338</v>
      </c>
      <c r="D656" s="277" t="s">
        <v>323</v>
      </c>
      <c r="E656" s="116" t="s">
        <v>467</v>
      </c>
      <c r="F656" s="116" t="s">
        <v>43</v>
      </c>
      <c r="G656" s="970"/>
      <c r="H656" s="970"/>
      <c r="I656" s="775">
        <f>$E$22*$L$9*'Traffic Data'!AK87*annualizationFactor</f>
        <v>0.18715182545454545</v>
      </c>
      <c r="J656" s="775">
        <f>$E$22*$L$9*'Traffic Data'!AL87*annualizationFactor</f>
        <v>0.18972152399127271</v>
      </c>
      <c r="K656" s="775">
        <f>$E$22*$L$9*'Traffic Data'!AM87*annualizationFactor</f>
        <v>0.19416326064872727</v>
      </c>
      <c r="L656" s="775">
        <f>$E$22*$L$9*'Traffic Data'!AN87*annualizationFactor</f>
        <v>0.20026129096145456</v>
      </c>
      <c r="M656" s="775">
        <f>$E$22*$L$9*'Traffic Data'!AO87*annualizationFactor</f>
        <v>0.20636192060509093</v>
      </c>
      <c r="N656" s="775">
        <f>$E$22*$L$9*'Traffic Data'!AP87*annualizationFactor</f>
        <v>0.21247138797381815</v>
      </c>
      <c r="O656" s="775">
        <f>$E$22*$L$9*'Traffic Data'!AQ87*annualizationFactor</f>
        <v>0.21856941828654547</v>
      </c>
      <c r="P656" s="775">
        <f>$E$22*$L$9*'Traffic Data'!AR87*annualizationFactor</f>
        <v>0.22468876311272729</v>
      </c>
      <c r="Q656" s="775">
        <f>$E$22*$L$9*'Traffic Data'!AS87*annualizationFactor</f>
        <v>0.2289324307549091</v>
      </c>
      <c r="R656" s="775">
        <f>$E$22*$L$9*'Traffic Data'!AT87*annualizationFactor</f>
        <v>0.23317661826327268</v>
      </c>
      <c r="S656" s="775">
        <f>$E$22*$L$9*'Traffic Data'!AU87*annualizationFactor</f>
        <v>0.2374213256378182</v>
      </c>
      <c r="T656" s="775">
        <f>$E$22*$L$9*'Traffic Data'!AV87*annualizationFactor</f>
        <v>0.24166499328000005</v>
      </c>
      <c r="U656" s="775">
        <f>$E$22*$L$9*'Traffic Data'!AW87*annualizationFactor</f>
        <v>0.24593881316072724</v>
      </c>
      <c r="V656" s="775">
        <f>$E$22*$L$9*'Traffic Data'!AX87*annualizationFactor</f>
        <v>0.2485085116974545</v>
      </c>
      <c r="W656" s="775">
        <f>$E$22*$L$9*'Traffic Data'!AY87*annualizationFactor</f>
        <v>0.25107821023418175</v>
      </c>
      <c r="X656" s="775">
        <f>$E$22*$L$9*'Traffic Data'!AZ87*annualizationFactor</f>
        <v>0.25364790877090909</v>
      </c>
      <c r="Y656" s="775">
        <f>$E$22*$L$9*'Traffic Data'!BA87*annualizationFactor</f>
        <v>0.25621760730763632</v>
      </c>
      <c r="Z656" s="775">
        <f>$E$22*$L$9*'Traffic Data'!BB87*annualizationFactor</f>
        <v>0.25880498129454549</v>
      </c>
      <c r="AA656" s="775">
        <f>$E$22*$L$9*'Traffic Data'!BC87*annualizationFactor</f>
        <v>0.26137467983127272</v>
      </c>
      <c r="AB656" s="775">
        <f>$E$22*$L$9*'Traffic Data'!BD87*annualizationFactor</f>
        <v>0.26395425582545456</v>
      </c>
      <c r="AC656" s="775">
        <f>$E$22*$L$9*'Traffic Data'!BE87*annualizationFactor</f>
        <v>0.26652395436218179</v>
      </c>
      <c r="AD656" s="775">
        <f>$E$22*$L$9*'Traffic Data'!BF87*annualizationFactor</f>
        <v>0.26909365289890913</v>
      </c>
      <c r="AE656" s="775">
        <f>$E$22*$L$9*'Traffic Data'!BG87*annualizationFactor</f>
        <v>0.27168102688581819</v>
      </c>
      <c r="AF656" s="775">
        <f>$E$22*$L$9*'Traffic Data'!BH87*annualizationFactor</f>
        <v>0.27425072542254547</v>
      </c>
      <c r="AG656" s="775">
        <f>$E$22*$L$9*'Traffic Data'!BI87*annualizationFactor</f>
        <v>0.27682042395927275</v>
      </c>
      <c r="AH656" s="776">
        <f>$E$22*$L$9*'Traffic Data'!BJ87*annualizationFactor</f>
        <v>0.27939999995345455</v>
      </c>
      <c r="AI656" s="24"/>
      <c r="AJ656" s="24"/>
      <c r="AK656" s="24"/>
      <c r="AL656" s="24"/>
      <c r="AM656" s="24"/>
    </row>
    <row r="657" spans="2:39" ht="21.95" customHeight="1" x14ac:dyDescent="0.2">
      <c r="B657" s="492" t="s">
        <v>338</v>
      </c>
      <c r="C657" s="116" t="s">
        <v>282</v>
      </c>
      <c r="D657" s="116" t="s">
        <v>357</v>
      </c>
      <c r="E657" s="220" t="s">
        <v>467</v>
      </c>
      <c r="F657" s="220" t="s">
        <v>43</v>
      </c>
      <c r="G657" s="775"/>
      <c r="H657" s="775"/>
      <c r="I657" s="775">
        <f>$E$22*$M$9*'Traffic Data'!AK88*annualizationFactor</f>
        <v>0.67213090909090911</v>
      </c>
      <c r="J657" s="775">
        <f>$E$22*$M$9*'Traffic Data'!AL88*annualizationFactor</f>
        <v>0.69150642680727292</v>
      </c>
      <c r="K657" s="775">
        <f>$E$22*$M$9*'Traffic Data'!AM88*annualizationFactor</f>
        <v>0.71247825543272736</v>
      </c>
      <c r="L657" s="775">
        <f>$E$22*$M$9*'Traffic Data'!AN88*annualizationFactor</f>
        <v>0.7403011144145456</v>
      </c>
      <c r="M657" s="775">
        <f>$E$22*$M$9*'Traffic Data'!AO88*annualizationFactor</f>
        <v>0.76812867831272724</v>
      </c>
      <c r="N657" s="775">
        <f>$E$22*$M$9*'Traffic Data'!AP88*annualizationFactor</f>
        <v>0.79596766843636368</v>
      </c>
      <c r="O657" s="775">
        <f>$E$22*$M$9*'Traffic Data'!AQ88*annualizationFactor</f>
        <v>0.82379052741818193</v>
      </c>
      <c r="P657" s="775">
        <f>$E$22*$M$9*'Traffic Data'!AR88*annualizationFactor</f>
        <v>0.85162077984000017</v>
      </c>
      <c r="Q657" s="775">
        <f>$E$22*$M$9*'Traffic Data'!AS88*annualizationFactor</f>
        <v>0.88224440832000017</v>
      </c>
      <c r="R657" s="775">
        <f>$E$22*$M$9*'Traffic Data'!AT88*annualizationFactor</f>
        <v>0.91285795483636367</v>
      </c>
      <c r="S657" s="775">
        <f>$E$22*$M$9*'Traffic Data'!AU88*annualizationFactor</f>
        <v>0.94348158331636378</v>
      </c>
      <c r="T657" s="775">
        <f>$E$22*$M$9*'Traffic Data'!AV88*annualizationFactor</f>
        <v>0.97410521179636378</v>
      </c>
      <c r="U657" s="775">
        <f>$E$22*$M$9*'Traffic Data'!AW88*annualizationFactor</f>
        <v>1.0047463156800001</v>
      </c>
      <c r="V657" s="775">
        <f>$E$22*$M$9*'Traffic Data'!AX88*annualizationFactor</f>
        <v>1.02851622528</v>
      </c>
      <c r="W657" s="775">
        <f>$E$22*$M$9*'Traffic Data'!AY88*annualizationFactor</f>
        <v>1.0478917429963637</v>
      </c>
      <c r="X657" s="775">
        <f>$E$22*$M$9*'Traffic Data'!AZ88*annualizationFactor</f>
        <v>1.0672672607127274</v>
      </c>
      <c r="Y657" s="775">
        <f>$E$22*$M$9*'Traffic Data'!BA88*annualizationFactor</f>
        <v>1.0866427784290911</v>
      </c>
      <c r="Z657" s="775">
        <f>$E$22*$M$9*'Traffic Data'!BB88*annualizationFactor</f>
        <v>1.1060162797527273</v>
      </c>
      <c r="AA657" s="775">
        <f>$E$22*$M$9*'Traffic Data'!BC88*annualizationFactor</f>
        <v>1.1253917974690906</v>
      </c>
      <c r="AB657" s="775">
        <f>$E$22*$M$9*'Traffic Data'!BD88*annualizationFactor</f>
        <v>1.1447652987927268</v>
      </c>
      <c r="AC657" s="775">
        <f>$E$22*$M$9*'Traffic Data'!BE88*annualizationFactor</f>
        <v>1.1641408165090912</v>
      </c>
      <c r="AD657" s="775">
        <f>$E$22*$M$9*'Traffic Data'!BF88*annualizationFactor</f>
        <v>1.1835163342254549</v>
      </c>
      <c r="AE657" s="775">
        <f>$E$22*$M$9*'Traffic Data'!BG88*annualizationFactor</f>
        <v>1.2028898355490911</v>
      </c>
      <c r="AF657" s="775">
        <f>$E$22*$M$9*'Traffic Data'!BH88*annualizationFactor</f>
        <v>1.2222653532654546</v>
      </c>
      <c r="AG657" s="775">
        <f>$E$22*$M$9*'Traffic Data'!BI88*annualizationFactor</f>
        <v>1.2416408709818183</v>
      </c>
      <c r="AH657" s="776">
        <f>$E$22*$M$9*'Traffic Data'!BJ88*annualizationFactor</f>
        <v>1.2610143723054548</v>
      </c>
      <c r="AI657" s="24"/>
      <c r="AJ657" s="24"/>
      <c r="AK657" s="24"/>
      <c r="AL657" s="24"/>
      <c r="AM657" s="24"/>
    </row>
    <row r="658" spans="2:39" ht="21.95" customHeight="1" x14ac:dyDescent="0.2">
      <c r="B658" s="492"/>
      <c r="C658" s="116" t="s">
        <v>357</v>
      </c>
      <c r="D658" s="116" t="s">
        <v>346</v>
      </c>
      <c r="E658" s="116" t="s">
        <v>467</v>
      </c>
      <c r="F658" s="116" t="s">
        <v>43</v>
      </c>
      <c r="G658" s="970"/>
      <c r="H658" s="970"/>
      <c r="I658" s="777">
        <f>$E$22*$M$9*'Traffic Data'!AK89*annualizationFactor</f>
        <v>9.7886894545454559E-2</v>
      </c>
      <c r="J658" s="777">
        <f>$E$22*$M$9*'Traffic Data'!AL89*annualizationFactor</f>
        <v>0.10066507917090908</v>
      </c>
      <c r="K658" s="777">
        <f>$E$22*$M$9*'Traffic Data'!AM89*annualizationFactor</f>
        <v>0.10374812995345453</v>
      </c>
      <c r="L658" s="777">
        <f>$E$22*$M$9*'Traffic Data'!AN89*annualizationFactor</f>
        <v>0.10807550348363636</v>
      </c>
      <c r="M658" s="777">
        <f>$E$22*$M$9*'Traffic Data'!AO89*annualizationFactor</f>
        <v>0.1124036498050909</v>
      </c>
      <c r="N658" s="777">
        <f>$E$22*$M$9*'Traffic Data'!AP89*annualizationFactor</f>
        <v>0.1167326977163636</v>
      </c>
      <c r="O658" s="777">
        <f>$E$22*$M$9*'Traffic Data'!AQ89*annualizationFactor</f>
        <v>0.12106007124654546</v>
      </c>
      <c r="P658" s="777">
        <f>$E$22*$M$9*'Traffic Data'!AR89*annualizationFactor</f>
        <v>0.12538770237381816</v>
      </c>
      <c r="Q658" s="777">
        <f>$E$22*$M$9*'Traffic Data'!AS89*annualizationFactor</f>
        <v>0.13025177944290911</v>
      </c>
      <c r="R658" s="777">
        <f>$E$22*$M$9*'Traffic Data'!AT89*annualizationFactor</f>
        <v>0.13511418213090906</v>
      </c>
      <c r="S658" s="777">
        <f>$E$22*$M$9*'Traffic Data'!AU89*annualizationFactor</f>
        <v>0.13997825919999998</v>
      </c>
      <c r="T658" s="777">
        <f>$E$22*$M$9*'Traffic Data'!AV89*annualizationFactor</f>
        <v>0.14484233626909088</v>
      </c>
      <c r="U658" s="777">
        <f>$E$22*$M$9*'Traffic Data'!AW89*annualizationFactor</f>
        <v>0.14970718612945455</v>
      </c>
      <c r="V658" s="777">
        <f>$E$22*$M$9*'Traffic Data'!AX89*annualizationFactor</f>
        <v>0.1533274556450909</v>
      </c>
      <c r="W658" s="777">
        <f>$E$22*$M$9*'Traffic Data'!AY89*annualizationFactor</f>
        <v>0.15610564027054544</v>
      </c>
      <c r="X658" s="777">
        <f>$E$22*$M$9*'Traffic Data'!AZ89*annualizationFactor</f>
        <v>0.15888382489600003</v>
      </c>
      <c r="Y658" s="777">
        <f>$E$22*$M$9*'Traffic Data'!BA89*annualizationFactor</f>
        <v>0.16166200952145454</v>
      </c>
      <c r="Z658" s="777">
        <f>$E$22*$M$9*'Traffic Data'!BB89*annualizationFactor</f>
        <v>0.16443877736290907</v>
      </c>
      <c r="AA658" s="777">
        <f>$E$22*$M$9*'Traffic Data'!BC89*annualizationFactor</f>
        <v>0.16721696198836361</v>
      </c>
      <c r="AB658" s="777">
        <f>$E$22*$M$9*'Traffic Data'!BD89*annualizationFactor</f>
        <v>0.16999372982981817</v>
      </c>
      <c r="AC658" s="777">
        <f>$E$22*$M$9*'Traffic Data'!BE89*annualizationFactor</f>
        <v>0.17277191445527271</v>
      </c>
      <c r="AD658" s="777">
        <f>$E$22*$M$9*'Traffic Data'!BF89*annualizationFactor</f>
        <v>0.17555009908072725</v>
      </c>
      <c r="AE658" s="777">
        <f>$E$22*$M$9*'Traffic Data'!BG89*annualizationFactor</f>
        <v>0.17832686692218178</v>
      </c>
      <c r="AF658" s="777">
        <f>$E$22*$M$9*'Traffic Data'!BH89*annualizationFactor</f>
        <v>0.18110505154763634</v>
      </c>
      <c r="AG658" s="777">
        <f>$E$22*$M$9*'Traffic Data'!BI89*annualizationFactor</f>
        <v>0.18388323617309085</v>
      </c>
      <c r="AH658" s="778">
        <f>$E$22*$M$9*'Traffic Data'!BJ89*annualizationFactor</f>
        <v>0.18666000401454541</v>
      </c>
      <c r="AI658" s="24"/>
      <c r="AJ658" s="24"/>
      <c r="AK658" s="24"/>
      <c r="AL658" s="24"/>
      <c r="AM658" s="24"/>
    </row>
    <row r="659" spans="2:39" ht="21.95" customHeight="1" x14ac:dyDescent="0.2">
      <c r="B659" s="492"/>
      <c r="C659" s="116" t="s">
        <v>346</v>
      </c>
      <c r="D659" s="116" t="s">
        <v>343</v>
      </c>
      <c r="E659" s="116" t="s">
        <v>467</v>
      </c>
      <c r="F659" s="116" t="s">
        <v>43</v>
      </c>
      <c r="G659" s="970"/>
      <c r="H659" s="970"/>
      <c r="I659" s="777">
        <f>$E$22*$M$9*'Traffic Data'!AK90*annualizationFactor</f>
        <v>2.4209454545454544E-2</v>
      </c>
      <c r="J659" s="777">
        <f>$E$22*$M$9*'Traffic Data'!AL90*annualizationFactor</f>
        <v>2.4896557090909089E-2</v>
      </c>
      <c r="K659" s="777">
        <f>$E$22*$M$9*'Traffic Data'!AM90*annualizationFactor</f>
        <v>2.5659059345454545E-2</v>
      </c>
      <c r="L659" s="777">
        <f>$E$22*$M$9*'Traffic Data'!AN90*annualizationFactor</f>
        <v>2.6729308363636361E-2</v>
      </c>
      <c r="M659" s="777">
        <f>$E$22*$M$9*'Traffic Data'!AO90*annualizationFactor</f>
        <v>2.7799748509090907E-2</v>
      </c>
      <c r="N659" s="777">
        <f>$E$22*$M$9*'Traffic Data'!AP90*annualizationFactor</f>
        <v>2.8870411636363634E-2</v>
      </c>
      <c r="O659" s="777">
        <f>$E$22*$M$9*'Traffic Data'!AQ90*annualizationFactor</f>
        <v>2.9940660654545453E-2</v>
      </c>
      <c r="P659" s="777">
        <f>$E$22*$M$9*'Traffic Data'!AR90*annualizationFactor</f>
        <v>3.1010973381818185E-2</v>
      </c>
      <c r="Q659" s="777">
        <f>$E$22*$M$9*'Traffic Data'!AS90*annualizationFactor</f>
        <v>3.2213960290909095E-2</v>
      </c>
      <c r="R659" s="777">
        <f>$E$22*$M$9*'Traffic Data'!AT90*annualizationFactor</f>
        <v>3.3416533090909084E-2</v>
      </c>
      <c r="S659" s="777">
        <f>$E$22*$M$9*'Traffic Data'!AU90*annualizationFactor</f>
        <v>3.4619519999999994E-2</v>
      </c>
      <c r="T659" s="777">
        <f>$E$22*$M$9*'Traffic Data'!AV90*annualizationFactor</f>
        <v>3.5822506909090904E-2</v>
      </c>
      <c r="U659" s="777">
        <f>$E$22*$M$9*'Traffic Data'!AW90*annualizationFactor</f>
        <v>3.7025684945454544E-2</v>
      </c>
      <c r="V659" s="777">
        <f>$E$22*$M$9*'Traffic Data'!AX90*annualizationFactor</f>
        <v>3.7921052509090905E-2</v>
      </c>
      <c r="W659" s="777">
        <f>$E$22*$M$9*'Traffic Data'!AY90*annualizationFactor</f>
        <v>3.860815505454545E-2</v>
      </c>
      <c r="X659" s="777">
        <f>$E$22*$M$9*'Traffic Data'!AZ90*annualizationFactor</f>
        <v>3.9295257600000001E-2</v>
      </c>
      <c r="Y659" s="777">
        <f>$E$22*$M$9*'Traffic Data'!BA90*annualizationFactor</f>
        <v>3.9982360145454546E-2</v>
      </c>
      <c r="Z659" s="777">
        <f>$E$22*$M$9*'Traffic Data'!BB90*annualizationFactor</f>
        <v>4.0669112290909082E-2</v>
      </c>
      <c r="AA659" s="777">
        <f>$E$22*$M$9*'Traffic Data'!BC90*annualizationFactor</f>
        <v>4.1356214836363626E-2</v>
      </c>
      <c r="AB659" s="777">
        <f>$E$22*$M$9*'Traffic Data'!BD90*annualizationFactor</f>
        <v>4.2042966981818183E-2</v>
      </c>
      <c r="AC659" s="777">
        <f>$E$22*$M$9*'Traffic Data'!BE90*annualizationFactor</f>
        <v>4.2730069527272728E-2</v>
      </c>
      <c r="AD659" s="777">
        <f>$E$22*$M$9*'Traffic Data'!BF90*annualizationFactor</f>
        <v>4.3417172072727273E-2</v>
      </c>
      <c r="AE659" s="777">
        <f>$E$22*$M$9*'Traffic Data'!BG90*annualizationFactor</f>
        <v>4.4103924218181809E-2</v>
      </c>
      <c r="AF659" s="777">
        <f>$E$22*$M$9*'Traffic Data'!BH90*annualizationFactor</f>
        <v>4.4791026763636353E-2</v>
      </c>
      <c r="AG659" s="777">
        <f>$E$22*$M$9*'Traffic Data'!BI90*annualizationFactor</f>
        <v>4.5478129309090898E-2</v>
      </c>
      <c r="AH659" s="778">
        <f>$E$22*$M$9*'Traffic Data'!BJ90*annualizationFactor</f>
        <v>4.6164881454545448E-2</v>
      </c>
      <c r="AI659" s="24"/>
      <c r="AJ659" s="24"/>
      <c r="AK659" s="24"/>
      <c r="AL659" s="24"/>
      <c r="AM659" s="24"/>
    </row>
    <row r="660" spans="2:39" ht="21.95" customHeight="1" x14ac:dyDescent="0.2">
      <c r="B660" s="492"/>
      <c r="C660" s="116" t="s">
        <v>343</v>
      </c>
      <c r="D660" s="116" t="s">
        <v>350</v>
      </c>
      <c r="E660" s="116" t="s">
        <v>467</v>
      </c>
      <c r="F660" s="116" t="s">
        <v>43</v>
      </c>
      <c r="G660" s="970"/>
      <c r="H660" s="970"/>
      <c r="I660" s="777">
        <f>$E$22*$M$9*'Traffic Data'!AK91*annualizationFactor</f>
        <v>6.2116363636363636E-2</v>
      </c>
      <c r="J660" s="777">
        <f>$E$22*$M$9*'Traffic Data'!AL91*annualizationFactor</f>
        <v>6.3877776654545457E-2</v>
      </c>
      <c r="K660" s="777">
        <f>$E$22*$M$9*'Traffic Data'!AM91*annualizationFactor</f>
        <v>6.5884859890909087E-2</v>
      </c>
      <c r="L660" s="777">
        <f>$E$22*$M$9*'Traffic Data'!AN91*annualizationFactor</f>
        <v>6.8449437490909093E-2</v>
      </c>
      <c r="M660" s="777">
        <f>$E$22*$M$9*'Traffic Data'!AO91*annualizationFactor</f>
        <v>7.1014843309090914E-2</v>
      </c>
      <c r="N660" s="777">
        <f>$E$22*$M$9*'Traffic Data'!AP91*annualizationFactor</f>
        <v>7.3579835018181841E-2</v>
      </c>
      <c r="O660" s="777">
        <f>$E$22*$M$9*'Traffic Data'!AQ91*annualizationFactor</f>
        <v>7.6144412618181834E-2</v>
      </c>
      <c r="P660" s="777">
        <f>$E$22*$M$9*'Traffic Data'!AR91*annualizationFactor</f>
        <v>7.8709507854545474E-2</v>
      </c>
      <c r="Q660" s="777">
        <f>$E$22*$M$9*'Traffic Data'!AS91*annualizationFactor</f>
        <v>8.1608685599999994E-2</v>
      </c>
      <c r="R660" s="777">
        <f>$E$22*$M$9*'Traffic Data'!AT91*annualizationFactor</f>
        <v>8.4507759818181816E-2</v>
      </c>
      <c r="S660" s="777">
        <f>$E$22*$M$9*'Traffic Data'!AU91*annualizationFactor</f>
        <v>8.7406523454545457E-2</v>
      </c>
      <c r="T660" s="777">
        <f>$E$22*$M$9*'Traffic Data'!AV91*annualizationFactor</f>
        <v>9.0305701200000005E-2</v>
      </c>
      <c r="U660" s="777">
        <f>$E$22*$M$9*'Traffic Data'!AW91*annualizationFactor</f>
        <v>9.3205396581818173E-2</v>
      </c>
      <c r="V660" s="777">
        <f>$E$22*$M$9*'Traffic Data'!AX91*annualizationFactor</f>
        <v>9.5546976436363645E-2</v>
      </c>
      <c r="W660" s="777">
        <f>$E$22*$M$9*'Traffic Data'!AY91*annualizationFactor</f>
        <v>9.7308389454545466E-2</v>
      </c>
      <c r="X660" s="777">
        <f>$E$22*$M$9*'Traffic Data'!AZ91*annualizationFactor</f>
        <v>9.90698024727273E-2</v>
      </c>
      <c r="Y660" s="777">
        <f>$E$22*$M$9*'Traffic Data'!BA91*annualizationFactor</f>
        <v>0.10083121549090911</v>
      </c>
      <c r="Z660" s="777">
        <f>$E$22*$M$9*'Traffic Data'!BB91*annualizationFactor</f>
        <v>0.10259211087272729</v>
      </c>
      <c r="AA660" s="777">
        <f>$E$22*$M$9*'Traffic Data'!BC91*annualizationFactor</f>
        <v>0.10435352389090907</v>
      </c>
      <c r="AB660" s="777">
        <f>$E$22*$M$9*'Traffic Data'!BD91*annualizationFactor</f>
        <v>0.10611441927272726</v>
      </c>
      <c r="AC660" s="777">
        <f>$E$22*$M$9*'Traffic Data'!BE91*annualizationFactor</f>
        <v>0.10787583229090907</v>
      </c>
      <c r="AD660" s="777">
        <f>$E$22*$M$9*'Traffic Data'!BF91*annualizationFactor</f>
        <v>0.1096372453090909</v>
      </c>
      <c r="AE660" s="777">
        <f>$E$22*$M$9*'Traffic Data'!BG91*annualizationFactor</f>
        <v>0.11139814069090907</v>
      </c>
      <c r="AF660" s="777">
        <f>$E$22*$M$9*'Traffic Data'!BH91*annualizationFactor</f>
        <v>0.11315955370909089</v>
      </c>
      <c r="AG660" s="777">
        <f>$E$22*$M$9*'Traffic Data'!BI91*annualizationFactor</f>
        <v>0.1149209667272727</v>
      </c>
      <c r="AH660" s="778">
        <f>$E$22*$M$9*'Traffic Data'!BJ91*annualizationFactor</f>
        <v>0.11668186210909087</v>
      </c>
      <c r="AI660" s="24"/>
      <c r="AJ660" s="24"/>
      <c r="AK660" s="24"/>
      <c r="AL660" s="24"/>
      <c r="AM660" s="24"/>
    </row>
    <row r="661" spans="2:39" ht="21.95" customHeight="1" x14ac:dyDescent="0.2">
      <c r="B661" s="492"/>
      <c r="C661" s="116" t="s">
        <v>350</v>
      </c>
      <c r="D661" s="116" t="s">
        <v>280</v>
      </c>
      <c r="E661" s="116" t="s">
        <v>467</v>
      </c>
      <c r="F661" s="116" t="s">
        <v>43</v>
      </c>
      <c r="G661" s="970"/>
      <c r="H661" s="970"/>
      <c r="I661" s="777">
        <f>$E$22*$M$9*'Traffic Data'!AK92*annualizationFactor</f>
        <v>0.51572509090909091</v>
      </c>
      <c r="J661" s="777">
        <f>$E$22*$M$9*'Traffic Data'!AL92*annualizationFactor</f>
        <v>0.53034933540363638</v>
      </c>
      <c r="K661" s="777">
        <f>$E$22*$M$9*'Traffic Data'!AM92*annualizationFactor</f>
        <v>0.54701327263272725</v>
      </c>
      <c r="L661" s="777">
        <f>$E$22*$M$9*'Traffic Data'!AN92*annualizationFactor</f>
        <v>0.56830584255272731</v>
      </c>
      <c r="M661" s="777">
        <f>$E$22*$M$9*'Traffic Data'!AO92*annualizationFactor</f>
        <v>0.58960528880727281</v>
      </c>
      <c r="N661" s="777">
        <f>$E$22*$M$9*'Traffic Data'!AP92*annualizationFactor</f>
        <v>0.61090129689454575</v>
      </c>
      <c r="O661" s="777">
        <f>$E$22*$M$9*'Traffic Data'!AQ92*annualizationFactor</f>
        <v>0.63219386681454548</v>
      </c>
      <c r="P661" s="777">
        <f>$E$22*$M$9*'Traffic Data'!AR92*annualizationFactor</f>
        <v>0.65349073444363648</v>
      </c>
      <c r="Q661" s="777">
        <f>$E$22*$M$9*'Traffic Data'!AS92*annualizationFactor</f>
        <v>0.67756134351999986</v>
      </c>
      <c r="R661" s="777">
        <f>$E$22*$M$9*'Traffic Data'!AT92*annualizationFactor</f>
        <v>0.70163109305454552</v>
      </c>
      <c r="S661" s="777">
        <f>$E$22*$M$9*'Traffic Data'!AU92*annualizationFactor</f>
        <v>0.72569826396363635</v>
      </c>
      <c r="T661" s="777">
        <f>$E$22*$M$9*'Traffic Data'!AV92*annualizationFactor</f>
        <v>0.74976887304000006</v>
      </c>
      <c r="U661" s="777">
        <f>$E$22*$M$9*'Traffic Data'!AW92*annualizationFactor</f>
        <v>0.77384377982545449</v>
      </c>
      <c r="V661" s="777">
        <f>$E$22*$M$9*'Traffic Data'!AX92*annualizationFactor</f>
        <v>0.79328489666909097</v>
      </c>
      <c r="W661" s="777">
        <f>$E$22*$M$9*'Traffic Data'!AY92*annualizationFactor</f>
        <v>0.80790914116363655</v>
      </c>
      <c r="X661" s="777">
        <f>$E$22*$M$9*'Traffic Data'!AZ92*annualizationFactor</f>
        <v>0.82253338565818201</v>
      </c>
      <c r="Y661" s="777">
        <f>$E$22*$M$9*'Traffic Data'!BA92*annualizationFactor</f>
        <v>0.83715763015272748</v>
      </c>
      <c r="Z661" s="777">
        <f>$E$22*$M$9*'Traffic Data'!BB92*annualizationFactor</f>
        <v>0.85177757693818201</v>
      </c>
      <c r="AA661" s="777">
        <f>$E$22*$M$9*'Traffic Data'!BC92*annualizationFactor</f>
        <v>0.86640182143272715</v>
      </c>
      <c r="AB661" s="777">
        <f>$E$22*$M$9*'Traffic Data'!BD92*annualizationFactor</f>
        <v>0.88102176821818168</v>
      </c>
      <c r="AC661" s="777">
        <f>$E$22*$M$9*'Traffic Data'!BE92*annualizationFactor</f>
        <v>0.89564601271272715</v>
      </c>
      <c r="AD661" s="777">
        <f>$E$22*$M$9*'Traffic Data'!BF92*annualizationFactor</f>
        <v>0.91027025720727273</v>
      </c>
      <c r="AE661" s="777">
        <f>$E$22*$M$9*'Traffic Data'!BG92*annualizationFactor</f>
        <v>0.92489020399272714</v>
      </c>
      <c r="AF661" s="777">
        <f>$E$22*$M$9*'Traffic Data'!BH92*annualizationFactor</f>
        <v>0.93951444848727272</v>
      </c>
      <c r="AG661" s="777">
        <f>$E$22*$M$9*'Traffic Data'!BI92*annualizationFactor</f>
        <v>0.95413869298181797</v>
      </c>
      <c r="AH661" s="778">
        <f>$E$22*$M$9*'Traffic Data'!BJ92*annualizationFactor</f>
        <v>0.9687586397672725</v>
      </c>
      <c r="AI661" s="24"/>
      <c r="AJ661" s="24"/>
      <c r="AK661" s="24"/>
      <c r="AL661" s="24"/>
      <c r="AM661" s="24"/>
    </row>
    <row r="662" spans="2:39" ht="21.95" customHeight="1" x14ac:dyDescent="0.2">
      <c r="B662" s="493"/>
      <c r="C662" s="254" t="s">
        <v>280</v>
      </c>
      <c r="D662" s="254" t="s">
        <v>333</v>
      </c>
      <c r="E662" s="254" t="s">
        <v>467</v>
      </c>
      <c r="F662" s="254" t="s">
        <v>43</v>
      </c>
      <c r="G662" s="779"/>
      <c r="H662" s="779"/>
      <c r="I662" s="779">
        <f>$E$22*$M$9*'Traffic Data'!AK93*annualizationFactor</f>
        <v>1.2741818181818182E-2</v>
      </c>
      <c r="J662" s="779">
        <f>$E$22*$M$9*'Traffic Data'!AL93*annualizationFactor</f>
        <v>1.3103133672727276E-2</v>
      </c>
      <c r="K662" s="779">
        <f>$E$22*$M$9*'Traffic Data'!AM93*annualizationFactor</f>
        <v>1.3514843054545454E-2</v>
      </c>
      <c r="L662" s="779">
        <f>$E$22*$M$9*'Traffic Data'!AN93*annualizationFactor</f>
        <v>1.4040910254545458E-2</v>
      </c>
      <c r="M662" s="779">
        <f>$E$22*$M$9*'Traffic Data'!AO93*annualizationFactor</f>
        <v>1.4567147345454542E-2</v>
      </c>
      <c r="N662" s="779">
        <f>$E$22*$M$9*'Traffic Data'!AP93*annualizationFactor</f>
        <v>1.5093299490909094E-2</v>
      </c>
      <c r="O662" s="779">
        <f>$E$22*$M$9*'Traffic Data'!AQ93*annualizationFactor</f>
        <v>1.5619366690909095E-2</v>
      </c>
      <c r="P662" s="779">
        <f>$E$22*$M$9*'Traffic Data'!AR93*annualizationFactor</f>
        <v>1.6145540072727275E-2</v>
      </c>
      <c r="Q662" s="779">
        <f>$E$22*$M$9*'Traffic Data'!AS93*annualizationFactor</f>
        <v>1.6740243200000001E-2</v>
      </c>
      <c r="R662" s="779">
        <f>$E$22*$M$9*'Traffic Data'!AT93*annualizationFactor</f>
        <v>1.7334925090909094E-2</v>
      </c>
      <c r="S662" s="779">
        <f>$E$22*$M$9*'Traffic Data'!AU93*annualizationFactor</f>
        <v>1.7929543272727274E-2</v>
      </c>
      <c r="T662" s="779">
        <f>$E$22*$M$9*'Traffic Data'!AV93*annualizationFactor</f>
        <v>1.8524246400000006E-2</v>
      </c>
      <c r="U662" s="779">
        <f>$E$22*$M$9*'Traffic Data'!AW93*annualizationFactor</f>
        <v>1.911905570909091E-2</v>
      </c>
      <c r="V662" s="779">
        <f>$E$22*$M$9*'Traffic Data'!AX93*annualizationFactor</f>
        <v>1.9599379781818183E-2</v>
      </c>
      <c r="W662" s="779">
        <f>$E$22*$M$9*'Traffic Data'!AY93*annualizationFactor</f>
        <v>1.9960695272727279E-2</v>
      </c>
      <c r="X662" s="779">
        <f>$E$22*$M$9*'Traffic Data'!AZ93*annualizationFactor</f>
        <v>2.0322010763636371E-2</v>
      </c>
      <c r="Y662" s="779">
        <f>$E$22*$M$9*'Traffic Data'!BA93*annualizationFactor</f>
        <v>2.0683326254545456E-2</v>
      </c>
      <c r="Z662" s="779">
        <f>$E$22*$M$9*'Traffic Data'!BB93*annualizationFactor</f>
        <v>2.1044535563636366E-2</v>
      </c>
      <c r="AA662" s="779">
        <f>$E$22*$M$9*'Traffic Data'!BC93*annualizationFactor</f>
        <v>2.1405851054545448E-2</v>
      </c>
      <c r="AB662" s="779">
        <f>$E$22*$M$9*'Traffic Data'!BD93*annualizationFactor</f>
        <v>2.1767060363636362E-2</v>
      </c>
      <c r="AC662" s="779">
        <f>$E$22*$M$9*'Traffic Data'!BE93*annualizationFactor</f>
        <v>2.2128375854545447E-2</v>
      </c>
      <c r="AD662" s="779">
        <f>$E$22*$M$9*'Traffic Data'!BF93*annualizationFactor</f>
        <v>2.2489691345454539E-2</v>
      </c>
      <c r="AE662" s="779">
        <f>$E$22*$M$9*'Traffic Data'!BG93*annualizationFactor</f>
        <v>2.2850900654545449E-2</v>
      </c>
      <c r="AF662" s="779">
        <f>$E$22*$M$9*'Traffic Data'!BH93*annualizationFactor</f>
        <v>2.3212216145454545E-2</v>
      </c>
      <c r="AG662" s="779">
        <f>$E$22*$M$9*'Traffic Data'!BI93*annualizationFactor</f>
        <v>2.3573531636363634E-2</v>
      </c>
      <c r="AH662" s="783">
        <f>$E$22*$M$9*'Traffic Data'!BJ93*annualizationFactor</f>
        <v>2.3934740945454544E-2</v>
      </c>
      <c r="AI662" s="24"/>
      <c r="AJ662" s="24"/>
      <c r="AK662" s="24"/>
      <c r="AL662" s="24"/>
      <c r="AM662" s="24"/>
    </row>
    <row r="663" spans="2:39" ht="21.95" customHeight="1" x14ac:dyDescent="0.2">
      <c r="B663" s="784" t="s">
        <v>491</v>
      </c>
      <c r="C663" s="240"/>
      <c r="D663" s="240"/>
      <c r="E663" s="240"/>
      <c r="F663" s="240"/>
      <c r="G663" s="969">
        <f>SUM(G634:G662)</f>
        <v>0</v>
      </c>
      <c r="H663" s="969">
        <f>SUM(H634:H662)</f>
        <v>0</v>
      </c>
      <c r="I663" s="785">
        <f t="shared" ref="I663:AH663" si="65">SUM(I634:I662)</f>
        <v>14.789539960727273</v>
      </c>
      <c r="J663" s="785">
        <f t="shared" si="65"/>
        <v>15.4393678177904</v>
      </c>
      <c r="K663" s="785">
        <f t="shared" si="65"/>
        <v>16.310097476587341</v>
      </c>
      <c r="L663" s="785">
        <f t="shared" si="65"/>
        <v>17.674780664978041</v>
      </c>
      <c r="M663" s="785">
        <f t="shared" si="65"/>
        <v>19.040100946029821</v>
      </c>
      <c r="N663" s="785">
        <f t="shared" si="65"/>
        <v>20.405422694153312</v>
      </c>
      <c r="O663" s="785">
        <f t="shared" si="65"/>
        <v>21.770105882544009</v>
      </c>
      <c r="P663" s="785">
        <f t="shared" si="65"/>
        <v>23.136062811015268</v>
      </c>
      <c r="Q663" s="785">
        <f t="shared" si="65"/>
        <v>24.381443475532947</v>
      </c>
      <c r="R663" s="785">
        <f t="shared" si="65"/>
        <v>25.623498909947049</v>
      </c>
      <c r="S663" s="785">
        <f t="shared" si="65"/>
        <v>26.865278652040871</v>
      </c>
      <c r="T663" s="785">
        <f t="shared" si="65"/>
        <v>28.107052102734539</v>
      </c>
      <c r="U663" s="785">
        <f t="shared" si="65"/>
        <v>29.350100065960291</v>
      </c>
      <c r="V663" s="785">
        <f t="shared" si="65"/>
        <v>30.103107812800879</v>
      </c>
      <c r="W663" s="785">
        <f t="shared" si="65"/>
        <v>30.586884592279361</v>
      </c>
      <c r="X663" s="785">
        <f t="shared" si="65"/>
        <v>31.082318611268885</v>
      </c>
      <c r="Y663" s="785">
        <f t="shared" si="65"/>
        <v>31.577752630258413</v>
      </c>
      <c r="Z663" s="785">
        <f t="shared" si="65"/>
        <v>32.073524367314185</v>
      </c>
      <c r="AA663" s="785">
        <f t="shared" si="65"/>
        <v>32.583818207630856</v>
      </c>
      <c r="AB663" s="785">
        <f t="shared" si="65"/>
        <v>33.096443437419154</v>
      </c>
      <c r="AC663" s="785">
        <f t="shared" si="65"/>
        <v>33.608746051304351</v>
      </c>
      <c r="AD663" s="785">
        <f t="shared" si="65"/>
        <v>34.121048665189548</v>
      </c>
      <c r="AE663" s="785">
        <f t="shared" si="65"/>
        <v>34.633692933802578</v>
      </c>
      <c r="AF663" s="785">
        <f t="shared" si="65"/>
        <v>35.145995547687754</v>
      </c>
      <c r="AG663" s="785">
        <f t="shared" si="65"/>
        <v>35.658298161572951</v>
      </c>
      <c r="AH663" s="786">
        <f t="shared" si="65"/>
        <v>36.170923391361242</v>
      </c>
      <c r="AI663" s="24"/>
      <c r="AJ663" s="24"/>
      <c r="AK663" s="24"/>
      <c r="AL663" s="24"/>
      <c r="AM663" s="24"/>
    </row>
    <row r="664" spans="2:39" ht="21.95" customHeight="1" x14ac:dyDescent="0.2">
      <c r="B664" s="787" t="s">
        <v>328</v>
      </c>
      <c r="C664" s="1344" t="s">
        <v>18</v>
      </c>
      <c r="D664" s="1344"/>
      <c r="E664" s="46" t="s">
        <v>24</v>
      </c>
      <c r="F664" s="46" t="s">
        <v>42</v>
      </c>
      <c r="G664" s="123" cm="1">
        <f t="array" ref="G664:AH664">year</f>
        <v>2021</v>
      </c>
      <c r="H664" s="123">
        <v>2022</v>
      </c>
      <c r="I664" s="46">
        <v>2023</v>
      </c>
      <c r="J664" s="46">
        <v>2024</v>
      </c>
      <c r="K664" s="46">
        <v>2025</v>
      </c>
      <c r="L664" s="46">
        <v>2026</v>
      </c>
      <c r="M664" s="46">
        <v>2027</v>
      </c>
      <c r="N664" s="46">
        <v>2028</v>
      </c>
      <c r="O664" s="46">
        <v>2029</v>
      </c>
      <c r="P664" s="46">
        <v>2030</v>
      </c>
      <c r="Q664" s="46">
        <v>2031</v>
      </c>
      <c r="R664" s="46">
        <v>2032</v>
      </c>
      <c r="S664" s="46">
        <v>2033</v>
      </c>
      <c r="T664" s="46">
        <v>2034</v>
      </c>
      <c r="U664" s="46">
        <v>2035</v>
      </c>
      <c r="V664" s="46">
        <v>2036</v>
      </c>
      <c r="W664" s="46">
        <v>2037</v>
      </c>
      <c r="X664" s="46">
        <v>2038</v>
      </c>
      <c r="Y664" s="46">
        <v>2039</v>
      </c>
      <c r="Z664" s="46">
        <v>2040</v>
      </c>
      <c r="AA664" s="46">
        <v>2041</v>
      </c>
      <c r="AB664" s="46">
        <v>2042</v>
      </c>
      <c r="AC664" s="46">
        <v>2043</v>
      </c>
      <c r="AD664" s="46">
        <v>2044</v>
      </c>
      <c r="AE664" s="46">
        <v>2045</v>
      </c>
      <c r="AF664" s="46">
        <v>2046</v>
      </c>
      <c r="AG664" s="46">
        <v>2047</v>
      </c>
      <c r="AH664" s="495">
        <v>2048</v>
      </c>
      <c r="AI664" s="24"/>
      <c r="AJ664" s="24"/>
      <c r="AK664" s="24"/>
      <c r="AL664" s="24"/>
      <c r="AM664" s="24"/>
    </row>
    <row r="665" spans="2:39" ht="21.95" customHeight="1" x14ac:dyDescent="0.2">
      <c r="B665" s="1346" t="s">
        <v>331</v>
      </c>
      <c r="C665" s="220" t="s">
        <v>332</v>
      </c>
      <c r="D665" s="220" t="s">
        <v>282</v>
      </c>
      <c r="E665" s="220" t="s">
        <v>19</v>
      </c>
      <c r="F665" s="220" t="s">
        <v>438</v>
      </c>
      <c r="G665" s="775"/>
      <c r="H665" s="775"/>
      <c r="I665" s="775">
        <f>$F$21*$E$8*'Traffic Data'!AK65*annualizationFactor</f>
        <v>1.0894710016080001E-4</v>
      </c>
      <c r="J665" s="775">
        <f>$F$21*$E$8*'Traffic Data'!AL65*annualizationFactor</f>
        <v>1.1390112908092438E-4</v>
      </c>
      <c r="K665" s="775">
        <f>$F$21*$E$8*'Traffic Data'!AM65*annualizationFactor</f>
        <v>1.2088089314466365E-4</v>
      </c>
      <c r="L665" s="775">
        <f>$F$21*$E$8*'Traffic Data'!AN65*annualizationFactor</f>
        <v>1.3114779549606705E-4</v>
      </c>
      <c r="M665" s="775">
        <f>$F$21*$E$8*'Traffic Data'!AO65*annualizationFactor</f>
        <v>1.4141844290403843E-4</v>
      </c>
      <c r="N665" s="775">
        <f>$F$21*$E$8*'Traffic Data'!AP65*annualizationFactor</f>
        <v>1.5168909031200984E-4</v>
      </c>
      <c r="O665" s="775">
        <f>$F$21*$E$8*'Traffic Data'!AQ65*annualizationFactor</f>
        <v>1.6195599266341322E-4</v>
      </c>
      <c r="P665" s="775">
        <f>$F$21*$E$8*'Traffic Data'!AR65*annualizationFactor</f>
        <v>1.7223038512795266E-4</v>
      </c>
      <c r="Q665" s="775">
        <f>$F$21*$E$8*'Traffic Data'!AS65*annualizationFactor</f>
        <v>1.8238323348387526E-4</v>
      </c>
      <c r="R665" s="775">
        <f>$F$21*$E$8*'Traffic Data'!AT65*annualizationFactor</f>
        <v>1.9253812459792583E-4</v>
      </c>
      <c r="S665" s="775">
        <f>$F$21*$E$8*'Traffic Data'!AU65*annualizationFactor</f>
        <v>2.026909729538484E-4</v>
      </c>
      <c r="T665" s="775">
        <f>$F$21*$E$8*'Traffic Data'!AV65*annualizationFactor</f>
        <v>2.1284382130977092E-4</v>
      </c>
      <c r="U665" s="775">
        <f>$F$21*$E$8*'Traffic Data'!AW65*annualizationFactor</f>
        <v>2.2300415977882955E-4</v>
      </c>
      <c r="V665" s="775">
        <f>$F$21*$E$8*'Traffic Data'!AX65*annualizationFactor</f>
        <v>2.2986612479051997E-4</v>
      </c>
      <c r="W665" s="775">
        <f>$F$21*$E$8*'Traffic Data'!AY65*annualizationFactor</f>
        <v>2.3482015371064432E-4</v>
      </c>
      <c r="X665" s="775">
        <f>$F$21*$E$8*'Traffic Data'!AZ65*annualizationFactor</f>
        <v>2.3977418263076863E-4</v>
      </c>
      <c r="Y665" s="775">
        <f>$F$21*$E$8*'Traffic Data'!BA65*annualizationFactor</f>
        <v>2.4472821155089301E-4</v>
      </c>
      <c r="Z665" s="775">
        <f>$F$21*$E$8*'Traffic Data'!BB65*annualizationFactor</f>
        <v>2.4968394276945745E-4</v>
      </c>
      <c r="AA665" s="775">
        <f>$F$21*$E$8*'Traffic Data'!BC65*annualizationFactor</f>
        <v>2.5463797168958187E-4</v>
      </c>
      <c r="AB665" s="775">
        <f>$F$21*$E$8*'Traffic Data'!BD65*annualizationFactor</f>
        <v>2.5959370290814615E-4</v>
      </c>
      <c r="AC665" s="775">
        <f>$F$21*$E$8*'Traffic Data'!BE65*annualizationFactor</f>
        <v>2.6454773182827063E-4</v>
      </c>
      <c r="AD665" s="775">
        <f>$F$21*$E$8*'Traffic Data'!BF65*annualizationFactor</f>
        <v>2.6950176074839495E-4</v>
      </c>
      <c r="AE665" s="775">
        <f>$F$21*$E$8*'Traffic Data'!BG65*annualizationFactor</f>
        <v>2.7445749196695928E-4</v>
      </c>
      <c r="AF665" s="775">
        <f>$F$21*$E$8*'Traffic Data'!BH65*annualizationFactor</f>
        <v>2.7941152088708371E-4</v>
      </c>
      <c r="AG665" s="775">
        <f>$F$21*$E$8*'Traffic Data'!BI65*annualizationFactor</f>
        <v>2.8436554980720814E-4</v>
      </c>
      <c r="AH665" s="776">
        <f>$F$21*$E$8*'Traffic Data'!BJ65*annualizationFactor</f>
        <v>2.8932128102577247E-4</v>
      </c>
      <c r="AI665" s="24"/>
      <c r="AJ665" s="24"/>
      <c r="AK665" s="24"/>
      <c r="AL665" s="24"/>
      <c r="AM665" s="24"/>
    </row>
    <row r="666" spans="2:39" ht="21.95" customHeight="1" x14ac:dyDescent="0.2">
      <c r="B666" s="1346"/>
      <c r="C666" s="116" t="s">
        <v>282</v>
      </c>
      <c r="D666" s="116" t="s">
        <v>280</v>
      </c>
      <c r="E666" s="116" t="s">
        <v>19</v>
      </c>
      <c r="F666" s="116" t="s">
        <v>438</v>
      </c>
      <c r="G666" s="970"/>
      <c r="H666" s="970"/>
      <c r="I666" s="777">
        <f>$F$21*$E$8*'Traffic Data'!AK66*annualizationFactor</f>
        <v>3.5032324499223752E-3</v>
      </c>
      <c r="J666" s="777">
        <f>$F$21*$E$8*'Traffic Data'!AL66*annualizationFactor</f>
        <v>3.6881512235382775E-3</v>
      </c>
      <c r="K666" s="777">
        <f>$F$21*$E$8*'Traffic Data'!AM66*annualizationFactor</f>
        <v>3.9657369829221275E-3</v>
      </c>
      <c r="L666" s="777">
        <f>$F$21*$E$8*'Traffic Data'!AN66*annualizationFactor</f>
        <v>4.424349035421965E-3</v>
      </c>
      <c r="M666" s="777">
        <f>$F$21*$E$8*'Traffic Data'!AO66*annualizationFactor</f>
        <v>4.8831686868817982E-3</v>
      </c>
      <c r="N666" s="777">
        <f>$F$21*$E$8*'Traffic Data'!AP66*annualizationFactor</f>
        <v>5.341962388471632E-3</v>
      </c>
      <c r="O666" s="777">
        <f>$F$21*$E$8*'Traffic Data'!AQ66*annualizationFactor</f>
        <v>5.8005744409714713E-3</v>
      </c>
      <c r="P666" s="777">
        <f>$F$21*$E$8*'Traffic Data'!AR66*annualizationFactor</f>
        <v>6.2596016913912993E-3</v>
      </c>
      <c r="Q666" s="777">
        <f>$F$21*$E$8*'Traffic Data'!AS66*annualizationFactor</f>
        <v>6.722703071401037E-3</v>
      </c>
      <c r="R666" s="777">
        <f>$F$21*$E$8*'Traffic Data'!AT66*annualizationFactor</f>
        <v>7.1859601506307725E-3</v>
      </c>
      <c r="S666" s="777">
        <f>$F$21*$E$8*'Traffic Data'!AU66*annualizationFactor</f>
        <v>7.6490615306405102E-3</v>
      </c>
      <c r="T666" s="777">
        <f>$F$21*$E$8*'Traffic Data'!AV66*annualizationFactor</f>
        <v>8.1121629106502488E-3</v>
      </c>
      <c r="U666" s="777">
        <f>$F$21*$E$8*'Traffic Data'!AW66*annualizationFactor</f>
        <v>8.5756794885799795E-3</v>
      </c>
      <c r="V666" s="777">
        <f>$F$21*$E$8*'Traffic Data'!AX66*annualizationFactor</f>
        <v>8.8575469765137353E-3</v>
      </c>
      <c r="W666" s="777">
        <f>$F$21*$E$8*'Traffic Data'!AY66*annualizationFactor</f>
        <v>9.042465750129635E-3</v>
      </c>
      <c r="X666" s="777">
        <f>$F$21*$E$8*'Traffic Data'!AZ66*annualizationFactor</f>
        <v>9.2273845237455399E-3</v>
      </c>
      <c r="Y666" s="777">
        <f>$F$21*$E$8*'Traffic Data'!BA66*annualizationFactor</f>
        <v>9.4123032973614448E-3</v>
      </c>
      <c r="Z666" s="777">
        <f>$F$21*$E$8*'Traffic Data'!BB66*annualizationFactor</f>
        <v>9.5973258704573419E-3</v>
      </c>
      <c r="AA666" s="777">
        <f>$F$21*$E$8*'Traffic Data'!BC66*annualizationFactor</f>
        <v>9.7822446440732434E-3</v>
      </c>
      <c r="AB666" s="777">
        <f>$F$21*$E$8*'Traffic Data'!BD66*annualizationFactor</f>
        <v>9.9672672171691457E-3</v>
      </c>
      <c r="AC666" s="777">
        <f>$F$21*$E$8*'Traffic Data'!BE66*annualizationFactor</f>
        <v>1.0152185990785049E-2</v>
      </c>
      <c r="AD666" s="777">
        <f>$F$21*$E$8*'Traffic Data'!BF66*annualizationFactor</f>
        <v>1.033710476440095E-2</v>
      </c>
      <c r="AE666" s="777">
        <f>$F$21*$E$8*'Traffic Data'!BG66*annualizationFactor</f>
        <v>1.0522127337496853E-2</v>
      </c>
      <c r="AF666" s="777">
        <f>$F$21*$E$8*'Traffic Data'!BH66*annualizationFactor</f>
        <v>1.0707046111112752E-2</v>
      </c>
      <c r="AG666" s="777">
        <f>$F$21*$E$8*'Traffic Data'!BI66*annualizationFactor</f>
        <v>1.0891964884728655E-2</v>
      </c>
      <c r="AH666" s="778">
        <f>$F$21*$E$8*'Traffic Data'!BJ66*annualizationFactor</f>
        <v>1.1076987457824556E-2</v>
      </c>
      <c r="AI666" s="24"/>
      <c r="AJ666" s="24"/>
      <c r="AK666" s="24"/>
      <c r="AL666" s="24"/>
      <c r="AM666" s="24"/>
    </row>
    <row r="667" spans="2:39" ht="21.95" customHeight="1" x14ac:dyDescent="0.2">
      <c r="B667" s="1346"/>
      <c r="C667" s="116" t="s">
        <v>280</v>
      </c>
      <c r="D667" s="116" t="s">
        <v>333</v>
      </c>
      <c r="E667" s="254" t="s">
        <v>19</v>
      </c>
      <c r="F667" s="254" t="s">
        <v>438</v>
      </c>
      <c r="G667" s="779"/>
      <c r="H667" s="779"/>
      <c r="I667" s="777">
        <f>$F$21*$E$8*'Traffic Data'!AK67*annualizationFactor</f>
        <v>8.1710325120600013E-5</v>
      </c>
      <c r="J667" s="777">
        <f>$F$21*$E$8*'Traffic Data'!AL67*annualizationFactor</f>
        <v>8.5122412113761048E-5</v>
      </c>
      <c r="K667" s="777">
        <f>$F$21*$E$8*'Traffic Data'!AM67*annualizationFactor</f>
        <v>8.9345474083744056E-5</v>
      </c>
      <c r="L667" s="777">
        <f>$F$21*$E$8*'Traffic Data'!AN67*annualizationFactor</f>
        <v>9.5031150873385825E-5</v>
      </c>
      <c r="M667" s="777">
        <f>$F$21*$E$8*'Traffic Data'!AO67*annualizationFactor</f>
        <v>1.007188704211556E-4</v>
      </c>
      <c r="N667" s="777">
        <f>$F$21*$E$8*'Traffic Data'!AP67*annualizationFactor</f>
        <v>1.0640590904954938E-4</v>
      </c>
      <c r="O667" s="777">
        <f>$F$21*$E$8*'Traffic Data'!AQ67*annualizationFactor</f>
        <v>1.1209158583919112E-4</v>
      </c>
      <c r="P667" s="777">
        <f>$F$21*$E$8*'Traffic Data'!AR67*annualizationFactor</f>
        <v>1.1778134814508891E-4</v>
      </c>
      <c r="Q667" s="777">
        <f>$F$21*$E$8*'Traffic Data'!AS67*annualizationFactor</f>
        <v>1.2329407141322535E-4</v>
      </c>
      <c r="R667" s="777">
        <f>$F$21*$E$8*'Traffic Data'!AT67*annualizationFactor</f>
        <v>1.2880883743948983E-4</v>
      </c>
      <c r="S667" s="777">
        <f>$F$21*$E$8*'Traffic Data'!AU67*annualizationFactor</f>
        <v>1.3432156070762634E-4</v>
      </c>
      <c r="T667" s="777">
        <f>$F$21*$E$8*'Traffic Data'!AV67*annualizationFactor</f>
        <v>1.398342839757628E-4</v>
      </c>
      <c r="U667" s="777">
        <f>$F$21*$E$8*'Traffic Data'!AW67*annualizationFactor</f>
        <v>1.4535109276015532E-4</v>
      </c>
      <c r="V667" s="777">
        <f>$F$21*$E$8*'Traffic Data'!AX67*annualizationFactor</f>
        <v>1.4939915845050503E-4</v>
      </c>
      <c r="W667" s="777">
        <f>$F$21*$E$8*'Traffic Data'!AY67*annualizationFactor</f>
        <v>1.5281124544366611E-4</v>
      </c>
      <c r="X667" s="777">
        <f>$F$21*$E$8*'Traffic Data'!AZ67*annualizationFactor</f>
        <v>1.5622333243682713E-4</v>
      </c>
      <c r="Y667" s="777">
        <f>$F$21*$E$8*'Traffic Data'!BA67*annualizationFactor</f>
        <v>1.596354194299882E-4</v>
      </c>
      <c r="Z667" s="777">
        <f>$F$21*$E$8*'Traffic Data'!BB67*annualizationFactor</f>
        <v>1.6304886826190129E-4</v>
      </c>
      <c r="AA667" s="777">
        <f>$F$21*$E$8*'Traffic Data'!BC67*annualizationFactor</f>
        <v>1.6646095525506234E-4</v>
      </c>
      <c r="AB667" s="777">
        <f>$F$21*$E$8*'Traffic Data'!BD67*annualizationFactor</f>
        <v>1.6987440408697539E-4</v>
      </c>
      <c r="AC667" s="777">
        <f>$F$21*$E$8*'Traffic Data'!BE67*annualizationFactor</f>
        <v>1.732864910801365E-4</v>
      </c>
      <c r="AD667" s="777">
        <f>$F$21*$E$8*'Traffic Data'!BF67*annualizationFactor</f>
        <v>1.7669857807329746E-4</v>
      </c>
      <c r="AE667" s="777">
        <f>$F$21*$E$8*'Traffic Data'!BG67*annualizationFactor</f>
        <v>1.801120269052106E-4</v>
      </c>
      <c r="AF667" s="777">
        <f>$F$21*$E$8*'Traffic Data'!BH67*annualizationFactor</f>
        <v>1.8352411389837165E-4</v>
      </c>
      <c r="AG667" s="777">
        <f>$F$21*$E$8*'Traffic Data'!BI67*annualizationFactor</f>
        <v>1.8693620089153264E-4</v>
      </c>
      <c r="AH667" s="778">
        <f>$F$21*$E$8*'Traffic Data'!BJ67*annualizationFactor</f>
        <v>1.9034964972344576E-4</v>
      </c>
      <c r="AI667" s="24"/>
      <c r="AJ667" s="24"/>
      <c r="AK667" s="24"/>
      <c r="AL667" s="24"/>
      <c r="AM667" s="24"/>
    </row>
    <row r="668" spans="2:39" ht="21.95" customHeight="1" x14ac:dyDescent="0.2">
      <c r="B668" s="1346" t="s">
        <v>280</v>
      </c>
      <c r="C668" s="220" t="s">
        <v>281</v>
      </c>
      <c r="D668" s="220" t="s">
        <v>335</v>
      </c>
      <c r="E668" s="116" t="s">
        <v>19</v>
      </c>
      <c r="F668" s="220" t="s">
        <v>438</v>
      </c>
      <c r="G668" s="970"/>
      <c r="H668" s="970"/>
      <c r="I668" s="775">
        <f>$F$21*$F$8*'Traffic Data'!AK68*annualizationFactor</f>
        <v>6.7505499860400007E-4</v>
      </c>
      <c r="J668" s="775">
        <f>$F$21*$F$8*'Traffic Data'!AL68*annualizationFactor</f>
        <v>7.4334018698778766E-4</v>
      </c>
      <c r="K668" s="775">
        <f>$F$21*$F$8*'Traffic Data'!AM68*annualizationFactor</f>
        <v>8.9600725019707529E-4</v>
      </c>
      <c r="L668" s="775">
        <f>$F$21*$F$8*'Traffic Data'!AN68*annualizationFactor</f>
        <v>1.2026509833129426E-3</v>
      </c>
      <c r="M668" s="775">
        <f>$F$21*$F$8*'Traffic Data'!AO68*annualizationFactor</f>
        <v>1.5094837318284182E-3</v>
      </c>
      <c r="N668" s="775">
        <f>$F$21*$F$8*'Traffic Data'!AP68*annualizationFactor</f>
        <v>1.816282727593964E-3</v>
      </c>
      <c r="O668" s="775">
        <f>$F$21*$F$8*'Traffic Data'!AQ68*annualizationFactor</f>
        <v>2.1229264607098312E-3</v>
      </c>
      <c r="P668" s="775">
        <f>$F$21*$F$8*'Traffic Data'!AR68*annualizationFactor</f>
        <v>2.4299482246249167E-3</v>
      </c>
      <c r="Q668" s="775">
        <f>$F$21*$F$8*'Traffic Data'!AS68*annualizationFactor</f>
        <v>2.7312117694019097E-3</v>
      </c>
      <c r="R668" s="775">
        <f>$F$21*$F$8*'Traffic Data'!AT68*annualizationFactor</f>
        <v>3.032627201553588E-3</v>
      </c>
      <c r="S668" s="775">
        <f>$F$21*$F$8*'Traffic Data'!AU68*annualizationFactor</f>
        <v>3.3338907463305815E-3</v>
      </c>
      <c r="T668" s="775">
        <f>$F$21*$F$8*'Traffic Data'!AV68*annualizationFactor</f>
        <v>3.6351542911075754E-3</v>
      </c>
      <c r="U668" s="775">
        <f>$F$21*$F$8*'Traffic Data'!AW68*annualizationFactor</f>
        <v>3.9367958666837862E-3</v>
      </c>
      <c r="V668" s="775">
        <f>$F$21*$F$8*'Traffic Data'!AX68*annualizationFactor</f>
        <v>4.0838937261545903E-3</v>
      </c>
      <c r="W668" s="775">
        <f>$F$21*$F$8*'Traffic Data'!AY68*annualizationFactor</f>
        <v>4.1521789145383785E-3</v>
      </c>
      <c r="X668" s="775">
        <f>$F$21*$F$8*'Traffic Data'!AZ68*annualizationFactor</f>
        <v>4.2204641029221657E-3</v>
      </c>
      <c r="Y668" s="775">
        <f>$F$21*$F$8*'Traffic Data'!BA68*annualizationFactor</f>
        <v>4.288749291305953E-3</v>
      </c>
      <c r="Z668" s="775">
        <f>$F$21*$F$8*'Traffic Data'!BB68*annualizationFactor</f>
        <v>4.3571391132145249E-3</v>
      </c>
      <c r="AA668" s="775">
        <f>$F$21*$F$8*'Traffic Data'!BC68*annualizationFactor</f>
        <v>4.425424301598313E-3</v>
      </c>
      <c r="AB668" s="775">
        <f>$F$21*$F$8*'Traffic Data'!BD68*annualizationFactor</f>
        <v>4.4938141235068832E-3</v>
      </c>
      <c r="AC668" s="775">
        <f>$F$21*$F$8*'Traffic Data'!BE68*annualizationFactor</f>
        <v>4.5620993118906713E-3</v>
      </c>
      <c r="AD668" s="775">
        <f>$F$21*$F$8*'Traffic Data'!BF68*annualizationFactor</f>
        <v>4.6303845002744586E-3</v>
      </c>
      <c r="AE668" s="775">
        <f>$F$21*$F$8*'Traffic Data'!BG68*annualizationFactor</f>
        <v>4.6987743221830304E-3</v>
      </c>
      <c r="AF668" s="775">
        <f>$F$21*$F$8*'Traffic Data'!BH68*annualizationFactor</f>
        <v>4.7670595105668177E-3</v>
      </c>
      <c r="AG668" s="775">
        <f>$F$21*$F$8*'Traffic Data'!BI68*annualizationFactor</f>
        <v>4.835344698950605E-3</v>
      </c>
      <c r="AH668" s="776">
        <f>$F$21*$F$8*'Traffic Data'!BJ68*annualizationFactor</f>
        <v>4.903734520859176E-3</v>
      </c>
      <c r="AI668" s="24"/>
      <c r="AJ668" s="24"/>
      <c r="AK668" s="24"/>
      <c r="AL668" s="24"/>
      <c r="AM668" s="24"/>
    </row>
    <row r="669" spans="2:39" ht="21.95" customHeight="1" x14ac:dyDescent="0.2">
      <c r="B669" s="1346"/>
      <c r="C669" s="116" t="s">
        <v>335</v>
      </c>
      <c r="D669" s="116" t="s">
        <v>323</v>
      </c>
      <c r="E669" s="116" t="s">
        <v>19</v>
      </c>
      <c r="F669" s="116" t="s">
        <v>438</v>
      </c>
      <c r="G669" s="970"/>
      <c r="H669" s="970"/>
      <c r="I669" s="777">
        <f>$F$21*$F$8*'Traffic Data'!AK69*annualizationFactor</f>
        <v>7.8191698680000015E-5</v>
      </c>
      <c r="J669" s="777">
        <f>$F$21*$F$8*'Traffic Data'!AL69*annualizationFactor</f>
        <v>8.5615348872176996E-5</v>
      </c>
      <c r="K669" s="777">
        <f>$F$21*$F$8*'Traffic Data'!AM69*annualizationFactor</f>
        <v>9.6146467489394998E-5</v>
      </c>
      <c r="L669" s="777">
        <f>$F$21*$F$8*'Traffic Data'!AN69*annualizationFactor</f>
        <v>1.1330563576472101E-4</v>
      </c>
      <c r="M669" s="777">
        <f>$F$21*$F$8*'Traffic Data'!AO69*annualizationFactor</f>
        <v>1.3047001681995902E-4</v>
      </c>
      <c r="N669" s="777">
        <f>$F$21*$F$8*'Traffic Data'!AP69*annualizationFactor</f>
        <v>1.4763602686891953E-4</v>
      </c>
      <c r="O669" s="777">
        <f>$F$21*$F$8*'Traffic Data'!AQ69*annualizationFactor</f>
        <v>1.6479519514424554E-4</v>
      </c>
      <c r="P669" s="777">
        <f>$F$21*$F$8*'Traffic Data'!AR69*annualizationFactor</f>
        <v>1.8197293394800801E-4</v>
      </c>
      <c r="Q669" s="777">
        <f>$F$21*$F$8*'Traffic Data'!AS69*annualizationFactor</f>
        <v>2.0151629743558498E-4</v>
      </c>
      <c r="R669" s="777">
        <f>$F$21*$F$8*'Traffic Data'!AT69*annualizationFactor</f>
        <v>2.2106878328800807E-4</v>
      </c>
      <c r="S669" s="777">
        <f>$F$21*$F$8*'Traffic Data'!AU69*annualizationFactor</f>
        <v>2.4061116937935156E-4</v>
      </c>
      <c r="T669" s="777">
        <f>$F$21*$F$8*'Traffic Data'!AV69*annualizationFactor</f>
        <v>2.601545328669285E-4</v>
      </c>
      <c r="U669" s="777">
        <f>$F$21*$F$8*'Traffic Data'!AW69*annualizationFactor</f>
        <v>2.7971581528545301E-4</v>
      </c>
      <c r="V669" s="777">
        <f>$F$21*$F$8*'Traffic Data'!AX69*annualizationFactor</f>
        <v>2.9261679397016402E-4</v>
      </c>
      <c r="W669" s="777">
        <f>$F$21*$F$8*'Traffic Data'!AY69*annualizationFactor</f>
        <v>3.0004044416234097E-4</v>
      </c>
      <c r="X669" s="777">
        <f>$F$21*$F$8*'Traffic Data'!AZ69*annualizationFactor</f>
        <v>3.0746409435451798E-4</v>
      </c>
      <c r="Y669" s="777">
        <f>$F$21*$F$8*'Traffic Data'!BA69*annualizationFactor</f>
        <v>3.1488774454669499E-4</v>
      </c>
      <c r="Z669" s="777">
        <f>$F$21*$F$8*'Traffic Data'!BB69*annualizationFactor</f>
        <v>3.2231986550622897E-4</v>
      </c>
      <c r="AA669" s="777">
        <f>$F$21*$F$8*'Traffic Data'!BC69*annualizationFactor</f>
        <v>3.2974351569840598E-4</v>
      </c>
      <c r="AB669" s="777">
        <f>$F$21*$F$8*'Traffic Data'!BD69*annualizationFactor</f>
        <v>3.3717563665794001E-4</v>
      </c>
      <c r="AC669" s="777">
        <f>$F$21*$F$8*'Traffic Data'!BE69*annualizationFactor</f>
        <v>3.4459928685011702E-4</v>
      </c>
      <c r="AD669" s="777">
        <f>$F$21*$F$8*'Traffic Data'!BF69*annualizationFactor</f>
        <v>3.5202293704229403E-4</v>
      </c>
      <c r="AE669" s="777">
        <f>$F$21*$F$8*'Traffic Data'!BG69*annualizationFactor</f>
        <v>3.5945505800182796E-4</v>
      </c>
      <c r="AF669" s="777">
        <f>$F$21*$F$8*'Traffic Data'!BH69*annualizationFactor</f>
        <v>3.6687870819400496E-4</v>
      </c>
      <c r="AG669" s="777">
        <f>$F$21*$F$8*'Traffic Data'!BI69*annualizationFactor</f>
        <v>3.7430235838618197E-4</v>
      </c>
      <c r="AH669" s="778">
        <f>$F$21*$F$8*'Traffic Data'!BJ69*annualizationFactor</f>
        <v>3.8173447934571601E-4</v>
      </c>
      <c r="AI669" s="24"/>
      <c r="AJ669" s="24"/>
      <c r="AK669" s="24"/>
      <c r="AL669" s="24"/>
      <c r="AM669" s="24"/>
    </row>
    <row r="670" spans="2:39" ht="21.95" customHeight="1" x14ac:dyDescent="0.2">
      <c r="B670" s="1346"/>
      <c r="C670" s="254" t="s">
        <v>323</v>
      </c>
      <c r="D670" s="254" t="s">
        <v>338</v>
      </c>
      <c r="E670" s="116" t="s">
        <v>19</v>
      </c>
      <c r="F670" s="254" t="s">
        <v>438</v>
      </c>
      <c r="G670" s="970"/>
      <c r="H670" s="970"/>
      <c r="I670" s="777">
        <f>$F$21*$F$8*'Traffic Data'!AK70*annualizationFactor</f>
        <v>1.0477687623120001E-3</v>
      </c>
      <c r="J670" s="777">
        <f>$F$21*$F$8*'Traffic Data'!AL70*annualizationFactor</f>
        <v>1.0771097802192773E-3</v>
      </c>
      <c r="K670" s="777">
        <f>$F$21*$F$8*'Traffic Data'!AM70*annualizationFactor</f>
        <v>1.118922738960608E-3</v>
      </c>
      <c r="L670" s="777">
        <f>$F$21*$F$8*'Traffic Data'!AN70*annualizationFactor</f>
        <v>1.1776082673377031E-3</v>
      </c>
      <c r="M670" s="777">
        <f>$F$21*$F$8*'Traffic Data'!AO70*annualizationFactor</f>
        <v>1.2363182436525854E-3</v>
      </c>
      <c r="N670" s="777">
        <f>$F$21*$F$8*'Traffic Data'!AP70*annualizationFactor</f>
        <v>1.295022981123657E-3</v>
      </c>
      <c r="O670" s="777">
        <f>$F$21*$F$8*'Traffic Data'!AQ70*annualizationFactor</f>
        <v>1.3537085095007518E-3</v>
      </c>
      <c r="P670" s="777">
        <f>$F$21*$F$8*'Traffic Data'!AR70*annualizationFactor</f>
        <v>1.412441187472151E-3</v>
      </c>
      <c r="Q670" s="777">
        <f>$F$21*$F$8*'Traffic Data'!AS70*annualizationFactor</f>
        <v>1.4717309291688457E-3</v>
      </c>
      <c r="R670" s="777">
        <f>$F$21*$F$8*'Traffic Data'!AT70*annualizationFactor</f>
        <v>1.531038133678246E-3</v>
      </c>
      <c r="S670" s="777">
        <f>$F$21*$F$8*'Traffic Data'!AU70*annualizationFactor</f>
        <v>1.5903226365311294E-3</v>
      </c>
      <c r="T670" s="777">
        <f>$F$21*$F$8*'Traffic Data'!AV70*annualizationFactor</f>
        <v>1.6496123782278244E-3</v>
      </c>
      <c r="U670" s="777">
        <f>$F$21*$F$8*'Traffic Data'!AW70*annualizationFactor</f>
        <v>1.7089492695188241E-3</v>
      </c>
      <c r="V670" s="777">
        <f>$F$21*$F$8*'Traffic Data'!AX70*annualizationFactor</f>
        <v>1.7513385010794263E-3</v>
      </c>
      <c r="W670" s="777">
        <f>$F$21*$F$8*'Traffic Data'!AY70*annualizationFactor</f>
        <v>1.7806795189867033E-3</v>
      </c>
      <c r="X670" s="777">
        <f>$F$21*$F$8*'Traffic Data'!AZ70*annualizationFactor</f>
        <v>1.8100205368939801E-3</v>
      </c>
      <c r="Y670" s="777">
        <f>$F$21*$F$8*'Traffic Data'!BA70*annualizationFactor</f>
        <v>1.8393615548012571E-3</v>
      </c>
      <c r="Z670" s="777">
        <f>$F$21*$F$8*'Traffic Data'!BB70*annualizationFactor</f>
        <v>1.8687165429586983E-3</v>
      </c>
      <c r="AA670" s="777">
        <f>$F$21*$F$8*'Traffic Data'!BC70*annualizationFactor</f>
        <v>1.8980575608659759E-3</v>
      </c>
      <c r="AB670" s="777">
        <f>$F$21*$F$8*'Traffic Data'!BD70*annualizationFactor</f>
        <v>1.9274125490234171E-3</v>
      </c>
      <c r="AC670" s="777">
        <f>$F$21*$F$8*'Traffic Data'!BE70*annualizationFactor</f>
        <v>1.9567535669306941E-3</v>
      </c>
      <c r="AD670" s="777">
        <f>$F$21*$F$8*'Traffic Data'!BF70*annualizationFactor</f>
        <v>1.9860945848379709E-3</v>
      </c>
      <c r="AE670" s="777">
        <f>$F$21*$F$8*'Traffic Data'!BG70*annualizationFactor</f>
        <v>2.0154495729954119E-3</v>
      </c>
      <c r="AF670" s="777">
        <f>$F$21*$F$8*'Traffic Data'!BH70*annualizationFactor</f>
        <v>2.0447905909026886E-3</v>
      </c>
      <c r="AG670" s="777">
        <f>$F$21*$F$8*'Traffic Data'!BI70*annualizationFactor</f>
        <v>2.0741316088099659E-3</v>
      </c>
      <c r="AH670" s="778">
        <f>$F$21*$F$8*'Traffic Data'!BJ70*annualizationFactor</f>
        <v>2.1034865969674068E-3</v>
      </c>
      <c r="AI670" s="24"/>
      <c r="AJ670" s="24"/>
      <c r="AK670" s="24"/>
      <c r="AL670" s="24"/>
      <c r="AM670" s="24"/>
    </row>
    <row r="671" spans="2:39" ht="21.95" customHeight="1" x14ac:dyDescent="0.2">
      <c r="B671" s="492" t="s">
        <v>339</v>
      </c>
      <c r="C671" s="116" t="s">
        <v>335</v>
      </c>
      <c r="D671" s="116" t="s">
        <v>323</v>
      </c>
      <c r="E671" s="277" t="s">
        <v>19</v>
      </c>
      <c r="F671" s="277" t="s">
        <v>438</v>
      </c>
      <c r="G671" s="780"/>
      <c r="H671" s="780"/>
      <c r="I671" s="775">
        <f>$F$21*$G$8*'Traffic Data'!AK71*annualizationFactor</f>
        <v>3.0625081983000006E-6</v>
      </c>
      <c r="J671" s="775">
        <f>$F$21*$G$8*'Traffic Data'!AL71*annualizationFactor</f>
        <v>1.272012780163905E-5</v>
      </c>
      <c r="K671" s="775">
        <f>$F$21*$G$8*'Traffic Data'!AM71*annualizationFactor</f>
        <v>1.1347971003390734E-4</v>
      </c>
      <c r="L671" s="775">
        <f>$F$21*$G$8*'Traffic Data'!AN71*annualizationFactor</f>
        <v>2.6840740602360695E-4</v>
      </c>
      <c r="M671" s="775">
        <f>$F$21*$G$8*'Traffic Data'!AO71*annualizationFactor</f>
        <v>4.2344535230844538E-4</v>
      </c>
      <c r="N671" s="775">
        <f>$F$21*$G$8*'Traffic Data'!AP71*annualizationFactor</f>
        <v>5.7842204842931762E-4</v>
      </c>
      <c r="O671" s="775">
        <f>$F$21*$G$8*'Traffic Data'!AQ71*annualizationFactor</f>
        <v>7.3334974441901721E-4</v>
      </c>
      <c r="P671" s="775">
        <f>$F$21*$G$8*'Traffic Data'!AR71*annualizationFactor</f>
        <v>8.8849028472849894E-4</v>
      </c>
      <c r="Q671" s="775">
        <f>$F$21*$G$8*'Traffic Data'!AS71*annualizationFactor</f>
        <v>9.5238492452373071E-4</v>
      </c>
      <c r="R671" s="775">
        <f>$F$21*$G$8*'Traffic Data'!AT71*annualizationFactor</f>
        <v>1.0163285644501357E-3</v>
      </c>
      <c r="S671" s="775">
        <f>$F$21*$G$8*'Traffic Data'!AU71*annualizationFactor</f>
        <v>1.0802568918355489E-3</v>
      </c>
      <c r="T671" s="775">
        <f>$F$21*$G$8*'Traffic Data'!AV71*annualizationFactor</f>
        <v>1.144151531630781E-3</v>
      </c>
      <c r="U671" s="775">
        <f>$F$21*$G$8*'Traffic Data'!AW71*annualizationFactor</f>
        <v>1.2081977655818289E-3</v>
      </c>
      <c r="V671" s="775">
        <f>$F$21*$G$8*'Traffic Data'!AX71*annualizationFactor</f>
        <v>1.2178553851851682E-3</v>
      </c>
      <c r="W671" s="775">
        <f>$F$21*$G$8*'Traffic Data'!AY71*annualizationFactor</f>
        <v>1.227513004788507E-3</v>
      </c>
      <c r="X671" s="775">
        <f>$F$21*$G$8*'Traffic Data'!AZ71*annualizationFactor</f>
        <v>1.2371706243918463E-3</v>
      </c>
      <c r="Y671" s="775">
        <f>$F$21*$G$8*'Traffic Data'!BA71*annualizationFactor</f>
        <v>1.2468282439951851E-3</v>
      </c>
      <c r="Z671" s="775">
        <f>$F$21*$G$8*'Traffic Data'!BB71*annualizationFactor</f>
        <v>1.2565547700329859E-3</v>
      </c>
      <c r="AA671" s="775">
        <f>$F$21*$G$8*'Traffic Data'!BC71*annualizationFactor</f>
        <v>1.2662123896363252E-3</v>
      </c>
      <c r="AB671" s="775">
        <f>$F$21*$G$8*'Traffic Data'!BD71*annualizationFactor</f>
        <v>1.2759006343216472E-3</v>
      </c>
      <c r="AC671" s="775">
        <f>$F$21*$G$8*'Traffic Data'!BE71*annualizationFactor</f>
        <v>1.2855582539249863E-3</v>
      </c>
      <c r="AD671" s="775">
        <f>$F$21*$G$8*'Traffic Data'!BF71*annualizationFactor</f>
        <v>1.2952158735283254E-3</v>
      </c>
      <c r="AE671" s="775">
        <f>$F$21*$G$8*'Traffic Data'!BG71*annualizationFactor</f>
        <v>1.3049423995661262E-3</v>
      </c>
      <c r="AF671" s="775">
        <f>$F$21*$G$8*'Traffic Data'!BH71*annualizationFactor</f>
        <v>1.3146000191694652E-3</v>
      </c>
      <c r="AG671" s="775">
        <f>$F$21*$G$8*'Traffic Data'!BI71*annualizationFactor</f>
        <v>1.3242576387728041E-3</v>
      </c>
      <c r="AH671" s="776">
        <f>$F$21*$G$8*'Traffic Data'!BJ71*annualizationFactor</f>
        <v>1.3339458834581261E-3</v>
      </c>
      <c r="AI671" s="24"/>
      <c r="AJ671" s="24"/>
      <c r="AK671" s="24"/>
      <c r="AL671" s="24"/>
      <c r="AM671" s="24"/>
    </row>
    <row r="672" spans="2:39" ht="21.95" customHeight="1" x14ac:dyDescent="0.2">
      <c r="B672" s="1346" t="s">
        <v>323</v>
      </c>
      <c r="C672" s="220" t="s">
        <v>282</v>
      </c>
      <c r="D672" s="220" t="s">
        <v>339</v>
      </c>
      <c r="E672" s="116" t="s">
        <v>19</v>
      </c>
      <c r="F672" s="116" t="s">
        <v>438</v>
      </c>
      <c r="G672" s="970"/>
      <c r="H672" s="970"/>
      <c r="I672" s="775">
        <f>$F$21*$H$8*'Traffic Data'!AK72*annualizationFactor</f>
        <v>8.7965661015000022E-6</v>
      </c>
      <c r="J672" s="775">
        <f>$F$21*$H$8*'Traffic Data'!AL72*annualizationFactor</f>
        <v>1.9550368160583749E-5</v>
      </c>
      <c r="K672" s="775">
        <f>$F$21*$H$8*'Traffic Data'!AM72*annualizationFactor</f>
        <v>8.2630543674440266E-5</v>
      </c>
      <c r="L672" s="775">
        <f>$F$21*$H$8*'Traffic Data'!AN72*annualizationFactor</f>
        <v>1.85748289799274E-4</v>
      </c>
      <c r="M672" s="775">
        <f>$F$21*$H$8*'Traffic Data'!AO72*annualizationFactor</f>
        <v>2.8892321360376755E-4</v>
      </c>
      <c r="N672" s="775">
        <f>$F$21*$H$8*'Traffic Data'!AP72*annualizationFactor</f>
        <v>3.9210253569131175E-4</v>
      </c>
      <c r="O672" s="775">
        <f>$F$21*$H$8*'Traffic Data'!AQ72*annualizationFactor</f>
        <v>4.9522028181614561E-4</v>
      </c>
      <c r="P672" s="775">
        <f>$F$21*$H$8*'Traffic Data'!AR72*annualizationFactor</f>
        <v>5.9845678158334961E-4</v>
      </c>
      <c r="Q672" s="775">
        <f>$F$21*$H$8*'Traffic Data'!AS72*annualizationFactor</f>
        <v>6.7806570480192466E-4</v>
      </c>
      <c r="R672" s="775">
        <f>$F$21*$H$8*'Traffic Data'!AT72*annualizationFactor</f>
        <v>7.5768782286965192E-4</v>
      </c>
      <c r="S672" s="775">
        <f>$F$21*$H$8*'Traffic Data'!AU72*annualizationFactor</f>
        <v>8.3729674608822675E-4</v>
      </c>
      <c r="T672" s="775">
        <f>$F$21*$H$8*'Traffic Data'!AV72*annualizationFactor</f>
        <v>9.169056693068018E-4</v>
      </c>
      <c r="U672" s="775">
        <f>$F$21*$H$8*'Traffic Data'!AW72*annualizationFactor</f>
        <v>9.9662015131859495E-4</v>
      </c>
      <c r="V672" s="775">
        <f>$F$21*$H$8*'Traffic Data'!AX72*annualizationFactor</f>
        <v>1.0361299279634819E-3</v>
      </c>
      <c r="W672" s="775">
        <f>$F$21*$H$8*'Traffic Data'!AY72*annualizationFactor</f>
        <v>1.046883730022566E-3</v>
      </c>
      <c r="X672" s="775">
        <f>$F$21*$H$8*'Traffic Data'!AZ72*annualizationFactor</f>
        <v>1.0576375320816495E-3</v>
      </c>
      <c r="Y672" s="775">
        <f>$F$21*$H$8*'Traffic Data'!BA72*annualizationFactor</f>
        <v>1.0683913341407337E-3</v>
      </c>
      <c r="Z672" s="775">
        <f>$F$21*$H$8*'Traffic Data'!BB72*annualizationFactor</f>
        <v>1.0791759241811725E-3</v>
      </c>
      <c r="AA672" s="775">
        <f>$F$21*$H$8*'Traffic Data'!BC72*annualizationFactor</f>
        <v>1.0899297262402562E-3</v>
      </c>
      <c r="AB672" s="775">
        <f>$F$21*$H$8*'Traffic Data'!BD72*annualizationFactor</f>
        <v>1.1007143162806948E-3</v>
      </c>
      <c r="AC672" s="775">
        <f>$F$21*$H$8*'Traffic Data'!BE72*annualizationFactor</f>
        <v>1.1114681183397787E-3</v>
      </c>
      <c r="AD672" s="775">
        <f>$F$21*$H$8*'Traffic Data'!BF72*annualizationFactor</f>
        <v>1.1222219203988627E-3</v>
      </c>
      <c r="AE672" s="775">
        <f>$F$21*$H$8*'Traffic Data'!BG72*annualizationFactor</f>
        <v>1.1330065104393015E-3</v>
      </c>
      <c r="AF672" s="775">
        <f>$F$21*$H$8*'Traffic Data'!BH72*annualizationFactor</f>
        <v>1.1437603124983854E-3</v>
      </c>
      <c r="AG672" s="775">
        <f>$F$21*$H$8*'Traffic Data'!BI72*annualizationFactor</f>
        <v>1.1545141145574691E-3</v>
      </c>
      <c r="AH672" s="776">
        <f>$F$21*$H$8*'Traffic Data'!BJ72*annualizationFactor</f>
        <v>1.1652987045979082E-3</v>
      </c>
      <c r="AI672" s="24"/>
      <c r="AJ672" s="24"/>
      <c r="AK672" s="24"/>
      <c r="AL672" s="24"/>
      <c r="AM672" s="24"/>
    </row>
    <row r="673" spans="2:39" ht="21.95" customHeight="1" x14ac:dyDescent="0.2">
      <c r="B673" s="1346"/>
      <c r="C673" s="116" t="s">
        <v>339</v>
      </c>
      <c r="D673" s="116" t="s">
        <v>288</v>
      </c>
      <c r="E673" s="116" t="s">
        <v>19</v>
      </c>
      <c r="F673" s="116" t="s">
        <v>438</v>
      </c>
      <c r="G673" s="970"/>
      <c r="H673" s="970"/>
      <c r="I673" s="777">
        <f>$F$21*$H$8*'Traffic Data'!AK73*annualizationFactor</f>
        <v>0</v>
      </c>
      <c r="J673" s="777">
        <f>$F$21*$H$8*'Traffic Data'!AL73*annualizationFactor</f>
        <v>5.9295371499000019E-6</v>
      </c>
      <c r="K673" s="777">
        <f>$F$21*$H$8*'Traffic Data'!AM73*annualizationFactor</f>
        <v>1.7138186836180205E-5</v>
      </c>
      <c r="L673" s="777">
        <f>$F$21*$H$8*'Traffic Data'!AN73*annualizationFactor</f>
        <v>3.8525571217627209E-5</v>
      </c>
      <c r="M673" s="777">
        <f>$F$21*$H$8*'Traffic Data'!AO73*annualizationFactor</f>
        <v>5.992481467337402E-5</v>
      </c>
      <c r="N673" s="777">
        <f>$F$21*$H$8*'Traffic Data'!AP73*annualizationFactor</f>
        <v>8.1324970365605396E-5</v>
      </c>
      <c r="O673" s="777">
        <f>$F$21*$H$8*'Traffic Data'!AQ73*annualizationFactor</f>
        <v>1.0271235474705241E-4</v>
      </c>
      <c r="P673" s="777">
        <f>$F$21*$H$8*'Traffic Data'!AR73*annualizationFactor</f>
        <v>1.2412436951358361E-4</v>
      </c>
      <c r="Q673" s="777">
        <f>$F$21*$H$8*'Traffic Data'!AS73*annualizationFactor</f>
        <v>1.4063584988484364E-4</v>
      </c>
      <c r="R673" s="777">
        <f>$F$21*$H$8*'Traffic Data'!AT73*annualizationFactor</f>
        <v>1.5715006696555745E-4</v>
      </c>
      <c r="S673" s="777">
        <f>$F$21*$H$8*'Traffic Data'!AU73*annualizationFactor</f>
        <v>1.7366154733681742E-4</v>
      </c>
      <c r="T673" s="777">
        <f>$F$21*$H$8*'Traffic Data'!AV73*annualizationFactor</f>
        <v>1.9017302770807742E-4</v>
      </c>
      <c r="U673" s="777">
        <f>$F$21*$H$8*'Traffic Data'!AW73*annualizationFactor</f>
        <v>2.067064017549678E-4</v>
      </c>
      <c r="V673" s="777">
        <f>$F$21*$H$8*'Traffic Data'!AX73*annualizationFactor</f>
        <v>2.1490102209612962E-4</v>
      </c>
      <c r="W673" s="777">
        <f>$F$21*$H$8*'Traffic Data'!AY73*annualizationFactor</f>
        <v>2.1713144030097666E-4</v>
      </c>
      <c r="X673" s="777">
        <f>$F$21*$H$8*'Traffic Data'!AZ73*annualizationFactor</f>
        <v>2.1936185850582364E-4</v>
      </c>
      <c r="Y673" s="777">
        <f>$F$21*$H$8*'Traffic Data'!BA73*annualizationFactor</f>
        <v>2.2159227671067068E-4</v>
      </c>
      <c r="Z673" s="777">
        <f>$F$21*$H$8*'Traffic Data'!BB73*annualizationFactor</f>
        <v>2.2382908057090988E-4</v>
      </c>
      <c r="AA673" s="777">
        <f>$F$21*$H$8*'Traffic Data'!BC73*annualizationFactor</f>
        <v>2.2605949877575683E-4</v>
      </c>
      <c r="AB673" s="777">
        <f>$F$21*$H$8*'Traffic Data'!BD73*annualizationFactor</f>
        <v>2.2829630263599597E-4</v>
      </c>
      <c r="AC673" s="777">
        <f>$F$21*$H$8*'Traffic Data'!BE73*annualizationFactor</f>
        <v>2.3052672084084301E-4</v>
      </c>
      <c r="AD673" s="777">
        <f>$F$21*$H$8*'Traffic Data'!BF73*annualizationFactor</f>
        <v>2.3275713904569002E-4</v>
      </c>
      <c r="AE673" s="777">
        <f>$F$21*$H$8*'Traffic Data'!BG73*annualizationFactor</f>
        <v>2.3499394290592922E-4</v>
      </c>
      <c r="AF673" s="777">
        <f>$F$21*$H$8*'Traffic Data'!BH73*annualizationFactor</f>
        <v>2.372243611107762E-4</v>
      </c>
      <c r="AG673" s="777">
        <f>$F$21*$H$8*'Traffic Data'!BI73*annualizationFactor</f>
        <v>2.3945477931562324E-4</v>
      </c>
      <c r="AH673" s="778">
        <f>$F$21*$H$8*'Traffic Data'!BJ73*annualizationFactor</f>
        <v>2.4169158317586241E-4</v>
      </c>
      <c r="AI673" s="24"/>
      <c r="AJ673" s="24"/>
      <c r="AK673" s="24"/>
      <c r="AL673" s="24"/>
      <c r="AM673" s="24"/>
    </row>
    <row r="674" spans="2:39" ht="21.95" customHeight="1" x14ac:dyDescent="0.2">
      <c r="B674" s="1346"/>
      <c r="C674" s="116" t="s">
        <v>288</v>
      </c>
      <c r="D674" s="116" t="s">
        <v>340</v>
      </c>
      <c r="E674" s="116" t="s">
        <v>19</v>
      </c>
      <c r="F674" s="116" t="s">
        <v>438</v>
      </c>
      <c r="G674" s="970"/>
      <c r="H674" s="970"/>
      <c r="I674" s="777">
        <f>$F$21*$H$8*'Traffic Data'!AK74*annualizationFactor</f>
        <v>0</v>
      </c>
      <c r="J674" s="777">
        <f>$F$21*$H$8*'Traffic Data'!AL74*annualizationFactor</f>
        <v>1.5459150426525002E-5</v>
      </c>
      <c r="K674" s="777">
        <f>$F$21*$H$8*'Traffic Data'!AM74*annualizationFactor</f>
        <v>4.4681701394326958E-5</v>
      </c>
      <c r="L674" s="777">
        <f>$F$21*$H$8*'Traffic Data'!AN74*annualizationFactor</f>
        <v>1.004416678173852E-4</v>
      </c>
      <c r="M674" s="777">
        <f>$F$21*$H$8*'Traffic Data'!AO74*annualizationFactor</f>
        <v>1.5623255254129653E-4</v>
      </c>
      <c r="N674" s="777">
        <f>$F$21*$H$8*'Traffic Data'!AP74*annualizationFactor</f>
        <v>2.120258155960426E-4</v>
      </c>
      <c r="O674" s="777">
        <f>$F$21*$H$8*'Traffic Data'!AQ74*annualizationFactor</f>
        <v>2.6778578201910088E-4</v>
      </c>
      <c r="P674" s="777">
        <f>$F$21*$H$8*'Traffic Data'!AR74*annualizationFactor</f>
        <v>3.2360996337470009E-4</v>
      </c>
      <c r="Q674" s="777">
        <f>$F$21*$H$8*'Traffic Data'!AS74*annualizationFactor</f>
        <v>3.6665775148548516E-4</v>
      </c>
      <c r="R674" s="777">
        <f>$F$21*$H$8*'Traffic Data'!AT74*annualizationFactor</f>
        <v>4.0971267458877472E-4</v>
      </c>
      <c r="S674" s="777">
        <f>$F$21*$H$8*'Traffic Data'!AU74*annualizationFactor</f>
        <v>4.5276046269955962E-4</v>
      </c>
      <c r="T674" s="777">
        <f>$F$21*$H$8*'Traffic Data'!AV74*annualizationFactor</f>
        <v>4.9580825081034464E-4</v>
      </c>
      <c r="U674" s="777">
        <f>$F$21*$H$8*'Traffic Data'!AW74*annualizationFactor</f>
        <v>5.3891311886116616E-4</v>
      </c>
      <c r="V674" s="777">
        <f>$F$21*$H$8*'Traffic Data'!AX74*annualizationFactor</f>
        <v>5.6027766475062355E-4</v>
      </c>
      <c r="W674" s="777">
        <f>$F$21*$H$8*'Traffic Data'!AY74*annualizationFactor</f>
        <v>5.6609268364183197E-4</v>
      </c>
      <c r="X674" s="777">
        <f>$F$21*$H$8*'Traffic Data'!AZ74*annualizationFactor</f>
        <v>5.7190770253304018E-4</v>
      </c>
      <c r="Y674" s="777">
        <f>$F$21*$H$8*'Traffic Data'!BA74*annualizationFactor</f>
        <v>5.7772272142424838E-4</v>
      </c>
      <c r="Z674" s="777">
        <f>$F$21*$H$8*'Traffic Data'!BB74*annualizationFactor</f>
        <v>5.8355438863130066E-4</v>
      </c>
      <c r="AA674" s="777">
        <f>$F$21*$H$8*'Traffic Data'!BC74*annualizationFactor</f>
        <v>5.8936940752250886E-4</v>
      </c>
      <c r="AB674" s="777">
        <f>$F$21*$H$8*'Traffic Data'!BD74*annualizationFactor</f>
        <v>5.9520107472956093E-4</v>
      </c>
      <c r="AC674" s="777">
        <f>$F$21*$H$8*'Traffic Data'!BE74*annualizationFactor</f>
        <v>6.0101609362076924E-4</v>
      </c>
      <c r="AD674" s="777">
        <f>$F$21*$H$8*'Traffic Data'!BF74*annualizationFactor</f>
        <v>6.0683111251197744E-4</v>
      </c>
      <c r="AE674" s="777">
        <f>$F$21*$H$8*'Traffic Data'!BG74*annualizationFactor</f>
        <v>6.1266277971902961E-4</v>
      </c>
      <c r="AF674" s="777">
        <f>$F$21*$H$8*'Traffic Data'!BH74*annualizationFactor</f>
        <v>6.1847779861023792E-4</v>
      </c>
      <c r="AG674" s="777">
        <f>$F$21*$H$8*'Traffic Data'!BI74*annualizationFactor</f>
        <v>6.2429281750144613E-4</v>
      </c>
      <c r="AH674" s="778">
        <f>$F$21*$H$8*'Traffic Data'!BJ74*annualizationFactor</f>
        <v>6.301244847084983E-4</v>
      </c>
      <c r="AI674" s="24"/>
      <c r="AJ674" s="24"/>
      <c r="AK674" s="24"/>
      <c r="AL674" s="24"/>
      <c r="AM674" s="24"/>
    </row>
    <row r="675" spans="2:39" ht="21.95" customHeight="1" x14ac:dyDescent="0.2">
      <c r="B675" s="1346"/>
      <c r="C675" s="254" t="s">
        <v>340</v>
      </c>
      <c r="D675" s="254" t="s">
        <v>280</v>
      </c>
      <c r="E675" s="116" t="s">
        <v>19</v>
      </c>
      <c r="F675" s="254" t="s">
        <v>438</v>
      </c>
      <c r="G675" s="970"/>
      <c r="H675" s="970"/>
      <c r="I675" s="777">
        <f>$F$21*$H$8*'Traffic Data'!AK75*annualizationFactor</f>
        <v>2.0525320903500002E-5</v>
      </c>
      <c r="J675" s="777">
        <f>$F$21*$H$8*'Traffic Data'!AL75*annualizationFactor</f>
        <v>3.0334371763282652E-5</v>
      </c>
      <c r="K675" s="777">
        <f>$F$21*$H$8*'Traffic Data'!AM75*annualizationFactor</f>
        <v>4.2554463651863111E-5</v>
      </c>
      <c r="L675" s="777">
        <f>$F$21*$H$8*'Traffic Data'!AN75*annualizationFactor</f>
        <v>6.8720142739644912E-5</v>
      </c>
      <c r="M675" s="777">
        <f>$F$21*$H$8*'Traffic Data'!AO75*annualizationFactor</f>
        <v>9.4889242714243973E-5</v>
      </c>
      <c r="N675" s="777">
        <f>$F$21*$H$8*'Traffic Data'!AP75*annualizationFactor</f>
        <v>1.210692895266582E-4</v>
      </c>
      <c r="O675" s="777">
        <f>$F$21*$H$8*'Traffic Data'!AQ75*annualizationFactor</f>
        <v>1.4723496861444001E-4</v>
      </c>
      <c r="P675" s="777">
        <f>$F$21*$H$8*'Traffic Data'!AR75*annualizationFactor</f>
        <v>1.7338696415495283E-4</v>
      </c>
      <c r="Q675" s="777">
        <f>$F$21*$H$8*'Traffic Data'!AS75*annualizationFactor</f>
        <v>2.2589894515446724E-4</v>
      </c>
      <c r="R675" s="777">
        <f>$F$21*$H$8*'Traffic Data'!AT75*annualizationFactor</f>
        <v>2.7838082234998981E-4</v>
      </c>
      <c r="S675" s="777">
        <f>$F$21*$H$8*'Traffic Data'!AU75*annualizationFactor</f>
        <v>3.3087433056069111E-4</v>
      </c>
      <c r="T675" s="777">
        <f>$F$21*$H$8*'Traffic Data'!AV75*annualizationFactor</f>
        <v>3.8338631156020552E-4</v>
      </c>
      <c r="U675" s="777">
        <f>$F$21*$H$8*'Traffic Data'!AW75*annualizationFactor</f>
        <v>4.3588460901245092E-4</v>
      </c>
      <c r="V675" s="777">
        <f>$F$21*$H$8*'Traffic Data'!AX75*annualizationFactor</f>
        <v>4.7444963445803705E-4</v>
      </c>
      <c r="W675" s="777">
        <f>$F$21*$H$8*'Traffic Data'!AY75*annualizationFactor</f>
        <v>4.8425868531781974E-4</v>
      </c>
      <c r="X675" s="777">
        <f>$F$21*$H$8*'Traffic Data'!AZ75*annualizationFactor</f>
        <v>4.9406773617760233E-4</v>
      </c>
      <c r="Y675" s="777">
        <f>$F$21*$H$8*'Traffic Data'!BA75*annualizationFactor</f>
        <v>5.0387678703738502E-4</v>
      </c>
      <c r="Z675" s="777">
        <f>$F$21*$H$8*'Traffic Data'!BB75*annualizationFactor</f>
        <v>5.1365641827053922E-4</v>
      </c>
      <c r="AA675" s="777">
        <f>$F$21*$H$8*'Traffic Data'!BC75*annualizationFactor</f>
        <v>5.2346546913032191E-4</v>
      </c>
      <c r="AB675" s="777">
        <f>$F$21*$H$8*'Traffic Data'!BD75*annualizationFactor</f>
        <v>5.3324510036347622E-4</v>
      </c>
      <c r="AC675" s="777">
        <f>$F$21*$H$8*'Traffic Data'!BE75*annualizationFactor</f>
        <v>5.4305415122325891E-4</v>
      </c>
      <c r="AD675" s="777">
        <f>$F$21*$H$8*'Traffic Data'!BF75*annualizationFactor</f>
        <v>5.5286320208304161E-4</v>
      </c>
      <c r="AE675" s="777">
        <f>$F$21*$H$8*'Traffic Data'!BG75*annualizationFactor</f>
        <v>5.626428333161958E-4</v>
      </c>
      <c r="AF675" s="777">
        <f>$F$21*$H$8*'Traffic Data'!BH75*annualizationFactor</f>
        <v>5.7245188417597839E-4</v>
      </c>
      <c r="AG675" s="777">
        <f>$F$21*$H$8*'Traffic Data'!BI75*annualizationFactor</f>
        <v>5.8226093503576119E-4</v>
      </c>
      <c r="AH675" s="778">
        <f>$F$21*$H$8*'Traffic Data'!BJ75*annualizationFactor</f>
        <v>5.9204056626891539E-4</v>
      </c>
      <c r="AI675" s="24"/>
      <c r="AJ675" s="24"/>
      <c r="AK675" s="24"/>
      <c r="AL675" s="24"/>
      <c r="AM675" s="24"/>
    </row>
    <row r="676" spans="2:39" ht="21.95" customHeight="1" x14ac:dyDescent="0.2">
      <c r="B676" s="1346" t="s">
        <v>334</v>
      </c>
      <c r="C676" s="116" t="s">
        <v>336</v>
      </c>
      <c r="D676" s="116" t="s">
        <v>337</v>
      </c>
      <c r="E676" s="220" t="s">
        <v>19</v>
      </c>
      <c r="F676" s="116" t="s">
        <v>438</v>
      </c>
      <c r="G676" s="775"/>
      <c r="H676" s="775"/>
      <c r="I676" s="775">
        <f>$F$21*$I$8*'Traffic Data'!AK76*annualizationFactor</f>
        <v>6.3856553922000004E-4</v>
      </c>
      <c r="J676" s="775">
        <f>$F$21*$I$8*'Traffic Data'!AL76*annualizationFactor</f>
        <v>6.5625380465639401E-4</v>
      </c>
      <c r="K676" s="775">
        <f>$F$21*$I$8*'Traffic Data'!AM76*annualizationFactor</f>
        <v>6.847999648507396E-4</v>
      </c>
      <c r="L676" s="775">
        <f>$F$21*$I$8*'Traffic Data'!AN76*annualizationFactor</f>
        <v>7.2558149689478258E-4</v>
      </c>
      <c r="M676" s="775">
        <f>$F$21*$I$8*'Traffic Data'!AO76*annualizationFactor</f>
        <v>7.6638127366851776E-4</v>
      </c>
      <c r="N676" s="775">
        <f>$F$21*$I$8*'Traffic Data'!AP76*annualizationFactor</f>
        <v>8.0717876985104129E-4</v>
      </c>
      <c r="O676" s="775">
        <f>$F$21*$I$8*'Traffic Data'!AQ76*annualizationFactor</f>
        <v>8.4796030189508438E-4</v>
      </c>
      <c r="P676" s="775">
        <f>$F$21*$I$8*'Traffic Data'!AR76*annualizationFactor</f>
        <v>8.8877832339851121E-4</v>
      </c>
      <c r="Q676" s="775">
        <f>$F$21*$I$8*'Traffic Data'!AS76*annualizationFactor</f>
        <v>9.2511042198891748E-4</v>
      </c>
      <c r="R676" s="775">
        <f>$F$21*$I$8*'Traffic Data'!AT76*annualizationFactor</f>
        <v>9.6145392353538155E-4</v>
      </c>
      <c r="S676" s="775">
        <f>$F$21*$I$8*'Traffic Data'!AU76*annualizationFactor</f>
        <v>9.9778602212578804E-4</v>
      </c>
      <c r="T676" s="775">
        <f>$F$21*$I$8*'Traffic Data'!AV76*annualizationFactor</f>
        <v>1.0341181207161945E-3</v>
      </c>
      <c r="U676" s="775">
        <f>$F$21*$I$8*'Traffic Data'!AW76*annualizationFactor</f>
        <v>1.0704867087659852E-3</v>
      </c>
      <c r="V676" s="775">
        <f>$F$21*$I$8*'Traffic Data'!AX76*annualizationFactor</f>
        <v>1.0945651907770021E-3</v>
      </c>
      <c r="W676" s="775">
        <f>$F$21*$I$8*'Traffic Data'!AY76*annualizationFactor</f>
        <v>1.1122534562133962E-3</v>
      </c>
      <c r="X676" s="775">
        <f>$F$21*$I$8*'Traffic Data'!AZ76*annualizationFactor</f>
        <v>1.1299417216497902E-3</v>
      </c>
      <c r="Y676" s="775">
        <f>$F$21*$I$8*'Traffic Data'!BA76*annualizationFactor</f>
        <v>1.1476299870861841E-3</v>
      </c>
      <c r="Z676" s="775">
        <f>$F$21*$I$8*'Traffic Data'!BB76*annualizationFactor</f>
        <v>1.1653296554786357E-3</v>
      </c>
      <c r="AA676" s="775">
        <f>$F$21*$I$8*'Traffic Data'!BC76*annualizationFactor</f>
        <v>1.18301792091503E-3</v>
      </c>
      <c r="AB676" s="775">
        <f>$F$21*$I$8*'Traffic Data'!BD76*annualizationFactor</f>
        <v>1.2007175893074811E-3</v>
      </c>
      <c r="AC676" s="775">
        <f>$F$21*$I$8*'Traffic Data'!BE76*annualizationFactor</f>
        <v>1.2184058547438752E-3</v>
      </c>
      <c r="AD676" s="775">
        <f>$F$21*$I$8*'Traffic Data'!BF76*annualizationFactor</f>
        <v>1.236094120180269E-3</v>
      </c>
      <c r="AE676" s="775">
        <f>$F$21*$I$8*'Traffic Data'!BG76*annualizationFactor</f>
        <v>1.2537937885727206E-3</v>
      </c>
      <c r="AF676" s="775">
        <f>$F$21*$I$8*'Traffic Data'!BH76*annualizationFactor</f>
        <v>1.2714820540091144E-3</v>
      </c>
      <c r="AG676" s="775">
        <f>$F$21*$I$8*'Traffic Data'!BI76*annualizationFactor</f>
        <v>1.2891703194455085E-3</v>
      </c>
      <c r="AH676" s="776">
        <f>$F$21*$I$8*'Traffic Data'!BJ76*annualizationFactor</f>
        <v>1.3068699878379601E-3</v>
      </c>
      <c r="AI676" s="24"/>
      <c r="AJ676" s="24"/>
      <c r="AK676" s="24"/>
      <c r="AL676" s="24"/>
      <c r="AM676" s="24"/>
    </row>
    <row r="677" spans="2:39" ht="21.95" customHeight="1" x14ac:dyDescent="0.2">
      <c r="B677" s="1346"/>
      <c r="C677" s="116" t="s">
        <v>337</v>
      </c>
      <c r="D677" s="116" t="s">
        <v>386</v>
      </c>
      <c r="E677" s="116" t="s">
        <v>19</v>
      </c>
      <c r="F677" s="116" t="s">
        <v>438</v>
      </c>
      <c r="G677" s="970"/>
      <c r="H677" s="970"/>
      <c r="I677" s="777">
        <f>$F$21*$I$8*'Traffic Data'!AK77*annualizationFactor</f>
        <v>1.0034601330600002E-3</v>
      </c>
      <c r="J677" s="777">
        <f>$F$21*$I$8*'Traffic Data'!AL77*annualizationFactor</f>
        <v>1.0049653232595901E-3</v>
      </c>
      <c r="K677" s="777">
        <f>$F$21*$I$8*'Traffic Data'!AM77*annualizationFactor</f>
        <v>1.0064705134591801E-3</v>
      </c>
      <c r="L677" s="777">
        <f>$F$21*$I$8*'Traffic Data'!AN77*annualizationFactor</f>
        <v>1.0079757036587701E-3</v>
      </c>
      <c r="M677" s="777">
        <f>$F$21*$I$8*'Traffic Data'!AO77*annualizationFactor</f>
        <v>1.00948089385836E-3</v>
      </c>
      <c r="N677" s="777">
        <f>$F$21*$I$8*'Traffic Data'!AP77*annualizationFactor</f>
        <v>1.01098608405795E-3</v>
      </c>
      <c r="O677" s="777">
        <f>$F$21*$I$8*'Traffic Data'!AQ77*annualizationFactor</f>
        <v>1.01249127425754E-3</v>
      </c>
      <c r="P677" s="777">
        <f>$F$21*$I$8*'Traffic Data'!AR77*annualizationFactor</f>
        <v>1.0139964644571302E-3</v>
      </c>
      <c r="Q677" s="777">
        <f>$F$21*$I$8*'Traffic Data'!AS77*annualizationFactor</f>
        <v>1.0155016546567201E-3</v>
      </c>
      <c r="R677" s="777">
        <f>$F$21*$I$8*'Traffic Data'!AT77*annualizationFactor</f>
        <v>1.0155016546567201E-3</v>
      </c>
      <c r="S677" s="777">
        <f>$F$21*$I$8*'Traffic Data'!AU77*annualizationFactor</f>
        <v>1.0155016546567201E-3</v>
      </c>
      <c r="T677" s="777">
        <f>$F$21*$I$8*'Traffic Data'!AV77*annualizationFactor</f>
        <v>1.0155016546567201E-3</v>
      </c>
      <c r="U677" s="777">
        <f>$F$21*$I$8*'Traffic Data'!AW77*annualizationFactor</f>
        <v>1.0155016546567201E-3</v>
      </c>
      <c r="V677" s="777">
        <f>$F$21*$I$8*'Traffic Data'!AX77*annualizationFactor</f>
        <v>1.0155016546567201E-3</v>
      </c>
      <c r="W677" s="777">
        <f>$F$21*$I$8*'Traffic Data'!AY77*annualizationFactor</f>
        <v>1.0221696016290795E-3</v>
      </c>
      <c r="X677" s="777">
        <f>$F$21*$I$8*'Traffic Data'!AZ77*annualizationFactor</f>
        <v>1.0380007816419489E-3</v>
      </c>
      <c r="Y677" s="777">
        <f>$F$21*$I$8*'Traffic Data'!BA77*annualizationFactor</f>
        <v>1.0538319616548186E-3</v>
      </c>
      <c r="Z677" s="777">
        <f>$F$21*$I$8*'Traffic Data'!BB77*annualizationFactor</f>
        <v>1.0696668362254508E-3</v>
      </c>
      <c r="AA677" s="777">
        <f>$F$21*$I$8*'Traffic Data'!BC77*annualizationFactor</f>
        <v>1.0854980162383202E-3</v>
      </c>
      <c r="AB677" s="777">
        <f>$F$21*$I$8*'Traffic Data'!BD77*annualizationFactor</f>
        <v>1.1013328908089526E-3</v>
      </c>
      <c r="AC677" s="777">
        <f>$F$21*$I$8*'Traffic Data'!BE77*annualizationFactor</f>
        <v>1.1171640708218221E-3</v>
      </c>
      <c r="AD677" s="777">
        <f>$F$21*$I$8*'Traffic Data'!BF77*annualizationFactor</f>
        <v>1.1329952508346917E-3</v>
      </c>
      <c r="AE677" s="777">
        <f>$F$21*$I$8*'Traffic Data'!BG77*annualizationFactor</f>
        <v>1.1488301254053241E-3</v>
      </c>
      <c r="AF677" s="777">
        <f>$F$21*$I$8*'Traffic Data'!BH77*annualizationFactor</f>
        <v>1.1646613054181933E-3</v>
      </c>
      <c r="AG677" s="777">
        <f>$F$21*$I$8*'Traffic Data'!BI77*annualizationFactor</f>
        <v>1.180492485431063E-3</v>
      </c>
      <c r="AH677" s="778">
        <f>$F$21*$I$8*'Traffic Data'!BJ77*annualizationFactor</f>
        <v>1.1963273600016952E-3</v>
      </c>
      <c r="AI677" s="24"/>
      <c r="AJ677" s="24"/>
      <c r="AK677" s="24"/>
      <c r="AL677" s="24"/>
      <c r="AM677" s="24"/>
    </row>
    <row r="678" spans="2:39" ht="21.95" customHeight="1" x14ac:dyDescent="0.2">
      <c r="B678" s="1346"/>
      <c r="C678" s="116" t="s">
        <v>342</v>
      </c>
      <c r="D678" s="116" t="s">
        <v>341</v>
      </c>
      <c r="E678" s="116" t="s">
        <v>19</v>
      </c>
      <c r="F678" s="116" t="s">
        <v>438</v>
      </c>
      <c r="G678" s="970"/>
      <c r="H678" s="970"/>
      <c r="I678" s="777">
        <f>$F$21*$I$8*'Traffic Data'!AK78*annualizationFactor</f>
        <v>1.3044981729780003E-3</v>
      </c>
      <c r="J678" s="777">
        <f>$F$21*$I$8*'Traffic Data'!AL78*annualizationFactor</f>
        <v>1.3064549202374673E-3</v>
      </c>
      <c r="K678" s="777">
        <f>$F$21*$I$8*'Traffic Data'!AM78*annualizationFactor</f>
        <v>1.3084116674969338E-3</v>
      </c>
      <c r="L678" s="777">
        <f>$F$21*$I$8*'Traffic Data'!AN78*annualizationFactor</f>
        <v>1.3103684147564012E-3</v>
      </c>
      <c r="M678" s="777">
        <f>$F$21*$I$8*'Traffic Data'!AO78*annualizationFactor</f>
        <v>1.3123251620158684E-3</v>
      </c>
      <c r="N678" s="777">
        <f>$F$21*$I$8*'Traffic Data'!AP78*annualizationFactor</f>
        <v>1.3142819092753352E-3</v>
      </c>
      <c r="O678" s="777">
        <f>$F$21*$I$8*'Traffic Data'!AQ78*annualizationFactor</f>
        <v>1.316238656534802E-3</v>
      </c>
      <c r="P678" s="777">
        <f>$F$21*$I$8*'Traffic Data'!AR78*annualizationFactor</f>
        <v>1.3181954037942692E-3</v>
      </c>
      <c r="Q678" s="777">
        <f>$F$21*$I$8*'Traffic Data'!AS78*annualizationFactor</f>
        <v>1.3201521510537361E-3</v>
      </c>
      <c r="R678" s="777">
        <f>$F$21*$I$8*'Traffic Data'!AT78*annualizationFactor</f>
        <v>1.3201521510537361E-3</v>
      </c>
      <c r="S678" s="777">
        <f>$F$21*$I$8*'Traffic Data'!AU78*annualizationFactor</f>
        <v>1.3201521510537361E-3</v>
      </c>
      <c r="T678" s="777">
        <f>$F$21*$I$8*'Traffic Data'!AV78*annualizationFactor</f>
        <v>1.3201521510537361E-3</v>
      </c>
      <c r="U678" s="777">
        <f>$F$21*$I$8*'Traffic Data'!AW78*annualizationFactor</f>
        <v>1.3201521510537361E-3</v>
      </c>
      <c r="V678" s="777">
        <f>$F$21*$I$8*'Traffic Data'!AX78*annualizationFactor</f>
        <v>1.3201521510537361E-3</v>
      </c>
      <c r="W678" s="777">
        <f>$F$21*$I$8*'Traffic Data'!AY78*annualizationFactor</f>
        <v>1.3288204821178035E-3</v>
      </c>
      <c r="X678" s="777">
        <f>$F$21*$I$8*'Traffic Data'!AZ78*annualizationFactor</f>
        <v>1.3494010161345337E-3</v>
      </c>
      <c r="Y678" s="777">
        <f>$F$21*$I$8*'Traffic Data'!BA78*annualizationFactor</f>
        <v>1.3699815501512643E-3</v>
      </c>
      <c r="Z678" s="777">
        <f>$F$21*$I$8*'Traffic Data'!BB78*annualizationFactor</f>
        <v>1.390566887093086E-3</v>
      </c>
      <c r="AA678" s="777">
        <f>$F$21*$I$8*'Traffic Data'!BC78*annualizationFactor</f>
        <v>1.4111474211098163E-3</v>
      </c>
      <c r="AB678" s="777">
        <f>$F$21*$I$8*'Traffic Data'!BD78*annualizationFactor</f>
        <v>1.4317327580516384E-3</v>
      </c>
      <c r="AC678" s="777">
        <f>$F$21*$I$8*'Traffic Data'!BE78*annualizationFactor</f>
        <v>1.4523132920683686E-3</v>
      </c>
      <c r="AD678" s="777">
        <f>$F$21*$I$8*'Traffic Data'!BF78*annualizationFactor</f>
        <v>1.4728938260850993E-3</v>
      </c>
      <c r="AE678" s="777">
        <f>$F$21*$I$8*'Traffic Data'!BG78*annualizationFactor</f>
        <v>1.4934791630269212E-3</v>
      </c>
      <c r="AF678" s="777">
        <f>$F$21*$I$8*'Traffic Data'!BH78*annualizationFactor</f>
        <v>1.5140596970436512E-3</v>
      </c>
      <c r="AG678" s="777">
        <f>$F$21*$I$8*'Traffic Data'!BI78*annualizationFactor</f>
        <v>1.5346402310603819E-3</v>
      </c>
      <c r="AH678" s="778">
        <f>$F$21*$I$8*'Traffic Data'!BJ78*annualizationFactor</f>
        <v>1.5552255680022038E-3</v>
      </c>
      <c r="AI678" s="24"/>
      <c r="AJ678" s="24"/>
      <c r="AK678" s="24"/>
      <c r="AL678" s="24"/>
      <c r="AM678" s="24"/>
    </row>
    <row r="679" spans="2:39" ht="21.95" customHeight="1" x14ac:dyDescent="0.2">
      <c r="B679" s="1346"/>
      <c r="C679" s="116" t="s">
        <v>341</v>
      </c>
      <c r="D679" s="116" t="s">
        <v>344</v>
      </c>
      <c r="E679" s="116" t="s">
        <v>19</v>
      </c>
      <c r="F679" s="116" t="s">
        <v>438</v>
      </c>
      <c r="G679" s="970"/>
      <c r="H679" s="970"/>
      <c r="I679" s="777">
        <f>$F$21*$I$8*'Traffic Data'!AK79*annualizationFactor</f>
        <v>1.4468070645756001E-3</v>
      </c>
      <c r="J679" s="777">
        <f>$F$21*$I$8*'Traffic Data'!AL79*annualizationFactor</f>
        <v>1.4489772751724635E-3</v>
      </c>
      <c r="K679" s="777">
        <f>$F$21*$I$8*'Traffic Data'!AM79*annualizationFactor</f>
        <v>1.4511474857693267E-3</v>
      </c>
      <c r="L679" s="777">
        <f>$F$21*$I$8*'Traffic Data'!AN79*annualizationFactor</f>
        <v>1.4533176963661904E-3</v>
      </c>
      <c r="M679" s="777">
        <f>$F$21*$I$8*'Traffic Data'!AO79*annualizationFactor</f>
        <v>1.4554879069630538E-3</v>
      </c>
      <c r="N679" s="777">
        <f>$F$21*$I$8*'Traffic Data'!AP79*annualizationFactor</f>
        <v>1.457658117559917E-3</v>
      </c>
      <c r="O679" s="777">
        <f>$F$21*$I$8*'Traffic Data'!AQ79*annualizationFactor</f>
        <v>1.4598283281567804E-3</v>
      </c>
      <c r="P679" s="777">
        <f>$F$21*$I$8*'Traffic Data'!AR79*annualizationFactor</f>
        <v>1.4619985387536441E-3</v>
      </c>
      <c r="Q679" s="777">
        <f>$F$21*$I$8*'Traffic Data'!AS79*annualizationFactor</f>
        <v>1.4641687493505075E-3</v>
      </c>
      <c r="R679" s="777">
        <f>$F$21*$I$8*'Traffic Data'!AT79*annualizationFactor</f>
        <v>1.4641687493505075E-3</v>
      </c>
      <c r="S679" s="777">
        <f>$F$21*$I$8*'Traffic Data'!AU79*annualizationFactor</f>
        <v>1.4641687493505075E-3</v>
      </c>
      <c r="T679" s="777">
        <f>$F$21*$I$8*'Traffic Data'!AV79*annualizationFactor</f>
        <v>1.4641687493505075E-3</v>
      </c>
      <c r="U679" s="777">
        <f>$F$21*$I$8*'Traffic Data'!AW79*annualizationFactor</f>
        <v>1.4641687493505075E-3</v>
      </c>
      <c r="V679" s="777">
        <f>$F$21*$I$8*'Traffic Data'!AX79*annualizationFactor</f>
        <v>1.4641687493505075E-3</v>
      </c>
      <c r="W679" s="777">
        <f>$F$21*$I$8*'Traffic Data'!AY79*annualizationFactor</f>
        <v>1.4641687493505075E-3</v>
      </c>
      <c r="X679" s="777">
        <f>$F$21*$I$8*'Traffic Data'!AZ79*annualizationFactor</f>
        <v>1.4641687493505075E-3</v>
      </c>
      <c r="Y679" s="777">
        <f>$F$21*$I$8*'Traffic Data'!BA79*annualizationFactor</f>
        <v>1.4641687493505075E-3</v>
      </c>
      <c r="Z679" s="777">
        <f>$F$21*$I$8*'Traffic Data'!BB79*annualizationFactor</f>
        <v>1.4641687493505075E-3</v>
      </c>
      <c r="AA679" s="777">
        <f>$F$21*$I$8*'Traffic Data'!BC79*annualizationFactor</f>
        <v>1.4832244893880409E-3</v>
      </c>
      <c r="AB679" s="777">
        <f>$F$21*$I$8*'Traffic Data'!BD79*annualizationFactor</f>
        <v>1.5048612620013528E-3</v>
      </c>
      <c r="AC679" s="777">
        <f>$F$21*$I$8*'Traffic Data'!BE79*annualizationFactor</f>
        <v>1.5264929863709376E-3</v>
      </c>
      <c r="AD679" s="777">
        <f>$F$21*$I$8*'Traffic Data'!BF79*annualizationFactor</f>
        <v>1.548124710740523E-3</v>
      </c>
      <c r="AE679" s="777">
        <f>$F$21*$I$8*'Traffic Data'!BG79*annualizationFactor</f>
        <v>1.5697614833538346E-3</v>
      </c>
      <c r="AF679" s="777">
        <f>$F$21*$I$8*'Traffic Data'!BH79*annualizationFactor</f>
        <v>1.5913932077234192E-3</v>
      </c>
      <c r="AG679" s="777">
        <f>$F$21*$I$8*'Traffic Data'!BI79*annualizationFactor</f>
        <v>1.6130249320930046E-3</v>
      </c>
      <c r="AH679" s="778">
        <f>$F$21*$I$8*'Traffic Data'!BJ79*annualizationFactor</f>
        <v>1.6346617047063164E-3</v>
      </c>
      <c r="AI679" s="24"/>
      <c r="AJ679" s="24"/>
      <c r="AK679" s="24"/>
      <c r="AL679" s="24"/>
      <c r="AM679" s="24"/>
    </row>
    <row r="680" spans="2:39" ht="21.95" customHeight="1" x14ac:dyDescent="0.2">
      <c r="B680" s="1346"/>
      <c r="C680" s="116" t="s">
        <v>344</v>
      </c>
      <c r="D680" s="116" t="s">
        <v>345</v>
      </c>
      <c r="E680" s="116" t="s">
        <v>19</v>
      </c>
      <c r="F680" s="116" t="s">
        <v>438</v>
      </c>
      <c r="G680" s="970"/>
      <c r="H680" s="970"/>
      <c r="I680" s="777">
        <f>$F$21*$I$8*'Traffic Data'!AK80*annualizationFactor</f>
        <v>5.9295371499000005E-4</v>
      </c>
      <c r="J680" s="777">
        <f>$F$21*$I$8*'Traffic Data'!AL80*annualizationFactor</f>
        <v>5.9384314556248507E-4</v>
      </c>
      <c r="K680" s="777">
        <f>$F$21*$I$8*'Traffic Data'!AM80*annualizationFactor</f>
        <v>5.9473257613496997E-4</v>
      </c>
      <c r="L680" s="777">
        <f>$F$21*$I$8*'Traffic Data'!AN80*annualizationFactor</f>
        <v>5.9562200670745509E-4</v>
      </c>
      <c r="M680" s="777">
        <f>$F$21*$I$8*'Traffic Data'!AO80*annualizationFactor</f>
        <v>5.965114372799401E-4</v>
      </c>
      <c r="N680" s="777">
        <f>$F$21*$I$8*'Traffic Data'!AP80*annualizationFactor</f>
        <v>5.9740086785242512E-4</v>
      </c>
      <c r="O680" s="777">
        <f>$F$21*$I$8*'Traffic Data'!AQ80*annualizationFactor</f>
        <v>5.9829029842491002E-4</v>
      </c>
      <c r="P680" s="777">
        <f>$F$21*$I$8*'Traffic Data'!AR80*annualizationFactor</f>
        <v>5.9917972899739503E-4</v>
      </c>
      <c r="Q680" s="777">
        <f>$F$21*$I$8*'Traffic Data'!AS80*annualizationFactor</f>
        <v>6.0006915956988005E-4</v>
      </c>
      <c r="R680" s="777">
        <f>$F$21*$I$8*'Traffic Data'!AT80*annualizationFactor</f>
        <v>6.0006915956988005E-4</v>
      </c>
      <c r="S680" s="777">
        <f>$F$21*$I$8*'Traffic Data'!AU80*annualizationFactor</f>
        <v>6.0006915956988005E-4</v>
      </c>
      <c r="T680" s="777">
        <f>$F$21*$I$8*'Traffic Data'!AV80*annualizationFactor</f>
        <v>6.0006915956988005E-4</v>
      </c>
      <c r="U680" s="777">
        <f>$F$21*$I$8*'Traffic Data'!AW80*annualizationFactor</f>
        <v>6.0006915956988005E-4</v>
      </c>
      <c r="V680" s="777">
        <f>$F$21*$I$8*'Traffic Data'!AX80*annualizationFactor</f>
        <v>6.0006915956988005E-4</v>
      </c>
      <c r="W680" s="777">
        <f>$F$21*$I$8*'Traffic Data'!AY80*annualizationFactor</f>
        <v>6.0006915956988005E-4</v>
      </c>
      <c r="X680" s="777">
        <f>$F$21*$I$8*'Traffic Data'!AZ80*annualizationFactor</f>
        <v>6.0006915956988005E-4</v>
      </c>
      <c r="Y680" s="777">
        <f>$F$21*$I$8*'Traffic Data'!BA80*annualizationFactor</f>
        <v>6.0006915956988005E-4</v>
      </c>
      <c r="Z680" s="777">
        <f>$F$21*$I$8*'Traffic Data'!BB80*annualizationFactor</f>
        <v>6.0006915956988005E-4</v>
      </c>
      <c r="AA680" s="777">
        <f>$F$21*$I$8*'Traffic Data'!BC80*annualizationFactor</f>
        <v>6.078788890934594E-4</v>
      </c>
      <c r="AB680" s="777">
        <f>$F$21*$I$8*'Traffic Data'!BD80*annualizationFactor</f>
        <v>6.1674641885301352E-4</v>
      </c>
      <c r="AC680" s="777">
        <f>$F$21*$I$8*'Traffic Data'!BE80*annualizationFactor</f>
        <v>6.2561187966022041E-4</v>
      </c>
      <c r="AD680" s="777">
        <f>$F$21*$I$8*'Traffic Data'!BF80*annualizationFactor</f>
        <v>6.3447734046742752E-4</v>
      </c>
      <c r="AE680" s="777">
        <f>$F$21*$I$8*'Traffic Data'!BG80*annualizationFactor</f>
        <v>6.4334487022698142E-4</v>
      </c>
      <c r="AF680" s="777">
        <f>$F$21*$I$8*'Traffic Data'!BH80*annualizationFactor</f>
        <v>6.5221033103418831E-4</v>
      </c>
      <c r="AG680" s="777">
        <f>$F$21*$I$8*'Traffic Data'!BI80*annualizationFactor</f>
        <v>6.6107579184139531E-4</v>
      </c>
      <c r="AH680" s="778">
        <f>$F$21*$I$8*'Traffic Data'!BJ80*annualizationFactor</f>
        <v>6.6994332160094942E-4</v>
      </c>
      <c r="AI680" s="24"/>
      <c r="AJ680" s="24"/>
      <c r="AK680" s="24"/>
      <c r="AL680" s="24"/>
      <c r="AM680" s="24"/>
    </row>
    <row r="681" spans="2:39" ht="21.95" customHeight="1" x14ac:dyDescent="0.2">
      <c r="B681" s="1346"/>
      <c r="C681" s="116" t="s">
        <v>345</v>
      </c>
      <c r="D681" s="116" t="s">
        <v>323</v>
      </c>
      <c r="E681" s="116" t="s">
        <v>19</v>
      </c>
      <c r="F681" s="116" t="s">
        <v>438</v>
      </c>
      <c r="G681" s="970"/>
      <c r="H681" s="970"/>
      <c r="I681" s="777">
        <f>$F$21*$I$8*'Traffic Data'!AK81*annualizationFactor</f>
        <v>7.1519340392640013E-3</v>
      </c>
      <c r="J681" s="777">
        <f>$F$21*$I$8*'Traffic Data'!AL81*annualizationFactor</f>
        <v>7.3161092393974631E-3</v>
      </c>
      <c r="K681" s="777">
        <f>$F$21*$I$8*'Traffic Data'!AM81*annualizationFactor</f>
        <v>7.556248196076535E-3</v>
      </c>
      <c r="L681" s="777">
        <f>$F$21*$I$8*'Traffic Data'!AN81*annualizationFactor</f>
        <v>7.8442412542647551E-3</v>
      </c>
      <c r="M681" s="777">
        <f>$F$21*$I$8*'Traffic Data'!AO81*annualizationFactor</f>
        <v>8.1323109403176816E-3</v>
      </c>
      <c r="N681" s="777">
        <f>$F$21*$I$8*'Traffic Data'!AP81*annualizationFactor</f>
        <v>8.4204061689921814E-3</v>
      </c>
      <c r="O681" s="777">
        <f>$F$21*$I$8*'Traffic Data'!AQ81*annualizationFactor</f>
        <v>8.7083992271803998E-3</v>
      </c>
      <c r="P681" s="777">
        <f>$F$21*$I$8*'Traffic Data'!AR81*annualizationFactor</f>
        <v>8.9965455410980309E-3</v>
      </c>
      <c r="Q681" s="777">
        <f>$F$21*$I$8*'Traffic Data'!AS81*annualizationFactor</f>
        <v>9.2444366834232346E-3</v>
      </c>
      <c r="R681" s="777">
        <f>$F$21*$I$8*'Traffic Data'!AT81*annualizationFactor</f>
        <v>9.4923150544376535E-3</v>
      </c>
      <c r="S681" s="777">
        <f>$F$21*$I$8*'Traffic Data'!AU81*annualizationFactor</f>
        <v>9.740206196762859E-3</v>
      </c>
      <c r="T681" s="777">
        <f>$F$21*$I$8*'Traffic Data'!AV81*annualizationFactor</f>
        <v>9.9880973390880593E-3</v>
      </c>
      <c r="U681" s="777">
        <f>$F$21*$I$8*'Traffic Data'!AW81*annualizationFactor</f>
        <v>1.0236141737142677E-2</v>
      </c>
      <c r="V681" s="777">
        <f>$F$21*$I$8*'Traffic Data'!AX81*annualizationFactor</f>
        <v>1.0436102150094028E-2</v>
      </c>
      <c r="W681" s="777">
        <f>$F$21*$I$8*'Traffic Data'!AY81*annualizationFactor</f>
        <v>1.0600277350227489E-2</v>
      </c>
      <c r="X681" s="777">
        <f>$F$21*$I$8*'Traffic Data'!AZ81*annualizationFactor</f>
        <v>1.0764452550360952E-2</v>
      </c>
      <c r="Y681" s="777">
        <f>$F$21*$I$8*'Traffic Data'!BA81*annualizationFactor</f>
        <v>1.0928627750494413E-2</v>
      </c>
      <c r="Z681" s="777">
        <f>$F$21*$I$8*'Traffic Data'!BB81*annualizationFactor</f>
        <v>1.1092841264560229E-2</v>
      </c>
      <c r="AA681" s="777">
        <f>$F$21*$I$8*'Traffic Data'!BC81*annualizationFactor</f>
        <v>1.1257016464693691E-2</v>
      </c>
      <c r="AB681" s="777">
        <f>$F$21*$I$8*'Traffic Data'!BD81*annualizationFactor</f>
        <v>1.1421229978759505E-2</v>
      </c>
      <c r="AC681" s="777">
        <f>$F$21*$I$8*'Traffic Data'!BE81*annualizationFactor</f>
        <v>1.1585405178892968E-2</v>
      </c>
      <c r="AD681" s="777">
        <f>$F$21*$I$8*'Traffic Data'!BF81*annualizationFactor</f>
        <v>1.1749580379026431E-2</v>
      </c>
      <c r="AE681" s="777">
        <f>$F$21*$I$8*'Traffic Data'!BG81*annualizationFactor</f>
        <v>1.1913793893092247E-2</v>
      </c>
      <c r="AF681" s="777">
        <f>$F$21*$I$8*'Traffic Data'!BH81*annualizationFactor</f>
        <v>1.2077969093225706E-2</v>
      </c>
      <c r="AG681" s="777">
        <f>$F$21*$I$8*'Traffic Data'!BI81*annualizationFactor</f>
        <v>1.2242144293359172E-2</v>
      </c>
      <c r="AH681" s="778">
        <f>$F$21*$I$8*'Traffic Data'!BJ81*annualizationFactor</f>
        <v>1.2406357807424986E-2</v>
      </c>
      <c r="AI681" s="24"/>
      <c r="AJ681" s="24"/>
      <c r="AK681" s="24"/>
      <c r="AL681" s="24"/>
      <c r="AM681" s="24"/>
    </row>
    <row r="682" spans="2:39" ht="21.95" customHeight="1" x14ac:dyDescent="0.2">
      <c r="B682" s="1346"/>
      <c r="C682" s="116" t="s">
        <v>323</v>
      </c>
      <c r="D682" s="116" t="s">
        <v>347</v>
      </c>
      <c r="E682" s="116" t="s">
        <v>19</v>
      </c>
      <c r="F682" s="116" t="s">
        <v>438</v>
      </c>
      <c r="G682" s="970"/>
      <c r="H682" s="970"/>
      <c r="I682" s="777">
        <f>$F$21*$I$8*'Traffic Data'!AK82*annualizationFactor</f>
        <v>1.2771310784400001E-3</v>
      </c>
      <c r="J682" s="777">
        <f>$F$21*$I$8*'Traffic Data'!AL82*annualizationFactor</f>
        <v>1.3053511140911011E-3</v>
      </c>
      <c r="K682" s="777">
        <f>$F$21*$I$8*'Traffic Data'!AM82*annualizationFactor</f>
        <v>1.3471338256769926E-3</v>
      </c>
      <c r="L682" s="777">
        <f>$F$21*$I$8*'Traffic Data'!AN82*annualizationFactor</f>
        <v>1.4001598519355792E-3</v>
      </c>
      <c r="M682" s="777">
        <f>$F$21*$I$8*'Traffic Data'!AO82*annualizationFactor</f>
        <v>1.4532018423326464E-3</v>
      </c>
      <c r="N682" s="777">
        <f>$F$21*$I$8*'Traffic Data'!AP82*annualizationFactor</f>
        <v>1.5062406399020168E-3</v>
      </c>
      <c r="O682" s="777">
        <f>$F$21*$I$8*'Traffic Data'!AQ82*annualizationFactor</f>
        <v>1.5592666661606034E-3</v>
      </c>
      <c r="P682" s="777">
        <f>$F$21*$I$8*'Traffic Data'!AR82*annualizationFactor</f>
        <v>1.6123214278684548E-3</v>
      </c>
      <c r="Q682" s="777">
        <f>$F$21*$I$8*'Traffic Data'!AS82*annualizationFactor</f>
        <v>1.6594658093925831E-3</v>
      </c>
      <c r="R682" s="777">
        <f>$F$21*$I$8*'Traffic Data'!AT82*annualizationFactor</f>
        <v>1.7066147520991338E-3</v>
      </c>
      <c r="S682" s="777">
        <f>$F$21*$I$8*'Traffic Data'!AU82*annualizationFactor</f>
        <v>1.7537591336232617E-3</v>
      </c>
      <c r="T682" s="777">
        <f>$F$21*$I$8*'Traffic Data'!AV82*annualizationFactor</f>
        <v>1.8009035151473902E-3</v>
      </c>
      <c r="U682" s="777">
        <f>$F$21*$I$8*'Traffic Data'!AW82*annualizationFactor</f>
        <v>1.8480697903471483E-3</v>
      </c>
      <c r="V682" s="777">
        <f>$F$21*$I$8*'Traffic Data'!AX82*annualizationFactor</f>
        <v>1.8839580858877969E-3</v>
      </c>
      <c r="W682" s="777">
        <f>$F$21*$I$8*'Traffic Data'!AY82*annualizationFactor</f>
        <v>1.9121781215388981E-3</v>
      </c>
      <c r="X682" s="777">
        <f>$F$21*$I$8*'Traffic Data'!AZ82*annualizationFactor</f>
        <v>1.9403981571899994E-3</v>
      </c>
      <c r="Y682" s="777">
        <f>$F$21*$I$8*'Traffic Data'!BA82*annualizationFactor</f>
        <v>1.9686181928411004E-3</v>
      </c>
      <c r="Z682" s="777">
        <f>$F$21*$I$8*'Traffic Data'!BB82*annualizationFactor</f>
        <v>1.9968427896746243E-3</v>
      </c>
      <c r="AA682" s="777">
        <f>$F$21*$I$8*'Traffic Data'!BC82*annualizationFactor</f>
        <v>2.0250628253257246E-3</v>
      </c>
      <c r="AB682" s="777">
        <f>$F$21*$I$8*'Traffic Data'!BD82*annualizationFactor</f>
        <v>2.0532874221592494E-3</v>
      </c>
      <c r="AC682" s="777">
        <f>$F$21*$I$8*'Traffic Data'!BE82*annualizationFactor</f>
        <v>2.0815074578103506E-3</v>
      </c>
      <c r="AD682" s="777">
        <f>$F$21*$I$8*'Traffic Data'!BF82*annualizationFactor</f>
        <v>2.1097274934614514E-3</v>
      </c>
      <c r="AE682" s="777">
        <f>$F$21*$I$8*'Traffic Data'!BG82*annualizationFactor</f>
        <v>2.1379520902949753E-3</v>
      </c>
      <c r="AF682" s="777">
        <f>$F$21*$I$8*'Traffic Data'!BH82*annualizationFactor</f>
        <v>2.1661721259460765E-3</v>
      </c>
      <c r="AG682" s="777">
        <f>$F$21*$I$8*'Traffic Data'!BI82*annualizationFactor</f>
        <v>2.1943921615971774E-3</v>
      </c>
      <c r="AH682" s="778">
        <f>$F$21*$I$8*'Traffic Data'!BJ82*annualizationFactor</f>
        <v>2.2226167584307012E-3</v>
      </c>
      <c r="AI682" s="24"/>
      <c r="AJ682" s="24"/>
      <c r="AK682" s="24"/>
      <c r="AL682" s="24"/>
      <c r="AM682" s="24"/>
    </row>
    <row r="683" spans="2:39" ht="21.95" customHeight="1" x14ac:dyDescent="0.2">
      <c r="B683" s="1346"/>
      <c r="C683" s="116" t="s">
        <v>347</v>
      </c>
      <c r="D683" s="116" t="s">
        <v>348</v>
      </c>
      <c r="E683" s="116" t="s">
        <v>19</v>
      </c>
      <c r="F683" s="116" t="s">
        <v>438</v>
      </c>
      <c r="G683" s="970"/>
      <c r="H683" s="970"/>
      <c r="I683" s="777">
        <f>$F$21*$I$8*'Traffic Data'!AK83*annualizationFactor</f>
        <v>8.9399175490800017E-4</v>
      </c>
      <c r="J683" s="777">
        <f>$F$21*$I$8*'Traffic Data'!AL83*annualizationFactor</f>
        <v>9.1374577986377077E-4</v>
      </c>
      <c r="K683" s="777">
        <f>$F$21*$I$8*'Traffic Data'!AM83*annualizationFactor</f>
        <v>9.4299367797389473E-4</v>
      </c>
      <c r="L683" s="777">
        <f>$F$21*$I$8*'Traffic Data'!AN83*annualizationFactor</f>
        <v>9.8011189635490532E-4</v>
      </c>
      <c r="M683" s="777">
        <f>$F$21*$I$8*'Traffic Data'!AO83*annualizationFactor</f>
        <v>1.0172412896328525E-3</v>
      </c>
      <c r="N683" s="777">
        <f>$F$21*$I$8*'Traffic Data'!AP83*annualizationFactor</f>
        <v>1.054368447931412E-3</v>
      </c>
      <c r="O683" s="777">
        <f>$F$21*$I$8*'Traffic Data'!AQ83*annualizationFactor</f>
        <v>1.0914866663124224E-3</v>
      </c>
      <c r="P683" s="777">
        <f>$F$21*$I$8*'Traffic Data'!AR83*annualizationFactor</f>
        <v>1.1286249995079182E-3</v>
      </c>
      <c r="Q683" s="777">
        <f>$F$21*$I$8*'Traffic Data'!AS83*annualizationFactor</f>
        <v>1.1616260665748082E-3</v>
      </c>
      <c r="R683" s="777">
        <f>$F$21*$I$8*'Traffic Data'!AT83*annualizationFactor</f>
        <v>1.1946303264693937E-3</v>
      </c>
      <c r="S683" s="777">
        <f>$F$21*$I$8*'Traffic Data'!AU83*annualizationFactor</f>
        <v>1.2276313935362831E-3</v>
      </c>
      <c r="T683" s="777">
        <f>$F$21*$I$8*'Traffic Data'!AV83*annualizationFactor</f>
        <v>1.260632460603173E-3</v>
      </c>
      <c r="U683" s="777">
        <f>$F$21*$I$8*'Traffic Data'!AW83*annualizationFactor</f>
        <v>1.2936488532430037E-3</v>
      </c>
      <c r="V683" s="777">
        <f>$F$21*$I$8*'Traffic Data'!AX83*annualizationFactor</f>
        <v>1.3187706601214576E-3</v>
      </c>
      <c r="W683" s="777">
        <f>$F$21*$I$8*'Traffic Data'!AY83*annualizationFactor</f>
        <v>1.3385246850772285E-3</v>
      </c>
      <c r="X683" s="777">
        <f>$F$21*$I$8*'Traffic Data'!AZ83*annualizationFactor</f>
        <v>1.3582787100329993E-3</v>
      </c>
      <c r="Y683" s="777">
        <f>$F$21*$I$8*'Traffic Data'!BA83*annualizationFactor</f>
        <v>1.3780327349887703E-3</v>
      </c>
      <c r="Z683" s="777">
        <f>$F$21*$I$8*'Traffic Data'!BB83*annualizationFactor</f>
        <v>1.3977899527722367E-3</v>
      </c>
      <c r="AA683" s="777">
        <f>$F$21*$I$8*'Traffic Data'!BC83*annualizationFactor</f>
        <v>1.4175439777280073E-3</v>
      </c>
      <c r="AB683" s="777">
        <f>$F$21*$I$8*'Traffic Data'!BD83*annualizationFactor</f>
        <v>1.4373011955114744E-3</v>
      </c>
      <c r="AC683" s="777">
        <f>$F$21*$I$8*'Traffic Data'!BE83*annualizationFactor</f>
        <v>1.4570552204672452E-3</v>
      </c>
      <c r="AD683" s="777">
        <f>$F$21*$I$8*'Traffic Data'!BF83*annualizationFactor</f>
        <v>1.4768092454230158E-3</v>
      </c>
      <c r="AE683" s="777">
        <f>$F$21*$I$8*'Traffic Data'!BG83*annualizationFactor</f>
        <v>1.4965664632064827E-3</v>
      </c>
      <c r="AF683" s="777">
        <f>$F$21*$I$8*'Traffic Data'!BH83*annualizationFactor</f>
        <v>1.5163204881622535E-3</v>
      </c>
      <c r="AG683" s="777">
        <f>$F$21*$I$8*'Traffic Data'!BI83*annualizationFactor</f>
        <v>1.5360745131180243E-3</v>
      </c>
      <c r="AH683" s="778">
        <f>$F$21*$I$8*'Traffic Data'!BJ83*annualizationFactor</f>
        <v>1.5558317309014909E-3</v>
      </c>
      <c r="AI683" s="24"/>
      <c r="AJ683" s="24"/>
      <c r="AK683" s="24"/>
      <c r="AL683" s="24"/>
      <c r="AM683" s="24"/>
    </row>
    <row r="684" spans="2:39" ht="21.95" customHeight="1" x14ac:dyDescent="0.2">
      <c r="B684" s="1346"/>
      <c r="C684" s="254" t="s">
        <v>348</v>
      </c>
      <c r="D684" s="254" t="s">
        <v>349</v>
      </c>
      <c r="E684" s="254" t="s">
        <v>19</v>
      </c>
      <c r="F684" s="254" t="s">
        <v>438</v>
      </c>
      <c r="G684" s="779"/>
      <c r="H684" s="779"/>
      <c r="I684" s="777">
        <f>$F$21*$I$8*'Traffic Data'!AK84*annualizationFactor</f>
        <v>1.4595783753600002E-3</v>
      </c>
      <c r="J684" s="777">
        <f>$F$21*$I$8*'Traffic Data'!AL84*annualizationFactor</f>
        <v>1.4944417732102007E-3</v>
      </c>
      <c r="K684" s="777">
        <f>$F$21*$I$8*'Traffic Data'!AM84*annualizationFactor</f>
        <v>1.542870127586403E-3</v>
      </c>
      <c r="L684" s="777">
        <f>$F$21*$I$8*'Traffic Data'!AN84*annualizationFactor</f>
        <v>1.607187360933126E-3</v>
      </c>
      <c r="M684" s="777">
        <f>$F$21*$I$8*'Traffic Data'!AO84*annualizationFactor</f>
        <v>1.6715228390095415E-3</v>
      </c>
      <c r="N684" s="777">
        <f>$F$21*$I$8*'Traffic Data'!AP84*annualizationFactor</f>
        <v>1.7358628782683794E-3</v>
      </c>
      <c r="O684" s="777">
        <f>$F$21*$I$8*'Traffic Data'!AQ84*annualizationFactor</f>
        <v>1.8001801116151023E-3</v>
      </c>
      <c r="P684" s="777">
        <f>$F$21*$I$8*'Traffic Data'!AR84*annualizationFactor</f>
        <v>1.8645338344212097E-3</v>
      </c>
      <c r="Q684" s="777">
        <f>$F$21*$I$8*'Traffic Data'!AS84*annualizationFactor</f>
        <v>1.9259547169293274E-3</v>
      </c>
      <c r="R684" s="777">
        <f>$F$21*$I$8*'Traffic Data'!AT84*annualizationFactor</f>
        <v>1.9873778800286565E-3</v>
      </c>
      <c r="S684" s="777">
        <f>$F$21*$I$8*'Traffic Data'!AU84*annualizationFactor</f>
        <v>2.0487987625367743E-3</v>
      </c>
      <c r="T684" s="777">
        <f>$F$21*$I$8*'Traffic Data'!AV84*annualizationFactor</f>
        <v>2.1102196450448929E-3</v>
      </c>
      <c r="U684" s="777">
        <f>$F$21*$I$8*'Traffic Data'!AW84*annualizationFactor</f>
        <v>2.1716770170123949E-3</v>
      </c>
      <c r="V684" s="777">
        <f>$F$21*$I$8*'Traffic Data'!AX84*annualizationFactor</f>
        <v>2.2171907758203003E-3</v>
      </c>
      <c r="W684" s="777">
        <f>$F$21*$I$8*'Traffic Data'!AY84*annualizationFactor</f>
        <v>2.2520541736705006E-3</v>
      </c>
      <c r="X684" s="777">
        <f>$F$21*$I$8*'Traffic Data'!AZ84*annualizationFactor</f>
        <v>2.2869175715207013E-3</v>
      </c>
      <c r="Y684" s="777">
        <f>$F$21*$I$8*'Traffic Data'!BA84*annualizationFactor</f>
        <v>2.3217809693709015E-3</v>
      </c>
      <c r="Z684" s="777">
        <f>$F$21*$I$8*'Traffic Data'!BB84*annualizationFactor</f>
        <v>2.3566512089947369E-3</v>
      </c>
      <c r="AA684" s="777">
        <f>$F$21*$I$8*'Traffic Data'!BC84*annualizationFactor</f>
        <v>2.3915146068449371E-3</v>
      </c>
      <c r="AB684" s="777">
        <f>$F$21*$I$8*'Traffic Data'!BD84*annualizationFactor</f>
        <v>2.4263848464687724E-3</v>
      </c>
      <c r="AC684" s="777">
        <f>$F$21*$I$8*'Traffic Data'!BE84*annualizationFactor</f>
        <v>2.4612482443189727E-3</v>
      </c>
      <c r="AD684" s="777">
        <f>$F$21*$I$8*'Traffic Data'!BF84*annualizationFactor</f>
        <v>2.4961116421691734E-3</v>
      </c>
      <c r="AE684" s="777">
        <f>$F$21*$I$8*'Traffic Data'!BG84*annualizationFactor</f>
        <v>2.5309818817930083E-3</v>
      </c>
      <c r="AF684" s="777">
        <f>$F$21*$I$8*'Traffic Data'!BH84*annualizationFactor</f>
        <v>2.565845279643209E-3</v>
      </c>
      <c r="AG684" s="777">
        <f>$F$21*$I$8*'Traffic Data'!BI84*annualizationFactor</f>
        <v>2.6007086774934092E-3</v>
      </c>
      <c r="AH684" s="778">
        <f>$F$21*$I$8*'Traffic Data'!BJ84*annualizationFactor</f>
        <v>2.6355789171172441E-3</v>
      </c>
      <c r="AI684" s="24"/>
      <c r="AJ684" s="24"/>
      <c r="AK684" s="24"/>
      <c r="AL684" s="24"/>
      <c r="AM684" s="24"/>
    </row>
    <row r="685" spans="2:39" ht="21.95" customHeight="1" x14ac:dyDescent="0.2">
      <c r="B685" s="492" t="s">
        <v>288</v>
      </c>
      <c r="C685" s="116" t="s">
        <v>323</v>
      </c>
      <c r="D685" s="116" t="s">
        <v>348</v>
      </c>
      <c r="E685" s="116" t="s">
        <v>19</v>
      </c>
      <c r="F685" s="254" t="s">
        <v>438</v>
      </c>
      <c r="G685" s="970"/>
      <c r="H685" s="970"/>
      <c r="I685" s="775">
        <f>$F$21*$J$8*'Traffic Data'!AK85*annualizationFactor</f>
        <v>1.1728754802E-4</v>
      </c>
      <c r="J685" s="775">
        <f>$F$21*$J$8*'Traffic Data'!AL85*annualizationFactor</f>
        <v>1.2449942902825203E-4</v>
      </c>
      <c r="K685" s="775">
        <f>$F$21*$J$8*'Traffic Data'!AM85*annualizationFactor</f>
        <v>1.3404337744963503E-4</v>
      </c>
      <c r="L685" s="775">
        <f>$F$21*$J$8*'Traffic Data'!AN85*annualizationFactor</f>
        <v>1.4672672257301999E-4</v>
      </c>
      <c r="M685" s="775">
        <f>$F$21*$J$8*'Traffic Data'!AO85*annualizationFactor</f>
        <v>1.5941397728133901E-4</v>
      </c>
      <c r="N685" s="775">
        <f>$F$21*$J$8*'Traffic Data'!AP85*annualizationFactor</f>
        <v>1.7212859908419603E-4</v>
      </c>
      <c r="O685" s="775">
        <f>$F$21*$J$8*'Traffic Data'!AQ85*annualizationFactor</f>
        <v>1.8481194420758097E-4</v>
      </c>
      <c r="P685" s="775">
        <f>$F$21*$J$8*'Traffic Data'!AR85*annualizationFactor</f>
        <v>1.97508972878235E-4</v>
      </c>
      <c r="Q685" s="775">
        <f>$F$21*$J$8*'Traffic Data'!AS85*annualizationFactor</f>
        <v>2.09086557062787E-4</v>
      </c>
      <c r="R685" s="775">
        <f>$F$21*$J$8*'Traffic Data'!AT85*annualizationFactor</f>
        <v>2.2065436728500404E-4</v>
      </c>
      <c r="S685" s="775">
        <f>$F$21*$J$8*'Traffic Data'!AU85*annualizationFactor</f>
        <v>2.32232603067045E-4</v>
      </c>
      <c r="T685" s="775">
        <f>$F$21*$J$8*'Traffic Data'!AV85*annualizationFactor</f>
        <v>2.43810187251597E-4</v>
      </c>
      <c r="U685" s="775">
        <f>$F$21*$J$8*'Traffic Data'!AW85*annualizationFactor</f>
        <v>2.5542882207795598E-4</v>
      </c>
      <c r="V685" s="775">
        <f>$F$21*$J$8*'Traffic Data'!AX85*annualizationFactor</f>
        <v>2.6385788719566003E-4</v>
      </c>
      <c r="W685" s="775">
        <f>$F$21*$J$8*'Traffic Data'!AY85*annualizationFactor</f>
        <v>2.7106976820391203E-4</v>
      </c>
      <c r="X685" s="775">
        <f>$F$21*$J$8*'Traffic Data'!AZ85*annualizationFactor</f>
        <v>2.7828164921216397E-4</v>
      </c>
      <c r="Y685" s="775">
        <f>$F$21*$J$8*'Traffic Data'!BA85*annualizationFactor</f>
        <v>2.8549353022041602E-4</v>
      </c>
      <c r="Z685" s="775">
        <f>$F$21*$J$8*'Traffic Data'!BB85*annualizationFactor</f>
        <v>2.9271323039853603E-4</v>
      </c>
      <c r="AA685" s="775">
        <f>$F$21*$J$8*'Traffic Data'!BC85*annualizationFactor</f>
        <v>2.9992511140678797E-4</v>
      </c>
      <c r="AB685" s="775">
        <f>$F$21*$J$8*'Traffic Data'!BD85*annualizationFactor</f>
        <v>3.0715458554724304E-4</v>
      </c>
      <c r="AC685" s="775">
        <f>$F$21*$J$8*'Traffic Data'!BE85*annualizationFactor</f>
        <v>3.1436646655549498E-4</v>
      </c>
      <c r="AD685" s="775">
        <f>$F$21*$J$8*'Traffic Data'!BF85*annualizationFactor</f>
        <v>3.2157834756374703E-4</v>
      </c>
      <c r="AE685" s="775">
        <f>$F$21*$J$8*'Traffic Data'!BG85*annualizationFactor</f>
        <v>3.2879804774186693E-4</v>
      </c>
      <c r="AF685" s="775">
        <f>$F$21*$J$8*'Traffic Data'!BH85*annualizationFactor</f>
        <v>3.3600992875011904E-4</v>
      </c>
      <c r="AG685" s="775">
        <f>$F$21*$J$8*'Traffic Data'!BI85*annualizationFactor</f>
        <v>3.4322180975837103E-4</v>
      </c>
      <c r="AH685" s="776">
        <f>$F$21*$J$8*'Traffic Data'!BJ85*annualizationFactor</f>
        <v>3.5045128389882599E-4</v>
      </c>
      <c r="AI685" s="24"/>
      <c r="AJ685" s="24"/>
      <c r="AK685" s="24"/>
      <c r="AL685" s="24"/>
      <c r="AM685" s="24"/>
    </row>
    <row r="686" spans="2:39" ht="21.95" customHeight="1" x14ac:dyDescent="0.2">
      <c r="B686" s="782" t="s">
        <v>340</v>
      </c>
      <c r="C686" s="277" t="s">
        <v>335</v>
      </c>
      <c r="D686" s="277" t="s">
        <v>323</v>
      </c>
      <c r="E686" s="277" t="s">
        <v>19</v>
      </c>
      <c r="F686" s="277" t="s">
        <v>438</v>
      </c>
      <c r="G686" s="780"/>
      <c r="H686" s="780"/>
      <c r="I686" s="775">
        <f>$F$21*$K$8*'Traffic Data'!AK86*annualizationFactor</f>
        <v>0</v>
      </c>
      <c r="J686" s="775">
        <f>$F$21*$K$8*'Traffic Data'!AL86*annualizationFactor</f>
        <v>1.967090978646382E-4</v>
      </c>
      <c r="K686" s="775">
        <f>$F$21*$K$8*'Traffic Data'!AM86*annualizationFactor</f>
        <v>2.1178853637042336E-4</v>
      </c>
      <c r="L686" s="775">
        <f>$F$21*$K$8*'Traffic Data'!AN86*annualizationFactor</f>
        <v>2.3182822166537161E-4</v>
      </c>
      <c r="M686" s="775">
        <f>$F$21*$K$8*'Traffic Data'!AO86*annualizationFactor</f>
        <v>2.5187408410451564E-4</v>
      </c>
      <c r="N686" s="775">
        <f>$F$21*$K$8*'Traffic Data'!AP86*annualizationFactor</f>
        <v>2.7196318655302976E-4</v>
      </c>
      <c r="O686" s="775">
        <f>$F$21*$K$8*'Traffic Data'!AQ86*annualizationFactor</f>
        <v>2.9200287184797795E-4</v>
      </c>
      <c r="P686" s="775">
        <f>$F$21*$K$8*'Traffic Data'!AR86*annualizationFactor</f>
        <v>3.1206417714761133E-4</v>
      </c>
      <c r="Q686" s="775">
        <f>$F$21*$K$8*'Traffic Data'!AS86*annualizationFactor</f>
        <v>3.3035676015920351E-4</v>
      </c>
      <c r="R686" s="775">
        <f>$F$21*$K$8*'Traffic Data'!AT86*annualizationFactor</f>
        <v>3.4863390031030634E-4</v>
      </c>
      <c r="S686" s="775">
        <f>$F$21*$K$8*'Traffic Data'!AU86*annualizationFactor</f>
        <v>3.6692751284593111E-4</v>
      </c>
      <c r="T686" s="775">
        <f>$F$21*$K$8*'Traffic Data'!AV86*annualizationFactor</f>
        <v>3.8522009585752328E-4</v>
      </c>
      <c r="U686" s="775">
        <f>$F$21*$K$8*'Traffic Data'!AW86*annualizationFactor</f>
        <v>4.0357753888317052E-4</v>
      </c>
      <c r="V686" s="775">
        <f>$F$21*$K$8*'Traffic Data'!AX86*annualizationFactor</f>
        <v>4.1689546176914291E-4</v>
      </c>
      <c r="W686" s="775">
        <f>$F$21*$K$8*'Traffic Data'!AY86*annualizationFactor</f>
        <v>4.2829023376218101E-4</v>
      </c>
      <c r="X686" s="775">
        <f>$F$21*$K$8*'Traffic Data'!AZ86*annualizationFactor</f>
        <v>4.396850057552191E-4</v>
      </c>
      <c r="Y686" s="775">
        <f>$F$21*$K$8*'Traffic Data'!BA86*annualizationFactor</f>
        <v>4.5107977774825724E-4</v>
      </c>
      <c r="Z686" s="775">
        <f>$F$21*$K$8*'Traffic Data'!BB86*annualizationFactor</f>
        <v>4.6248690402968696E-4</v>
      </c>
      <c r="AA686" s="775">
        <f>$F$21*$K$8*'Traffic Data'!BC86*annualizationFactor</f>
        <v>4.7388167602272499E-4</v>
      </c>
      <c r="AB686" s="775">
        <f>$F$21*$K$8*'Traffic Data'!BD86*annualizationFactor</f>
        <v>4.85304245164644E-4</v>
      </c>
      <c r="AC686" s="775">
        <f>$F$21*$K$8*'Traffic Data'!BE86*annualizationFactor</f>
        <v>4.9669901715768214E-4</v>
      </c>
      <c r="AD686" s="775">
        <f>$F$21*$K$8*'Traffic Data'!BF86*annualizationFactor</f>
        <v>5.0809378915072029E-4</v>
      </c>
      <c r="AE686" s="775">
        <f>$F$21*$K$8*'Traffic Data'!BG86*annualizationFactor</f>
        <v>5.1950091543214979E-4</v>
      </c>
      <c r="AF686" s="775">
        <f>$F$21*$K$8*'Traffic Data'!BH86*annualizationFactor</f>
        <v>5.3089568742518815E-4</v>
      </c>
      <c r="AG686" s="775">
        <f>$F$21*$K$8*'Traffic Data'!BI86*annualizationFactor</f>
        <v>5.4229045941822619E-4</v>
      </c>
      <c r="AH686" s="776">
        <f>$F$21*$K$8*'Traffic Data'!BJ86*annualizationFactor</f>
        <v>5.5371302856014497E-4</v>
      </c>
      <c r="AI686" s="24"/>
      <c r="AJ686" s="24"/>
      <c r="AK686" s="24"/>
      <c r="AL686" s="24"/>
      <c r="AM686" s="24"/>
    </row>
    <row r="687" spans="2:39" ht="21.95" customHeight="1" x14ac:dyDescent="0.2">
      <c r="B687" s="782" t="s">
        <v>357</v>
      </c>
      <c r="C687" s="277" t="s">
        <v>338</v>
      </c>
      <c r="D687" s="277" t="s">
        <v>323</v>
      </c>
      <c r="E687" s="116" t="s">
        <v>19</v>
      </c>
      <c r="F687" s="277" t="s">
        <v>438</v>
      </c>
      <c r="G687" s="970"/>
      <c r="H687" s="970"/>
      <c r="I687" s="775">
        <f>$F$21*$L$8*'Traffic Data'!AK87*annualizationFactor</f>
        <v>2.1751508905527275E-4</v>
      </c>
      <c r="J687" s="775">
        <f>$F$21*$L$8*'Traffic Data'!AL87*annualizationFactor</f>
        <v>2.2050169206971776E-4</v>
      </c>
      <c r="K687" s="775">
        <f>$F$21*$L$8*'Traffic Data'!AM87*annualizationFactor</f>
        <v>2.2566405018329625E-4</v>
      </c>
      <c r="L687" s="775">
        <f>$F$21*$L$8*'Traffic Data'!AN87*annualizationFactor</f>
        <v>2.3275141683501392E-4</v>
      </c>
      <c r="M687" s="775">
        <f>$F$21*$L$8*'Traffic Data'!AO87*annualizationFactor</f>
        <v>2.3984180452963507E-4</v>
      </c>
      <c r="N687" s="775">
        <f>$F$21*$L$8*'Traffic Data'!AP87*annualizationFactor</f>
        <v>2.4694246377012831E-4</v>
      </c>
      <c r="O687" s="775">
        <f>$F$21*$L$8*'Traffic Data'!AQ87*annualizationFactor</f>
        <v>2.5402983042184594E-4</v>
      </c>
      <c r="P687" s="775">
        <f>$F$21*$L$8*'Traffic Data'!AR87*annualizationFactor</f>
        <v>2.6114196962537267E-4</v>
      </c>
      <c r="Q687" s="775">
        <f>$F$21*$L$8*'Traffic Data'!AS87*annualizationFactor</f>
        <v>2.6607412426970096E-4</v>
      </c>
      <c r="R687" s="775">
        <f>$F$21*$L$8*'Traffic Data'!AT87*annualizationFactor</f>
        <v>2.7100688312260994E-4</v>
      </c>
      <c r="S687" s="775">
        <f>$F$21*$L$8*'Traffic Data'!AU87*annualizationFactor</f>
        <v>2.7594024618409971E-4</v>
      </c>
      <c r="T687" s="775">
        <f>$F$21*$L$8*'Traffic Data'!AV87*annualizationFactor</f>
        <v>2.8087240082842806E-4</v>
      </c>
      <c r="U687" s="775">
        <f>$F$21*$L$8*'Traffic Data'!AW87*annualizationFactor</f>
        <v>2.8583959957043743E-4</v>
      </c>
      <c r="V687" s="775">
        <f>$F$21*$L$8*'Traffic Data'!AX87*annualizationFactor</f>
        <v>2.8882620258488247E-4</v>
      </c>
      <c r="W687" s="775">
        <f>$F$21*$L$8*'Traffic Data'!AY87*annualizationFactor</f>
        <v>2.9181280559932744E-4</v>
      </c>
      <c r="X687" s="775">
        <f>$F$21*$L$8*'Traffic Data'!AZ87*annualizationFactor</f>
        <v>2.9479940861377259E-4</v>
      </c>
      <c r="Y687" s="775">
        <f>$F$21*$L$8*'Traffic Data'!BA87*annualizationFactor</f>
        <v>2.9778601162821751E-4</v>
      </c>
      <c r="Z687" s="775">
        <f>$F$21*$L$8*'Traffic Data'!BB87*annualizationFactor</f>
        <v>3.007931577344068E-4</v>
      </c>
      <c r="AA687" s="775">
        <f>$F$21*$L$8*'Traffic Data'!BC87*annualizationFactor</f>
        <v>3.0377976074885178E-4</v>
      </c>
      <c r="AB687" s="775">
        <f>$F$21*$L$8*'Traffic Data'!BD87*annualizationFactor</f>
        <v>3.0677784372633033E-4</v>
      </c>
      <c r="AC687" s="775">
        <f>$F$21*$L$8*'Traffic Data'!BE87*annualizationFactor</f>
        <v>3.0976444674077531E-4</v>
      </c>
      <c r="AD687" s="775">
        <f>$F$21*$L$8*'Traffic Data'!BF87*annualizationFactor</f>
        <v>3.1275104975522045E-4</v>
      </c>
      <c r="AE687" s="775">
        <f>$F$21*$L$8*'Traffic Data'!BG87*annualizationFactor</f>
        <v>3.1575819586140952E-4</v>
      </c>
      <c r="AF687" s="775">
        <f>$F$21*$L$8*'Traffic Data'!BH87*annualizationFactor</f>
        <v>3.1874479887585461E-4</v>
      </c>
      <c r="AG687" s="775">
        <f>$F$21*$L$8*'Traffic Data'!BI87*annualizationFactor</f>
        <v>3.2173140189029959E-4</v>
      </c>
      <c r="AH687" s="776">
        <f>$F$21*$L$8*'Traffic Data'!BJ87*annualizationFactor</f>
        <v>3.2472948486777809E-4</v>
      </c>
      <c r="AI687" s="24"/>
      <c r="AJ687" s="24"/>
      <c r="AK687" s="24"/>
      <c r="AL687" s="24"/>
      <c r="AM687" s="24"/>
    </row>
    <row r="688" spans="2:39" ht="21.95" customHeight="1" x14ac:dyDescent="0.2">
      <c r="B688" s="492" t="s">
        <v>338</v>
      </c>
      <c r="C688" s="116" t="s">
        <v>282</v>
      </c>
      <c r="D688" s="116" t="s">
        <v>357</v>
      </c>
      <c r="E688" s="220" t="s">
        <v>19</v>
      </c>
      <c r="F688" s="116" t="s">
        <v>438</v>
      </c>
      <c r="G688" s="775"/>
      <c r="H688" s="775"/>
      <c r="I688" s="775">
        <f>$F$21*$M$8*'Traffic Data'!AK88*annualizationFactor</f>
        <v>7.8117653510795465E-4</v>
      </c>
      <c r="J688" s="775">
        <f>$F$21*$M$8*'Traffic Data'!AL88*annualizationFactor</f>
        <v>8.0369551108551191E-4</v>
      </c>
      <c r="K688" s="775">
        <f>$F$21*$M$8*'Traffic Data'!AM88*annualizationFactor</f>
        <v>8.2806978133395019E-4</v>
      </c>
      <c r="L688" s="775">
        <f>$F$21*$M$8*'Traffic Data'!AN88*annualizationFactor</f>
        <v>8.6040658400474395E-4</v>
      </c>
      <c r="M688" s="775">
        <f>$F$21*$M$8*'Traffic Data'!AO88*annualizationFactor</f>
        <v>8.9274885491128322E-4</v>
      </c>
      <c r="N688" s="775">
        <f>$F$21*$M$8*'Traffic Data'!AP88*annualizationFactor</f>
        <v>9.2510440581891965E-4</v>
      </c>
      <c r="O688" s="775">
        <f>$F$21*$M$8*'Traffic Data'!AQ88*annualizationFactor</f>
        <v>9.5744120848971373E-4</v>
      </c>
      <c r="P688" s="775">
        <f>$F$21*$M$8*'Traffic Data'!AR88*annualizationFactor</f>
        <v>9.8978660410239364E-4</v>
      </c>
      <c r="Q688" s="775">
        <f>$F$21*$M$8*'Traffic Data'!AS88*annualizationFactor</f>
        <v>1.0253785693949823E-3</v>
      </c>
      <c r="R688" s="775">
        <f>$F$21*$M$8*'Traffic Data'!AT88*annualizationFactor</f>
        <v>1.060958817039544E-3</v>
      </c>
      <c r="S688" s="775">
        <f>$F$21*$M$8*'Traffic Data'!AU88*annualizationFactor</f>
        <v>1.0965507823321328E-3</v>
      </c>
      <c r="T688" s="775">
        <f>$F$21*$M$8*'Traffic Data'!AV88*annualizationFactor</f>
        <v>1.1321427476247213E-3</v>
      </c>
      <c r="U688" s="775">
        <f>$F$21*$M$8*'Traffic Data'!AW88*annualizationFactor</f>
        <v>1.167755023507223E-3</v>
      </c>
      <c r="V688" s="775">
        <f>$F$21*$M$8*'Traffic Data'!AX88*annualizationFactor</f>
        <v>1.1953813316713155E-3</v>
      </c>
      <c r="W688" s="775">
        <f>$F$21*$M$8*'Traffic Data'!AY88*annualizationFactor</f>
        <v>1.2179003076488728E-3</v>
      </c>
      <c r="X688" s="775">
        <f>$F$21*$M$8*'Traffic Data'!AZ88*annualizationFactor</f>
        <v>1.2404192836264301E-3</v>
      </c>
      <c r="Y688" s="775">
        <f>$F$21*$M$8*'Traffic Data'!BA88*annualizationFactor</f>
        <v>1.2629382596039869E-3</v>
      </c>
      <c r="Z688" s="775">
        <f>$F$21*$M$8*'Traffic Data'!BB88*annualizationFactor</f>
        <v>1.2854548920519385E-3</v>
      </c>
      <c r="AA688" s="775">
        <f>$F$21*$M$8*'Traffic Data'!BC88*annualizationFactor</f>
        <v>1.3079738680294951E-3</v>
      </c>
      <c r="AB688" s="775">
        <f>$F$21*$M$8*'Traffic Data'!BD88*annualizationFactor</f>
        <v>1.3304905004774465E-3</v>
      </c>
      <c r="AC688" s="775">
        <f>$F$21*$M$8*'Traffic Data'!BE88*annualizationFactor</f>
        <v>1.3530094764550042E-3</v>
      </c>
      <c r="AD688" s="775">
        <f>$F$21*$M$8*'Traffic Data'!BF88*annualizationFactor</f>
        <v>1.3755284524325615E-3</v>
      </c>
      <c r="AE688" s="775">
        <f>$F$21*$M$8*'Traffic Data'!BG88*annualizationFactor</f>
        <v>1.3980450848805129E-3</v>
      </c>
      <c r="AF688" s="775">
        <f>$F$21*$M$8*'Traffic Data'!BH88*annualizationFactor</f>
        <v>1.4205640608580699E-3</v>
      </c>
      <c r="AG688" s="775">
        <f>$F$21*$M$8*'Traffic Data'!BI88*annualizationFactor</f>
        <v>1.4430830368356269E-3</v>
      </c>
      <c r="AH688" s="776">
        <f>$F$21*$M$8*'Traffic Data'!BJ88*annualizationFactor</f>
        <v>1.4655996692835786E-3</v>
      </c>
      <c r="AI688" s="24"/>
      <c r="AJ688" s="24"/>
      <c r="AK688" s="24"/>
      <c r="AL688" s="24"/>
      <c r="AM688" s="24"/>
    </row>
    <row r="689" spans="2:39" ht="21.95" customHeight="1" x14ac:dyDescent="0.2">
      <c r="B689" s="492"/>
      <c r="C689" s="116" t="s">
        <v>357</v>
      </c>
      <c r="D689" s="116" t="s">
        <v>346</v>
      </c>
      <c r="E689" s="116" t="s">
        <v>19</v>
      </c>
      <c r="F689" s="116" t="s">
        <v>438</v>
      </c>
      <c r="G689" s="970"/>
      <c r="H689" s="970"/>
      <c r="I689" s="777">
        <f>$F$21*$M$8*'Traffic Data'!AK89*annualizationFactor</f>
        <v>1.1376793431047729E-4</v>
      </c>
      <c r="J689" s="777">
        <f>$F$21*$M$8*'Traffic Data'!AL89*annualizationFactor</f>
        <v>1.1699684791978913E-4</v>
      </c>
      <c r="K689" s="777">
        <f>$F$21*$M$8*'Traffic Data'!AM89*annualizationFactor</f>
        <v>1.2058008876661793E-4</v>
      </c>
      <c r="L689" s="777">
        <f>$F$21*$M$8*'Traffic Data'!AN89*annualizationFactor</f>
        <v>1.2560952963104345E-4</v>
      </c>
      <c r="M689" s="777">
        <f>$F$21*$M$8*'Traffic Data'!AO89*annualizationFactor</f>
        <v>1.3063986866337148E-4</v>
      </c>
      <c r="N689" s="777">
        <f>$F$21*$M$8*'Traffic Data'!AP89*annualizationFactor</f>
        <v>1.3567125555825229E-4</v>
      </c>
      <c r="O689" s="777">
        <f>$F$21*$M$8*'Traffic Data'!AQ89*annualizationFactor</f>
        <v>1.4070069642267789E-4</v>
      </c>
      <c r="P689" s="777">
        <f>$F$21*$M$8*'Traffic Data'!AR89*annualizationFactor</f>
        <v>1.4573043667640424E-4</v>
      </c>
      <c r="Q689" s="777">
        <f>$F$21*$M$8*'Traffic Data'!AS89*annualizationFactor</f>
        <v>1.5138365514908214E-4</v>
      </c>
      <c r="R689" s="777">
        <f>$F$21*$M$8*'Traffic Data'!AT89*annualizationFactor</f>
        <v>1.5703492759130464E-4</v>
      </c>
      <c r="S689" s="777">
        <f>$F$21*$M$8*'Traffic Data'!AU89*annualizationFactor</f>
        <v>1.6268814606398249E-4</v>
      </c>
      <c r="T689" s="777">
        <f>$F$21*$M$8*'Traffic Data'!AV89*annualizationFactor</f>
        <v>1.6834136453666035E-4</v>
      </c>
      <c r="U689" s="777">
        <f>$F$21*$M$8*'Traffic Data'!AW89*annualizationFactor</f>
        <v>1.7399548117724069E-4</v>
      </c>
      <c r="V689" s="777">
        <f>$F$21*$M$8*'Traffic Data'!AX89*annualizationFactor</f>
        <v>1.7820309841092341E-4</v>
      </c>
      <c r="W689" s="777">
        <f>$F$21*$M$8*'Traffic Data'!AY89*annualizationFactor</f>
        <v>1.8143201202023526E-4</v>
      </c>
      <c r="X689" s="777">
        <f>$F$21*$M$8*'Traffic Data'!AZ89*annualizationFactor</f>
        <v>1.8466092562954712E-4</v>
      </c>
      <c r="Y689" s="777">
        <f>$F$21*$M$8*'Traffic Data'!BA89*annualizationFactor</f>
        <v>1.8788983923885894E-4</v>
      </c>
      <c r="Z689" s="777">
        <f>$F$21*$M$8*'Traffic Data'!BB89*annualizationFactor</f>
        <v>1.9111710620701625E-4</v>
      </c>
      <c r="AA689" s="777">
        <f>$F$21*$M$8*'Traffic Data'!BC89*annualizationFactor</f>
        <v>1.9434601981632813E-4</v>
      </c>
      <c r="AB689" s="777">
        <f>$F$21*$M$8*'Traffic Data'!BD89*annualizationFactor</f>
        <v>1.9757328678448547E-4</v>
      </c>
      <c r="AC689" s="777">
        <f>$F$21*$M$8*'Traffic Data'!BE89*annualizationFactor</f>
        <v>2.0080220039379729E-4</v>
      </c>
      <c r="AD689" s="777">
        <f>$F$21*$M$8*'Traffic Data'!BF89*annualizationFactor</f>
        <v>2.0403111400310914E-4</v>
      </c>
      <c r="AE689" s="777">
        <f>$F$21*$M$8*'Traffic Data'!BG89*annualizationFactor</f>
        <v>2.0725838097126643E-4</v>
      </c>
      <c r="AF689" s="777">
        <f>$F$21*$M$8*'Traffic Data'!BH89*annualizationFactor</f>
        <v>2.1048729458057828E-4</v>
      </c>
      <c r="AG689" s="777">
        <f>$F$21*$M$8*'Traffic Data'!BI89*annualizationFactor</f>
        <v>2.137162081898901E-4</v>
      </c>
      <c r="AH689" s="778">
        <f>$F$21*$M$8*'Traffic Data'!BJ89*annualizationFactor</f>
        <v>2.1694347515804744E-4</v>
      </c>
      <c r="AI689" s="24"/>
      <c r="AJ689" s="24"/>
      <c r="AK689" s="24"/>
      <c r="AL689" s="24"/>
      <c r="AM689" s="24"/>
    </row>
    <row r="690" spans="2:39" ht="21.95" customHeight="1" x14ac:dyDescent="0.2">
      <c r="B690" s="492"/>
      <c r="C690" s="116" t="s">
        <v>346</v>
      </c>
      <c r="D690" s="116" t="s">
        <v>343</v>
      </c>
      <c r="E690" s="116" t="s">
        <v>19</v>
      </c>
      <c r="F690" s="116" t="s">
        <v>438</v>
      </c>
      <c r="G690" s="970"/>
      <c r="H690" s="970"/>
      <c r="I690" s="777">
        <f>$F$21*$M$8*'Traffic Data'!AK90*annualizationFactor</f>
        <v>2.8137164297727277E-5</v>
      </c>
      <c r="J690" s="777">
        <f>$F$21*$M$8*'Traffic Data'!AL90*annualizationFactor</f>
        <v>2.8935741447598298E-5</v>
      </c>
      <c r="K690" s="777">
        <f>$F$21*$M$8*'Traffic Data'!AM90*annualizationFactor</f>
        <v>2.9821951055222899E-5</v>
      </c>
      <c r="L690" s="777">
        <f>$F$21*$M$8*'Traffic Data'!AN90*annualizationFactor</f>
        <v>3.1065835852690056E-5</v>
      </c>
      <c r="M690" s="777">
        <f>$F$21*$M$8*'Traffic Data'!AO90*annualizationFactor</f>
        <v>3.2309942785664829E-5</v>
      </c>
      <c r="N690" s="777">
        <f>$F$21*$M$8*'Traffic Data'!AP90*annualizationFactor</f>
        <v>3.3554308876731813E-5</v>
      </c>
      <c r="O690" s="777">
        <f>$F$21*$M$8*'Traffic Data'!AQ90*annualizationFactor</f>
        <v>3.479819367419898E-5</v>
      </c>
      <c r="P690" s="777">
        <f>$F$21*$M$8*'Traffic Data'!AR90*annualizationFactor</f>
        <v>3.6042152516835348E-5</v>
      </c>
      <c r="Q690" s="777">
        <f>$F$21*$M$8*'Traffic Data'!AS90*annualizationFactor</f>
        <v>3.7440310424340178E-5</v>
      </c>
      <c r="R690" s="777">
        <f>$F$21*$M$8*'Traffic Data'!AT90*annualizationFactor</f>
        <v>3.8837987038245165E-5</v>
      </c>
      <c r="S690" s="777">
        <f>$F$21*$M$8*'Traffic Data'!AU90*annualizationFactor</f>
        <v>4.0236144945749995E-5</v>
      </c>
      <c r="T690" s="777">
        <f>$F$21*$M$8*'Traffic Data'!AV90*annualizationFactor</f>
        <v>4.1634302853254825E-5</v>
      </c>
      <c r="U690" s="777">
        <f>$F$21*$M$8*'Traffic Data'!AW90*annualizationFactor</f>
        <v>4.3032682896267276E-5</v>
      </c>
      <c r="V690" s="777">
        <f>$F$21*$M$8*'Traffic Data'!AX90*annualizationFactor</f>
        <v>4.4073313704267949E-5</v>
      </c>
      <c r="W690" s="777">
        <f>$F$21*$M$8*'Traffic Data'!AY90*annualizationFactor</f>
        <v>4.487189085413897E-5</v>
      </c>
      <c r="X690" s="777">
        <f>$F$21*$M$8*'Traffic Data'!AZ90*annualizationFactor</f>
        <v>4.5670468004010005E-5</v>
      </c>
      <c r="Y690" s="777">
        <f>$F$21*$M$8*'Traffic Data'!BA90*annualizationFactor</f>
        <v>4.6469045153881019E-5</v>
      </c>
      <c r="Z690" s="777">
        <f>$F$21*$M$8*'Traffic Data'!BB90*annualizationFactor</f>
        <v>4.7267215055321417E-5</v>
      </c>
      <c r="AA690" s="777">
        <f>$F$21*$M$8*'Traffic Data'!BC90*annualizationFactor</f>
        <v>4.8065792205192438E-5</v>
      </c>
      <c r="AB690" s="777">
        <f>$F$21*$M$8*'Traffic Data'!BD90*annualizationFactor</f>
        <v>4.8863962106632843E-5</v>
      </c>
      <c r="AC690" s="777">
        <f>$F$21*$M$8*'Traffic Data'!BE90*annualizationFactor</f>
        <v>4.9662539256503871E-5</v>
      </c>
      <c r="AD690" s="777">
        <f>$F$21*$M$8*'Traffic Data'!BF90*annualizationFactor</f>
        <v>5.0461116406374893E-5</v>
      </c>
      <c r="AE690" s="777">
        <f>$F$21*$M$8*'Traffic Data'!BG90*annualizationFactor</f>
        <v>5.1259286307815277E-5</v>
      </c>
      <c r="AF690" s="777">
        <f>$F$21*$M$8*'Traffic Data'!BH90*annualizationFactor</f>
        <v>5.2057863457686305E-5</v>
      </c>
      <c r="AG690" s="777">
        <f>$F$21*$M$8*'Traffic Data'!BI90*annualizationFactor</f>
        <v>5.2856440607557319E-5</v>
      </c>
      <c r="AH690" s="778">
        <f>$F$21*$M$8*'Traffic Data'!BJ90*annualizationFactor</f>
        <v>5.3654610508997724E-5</v>
      </c>
      <c r="AI690" s="24"/>
      <c r="AJ690" s="24"/>
      <c r="AK690" s="24"/>
      <c r="AL690" s="24"/>
      <c r="AM690" s="24"/>
    </row>
    <row r="691" spans="2:39" ht="21.95" customHeight="1" x14ac:dyDescent="0.2">
      <c r="B691" s="492"/>
      <c r="C691" s="116" t="s">
        <v>343</v>
      </c>
      <c r="D691" s="116" t="s">
        <v>350</v>
      </c>
      <c r="E691" s="116" t="s">
        <v>19</v>
      </c>
      <c r="F691" s="116" t="s">
        <v>438</v>
      </c>
      <c r="G691" s="970"/>
      <c r="H691" s="970"/>
      <c r="I691" s="777">
        <f>$F$21*$M$8*'Traffic Data'!AK91*annualizationFactor</f>
        <v>7.2194039974431826E-5</v>
      </c>
      <c r="J691" s="777">
        <f>$F$21*$M$8*'Traffic Data'!AL91*annualizationFactor</f>
        <v>7.4241222301306794E-5</v>
      </c>
      <c r="K691" s="777">
        <f>$F$21*$M$8*'Traffic Data'!AM91*annualizationFactor</f>
        <v>7.657393205628064E-5</v>
      </c>
      <c r="L691" s="777">
        <f>$F$21*$M$8*'Traffic Data'!AN91*annualizationFactor</f>
        <v>7.9554583320025018E-5</v>
      </c>
      <c r="M691" s="777">
        <f>$F$21*$M$8*'Traffic Data'!AO91*annualizationFactor</f>
        <v>8.2536197170969056E-5</v>
      </c>
      <c r="N691" s="777">
        <f>$F$21*$M$8*'Traffic Data'!AP91*annualizationFactor</f>
        <v>8.5517329728313285E-5</v>
      </c>
      <c r="O691" s="777">
        <f>$F$21*$M$8*'Traffic Data'!AQ91*annualizationFactor</f>
        <v>8.8497980992057664E-5</v>
      </c>
      <c r="P691" s="777">
        <f>$F$21*$M$8*'Traffic Data'!AR91*annualizationFactor</f>
        <v>9.1479233872801804E-5</v>
      </c>
      <c r="Q691" s="777">
        <f>$F$21*$M$8*'Traffic Data'!AS91*annualizationFactor</f>
        <v>9.4848770365208444E-5</v>
      </c>
      <c r="R691" s="777">
        <f>$F$21*$M$8*'Traffic Data'!AT91*annualizationFactor</f>
        <v>9.8218186534215144E-5</v>
      </c>
      <c r="S691" s="777">
        <f>$F$21*$M$8*'Traffic Data'!AU91*annualizationFactor</f>
        <v>1.0158724173302196E-4</v>
      </c>
      <c r="T691" s="777">
        <f>$F$21*$M$8*'Traffic Data'!AV91*annualizationFactor</f>
        <v>1.0495677822542861E-4</v>
      </c>
      <c r="U691" s="777">
        <f>$F$21*$M$8*'Traffic Data'!AW91*annualizationFactor</f>
        <v>1.0832691633483504E-4</v>
      </c>
      <c r="V691" s="777">
        <f>$F$21*$M$8*'Traffic Data'!AX91*annualizationFactor</f>
        <v>1.1104839099507121E-4</v>
      </c>
      <c r="W691" s="777">
        <f>$F$21*$M$8*'Traffic Data'!AY91*annualizationFactor</f>
        <v>1.1309557332194621E-4</v>
      </c>
      <c r="X691" s="777">
        <f>$F$21*$M$8*'Traffic Data'!AZ91*annualizationFactor</f>
        <v>1.1514275564882119E-4</v>
      </c>
      <c r="Y691" s="777">
        <f>$F$21*$M$8*'Traffic Data'!BA91*annualizationFactor</f>
        <v>1.1718993797569613E-4</v>
      </c>
      <c r="Z691" s="777">
        <f>$F$21*$M$8*'Traffic Data'!BB91*annualizationFactor</f>
        <v>1.1923651868557134E-4</v>
      </c>
      <c r="AA691" s="777">
        <f>$F$21*$M$8*'Traffic Data'!BC91*annualizationFactor</f>
        <v>1.2128370101244626E-4</v>
      </c>
      <c r="AB691" s="777">
        <f>$F$21*$M$8*'Traffic Data'!BD91*annualizationFactor</f>
        <v>1.2333028172232142E-4</v>
      </c>
      <c r="AC691" s="777">
        <f>$F$21*$M$8*'Traffic Data'!BE91*annualizationFactor</f>
        <v>1.2537746404919642E-4</v>
      </c>
      <c r="AD691" s="777">
        <f>$F$21*$M$8*'Traffic Data'!BF91*annualizationFactor</f>
        <v>1.2742464637607141E-4</v>
      </c>
      <c r="AE691" s="777">
        <f>$F$21*$M$8*'Traffic Data'!BG91*annualizationFactor</f>
        <v>1.2947122708594657E-4</v>
      </c>
      <c r="AF691" s="777">
        <f>$F$21*$M$8*'Traffic Data'!BH91*annualizationFactor</f>
        <v>1.3151840941282155E-4</v>
      </c>
      <c r="AG691" s="777">
        <f>$F$21*$M$8*'Traffic Data'!BI91*annualizationFactor</f>
        <v>1.3356559173969651E-4</v>
      </c>
      <c r="AH691" s="778">
        <f>$F$21*$M$8*'Traffic Data'!BJ91*annualizationFactor</f>
        <v>1.3561217244957167E-4</v>
      </c>
      <c r="AI691" s="24"/>
      <c r="AJ691" s="24"/>
      <c r="AK691" s="24"/>
      <c r="AL691" s="24"/>
      <c r="AM691" s="24"/>
    </row>
    <row r="692" spans="2:39" ht="21.95" customHeight="1" x14ac:dyDescent="0.2">
      <c r="B692" s="492"/>
      <c r="C692" s="116" t="s">
        <v>350</v>
      </c>
      <c r="D692" s="116" t="s">
        <v>280</v>
      </c>
      <c r="E692" s="116" t="s">
        <v>19</v>
      </c>
      <c r="F692" s="116" t="s">
        <v>438</v>
      </c>
      <c r="G692" s="970"/>
      <c r="H692" s="970"/>
      <c r="I692" s="777">
        <f>$F$21*$M$8*'Traffic Data'!AK92*annualizationFactor</f>
        <v>5.9939564471079545E-4</v>
      </c>
      <c r="J692" s="777">
        <f>$F$21*$M$8*'Traffic Data'!AL92*annualizationFactor</f>
        <v>6.1639250720931145E-4</v>
      </c>
      <c r="K692" s="777">
        <f>$F$21*$M$8*'Traffic Data'!AM92*annualizationFactor</f>
        <v>6.3575997948265824E-4</v>
      </c>
      <c r="L692" s="777">
        <f>$F$21*$M$8*'Traffic Data'!AN92*annualizationFactor</f>
        <v>6.6050702766728476E-4</v>
      </c>
      <c r="M692" s="777">
        <f>$F$21*$M$8*'Traffic Data'!AO92*annualizationFactor</f>
        <v>6.852620677938406E-4</v>
      </c>
      <c r="N692" s="777">
        <f>$F$21*$M$8*'Traffic Data'!AP92*annualizationFactor</f>
        <v>7.1001311194943194E-4</v>
      </c>
      <c r="O692" s="777">
        <f>$F$21*$M$8*'Traffic Data'!AQ92*annualizationFactor</f>
        <v>7.3476016013405802E-4</v>
      </c>
      <c r="P692" s="777">
        <f>$F$21*$M$8*'Traffic Data'!AR92*annualizationFactor</f>
        <v>7.5951220328239054E-4</v>
      </c>
      <c r="Q692" s="777">
        <f>$F$21*$M$8*'Traffic Data'!AS92*annualizationFactor</f>
        <v>7.8748799600652543E-4</v>
      </c>
      <c r="R692" s="777">
        <f>$F$21*$M$8*'Traffic Data'!AT92*annualizationFactor</f>
        <v>8.1546278973791957E-4</v>
      </c>
      <c r="S692" s="777">
        <f>$F$21*$M$8*'Traffic Data'!AU92*annualizationFactor</f>
        <v>8.4343458649109007E-4</v>
      </c>
      <c r="T692" s="777">
        <f>$F$21*$M$8*'Traffic Data'!AV92*annualizationFactor</f>
        <v>8.7141037921522528E-4</v>
      </c>
      <c r="U692" s="777">
        <f>$F$21*$M$8*'Traffic Data'!AW92*annualizationFactor</f>
        <v>8.9939116690306627E-4</v>
      </c>
      <c r="V692" s="777">
        <f>$F$21*$M$8*'Traffic Data'!AX92*annualizationFactor</f>
        <v>9.2198638472318101E-4</v>
      </c>
      <c r="W692" s="777">
        <f>$F$21*$M$8*'Traffic Data'!AY92*annualizationFactor</f>
        <v>9.3898324722169679E-4</v>
      </c>
      <c r="X692" s="777">
        <f>$F$21*$M$8*'Traffic Data'!AZ92*annualizationFactor</f>
        <v>9.5598010972021278E-4</v>
      </c>
      <c r="Y692" s="777">
        <f>$F$21*$M$8*'Traffic Data'!BA92*annualizationFactor</f>
        <v>9.7297697221872845E-4</v>
      </c>
      <c r="Z692" s="777">
        <f>$F$21*$M$8*'Traffic Data'!BB92*annualizationFactor</f>
        <v>9.8996883975353833E-4</v>
      </c>
      <c r="AA692" s="777">
        <f>$F$21*$M$8*'Traffic Data'!BC92*annualizationFactor</f>
        <v>1.0069657022520537E-3</v>
      </c>
      <c r="AB692" s="777">
        <f>$F$21*$M$8*'Traffic Data'!BD92*annualizationFactor</f>
        <v>1.0239575697868636E-3</v>
      </c>
      <c r="AC692" s="777">
        <f>$F$21*$M$8*'Traffic Data'!BE92*annualizationFactor</f>
        <v>1.0409544322853793E-3</v>
      </c>
      <c r="AD692" s="777">
        <f>$F$21*$M$8*'Traffic Data'!BF92*annualizationFactor</f>
        <v>1.0579512947838953E-3</v>
      </c>
      <c r="AE692" s="777">
        <f>$F$21*$M$8*'Traffic Data'!BG92*annualizationFactor</f>
        <v>1.074943162318705E-3</v>
      </c>
      <c r="AF692" s="777">
        <f>$F$21*$M$8*'Traffic Data'!BH92*annualizationFactor</f>
        <v>1.091940024817221E-3</v>
      </c>
      <c r="AG692" s="777">
        <f>$F$21*$M$8*'Traffic Data'!BI92*annualizationFactor</f>
        <v>1.1089368873157365E-3</v>
      </c>
      <c r="AH692" s="778">
        <f>$F$21*$M$8*'Traffic Data'!BJ92*annualizationFactor</f>
        <v>1.1259287548505464E-3</v>
      </c>
      <c r="AI692" s="24"/>
      <c r="AJ692" s="24"/>
      <c r="AK692" s="24"/>
      <c r="AL692" s="24"/>
      <c r="AM692" s="24"/>
    </row>
    <row r="693" spans="2:39" ht="21.95" customHeight="1" x14ac:dyDescent="0.2">
      <c r="B693" s="493"/>
      <c r="C693" s="254" t="s">
        <v>280</v>
      </c>
      <c r="D693" s="254" t="s">
        <v>333</v>
      </c>
      <c r="E693" s="254" t="s">
        <v>19</v>
      </c>
      <c r="F693" s="254" t="s">
        <v>438</v>
      </c>
      <c r="G693" s="779"/>
      <c r="H693" s="779"/>
      <c r="I693" s="779">
        <f>$F$21*$M$8*'Traffic Data'!AK93*annualizationFactor</f>
        <v>1.4809033840909094E-5</v>
      </c>
      <c r="J693" s="779">
        <f>$F$21*$M$8*'Traffic Data'!AL93*annualizationFactor</f>
        <v>1.5228968677191142E-5</v>
      </c>
      <c r="K693" s="779">
        <f>$F$21*$M$8*'Traffic Data'!AM93*annualizationFactor</f>
        <v>1.5707473242313979E-5</v>
      </c>
      <c r="L693" s="779">
        <f>$F$21*$M$8*'Traffic Data'!AN93*annualizationFactor</f>
        <v>1.6318888886158982E-5</v>
      </c>
      <c r="M693" s="779">
        <f>$F$21*$M$8*'Traffic Data'!AO93*annualizationFactor</f>
        <v>1.6930501983788523E-5</v>
      </c>
      <c r="N693" s="779">
        <f>$F$21*$M$8*'Traffic Data'!AP93*annualizationFactor</f>
        <v>1.7542016354525806E-5</v>
      </c>
      <c r="O693" s="779">
        <f>$F$21*$M$8*'Traffic Data'!AQ93*annualizationFactor</f>
        <v>1.8153431998370802E-5</v>
      </c>
      <c r="P693" s="779">
        <f>$F$21*$M$8*'Traffic Data'!AR93*annualizationFactor</f>
        <v>1.8764971050831143E-5</v>
      </c>
      <c r="Q693" s="779">
        <f>$F$21*$M$8*'Traffic Data'!AS93*annualizationFactor</f>
        <v>1.9456158023632504E-5</v>
      </c>
      <c r="R693" s="779">
        <f>$F$21*$M$8*'Traffic Data'!AT93*annualizationFactor</f>
        <v>2.01473203147108E-5</v>
      </c>
      <c r="S693" s="779">
        <f>$F$21*$M$8*'Traffic Data'!AU93*annualizationFactor</f>
        <v>2.0838408560619888E-5</v>
      </c>
      <c r="T693" s="779">
        <f>$F$21*$M$8*'Traffic Data'!AV93*annualizationFactor</f>
        <v>2.1529595533421256E-5</v>
      </c>
      <c r="U693" s="779">
        <f>$F$21*$M$8*'Traffic Data'!AW93*annualizationFactor</f>
        <v>2.2220905914837955E-5</v>
      </c>
      <c r="V693" s="779">
        <f>$F$21*$M$8*'Traffic Data'!AX93*annualizationFactor</f>
        <v>2.2779157127194095E-5</v>
      </c>
      <c r="W693" s="779">
        <f>$F$21*$M$8*'Traffic Data'!AY93*annualizationFactor</f>
        <v>2.3199091963476147E-5</v>
      </c>
      <c r="X693" s="779">
        <f>$F$21*$M$8*'Traffic Data'!AZ93*annualizationFactor</f>
        <v>2.3619026799758192E-5</v>
      </c>
      <c r="Y693" s="779">
        <f>$F$21*$M$8*'Traffic Data'!BA93*annualizationFactor</f>
        <v>2.4038961636040233E-5</v>
      </c>
      <c r="Z693" s="779">
        <f>$F$21*$M$8*'Traffic Data'!BB93*annualizationFactor</f>
        <v>2.4458773063706937E-5</v>
      </c>
      <c r="AA693" s="779">
        <f>$F$21*$M$8*'Traffic Data'!BC93*annualizationFactor</f>
        <v>2.4878707899988975E-5</v>
      </c>
      <c r="AB693" s="779">
        <f>$F$21*$M$8*'Traffic Data'!BD93*annualizationFactor</f>
        <v>2.5298519327655682E-5</v>
      </c>
      <c r="AC693" s="779">
        <f>$F$21*$M$8*'Traffic Data'!BE93*annualizationFactor</f>
        <v>2.5718454163937723E-5</v>
      </c>
      <c r="AD693" s="779">
        <f>$F$21*$M$8*'Traffic Data'!BF93*annualizationFactor</f>
        <v>2.6138389000219768E-5</v>
      </c>
      <c r="AE693" s="779">
        <f>$F$21*$M$8*'Traffic Data'!BG93*annualizationFactor</f>
        <v>2.6558200427886475E-5</v>
      </c>
      <c r="AF693" s="779">
        <f>$F$21*$M$8*'Traffic Data'!BH93*annualizationFactor</f>
        <v>2.6978135264168527E-5</v>
      </c>
      <c r="AG693" s="779">
        <f>$F$21*$M$8*'Traffic Data'!BI93*annualizationFactor</f>
        <v>2.7398070100450565E-5</v>
      </c>
      <c r="AH693" s="783">
        <f>$F$21*$M$8*'Traffic Data'!BJ93*annualizationFactor</f>
        <v>2.7817881528117272E-5</v>
      </c>
      <c r="AI693" s="24"/>
      <c r="AJ693" s="24"/>
      <c r="AK693" s="24"/>
      <c r="AL693" s="24"/>
      <c r="AM693" s="24"/>
    </row>
    <row r="694" spans="2:39" ht="21.95" customHeight="1" x14ac:dyDescent="0.2">
      <c r="B694" s="1109" t="s">
        <v>492</v>
      </c>
      <c r="C694" s="240"/>
      <c r="D694" s="240"/>
      <c r="E694" s="240"/>
      <c r="F694" s="240"/>
      <c r="G694" s="969">
        <f>SUM(G665:G693)</f>
        <v>0</v>
      </c>
      <c r="H694" s="969">
        <f>SUM(H665:H693)</f>
        <v>0</v>
      </c>
      <c r="I694" s="785">
        <f t="shared" ref="I694:AH694" si="66">SUM(I665:I693)</f>
        <v>2.3240492592116246E-2</v>
      </c>
      <c r="J694" s="785">
        <f t="shared" si="66"/>
        <v>2.4114577029168388E-2</v>
      </c>
      <c r="K694" s="785">
        <f t="shared" si="66"/>
        <v>2.5300341617353703E-2</v>
      </c>
      <c r="L694" s="785">
        <f t="shared" si="66"/>
        <v>2.7115270438111645E-2</v>
      </c>
      <c r="M694" s="785">
        <f t="shared" si="66"/>
        <v>2.893101405265195E-2</v>
      </c>
      <c r="N694" s="785">
        <f t="shared" si="66"/>
        <v>3.0746764344412855E-2</v>
      </c>
      <c r="O694" s="785">
        <f t="shared" si="66"/>
        <v>3.2561693165170776E-2</v>
      </c>
      <c r="P694" s="785">
        <f t="shared" si="66"/>
        <v>3.4378249117513943E-2</v>
      </c>
      <c r="Q694" s="785">
        <f t="shared" si="66"/>
        <v>3.6034480861950102E-2</v>
      </c>
      <c r="R694" s="785">
        <f t="shared" si="66"/>
        <v>3.7684540012587052E-2</v>
      </c>
      <c r="S694" s="785">
        <f t="shared" si="66"/>
        <v>3.9334257490503365E-2</v>
      </c>
      <c r="T694" s="785">
        <f t="shared" si="66"/>
        <v>4.0983967656311134E-2</v>
      </c>
      <c r="U694" s="785">
        <f t="shared" si="66"/>
        <v>4.2635301697543128E-2</v>
      </c>
      <c r="V694" s="785">
        <f t="shared" si="66"/>
        <v>4.366180472092545E-2</v>
      </c>
      <c r="W694" s="785">
        <f t="shared" si="66"/>
        <v>4.4346046281033634E-2</v>
      </c>
      <c r="X694" s="785">
        <f t="shared" si="66"/>
        <v>4.5051363277135006E-2</v>
      </c>
      <c r="Y694" s="785">
        <f t="shared" si="66"/>
        <v>4.5756680273236372E-2</v>
      </c>
      <c r="Z694" s="785">
        <f t="shared" si="66"/>
        <v>4.6462427925554176E-2</v>
      </c>
      <c r="AA694" s="785">
        <f t="shared" si="66"/>
        <v>4.7194610391216647E-2</v>
      </c>
      <c r="AB694" s="785">
        <f t="shared" si="66"/>
        <v>4.7930840218248956E-2</v>
      </c>
      <c r="AC694" s="785">
        <f t="shared" si="66"/>
        <v>4.8666654399527109E-2</v>
      </c>
      <c r="AD694" s="785">
        <f t="shared" si="66"/>
        <v>4.9402468580805263E-2</v>
      </c>
      <c r="AE694" s="785">
        <f t="shared" si="66"/>
        <v>5.0138720535495923E-2</v>
      </c>
      <c r="AF694" s="785">
        <f t="shared" si="66"/>
        <v>5.0874534716774084E-2</v>
      </c>
      <c r="AG694" s="785">
        <f t="shared" si="66"/>
        <v>5.1610348898052244E-2</v>
      </c>
      <c r="AH694" s="786">
        <f t="shared" si="66"/>
        <v>5.2346578725084539E-2</v>
      </c>
      <c r="AI694" s="24"/>
      <c r="AJ694" s="24"/>
      <c r="AK694" s="24"/>
      <c r="AL694" s="24"/>
      <c r="AM694" s="24"/>
    </row>
    <row r="695" spans="2:39" ht="21.95" customHeight="1" x14ac:dyDescent="0.2">
      <c r="B695" s="787" t="s">
        <v>328</v>
      </c>
      <c r="C695" s="1344" t="s">
        <v>18</v>
      </c>
      <c r="D695" s="1344"/>
      <c r="E695" s="46" t="s">
        <v>24</v>
      </c>
      <c r="F695" s="46" t="s">
        <v>42</v>
      </c>
      <c r="G695" s="123" cm="1">
        <f t="array" ref="G695:AH695">year</f>
        <v>2021</v>
      </c>
      <c r="H695" s="123">
        <v>2022</v>
      </c>
      <c r="I695" s="46">
        <v>2023</v>
      </c>
      <c r="J695" s="46">
        <v>2024</v>
      </c>
      <c r="K695" s="46">
        <v>2025</v>
      </c>
      <c r="L695" s="46">
        <v>2026</v>
      </c>
      <c r="M695" s="46">
        <v>2027</v>
      </c>
      <c r="N695" s="46">
        <v>2028</v>
      </c>
      <c r="O695" s="46">
        <v>2029</v>
      </c>
      <c r="P695" s="46">
        <v>2030</v>
      </c>
      <c r="Q695" s="46">
        <v>2031</v>
      </c>
      <c r="R695" s="46">
        <v>2032</v>
      </c>
      <c r="S695" s="46">
        <v>2033</v>
      </c>
      <c r="T695" s="46">
        <v>2034</v>
      </c>
      <c r="U695" s="46">
        <v>2035</v>
      </c>
      <c r="V695" s="46">
        <v>2036</v>
      </c>
      <c r="W695" s="46">
        <v>2037</v>
      </c>
      <c r="X695" s="46">
        <v>2038</v>
      </c>
      <c r="Y695" s="46">
        <v>2039</v>
      </c>
      <c r="Z695" s="46">
        <v>2040</v>
      </c>
      <c r="AA695" s="46">
        <v>2041</v>
      </c>
      <c r="AB695" s="46">
        <v>2042</v>
      </c>
      <c r="AC695" s="46">
        <v>2043</v>
      </c>
      <c r="AD695" s="46">
        <v>2044</v>
      </c>
      <c r="AE695" s="46">
        <v>2045</v>
      </c>
      <c r="AF695" s="46">
        <v>2046</v>
      </c>
      <c r="AG695" s="46">
        <v>2047</v>
      </c>
      <c r="AH695" s="495">
        <v>2048</v>
      </c>
      <c r="AI695" s="24"/>
      <c r="AJ695" s="24"/>
      <c r="AK695" s="24"/>
      <c r="AL695" s="24"/>
      <c r="AM695" s="24"/>
    </row>
    <row r="696" spans="2:39" ht="21.95" customHeight="1" x14ac:dyDescent="0.2">
      <c r="B696" s="1346" t="s">
        <v>331</v>
      </c>
      <c r="C696" s="220" t="s">
        <v>332</v>
      </c>
      <c r="D696" s="220" t="s">
        <v>282</v>
      </c>
      <c r="E696" s="220" t="s">
        <v>467</v>
      </c>
      <c r="F696" s="220" t="s">
        <v>438</v>
      </c>
      <c r="G696" s="775"/>
      <c r="H696" s="775"/>
      <c r="I696" s="775">
        <f>$F$22*$E$9*'Traffic Data'!AK65*annualizationFactor</f>
        <v>9.5708376777624011E-4</v>
      </c>
      <c r="J696" s="775">
        <f>$F$22*$E$9*'Traffic Data'!AL65*annualizationFactor</f>
        <v>1.0006041612290904E-3</v>
      </c>
      <c r="K696" s="775">
        <f>$F$22*$E$9*'Traffic Data'!AM65*annualizationFactor</f>
        <v>1.0619203309890301E-3</v>
      </c>
      <c r="L696" s="775">
        <f>$F$22*$E$9*'Traffic Data'!AN65*annualizationFactor</f>
        <v>1.1521135125548434E-3</v>
      </c>
      <c r="M696" s="775">
        <f>$F$22*$E$9*'Traffic Data'!AO65*annualizationFactor</f>
        <v>1.2423395938751742E-3</v>
      </c>
      <c r="N696" s="775">
        <f>$F$22*$E$9*'Traffic Data'!AP65*annualizationFactor</f>
        <v>1.3325656751955047E-3</v>
      </c>
      <c r="O696" s="775">
        <f>$F$22*$E$9*'Traffic Data'!AQ65*annualizationFactor</f>
        <v>1.4227588567613182E-3</v>
      </c>
      <c r="P696" s="775">
        <f>$F$22*$E$9*'Traffic Data'!AR65*annualizationFactor</f>
        <v>1.5130178378361661E-3</v>
      </c>
      <c r="Q696" s="775">
        <f>$F$22*$E$9*'Traffic Data'!AS65*annualizationFactor</f>
        <v>1.6022090723325892E-3</v>
      </c>
      <c r="R696" s="775">
        <f>$F$22*$E$9*'Traffic Data'!AT65*annualizationFactor</f>
        <v>1.6914182521496576E-3</v>
      </c>
      <c r="S696" s="775">
        <f>$F$22*$E$9*'Traffic Data'!AU65*annualizationFactor</f>
        <v>1.7806094866460805E-3</v>
      </c>
      <c r="T696" s="775">
        <f>$F$22*$E$9*'Traffic Data'!AV65*annualizationFactor</f>
        <v>1.8698007211425029E-3</v>
      </c>
      <c r="U696" s="775">
        <f>$F$22*$E$9*'Traffic Data'!AW65*annualizationFactor</f>
        <v>1.9590577551479599E-3</v>
      </c>
      <c r="V696" s="775">
        <f>$F$22*$E$9*'Traffic Data'!AX65*annualizationFactor</f>
        <v>2.0193390780839922E-3</v>
      </c>
      <c r="W696" s="775">
        <f>$F$22*$E$9*'Traffic Data'!AY65*annualizationFactor</f>
        <v>2.0628594715368423E-3</v>
      </c>
      <c r="X696" s="775">
        <f>$F$22*$E$9*'Traffic Data'!AZ65*annualizationFactor</f>
        <v>2.1063798649896917E-3</v>
      </c>
      <c r="Y696" s="775">
        <f>$F$22*$E$9*'Traffic Data'!BA65*annualizationFactor</f>
        <v>2.1499002584425423E-3</v>
      </c>
      <c r="Z696" s="775">
        <f>$F$22*$E$9*'Traffic Data'!BB65*annualizationFactor</f>
        <v>2.1934356063292642E-3</v>
      </c>
      <c r="AA696" s="775">
        <f>$F$22*$E$9*'Traffic Data'!BC65*annualizationFactor</f>
        <v>2.2369559997821148E-3</v>
      </c>
      <c r="AB696" s="775">
        <f>$F$22*$E$9*'Traffic Data'!BD65*annualizationFactor</f>
        <v>2.2804913476688355E-3</v>
      </c>
      <c r="AC696" s="775">
        <f>$F$22*$E$9*'Traffic Data'!BE65*annualizationFactor</f>
        <v>2.3240117411216865E-3</v>
      </c>
      <c r="AD696" s="775">
        <f>$F$22*$E$9*'Traffic Data'!BF65*annualizationFactor</f>
        <v>2.3675321345745363E-3</v>
      </c>
      <c r="AE696" s="775">
        <f>$F$22*$E$9*'Traffic Data'!BG65*annualizationFactor</f>
        <v>2.4110674824612578E-3</v>
      </c>
      <c r="AF696" s="775">
        <f>$F$22*$E$9*'Traffic Data'!BH65*annualizationFactor</f>
        <v>2.4545878759141084E-3</v>
      </c>
      <c r="AG696" s="775">
        <f>$F$22*$E$9*'Traffic Data'!BI65*annualizationFactor</f>
        <v>2.4981082693669586E-3</v>
      </c>
      <c r="AH696" s="776">
        <f>$F$22*$E$9*'Traffic Data'!BJ65*annualizationFactor</f>
        <v>2.5416436172536801E-3</v>
      </c>
      <c r="AI696" s="24"/>
      <c r="AJ696" s="24"/>
      <c r="AK696" s="24"/>
      <c r="AL696" s="24"/>
      <c r="AM696" s="24"/>
    </row>
    <row r="697" spans="2:39" ht="21.95" customHeight="1" x14ac:dyDescent="0.2">
      <c r="B697" s="1346"/>
      <c r="C697" s="116" t="s">
        <v>282</v>
      </c>
      <c r="D697" s="116" t="s">
        <v>280</v>
      </c>
      <c r="E697" s="116" t="s">
        <v>467</v>
      </c>
      <c r="F697" s="116" t="s">
        <v>438</v>
      </c>
      <c r="G697" s="970"/>
      <c r="H697" s="970"/>
      <c r="I697" s="777">
        <f>$F$22*$E$9*'Traffic Data'!AK66*annualizationFactor</f>
        <v>3.0775366279772631E-2</v>
      </c>
      <c r="J697" s="777">
        <f>$F$22*$E$9*'Traffic Data'!AL66*annualizationFactor</f>
        <v>3.2399849687992324E-2</v>
      </c>
      <c r="K697" s="777">
        <f>$F$22*$E$9*'Traffic Data'!AM66*annualizationFactor</f>
        <v>3.4838398525731055E-2</v>
      </c>
      <c r="L697" s="777">
        <f>$F$22*$E$9*'Traffic Data'!AN66*annualizationFactor</f>
        <v>3.8867235920267508E-2</v>
      </c>
      <c r="M697" s="777">
        <f>$F$22*$E$9*'Traffic Data'!AO66*annualizationFactor</f>
        <v>4.2897897040213136E-2</v>
      </c>
      <c r="N697" s="777">
        <f>$F$22*$E$9*'Traffic Data'!AP66*annualizationFactor</f>
        <v>4.6928330194482608E-2</v>
      </c>
      <c r="O697" s="777">
        <f>$F$22*$E$9*'Traffic Data'!AQ66*annualizationFactor</f>
        <v>5.0957167589019074E-2</v>
      </c>
      <c r="P697" s="777">
        <f>$F$22*$E$9*'Traffic Data'!AR66*annualizationFactor</f>
        <v>5.4989652434373863E-2</v>
      </c>
      <c r="Q697" s="777">
        <f>$F$22*$E$9*'Traffic Data'!AS66*annualizationFactor</f>
        <v>5.9057927890883669E-2</v>
      </c>
      <c r="R697" s="777">
        <f>$F$22*$E$9*'Traffic Data'!AT66*annualizationFactor</f>
        <v>6.3127571141450331E-2</v>
      </c>
      <c r="S697" s="777">
        <f>$F$22*$E$9*'Traffic Data'!AU66*annualizationFactor</f>
        <v>6.7195846597960129E-2</v>
      </c>
      <c r="T697" s="777">
        <f>$F$22*$E$9*'Traffic Data'!AV66*annualizationFactor</f>
        <v>7.1264122054469928E-2</v>
      </c>
      <c r="U697" s="777">
        <f>$F$22*$E$9*'Traffic Data'!AW66*annualizationFactor</f>
        <v>7.5336044961798063E-2</v>
      </c>
      <c r="V697" s="777">
        <f>$F$22*$E$9*'Traffic Data'!AX66*annualizationFactor</f>
        <v>7.7812208136100972E-2</v>
      </c>
      <c r="W697" s="777">
        <f>$F$22*$E$9*'Traffic Data'!AY66*annualizationFactor</f>
        <v>7.9436691544320648E-2</v>
      </c>
      <c r="X697" s="777">
        <f>$F$22*$E$9*'Traffic Data'!AZ66*annualizationFactor</f>
        <v>8.1061174952540366E-2</v>
      </c>
      <c r="Y697" s="777">
        <f>$F$22*$E$9*'Traffic Data'!BA66*annualizationFactor</f>
        <v>8.2685658360760084E-2</v>
      </c>
      <c r="Z697" s="777">
        <f>$F$22*$E$9*'Traffic Data'!BB66*annualizationFactor</f>
        <v>8.4311053631684355E-2</v>
      </c>
      <c r="AA697" s="777">
        <f>$F$22*$E$9*'Traffic Data'!BC66*annualizationFactor</f>
        <v>8.5935537039904045E-2</v>
      </c>
      <c r="AB697" s="777">
        <f>$F$22*$E$9*'Traffic Data'!BD66*annualizationFactor</f>
        <v>8.7560932310828343E-2</v>
      </c>
      <c r="AC697" s="777">
        <f>$F$22*$E$9*'Traffic Data'!BE66*annualizationFactor</f>
        <v>8.9185415719048047E-2</v>
      </c>
      <c r="AD697" s="777">
        <f>$F$22*$E$9*'Traffic Data'!BF66*annualizationFactor</f>
        <v>9.0809899127267751E-2</v>
      </c>
      <c r="AE697" s="777">
        <f>$F$22*$E$9*'Traffic Data'!BG66*annualizationFactor</f>
        <v>9.243529439819205E-2</v>
      </c>
      <c r="AF697" s="777">
        <f>$F$22*$E$9*'Traffic Data'!BH66*annualizationFactor</f>
        <v>9.405977780641174E-2</v>
      </c>
      <c r="AG697" s="777">
        <f>$F$22*$E$9*'Traffic Data'!BI66*annualizationFactor</f>
        <v>9.568426121463143E-2</v>
      </c>
      <c r="AH697" s="778">
        <f>$F$22*$E$9*'Traffic Data'!BJ66*annualizationFactor</f>
        <v>9.7309656485555729E-2</v>
      </c>
      <c r="AI697" s="24"/>
      <c r="AJ697" s="24"/>
      <c r="AK697" s="24"/>
      <c r="AL697" s="24"/>
      <c r="AM697" s="24"/>
    </row>
    <row r="698" spans="2:39" ht="21.95" customHeight="1" x14ac:dyDescent="0.2">
      <c r="B698" s="1346"/>
      <c r="C698" s="116" t="s">
        <v>280</v>
      </c>
      <c r="D698" s="116" t="s">
        <v>333</v>
      </c>
      <c r="E698" s="254" t="s">
        <v>467</v>
      </c>
      <c r="F698" s="254" t="s">
        <v>438</v>
      </c>
      <c r="G698" s="779"/>
      <c r="H698" s="779"/>
      <c r="I698" s="777">
        <f>$F$22*$E$9*'Traffic Data'!AK67*annualizationFactor</f>
        <v>7.1781282583218006E-4</v>
      </c>
      <c r="J698" s="777">
        <f>$F$22*$E$9*'Traffic Data'!AL67*annualizationFactor</f>
        <v>7.4778749308422219E-4</v>
      </c>
      <c r="K698" s="777">
        <f>$F$22*$E$9*'Traffic Data'!AM67*annualizationFactor</f>
        <v>7.8488645263264853E-4</v>
      </c>
      <c r="L698" s="777">
        <f>$F$22*$E$9*'Traffic Data'!AN67*annualizationFactor</f>
        <v>8.3483426176347126E-4</v>
      </c>
      <c r="M698" s="777">
        <f>$F$22*$E$9*'Traffic Data'!AO67*annualizationFactor</f>
        <v>8.848000162149397E-4</v>
      </c>
      <c r="N698" s="777">
        <f>$F$22*$E$9*'Traffic Data'!AP67*annualizationFactor</f>
        <v>9.3475978889285953E-4</v>
      </c>
      <c r="O698" s="777">
        <f>$F$22*$E$9*'Traffic Data'!AQ67*annualizationFactor</f>
        <v>9.8470759802368204E-4</v>
      </c>
      <c r="P698" s="777">
        <f>$F$22*$E$9*'Traffic Data'!AR67*annualizationFactor</f>
        <v>1.0346912977957964E-3</v>
      </c>
      <c r="Q698" s="777">
        <f>$F$22*$E$9*'Traffic Data'!AS67*annualizationFactor</f>
        <v>1.0831197364452737E-3</v>
      </c>
      <c r="R698" s="777">
        <f>$F$22*$E$9*'Traffic Data'!AT67*annualizationFactor</f>
        <v>1.1315661204153969E-3</v>
      </c>
      <c r="S698" s="777">
        <f>$F$22*$E$9*'Traffic Data'!AU67*annualizationFactor</f>
        <v>1.1799945590648749E-3</v>
      </c>
      <c r="T698" s="777">
        <f>$F$22*$E$9*'Traffic Data'!AV67*annualizationFactor</f>
        <v>1.2284229977143528E-3</v>
      </c>
      <c r="U698" s="777">
        <f>$F$22*$E$9*'Traffic Data'!AW67*annualizationFactor</f>
        <v>1.2768873270051222E-3</v>
      </c>
      <c r="V698" s="777">
        <f>$F$22*$E$9*'Traffic Data'!AX67*annualizationFactor</f>
        <v>1.3124489707515578E-3</v>
      </c>
      <c r="W698" s="777">
        <f>$F$22*$E$9*'Traffic Data'!AY67*annualizationFactor</f>
        <v>1.3424236380036002E-3</v>
      </c>
      <c r="X698" s="777">
        <f>$F$22*$E$9*'Traffic Data'!AZ67*annualizationFactor</f>
        <v>1.3723983052556419E-3</v>
      </c>
      <c r="Y698" s="777">
        <f>$F$22*$E$9*'Traffic Data'!BA67*annualizationFactor</f>
        <v>1.4023729725076844E-3</v>
      </c>
      <c r="Z698" s="777">
        <f>$F$22*$E$9*'Traffic Data'!BB67*annualizationFactor</f>
        <v>1.4323596033068238E-3</v>
      </c>
      <c r="AA698" s="777">
        <f>$F$22*$E$9*'Traffic Data'!BC67*annualizationFactor</f>
        <v>1.4623342705588657E-3</v>
      </c>
      <c r="AB698" s="777">
        <f>$F$22*$E$9*'Traffic Data'!BD67*annualizationFactor</f>
        <v>1.492320901358005E-3</v>
      </c>
      <c r="AC698" s="777">
        <f>$F$22*$E$9*'Traffic Data'!BE67*annualizationFactor</f>
        <v>1.5222955686100476E-3</v>
      </c>
      <c r="AD698" s="777">
        <f>$F$22*$E$9*'Traffic Data'!BF67*annualizationFactor</f>
        <v>1.5522702358620891E-3</v>
      </c>
      <c r="AE698" s="777">
        <f>$F$22*$E$9*'Traffic Data'!BG67*annualizationFactor</f>
        <v>1.5822568666612289E-3</v>
      </c>
      <c r="AF698" s="777">
        <f>$F$22*$E$9*'Traffic Data'!BH67*annualizationFactor</f>
        <v>1.6122315339132708E-3</v>
      </c>
      <c r="AG698" s="777">
        <f>$F$22*$E$9*'Traffic Data'!BI67*annualizationFactor</f>
        <v>1.6422062011653127E-3</v>
      </c>
      <c r="AH698" s="778">
        <f>$F$22*$E$9*'Traffic Data'!BJ67*annualizationFactor</f>
        <v>1.6721928319644523E-3</v>
      </c>
      <c r="AI698" s="24"/>
      <c r="AJ698" s="24"/>
      <c r="AK698" s="24"/>
      <c r="AL698" s="24"/>
      <c r="AM698" s="24"/>
    </row>
    <row r="699" spans="2:39" ht="21.95" customHeight="1" x14ac:dyDescent="0.2">
      <c r="B699" s="1346" t="s">
        <v>280</v>
      </c>
      <c r="C699" s="220" t="s">
        <v>281</v>
      </c>
      <c r="D699" s="220" t="s">
        <v>335</v>
      </c>
      <c r="E699" s="116" t="s">
        <v>467</v>
      </c>
      <c r="F699" s="220" t="s">
        <v>438</v>
      </c>
      <c r="G699" s="970"/>
      <c r="H699" s="970"/>
      <c r="I699" s="775">
        <f>$F$22*$F$9*'Traffic Data'!AK68*annualizationFactor</f>
        <v>6.6905450972752E-3</v>
      </c>
      <c r="J699" s="775">
        <f>$F$22*$F$9*'Traffic Data'!AL68*annualizationFactor</f>
        <v>7.367327186590074E-3</v>
      </c>
      <c r="K699" s="775">
        <f>$F$22*$F$9*'Traffic Data'!AM68*annualizationFactor</f>
        <v>8.8804274130643446E-3</v>
      </c>
      <c r="L699" s="775">
        <f>$F$22*$F$9*'Traffic Data'!AN68*annualizationFactor</f>
        <v>1.1919607523501607E-2</v>
      </c>
      <c r="M699" s="775">
        <f>$F$22*$F$9*'Traffic Data'!AO68*annualizationFactor</f>
        <v>1.4960660986566102E-2</v>
      </c>
      <c r="N699" s="775">
        <f>$F$22*$F$9*'Traffic Data'!AP68*annualizationFactor</f>
        <v>1.8001379922375733E-2</v>
      </c>
      <c r="O699" s="775">
        <f>$F$22*$F$9*'Traffic Data'!AQ68*annualizationFactor</f>
        <v>2.1040560032812992E-2</v>
      </c>
      <c r="P699" s="775">
        <f>$F$22*$F$9*'Traffic Data'!AR68*annualizationFactor</f>
        <v>2.4083486848504733E-2</v>
      </c>
      <c r="Q699" s="775">
        <f>$F$22*$F$9*'Traffic Data'!AS68*annualizationFactor</f>
        <v>2.7069343314516704E-2</v>
      </c>
      <c r="R699" s="775">
        <f>$F$22*$F$9*'Traffic Data'!AT68*annualizationFactor</f>
        <v>3.0056705153175562E-2</v>
      </c>
      <c r="S699" s="775">
        <f>$F$22*$F$9*'Traffic Data'!AU68*annualizationFactor</f>
        <v>3.304256161918754E-2</v>
      </c>
      <c r="T699" s="775">
        <f>$F$22*$F$9*'Traffic Data'!AV68*annualizationFactor</f>
        <v>3.6028418085199521E-2</v>
      </c>
      <c r="U699" s="775">
        <f>$F$22*$F$9*'Traffic Data'!AW68*annualizationFactor</f>
        <v>3.9018021256465973E-2</v>
      </c>
      <c r="V699" s="775">
        <f>$F$22*$F$9*'Traffic Data'!AX68*annualizationFactor</f>
        <v>4.0475924485887715E-2</v>
      </c>
      <c r="W699" s="775">
        <f>$F$22*$F$9*'Traffic Data'!AY68*annualizationFactor</f>
        <v>4.1152706575202591E-2</v>
      </c>
      <c r="X699" s="775">
        <f>$F$22*$F$9*'Traffic Data'!AZ68*annualizationFactor</f>
        <v>4.1829488664517474E-2</v>
      </c>
      <c r="Y699" s="775">
        <f>$F$22*$F$9*'Traffic Data'!BA68*annualizationFactor</f>
        <v>4.2506270753832336E-2</v>
      </c>
      <c r="Z699" s="775">
        <f>$F$22*$F$9*'Traffic Data'!BB68*annualizationFactor</f>
        <v>4.3184089877637291E-2</v>
      </c>
      <c r="AA699" s="775">
        <f>$F$22*$F$9*'Traffic Data'!BC68*annualizationFactor</f>
        <v>4.3860871966952167E-2</v>
      </c>
      <c r="AB699" s="775">
        <f>$F$22*$F$9*'Traffic Data'!BD68*annualizationFactor</f>
        <v>4.4538691090757108E-2</v>
      </c>
      <c r="AC699" s="775">
        <f>$F$22*$F$9*'Traffic Data'!BE68*annualizationFactor</f>
        <v>4.5215473180071984E-2</v>
      </c>
      <c r="AD699" s="775">
        <f>$F$22*$F$9*'Traffic Data'!BF68*annualizationFactor</f>
        <v>4.589225526938686E-2</v>
      </c>
      <c r="AE699" s="775">
        <f>$F$22*$F$9*'Traffic Data'!BG68*annualizationFactor</f>
        <v>4.6570074393191815E-2</v>
      </c>
      <c r="AF699" s="775">
        <f>$F$22*$F$9*'Traffic Data'!BH68*annualizationFactor</f>
        <v>4.7246856482506684E-2</v>
      </c>
      <c r="AG699" s="775">
        <f>$F$22*$F$9*'Traffic Data'!BI68*annualizationFactor</f>
        <v>4.7923638571821553E-2</v>
      </c>
      <c r="AH699" s="776">
        <f>$F$22*$F$9*'Traffic Data'!BJ68*annualizationFactor</f>
        <v>4.8601457695626502E-2</v>
      </c>
      <c r="AI699" s="24"/>
      <c r="AJ699" s="24"/>
      <c r="AK699" s="24"/>
      <c r="AL699" s="24"/>
      <c r="AM699" s="24"/>
    </row>
    <row r="700" spans="2:39" ht="21.95" customHeight="1" x14ac:dyDescent="0.2">
      <c r="B700" s="1346"/>
      <c r="C700" s="116" t="s">
        <v>335</v>
      </c>
      <c r="D700" s="116" t="s">
        <v>323</v>
      </c>
      <c r="E700" s="116" t="s">
        <v>467</v>
      </c>
      <c r="F700" s="116" t="s">
        <v>438</v>
      </c>
      <c r="G700" s="970"/>
      <c r="H700" s="970"/>
      <c r="I700" s="777">
        <f>$F$22*$F$9*'Traffic Data'!AK69*annualizationFactor</f>
        <v>7.749666135840001E-4</v>
      </c>
      <c r="J700" s="777">
        <f>$F$22*$F$9*'Traffic Data'!AL69*annualizationFactor</f>
        <v>8.4854323548868757E-4</v>
      </c>
      <c r="K700" s="777">
        <f>$F$22*$F$9*'Traffic Data'!AM69*annualizationFactor</f>
        <v>9.5291832222822595E-4</v>
      </c>
      <c r="L700" s="777">
        <f>$F$22*$F$9*'Traffic Data'!AN69*annualizationFactor</f>
        <v>1.1229847455792347E-3</v>
      </c>
      <c r="M700" s="777">
        <f>$F$22*$F$9*'Traffic Data'!AO69*annualizationFactor</f>
        <v>1.2931028333711494E-3</v>
      </c>
      <c r="N700" s="777">
        <f>$F$22*$F$9*'Traffic Data'!AP69*annualizationFactor</f>
        <v>1.4632370663008468E-3</v>
      </c>
      <c r="O700" s="777">
        <f>$F$22*$F$9*'Traffic Data'!AQ69*annualizationFactor</f>
        <v>1.6333034896518557E-3</v>
      </c>
      <c r="P700" s="777">
        <f>$F$22*$F$9*'Traffic Data'!AR69*annualizationFactor</f>
        <v>1.8035539675735908E-3</v>
      </c>
      <c r="Q700" s="777">
        <f>$F$22*$F$9*'Traffic Data'!AS69*annualizationFactor</f>
        <v>1.9972504145837977E-3</v>
      </c>
      <c r="R700" s="777">
        <f>$F$22*$F$9*'Traffic Data'!AT69*annualizationFactor</f>
        <v>2.1910372743655909E-3</v>
      </c>
      <c r="S700" s="777">
        <f>$F$22*$F$9*'Traffic Data'!AU69*annualizationFactor</f>
        <v>2.3847240342931291E-3</v>
      </c>
      <c r="T700" s="777">
        <f>$F$22*$F$9*'Traffic Data'!AV69*annualizationFactor</f>
        <v>2.5784204813033363E-3</v>
      </c>
      <c r="U700" s="777">
        <f>$F$22*$F$9*'Traffic Data'!AW69*annualizationFactor</f>
        <v>2.7722945248291565E-3</v>
      </c>
      <c r="V700" s="777">
        <f>$F$22*$F$9*'Traffic Data'!AX69*annualizationFactor</f>
        <v>2.9001575580154038E-3</v>
      </c>
      <c r="W700" s="777">
        <f>$F$22*$F$9*'Traffic Data'!AY69*annualizationFactor</f>
        <v>2.973734179920091E-3</v>
      </c>
      <c r="X700" s="777">
        <f>$F$22*$F$9*'Traffic Data'!AZ69*annualizationFactor</f>
        <v>3.0473108018247777E-3</v>
      </c>
      <c r="Y700" s="777">
        <f>$F$22*$F$9*'Traffic Data'!BA69*annualizationFactor</f>
        <v>3.1208874237294662E-3</v>
      </c>
      <c r="Z700" s="777">
        <f>$F$22*$F$9*'Traffic Data'!BB69*annualizationFactor</f>
        <v>3.1945480003506251E-3</v>
      </c>
      <c r="AA700" s="777">
        <f>$F$22*$F$9*'Traffic Data'!BC69*annualizationFactor</f>
        <v>3.2681246222553127E-3</v>
      </c>
      <c r="AB700" s="777">
        <f>$F$22*$F$9*'Traffic Data'!BD69*annualizationFactor</f>
        <v>3.341785198876472E-3</v>
      </c>
      <c r="AC700" s="777">
        <f>$F$22*$F$9*'Traffic Data'!BE69*annualizationFactor</f>
        <v>3.4153618207811596E-3</v>
      </c>
      <c r="AD700" s="777">
        <f>$F$22*$F$9*'Traffic Data'!BF69*annualizationFactor</f>
        <v>3.4889384426858472E-3</v>
      </c>
      <c r="AE700" s="777">
        <f>$F$22*$F$9*'Traffic Data'!BG69*annualizationFactor</f>
        <v>3.5625990193070061E-3</v>
      </c>
      <c r="AF700" s="777">
        <f>$F$22*$F$9*'Traffic Data'!BH69*annualizationFactor</f>
        <v>3.6361756412116937E-3</v>
      </c>
      <c r="AG700" s="777">
        <f>$F$22*$F$9*'Traffic Data'!BI69*annualizationFactor</f>
        <v>3.7097522631163817E-3</v>
      </c>
      <c r="AH700" s="778">
        <f>$F$22*$F$9*'Traffic Data'!BJ69*annualizationFactor</f>
        <v>3.7834128397375411E-3</v>
      </c>
      <c r="AI700" s="24"/>
      <c r="AJ700" s="24"/>
      <c r="AK700" s="24"/>
      <c r="AL700" s="24"/>
      <c r="AM700" s="24"/>
    </row>
    <row r="701" spans="2:39" ht="21.95" customHeight="1" x14ac:dyDescent="0.2">
      <c r="B701" s="1346"/>
      <c r="C701" s="254" t="s">
        <v>323</v>
      </c>
      <c r="D701" s="254" t="s">
        <v>338</v>
      </c>
      <c r="E701" s="116" t="s">
        <v>467</v>
      </c>
      <c r="F701" s="254" t="s">
        <v>438</v>
      </c>
      <c r="G701" s="970"/>
      <c r="H701" s="970"/>
      <c r="I701" s="777">
        <f>$F$22*$F$9*'Traffic Data'!AK70*annualizationFactor</f>
        <v>1.0384552622025603E-2</v>
      </c>
      <c r="J701" s="777">
        <f>$F$22*$F$9*'Traffic Data'!AL70*annualizationFactor</f>
        <v>1.0675354710617726E-2</v>
      </c>
      <c r="K701" s="777">
        <f>$F$22*$F$9*'Traffic Data'!AM70*annualizationFactor</f>
        <v>1.1089767590587361E-2</v>
      </c>
      <c r="L701" s="777">
        <f>$F$22*$F$9*'Traffic Data'!AN70*annualizationFactor</f>
        <v>1.1671406382947015E-2</v>
      </c>
      <c r="M701" s="777">
        <f>$F$22*$F$9*'Traffic Data'!AO70*annualizationFactor</f>
        <v>1.2253287481534512E-2</v>
      </c>
      <c r="N701" s="777">
        <f>$F$22*$F$9*'Traffic Data'!AP70*annualizationFactor</f>
        <v>1.2835116657358911E-2</v>
      </c>
      <c r="O701" s="777">
        <f>$F$22*$F$9*'Traffic Data'!AQ70*annualizationFactor</f>
        <v>1.3416755449718563E-2</v>
      </c>
      <c r="P701" s="777">
        <f>$F$22*$F$9*'Traffic Data'!AR70*annualizationFactor</f>
        <v>1.3998861546946207E-2</v>
      </c>
      <c r="Q701" s="777">
        <f>$F$22*$F$9*'Traffic Data'!AS70*annualizationFactor</f>
        <v>1.4586488764651226E-2</v>
      </c>
      <c r="R701" s="777">
        <f>$F$22*$F$9*'Traffic Data'!AT70*annualizationFactor</f>
        <v>1.5174289058233282E-2</v>
      </c>
      <c r="S701" s="777">
        <f>$F$22*$F$9*'Traffic Data'!AU70*annualizationFactor</f>
        <v>1.5761864353175194E-2</v>
      </c>
      <c r="T701" s="777">
        <f>$F$22*$F$9*'Traffic Data'!AV70*annualizationFactor</f>
        <v>1.6349491570880219E-2</v>
      </c>
      <c r="U701" s="777">
        <f>$F$22*$F$9*'Traffic Data'!AW70*annualizationFactor</f>
        <v>1.6937586093453232E-2</v>
      </c>
      <c r="V701" s="777">
        <f>$F$22*$F$9*'Traffic Data'!AX70*annualizationFactor</f>
        <v>1.7357710477364979E-2</v>
      </c>
      <c r="W701" s="777">
        <f>$F$22*$F$9*'Traffic Data'!AY70*annualizationFactor</f>
        <v>1.7648512565957102E-2</v>
      </c>
      <c r="X701" s="777">
        <f>$F$22*$F$9*'Traffic Data'!AZ70*annualizationFactor</f>
        <v>1.7939314654549225E-2</v>
      </c>
      <c r="Y701" s="777">
        <f>$F$22*$F$9*'Traffic Data'!BA70*annualizationFactor</f>
        <v>1.8230116743141348E-2</v>
      </c>
      <c r="Z701" s="777">
        <f>$F$22*$F$9*'Traffic Data'!BB70*annualizationFactor</f>
        <v>1.8521057292435101E-2</v>
      </c>
      <c r="AA701" s="777">
        <f>$F$22*$F$9*'Traffic Data'!BC70*annualizationFactor</f>
        <v>1.8811859381027227E-2</v>
      </c>
      <c r="AB701" s="777">
        <f>$F$22*$F$9*'Traffic Data'!BD70*annualizationFactor</f>
        <v>1.9102799930320977E-2</v>
      </c>
      <c r="AC701" s="777">
        <f>$F$22*$F$9*'Traffic Data'!BE70*annualizationFactor</f>
        <v>1.93936020189131E-2</v>
      </c>
      <c r="AD701" s="777">
        <f>$F$22*$F$9*'Traffic Data'!BF70*annualizationFactor</f>
        <v>1.9684404107505223E-2</v>
      </c>
      <c r="AE701" s="777">
        <f>$F$22*$F$9*'Traffic Data'!BG70*annualizationFactor</f>
        <v>1.9975344656798972E-2</v>
      </c>
      <c r="AF701" s="777">
        <f>$F$22*$F$9*'Traffic Data'!BH70*annualizationFactor</f>
        <v>2.0266146745391091E-2</v>
      </c>
      <c r="AG701" s="777">
        <f>$F$22*$F$9*'Traffic Data'!BI70*annualizationFactor</f>
        <v>2.0556948833983214E-2</v>
      </c>
      <c r="AH701" s="778">
        <f>$F$22*$F$9*'Traffic Data'!BJ70*annualizationFactor</f>
        <v>2.0847889383276971E-2</v>
      </c>
      <c r="AI701" s="24"/>
      <c r="AJ701" s="24"/>
      <c r="AK701" s="24"/>
      <c r="AL701" s="24"/>
      <c r="AM701" s="24"/>
    </row>
    <row r="702" spans="2:39" ht="21.95" customHeight="1" x14ac:dyDescent="0.2">
      <c r="B702" s="492" t="s">
        <v>339</v>
      </c>
      <c r="C702" s="116" t="s">
        <v>335</v>
      </c>
      <c r="D702" s="116" t="s">
        <v>323</v>
      </c>
      <c r="E702" s="277" t="s">
        <v>467</v>
      </c>
      <c r="F702" s="277" t="s">
        <v>438</v>
      </c>
      <c r="G702" s="780"/>
      <c r="H702" s="780"/>
      <c r="I702" s="775">
        <f>$F$22*$G$9*'Traffic Data'!AK71*annualizationFactor</f>
        <v>3.0352859032040004E-5</v>
      </c>
      <c r="J702" s="775">
        <f>$F$22*$G$9*'Traffic Data'!AL71*annualizationFactor</f>
        <v>1.2607059998957814E-4</v>
      </c>
      <c r="K702" s="775">
        <f>$F$22*$G$9*'Traffic Data'!AM71*annualizationFactor</f>
        <v>1.1247100150027262E-3</v>
      </c>
      <c r="L702" s="775">
        <f>$F$22*$G$9*'Traffic Data'!AN71*annualizationFactor</f>
        <v>2.660215624145082E-3</v>
      </c>
      <c r="M702" s="775">
        <f>$F$22*$G$9*'Traffic Data'!AO71*annualizationFactor</f>
        <v>4.1968139362125916E-3</v>
      </c>
      <c r="N702" s="775">
        <f>$F$22*$G$9*'Traffic Data'!AP71*annualizationFactor</f>
        <v>5.732805191099458E-3</v>
      </c>
      <c r="O702" s="775">
        <f>$F$22*$G$9*'Traffic Data'!AQ71*annualizationFactor</f>
        <v>7.2683108002418156E-3</v>
      </c>
      <c r="P702" s="775">
        <f>$F$22*$G$9*'Traffic Data'!AR71*annualizationFactor</f>
        <v>8.8059259330869003E-3</v>
      </c>
      <c r="Q702" s="775">
        <f>$F$22*$G$9*'Traffic Data'!AS71*annualizationFactor</f>
        <v>9.4391928075018647E-3</v>
      </c>
      <c r="R702" s="775">
        <f>$F$22*$G$9*'Traffic Data'!AT71*annualizationFactor</f>
        <v>1.0072945327661344E-2</v>
      </c>
      <c r="S702" s="775">
        <f>$F$22*$G$9*'Traffic Data'!AU71*annualizationFactor</f>
        <v>1.0706546083525663E-2</v>
      </c>
      <c r="T702" s="775">
        <f>$F$22*$G$9*'Traffic Data'!AV71*annualizationFactor</f>
        <v>1.1339812957940629E-2</v>
      </c>
      <c r="U702" s="775">
        <f>$F$22*$G$9*'Traffic Data'!AW71*annualizationFactor</f>
        <v>1.1974582298877684E-2</v>
      </c>
      <c r="V702" s="775">
        <f>$F$22*$G$9*'Traffic Data'!AX71*annualizationFactor</f>
        <v>1.2070300039835221E-2</v>
      </c>
      <c r="W702" s="775">
        <f>$F$22*$G$9*'Traffic Data'!AY71*annualizationFactor</f>
        <v>1.216601778079276E-2</v>
      </c>
      <c r="X702" s="775">
        <f>$F$22*$G$9*'Traffic Data'!AZ71*annualizationFactor</f>
        <v>1.2261735521750299E-2</v>
      </c>
      <c r="Y702" s="775">
        <f>$F$22*$G$9*'Traffic Data'!BA71*annualizationFactor</f>
        <v>1.2357453262707836E-2</v>
      </c>
      <c r="Z702" s="775">
        <f>$F$22*$G$9*'Traffic Data'!BB71*annualizationFactor</f>
        <v>1.2453853942993596E-2</v>
      </c>
      <c r="AA702" s="775">
        <f>$F$22*$G$9*'Traffic Data'!BC71*annualizationFactor</f>
        <v>1.2549571683951134E-2</v>
      </c>
      <c r="AB702" s="775">
        <f>$F$22*$G$9*'Traffic Data'!BD71*annualizationFactor</f>
        <v>1.2645592953498992E-2</v>
      </c>
      <c r="AC702" s="775">
        <f>$F$22*$G$9*'Traffic Data'!BE71*annualizationFactor</f>
        <v>1.2741310694456529E-2</v>
      </c>
      <c r="AD702" s="775">
        <f>$F$22*$G$9*'Traffic Data'!BF71*annualizationFactor</f>
        <v>1.283702843541407E-2</v>
      </c>
      <c r="AE702" s="775">
        <f>$F$22*$G$9*'Traffic Data'!BG71*annualizationFactor</f>
        <v>1.293342911569983E-2</v>
      </c>
      <c r="AF702" s="775">
        <f>$F$22*$G$9*'Traffic Data'!BH71*annualizationFactor</f>
        <v>1.3029146856657365E-2</v>
      </c>
      <c r="AG702" s="775">
        <f>$F$22*$G$9*'Traffic Data'!BI71*annualizationFactor</f>
        <v>1.3124864597614904E-2</v>
      </c>
      <c r="AH702" s="776">
        <f>$F$22*$G$9*'Traffic Data'!BJ71*annualizationFactor</f>
        <v>1.3220885867162762E-2</v>
      </c>
      <c r="AI702" s="24"/>
      <c r="AJ702" s="24"/>
      <c r="AK702" s="24"/>
      <c r="AL702" s="24"/>
      <c r="AM702" s="24"/>
    </row>
    <row r="703" spans="2:39" ht="21.95" customHeight="1" x14ac:dyDescent="0.2">
      <c r="B703" s="1346" t="s">
        <v>323</v>
      </c>
      <c r="C703" s="220" t="s">
        <v>282</v>
      </c>
      <c r="D703" s="220" t="s">
        <v>339</v>
      </c>
      <c r="E703" s="116" t="s">
        <v>467</v>
      </c>
      <c r="F703" s="116" t="s">
        <v>438</v>
      </c>
      <c r="G703" s="970"/>
      <c r="H703" s="970"/>
      <c r="I703" s="775">
        <f>$F$22*$H$9*'Traffic Data'!AK72*annualizationFactor</f>
        <v>8.7183744028199994E-5</v>
      </c>
      <c r="J703" s="775">
        <f>$F$22*$H$9*'Traffic Data'!AL72*annualizationFactor</f>
        <v>1.9376587110267449E-4</v>
      </c>
      <c r="K703" s="775">
        <f>$F$22*$H$9*'Traffic Data'!AM72*annualizationFactor</f>
        <v>8.1896049952889696E-4</v>
      </c>
      <c r="L703" s="775">
        <f>$F$22*$H$9*'Traffic Data'!AN72*annualizationFactor</f>
        <v>1.8409719388994712E-3</v>
      </c>
      <c r="M703" s="775">
        <f>$F$22*$H$9*'Traffic Data'!AO72*annualizationFactor</f>
        <v>2.8635500726062295E-3</v>
      </c>
      <c r="N703" s="775">
        <f>$F$22*$H$9*'Traffic Data'!AP72*annualizationFactor</f>
        <v>3.8861717981850006E-3</v>
      </c>
      <c r="O703" s="775">
        <f>$F$22*$H$9*'Traffic Data'!AQ72*annualizationFactor</f>
        <v>4.9081832375555759E-3</v>
      </c>
      <c r="P703" s="775">
        <f>$F$22*$H$9*'Traffic Data'!AR72*annualizationFactor</f>
        <v>5.9313716574705324E-3</v>
      </c>
      <c r="Q703" s="775">
        <f>$F$22*$H$9*'Traffic Data'!AS72*annualizationFactor</f>
        <v>6.7203845409257428E-3</v>
      </c>
      <c r="R703" s="775">
        <f>$F$22*$H$9*'Traffic Data'!AT72*annualizationFactor</f>
        <v>7.5095281999969943E-3</v>
      </c>
      <c r="S703" s="775">
        <f>$F$22*$H$9*'Traffic Data'!AU72*annualizationFactor</f>
        <v>8.298541083452203E-3</v>
      </c>
      <c r="T703" s="775">
        <f>$F$22*$H$9*'Traffic Data'!AV72*annualizationFactor</f>
        <v>9.0875539669074135E-3</v>
      </c>
      <c r="U703" s="775">
        <f>$F$22*$H$9*'Traffic Data'!AW72*annualizationFactor</f>
        <v>9.8776130552909631E-3</v>
      </c>
      <c r="V703" s="775">
        <f>$F$22*$H$9*'Traffic Data'!AX72*annualizationFactor</f>
        <v>1.0269198841593623E-2</v>
      </c>
      <c r="W703" s="775">
        <f>$F$22*$H$9*'Traffic Data'!AY72*annualizationFactor</f>
        <v>1.03757809686681E-2</v>
      </c>
      <c r="X703" s="775">
        <f>$F$22*$H$9*'Traffic Data'!AZ72*annualizationFactor</f>
        <v>1.0482363095742572E-2</v>
      </c>
      <c r="Y703" s="775">
        <f>$F$22*$H$9*'Traffic Data'!BA72*annualizationFactor</f>
        <v>1.0588945222817048E-2</v>
      </c>
      <c r="Z703" s="775">
        <f>$F$22*$H$9*'Traffic Data'!BB72*annualizationFactor</f>
        <v>1.0695832492995621E-2</v>
      </c>
      <c r="AA703" s="775">
        <f>$F$22*$H$9*'Traffic Data'!BC72*annualizationFactor</f>
        <v>1.0802414620070094E-2</v>
      </c>
      <c r="AB703" s="775">
        <f>$F$22*$H$9*'Traffic Data'!BD72*annualizationFactor</f>
        <v>1.0909301890248664E-2</v>
      </c>
      <c r="AC703" s="775">
        <f>$F$22*$H$9*'Traffic Data'!BE72*annualizationFactor</f>
        <v>1.101588401732314E-2</v>
      </c>
      <c r="AD703" s="775">
        <f>$F$22*$H$9*'Traffic Data'!BF72*annualizationFactor</f>
        <v>1.1122466144397616E-2</v>
      </c>
      <c r="AE703" s="775">
        <f>$F$22*$H$9*'Traffic Data'!BG72*annualizationFactor</f>
        <v>1.1229353414576189E-2</v>
      </c>
      <c r="AF703" s="775">
        <f>$F$22*$H$9*'Traffic Data'!BH72*annualizationFactor</f>
        <v>1.1335935541650664E-2</v>
      </c>
      <c r="AG703" s="775">
        <f>$F$22*$H$9*'Traffic Data'!BI72*annualizationFactor</f>
        <v>1.1442517668725137E-2</v>
      </c>
      <c r="AH703" s="776">
        <f>$F$22*$H$9*'Traffic Data'!BJ72*annualizationFactor</f>
        <v>1.1549404938903711E-2</v>
      </c>
      <c r="AI703" s="24"/>
      <c r="AJ703" s="24"/>
      <c r="AK703" s="24"/>
      <c r="AL703" s="24"/>
      <c r="AM703" s="24"/>
    </row>
    <row r="704" spans="2:39" ht="21.95" customHeight="1" x14ac:dyDescent="0.2">
      <c r="B704" s="1346"/>
      <c r="C704" s="116" t="s">
        <v>339</v>
      </c>
      <c r="D704" s="116" t="s">
        <v>288</v>
      </c>
      <c r="E704" s="116" t="s">
        <v>467</v>
      </c>
      <c r="F704" s="116" t="s">
        <v>438</v>
      </c>
      <c r="G704" s="970"/>
      <c r="H704" s="970"/>
      <c r="I704" s="777">
        <f>$F$22*$H$9*'Traffic Data'!AK73*annualizationFactor</f>
        <v>0</v>
      </c>
      <c r="J704" s="777">
        <f>$F$22*$H$9*'Traffic Data'!AL73*annualizationFactor</f>
        <v>5.8768301530120009E-5</v>
      </c>
      <c r="K704" s="777">
        <f>$F$22*$H$9*'Traffic Data'!AM73*annualizationFactor</f>
        <v>1.698584739763638E-4</v>
      </c>
      <c r="L704" s="777">
        <f>$F$22*$H$9*'Traffic Data'!AN73*annualizationFactor</f>
        <v>3.8183121695692737E-4</v>
      </c>
      <c r="M704" s="777">
        <f>$F$22*$H$9*'Traffic Data'!AO73*annualizationFactor</f>
        <v>5.9392149654055137E-4</v>
      </c>
      <c r="N704" s="777">
        <f>$F$22*$H$9*'Traffic Data'!AP73*annualizationFactor</f>
        <v>8.0602081740133353E-4</v>
      </c>
      <c r="O704" s="777">
        <f>$F$22*$H$9*'Traffic Data'!AQ73*annualizationFactor</f>
        <v>1.0179935603818974E-3</v>
      </c>
      <c r="P704" s="777">
        <f>$F$22*$H$9*'Traffic Data'!AR73*annualizationFactor</f>
        <v>1.23021041784574E-3</v>
      </c>
      <c r="Q704" s="777">
        <f>$F$22*$H$9*'Traffic Data'!AS73*annualizationFactor</f>
        <v>1.3938575344142282E-3</v>
      </c>
      <c r="R704" s="777">
        <f>$F$22*$H$9*'Traffic Data'!AT73*annualizationFactor</f>
        <v>1.5575317748141918E-3</v>
      </c>
      <c r="S704" s="777">
        <f>$F$22*$H$9*'Traffic Data'!AU73*annualizationFactor</f>
        <v>1.7211788913826795E-3</v>
      </c>
      <c r="T704" s="777">
        <f>$F$22*$H$9*'Traffic Data'!AV73*annualizationFactor</f>
        <v>1.8848260079511673E-3</v>
      </c>
      <c r="U704" s="777">
        <f>$F$22*$H$9*'Traffic Data'!AW73*annualizationFactor</f>
        <v>2.0486901151714589E-3</v>
      </c>
      <c r="V704" s="777">
        <f>$F$22*$H$9*'Traffic Data'!AX73*annualizationFactor</f>
        <v>2.1299079078860848E-3</v>
      </c>
      <c r="W704" s="777">
        <f>$F$22*$H$9*'Traffic Data'!AY73*annualizationFactor</f>
        <v>2.1520138305385688E-3</v>
      </c>
      <c r="X704" s="777">
        <f>$F$22*$H$9*'Traffic Data'!AZ73*annualizationFactor</f>
        <v>2.1741197531910525E-3</v>
      </c>
      <c r="Y704" s="777">
        <f>$F$22*$H$9*'Traffic Data'!BA73*annualizationFactor</f>
        <v>2.1962256758435361E-3</v>
      </c>
      <c r="Z704" s="777">
        <f>$F$22*$H$9*'Traffic Data'!BB73*annualizationFactor</f>
        <v>2.2183948874361292E-3</v>
      </c>
      <c r="AA704" s="777">
        <f>$F$22*$H$9*'Traffic Data'!BC73*annualizationFactor</f>
        <v>2.2405008100886124E-3</v>
      </c>
      <c r="AB704" s="777">
        <f>$F$22*$H$9*'Traffic Data'!BD73*annualizationFactor</f>
        <v>2.2626700216812046E-3</v>
      </c>
      <c r="AC704" s="777">
        <f>$F$22*$H$9*'Traffic Data'!BE73*annualizationFactor</f>
        <v>2.2847759443336887E-3</v>
      </c>
      <c r="AD704" s="777">
        <f>$F$22*$H$9*'Traffic Data'!BF73*annualizationFactor</f>
        <v>2.3068818669861719E-3</v>
      </c>
      <c r="AE704" s="777">
        <f>$F$22*$H$9*'Traffic Data'!BG73*annualizationFactor</f>
        <v>2.329051078578765E-3</v>
      </c>
      <c r="AF704" s="777">
        <f>$F$22*$H$9*'Traffic Data'!BH73*annualizationFactor</f>
        <v>2.351157001231249E-3</v>
      </c>
      <c r="AG704" s="777">
        <f>$F$22*$H$9*'Traffic Data'!BI73*annualizationFactor</f>
        <v>2.3732629238837322E-3</v>
      </c>
      <c r="AH704" s="778">
        <f>$F$22*$H$9*'Traffic Data'!BJ73*annualizationFactor</f>
        <v>2.3954321354763253E-3</v>
      </c>
      <c r="AI704" s="24"/>
      <c r="AJ704" s="24"/>
      <c r="AK704" s="24"/>
      <c r="AL704" s="24"/>
      <c r="AM704" s="24"/>
    </row>
    <row r="705" spans="2:39" ht="21.95" customHeight="1" x14ac:dyDescent="0.2">
      <c r="B705" s="1346"/>
      <c r="C705" s="116" t="s">
        <v>288</v>
      </c>
      <c r="D705" s="116" t="s">
        <v>340</v>
      </c>
      <c r="E705" s="116" t="s">
        <v>467</v>
      </c>
      <c r="F705" s="116" t="s">
        <v>438</v>
      </c>
      <c r="G705" s="970"/>
      <c r="H705" s="970"/>
      <c r="I705" s="777">
        <f>$F$22*$H$9*'Traffic Data'!AK74*annualizationFactor</f>
        <v>0</v>
      </c>
      <c r="J705" s="777">
        <f>$F$22*$H$9*'Traffic Data'!AL74*annualizationFactor</f>
        <v>1.5321735756067002E-4</v>
      </c>
      <c r="K705" s="777">
        <f>$F$22*$H$9*'Traffic Data'!AM74*annualizationFactor</f>
        <v>4.4284530715266271E-4</v>
      </c>
      <c r="L705" s="777">
        <f>$F$22*$H$9*'Traffic Data'!AN74*annualizationFactor</f>
        <v>9.9548852992341775E-4</v>
      </c>
      <c r="M705" s="777">
        <f>$F$22*$H$9*'Traffic Data'!AO74*annualizationFactor</f>
        <v>1.5484381874092945E-3</v>
      </c>
      <c r="N705" s="777">
        <f>$F$22*$H$9*'Traffic Data'!AP74*annualizationFactor</f>
        <v>2.1014114167963336E-3</v>
      </c>
      <c r="O705" s="777">
        <f>$F$22*$H$9*'Traffic Data'!AQ74*annualizationFactor</f>
        <v>2.6540546395670888E-3</v>
      </c>
      <c r="P705" s="777">
        <f>$F$22*$H$9*'Traffic Data'!AR74*annualizationFactor</f>
        <v>3.20733430366925E-3</v>
      </c>
      <c r="Q705" s="777">
        <f>$F$22*$H$9*'Traffic Data'!AS74*annualizationFactor</f>
        <v>3.6339857147228089E-3</v>
      </c>
      <c r="R705" s="777">
        <f>$F$22*$H$9*'Traffic Data'!AT74*annualizationFactor</f>
        <v>4.0607078414798556E-3</v>
      </c>
      <c r="S705" s="777">
        <f>$F$22*$H$9*'Traffic Data'!AU74*annualizationFactor</f>
        <v>4.4873592525334132E-3</v>
      </c>
      <c r="T705" s="777">
        <f>$F$22*$H$9*'Traffic Data'!AV74*annualizationFactor</f>
        <v>4.9140106635869709E-3</v>
      </c>
      <c r="U705" s="777">
        <f>$F$22*$H$9*'Traffic Data'!AW74*annualizationFactor</f>
        <v>5.3412278002684466E-3</v>
      </c>
      <c r="V705" s="777">
        <f>$F$22*$H$9*'Traffic Data'!AX74*annualizationFactor</f>
        <v>5.5529741884172918E-3</v>
      </c>
      <c r="W705" s="777">
        <f>$F$22*$H$9*'Traffic Data'!AY74*annualizationFactor</f>
        <v>5.6106074867612668E-3</v>
      </c>
      <c r="X705" s="777">
        <f>$F$22*$H$9*'Traffic Data'!AZ74*annualizationFactor</f>
        <v>5.6682407851052418E-3</v>
      </c>
      <c r="Y705" s="777">
        <f>$F$22*$H$9*'Traffic Data'!BA74*annualizationFactor</f>
        <v>5.7258740834492177E-3</v>
      </c>
      <c r="Z705" s="777">
        <f>$F$22*$H$9*'Traffic Data'!BB74*annualizationFactor</f>
        <v>5.7836723851013355E-3</v>
      </c>
      <c r="AA705" s="777">
        <f>$F$22*$H$9*'Traffic Data'!BC74*annualizationFactor</f>
        <v>5.8413056834453097E-3</v>
      </c>
      <c r="AB705" s="777">
        <f>$F$22*$H$9*'Traffic Data'!BD74*annualizationFactor</f>
        <v>5.8991039850974265E-3</v>
      </c>
      <c r="AC705" s="777">
        <f>$F$22*$H$9*'Traffic Data'!BE74*annualizationFactor</f>
        <v>5.9567372834414007E-3</v>
      </c>
      <c r="AD705" s="777">
        <f>$F$22*$H$9*'Traffic Data'!BF74*annualizationFactor</f>
        <v>6.0143705817853775E-3</v>
      </c>
      <c r="AE705" s="777">
        <f>$F$22*$H$9*'Traffic Data'!BG74*annualizationFactor</f>
        <v>6.0721688834374935E-3</v>
      </c>
      <c r="AF705" s="777">
        <f>$F$22*$H$9*'Traffic Data'!BH74*annualizationFactor</f>
        <v>6.1298021817814685E-3</v>
      </c>
      <c r="AG705" s="777">
        <f>$F$22*$H$9*'Traffic Data'!BI74*annualizationFactor</f>
        <v>6.1874354801254453E-3</v>
      </c>
      <c r="AH705" s="778">
        <f>$F$22*$H$9*'Traffic Data'!BJ74*annualizationFactor</f>
        <v>6.2452337817775613E-3</v>
      </c>
      <c r="AI705" s="24"/>
      <c r="AJ705" s="24"/>
      <c r="AK705" s="24"/>
      <c r="AL705" s="24"/>
      <c r="AM705" s="24"/>
    </row>
    <row r="706" spans="2:39" ht="21.95" customHeight="1" x14ac:dyDescent="0.2">
      <c r="B706" s="1346"/>
      <c r="C706" s="254" t="s">
        <v>340</v>
      </c>
      <c r="D706" s="254" t="s">
        <v>280</v>
      </c>
      <c r="E706" s="116" t="s">
        <v>467</v>
      </c>
      <c r="F706" s="254" t="s">
        <v>438</v>
      </c>
      <c r="G706" s="970"/>
      <c r="H706" s="970"/>
      <c r="I706" s="777">
        <f>$F$22*$H$9*'Traffic Data'!AK75*annualizationFactor</f>
        <v>2.0342873606580002E-4</v>
      </c>
      <c r="J706" s="777">
        <f>$F$22*$H$9*'Traffic Data'!AL75*annualizationFactor</f>
        <v>3.0064732903164587E-4</v>
      </c>
      <c r="K706" s="777">
        <f>$F$22*$H$9*'Traffic Data'!AM75*annualizationFactor</f>
        <v>4.2176201752735436E-4</v>
      </c>
      <c r="L706" s="777">
        <f>$F$22*$H$9*'Traffic Data'!AN75*annualizationFactor</f>
        <v>6.8109297026403622E-4</v>
      </c>
      <c r="M706" s="777">
        <f>$F$22*$H$9*'Traffic Data'!AO75*annualizationFactor</f>
        <v>9.4045782779006253E-4</v>
      </c>
      <c r="N706" s="777">
        <f>$F$22*$H$9*'Traffic Data'!AP75*annualizationFactor</f>
        <v>1.1999311806419903E-3</v>
      </c>
      <c r="O706" s="777">
        <f>$F$22*$H$9*'Traffic Data'!AQ75*annualizationFactor</f>
        <v>1.4592621333786721E-3</v>
      </c>
      <c r="P706" s="777">
        <f>$F$22*$H$9*'Traffic Data'!AR75*annualizationFactor</f>
        <v>1.7184574669579769E-3</v>
      </c>
      <c r="Q706" s="777">
        <f>$F$22*$H$9*'Traffic Data'!AS75*annualizationFactor</f>
        <v>2.2389095453087195E-3</v>
      </c>
      <c r="R706" s="777">
        <f>$F$22*$H$9*'Traffic Data'!AT75*annualizationFactor</f>
        <v>2.7590632615132325E-3</v>
      </c>
      <c r="S706" s="777">
        <f>$F$22*$H$9*'Traffic Data'!AU75*annualizationFactor</f>
        <v>3.2793322540015158E-3</v>
      </c>
      <c r="T706" s="777">
        <f>$F$22*$H$9*'Traffic Data'!AV75*annualizationFactor</f>
        <v>3.7997843323522591E-3</v>
      </c>
      <c r="U706" s="777">
        <f>$F$22*$H$9*'Traffic Data'!AW75*annualizationFactor</f>
        <v>4.3201007915456245E-3</v>
      </c>
      <c r="V706" s="777">
        <f>$F$22*$H$9*'Traffic Data'!AX75*annualizationFactor</f>
        <v>4.7023230437396564E-3</v>
      </c>
      <c r="W706" s="777">
        <f>$F$22*$H$9*'Traffic Data'!AY75*annualizationFactor</f>
        <v>4.7995416367055026E-3</v>
      </c>
      <c r="X706" s="777">
        <f>$F$22*$H$9*'Traffic Data'!AZ75*annualizationFactor</f>
        <v>4.8967602296713479E-3</v>
      </c>
      <c r="Y706" s="777">
        <f>$F$22*$H$9*'Traffic Data'!BA75*annualizationFactor</f>
        <v>4.9939788226371932E-3</v>
      </c>
      <c r="Z706" s="777">
        <f>$F$22*$H$9*'Traffic Data'!BB75*annualizationFactor</f>
        <v>5.0909058344146777E-3</v>
      </c>
      <c r="AA706" s="777">
        <f>$F$22*$H$9*'Traffic Data'!BC75*annualizationFactor</f>
        <v>5.1881244273805239E-3</v>
      </c>
      <c r="AB706" s="777">
        <f>$F$22*$H$9*'Traffic Data'!BD75*annualizationFactor</f>
        <v>5.2850514391580092E-3</v>
      </c>
      <c r="AC706" s="777">
        <f>$F$22*$H$9*'Traffic Data'!BE75*annualizationFactor</f>
        <v>5.3822700321238546E-3</v>
      </c>
      <c r="AD706" s="777">
        <f>$F$22*$H$9*'Traffic Data'!BF75*annualizationFactor</f>
        <v>5.4794886250897016E-3</v>
      </c>
      <c r="AE706" s="777">
        <f>$F$22*$H$9*'Traffic Data'!BG75*annualizationFactor</f>
        <v>5.5764156368671861E-3</v>
      </c>
      <c r="AF706" s="777">
        <f>$F$22*$H$9*'Traffic Data'!BH75*annualizationFactor</f>
        <v>5.6736342298330305E-3</v>
      </c>
      <c r="AG706" s="777">
        <f>$F$22*$H$9*'Traffic Data'!BI75*annualizationFactor</f>
        <v>5.7708528227988767E-3</v>
      </c>
      <c r="AH706" s="778">
        <f>$F$22*$H$9*'Traffic Data'!BJ75*annualizationFactor</f>
        <v>5.8677798345763612E-3</v>
      </c>
      <c r="AI706" s="24"/>
      <c r="AJ706" s="24"/>
      <c r="AK706" s="24"/>
      <c r="AL706" s="24"/>
      <c r="AM706" s="24"/>
    </row>
    <row r="707" spans="2:39" ht="21.95" customHeight="1" x14ac:dyDescent="0.2">
      <c r="B707" s="1346" t="s">
        <v>334</v>
      </c>
      <c r="C707" s="116" t="s">
        <v>336</v>
      </c>
      <c r="D707" s="116" t="s">
        <v>337</v>
      </c>
      <c r="E707" s="220" t="s">
        <v>467</v>
      </c>
      <c r="F707" s="116" t="s">
        <v>438</v>
      </c>
      <c r="G707" s="775"/>
      <c r="H707" s="775"/>
      <c r="I707" s="775">
        <f>$F$22*$I$9*'Traffic Data'!AK76*annualizationFactor</f>
        <v>4.0685747213160001E-3</v>
      </c>
      <c r="J707" s="775">
        <f>$F$22*$I$9*'Traffic Data'!AL76*annualizationFactor</f>
        <v>4.1812742410964523E-3</v>
      </c>
      <c r="K707" s="775">
        <f>$F$22*$I$9*'Traffic Data'!AM76*annualizationFactor</f>
        <v>4.363154061763283E-3</v>
      </c>
      <c r="L707" s="775">
        <f>$F$22*$I$9*'Traffic Data'!AN76*annualizationFactor</f>
        <v>4.6229906802153281E-3</v>
      </c>
      <c r="M707" s="775">
        <f>$F$22*$I$9*'Traffic Data'!AO76*annualizationFactor</f>
        <v>4.8829435436594125E-3</v>
      </c>
      <c r="N707" s="775">
        <f>$F$22*$I$9*'Traffic Data'!AP76*annualizationFactor</f>
        <v>5.1428818764794907E-3</v>
      </c>
      <c r="O707" s="775">
        <f>$F$22*$I$9*'Traffic Data'!AQ76*annualizationFactor</f>
        <v>5.4027184949315367E-3</v>
      </c>
      <c r="P707" s="775">
        <f>$F$22*$I$9*'Traffic Data'!AR76*annualizationFactor</f>
        <v>5.662787603367656E-3</v>
      </c>
      <c r="Q707" s="775">
        <f>$F$22*$I$9*'Traffic Data'!AS76*annualizationFactor</f>
        <v>5.8942749743865312E-3</v>
      </c>
      <c r="R707" s="775">
        <f>$F$22*$I$9*'Traffic Data'!AT76*annualizationFactor</f>
        <v>6.12583499852543E-3</v>
      </c>
      <c r="S707" s="775">
        <f>$F$22*$I$9*'Traffic Data'!AU76*annualizationFactor</f>
        <v>6.3573223695443061E-3</v>
      </c>
      <c r="T707" s="775">
        <f>$F$22*$I$9*'Traffic Data'!AV76*annualizationFactor</f>
        <v>6.5888097405631812E-3</v>
      </c>
      <c r="U707" s="775">
        <f>$F$22*$I$9*'Traffic Data'!AW76*annualizationFactor</f>
        <v>6.8205296015661325E-3</v>
      </c>
      <c r="V707" s="775">
        <f>$F$22*$I$9*'Traffic Data'!AX76*annualizationFactor</f>
        <v>6.9739439298077558E-3</v>
      </c>
      <c r="W707" s="775">
        <f>$F$22*$I$9*'Traffic Data'!AY76*annualizationFactor</f>
        <v>7.0866434495882088E-3</v>
      </c>
      <c r="X707" s="775">
        <f>$F$22*$I$9*'Traffic Data'!AZ76*annualizationFactor</f>
        <v>7.1993429693686618E-3</v>
      </c>
      <c r="Y707" s="775">
        <f>$F$22*$I$9*'Traffic Data'!BA76*annualizationFactor</f>
        <v>7.3120424891491148E-3</v>
      </c>
      <c r="Z707" s="775">
        <f>$F$22*$I$9*'Traffic Data'!BB76*annualizationFactor</f>
        <v>7.4248146620495914E-3</v>
      </c>
      <c r="AA707" s="775">
        <f>$F$22*$I$9*'Traffic Data'!BC76*annualizationFactor</f>
        <v>7.5375141818300462E-3</v>
      </c>
      <c r="AB707" s="775">
        <f>$F$22*$I$9*'Traffic Data'!BD76*annualizationFactor</f>
        <v>7.6502863547305202E-3</v>
      </c>
      <c r="AC707" s="775">
        <f>$F$22*$I$9*'Traffic Data'!BE76*annualizationFactor</f>
        <v>7.7629858745109732E-3</v>
      </c>
      <c r="AD707" s="775">
        <f>$F$22*$I$9*'Traffic Data'!BF76*annualizationFactor</f>
        <v>7.875685394291428E-3</v>
      </c>
      <c r="AE707" s="775">
        <f>$F$22*$I$9*'Traffic Data'!BG76*annualizationFactor</f>
        <v>7.9884575671919037E-3</v>
      </c>
      <c r="AF707" s="775">
        <f>$F$22*$I$9*'Traffic Data'!BH76*annualizationFactor</f>
        <v>8.1011570869723559E-3</v>
      </c>
      <c r="AG707" s="775">
        <f>$F$22*$I$9*'Traffic Data'!BI76*annualizationFactor</f>
        <v>8.2138566067528097E-3</v>
      </c>
      <c r="AH707" s="776">
        <f>$F$22*$I$9*'Traffic Data'!BJ76*annualizationFactor</f>
        <v>8.3266287796532855E-3</v>
      </c>
      <c r="AI707" s="24"/>
      <c r="AJ707" s="24"/>
      <c r="AK707" s="24"/>
      <c r="AL707" s="24"/>
      <c r="AM707" s="24"/>
    </row>
    <row r="708" spans="2:39" ht="21.95" customHeight="1" x14ac:dyDescent="0.2">
      <c r="B708" s="1346"/>
      <c r="C708" s="116" t="s">
        <v>337</v>
      </c>
      <c r="D708" s="116" t="s">
        <v>386</v>
      </c>
      <c r="E708" s="116" t="s">
        <v>467</v>
      </c>
      <c r="F708" s="116" t="s">
        <v>438</v>
      </c>
      <c r="G708" s="970"/>
      <c r="H708" s="970"/>
      <c r="I708" s="777">
        <f>$F$22*$I$9*'Traffic Data'!AK77*annualizationFactor</f>
        <v>6.3934745620680003E-3</v>
      </c>
      <c r="J708" s="777">
        <f>$F$22*$I$9*'Traffic Data'!AL77*annualizationFactor</f>
        <v>6.4030647739111018E-3</v>
      </c>
      <c r="K708" s="777">
        <f>$F$22*$I$9*'Traffic Data'!AM77*annualizationFactor</f>
        <v>6.4126549857542025E-3</v>
      </c>
      <c r="L708" s="777">
        <f>$F$22*$I$9*'Traffic Data'!AN77*annualizationFactor</f>
        <v>6.4222451975973057E-3</v>
      </c>
      <c r="M708" s="777">
        <f>$F$22*$I$9*'Traffic Data'!AO77*annualizationFactor</f>
        <v>6.4318354094404073E-3</v>
      </c>
      <c r="N708" s="777">
        <f>$F$22*$I$9*'Traffic Data'!AP77*annualizationFactor</f>
        <v>6.4414256212835096E-3</v>
      </c>
      <c r="O708" s="777">
        <f>$F$22*$I$9*'Traffic Data'!AQ77*annualizationFactor</f>
        <v>6.4510158331266103E-3</v>
      </c>
      <c r="P708" s="777">
        <f>$F$22*$I$9*'Traffic Data'!AR77*annualizationFactor</f>
        <v>6.4606060449697135E-3</v>
      </c>
      <c r="Q708" s="777">
        <f>$F$22*$I$9*'Traffic Data'!AS77*annualizationFactor</f>
        <v>6.470196256812815E-3</v>
      </c>
      <c r="R708" s="777">
        <f>$F$22*$I$9*'Traffic Data'!AT77*annualizationFactor</f>
        <v>6.470196256812815E-3</v>
      </c>
      <c r="S708" s="777">
        <f>$F$22*$I$9*'Traffic Data'!AU77*annualizationFactor</f>
        <v>6.470196256812815E-3</v>
      </c>
      <c r="T708" s="777">
        <f>$F$22*$I$9*'Traffic Data'!AV77*annualizationFactor</f>
        <v>6.470196256812815E-3</v>
      </c>
      <c r="U708" s="777">
        <f>$F$22*$I$9*'Traffic Data'!AW77*annualizationFactor</f>
        <v>6.470196256812815E-3</v>
      </c>
      <c r="V708" s="777">
        <f>$F$22*$I$9*'Traffic Data'!AX77*annualizationFactor</f>
        <v>6.470196256812815E-3</v>
      </c>
      <c r="W708" s="777">
        <f>$F$22*$I$9*'Traffic Data'!AY77*annualizationFactor</f>
        <v>6.5126806046652778E-3</v>
      </c>
      <c r="X708" s="777">
        <f>$F$22*$I$9*'Traffic Data'!AZ77*annualizationFactor</f>
        <v>6.6135478373187031E-3</v>
      </c>
      <c r="Y708" s="777">
        <f>$F$22*$I$9*'Traffic Data'!BA77*annualizationFactor</f>
        <v>6.7144150699721284E-3</v>
      </c>
      <c r="Z708" s="777">
        <f>$F$22*$I$9*'Traffic Data'!BB77*annualizationFactor</f>
        <v>6.8153058422364427E-3</v>
      </c>
      <c r="AA708" s="777">
        <f>$F$22*$I$9*'Traffic Data'!BC77*annualizationFactor</f>
        <v>6.916173074889868E-3</v>
      </c>
      <c r="AB708" s="777">
        <f>$F$22*$I$9*'Traffic Data'!BD77*annualizationFactor</f>
        <v>7.0170638471541823E-3</v>
      </c>
      <c r="AC708" s="777">
        <f>$F$22*$I$9*'Traffic Data'!BE77*annualizationFactor</f>
        <v>7.1179310798076077E-3</v>
      </c>
      <c r="AD708" s="777">
        <f>$F$22*$I$9*'Traffic Data'!BF77*annualizationFactor</f>
        <v>7.2187983124610347E-3</v>
      </c>
      <c r="AE708" s="777">
        <f>$F$22*$I$9*'Traffic Data'!BG77*annualizationFactor</f>
        <v>7.319689084725349E-3</v>
      </c>
      <c r="AF708" s="777">
        <f>$F$22*$I$9*'Traffic Data'!BH77*annualizationFactor</f>
        <v>7.4205563173787735E-3</v>
      </c>
      <c r="AG708" s="777">
        <f>$F$22*$I$9*'Traffic Data'!BI77*annualizationFactor</f>
        <v>7.5214235500322005E-3</v>
      </c>
      <c r="AH708" s="778">
        <f>$F$22*$I$9*'Traffic Data'!BJ77*annualizationFactor</f>
        <v>7.622314322296514E-3</v>
      </c>
      <c r="AI708" s="24"/>
      <c r="AJ708" s="24"/>
      <c r="AK708" s="24"/>
      <c r="AL708" s="24"/>
      <c r="AM708" s="24"/>
    </row>
    <row r="709" spans="2:39" ht="21.95" customHeight="1" x14ac:dyDescent="0.2">
      <c r="B709" s="1346"/>
      <c r="C709" s="116" t="s">
        <v>342</v>
      </c>
      <c r="D709" s="116" t="s">
        <v>341</v>
      </c>
      <c r="E709" s="116" t="s">
        <v>467</v>
      </c>
      <c r="F709" s="116" t="s">
        <v>438</v>
      </c>
      <c r="G709" s="970"/>
      <c r="H709" s="970"/>
      <c r="I709" s="777">
        <f>$F$22*$I$9*'Traffic Data'!AK78*annualizationFactor</f>
        <v>8.3115169306883993E-3</v>
      </c>
      <c r="J709" s="777">
        <f>$F$22*$I$9*'Traffic Data'!AL78*annualizationFactor</f>
        <v>8.3239842060844321E-3</v>
      </c>
      <c r="K709" s="777">
        <f>$F$22*$I$9*'Traffic Data'!AM78*annualizationFactor</f>
        <v>8.3364514814804631E-3</v>
      </c>
      <c r="L709" s="777">
        <f>$F$22*$I$9*'Traffic Data'!AN78*annualizationFactor</f>
        <v>8.3489187568764976E-3</v>
      </c>
      <c r="M709" s="777">
        <f>$F$22*$I$9*'Traffic Data'!AO78*annualizationFactor</f>
        <v>8.3613860322725303E-3</v>
      </c>
      <c r="N709" s="777">
        <f>$F$22*$I$9*'Traffic Data'!AP78*annualizationFactor</f>
        <v>8.373853307668563E-3</v>
      </c>
      <c r="O709" s="777">
        <f>$F$22*$I$9*'Traffic Data'!AQ78*annualizationFactor</f>
        <v>8.3863205830645941E-3</v>
      </c>
      <c r="P709" s="777">
        <f>$F$22*$I$9*'Traffic Data'!AR78*annualizationFactor</f>
        <v>8.3987878584606285E-3</v>
      </c>
      <c r="Q709" s="777">
        <f>$F$22*$I$9*'Traffic Data'!AS78*annualizationFactor</f>
        <v>8.4112551338566613E-3</v>
      </c>
      <c r="R709" s="777">
        <f>$F$22*$I$9*'Traffic Data'!AT78*annualizationFactor</f>
        <v>8.4112551338566613E-3</v>
      </c>
      <c r="S709" s="777">
        <f>$F$22*$I$9*'Traffic Data'!AU78*annualizationFactor</f>
        <v>8.4112551338566613E-3</v>
      </c>
      <c r="T709" s="777">
        <f>$F$22*$I$9*'Traffic Data'!AV78*annualizationFactor</f>
        <v>8.4112551338566613E-3</v>
      </c>
      <c r="U709" s="777">
        <f>$F$22*$I$9*'Traffic Data'!AW78*annualizationFactor</f>
        <v>8.4112551338566613E-3</v>
      </c>
      <c r="V709" s="777">
        <f>$F$22*$I$9*'Traffic Data'!AX78*annualizationFactor</f>
        <v>8.4112551338566613E-3</v>
      </c>
      <c r="W709" s="777">
        <f>$F$22*$I$9*'Traffic Data'!AY78*annualizationFactor</f>
        <v>8.4664847860648606E-3</v>
      </c>
      <c r="X709" s="777">
        <f>$F$22*$I$9*'Traffic Data'!AZ78*annualizationFactor</f>
        <v>8.5976121885143145E-3</v>
      </c>
      <c r="Y709" s="777">
        <f>$F$22*$I$9*'Traffic Data'!BA78*annualizationFactor</f>
        <v>8.7287395909637668E-3</v>
      </c>
      <c r="Z709" s="777">
        <f>$F$22*$I$9*'Traffic Data'!BB78*annualizationFactor</f>
        <v>8.8598975949073754E-3</v>
      </c>
      <c r="AA709" s="777">
        <f>$F$22*$I$9*'Traffic Data'!BC78*annualizationFactor</f>
        <v>8.9910249973568276E-3</v>
      </c>
      <c r="AB709" s="777">
        <f>$F$22*$I$9*'Traffic Data'!BD78*annualizationFactor</f>
        <v>9.1221830013004379E-3</v>
      </c>
      <c r="AC709" s="777">
        <f>$F$22*$I$9*'Traffic Data'!BE78*annualizationFactor</f>
        <v>9.2533104037498901E-3</v>
      </c>
      <c r="AD709" s="777">
        <f>$F$22*$I$9*'Traffic Data'!BF78*annualizationFactor</f>
        <v>9.3844378061993458E-3</v>
      </c>
      <c r="AE709" s="777">
        <f>$F$22*$I$9*'Traffic Data'!BG78*annualizationFactor</f>
        <v>9.5155958101429544E-3</v>
      </c>
      <c r="AF709" s="777">
        <f>$F$22*$I$9*'Traffic Data'!BH78*annualizationFactor</f>
        <v>9.6467232125924049E-3</v>
      </c>
      <c r="AG709" s="777">
        <f>$F$22*$I$9*'Traffic Data'!BI78*annualizationFactor</f>
        <v>9.7778506150418588E-3</v>
      </c>
      <c r="AH709" s="778">
        <f>$F$22*$I$9*'Traffic Data'!BJ78*annualizationFactor</f>
        <v>9.9090086189854674E-3</v>
      </c>
      <c r="AI709" s="24"/>
      <c r="AJ709" s="24"/>
      <c r="AK709" s="24"/>
      <c r="AL709" s="24"/>
      <c r="AM709" s="24"/>
    </row>
    <row r="710" spans="2:39" ht="21.95" customHeight="1" x14ac:dyDescent="0.2">
      <c r="B710" s="1346"/>
      <c r="C710" s="116" t="s">
        <v>341</v>
      </c>
      <c r="D710" s="116" t="s">
        <v>344</v>
      </c>
      <c r="E710" s="116" t="s">
        <v>467</v>
      </c>
      <c r="F710" s="116" t="s">
        <v>438</v>
      </c>
      <c r="G710" s="970"/>
      <c r="H710" s="970"/>
      <c r="I710" s="777">
        <f>$F$22*$I$9*'Traffic Data'!AK79*annualizationFactor</f>
        <v>9.2182278685816795E-3</v>
      </c>
      <c r="J710" s="777">
        <f>$F$22*$I$9*'Traffic Data'!AL79*annualizationFactor</f>
        <v>9.2320552103845512E-3</v>
      </c>
      <c r="K710" s="777">
        <f>$F$22*$I$9*'Traffic Data'!AM79*annualizationFactor</f>
        <v>9.2458825521874247E-3</v>
      </c>
      <c r="L710" s="777">
        <f>$F$22*$I$9*'Traffic Data'!AN79*annualizationFactor</f>
        <v>9.2597098939902964E-3</v>
      </c>
      <c r="M710" s="777">
        <f>$F$22*$I$9*'Traffic Data'!AO79*annualizationFactor</f>
        <v>9.2735372357931698E-3</v>
      </c>
      <c r="N710" s="777">
        <f>$F$22*$I$9*'Traffic Data'!AP79*annualizationFactor</f>
        <v>9.2873645775960415E-3</v>
      </c>
      <c r="O710" s="777">
        <f>$F$22*$I$9*'Traffic Data'!AQ79*annualizationFactor</f>
        <v>9.3011919193989132E-3</v>
      </c>
      <c r="P710" s="777">
        <f>$F$22*$I$9*'Traffic Data'!AR79*annualizationFactor</f>
        <v>9.3150192612017867E-3</v>
      </c>
      <c r="Q710" s="777">
        <f>$F$22*$I$9*'Traffic Data'!AS79*annualizationFactor</f>
        <v>9.3288466030046601E-3</v>
      </c>
      <c r="R710" s="777">
        <f>$F$22*$I$9*'Traffic Data'!AT79*annualizationFactor</f>
        <v>9.3288466030046601E-3</v>
      </c>
      <c r="S710" s="777">
        <f>$F$22*$I$9*'Traffic Data'!AU79*annualizationFactor</f>
        <v>9.3288466030046601E-3</v>
      </c>
      <c r="T710" s="777">
        <f>$F$22*$I$9*'Traffic Data'!AV79*annualizationFactor</f>
        <v>9.3288466030046601E-3</v>
      </c>
      <c r="U710" s="777">
        <f>$F$22*$I$9*'Traffic Data'!AW79*annualizationFactor</f>
        <v>9.3288466030046601E-3</v>
      </c>
      <c r="V710" s="777">
        <f>$F$22*$I$9*'Traffic Data'!AX79*annualizationFactor</f>
        <v>9.3288466030046601E-3</v>
      </c>
      <c r="W710" s="777">
        <f>$F$22*$I$9*'Traffic Data'!AY79*annualizationFactor</f>
        <v>9.3288466030046601E-3</v>
      </c>
      <c r="X710" s="777">
        <f>$F$22*$I$9*'Traffic Data'!AZ79*annualizationFactor</f>
        <v>9.3288466030046601E-3</v>
      </c>
      <c r="Y710" s="777">
        <f>$F$22*$I$9*'Traffic Data'!BA79*annualizationFactor</f>
        <v>9.3288466030046601E-3</v>
      </c>
      <c r="Z710" s="777">
        <f>$F$22*$I$9*'Traffic Data'!BB79*annualizationFactor</f>
        <v>9.3288466030046601E-3</v>
      </c>
      <c r="AA710" s="777">
        <f>$F$22*$I$9*'Traffic Data'!BC79*annualizationFactor</f>
        <v>9.4502588895295173E-3</v>
      </c>
      <c r="AB710" s="777">
        <f>$F$22*$I$9*'Traffic Data'!BD79*annualizationFactor</f>
        <v>9.5881160407514741E-3</v>
      </c>
      <c r="AC710" s="777">
        <f>$F$22*$I$9*'Traffic Data'!BE79*annualizationFactor</f>
        <v>9.725941027449116E-3</v>
      </c>
      <c r="AD710" s="777">
        <f>$F$22*$I$9*'Traffic Data'!BF79*annualizationFactor</f>
        <v>9.8637660141467597E-3</v>
      </c>
      <c r="AE710" s="777">
        <f>$F$22*$I$9*'Traffic Data'!BG79*annualizationFactor</f>
        <v>1.0001623165368716E-2</v>
      </c>
      <c r="AF710" s="777">
        <f>$F$22*$I$9*'Traffic Data'!BH79*annualizationFactor</f>
        <v>1.0139448152066355E-2</v>
      </c>
      <c r="AG710" s="777">
        <f>$F$22*$I$9*'Traffic Data'!BI79*annualizationFactor</f>
        <v>1.0277273138763999E-2</v>
      </c>
      <c r="AH710" s="778">
        <f>$F$22*$I$9*'Traffic Data'!BJ79*annualizationFactor</f>
        <v>1.0415130289985957E-2</v>
      </c>
      <c r="AI710" s="24"/>
      <c r="AJ710" s="24"/>
      <c r="AK710" s="24"/>
      <c r="AL710" s="24"/>
      <c r="AM710" s="24"/>
    </row>
    <row r="711" spans="2:39" ht="21.95" customHeight="1" x14ac:dyDescent="0.2">
      <c r="B711" s="1346"/>
      <c r="C711" s="116" t="s">
        <v>344</v>
      </c>
      <c r="D711" s="116" t="s">
        <v>345</v>
      </c>
      <c r="E711" s="116" t="s">
        <v>467</v>
      </c>
      <c r="F711" s="116" t="s">
        <v>438</v>
      </c>
      <c r="G711" s="970"/>
      <c r="H711" s="970"/>
      <c r="I711" s="777">
        <f>$F$22*$I$9*'Traffic Data'!AK80*annualizationFactor</f>
        <v>3.777962241222E-3</v>
      </c>
      <c r="J711" s="777">
        <f>$F$22*$I$9*'Traffic Data'!AL80*annualizationFactor</f>
        <v>3.7836291845838332E-3</v>
      </c>
      <c r="K711" s="777">
        <f>$F$22*$I$9*'Traffic Data'!AM80*annualizationFactor</f>
        <v>3.7892961279456655E-3</v>
      </c>
      <c r="L711" s="777">
        <f>$F$22*$I$9*'Traffic Data'!AN80*annualizationFactor</f>
        <v>3.7949630713074987E-3</v>
      </c>
      <c r="M711" s="777">
        <f>$F$22*$I$9*'Traffic Data'!AO80*annualizationFactor</f>
        <v>3.8006300146693314E-3</v>
      </c>
      <c r="N711" s="777">
        <f>$F$22*$I$9*'Traffic Data'!AP80*annualizationFactor</f>
        <v>3.8062969580311646E-3</v>
      </c>
      <c r="O711" s="777">
        <f>$F$22*$I$9*'Traffic Data'!AQ80*annualizationFactor</f>
        <v>3.8119639013929974E-3</v>
      </c>
      <c r="P711" s="777">
        <f>$F$22*$I$9*'Traffic Data'!AR80*annualizationFactor</f>
        <v>3.817630844754831E-3</v>
      </c>
      <c r="Q711" s="777">
        <f>$F$22*$I$9*'Traffic Data'!AS80*annualizationFactor</f>
        <v>3.8232977881166642E-3</v>
      </c>
      <c r="R711" s="777">
        <f>$F$22*$I$9*'Traffic Data'!AT80*annualizationFactor</f>
        <v>3.8232977881166642E-3</v>
      </c>
      <c r="S711" s="777">
        <f>$F$22*$I$9*'Traffic Data'!AU80*annualizationFactor</f>
        <v>3.8232977881166642E-3</v>
      </c>
      <c r="T711" s="777">
        <f>$F$22*$I$9*'Traffic Data'!AV80*annualizationFactor</f>
        <v>3.8232977881166642E-3</v>
      </c>
      <c r="U711" s="777">
        <f>$F$22*$I$9*'Traffic Data'!AW80*annualizationFactor</f>
        <v>3.8232977881166642E-3</v>
      </c>
      <c r="V711" s="777">
        <f>$F$22*$I$9*'Traffic Data'!AX80*annualizationFactor</f>
        <v>3.8232977881166642E-3</v>
      </c>
      <c r="W711" s="777">
        <f>$F$22*$I$9*'Traffic Data'!AY80*annualizationFactor</f>
        <v>3.8232977881166642E-3</v>
      </c>
      <c r="X711" s="777">
        <f>$F$22*$I$9*'Traffic Data'!AZ80*annualizationFactor</f>
        <v>3.8232977881166642E-3</v>
      </c>
      <c r="Y711" s="777">
        <f>$F$22*$I$9*'Traffic Data'!BA80*annualizationFactor</f>
        <v>3.8232977881166642E-3</v>
      </c>
      <c r="Z711" s="777">
        <f>$F$22*$I$9*'Traffic Data'!BB80*annualizationFactor</f>
        <v>3.8232977881166642E-3</v>
      </c>
      <c r="AA711" s="777">
        <f>$F$22*$I$9*'Traffic Data'!BC80*annualizationFactor</f>
        <v>3.8730569219383262E-3</v>
      </c>
      <c r="AB711" s="777">
        <f>$F$22*$I$9*'Traffic Data'!BD80*annualizationFactor</f>
        <v>3.9295557544063425E-3</v>
      </c>
      <c r="AC711" s="777">
        <f>$F$22*$I$9*'Traffic Data'!BE80*annualizationFactor</f>
        <v>3.9860414046922607E-3</v>
      </c>
      <c r="AD711" s="777">
        <f>$F$22*$I$9*'Traffic Data'!BF80*annualizationFactor</f>
        <v>4.0425270549781797E-3</v>
      </c>
      <c r="AE711" s="777">
        <f>$F$22*$I$9*'Traffic Data'!BG80*annualizationFactor</f>
        <v>4.0990258874461956E-3</v>
      </c>
      <c r="AF711" s="777">
        <f>$F$22*$I$9*'Traffic Data'!BH80*annualizationFactor</f>
        <v>4.1555115377321129E-3</v>
      </c>
      <c r="AG711" s="777">
        <f>$F$22*$I$9*'Traffic Data'!BI80*annualizationFactor</f>
        <v>4.211997188018032E-3</v>
      </c>
      <c r="AH711" s="778">
        <f>$F$22*$I$9*'Traffic Data'!BJ80*annualizationFactor</f>
        <v>4.2684960204860478E-3</v>
      </c>
      <c r="AI711" s="24"/>
      <c r="AJ711" s="24"/>
      <c r="AK711" s="24"/>
      <c r="AL711" s="24"/>
      <c r="AM711" s="24"/>
    </row>
    <row r="712" spans="2:39" ht="21.95" customHeight="1" x14ac:dyDescent="0.2">
      <c r="B712" s="1346"/>
      <c r="C712" s="116" t="s">
        <v>345</v>
      </c>
      <c r="D712" s="116" t="s">
        <v>323</v>
      </c>
      <c r="E712" s="116" t="s">
        <v>467</v>
      </c>
      <c r="F712" s="116" t="s">
        <v>438</v>
      </c>
      <c r="G712" s="970"/>
      <c r="H712" s="970"/>
      <c r="I712" s="777">
        <f>$F$22*$I$9*'Traffic Data'!AK81*annualizationFactor</f>
        <v>4.5568036878739199E-2</v>
      </c>
      <c r="J712" s="777">
        <f>$F$22*$I$9*'Traffic Data'!AL81*annualizationFactor</f>
        <v>4.6614067439589534E-2</v>
      </c>
      <c r="K712" s="777">
        <f>$F$22*$I$9*'Traffic Data'!AM81*annualizationFactor</f>
        <v>4.8144095649287628E-2</v>
      </c>
      <c r="L712" s="777">
        <f>$F$22*$I$9*'Traffic Data'!AN81*annualizationFactor</f>
        <v>4.9979022848601146E-2</v>
      </c>
      <c r="M712" s="777">
        <f>$F$22*$I$9*'Traffic Data'!AO81*annualizationFactor</f>
        <v>5.1814438276881217E-2</v>
      </c>
      <c r="N712" s="777">
        <f>$F$22*$I$9*'Traffic Data'!AP81*annualizationFactor</f>
        <v>5.3650016448150172E-2</v>
      </c>
      <c r="O712" s="777">
        <f>$F$22*$I$9*'Traffic Data'!AQ81*annualizationFactor</f>
        <v>5.5484943647463675E-2</v>
      </c>
      <c r="P712" s="777">
        <f>$F$22*$I$9*'Traffic Data'!AR81*annualizationFactor</f>
        <v>5.7320847304710307E-2</v>
      </c>
      <c r="Q712" s="777">
        <f>$F$22*$I$9*'Traffic Data'!AS81*annualizationFactor</f>
        <v>5.8900268011525168E-2</v>
      </c>
      <c r="R712" s="777">
        <f>$F$22*$I$9*'Traffic Data'!AT81*annualizationFactor</f>
        <v>6.0479607346845619E-2</v>
      </c>
      <c r="S712" s="777">
        <f>$F$22*$I$9*'Traffic Data'!AU81*annualizationFactor</f>
        <v>6.2059028053660481E-2</v>
      </c>
      <c r="T712" s="777">
        <f>$F$22*$I$9*'Traffic Data'!AV81*annualizationFactor</f>
        <v>6.363844876047535E-2</v>
      </c>
      <c r="U712" s="777">
        <f>$F$22*$I$9*'Traffic Data'!AW81*annualizationFactor</f>
        <v>6.5218845925223326E-2</v>
      </c>
      <c r="V712" s="777">
        <f>$F$22*$I$9*'Traffic Data'!AX81*annualizationFactor</f>
        <v>6.6492879413456232E-2</v>
      </c>
      <c r="W712" s="777">
        <f>$F$22*$I$9*'Traffic Data'!AY81*annualizationFactor</f>
        <v>6.753890997430656E-2</v>
      </c>
      <c r="X712" s="777">
        <f>$F$22*$I$9*'Traffic Data'!AZ81*annualizationFactor</f>
        <v>6.8584940535156902E-2</v>
      </c>
      <c r="Y712" s="777">
        <f>$F$22*$I$9*'Traffic Data'!BA81*annualizationFactor</f>
        <v>6.9630971096007244E-2</v>
      </c>
      <c r="Z712" s="777">
        <f>$F$22*$I$9*'Traffic Data'!BB81*annualizationFactor</f>
        <v>7.0677245771340866E-2</v>
      </c>
      <c r="AA712" s="777">
        <f>$F$22*$I$9*'Traffic Data'!BC81*annualizationFactor</f>
        <v>7.1723276332191221E-2</v>
      </c>
      <c r="AB712" s="777">
        <f>$F$22*$I$9*'Traffic Data'!BD81*annualizationFactor</f>
        <v>7.2769551007524844E-2</v>
      </c>
      <c r="AC712" s="777">
        <f>$F$22*$I$9*'Traffic Data'!BE81*annualizationFactor</f>
        <v>7.3815581568375185E-2</v>
      </c>
      <c r="AD712" s="777">
        <f>$F$22*$I$9*'Traffic Data'!BF81*annualizationFactor</f>
        <v>7.4861612129225527E-2</v>
      </c>
      <c r="AE712" s="777">
        <f>$F$22*$I$9*'Traffic Data'!BG81*annualizationFactor</f>
        <v>7.5907886804559149E-2</v>
      </c>
      <c r="AF712" s="777">
        <f>$F$22*$I$9*'Traffic Data'!BH81*annualizationFactor</f>
        <v>7.6953917365409477E-2</v>
      </c>
      <c r="AG712" s="777">
        <f>$F$22*$I$9*'Traffic Data'!BI81*annualizationFactor</f>
        <v>7.7999947926259847E-2</v>
      </c>
      <c r="AH712" s="778">
        <f>$F$22*$I$9*'Traffic Data'!BJ81*annualizationFactor</f>
        <v>7.9046222601593469E-2</v>
      </c>
      <c r="AI712" s="24"/>
      <c r="AJ712" s="24"/>
      <c r="AK712" s="24"/>
      <c r="AL712" s="24"/>
      <c r="AM712" s="24"/>
    </row>
    <row r="713" spans="2:39" ht="21.95" customHeight="1" x14ac:dyDescent="0.2">
      <c r="B713" s="1346"/>
      <c r="C713" s="116" t="s">
        <v>323</v>
      </c>
      <c r="D713" s="116" t="s">
        <v>347</v>
      </c>
      <c r="E713" s="116" t="s">
        <v>467</v>
      </c>
      <c r="F713" s="116" t="s">
        <v>438</v>
      </c>
      <c r="G713" s="970"/>
      <c r="H713" s="970"/>
      <c r="I713" s="777">
        <f>$F$22*$I$9*'Traffic Data'!AK82*annualizationFactor</f>
        <v>8.1371494426320003E-3</v>
      </c>
      <c r="J713" s="777">
        <f>$F$22*$I$9*'Traffic Data'!AL82*annualizationFactor</f>
        <v>8.3169513840661586E-3</v>
      </c>
      <c r="K713" s="777">
        <f>$F$22*$I$9*'Traffic Data'!AM82*annualizationFactor</f>
        <v>8.5831669464562655E-3</v>
      </c>
      <c r="L713" s="777">
        <f>$F$22*$I$9*'Traffic Data'!AN82*annualizationFactor</f>
        <v>8.9210184851895458E-3</v>
      </c>
      <c r="M713" s="777">
        <f>$F$22*$I$9*'Traffic Data'!AO82*annualizationFactor</f>
        <v>9.2589717382908603E-3</v>
      </c>
      <c r="N713" s="777">
        <f>$F$22*$I$9*'Traffic Data'!AP82*annualizationFactor</f>
        <v>9.5969046485185634E-3</v>
      </c>
      <c r="O713" s="777">
        <f>$F$22*$I$9*'Traffic Data'!AQ82*annualizationFactor</f>
        <v>9.934756187251842E-3</v>
      </c>
      <c r="P713" s="777">
        <f>$F$22*$I$9*'Traffic Data'!AR82*annualizationFactor</f>
        <v>1.0272790811847581E-2</v>
      </c>
      <c r="Q713" s="777">
        <f>$F$22*$I$9*'Traffic Data'!AS82*annualizationFactor</f>
        <v>1.0573167871272743E-2</v>
      </c>
      <c r="R713" s="777">
        <f>$F$22*$I$9*'Traffic Data'!AT82*annualizationFactor</f>
        <v>1.0873573991945908E-2</v>
      </c>
      <c r="S713" s="777">
        <f>$F$22*$I$9*'Traffic Data'!AU82*annualizationFactor</f>
        <v>1.1173951051371065E-2</v>
      </c>
      <c r="T713" s="777">
        <f>$F$22*$I$9*'Traffic Data'!AV82*annualizationFactor</f>
        <v>1.1474328110796225E-2</v>
      </c>
      <c r="U713" s="777">
        <f>$F$22*$I$9*'Traffic Data'!AW82*annualizationFactor</f>
        <v>1.1774844664211829E-2</v>
      </c>
      <c r="V713" s="777">
        <f>$F$22*$I$9*'Traffic Data'!AX82*annualizationFactor</f>
        <v>1.200350437579939E-2</v>
      </c>
      <c r="W713" s="777">
        <f>$F$22*$I$9*'Traffic Data'!AY82*annualizationFactor</f>
        <v>1.2183306317233548E-2</v>
      </c>
      <c r="X713" s="777">
        <f>$F$22*$I$9*'Traffic Data'!AZ82*annualizationFactor</f>
        <v>1.2363108258667706E-2</v>
      </c>
      <c r="Y713" s="777">
        <f>$F$22*$I$9*'Traffic Data'!BA82*annualizationFactor</f>
        <v>1.2542910200101866E-2</v>
      </c>
      <c r="Z713" s="777">
        <f>$F$22*$I$9*'Traffic Data'!BB82*annualizationFactor</f>
        <v>1.2722741202784034E-2</v>
      </c>
      <c r="AA713" s="777">
        <f>$F$22*$I$9*'Traffic Data'!BC82*annualizationFactor</f>
        <v>1.2902543144218187E-2</v>
      </c>
      <c r="AB713" s="777">
        <f>$F$22*$I$9*'Traffic Data'!BD82*annualizationFactor</f>
        <v>1.3082374146900357E-2</v>
      </c>
      <c r="AC713" s="777">
        <f>$F$22*$I$9*'Traffic Data'!BE82*annualizationFactor</f>
        <v>1.3262176088334516E-2</v>
      </c>
      <c r="AD713" s="777">
        <f>$F$22*$I$9*'Traffic Data'!BF82*annualizationFactor</f>
        <v>1.3441978029768674E-2</v>
      </c>
      <c r="AE713" s="777">
        <f>$F$22*$I$9*'Traffic Data'!BG82*annualizationFactor</f>
        <v>1.3621809032450839E-2</v>
      </c>
      <c r="AF713" s="777">
        <f>$F$22*$I$9*'Traffic Data'!BH82*annualizationFactor</f>
        <v>1.3801610973885001E-2</v>
      </c>
      <c r="AG713" s="777">
        <f>$F$22*$I$9*'Traffic Data'!BI82*annualizationFactor</f>
        <v>1.3981412915319156E-2</v>
      </c>
      <c r="AH713" s="778">
        <f>$F$22*$I$9*'Traffic Data'!BJ82*annualizationFactor</f>
        <v>1.4161243918001325E-2</v>
      </c>
      <c r="AI713" s="24"/>
      <c r="AJ713" s="24"/>
      <c r="AK713" s="24"/>
      <c r="AL713" s="24"/>
      <c r="AM713" s="24"/>
    </row>
    <row r="714" spans="2:39" ht="21.95" customHeight="1" x14ac:dyDescent="0.2">
      <c r="B714" s="1346"/>
      <c r="C714" s="116" t="s">
        <v>347</v>
      </c>
      <c r="D714" s="116" t="s">
        <v>348</v>
      </c>
      <c r="E714" s="116" t="s">
        <v>467</v>
      </c>
      <c r="F714" s="116" t="s">
        <v>438</v>
      </c>
      <c r="G714" s="970"/>
      <c r="H714" s="970"/>
      <c r="I714" s="777">
        <f>$F$22*$I$9*'Traffic Data'!AK83*annualizationFactor</f>
        <v>5.6960046098423998E-3</v>
      </c>
      <c r="J714" s="777">
        <f>$F$22*$I$9*'Traffic Data'!AL83*annualizationFactor</f>
        <v>5.8218659688463103E-3</v>
      </c>
      <c r="K714" s="777">
        <f>$F$22*$I$9*'Traffic Data'!AM83*annualizationFactor</f>
        <v>6.008216862519386E-3</v>
      </c>
      <c r="L714" s="777">
        <f>$F$22*$I$9*'Traffic Data'!AN83*annualizationFactor</f>
        <v>6.2447129396326819E-3</v>
      </c>
      <c r="M714" s="777">
        <f>$F$22*$I$9*'Traffic Data'!AO83*annualizationFactor</f>
        <v>6.4812802168036018E-3</v>
      </c>
      <c r="N714" s="777">
        <f>$F$22*$I$9*'Traffic Data'!AP83*annualizationFactor</f>
        <v>6.717833253962995E-3</v>
      </c>
      <c r="O714" s="777">
        <f>$F$22*$I$9*'Traffic Data'!AQ83*annualizationFactor</f>
        <v>6.9543293310762901E-3</v>
      </c>
      <c r="P714" s="777">
        <f>$F$22*$I$9*'Traffic Data'!AR83*annualizationFactor</f>
        <v>7.1909535682933064E-3</v>
      </c>
      <c r="Q714" s="777">
        <f>$F$22*$I$9*'Traffic Data'!AS83*annualizationFactor</f>
        <v>7.4012175098909184E-3</v>
      </c>
      <c r="R714" s="777">
        <f>$F$22*$I$9*'Traffic Data'!AT83*annualizationFactor</f>
        <v>7.6115017943621365E-3</v>
      </c>
      <c r="S714" s="777">
        <f>$F$22*$I$9*'Traffic Data'!AU83*annualizationFactor</f>
        <v>7.8217657359597459E-3</v>
      </c>
      <c r="T714" s="777">
        <f>$F$22*$I$9*'Traffic Data'!AV83*annualizationFactor</f>
        <v>8.0320296775573587E-3</v>
      </c>
      <c r="U714" s="777">
        <f>$F$22*$I$9*'Traffic Data'!AW83*annualizationFactor</f>
        <v>8.2423912649482785E-3</v>
      </c>
      <c r="V714" s="777">
        <f>$F$22*$I$9*'Traffic Data'!AX83*annualizationFactor</f>
        <v>8.4024530630595722E-3</v>
      </c>
      <c r="W714" s="777">
        <f>$F$22*$I$9*'Traffic Data'!AY83*annualizationFactor</f>
        <v>8.5283144220634818E-3</v>
      </c>
      <c r="X714" s="777">
        <f>$F$22*$I$9*'Traffic Data'!AZ83*annualizationFactor</f>
        <v>8.6541757810673949E-3</v>
      </c>
      <c r="Y714" s="777">
        <f>$F$22*$I$9*'Traffic Data'!BA83*annualizationFactor</f>
        <v>8.7800371400713062E-3</v>
      </c>
      <c r="Z714" s="777">
        <f>$F$22*$I$9*'Traffic Data'!BB83*annualizationFactor</f>
        <v>8.9059188419488219E-3</v>
      </c>
      <c r="AA714" s="777">
        <f>$F$22*$I$9*'Traffic Data'!BC83*annualizationFactor</f>
        <v>9.0317802009527298E-3</v>
      </c>
      <c r="AB714" s="777">
        <f>$F$22*$I$9*'Traffic Data'!BD83*annualizationFactor</f>
        <v>9.157661902830249E-3</v>
      </c>
      <c r="AC714" s="777">
        <f>$F$22*$I$9*'Traffic Data'!BE83*annualizationFactor</f>
        <v>9.2835232618341604E-3</v>
      </c>
      <c r="AD714" s="777">
        <f>$F$22*$I$9*'Traffic Data'!BF83*annualizationFactor</f>
        <v>9.40938462083807E-3</v>
      </c>
      <c r="AE714" s="777">
        <f>$F$22*$I$9*'Traffic Data'!BG83*annualizationFactor</f>
        <v>9.5352663227155875E-3</v>
      </c>
      <c r="AF714" s="777">
        <f>$F$22*$I$9*'Traffic Data'!BH83*annualizationFactor</f>
        <v>9.6611276817194988E-3</v>
      </c>
      <c r="AG714" s="777">
        <f>$F$22*$I$9*'Traffic Data'!BI83*annualizationFactor</f>
        <v>9.7869890407234102E-3</v>
      </c>
      <c r="AH714" s="778">
        <f>$F$22*$I$9*'Traffic Data'!BJ83*annualizationFactor</f>
        <v>9.9128707426009259E-3</v>
      </c>
      <c r="AI714" s="24"/>
      <c r="AJ714" s="24"/>
      <c r="AK714" s="24"/>
      <c r="AL714" s="24"/>
      <c r="AM714" s="24"/>
    </row>
    <row r="715" spans="2:39" ht="21.95" customHeight="1" x14ac:dyDescent="0.2">
      <c r="B715" s="1346"/>
      <c r="C715" s="254" t="s">
        <v>348</v>
      </c>
      <c r="D715" s="254" t="s">
        <v>349</v>
      </c>
      <c r="E715" s="254" t="s">
        <v>467</v>
      </c>
      <c r="F715" s="254" t="s">
        <v>438</v>
      </c>
      <c r="G715" s="779"/>
      <c r="H715" s="779"/>
      <c r="I715" s="777">
        <f>$F$22*$I$9*'Traffic Data'!AK84*annualizationFactor</f>
        <v>9.2995993630079991E-3</v>
      </c>
      <c r="J715" s="777">
        <f>$F$22*$I$9*'Traffic Data'!AL84*annualizationFactor</f>
        <v>9.5217290121678479E-3</v>
      </c>
      <c r="K715" s="777">
        <f>$F$22*$I$9*'Traffic Data'!AM84*annualizationFactor</f>
        <v>9.8302868129076532E-3</v>
      </c>
      <c r="L715" s="777">
        <f>$F$22*$I$9*'Traffic Data'!AN84*annualizationFactor</f>
        <v>1.0240079471088202E-2</v>
      </c>
      <c r="M715" s="777">
        <f>$F$22*$I$9*'Traffic Data'!AO84*annualizationFactor</f>
        <v>1.0649988374260792E-2</v>
      </c>
      <c r="N715" s="777">
        <f>$F$22*$I$9*'Traffic Data'!AP84*annualizationFactor</f>
        <v>1.1059926338681386E-2</v>
      </c>
      <c r="O715" s="777">
        <f>$F$22*$I$9*'Traffic Data'!AQ84*annualizationFactor</f>
        <v>1.1469718996861935E-2</v>
      </c>
      <c r="P715" s="777">
        <f>$F$22*$I$9*'Traffic Data'!AR84*annualizationFactor</f>
        <v>1.1879744145026563E-2</v>
      </c>
      <c r="Q715" s="777">
        <f>$F$22*$I$9*'Traffic Data'!AS84*annualizationFactor</f>
        <v>1.227108291072114E-2</v>
      </c>
      <c r="R715" s="777">
        <f>$F$22*$I$9*'Traffic Data'!AT84*annualizationFactor</f>
        <v>1.2662436207039723E-2</v>
      </c>
      <c r="S715" s="777">
        <f>$F$22*$I$9*'Traffic Data'!AU84*annualizationFactor</f>
        <v>1.3053774972734303E-2</v>
      </c>
      <c r="T715" s="777">
        <f>$F$22*$I$9*'Traffic Data'!AV84*annualizationFactor</f>
        <v>1.3445113738428886E-2</v>
      </c>
      <c r="U715" s="777">
        <f>$F$22*$I$9*'Traffic Data'!AW84*annualizationFactor</f>
        <v>1.3836684994107543E-2</v>
      </c>
      <c r="V715" s="777">
        <f>$F$22*$I$9*'Traffic Data'!AX84*annualizationFactor</f>
        <v>1.4126672657369339E-2</v>
      </c>
      <c r="W715" s="777">
        <f>$F$22*$I$9*'Traffic Data'!AY84*annualizationFactor</f>
        <v>1.4348802306529188E-2</v>
      </c>
      <c r="X715" s="777">
        <f>$F$22*$I$9*'Traffic Data'!AZ84*annualizationFactor</f>
        <v>1.4570931955689037E-2</v>
      </c>
      <c r="Y715" s="777">
        <f>$F$22*$I$9*'Traffic Data'!BA84*annualizationFactor</f>
        <v>1.4793061604848884E-2</v>
      </c>
      <c r="Z715" s="777">
        <f>$F$22*$I$9*'Traffic Data'!BB84*annualizationFactor</f>
        <v>1.5015234845880746E-2</v>
      </c>
      <c r="AA715" s="777">
        <f>$F$22*$I$9*'Traffic Data'!BC84*annualizationFactor</f>
        <v>1.5237364495040595E-2</v>
      </c>
      <c r="AB715" s="777">
        <f>$F$22*$I$9*'Traffic Data'!BD84*annualizationFactor</f>
        <v>1.5459537736072462E-2</v>
      </c>
      <c r="AC715" s="777">
        <f>$F$22*$I$9*'Traffic Data'!BE84*annualizationFactor</f>
        <v>1.5681667385232311E-2</v>
      </c>
      <c r="AD715" s="777">
        <f>$F$22*$I$9*'Traffic Data'!BF84*annualizationFactor</f>
        <v>1.590379703439216E-2</v>
      </c>
      <c r="AE715" s="777">
        <f>$F$22*$I$9*'Traffic Data'!BG84*annualizationFactor</f>
        <v>1.612597027542402E-2</v>
      </c>
      <c r="AF715" s="777">
        <f>$F$22*$I$9*'Traffic Data'!BH84*annualizationFactor</f>
        <v>1.6348099924583869E-2</v>
      </c>
      <c r="AG715" s="777">
        <f>$F$22*$I$9*'Traffic Data'!BI84*annualizationFactor</f>
        <v>1.6570229573743718E-2</v>
      </c>
      <c r="AH715" s="778">
        <f>$F$22*$I$9*'Traffic Data'!BJ84*annualizationFactor</f>
        <v>1.6792402814775582E-2</v>
      </c>
      <c r="AI715" s="24"/>
      <c r="AJ715" s="24"/>
      <c r="AK715" s="24"/>
      <c r="AL715" s="24"/>
      <c r="AM715" s="24"/>
    </row>
    <row r="716" spans="2:39" ht="21.95" customHeight="1" x14ac:dyDescent="0.2">
      <c r="B716" s="492" t="s">
        <v>288</v>
      </c>
      <c r="C716" s="116" t="s">
        <v>323</v>
      </c>
      <c r="D716" s="116" t="s">
        <v>348</v>
      </c>
      <c r="E716" s="116" t="s">
        <v>467</v>
      </c>
      <c r="F716" s="254" t="s">
        <v>438</v>
      </c>
      <c r="G716" s="970"/>
      <c r="H716" s="970"/>
      <c r="I716" s="775">
        <f>$F$22*$J$9*'Traffic Data'!AK85*annualizationFactor</f>
        <v>1.1624499203760001E-3</v>
      </c>
      <c r="J716" s="775">
        <f>$F$22*$J$9*'Traffic Data'!AL85*annualizationFactor</f>
        <v>1.2339276743688979E-3</v>
      </c>
      <c r="K716" s="775">
        <f>$F$22*$J$9*'Traffic Data'!AM85*annualizationFactor</f>
        <v>1.3285188076119381E-3</v>
      </c>
      <c r="L716" s="775">
        <f>$F$22*$J$9*'Traffic Data'!AN85*annualizationFactor</f>
        <v>1.454224850390376E-3</v>
      </c>
      <c r="M716" s="775">
        <f>$F$22*$J$9*'Traffic Data'!AO85*annualizationFactor</f>
        <v>1.5799696414994931E-3</v>
      </c>
      <c r="N716" s="775">
        <f>$F$22*$J$9*'Traffic Data'!AP85*annualizationFactor</f>
        <v>1.7059856709233652E-3</v>
      </c>
      <c r="O716" s="775">
        <f>$F$22*$J$9*'Traffic Data'!AQ85*annualizationFactor</f>
        <v>1.8316917137018026E-3</v>
      </c>
      <c r="P716" s="775">
        <f>$F$22*$J$9*'Traffic Data'!AR85*annualizationFactor</f>
        <v>1.9575333756376178E-3</v>
      </c>
      <c r="Q716" s="775">
        <f>$F$22*$J$9*'Traffic Data'!AS85*annualizationFactor</f>
        <v>2.0722800988889557E-3</v>
      </c>
      <c r="R716" s="775">
        <f>$F$22*$J$9*'Traffic Data'!AT85*annualizationFactor</f>
        <v>2.1869299513135954E-3</v>
      </c>
      <c r="S716" s="775">
        <f>$F$22*$J$9*'Traffic Data'!AU85*annualizationFactor</f>
        <v>2.3016831326200461E-3</v>
      </c>
      <c r="T716" s="775">
        <f>$F$22*$J$9*'Traffic Data'!AV85*annualizationFactor</f>
        <v>2.4164298558713841E-3</v>
      </c>
      <c r="U716" s="775">
        <f>$F$22*$J$9*'Traffic Data'!AW85*annualizationFactor</f>
        <v>2.5315834365948532E-3</v>
      </c>
      <c r="V716" s="775">
        <f>$F$22*$J$9*'Traffic Data'!AX85*annualizationFactor</f>
        <v>2.6151248375392085E-3</v>
      </c>
      <c r="W716" s="775">
        <f>$F$22*$J$9*'Traffic Data'!AY85*annualizationFactor</f>
        <v>2.686602591532106E-3</v>
      </c>
      <c r="X716" s="775">
        <f>$F$22*$J$9*'Traffic Data'!AZ85*annualizationFactor</f>
        <v>2.7580803455250031E-3</v>
      </c>
      <c r="Y716" s="775">
        <f>$F$22*$J$9*'Traffic Data'!BA85*annualizationFactor</f>
        <v>2.8295580995179011E-3</v>
      </c>
      <c r="Z716" s="775">
        <f>$F$22*$J$9*'Traffic Data'!BB85*annualizationFactor</f>
        <v>2.9011133501721568E-3</v>
      </c>
      <c r="AA716" s="775">
        <f>$F$22*$J$9*'Traffic Data'!BC85*annualizationFactor</f>
        <v>2.9725911041650543E-3</v>
      </c>
      <c r="AB716" s="775">
        <f>$F$22*$J$9*'Traffic Data'!BD85*annualizationFactor</f>
        <v>3.0442432256460087E-3</v>
      </c>
      <c r="AC716" s="775">
        <f>$F$22*$J$9*'Traffic Data'!BE85*annualizationFactor</f>
        <v>3.1157209796389058E-3</v>
      </c>
      <c r="AD716" s="775">
        <f>$F$22*$J$9*'Traffic Data'!BF85*annualizationFactor</f>
        <v>3.1871987336318038E-3</v>
      </c>
      <c r="AE716" s="775">
        <f>$F$22*$J$9*'Traffic Data'!BG85*annualizationFactor</f>
        <v>3.258753984286059E-3</v>
      </c>
      <c r="AF716" s="775">
        <f>$F$22*$J$9*'Traffic Data'!BH85*annualizationFactor</f>
        <v>3.3302317382789578E-3</v>
      </c>
      <c r="AG716" s="775">
        <f>$F$22*$J$9*'Traffic Data'!BI85*annualizationFactor</f>
        <v>3.4017094922718549E-3</v>
      </c>
      <c r="AH716" s="776">
        <f>$F$22*$J$9*'Traffic Data'!BJ85*annualizationFactor</f>
        <v>3.4733616137528085E-3</v>
      </c>
      <c r="AI716" s="24"/>
      <c r="AJ716" s="24"/>
      <c r="AK716" s="24"/>
      <c r="AL716" s="24"/>
      <c r="AM716" s="24"/>
    </row>
    <row r="717" spans="2:39" ht="21.95" customHeight="1" x14ac:dyDescent="0.2">
      <c r="B717" s="782" t="s">
        <v>340</v>
      </c>
      <c r="C717" s="277" t="s">
        <v>335</v>
      </c>
      <c r="D717" s="277" t="s">
        <v>323</v>
      </c>
      <c r="E717" s="277" t="s">
        <v>467</v>
      </c>
      <c r="F717" s="277" t="s">
        <v>438</v>
      </c>
      <c r="G717" s="780"/>
      <c r="H717" s="780"/>
      <c r="I717" s="775">
        <f>$F$22*$K$9*'Traffic Data'!AK86*annualizationFactor</f>
        <v>0</v>
      </c>
      <c r="J717" s="775">
        <f>$F$22*$K$9*'Traffic Data'!AL86*annualizationFactor</f>
        <v>1.9496057255028586E-3</v>
      </c>
      <c r="K717" s="775">
        <f>$F$22*$K$9*'Traffic Data'!AM86*annualizationFactor</f>
        <v>2.0990597160268627E-3</v>
      </c>
      <c r="L717" s="775">
        <f>$F$22*$K$9*'Traffic Data'!AN86*annualizationFactor</f>
        <v>2.2976752636167941E-3</v>
      </c>
      <c r="M717" s="775">
        <f>$F$22*$K$9*'Traffic Data'!AO86*annualizationFactor</f>
        <v>2.4963520335691994E-3</v>
      </c>
      <c r="N717" s="775">
        <f>$F$22*$K$9*'Traffic Data'!AP86*annualizationFactor</f>
        <v>2.6954573600589172E-3</v>
      </c>
      <c r="O717" s="775">
        <f>$F$22*$K$9*'Traffic Data'!AQ86*annualizationFactor</f>
        <v>2.8940729076488481E-3</v>
      </c>
      <c r="P717" s="775">
        <f>$F$22*$K$9*'Traffic Data'!AR86*annualizationFactor</f>
        <v>3.0929027335074369E-3</v>
      </c>
      <c r="Q717" s="775">
        <f>$F$22*$K$9*'Traffic Data'!AS86*annualizationFactor</f>
        <v>3.2742025562445503E-3</v>
      </c>
      <c r="R717" s="775">
        <f>$F$22*$K$9*'Traffic Data'!AT86*annualizationFactor</f>
        <v>3.4553493230754808E-3</v>
      </c>
      <c r="S717" s="775">
        <f>$F$22*$K$9*'Traffic Data'!AU86*annualizationFactor</f>
        <v>3.6366593495396728E-3</v>
      </c>
      <c r="T717" s="775">
        <f>$F$22*$K$9*'Traffic Data'!AV86*annualizationFactor</f>
        <v>3.8179591722767863E-3</v>
      </c>
      <c r="U717" s="775">
        <f>$F$22*$K$9*'Traffic Data'!AW86*annualizationFactor</f>
        <v>3.9999018298198675E-3</v>
      </c>
      <c r="V717" s="775">
        <f>$F$22*$K$9*'Traffic Data'!AX86*annualizationFactor</f>
        <v>4.1318972433119494E-3</v>
      </c>
      <c r="W717" s="775">
        <f>$F$22*$K$9*'Traffic Data'!AY86*annualizationFactor</f>
        <v>4.2448320946207275E-3</v>
      </c>
      <c r="X717" s="775">
        <f>$F$22*$K$9*'Traffic Data'!AZ86*annualizationFactor</f>
        <v>4.3577669459295048E-3</v>
      </c>
      <c r="Y717" s="775">
        <f>$F$22*$K$9*'Traffic Data'!BA86*annualizationFactor</f>
        <v>4.4707017972382837E-3</v>
      </c>
      <c r="Z717" s="775">
        <f>$F$22*$K$9*'Traffic Data'!BB86*annualizationFactor</f>
        <v>4.5837590932720079E-3</v>
      </c>
      <c r="AA717" s="775">
        <f>$F$22*$K$9*'Traffic Data'!BC86*annualizationFactor</f>
        <v>4.6966939445807852E-3</v>
      </c>
      <c r="AB717" s="775">
        <f>$F$22*$K$9*'Traffic Data'!BD86*annualizationFactor</f>
        <v>4.8099042965206937E-3</v>
      </c>
      <c r="AC717" s="775">
        <f>$F$22*$K$9*'Traffic Data'!BE86*annualizationFactor</f>
        <v>4.9228391478294718E-3</v>
      </c>
      <c r="AD717" s="775">
        <f>$F$22*$K$9*'Traffic Data'!BF86*annualizationFactor</f>
        <v>5.0357739991382499E-3</v>
      </c>
      <c r="AE717" s="775">
        <f>$F$22*$K$9*'Traffic Data'!BG86*annualizationFactor</f>
        <v>5.1488312951719741E-3</v>
      </c>
      <c r="AF717" s="775">
        <f>$F$22*$K$9*'Traffic Data'!BH86*annualizationFactor</f>
        <v>5.2617661464807531E-3</v>
      </c>
      <c r="AG717" s="775">
        <f>$F$22*$K$9*'Traffic Data'!BI86*annualizationFactor</f>
        <v>5.3747009977895303E-3</v>
      </c>
      <c r="AH717" s="776">
        <f>$F$22*$K$9*'Traffic Data'!BJ86*annualizationFactor</f>
        <v>5.4879113497294379E-3</v>
      </c>
      <c r="AI717" s="24"/>
      <c r="AJ717" s="24"/>
      <c r="AK717" s="24"/>
      <c r="AL717" s="24"/>
      <c r="AM717" s="24"/>
    </row>
    <row r="718" spans="2:39" ht="21.95" customHeight="1" x14ac:dyDescent="0.2">
      <c r="B718" s="782" t="s">
        <v>357</v>
      </c>
      <c r="C718" s="277" t="s">
        <v>338</v>
      </c>
      <c r="D718" s="277" t="s">
        <v>323</v>
      </c>
      <c r="E718" s="116" t="s">
        <v>467</v>
      </c>
      <c r="F718" s="277" t="s">
        <v>438</v>
      </c>
      <c r="G718" s="970"/>
      <c r="H718" s="970"/>
      <c r="I718" s="775">
        <f>$F$22*$L$9*'Traffic Data'!AK87*annualizationFactor</f>
        <v>2.1558162159700366E-3</v>
      </c>
      <c r="J718" s="775">
        <f>$F$22*$L$9*'Traffic Data'!AL87*annualizationFactor</f>
        <v>2.1854167702909807E-3</v>
      </c>
      <c r="K718" s="775">
        <f>$F$22*$L$9*'Traffic Data'!AM87*annualizationFactor</f>
        <v>2.2365814751500027E-3</v>
      </c>
      <c r="L718" s="775">
        <f>$F$22*$L$9*'Traffic Data'!AN87*annualizationFactor</f>
        <v>2.3068251535203602E-3</v>
      </c>
      <c r="M718" s="775">
        <f>$F$22*$L$9*'Traffic Data'!AO87*annualizationFactor</f>
        <v>2.3770987737826055E-3</v>
      </c>
      <c r="N718" s="775">
        <f>$F$22*$L$9*'Traffic Data'!AP87*annualizationFactor</f>
        <v>2.4474741964772713E-3</v>
      </c>
      <c r="O718" s="775">
        <f>$F$22*$L$9*'Traffic Data'!AQ87*annualizationFactor</f>
        <v>2.5177178748476288E-3</v>
      </c>
      <c r="P718" s="775">
        <f>$F$22*$L$9*'Traffic Data'!AR87*annualizationFactor</f>
        <v>2.5882070767314714E-3</v>
      </c>
      <c r="Q718" s="775">
        <f>$F$22*$L$9*'Traffic Data'!AS87*annualizationFactor</f>
        <v>2.637090209428592E-3</v>
      </c>
      <c r="R718" s="775">
        <f>$F$22*$L$9*'Traffic Data'!AT87*annualizationFactor</f>
        <v>2.6859793305040896E-3</v>
      </c>
      <c r="S718" s="775">
        <f>$F$22*$L$9*'Traffic Data'!AU87*annualizationFactor</f>
        <v>2.7348744399579663E-3</v>
      </c>
      <c r="T718" s="775">
        <f>$F$22*$L$9*'Traffic Data'!AV87*annualizationFactor</f>
        <v>2.783757572655087E-3</v>
      </c>
      <c r="U718" s="775">
        <f>$F$22*$L$9*'Traffic Data'!AW87*annualizationFactor</f>
        <v>2.8329880312981132E-3</v>
      </c>
      <c r="V718" s="775">
        <f>$F$22*$L$9*'Traffic Data'!AX87*annualizationFactor</f>
        <v>2.8625885856190568E-3</v>
      </c>
      <c r="W718" s="775">
        <f>$F$22*$L$9*'Traffic Data'!AY87*annualizationFactor</f>
        <v>2.8921891399400009E-3</v>
      </c>
      <c r="X718" s="775">
        <f>$F$22*$L$9*'Traffic Data'!AZ87*annualizationFactor</f>
        <v>2.9217896942609458E-3</v>
      </c>
      <c r="Y718" s="775">
        <f>$F$22*$L$9*'Traffic Data'!BA87*annualizationFactor</f>
        <v>2.9513902485818894E-3</v>
      </c>
      <c r="Z718" s="775">
        <f>$F$22*$L$9*'Traffic Data'!BB87*annualizationFactor</f>
        <v>2.9811944077676759E-3</v>
      </c>
      <c r="AA718" s="775">
        <f>$F$22*$L$9*'Traffic Data'!BC87*annualizationFactor</f>
        <v>3.0107949620886199E-3</v>
      </c>
      <c r="AB718" s="775">
        <f>$F$22*$L$9*'Traffic Data'!BD87*annualizationFactor</f>
        <v>3.0405092955987406E-3</v>
      </c>
      <c r="AC718" s="775">
        <f>$F$22*$L$9*'Traffic Data'!BE87*annualizationFactor</f>
        <v>3.0701098499196842E-3</v>
      </c>
      <c r="AD718" s="775">
        <f>$F$22*$L$9*'Traffic Data'!BF87*annualizationFactor</f>
        <v>3.0997104042406287E-3</v>
      </c>
      <c r="AE718" s="775">
        <f>$F$22*$L$9*'Traffic Data'!BG87*annualizationFactor</f>
        <v>3.1295145634264144E-3</v>
      </c>
      <c r="AF718" s="775">
        <f>$F$22*$L$9*'Traffic Data'!BH87*annualizationFactor</f>
        <v>3.1591151177473588E-3</v>
      </c>
      <c r="AG718" s="775">
        <f>$F$22*$L$9*'Traffic Data'!BI87*annualizationFactor</f>
        <v>3.1887156720683033E-3</v>
      </c>
      <c r="AH718" s="776">
        <f>$F$22*$L$9*'Traffic Data'!BJ87*annualizationFactor</f>
        <v>3.2184300055784231E-3</v>
      </c>
      <c r="AI718" s="24"/>
      <c r="AJ718" s="24"/>
      <c r="AK718" s="24"/>
      <c r="AL718" s="24"/>
      <c r="AM718" s="24"/>
    </row>
    <row r="719" spans="2:39" ht="21.95" customHeight="1" x14ac:dyDescent="0.2">
      <c r="B719" s="492" t="s">
        <v>338</v>
      </c>
      <c r="C719" s="116" t="s">
        <v>282</v>
      </c>
      <c r="D719" s="116" t="s">
        <v>357</v>
      </c>
      <c r="E719" s="220" t="s">
        <v>467</v>
      </c>
      <c r="F719" s="116" t="s">
        <v>438</v>
      </c>
      <c r="G719" s="775"/>
      <c r="H719" s="775"/>
      <c r="I719" s="775">
        <f>$F$22*$M$9*'Traffic Data'!AK88*annualizationFactor</f>
        <v>7.7423274368477275E-3</v>
      </c>
      <c r="J719" s="775">
        <f>$F$22*$M$9*'Traffic Data'!AL88*annualizationFactor</f>
        <v>7.9655155098697396E-3</v>
      </c>
      <c r="K719" s="775">
        <f>$F$22*$M$9*'Traffic Data'!AM88*annualizationFactor</f>
        <v>8.2070916105542614E-3</v>
      </c>
      <c r="L719" s="775">
        <f>$F$22*$M$9*'Traffic Data'!AN88*annualizationFactor</f>
        <v>8.5275852548025739E-3</v>
      </c>
      <c r="M719" s="775">
        <f>$F$22*$M$9*'Traffic Data'!AO88*annualizationFactor</f>
        <v>8.8481330953429412E-3</v>
      </c>
      <c r="N719" s="775">
        <f>$F$22*$M$9*'Traffic Data'!AP88*annualizationFactor</f>
        <v>9.1688125554497367E-3</v>
      </c>
      <c r="O719" s="775">
        <f>$F$22*$M$9*'Traffic Data'!AQ88*annualizationFactor</f>
        <v>9.4893061996980509E-3</v>
      </c>
      <c r="P719" s="775">
        <f>$F$22*$M$9*'Traffic Data'!AR88*annualizationFactor</f>
        <v>9.8098850095481686E-3</v>
      </c>
      <c r="Q719" s="775">
        <f>$F$22*$M$9*'Traffic Data'!AS88*annualizationFactor</f>
        <v>1.0162640932225825E-2</v>
      </c>
      <c r="R719" s="775">
        <f>$F$22*$M$9*'Traffic Data'!AT88*annualizationFactor</f>
        <v>1.0515280719991926E-2</v>
      </c>
      <c r="S719" s="775">
        <f>$F$22*$M$9*'Traffic Data'!AU88*annualizationFactor</f>
        <v>1.0868036642669584E-2</v>
      </c>
      <c r="T719" s="775">
        <f>$F$22*$M$9*'Traffic Data'!AV88*annualizationFactor</f>
        <v>1.1220792565347238E-2</v>
      </c>
      <c r="U719" s="775">
        <f>$F$22*$M$9*'Traffic Data'!AW88*annualizationFactor</f>
        <v>1.1573749788538253E-2</v>
      </c>
      <c r="V719" s="775">
        <f>$F$22*$M$9*'Traffic Data'!AX88*annualizationFactor</f>
        <v>1.1847557198342374E-2</v>
      </c>
      <c r="W719" s="775">
        <f>$F$22*$M$9*'Traffic Data'!AY88*annualizationFactor</f>
        <v>1.2070745271364383E-2</v>
      </c>
      <c r="X719" s="775">
        <f>$F$22*$M$9*'Traffic Data'!AZ88*annualizationFactor</f>
        <v>1.2293933344386394E-2</v>
      </c>
      <c r="Y719" s="775">
        <f>$F$22*$M$9*'Traffic Data'!BA88*annualizationFactor</f>
        <v>1.2517121417408404E-2</v>
      </c>
      <c r="Z719" s="775">
        <f>$F$22*$M$9*'Traffic Data'!BB88*annualizationFactor</f>
        <v>1.27402862634481E-2</v>
      </c>
      <c r="AA719" s="775">
        <f>$F$22*$M$9*'Traffic Data'!BC88*annualizationFactor</f>
        <v>1.2963474336470108E-2</v>
      </c>
      <c r="AB719" s="775">
        <f>$F$22*$M$9*'Traffic Data'!BD88*annualizationFactor</f>
        <v>1.3186639182509804E-2</v>
      </c>
      <c r="AC719" s="775">
        <f>$F$22*$M$9*'Traffic Data'!BE88*annualizationFactor</f>
        <v>1.3409827255531822E-2</v>
      </c>
      <c r="AD719" s="775">
        <f>$F$22*$M$9*'Traffic Data'!BF88*annualizationFactor</f>
        <v>1.3633015328553832E-2</v>
      </c>
      <c r="AE719" s="775">
        <f>$F$22*$M$9*'Traffic Data'!BG88*annualizationFactor</f>
        <v>1.3856180174593528E-2</v>
      </c>
      <c r="AF719" s="775">
        <f>$F$22*$M$9*'Traffic Data'!BH88*annualizationFactor</f>
        <v>1.4079368247615538E-2</v>
      </c>
      <c r="AG719" s="775">
        <f>$F$22*$M$9*'Traffic Data'!BI88*annualizationFactor</f>
        <v>1.4302556320637547E-2</v>
      </c>
      <c r="AH719" s="776">
        <f>$F$22*$M$9*'Traffic Data'!BJ88*annualizationFactor</f>
        <v>1.4525721166677249E-2</v>
      </c>
      <c r="AI719" s="24"/>
      <c r="AJ719" s="24"/>
      <c r="AK719" s="24"/>
      <c r="AL719" s="24"/>
      <c r="AM719" s="24"/>
    </row>
    <row r="720" spans="2:39" ht="21.95" customHeight="1" x14ac:dyDescent="0.2">
      <c r="B720" s="492"/>
      <c r="C720" s="116" t="s">
        <v>357</v>
      </c>
      <c r="D720" s="116" t="s">
        <v>346</v>
      </c>
      <c r="E720" s="116" t="s">
        <v>467</v>
      </c>
      <c r="F720" s="116" t="s">
        <v>438</v>
      </c>
      <c r="G720" s="970"/>
      <c r="H720" s="970"/>
      <c r="I720" s="777">
        <f>$F$22*$M$9*'Traffic Data'!AK89*annualizationFactor</f>
        <v>1.1275666378327304E-3</v>
      </c>
      <c r="J720" s="777">
        <f>$F$22*$M$9*'Traffic Data'!AL89*annualizationFactor</f>
        <v>1.1595687593827988E-3</v>
      </c>
      <c r="K720" s="777">
        <f>$F$22*$M$9*'Traffic Data'!AM89*annualizationFactor</f>
        <v>1.1950826575535909E-3</v>
      </c>
      <c r="L720" s="777">
        <f>$F$22*$M$9*'Traffic Data'!AN89*annualizationFactor</f>
        <v>1.2449300047876752E-3</v>
      </c>
      <c r="M720" s="777">
        <f>$F$22*$M$9*'Traffic Data'!AO89*annualizationFactor</f>
        <v>1.2947862538636374E-3</v>
      </c>
      <c r="N720" s="777">
        <f>$F$22*$M$9*'Traffic Data'!AP89*annualizationFactor</f>
        <v>1.3446528884217895E-3</v>
      </c>
      <c r="O720" s="777">
        <f>$F$22*$M$9*'Traffic Data'!AQ89*annualizationFactor</f>
        <v>1.3945002356558743E-3</v>
      </c>
      <c r="P720" s="777">
        <f>$F$22*$M$9*'Traffic Data'!AR89*annualizationFactor</f>
        <v>1.4443505501705843E-3</v>
      </c>
      <c r="Q720" s="777">
        <f>$F$22*$M$9*'Traffic Data'!AS89*annualizationFactor</f>
        <v>1.5003802265886807E-3</v>
      </c>
      <c r="R720" s="777">
        <f>$F$22*$M$9*'Traffic Data'!AT89*annualizationFactor</f>
        <v>1.5563906156827083E-3</v>
      </c>
      <c r="S720" s="777">
        <f>$F$22*$M$9*'Traffic Data'!AU89*annualizationFactor</f>
        <v>1.6124202921008041E-3</v>
      </c>
      <c r="T720" s="777">
        <f>$F$22*$M$9*'Traffic Data'!AV89*annualizationFactor</f>
        <v>1.6684499685189003E-3</v>
      </c>
      <c r="U720" s="777">
        <f>$F$22*$M$9*'Traffic Data'!AW89*annualizationFactor</f>
        <v>1.7244885467788745E-3</v>
      </c>
      <c r="V720" s="777">
        <f>$F$22*$M$9*'Traffic Data'!AX89*annualizationFactor</f>
        <v>1.7661907086949299E-3</v>
      </c>
      <c r="W720" s="777">
        <f>$F$22*$M$9*'Traffic Data'!AY89*annualizationFactor</f>
        <v>1.7981928302449985E-3</v>
      </c>
      <c r="X720" s="777">
        <f>$F$22*$M$9*'Traffic Data'!AZ89*annualizationFactor</f>
        <v>1.8301949517950673E-3</v>
      </c>
      <c r="Y720" s="777">
        <f>$F$22*$M$9*'Traffic Data'!BA89*annualizationFactor</f>
        <v>1.8621970733451354E-3</v>
      </c>
      <c r="Z720" s="777">
        <f>$F$22*$M$9*'Traffic Data'!BB89*annualizationFactor</f>
        <v>1.894182874851761E-3</v>
      </c>
      <c r="AA720" s="777">
        <f>$F$22*$M$9*'Traffic Data'!BC89*annualizationFactor</f>
        <v>1.9261849964018298E-3</v>
      </c>
      <c r="AB720" s="777">
        <f>$F$22*$M$9*'Traffic Data'!BD89*annualizationFactor</f>
        <v>1.9581707979084558E-3</v>
      </c>
      <c r="AC720" s="777">
        <f>$F$22*$M$9*'Traffic Data'!BE89*annualizationFactor</f>
        <v>1.9901729194585246E-3</v>
      </c>
      <c r="AD720" s="777">
        <f>$F$22*$M$9*'Traffic Data'!BF89*annualizationFactor</f>
        <v>2.0221750410085925E-3</v>
      </c>
      <c r="AE720" s="777">
        <f>$F$22*$M$9*'Traffic Data'!BG89*annualizationFactor</f>
        <v>2.0541608425152184E-3</v>
      </c>
      <c r="AF720" s="777">
        <f>$F$22*$M$9*'Traffic Data'!BH89*annualizationFactor</f>
        <v>2.0861629640652871E-3</v>
      </c>
      <c r="AG720" s="777">
        <f>$F$22*$M$9*'Traffic Data'!BI89*annualizationFactor</f>
        <v>2.1181650856153555E-3</v>
      </c>
      <c r="AH720" s="778">
        <f>$F$22*$M$9*'Traffic Data'!BJ89*annualizationFactor</f>
        <v>2.1501508871219818E-3</v>
      </c>
      <c r="AI720" s="24"/>
      <c r="AJ720" s="24"/>
      <c r="AK720" s="24"/>
      <c r="AL720" s="24"/>
      <c r="AM720" s="24"/>
    </row>
    <row r="721" spans="2:39" ht="21.95" customHeight="1" x14ac:dyDescent="0.2">
      <c r="B721" s="492"/>
      <c r="C721" s="116" t="s">
        <v>346</v>
      </c>
      <c r="D721" s="116" t="s">
        <v>343</v>
      </c>
      <c r="E721" s="116" t="s">
        <v>467</v>
      </c>
      <c r="F721" s="116" t="s">
        <v>438</v>
      </c>
      <c r="G721" s="970"/>
      <c r="H721" s="970"/>
      <c r="I721" s="777">
        <f>$F$22*$M$9*'Traffic Data'!AK90*annualizationFactor</f>
        <v>2.7887056170636362E-4</v>
      </c>
      <c r="J721" s="777">
        <f>$F$22*$M$9*'Traffic Data'!AL90*annualizationFactor</f>
        <v>2.8678534856952981E-4</v>
      </c>
      <c r="K721" s="777">
        <f>$F$22*$M$9*'Traffic Data'!AM90*annualizationFactor</f>
        <v>2.9556867045843141E-4</v>
      </c>
      <c r="L721" s="777">
        <f>$F$22*$M$9*'Traffic Data'!AN90*annualizationFactor</f>
        <v>3.0789695089555034E-4</v>
      </c>
      <c r="M721" s="777">
        <f>$F$22*$M$9*'Traffic Data'!AO90*annualizationFactor</f>
        <v>3.2022743294236698E-4</v>
      </c>
      <c r="N721" s="777">
        <f>$F$22*$M$9*'Traffic Data'!AP90*annualizationFactor</f>
        <v>3.325604835338309E-4</v>
      </c>
      <c r="O721" s="777">
        <f>$F$22*$M$9*'Traffic Data'!AQ90*annualizationFactor</f>
        <v>3.4488876397094988E-4</v>
      </c>
      <c r="P721" s="777">
        <f>$F$22*$M$9*'Traffic Data'!AR90*annualizationFactor</f>
        <v>3.5721777827796817E-4</v>
      </c>
      <c r="Q721" s="777">
        <f>$F$22*$M$9*'Traffic Data'!AS90*annualizationFactor</f>
        <v>3.7107507665012712E-4</v>
      </c>
      <c r="R721" s="777">
        <f>$F$22*$M$9*'Traffic Data'!AT90*annualizationFactor</f>
        <v>3.8492760486794102E-4</v>
      </c>
      <c r="S721" s="777">
        <f>$F$22*$M$9*'Traffic Data'!AU90*annualizationFactor</f>
        <v>3.9878490324009997E-4</v>
      </c>
      <c r="T721" s="777">
        <f>$F$22*$M$9*'Traffic Data'!AV90*annualizationFactor</f>
        <v>4.1264220161225896E-4</v>
      </c>
      <c r="U721" s="777">
        <f>$F$22*$M$9*'Traffic Data'!AW90*annualizationFactor</f>
        <v>4.2650170159411562E-4</v>
      </c>
      <c r="V721" s="777">
        <f>$F$22*$M$9*'Traffic Data'!AX90*annualizationFactor</f>
        <v>4.368155091578557E-4</v>
      </c>
      <c r="W721" s="777">
        <f>$F$22*$M$9*'Traffic Data'!AY90*annualizationFactor</f>
        <v>4.4473029602102183E-4</v>
      </c>
      <c r="X721" s="777">
        <f>$F$22*$M$9*'Traffic Data'!AZ90*annualizationFactor</f>
        <v>4.5264508288418801E-4</v>
      </c>
      <c r="Y721" s="777">
        <f>$F$22*$M$9*'Traffic Data'!BA90*annualizationFactor</f>
        <v>4.6055986974735409E-4</v>
      </c>
      <c r="Z721" s="777">
        <f>$F$22*$M$9*'Traffic Data'!BB90*annualizationFactor</f>
        <v>4.6847062032607444E-4</v>
      </c>
      <c r="AA721" s="777">
        <f>$F$22*$M$9*'Traffic Data'!BC90*annualizationFactor</f>
        <v>4.7638540718924062E-4</v>
      </c>
      <c r="AB721" s="777">
        <f>$F$22*$M$9*'Traffic Data'!BD90*annualizationFactor</f>
        <v>4.8429615776796108E-4</v>
      </c>
      <c r="AC721" s="777">
        <f>$F$22*$M$9*'Traffic Data'!BE90*annualizationFactor</f>
        <v>4.922109446311272E-4</v>
      </c>
      <c r="AD721" s="777">
        <f>$F$22*$M$9*'Traffic Data'!BF90*annualizationFactor</f>
        <v>5.0012573149429333E-4</v>
      </c>
      <c r="AE721" s="777">
        <f>$F$22*$M$9*'Traffic Data'!BG90*annualizationFactor</f>
        <v>5.0803648207301357E-4</v>
      </c>
      <c r="AF721" s="777">
        <f>$F$22*$M$9*'Traffic Data'!BH90*annualizationFactor</f>
        <v>5.1595126893617981E-4</v>
      </c>
      <c r="AG721" s="777">
        <f>$F$22*$M$9*'Traffic Data'!BI90*annualizationFactor</f>
        <v>5.2386605579934594E-4</v>
      </c>
      <c r="AH721" s="778">
        <f>$F$22*$M$9*'Traffic Data'!BJ90*annualizationFactor</f>
        <v>5.3177680637806629E-4</v>
      </c>
      <c r="AI721" s="24"/>
      <c r="AJ721" s="24"/>
      <c r="AK721" s="24"/>
      <c r="AL721" s="24"/>
      <c r="AM721" s="24"/>
    </row>
    <row r="722" spans="2:39" ht="21.95" customHeight="1" x14ac:dyDescent="0.2">
      <c r="B722" s="492"/>
      <c r="C722" s="116" t="s">
        <v>343</v>
      </c>
      <c r="D722" s="116" t="s">
        <v>350</v>
      </c>
      <c r="E722" s="116" t="s">
        <v>467</v>
      </c>
      <c r="F722" s="116" t="s">
        <v>438</v>
      </c>
      <c r="G722" s="970"/>
      <c r="H722" s="970"/>
      <c r="I722" s="777">
        <f>$F$22*$M$9*'Traffic Data'!AK91*annualizationFactor</f>
        <v>7.1552315174659101E-4</v>
      </c>
      <c r="J722" s="777">
        <f>$F$22*$M$9*'Traffic Data'!AL91*annualizationFactor</f>
        <v>7.3581300325295182E-4</v>
      </c>
      <c r="K722" s="777">
        <f>$F$22*$M$9*'Traffic Data'!AM91*annualizationFactor</f>
        <v>7.5893274882447034E-4</v>
      </c>
      <c r="L722" s="777">
        <f>$F$22*$M$9*'Traffic Data'!AN91*annualizationFactor</f>
        <v>7.8847431468291476E-4</v>
      </c>
      <c r="M722" s="777">
        <f>$F$22*$M$9*'Traffic Data'!AO91*annualizationFactor</f>
        <v>8.1802542085004893E-4</v>
      </c>
      <c r="N722" s="777">
        <f>$F$22*$M$9*'Traffic Data'!AP91*annualizationFactor</f>
        <v>8.4757175686283844E-4</v>
      </c>
      <c r="O722" s="777">
        <f>$F$22*$M$9*'Traffic Data'!AQ91*annualizationFactor</f>
        <v>8.7711332272128253E-4</v>
      </c>
      <c r="P722" s="777">
        <f>$F$22*$M$9*'Traffic Data'!AR91*annualizationFactor</f>
        <v>9.0666085127265794E-4</v>
      </c>
      <c r="Q722" s="777">
        <f>$F$22*$M$9*'Traffic Data'!AS91*annualizationFactor</f>
        <v>9.4005670184184374E-4</v>
      </c>
      <c r="R722" s="777">
        <f>$F$22*$M$9*'Traffic Data'!AT91*annualizationFactor</f>
        <v>9.7345135987244333E-4</v>
      </c>
      <c r="S722" s="777">
        <f>$F$22*$M$9*'Traffic Data'!AU91*annualizationFactor</f>
        <v>1.0068424402872843E-3</v>
      </c>
      <c r="T722" s="777">
        <f>$F$22*$M$9*'Traffic Data'!AV91*annualizationFactor</f>
        <v>1.0402382908564702E-3</v>
      </c>
      <c r="U722" s="777">
        <f>$F$22*$M$9*'Traffic Data'!AW91*annualizationFactor</f>
        <v>1.0736401041185873E-3</v>
      </c>
      <c r="V722" s="777">
        <f>$F$22*$M$9*'Traffic Data'!AX91*annualizationFactor</f>
        <v>1.1006129418622613E-3</v>
      </c>
      <c r="W722" s="777">
        <f>$F$22*$M$9*'Traffic Data'!AY91*annualizationFactor</f>
        <v>1.1209027933686223E-3</v>
      </c>
      <c r="X722" s="777">
        <f>$F$22*$M$9*'Traffic Data'!AZ91*annualizationFactor</f>
        <v>1.1411926448749833E-3</v>
      </c>
      <c r="Y722" s="777">
        <f>$F$22*$M$9*'Traffic Data'!BA91*annualizationFactor</f>
        <v>1.1614824963813439E-3</v>
      </c>
      <c r="Z722" s="777">
        <f>$F$22*$M$9*'Traffic Data'!BB91*annualizationFactor</f>
        <v>1.1817663851947735E-3</v>
      </c>
      <c r="AA722" s="777">
        <f>$F$22*$M$9*'Traffic Data'!BC91*annualizationFactor</f>
        <v>1.2020562367011341E-3</v>
      </c>
      <c r="AB722" s="777">
        <f>$F$22*$M$9*'Traffic Data'!BD91*annualizationFactor</f>
        <v>1.2223401255145635E-3</v>
      </c>
      <c r="AC722" s="777">
        <f>$F$22*$M$9*'Traffic Data'!BE91*annualizationFactor</f>
        <v>1.2426299770209243E-3</v>
      </c>
      <c r="AD722" s="777">
        <f>$F$22*$M$9*'Traffic Data'!BF91*annualizationFactor</f>
        <v>1.2629198285272853E-3</v>
      </c>
      <c r="AE722" s="777">
        <f>$F$22*$M$9*'Traffic Data'!BG91*annualizationFactor</f>
        <v>1.2832037173407147E-3</v>
      </c>
      <c r="AF722" s="777">
        <f>$F$22*$M$9*'Traffic Data'!BH91*annualizationFactor</f>
        <v>1.3034935688470757E-3</v>
      </c>
      <c r="AG722" s="777">
        <f>$F$22*$M$9*'Traffic Data'!BI91*annualizationFactor</f>
        <v>1.3237834203534366E-3</v>
      </c>
      <c r="AH722" s="778">
        <f>$F$22*$M$9*'Traffic Data'!BJ91*annualizationFactor</f>
        <v>1.3440673091668659E-3</v>
      </c>
      <c r="AI722" s="24"/>
      <c r="AJ722" s="24"/>
      <c r="AK722" s="24"/>
      <c r="AL722" s="24"/>
      <c r="AM722" s="24"/>
    </row>
    <row r="723" spans="2:39" ht="21.95" customHeight="1" x14ac:dyDescent="0.2">
      <c r="B723" s="492"/>
      <c r="C723" s="116" t="s">
        <v>350</v>
      </c>
      <c r="D723" s="116" t="s">
        <v>280</v>
      </c>
      <c r="E723" s="116" t="s">
        <v>467</v>
      </c>
      <c r="F723" s="116" t="s">
        <v>438</v>
      </c>
      <c r="G723" s="970"/>
      <c r="H723" s="970"/>
      <c r="I723" s="777">
        <f>$F$22*$M$9*'Traffic Data'!AK92*annualizationFactor</f>
        <v>5.9406768342447737E-3</v>
      </c>
      <c r="J723" s="777">
        <f>$F$22*$M$9*'Traffic Data'!AL92*annualizationFactor</f>
        <v>6.1091346270078419E-3</v>
      </c>
      <c r="K723" s="777">
        <f>$F$22*$M$9*'Traffic Data'!AM92*annualizationFactor</f>
        <v>6.3010877966503467E-3</v>
      </c>
      <c r="L723" s="777">
        <f>$F$22*$M$9*'Traffic Data'!AN92*annualizationFactor</f>
        <v>6.5463585408801995E-3</v>
      </c>
      <c r="M723" s="777">
        <f>$F$22*$M$9*'Traffic Data'!AO92*annualizationFactor</f>
        <v>6.7917084941345081E-3</v>
      </c>
      <c r="N723" s="777">
        <f>$F$22*$M$9*'Traffic Data'!AP92*annualizationFactor</f>
        <v>7.0370188428765931E-3</v>
      </c>
      <c r="O723" s="777">
        <f>$F$22*$M$9*'Traffic Data'!AQ92*annualizationFactor</f>
        <v>7.2822895871064433E-3</v>
      </c>
      <c r="P723" s="777">
        <f>$F$22*$M$9*'Traffic Data'!AR92*annualizationFactor</f>
        <v>7.5276098369765811E-3</v>
      </c>
      <c r="Q723" s="777">
        <f>$F$22*$M$9*'Traffic Data'!AS92*annualizationFactor</f>
        <v>7.8048810270868975E-3</v>
      </c>
      <c r="R723" s="777">
        <f>$F$22*$M$9*'Traffic Data'!AT92*annualizationFactor</f>
        <v>8.0821423160691592E-3</v>
      </c>
      <c r="S723" s="777">
        <f>$F$22*$M$9*'Traffic Data'!AU92*annualizationFactor</f>
        <v>8.3593739016672476E-3</v>
      </c>
      <c r="T723" s="777">
        <f>$F$22*$M$9*'Traffic Data'!AV92*annualizationFactor</f>
        <v>8.6366450917775665E-3</v>
      </c>
      <c r="U723" s="777">
        <f>$F$22*$M$9*'Traffic Data'!AW92*annualizationFactor</f>
        <v>8.9139657875281688E-3</v>
      </c>
      <c r="V723" s="777">
        <f>$F$22*$M$9*'Traffic Data'!AX92*annualizationFactor</f>
        <v>9.1379095019230826E-3</v>
      </c>
      <c r="W723" s="777">
        <f>$F$22*$M$9*'Traffic Data'!AY92*annualizationFactor</f>
        <v>9.3063672946861516E-3</v>
      </c>
      <c r="X723" s="777">
        <f>$F$22*$M$9*'Traffic Data'!AZ92*annualizationFactor</f>
        <v>9.4748250874492207E-3</v>
      </c>
      <c r="Y723" s="777">
        <f>$F$22*$M$9*'Traffic Data'!BA92*annualizationFactor</f>
        <v>9.643282880212288E-3</v>
      </c>
      <c r="Z723" s="777">
        <f>$F$22*$M$9*'Traffic Data'!BB92*annualizationFactor</f>
        <v>9.8116911673350703E-3</v>
      </c>
      <c r="AA723" s="777">
        <f>$F$22*$M$9*'Traffic Data'!BC92*annualizationFactor</f>
        <v>9.9801489600981324E-3</v>
      </c>
      <c r="AB723" s="777">
        <f>$F$22*$M$9*'Traffic Data'!BD92*annualizationFactor</f>
        <v>1.0148557247220916E-2</v>
      </c>
      <c r="AC723" s="777">
        <f>$F$22*$M$9*'Traffic Data'!BE92*annualizationFactor</f>
        <v>1.0317015039983984E-2</v>
      </c>
      <c r="AD723" s="777">
        <f>$F$22*$M$9*'Traffic Data'!BF92*annualizationFactor</f>
        <v>1.0485472832747053E-2</v>
      </c>
      <c r="AE723" s="777">
        <f>$F$22*$M$9*'Traffic Data'!BG92*annualizationFactor</f>
        <v>1.0653881119869832E-2</v>
      </c>
      <c r="AF723" s="777">
        <f>$F$22*$M$9*'Traffic Data'!BH92*annualizationFactor</f>
        <v>1.0822338912632902E-2</v>
      </c>
      <c r="AG723" s="777">
        <f>$F$22*$M$9*'Traffic Data'!BI92*annualizationFactor</f>
        <v>1.0990796705395966E-2</v>
      </c>
      <c r="AH723" s="778">
        <f>$F$22*$M$9*'Traffic Data'!BJ92*annualizationFactor</f>
        <v>1.115920499251875E-2</v>
      </c>
      <c r="AI723" s="24"/>
      <c r="AJ723" s="24"/>
      <c r="AK723" s="24"/>
      <c r="AL723" s="24"/>
      <c r="AM723" s="24"/>
    </row>
    <row r="724" spans="2:39" ht="21.95" customHeight="1" x14ac:dyDescent="0.2">
      <c r="B724" s="493"/>
      <c r="C724" s="254" t="s">
        <v>280</v>
      </c>
      <c r="D724" s="254" t="s">
        <v>333</v>
      </c>
      <c r="E724" s="254" t="s">
        <v>467</v>
      </c>
      <c r="F724" s="254" t="s">
        <v>438</v>
      </c>
      <c r="G724" s="779"/>
      <c r="H724" s="779"/>
      <c r="I724" s="779">
        <f>$F$22*$M$9*'Traffic Data'!AK93*annualizationFactor</f>
        <v>1.4677397984545458E-4</v>
      </c>
      <c r="J724" s="779">
        <f>$F$22*$M$9*'Traffic Data'!AL93*annualizationFactor</f>
        <v>1.5093600066727221E-4</v>
      </c>
      <c r="K724" s="779">
        <f>$F$22*$M$9*'Traffic Data'!AM93*annualizationFactor</f>
        <v>1.5567851257937851E-4</v>
      </c>
      <c r="L724" s="779">
        <f>$F$22*$M$9*'Traffic Data'!AN93*annualizationFactor</f>
        <v>1.6173832096059792E-4</v>
      </c>
      <c r="M724" s="779">
        <f>$F$22*$M$9*'Traffic Data'!AO93*annualizationFactor</f>
        <v>1.6780008632821512E-4</v>
      </c>
      <c r="N724" s="779">
        <f>$F$22*$M$9*'Traffic Data'!AP93*annualizationFactor</f>
        <v>1.7386087320263351E-4</v>
      </c>
      <c r="O724" s="779">
        <f>$F$22*$M$9*'Traffic Data'!AQ93*annualizationFactor</f>
        <v>1.7992068158385286E-4</v>
      </c>
      <c r="P724" s="779">
        <f>$F$22*$M$9*'Traffic Data'!AR93*annualizationFactor</f>
        <v>1.8598171308157089E-4</v>
      </c>
      <c r="Q724" s="779">
        <f>$F$22*$M$9*'Traffic Data'!AS93*annualizationFactor</f>
        <v>1.928321439675577E-4</v>
      </c>
      <c r="R724" s="779">
        <f>$F$22*$M$9*'Traffic Data'!AT93*annualizationFactor</f>
        <v>1.996823302302448E-4</v>
      </c>
      <c r="S724" s="779">
        <f>$F$22*$M$9*'Traffic Data'!AU93*annualizationFactor</f>
        <v>2.0653178262303268E-4</v>
      </c>
      <c r="T724" s="779">
        <f>$F$22*$M$9*'Traffic Data'!AV93*annualizationFactor</f>
        <v>2.1338221350901957E-4</v>
      </c>
      <c r="U724" s="779">
        <f>$F$22*$M$9*'Traffic Data'!AW93*annualizationFactor</f>
        <v>2.2023386751150506E-4</v>
      </c>
      <c r="V724" s="779">
        <f>$F$22*$M$9*'Traffic Data'!AX93*annualizationFactor</f>
        <v>2.2576675730507926E-4</v>
      </c>
      <c r="W724" s="779">
        <f>$F$22*$M$9*'Traffic Data'!AY93*annualizationFactor</f>
        <v>2.2992877812689691E-4</v>
      </c>
      <c r="X724" s="779">
        <f>$F$22*$M$9*'Traffic Data'!AZ93*annualizationFactor</f>
        <v>2.3409079894871454E-4</v>
      </c>
      <c r="Y724" s="779">
        <f>$F$22*$M$9*'Traffic Data'!BA93*annualizationFactor</f>
        <v>2.382528197705321E-4</v>
      </c>
      <c r="Z724" s="779">
        <f>$F$22*$M$9*'Traffic Data'!BB93*annualizationFactor</f>
        <v>2.4241361747585099E-4</v>
      </c>
      <c r="AA724" s="779">
        <f>$F$22*$M$9*'Traffic Data'!BC93*annualizationFactor</f>
        <v>2.4657563829766848E-4</v>
      </c>
      <c r="AB724" s="779">
        <f>$F$22*$M$9*'Traffic Data'!BD93*annualizationFactor</f>
        <v>2.507364360029874E-4</v>
      </c>
      <c r="AC724" s="779">
        <f>$F$22*$M$9*'Traffic Data'!BE93*annualizationFactor</f>
        <v>2.5489845682480497E-4</v>
      </c>
      <c r="AD724" s="779">
        <f>$F$22*$M$9*'Traffic Data'!BF93*annualizationFactor</f>
        <v>2.5906047764662259E-4</v>
      </c>
      <c r="AE724" s="779">
        <f>$F$22*$M$9*'Traffic Data'!BG93*annualizationFactor</f>
        <v>2.632212753519415E-4</v>
      </c>
      <c r="AF724" s="779">
        <f>$F$22*$M$9*'Traffic Data'!BH93*annualizationFactor</f>
        <v>2.6738329617375913E-4</v>
      </c>
      <c r="AG724" s="779">
        <f>$F$22*$M$9*'Traffic Data'!BI93*annualizationFactor</f>
        <v>2.715453169955767E-4</v>
      </c>
      <c r="AH724" s="783">
        <f>$F$22*$M$9*'Traffic Data'!BJ93*annualizationFactor</f>
        <v>2.7570611470089561E-4</v>
      </c>
      <c r="AI724" s="24"/>
      <c r="AJ724" s="24"/>
      <c r="AK724" s="24"/>
      <c r="AL724" s="24"/>
      <c r="AM724" s="24"/>
    </row>
    <row r="725" spans="2:39" ht="21.95" customHeight="1" x14ac:dyDescent="0.2">
      <c r="B725" s="784" t="s">
        <v>493</v>
      </c>
      <c r="C725" s="240"/>
      <c r="D725" s="240"/>
      <c r="E725" s="240"/>
      <c r="F725" s="240"/>
      <c r="G725" s="969">
        <f>SUM(G696:G724)</f>
        <v>0</v>
      </c>
      <c r="H725" s="969">
        <f>SUM(H696:H724)</f>
        <v>0</v>
      </c>
      <c r="I725" s="785">
        <f t="shared" ref="I725:AH725" si="67">SUM(I696:I724)</f>
        <v>0.17036184390205916</v>
      </c>
      <c r="J725" s="785">
        <f t="shared" si="67"/>
        <v>0.1778472607738599</v>
      </c>
      <c r="K725" s="785">
        <f t="shared" si="67"/>
        <v>0.18787726242413197</v>
      </c>
      <c r="L725" s="785">
        <f t="shared" si="67"/>
        <v>0.20359715262583813</v>
      </c>
      <c r="M725" s="785">
        <f t="shared" si="67"/>
        <v>0.21932438154671813</v>
      </c>
      <c r="N725" s="785">
        <f t="shared" si="67"/>
        <v>0.23505162736690946</v>
      </c>
      <c r="O725" s="785">
        <f t="shared" si="67"/>
        <v>0.25077151756861565</v>
      </c>
      <c r="P725" s="785">
        <f t="shared" si="67"/>
        <v>0.26650608007989718</v>
      </c>
      <c r="Q725" s="785">
        <f t="shared" si="67"/>
        <v>0.28085171536879683</v>
      </c>
      <c r="R725" s="785">
        <f t="shared" si="67"/>
        <v>0.29515904707737267</v>
      </c>
      <c r="S725" s="785">
        <f t="shared" si="67"/>
        <v>0.30946320306498876</v>
      </c>
      <c r="T725" s="785">
        <f t="shared" si="67"/>
        <v>0.32376728658148479</v>
      </c>
      <c r="U725" s="785">
        <f t="shared" si="67"/>
        <v>0.33808605130548397</v>
      </c>
      <c r="V725" s="785">
        <f t="shared" si="67"/>
        <v>0.34676000523271538</v>
      </c>
      <c r="W725" s="785">
        <f t="shared" si="67"/>
        <v>0.3523326670198843</v>
      </c>
      <c r="X725" s="785">
        <f t="shared" si="67"/>
        <v>0.35803960944209573</v>
      </c>
      <c r="Y725" s="785">
        <f t="shared" si="67"/>
        <v>0.36374655186430699</v>
      </c>
      <c r="Z725" s="785">
        <f t="shared" si="67"/>
        <v>0.36945738448679749</v>
      </c>
      <c r="AA725" s="785">
        <f t="shared" si="67"/>
        <v>0.37533549832935525</v>
      </c>
      <c r="AB725" s="785">
        <f t="shared" si="67"/>
        <v>0.38124046762585495</v>
      </c>
      <c r="AC725" s="785">
        <f t="shared" si="67"/>
        <v>0.38714172068504987</v>
      </c>
      <c r="AD725" s="785">
        <f t="shared" si="67"/>
        <v>0.39304297374424468</v>
      </c>
      <c r="AE725" s="785">
        <f t="shared" si="67"/>
        <v>0.39894816235042513</v>
      </c>
      <c r="AF725" s="785">
        <f t="shared" si="67"/>
        <v>0.40484941540961999</v>
      </c>
      <c r="AG725" s="785">
        <f t="shared" si="67"/>
        <v>0.41075066846881497</v>
      </c>
      <c r="AH725" s="786">
        <f t="shared" si="67"/>
        <v>0.41665563776531478</v>
      </c>
      <c r="AI725" s="24"/>
      <c r="AJ725" s="24"/>
      <c r="AK725" s="24"/>
      <c r="AL725" s="24"/>
      <c r="AM725" s="24"/>
    </row>
    <row r="726" spans="2:39" ht="21.95" customHeight="1" x14ac:dyDescent="0.2">
      <c r="B726" s="787" t="s">
        <v>328</v>
      </c>
      <c r="C726" s="1344" t="s">
        <v>18</v>
      </c>
      <c r="D726" s="1344"/>
      <c r="E726" s="46" t="s">
        <v>24</v>
      </c>
      <c r="F726" s="46" t="s">
        <v>42</v>
      </c>
      <c r="G726" s="123" cm="1">
        <f t="array" ref="G726:AH726">year</f>
        <v>2021</v>
      </c>
      <c r="H726" s="123">
        <v>2022</v>
      </c>
      <c r="I726" s="46">
        <v>2023</v>
      </c>
      <c r="J726" s="46">
        <v>2024</v>
      </c>
      <c r="K726" s="46">
        <v>2025</v>
      </c>
      <c r="L726" s="46">
        <v>2026</v>
      </c>
      <c r="M726" s="46">
        <v>2027</v>
      </c>
      <c r="N726" s="46">
        <v>2028</v>
      </c>
      <c r="O726" s="46">
        <v>2029</v>
      </c>
      <c r="P726" s="46">
        <v>2030</v>
      </c>
      <c r="Q726" s="46">
        <v>2031</v>
      </c>
      <c r="R726" s="46">
        <v>2032</v>
      </c>
      <c r="S726" s="46">
        <v>2033</v>
      </c>
      <c r="T726" s="46">
        <v>2034</v>
      </c>
      <c r="U726" s="46">
        <v>2035</v>
      </c>
      <c r="V726" s="46">
        <v>2036</v>
      </c>
      <c r="W726" s="46">
        <v>2037</v>
      </c>
      <c r="X726" s="46">
        <v>2038</v>
      </c>
      <c r="Y726" s="46">
        <v>2039</v>
      </c>
      <c r="Z726" s="46">
        <v>2040</v>
      </c>
      <c r="AA726" s="46">
        <v>2041</v>
      </c>
      <c r="AB726" s="46">
        <v>2042</v>
      </c>
      <c r="AC726" s="46">
        <v>2043</v>
      </c>
      <c r="AD726" s="46">
        <v>2044</v>
      </c>
      <c r="AE726" s="46">
        <v>2045</v>
      </c>
      <c r="AF726" s="46">
        <v>2046</v>
      </c>
      <c r="AG726" s="46">
        <v>2047</v>
      </c>
      <c r="AH726" s="495">
        <v>2048</v>
      </c>
      <c r="AI726" s="24"/>
      <c r="AJ726" s="24"/>
      <c r="AK726" s="24"/>
      <c r="AL726" s="24"/>
      <c r="AM726" s="24"/>
    </row>
    <row r="727" spans="2:39" ht="21.95" customHeight="1" x14ac:dyDescent="0.2">
      <c r="B727" s="1346" t="s">
        <v>331</v>
      </c>
      <c r="C727" s="220" t="s">
        <v>332</v>
      </c>
      <c r="D727" s="220" t="s">
        <v>282</v>
      </c>
      <c r="E727" s="220" t="s">
        <v>19</v>
      </c>
      <c r="F727" s="220" t="s">
        <v>41</v>
      </c>
      <c r="G727" s="775"/>
      <c r="H727" s="775"/>
      <c r="I727" s="775">
        <f>$G$21*$E$8*'Traffic Data'!AK65*annualizationFactor</f>
        <v>1.4524664E-2</v>
      </c>
      <c r="J727" s="775">
        <f>$G$21*$E$8*'Traffic Data'!AL65*annualizationFactor</f>
        <v>1.5185127705825001E-2</v>
      </c>
      <c r="K727" s="775">
        <f>$G$21*$E$8*'Traffic Data'!AM65*annualizationFactor</f>
        <v>1.6115659382900004E-2</v>
      </c>
      <c r="L727" s="775">
        <f>$G$21*$E$8*'Traffic Data'!AN65*annualizationFactor</f>
        <v>1.74844274066E-2</v>
      </c>
      <c r="M727" s="775">
        <f>$G$21*$E$8*'Traffic Data'!AO65*annualizationFactor</f>
        <v>1.8853694715625001E-2</v>
      </c>
      <c r="N727" s="775">
        <f>$G$21*$E$8*'Traffic Data'!AP65*annualizationFactor</f>
        <v>2.0222962024649998E-2</v>
      </c>
      <c r="O727" s="775">
        <f>$G$21*$E$8*'Traffic Data'!AQ65*annualizationFactor</f>
        <v>2.1591730048349998E-2</v>
      </c>
      <c r="P727" s="775">
        <f>$G$21*$E$8*'Traffic Data'!AR65*annualizationFactor</f>
        <v>2.2961496642699999E-2</v>
      </c>
      <c r="Q727" s="775">
        <f>$G$21*$E$8*'Traffic Data'!AS65*annualizationFactor</f>
        <v>2.4315059158775004E-2</v>
      </c>
      <c r="R727" s="775">
        <f>$G$21*$E$8*'Traffic Data'!AT65*annualizationFactor</f>
        <v>2.5668894012300002E-2</v>
      </c>
      <c r="S727" s="775">
        <f>$G$21*$E$8*'Traffic Data'!AU65*annualizationFactor</f>
        <v>2.7022456528375004E-2</v>
      </c>
      <c r="T727" s="775">
        <f>$G$21*$E$8*'Traffic Data'!AV65*annualizationFactor</f>
        <v>2.8376019044449998E-2</v>
      </c>
      <c r="U727" s="775">
        <f>$G$21*$E$8*'Traffic Data'!AW65*annualizationFactor</f>
        <v>2.9730580131175001E-2</v>
      </c>
      <c r="V727" s="775">
        <f>$G$21*$E$8*'Traffic Data'!AX65*annualizationFactor</f>
        <v>3.0645407015300004E-2</v>
      </c>
      <c r="W727" s="775">
        <f>$G$21*$E$8*'Traffic Data'!AY65*annualizationFactor</f>
        <v>3.1305870721125006E-2</v>
      </c>
      <c r="X727" s="775">
        <f>$G$21*$E$8*'Traffic Data'!AZ65*annualizationFactor</f>
        <v>3.1966334426949995E-2</v>
      </c>
      <c r="Y727" s="775">
        <f>$G$21*$E$8*'Traffic Data'!BA65*annualizationFactor</f>
        <v>3.2626798132774998E-2</v>
      </c>
      <c r="Z727" s="775">
        <f>$G$21*$E$8*'Traffic Data'!BB65*annualizationFactor</f>
        <v>3.3287488786475E-2</v>
      </c>
      <c r="AA727" s="775">
        <f>$G$21*$E$8*'Traffic Data'!BC65*annualizationFactor</f>
        <v>3.394795249230001E-2</v>
      </c>
      <c r="AB727" s="775">
        <f>$G$21*$E$8*'Traffic Data'!BD65*annualizationFactor</f>
        <v>3.4608643145999991E-2</v>
      </c>
      <c r="AC727" s="775">
        <f>$G$21*$E$8*'Traffic Data'!BE65*annualizationFactor</f>
        <v>3.5269106851825008E-2</v>
      </c>
      <c r="AD727" s="775">
        <f>$G$21*$E$8*'Traffic Data'!BF65*annualizationFactor</f>
        <v>3.5929570557649997E-2</v>
      </c>
      <c r="AE727" s="775">
        <f>$G$21*$E$8*'Traffic Data'!BG65*annualizationFactor</f>
        <v>3.6590261211349999E-2</v>
      </c>
      <c r="AF727" s="775">
        <f>$G$21*$E$8*'Traffic Data'!BH65*annualizationFactor</f>
        <v>3.7250724917174995E-2</v>
      </c>
      <c r="AG727" s="775">
        <f>$G$21*$E$8*'Traffic Data'!BI65*annualizationFactor</f>
        <v>3.7911188622999997E-2</v>
      </c>
      <c r="AH727" s="776">
        <f>$G$21*$E$8*'Traffic Data'!BJ65*annualizationFactor</f>
        <v>3.8571879276699993E-2</v>
      </c>
      <c r="AI727" s="24"/>
      <c r="AJ727" s="24"/>
      <c r="AK727" s="24"/>
      <c r="AL727" s="24"/>
      <c r="AM727" s="24"/>
    </row>
    <row r="728" spans="2:39" ht="21.95" customHeight="1" x14ac:dyDescent="0.2">
      <c r="B728" s="1346"/>
      <c r="C728" s="116" t="s">
        <v>282</v>
      </c>
      <c r="D728" s="116" t="s">
        <v>280</v>
      </c>
      <c r="E728" s="116" t="s">
        <v>19</v>
      </c>
      <c r="F728" s="116" t="s">
        <v>41</v>
      </c>
      <c r="G728" s="970"/>
      <c r="H728" s="970"/>
      <c r="I728" s="777">
        <f>$G$21*$E$8*'Traffic Data'!AK66*annualizationFactor</f>
        <v>0.46704569625000003</v>
      </c>
      <c r="J728" s="777">
        <f>$G$21*$E$8*'Traffic Data'!AL66*annualizationFactor</f>
        <v>0.49169878981649995</v>
      </c>
      <c r="K728" s="777">
        <f>$G$21*$E$8*'Traffic Data'!AM66*annualizationFactor</f>
        <v>0.52870610694825004</v>
      </c>
      <c r="L728" s="777">
        <f>$G$21*$E$8*'Traffic Data'!AN66*annualizationFactor</f>
        <v>0.589847577984</v>
      </c>
      <c r="M728" s="777">
        <f>$G$21*$E$8*'Traffic Data'!AO66*annualizationFactor</f>
        <v>0.65101672580175007</v>
      </c>
      <c r="N728" s="777">
        <f>$G$21*$E$8*'Traffic Data'!AP66*annualizationFactor</f>
        <v>0.71218241402174998</v>
      </c>
      <c r="O728" s="777">
        <f>$G$21*$E$8*'Traffic Data'!AQ66*annualizationFactor</f>
        <v>0.77332388505750016</v>
      </c>
      <c r="P728" s="777">
        <f>$G$21*$E$8*'Traffic Data'!AR66*annualizationFactor</f>
        <v>0.83452070965724989</v>
      </c>
      <c r="Q728" s="777">
        <f>$G$21*$E$8*'Traffic Data'!AS66*annualizationFactor</f>
        <v>0.89626069110374995</v>
      </c>
      <c r="R728" s="777">
        <f>$G$21*$E$8*'Traffic Data'!AT66*annualizationFactor</f>
        <v>0.95802143013674979</v>
      </c>
      <c r="S728" s="777">
        <f>$G$21*$E$8*'Traffic Data'!AU66*annualizationFactor</f>
        <v>1.0197614115832498</v>
      </c>
      <c r="T728" s="777">
        <f>$G$21*$E$8*'Traffic Data'!AV66*annualizationFactor</f>
        <v>1.0815013930297499</v>
      </c>
      <c r="U728" s="777">
        <f>$G$21*$E$8*'Traffic Data'!AW66*annualizationFactor</f>
        <v>1.14329672804025</v>
      </c>
      <c r="V728" s="777">
        <f>$G$21*$E$8*'Traffic Data'!AX66*annualizationFactor</f>
        <v>1.1808748788007501</v>
      </c>
      <c r="W728" s="777">
        <f>$G$21*$E$8*'Traffic Data'!AY66*annualizationFactor</f>
        <v>1.2055279723672498</v>
      </c>
      <c r="X728" s="777">
        <f>$G$21*$E$8*'Traffic Data'!AZ66*annualizationFactor</f>
        <v>1.23018106593375</v>
      </c>
      <c r="Y728" s="777">
        <f>$G$21*$E$8*'Traffic Data'!BA66*annualizationFactor</f>
        <v>1.2548341595002503</v>
      </c>
      <c r="Z728" s="777">
        <f>$G$21*$E$8*'Traffic Data'!BB66*annualizationFactor</f>
        <v>1.27950109145775</v>
      </c>
      <c r="AA728" s="777">
        <f>$G$21*$E$8*'Traffic Data'!BC66*annualizationFactor</f>
        <v>1.30415418502425</v>
      </c>
      <c r="AB728" s="777">
        <f>$G$21*$E$8*'Traffic Data'!BD66*annualizationFactor</f>
        <v>1.3288211169817501</v>
      </c>
      <c r="AC728" s="777">
        <f>$G$21*$E$8*'Traffic Data'!BE66*annualizationFactor</f>
        <v>1.3534742105482502</v>
      </c>
      <c r="AD728" s="777">
        <f>$G$21*$E$8*'Traffic Data'!BF66*annualizationFactor</f>
        <v>1.3781273041147502</v>
      </c>
      <c r="AE728" s="777">
        <f>$G$21*$E$8*'Traffic Data'!BG66*annualizationFactor</f>
        <v>1.4027942360722503</v>
      </c>
      <c r="AF728" s="777">
        <f>$G$21*$E$8*'Traffic Data'!BH66*annualizationFactor</f>
        <v>1.42744732963875</v>
      </c>
      <c r="AG728" s="777">
        <f>$G$21*$E$8*'Traffic Data'!BI66*annualizationFactor</f>
        <v>1.4521004232052499</v>
      </c>
      <c r="AH728" s="778">
        <f>$G$21*$E$8*'Traffic Data'!BJ66*annualizationFactor</f>
        <v>1.47676735516275</v>
      </c>
      <c r="AI728" s="24"/>
      <c r="AJ728" s="24"/>
      <c r="AK728" s="24"/>
      <c r="AL728" s="24"/>
      <c r="AM728" s="24"/>
    </row>
    <row r="729" spans="2:39" ht="21.95" customHeight="1" x14ac:dyDescent="0.2">
      <c r="B729" s="1346"/>
      <c r="C729" s="116" t="s">
        <v>280</v>
      </c>
      <c r="D729" s="116" t="s">
        <v>333</v>
      </c>
      <c r="E729" s="254" t="s">
        <v>19</v>
      </c>
      <c r="F729" s="254" t="s">
        <v>41</v>
      </c>
      <c r="G729" s="779"/>
      <c r="H729" s="779"/>
      <c r="I729" s="777">
        <f>$G$21*$E$8*'Traffic Data'!AK67*annualizationFactor</f>
        <v>1.0893498E-2</v>
      </c>
      <c r="J729" s="777">
        <f>$G$21*$E$8*'Traffic Data'!AL67*annualizationFactor</f>
        <v>1.134839232065E-2</v>
      </c>
      <c r="K729" s="777">
        <f>$G$21*$E$8*'Traffic Data'!AM67*annualizationFactor</f>
        <v>1.1911404608949999E-2</v>
      </c>
      <c r="L729" s="777">
        <f>$G$21*$E$8*'Traffic Data'!AN67*annualizationFactor</f>
        <v>1.2669410511449999E-2</v>
      </c>
      <c r="M729" s="777">
        <f>$G$21*$E$8*'Traffic Data'!AO67*annualizationFactor</f>
        <v>1.3427688751400003E-2</v>
      </c>
      <c r="N729" s="777">
        <f>$G$21*$E$8*'Traffic Data'!AP67*annualizationFactor</f>
        <v>1.4185876212200004E-2</v>
      </c>
      <c r="O729" s="777">
        <f>$G$21*$E$8*'Traffic Data'!AQ67*annualizationFactor</f>
        <v>1.4943882114700003E-2</v>
      </c>
      <c r="P729" s="777">
        <f>$G$21*$E$8*'Traffic Data'!AR67*annualizationFactor</f>
        <v>1.5702432692100005E-2</v>
      </c>
      <c r="Q729" s="777">
        <f>$G$21*$E$8*'Traffic Data'!AS67*annualizationFactor</f>
        <v>1.6437380690500002E-2</v>
      </c>
      <c r="R729" s="777">
        <f>$G$21*$E$8*'Traffic Data'!AT67*annualizationFactor</f>
        <v>1.7172601026349994E-2</v>
      </c>
      <c r="S729" s="777">
        <f>$G$21*$E$8*'Traffic Data'!AU67*annualizationFactor</f>
        <v>1.7907549024749999E-2</v>
      </c>
      <c r="T729" s="777">
        <f>$G$21*$E$8*'Traffic Data'!AV67*annualizationFactor</f>
        <v>1.864249702315E-2</v>
      </c>
      <c r="U729" s="777">
        <f>$G$21*$E$8*'Traffic Data'!AW67*annualizationFactor</f>
        <v>1.937798969645E-2</v>
      </c>
      <c r="V729" s="777">
        <f>$G$21*$E$8*'Traffic Data'!AX67*annualizationFactor</f>
        <v>1.9917671743199996E-2</v>
      </c>
      <c r="W729" s="777">
        <f>$G$21*$E$8*'Traffic Data'!AY67*annualizationFactor</f>
        <v>2.037256606385E-2</v>
      </c>
      <c r="X729" s="777">
        <f>$G$21*$E$8*'Traffic Data'!AZ67*annualizationFactor</f>
        <v>2.0827460384499993E-2</v>
      </c>
      <c r="Y729" s="777">
        <f>$G$21*$E$8*'Traffic Data'!BA67*annualizationFactor</f>
        <v>2.1282354705149997E-2</v>
      </c>
      <c r="Z729" s="777">
        <f>$G$21*$E$8*'Traffic Data'!BB67*annualizationFactor</f>
        <v>2.1737430584100003E-2</v>
      </c>
      <c r="AA729" s="777">
        <f>$G$21*$E$8*'Traffic Data'!BC67*annualizationFactor</f>
        <v>2.219232490475E-2</v>
      </c>
      <c r="AB729" s="777">
        <f>$G$21*$E$8*'Traffic Data'!BD67*annualizationFactor</f>
        <v>2.2647400783700002E-2</v>
      </c>
      <c r="AC729" s="777">
        <f>$G$21*$E$8*'Traffic Data'!BE67*annualizationFactor</f>
        <v>2.3102295104350006E-2</v>
      </c>
      <c r="AD729" s="777">
        <f>$G$21*$E$8*'Traffic Data'!BF67*annualizationFactor</f>
        <v>2.3557189424999996E-2</v>
      </c>
      <c r="AE729" s="777">
        <f>$G$21*$E$8*'Traffic Data'!BG67*annualizationFactor</f>
        <v>2.4012265303950002E-2</v>
      </c>
      <c r="AF729" s="777">
        <f>$G$21*$E$8*'Traffic Data'!BH67*annualizationFactor</f>
        <v>2.4467159624599999E-2</v>
      </c>
      <c r="AG729" s="777">
        <f>$G$21*$E$8*'Traffic Data'!BI67*annualizationFactor</f>
        <v>2.4922053945249992E-2</v>
      </c>
      <c r="AH729" s="778">
        <f>$G$21*$E$8*'Traffic Data'!BJ67*annualizationFactor</f>
        <v>2.5377129824199998E-2</v>
      </c>
      <c r="AI729" s="24"/>
      <c r="AJ729" s="24"/>
      <c r="AK729" s="24"/>
      <c r="AL729" s="24"/>
      <c r="AM729" s="24"/>
    </row>
    <row r="730" spans="2:39" ht="21.95" customHeight="1" x14ac:dyDescent="0.2">
      <c r="B730" s="1346" t="s">
        <v>280</v>
      </c>
      <c r="C730" s="220" t="s">
        <v>281</v>
      </c>
      <c r="D730" s="220" t="s">
        <v>335</v>
      </c>
      <c r="E730" s="116" t="s">
        <v>19</v>
      </c>
      <c r="F730" s="116" t="s">
        <v>41</v>
      </c>
      <c r="G730" s="970"/>
      <c r="H730" s="970"/>
      <c r="I730" s="775">
        <f>$G$21*$F$8*'Traffic Data'!AK68*annualizationFactor</f>
        <v>8.9997320000000006E-2</v>
      </c>
      <c r="J730" s="775">
        <f>$G$21*$F$8*'Traffic Data'!AL68*annualizationFactor</f>
        <v>9.9100998904600002E-2</v>
      </c>
      <c r="K730" s="775">
        <f>$G$21*$F$8*'Traffic Data'!AM68*annualizationFactor</f>
        <v>0.11945434280919999</v>
      </c>
      <c r="L730" s="775">
        <f>$G$21*$F$8*'Traffic Data'!AN68*annualizationFactor</f>
        <v>0.16033562541920005</v>
      </c>
      <c r="M730" s="775">
        <f>$G$21*$F$8*'Traffic Data'!AO68*annualizationFactor</f>
        <v>0.20124210727879999</v>
      </c>
      <c r="N730" s="775">
        <f>$G$21*$F$8*'Traffic Data'!AP68*annualizationFactor</f>
        <v>0.24214408927239997</v>
      </c>
      <c r="O730" s="775">
        <f>$G$21*$F$8*'Traffic Data'!AQ68*annualizationFactor</f>
        <v>0.28302537188239996</v>
      </c>
      <c r="P730" s="775">
        <f>$G$21*$F$8*'Traffic Data'!AR68*annualizationFactor</f>
        <v>0.32395705299160005</v>
      </c>
      <c r="Q730" s="775">
        <f>$G$21*$F$8*'Traffic Data'!AS68*annualizationFactor</f>
        <v>0.36412105696119995</v>
      </c>
      <c r="R730" s="775">
        <f>$G$21*$F$8*'Traffic Data'!AT68*annualizationFactor</f>
        <v>0.40430531032779987</v>
      </c>
      <c r="S730" s="775">
        <f>$G$21*$F$8*'Traffic Data'!AU68*annualizationFactor</f>
        <v>0.44446931429739994</v>
      </c>
      <c r="T730" s="775">
        <f>$G$21*$F$8*'Traffic Data'!AV68*annualizationFactor</f>
        <v>0.48463331826700001</v>
      </c>
      <c r="U730" s="775">
        <f>$G$21*$F$8*'Traffic Data'!AW68*annualizationFactor</f>
        <v>0.52484772073580011</v>
      </c>
      <c r="V730" s="775">
        <f>$G$21*$F$8*'Traffic Data'!AX68*annualizationFactor</f>
        <v>0.54445858675039993</v>
      </c>
      <c r="W730" s="775">
        <f>$G$21*$F$8*'Traffic Data'!AY68*annualizationFactor</f>
        <v>0.55356226565499989</v>
      </c>
      <c r="X730" s="775">
        <f>$G$21*$F$8*'Traffic Data'!AZ68*annualizationFactor</f>
        <v>0.56266594455959995</v>
      </c>
      <c r="Y730" s="775">
        <f>$G$21*$F$8*'Traffic Data'!BA68*annualizationFactor</f>
        <v>0.57176962346419991</v>
      </c>
      <c r="Z730" s="775">
        <f>$G$21*$F$8*'Traffic Data'!BB68*annualizationFactor</f>
        <v>0.58088725195339996</v>
      </c>
      <c r="AA730" s="775">
        <f>$G$21*$F$8*'Traffic Data'!BC68*annualizationFactor</f>
        <v>0.58999093085800003</v>
      </c>
      <c r="AB730" s="775">
        <f>$G$21*$F$8*'Traffic Data'!BD68*annualizationFactor</f>
        <v>0.59910855934719986</v>
      </c>
      <c r="AC730" s="775">
        <f>$G$21*$F$8*'Traffic Data'!BE68*annualizationFactor</f>
        <v>0.60821223825179993</v>
      </c>
      <c r="AD730" s="775">
        <f>$G$21*$F$8*'Traffic Data'!BF68*annualizationFactor</f>
        <v>0.61731591715639988</v>
      </c>
      <c r="AE730" s="775">
        <f>$G$21*$F$8*'Traffic Data'!BG68*annualizationFactor</f>
        <v>0.62643354564560005</v>
      </c>
      <c r="AF730" s="775">
        <f>$G$21*$F$8*'Traffic Data'!BH68*annualizationFactor</f>
        <v>0.63553722455020001</v>
      </c>
      <c r="AG730" s="775">
        <f>$G$21*$F$8*'Traffic Data'!BI68*annualizationFactor</f>
        <v>0.64464090345479985</v>
      </c>
      <c r="AH730" s="776">
        <f>$G$21*$F$8*'Traffic Data'!BJ68*annualizationFactor</f>
        <v>0.6537585319439998</v>
      </c>
      <c r="AI730" s="24"/>
      <c r="AJ730" s="24"/>
      <c r="AK730" s="24"/>
      <c r="AL730" s="24"/>
      <c r="AM730" s="24"/>
    </row>
    <row r="731" spans="2:39" ht="21.95" customHeight="1" x14ac:dyDescent="0.2">
      <c r="B731" s="1346"/>
      <c r="C731" s="116" t="s">
        <v>335</v>
      </c>
      <c r="D731" s="116" t="s">
        <v>323</v>
      </c>
      <c r="E731" s="116" t="s">
        <v>19</v>
      </c>
      <c r="F731" s="116" t="s">
        <v>41</v>
      </c>
      <c r="G731" s="970"/>
      <c r="H731" s="970"/>
      <c r="I731" s="777">
        <f>$G$21*$F$8*'Traffic Data'!AK69*annualizationFactor</f>
        <v>1.04244E-2</v>
      </c>
      <c r="J731" s="777">
        <f>$G$21*$F$8*'Traffic Data'!AL69*annualizationFactor</f>
        <v>1.1414109909999999E-2</v>
      </c>
      <c r="K731" s="777">
        <f>$G$21*$F$8*'Traffic Data'!AM69*annualizationFactor</f>
        <v>1.2818102849999999E-2</v>
      </c>
      <c r="L731" s="777">
        <f>$G$21*$F$8*'Traffic Data'!AN69*annualizationFactor</f>
        <v>1.5105737429999998E-2</v>
      </c>
      <c r="M731" s="777">
        <f>$G$21*$F$8*'Traffic Data'!AO69*annualizationFactor</f>
        <v>1.739406697E-2</v>
      </c>
      <c r="N731" s="777">
        <f>$G$21*$F$8*'Traffic Data'!AP69*annualizationFactor</f>
        <v>1.9682613685000003E-2</v>
      </c>
      <c r="O731" s="777">
        <f>$G$21*$F$8*'Traffic Data'!AQ69*annualizationFactor</f>
        <v>2.1970248265000002E-2</v>
      </c>
      <c r="P731" s="777">
        <f>$G$21*$F$8*'Traffic Data'!AR69*annualizationFactor</f>
        <v>2.4260358640000004E-2</v>
      </c>
      <c r="Q731" s="777">
        <f>$G$21*$F$8*'Traffic Data'!AS69*annualizationFactor</f>
        <v>2.6865850549999997E-2</v>
      </c>
      <c r="R731" s="777">
        <f>$G$21*$F$8*'Traffic Data'!AT69*annualizationFactor</f>
        <v>2.9472558640000007E-2</v>
      </c>
      <c r="S731" s="777">
        <f>$G$21*$F$8*'Traffic Data'!AU69*annualizationFactor</f>
        <v>3.2077920245000009E-2</v>
      </c>
      <c r="T731" s="777">
        <f>$G$21*$F$8*'Traffic Data'!AV69*annualizationFactor</f>
        <v>3.4683412155000003E-2</v>
      </c>
      <c r="U731" s="777">
        <f>$G$21*$F$8*'Traffic Data'!AW69*annualizationFactor</f>
        <v>3.7291292990000002E-2</v>
      </c>
      <c r="V731" s="777">
        <f>$G$21*$F$8*'Traffic Data'!AX69*annualizationFactor</f>
        <v>3.9011232120000003E-2</v>
      </c>
      <c r="W731" s="777">
        <f>$G$21*$F$8*'Traffic Data'!AY69*annualizationFactor</f>
        <v>4.000094203E-2</v>
      </c>
      <c r="X731" s="777">
        <f>$G$21*$F$8*'Traffic Data'!AZ69*annualizationFactor</f>
        <v>4.0990651939999997E-2</v>
      </c>
      <c r="Y731" s="777">
        <f>$G$21*$F$8*'Traffic Data'!BA69*annualizationFactor</f>
        <v>4.1980361849999995E-2</v>
      </c>
      <c r="Z731" s="777">
        <f>$G$21*$F$8*'Traffic Data'!BB69*annualizationFactor</f>
        <v>4.2971201069999992E-2</v>
      </c>
      <c r="AA731" s="777">
        <f>$G$21*$F$8*'Traffic Data'!BC69*annualizationFactor</f>
        <v>4.3960910979999997E-2</v>
      </c>
      <c r="AB731" s="777">
        <f>$G$21*$F$8*'Traffic Data'!BD69*annualizationFactor</f>
        <v>4.4951750199999994E-2</v>
      </c>
      <c r="AC731" s="777">
        <f>$G$21*$F$8*'Traffic Data'!BE69*annualizationFactor</f>
        <v>4.5941460109999999E-2</v>
      </c>
      <c r="AD731" s="777">
        <f>$G$21*$F$8*'Traffic Data'!BF69*annualizationFactor</f>
        <v>4.693117002000001E-2</v>
      </c>
      <c r="AE731" s="777">
        <f>$G$21*$F$8*'Traffic Data'!BG69*annualizationFactor</f>
        <v>4.7922009240000001E-2</v>
      </c>
      <c r="AF731" s="777">
        <f>$G$21*$F$8*'Traffic Data'!BH69*annualizationFactor</f>
        <v>4.8911719149999998E-2</v>
      </c>
      <c r="AG731" s="777">
        <f>$G$21*$F$8*'Traffic Data'!BI69*annualizationFactor</f>
        <v>4.9901429060000002E-2</v>
      </c>
      <c r="AH731" s="778">
        <f>$G$21*$F$8*'Traffic Data'!BJ69*annualizationFactor</f>
        <v>5.089226828E-2</v>
      </c>
      <c r="AI731" s="24"/>
      <c r="AJ731" s="24"/>
      <c r="AK731" s="24"/>
      <c r="AL731" s="24"/>
      <c r="AM731" s="24"/>
    </row>
    <row r="732" spans="2:39" ht="21.95" customHeight="1" x14ac:dyDescent="0.2">
      <c r="B732" s="1346"/>
      <c r="C732" s="254" t="s">
        <v>323</v>
      </c>
      <c r="D732" s="254" t="s">
        <v>338</v>
      </c>
      <c r="E732" s="116" t="s">
        <v>19</v>
      </c>
      <c r="F732" s="116" t="s">
        <v>41</v>
      </c>
      <c r="G732" s="970"/>
      <c r="H732" s="970"/>
      <c r="I732" s="777">
        <f>$G$21*$F$8*'Traffic Data'!AK70*annualizationFactor</f>
        <v>0.13968696000000003</v>
      </c>
      <c r="J732" s="777">
        <f>$G$21*$F$8*'Traffic Data'!AL70*annualizationFactor</f>
        <v>0.1435986605032</v>
      </c>
      <c r="K732" s="777">
        <f>$G$21*$F$8*'Traffic Data'!AM70*annualizationFactor</f>
        <v>0.14917310145360002</v>
      </c>
      <c r="L732" s="777">
        <f>$G$21*$F$8*'Traffic Data'!AN70*annualizationFactor</f>
        <v>0.15699696808320002</v>
      </c>
      <c r="M732" s="777">
        <f>$G$21*$F$8*'Traffic Data'!AO70*annualizationFactor</f>
        <v>0.16482409407519999</v>
      </c>
      <c r="N732" s="777">
        <f>$G$21*$F$8*'Traffic Data'!AP70*annualizationFactor</f>
        <v>0.17265052163240008</v>
      </c>
      <c r="O732" s="777">
        <f>$G$21*$F$8*'Traffic Data'!AQ70*annualizationFactor</f>
        <v>0.18047438826200007</v>
      </c>
      <c r="P732" s="777">
        <f>$G$21*$F$8*'Traffic Data'!AR70*annualizationFactor</f>
        <v>0.18830454080480005</v>
      </c>
      <c r="Q732" s="777">
        <f>$G$21*$F$8*'Traffic Data'!AS70*annualizationFactor</f>
        <v>0.19620896024800002</v>
      </c>
      <c r="R732" s="777">
        <f>$G$21*$F$8*'Traffic Data'!AT70*annualizationFactor</f>
        <v>0.20411570780720004</v>
      </c>
      <c r="S732" s="777">
        <f>$G$21*$F$8*'Traffic Data'!AU70*annualizationFactor</f>
        <v>0.21201942881559999</v>
      </c>
      <c r="T732" s="777">
        <f>$G$21*$F$8*'Traffic Data'!AV70*annualizationFactor</f>
        <v>0.21992384825880004</v>
      </c>
      <c r="U732" s="777">
        <f>$G$21*$F$8*'Traffic Data'!AW70*annualizationFactor</f>
        <v>0.22783455361520005</v>
      </c>
      <c r="V732" s="777">
        <f>$G$21*$F$8*'Traffic Data'!AX70*annualizationFactor</f>
        <v>0.23348582239360005</v>
      </c>
      <c r="W732" s="777">
        <f>$G$21*$F$8*'Traffic Data'!AY70*annualizationFactor</f>
        <v>0.2373975228968</v>
      </c>
      <c r="X732" s="777">
        <f>$G$21*$F$8*'Traffic Data'!AZ70*annualizationFactor</f>
        <v>0.24130922340000002</v>
      </c>
      <c r="Y732" s="777">
        <f>$G$21*$F$8*'Traffic Data'!BA70*annualizationFactor</f>
        <v>0.24522092390319999</v>
      </c>
      <c r="Z732" s="777">
        <f>$G$21*$F$8*'Traffic Data'!BB70*annualizationFactor</f>
        <v>0.24913448689920004</v>
      </c>
      <c r="AA732" s="777">
        <f>$G$21*$F$8*'Traffic Data'!BC70*annualizationFactor</f>
        <v>0.25304618740240004</v>
      </c>
      <c r="AB732" s="777">
        <f>$G$21*$F$8*'Traffic Data'!BD70*annualizationFactor</f>
        <v>0.25695975039840008</v>
      </c>
      <c r="AC732" s="777">
        <f>$G$21*$F$8*'Traffic Data'!BE70*annualizationFactor</f>
        <v>0.26087145090160008</v>
      </c>
      <c r="AD732" s="777">
        <f>$G$21*$F$8*'Traffic Data'!BF70*annualizationFactor</f>
        <v>0.26478315140480002</v>
      </c>
      <c r="AE732" s="777">
        <f>$G$21*$F$8*'Traffic Data'!BG70*annualizationFactor</f>
        <v>0.26869671440080001</v>
      </c>
      <c r="AF732" s="777">
        <f>$G$21*$F$8*'Traffic Data'!BH70*annualizationFactor</f>
        <v>0.27260841490399995</v>
      </c>
      <c r="AG732" s="777">
        <f>$G$21*$F$8*'Traffic Data'!BI70*annualizationFactor</f>
        <v>0.27652011540720001</v>
      </c>
      <c r="AH732" s="778">
        <f>$G$21*$F$8*'Traffic Data'!BJ70*annualizationFactor</f>
        <v>0.28043367840319999</v>
      </c>
      <c r="AI732" s="24"/>
      <c r="AJ732" s="24"/>
      <c r="AK732" s="24"/>
      <c r="AL732" s="24"/>
      <c r="AM732" s="24"/>
    </row>
    <row r="733" spans="2:39" ht="21.95" customHeight="1" x14ac:dyDescent="0.2">
      <c r="B733" s="492" t="s">
        <v>339</v>
      </c>
      <c r="C733" s="116" t="s">
        <v>335</v>
      </c>
      <c r="D733" s="116" t="s">
        <v>323</v>
      </c>
      <c r="E733" s="277" t="s">
        <v>19</v>
      </c>
      <c r="F733" s="277" t="s">
        <v>41</v>
      </c>
      <c r="G733" s="780"/>
      <c r="H733" s="780"/>
      <c r="I733" s="775">
        <f>$G$21*$G$8*'Traffic Data'!AK71*annualizationFactor</f>
        <v>4.0828899999999999E-4</v>
      </c>
      <c r="J733" s="775">
        <f>$G$21*$G$8*'Traffic Data'!AL71*annualizationFactor</f>
        <v>1.6958283615E-3</v>
      </c>
      <c r="K733" s="775">
        <f>$G$21*$G$8*'Traffic Data'!AM71*annualizationFactor</f>
        <v>1.5128944750499999E-2</v>
      </c>
      <c r="L733" s="775">
        <f>$G$21*$G$8*'Traffic Data'!AN71*annualizationFactor</f>
        <v>3.5783672827000006E-2</v>
      </c>
      <c r="M733" s="775">
        <f>$G$21*$G$8*'Traffic Data'!AO71*annualizationFactor</f>
        <v>5.6453099307500011E-2</v>
      </c>
      <c r="N733" s="775">
        <f>$G$21*$G$8*'Traffic Data'!AP71*annualizationFactor</f>
        <v>7.7114360007999996E-2</v>
      </c>
      <c r="O733" s="775">
        <f>$G$21*$G$8*'Traffic Data'!AQ71*annualizationFactor</f>
        <v>9.7769088084500008E-2</v>
      </c>
      <c r="P733" s="775">
        <f>$G$21*$G$8*'Traffic Data'!AR71*annualizationFactor</f>
        <v>0.11845219224650004</v>
      </c>
      <c r="Q733" s="775">
        <f>$G$21*$G$8*'Traffic Data'!AS71*annualizationFactor</f>
        <v>0.126970529798</v>
      </c>
      <c r="R733" s="775">
        <f>$G$21*$G$8*'Traffic Data'!AT71*annualizationFactor</f>
        <v>0.13549539997350002</v>
      </c>
      <c r="S733" s="775">
        <f>$G$21*$G$8*'Traffic Data'!AU71*annualizationFactor</f>
        <v>0.14401822870400002</v>
      </c>
      <c r="T733" s="775">
        <f>$G$21*$G$8*'Traffic Data'!AV71*annualizationFactor</f>
        <v>0.15253656625550002</v>
      </c>
      <c r="U733" s="775">
        <f>$G$21*$G$8*'Traffic Data'!AW71*annualizationFactor</f>
        <v>0.16107511411250003</v>
      </c>
      <c r="V733" s="775">
        <f>$G$21*$G$8*'Traffic Data'!AX71*annualizationFactor</f>
        <v>0.16236265347400003</v>
      </c>
      <c r="W733" s="775">
        <f>$G$21*$G$8*'Traffic Data'!AY71*annualizationFactor</f>
        <v>0.16365019283550003</v>
      </c>
      <c r="X733" s="775">
        <f>$G$21*$G$8*'Traffic Data'!AZ71*annualizationFactor</f>
        <v>0.16493773219700003</v>
      </c>
      <c r="Y733" s="775">
        <f>$G$21*$G$8*'Traffic Data'!BA71*annualizationFactor</f>
        <v>0.16622527155850003</v>
      </c>
      <c r="Z733" s="775">
        <f>$G$21*$G$8*'Traffic Data'!BB71*annualizationFactor</f>
        <v>0.16752199742250004</v>
      </c>
      <c r="AA733" s="775">
        <f>$G$21*$G$8*'Traffic Data'!BC71*annualizationFactor</f>
        <v>0.16880953678400004</v>
      </c>
      <c r="AB733" s="775">
        <f>$G$21*$G$8*'Traffic Data'!BD71*annualizationFactor</f>
        <v>0.17010115903550002</v>
      </c>
      <c r="AC733" s="775">
        <f>$G$21*$G$8*'Traffic Data'!BE71*annualizationFactor</f>
        <v>0.17138869839700002</v>
      </c>
      <c r="AD733" s="775">
        <f>$G$21*$G$8*'Traffic Data'!BF71*annualizationFactor</f>
        <v>0.17267623775850005</v>
      </c>
      <c r="AE733" s="775">
        <f>$G$21*$G$8*'Traffic Data'!BG71*annualizationFactor</f>
        <v>0.17397296362250006</v>
      </c>
      <c r="AF733" s="775">
        <f>$G$21*$G$8*'Traffic Data'!BH71*annualizationFactor</f>
        <v>0.17526050298400003</v>
      </c>
      <c r="AG733" s="775">
        <f>$G$21*$G$8*'Traffic Data'!BI71*annualizationFactor</f>
        <v>0.17654804234550003</v>
      </c>
      <c r="AH733" s="776">
        <f>$G$21*$G$8*'Traffic Data'!BJ71*annualizationFactor</f>
        <v>0.17783966459700001</v>
      </c>
      <c r="AI733" s="24"/>
      <c r="AJ733" s="24"/>
      <c r="AK733" s="24"/>
      <c r="AL733" s="24"/>
      <c r="AM733" s="24"/>
    </row>
    <row r="734" spans="2:39" ht="21.95" customHeight="1" x14ac:dyDescent="0.2">
      <c r="B734" s="1346" t="s">
        <v>323</v>
      </c>
      <c r="C734" s="220" t="s">
        <v>282</v>
      </c>
      <c r="D734" s="220" t="s">
        <v>339</v>
      </c>
      <c r="E734" s="116" t="s">
        <v>19</v>
      </c>
      <c r="F734" s="116" t="s">
        <v>41</v>
      </c>
      <c r="G734" s="970"/>
      <c r="H734" s="970"/>
      <c r="I734" s="775">
        <f>$G$21*$H$8*'Traffic Data'!AK72*annualizationFactor</f>
        <v>1.172745E-3</v>
      </c>
      <c r="J734" s="775">
        <f>$G$21*$H$8*'Traffic Data'!AL72*annualizationFactor</f>
        <v>2.6064257625000001E-3</v>
      </c>
      <c r="K734" s="775">
        <f>$G$21*$H$8*'Traffic Data'!AM72*annualizationFactor</f>
        <v>1.1016180157500001E-2</v>
      </c>
      <c r="L734" s="775">
        <f>$G$21*$H$8*'Traffic Data'!AN72*annualizationFactor</f>
        <v>2.4763683420000002E-2</v>
      </c>
      <c r="M734" s="775">
        <f>$G$21*$H$8*'Traffic Data'!AO72*annualizationFactor</f>
        <v>3.851880952500001E-2</v>
      </c>
      <c r="N734" s="775">
        <f>$G$21*$H$8*'Traffic Data'!AP72*annualizationFactor</f>
        <v>5.227452200249999E-2</v>
      </c>
      <c r="O734" s="775">
        <f>$G$21*$H$8*'Traffic Data'!AQ72*annualizationFactor</f>
        <v>6.6022025265000006E-2</v>
      </c>
      <c r="P734" s="775">
        <f>$G$21*$H$8*'Traffic Data'!AR72*annualizationFactor</f>
        <v>7.978536058500002E-2</v>
      </c>
      <c r="Q734" s="775">
        <f>$G$21*$H$8*'Traffic Data'!AS72*annualizationFactor</f>
        <v>9.0398702835000025E-2</v>
      </c>
      <c r="R734" s="775">
        <f>$G$21*$H$8*'Traffic Data'!AT72*annualizationFactor</f>
        <v>0.10101380420250002</v>
      </c>
      <c r="S734" s="775">
        <f>$G$21*$H$8*'Traffic Data'!AU72*annualizationFactor</f>
        <v>0.11162714645250001</v>
      </c>
      <c r="T734" s="775">
        <f>$G$21*$H$8*'Traffic Data'!AV72*annualizationFactor</f>
        <v>0.12224048870250001</v>
      </c>
      <c r="U734" s="775">
        <f>$G$21*$H$8*'Traffic Data'!AW72*annualizationFactor</f>
        <v>0.1328679038925</v>
      </c>
      <c r="V734" s="775">
        <f>$G$21*$H$8*'Traffic Data'!AX72*annualizationFactor</f>
        <v>0.13813528806</v>
      </c>
      <c r="W734" s="775">
        <f>$G$21*$H$8*'Traffic Data'!AY72*annualizationFactor</f>
        <v>0.13956896882250003</v>
      </c>
      <c r="X734" s="775">
        <f>$G$21*$H$8*'Traffic Data'!AZ72*annualizationFactor</f>
        <v>0.141002649585</v>
      </c>
      <c r="Y734" s="775">
        <f>$G$21*$H$8*'Traffic Data'!BA72*annualizationFactor</f>
        <v>0.14243633034750003</v>
      </c>
      <c r="Z734" s="775">
        <f>$G$21*$H$8*'Traffic Data'!BB72*annualizationFactor</f>
        <v>0.14387411571750003</v>
      </c>
      <c r="AA734" s="775">
        <f>$G$21*$H$8*'Traffic Data'!BC72*annualizationFactor</f>
        <v>0.14530779648</v>
      </c>
      <c r="AB734" s="775">
        <f>$G$21*$H$8*'Traffic Data'!BD72*annualizationFactor</f>
        <v>0.14674558184999997</v>
      </c>
      <c r="AC734" s="775">
        <f>$G$21*$H$8*'Traffic Data'!BE72*annualizationFactor</f>
        <v>0.1481792626125</v>
      </c>
      <c r="AD734" s="775">
        <f>$G$21*$H$8*'Traffic Data'!BF72*annualizationFactor</f>
        <v>0.149612943375</v>
      </c>
      <c r="AE734" s="775">
        <f>$G$21*$H$8*'Traffic Data'!BG72*annualizationFactor</f>
        <v>0.151050728745</v>
      </c>
      <c r="AF734" s="775">
        <f>$G$21*$H$8*'Traffic Data'!BH72*annualizationFactor</f>
        <v>0.15248440950750003</v>
      </c>
      <c r="AG734" s="775">
        <f>$G$21*$H$8*'Traffic Data'!BI72*annualizationFactor</f>
        <v>0.15391809027</v>
      </c>
      <c r="AH734" s="776">
        <f>$G$21*$H$8*'Traffic Data'!BJ72*annualizationFactor</f>
        <v>0.15535587564</v>
      </c>
      <c r="AI734" s="24"/>
      <c r="AJ734" s="24"/>
      <c r="AK734" s="24"/>
      <c r="AL734" s="24"/>
      <c r="AM734" s="24"/>
    </row>
    <row r="735" spans="2:39" ht="21.95" customHeight="1" x14ac:dyDescent="0.2">
      <c r="B735" s="1346"/>
      <c r="C735" s="116" t="s">
        <v>339</v>
      </c>
      <c r="D735" s="116" t="s">
        <v>288</v>
      </c>
      <c r="E735" s="116" t="s">
        <v>19</v>
      </c>
      <c r="F735" s="116" t="s">
        <v>41</v>
      </c>
      <c r="G735" s="970"/>
      <c r="H735" s="970"/>
      <c r="I735" s="777">
        <f>$G$21*$H$8*'Traffic Data'!AK73*annualizationFactor</f>
        <v>0</v>
      </c>
      <c r="J735" s="777">
        <f>$G$21*$H$8*'Traffic Data'!AL73*annualizationFactor</f>
        <v>7.9051700000000024E-4</v>
      </c>
      <c r="K735" s="777">
        <f>$G$21*$H$8*'Traffic Data'!AM73*annualizationFactor</f>
        <v>2.2848373660000003E-3</v>
      </c>
      <c r="L735" s="777">
        <f>$G$21*$H$8*'Traffic Data'!AN73*annualizationFactor</f>
        <v>5.1361713760000004E-3</v>
      </c>
      <c r="M735" s="777">
        <f>$G$21*$H$8*'Traffic Data'!AO73*annualizationFactor</f>
        <v>7.9890864200000029E-3</v>
      </c>
      <c r="N735" s="777">
        <f>$G$21*$H$8*'Traffic Data'!AP73*annualizationFactor</f>
        <v>1.0842123081999997E-2</v>
      </c>
      <c r="O735" s="777">
        <f>$G$21*$H$8*'Traffic Data'!AQ73*annualizationFactor</f>
        <v>1.3693457092000002E-2</v>
      </c>
      <c r="P735" s="777">
        <f>$G$21*$H$8*'Traffic Data'!AR73*annualizationFactor</f>
        <v>1.6548074788000005E-2</v>
      </c>
      <c r="Q735" s="777">
        <f>$G$21*$H$8*'Traffic Data'!AS73*annualizationFactor</f>
        <v>1.8749360588000006E-2</v>
      </c>
      <c r="R735" s="777">
        <f>$G$21*$H$8*'Traffic Data'!AT73*annualizationFactor</f>
        <v>2.0951011242000005E-2</v>
      </c>
      <c r="S735" s="777">
        <f>$G$21*$H$8*'Traffic Data'!AU73*annualizationFactor</f>
        <v>2.3152297042000003E-2</v>
      </c>
      <c r="T735" s="777">
        <f>$G$21*$H$8*'Traffic Data'!AV73*annualizationFactor</f>
        <v>2.5353582842E-2</v>
      </c>
      <c r="U735" s="777">
        <f>$G$21*$H$8*'Traffic Data'!AW73*annualizationFactor</f>
        <v>2.7557787474000003E-2</v>
      </c>
      <c r="V735" s="777">
        <f>$G$21*$H$8*'Traffic Data'!AX73*annualizationFactor</f>
        <v>2.8650281968000006E-2</v>
      </c>
      <c r="W735" s="777">
        <f>$G$21*$H$8*'Traffic Data'!AY73*annualizationFactor</f>
        <v>2.8947637978000006E-2</v>
      </c>
      <c r="X735" s="777">
        <f>$G$21*$H$8*'Traffic Data'!AZ73*annualizationFactor</f>
        <v>2.9244993988000005E-2</v>
      </c>
      <c r="Y735" s="777">
        <f>$G$21*$H$8*'Traffic Data'!BA73*annualizationFactor</f>
        <v>2.9542349998000011E-2</v>
      </c>
      <c r="Z735" s="777">
        <f>$G$21*$H$8*'Traffic Data'!BB73*annualizationFactor</f>
        <v>2.9840557334000012E-2</v>
      </c>
      <c r="AA735" s="777">
        <f>$G$21*$H$8*'Traffic Data'!BC73*annualizationFactor</f>
        <v>3.0137913344000004E-2</v>
      </c>
      <c r="AB735" s="777">
        <f>$G$21*$H$8*'Traffic Data'!BD73*annualizationFactor</f>
        <v>3.0436120679999994E-2</v>
      </c>
      <c r="AC735" s="777">
        <f>$G$21*$H$8*'Traffic Data'!BE73*annualizationFactor</f>
        <v>3.0733476690000001E-2</v>
      </c>
      <c r="AD735" s="777">
        <f>$G$21*$H$8*'Traffic Data'!BF73*annualizationFactor</f>
        <v>3.10308327E-2</v>
      </c>
      <c r="AE735" s="777">
        <f>$G$21*$H$8*'Traffic Data'!BG73*annualizationFactor</f>
        <v>3.1329040035999997E-2</v>
      </c>
      <c r="AF735" s="777">
        <f>$G$21*$H$8*'Traffic Data'!BH73*annualizationFactor</f>
        <v>3.1626396045999997E-2</v>
      </c>
      <c r="AG735" s="777">
        <f>$G$21*$H$8*'Traffic Data'!BI73*annualizationFactor</f>
        <v>3.1923752055999996E-2</v>
      </c>
      <c r="AH735" s="778">
        <f>$G$21*$H$8*'Traffic Data'!BJ73*annualizationFactor</f>
        <v>3.2221959391999996E-2</v>
      </c>
      <c r="AI735" s="24"/>
      <c r="AJ735" s="24"/>
      <c r="AK735" s="24"/>
      <c r="AL735" s="24"/>
      <c r="AM735" s="24"/>
    </row>
    <row r="736" spans="2:39" ht="21.95" customHeight="1" x14ac:dyDescent="0.2">
      <c r="B736" s="1346"/>
      <c r="C736" s="116" t="s">
        <v>288</v>
      </c>
      <c r="D736" s="116" t="s">
        <v>340</v>
      </c>
      <c r="E736" s="116" t="s">
        <v>19</v>
      </c>
      <c r="F736" s="116" t="s">
        <v>41</v>
      </c>
      <c r="G736" s="970"/>
      <c r="H736" s="970"/>
      <c r="I736" s="777">
        <f>$G$21*$H$8*'Traffic Data'!AK74*annualizationFactor</f>
        <v>0</v>
      </c>
      <c r="J736" s="777">
        <f>$G$21*$H$8*'Traffic Data'!AL74*annualizationFactor</f>
        <v>2.06099075E-3</v>
      </c>
      <c r="K736" s="777">
        <f>$G$21*$H$8*'Traffic Data'!AM74*annualizationFactor</f>
        <v>5.9568974185000003E-3</v>
      </c>
      <c r="L736" s="777">
        <f>$G$21*$H$8*'Traffic Data'!AN74*annualizationFactor</f>
        <v>1.3390732516E-2</v>
      </c>
      <c r="M736" s="777">
        <f>$G$21*$H$8*'Traffic Data'!AO74*annualizationFactor</f>
        <v>2.0828689595000005E-2</v>
      </c>
      <c r="N736" s="777">
        <f>$G$21*$H$8*'Traffic Data'!AP74*annualizationFactor</f>
        <v>2.8266963749499996E-2</v>
      </c>
      <c r="O736" s="777">
        <f>$G$21*$H$8*'Traffic Data'!AQ74*annualizationFactor</f>
        <v>3.5700798846999997E-2</v>
      </c>
      <c r="P736" s="777">
        <f>$G$21*$H$8*'Traffic Data'!AR74*annualizationFactor</f>
        <v>4.3143194983000004E-2</v>
      </c>
      <c r="Q736" s="777">
        <f>$G$21*$H$8*'Traffic Data'!AS74*annualizationFactor</f>
        <v>4.8882261533000008E-2</v>
      </c>
      <c r="R736" s="777">
        <f>$G$21*$H$8*'Traffic Data'!AT74*annualizationFactor</f>
        <v>5.4622279309500012E-2</v>
      </c>
      <c r="S736" s="777">
        <f>$G$21*$H$8*'Traffic Data'!AU74*annualizationFactor</f>
        <v>6.0361345859499989E-2</v>
      </c>
      <c r="T736" s="777">
        <f>$G$21*$H$8*'Traffic Data'!AV74*annualizationFactor</f>
        <v>6.6100412409499987E-2</v>
      </c>
      <c r="U736" s="777">
        <f>$G$21*$H$8*'Traffic Data'!AW74*annualizationFactor</f>
        <v>7.1847088771500006E-2</v>
      </c>
      <c r="V736" s="777">
        <f>$G$21*$H$8*'Traffic Data'!AX74*annualizationFactor</f>
        <v>7.4695377987999995E-2</v>
      </c>
      <c r="W736" s="777">
        <f>$G$21*$H$8*'Traffic Data'!AY74*annualizationFactor</f>
        <v>7.5470627585499994E-2</v>
      </c>
      <c r="X736" s="777">
        <f>$G$21*$H$8*'Traffic Data'!AZ74*annualizationFactor</f>
        <v>7.6245877182999994E-2</v>
      </c>
      <c r="Y736" s="777">
        <f>$G$21*$H$8*'Traffic Data'!BA74*annualizationFactor</f>
        <v>7.7021126780500007E-2</v>
      </c>
      <c r="Z736" s="777">
        <f>$G$21*$H$8*'Traffic Data'!BB74*annualizationFactor</f>
        <v>7.7798595906500012E-2</v>
      </c>
      <c r="AA736" s="777">
        <f>$G$21*$H$8*'Traffic Data'!BC74*annualizationFactor</f>
        <v>7.8573845504000012E-2</v>
      </c>
      <c r="AB736" s="777">
        <f>$G$21*$H$8*'Traffic Data'!BD74*annualizationFactor</f>
        <v>7.9351314629999989E-2</v>
      </c>
      <c r="AC736" s="777">
        <f>$G$21*$H$8*'Traffic Data'!BE74*annualizationFactor</f>
        <v>8.0126564227499988E-2</v>
      </c>
      <c r="AD736" s="777">
        <f>$G$21*$H$8*'Traffic Data'!BF74*annualizationFactor</f>
        <v>8.0901813824999988E-2</v>
      </c>
      <c r="AE736" s="777">
        <f>$G$21*$H$8*'Traffic Data'!BG74*annualizationFactor</f>
        <v>8.1679282950999993E-2</v>
      </c>
      <c r="AF736" s="777">
        <f>$G$21*$H$8*'Traffic Data'!BH74*annualizationFactor</f>
        <v>8.2454532548499992E-2</v>
      </c>
      <c r="AG736" s="777">
        <f>$G$21*$H$8*'Traffic Data'!BI74*annualizationFactor</f>
        <v>8.3229782145999992E-2</v>
      </c>
      <c r="AH736" s="778">
        <f>$G$21*$H$8*'Traffic Data'!BJ74*annualizationFactor</f>
        <v>8.4007251271999983E-2</v>
      </c>
      <c r="AI736" s="24"/>
      <c r="AJ736" s="24"/>
      <c r="AK736" s="24"/>
      <c r="AL736" s="24"/>
      <c r="AM736" s="24"/>
    </row>
    <row r="737" spans="2:39" ht="21.95" customHeight="1" x14ac:dyDescent="0.2">
      <c r="B737" s="1346"/>
      <c r="C737" s="254" t="s">
        <v>340</v>
      </c>
      <c r="D737" s="254" t="s">
        <v>280</v>
      </c>
      <c r="E737" s="116" t="s">
        <v>19</v>
      </c>
      <c r="F737" s="116" t="s">
        <v>41</v>
      </c>
      <c r="G737" s="970"/>
      <c r="H737" s="970"/>
      <c r="I737" s="777">
        <f>$G$21*$H$8*'Traffic Data'!AK75*annualizationFactor</f>
        <v>2.7364050000000003E-3</v>
      </c>
      <c r="J737" s="777">
        <f>$G$21*$H$8*'Traffic Data'!AL75*annualizationFactor</f>
        <v>4.0441329495000001E-3</v>
      </c>
      <c r="K737" s="777">
        <f>$G$21*$H$8*'Traffic Data'!AM75*annualizationFactor</f>
        <v>5.673297273000001E-3</v>
      </c>
      <c r="L737" s="777">
        <f>$G$21*$H$8*'Traffic Data'!AN75*annualizationFactor</f>
        <v>9.1616663670000022E-3</v>
      </c>
      <c r="M737" s="777">
        <f>$G$21*$H$8*'Traffic Data'!AO75*annualizationFactor</f>
        <v>1.2650491528500002E-2</v>
      </c>
      <c r="N737" s="777">
        <f>$G$21*$H$8*'Traffic Data'!AP75*annualizationFactor</f>
        <v>1.6140776105999999E-2</v>
      </c>
      <c r="O737" s="777">
        <f>$G$21*$H$8*'Traffic Data'!AQ75*annualizationFactor</f>
        <v>1.96291452E-2</v>
      </c>
      <c r="P737" s="777">
        <f>$G$21*$H$8*'Traffic Data'!AR75*annualizationFactor</f>
        <v>2.3115690024000005E-2</v>
      </c>
      <c r="Q737" s="777">
        <f>$G$21*$H$8*'Traffic Data'!AS75*annualizationFactor</f>
        <v>3.0116508576000001E-2</v>
      </c>
      <c r="R737" s="777">
        <f>$G$21*$H$8*'Traffic Data'!AT75*annualizationFactor</f>
        <v>3.7113313734000002E-2</v>
      </c>
      <c r="S737" s="777">
        <f>$G$21*$H$8*'Traffic Data'!AU75*annualizationFactor</f>
        <v>4.4111669521500009E-2</v>
      </c>
      <c r="T737" s="777">
        <f>$G$21*$H$8*'Traffic Data'!AV75*annualizationFactor</f>
        <v>5.1112488073500002E-2</v>
      </c>
      <c r="U737" s="777">
        <f>$G$21*$H$8*'Traffic Data'!AW75*annualizationFactor</f>
        <v>5.8111482355500003E-2</v>
      </c>
      <c r="V737" s="777">
        <f>$G$21*$H$8*'Traffic Data'!AX75*annualizationFactor</f>
        <v>6.3252913709999997E-2</v>
      </c>
      <c r="W737" s="777">
        <f>$G$21*$H$8*'Traffic Data'!AY75*annualizationFactor</f>
        <v>6.4560641659500012E-2</v>
      </c>
      <c r="X737" s="777">
        <f>$G$21*$H$8*'Traffic Data'!AZ75*annualizationFactor</f>
        <v>6.5868369608999999E-2</v>
      </c>
      <c r="Y737" s="777">
        <f>$G$21*$H$8*'Traffic Data'!BA75*annualizationFactor</f>
        <v>6.71760975585E-2</v>
      </c>
      <c r="Z737" s="777">
        <f>$G$21*$H$8*'Traffic Data'!BB75*annualizationFactor</f>
        <v>6.8479903327499994E-2</v>
      </c>
      <c r="AA737" s="777">
        <f>$G$21*$H$8*'Traffic Data'!BC75*annualizationFactor</f>
        <v>6.9787631276999995E-2</v>
      </c>
      <c r="AB737" s="777">
        <f>$G$21*$H$8*'Traffic Data'!BD75*annualizationFactor</f>
        <v>7.1091437046000003E-2</v>
      </c>
      <c r="AC737" s="777">
        <f>$G$21*$H$8*'Traffic Data'!BE75*annualizationFactor</f>
        <v>7.2399164995500004E-2</v>
      </c>
      <c r="AD737" s="777">
        <f>$G$21*$H$8*'Traffic Data'!BF75*annualizationFactor</f>
        <v>7.3706892945000005E-2</v>
      </c>
      <c r="AE737" s="777">
        <f>$G$21*$H$8*'Traffic Data'!BG75*annualizationFactor</f>
        <v>7.5010698713999999E-2</v>
      </c>
      <c r="AF737" s="777">
        <f>$G$21*$H$8*'Traffic Data'!BH75*annualizationFactor</f>
        <v>7.63184266635E-2</v>
      </c>
      <c r="AG737" s="777">
        <f>$G$21*$H$8*'Traffic Data'!BI75*annualizationFactor</f>
        <v>7.7626154613000001E-2</v>
      </c>
      <c r="AH737" s="778">
        <f>$G$21*$H$8*'Traffic Data'!BJ75*annualizationFactor</f>
        <v>7.8929960381999995E-2</v>
      </c>
      <c r="AI737" s="24"/>
      <c r="AJ737" s="24"/>
      <c r="AK737" s="24"/>
      <c r="AL737" s="24"/>
      <c r="AM737" s="24"/>
    </row>
    <row r="738" spans="2:39" ht="21.95" customHeight="1" x14ac:dyDescent="0.2">
      <c r="B738" s="1346" t="s">
        <v>334</v>
      </c>
      <c r="C738" s="116" t="s">
        <v>336</v>
      </c>
      <c r="D738" s="116" t="s">
        <v>337</v>
      </c>
      <c r="E738" s="220" t="s">
        <v>19</v>
      </c>
      <c r="F738" s="220" t="s">
        <v>41</v>
      </c>
      <c r="G738" s="775"/>
      <c r="H738" s="775"/>
      <c r="I738" s="775">
        <f>$G$21*$I$8*'Traffic Data'!AK76*annualizationFactor</f>
        <v>8.5132600000000003E-2</v>
      </c>
      <c r="J738" s="775">
        <f>$G$21*$I$8*'Traffic Data'!AL76*annualizationFactor</f>
        <v>8.7490773020000009E-2</v>
      </c>
      <c r="K738" s="775">
        <f>$G$21*$I$8*'Traffic Data'!AM76*annualizationFactor</f>
        <v>9.1296504284999996E-2</v>
      </c>
      <c r="L738" s="775">
        <f>$G$21*$I$8*'Traffic Data'!AN76*annualizationFactor</f>
        <v>9.6733436975000003E-2</v>
      </c>
      <c r="M738" s="775">
        <f>$G$21*$I$8*'Traffic Data'!AO76*annualizationFactor</f>
        <v>0.10217280202500004</v>
      </c>
      <c r="N738" s="775">
        <f>$G$21*$I$8*'Traffic Data'!AP76*annualizationFactor</f>
        <v>0.10761186303000003</v>
      </c>
      <c r="O738" s="775">
        <f>$G$21*$I$8*'Traffic Data'!AQ76*annualizationFactor</f>
        <v>0.11304879572000005</v>
      </c>
      <c r="P738" s="775">
        <f>$G$21*$I$8*'Traffic Data'!AR76*annualizationFactor</f>
        <v>0.11849059313</v>
      </c>
      <c r="Q738" s="775">
        <f>$G$21*$I$8*'Traffic Data'!AS76*annualizationFactor</f>
        <v>0.12333433402499998</v>
      </c>
      <c r="R738" s="775">
        <f>$G$21*$I$8*'Traffic Data'!AT76*annualizationFactor</f>
        <v>0.12817959514500002</v>
      </c>
      <c r="S738" s="775">
        <f>$G$21*$I$8*'Traffic Data'!AU76*annualizationFactor</f>
        <v>0.13302333604000002</v>
      </c>
      <c r="T738" s="775">
        <f>$G$21*$I$8*'Traffic Data'!AV76*annualizationFactor</f>
        <v>0.137867076935</v>
      </c>
      <c r="U738" s="775">
        <f>$G$21*$I$8*'Traffic Data'!AW76*annualizationFactor</f>
        <v>0.14271568255</v>
      </c>
      <c r="V738" s="775">
        <f>$G$21*$I$8*'Traffic Data'!AX76*annualizationFactor</f>
        <v>0.14592578966000003</v>
      </c>
      <c r="W738" s="775">
        <f>$G$21*$I$8*'Traffic Data'!AY76*annualizationFactor</f>
        <v>0.14828396268000002</v>
      </c>
      <c r="X738" s="775">
        <f>$G$21*$I$8*'Traffic Data'!AZ76*annualizationFactor</f>
        <v>0.15064213570000001</v>
      </c>
      <c r="Y738" s="775">
        <f>$G$21*$I$8*'Traffic Data'!BA76*annualizationFactor</f>
        <v>0.15300030872000001</v>
      </c>
      <c r="Z738" s="775">
        <f>$G$21*$I$8*'Traffic Data'!BB76*annualizationFactor</f>
        <v>0.15536000196499999</v>
      </c>
      <c r="AA738" s="775">
        <f>$G$21*$I$8*'Traffic Data'!BC76*annualizationFactor</f>
        <v>0.15771817498500004</v>
      </c>
      <c r="AB738" s="775">
        <f>$G$21*$I$8*'Traffic Data'!BD76*annualizationFactor</f>
        <v>0.16007786823</v>
      </c>
      <c r="AC738" s="775">
        <f>$G$21*$I$8*'Traffic Data'!BE76*annualizationFactor</f>
        <v>0.16243604125</v>
      </c>
      <c r="AD738" s="775">
        <f>$G$21*$I$8*'Traffic Data'!BF76*annualizationFactor</f>
        <v>0.16479421427000002</v>
      </c>
      <c r="AE738" s="775">
        <f>$G$21*$I$8*'Traffic Data'!BG76*annualizationFactor</f>
        <v>0.16715390751500001</v>
      </c>
      <c r="AF738" s="775">
        <f>$G$21*$I$8*'Traffic Data'!BH76*annualizationFactor</f>
        <v>0.169512080535</v>
      </c>
      <c r="AG738" s="775">
        <f>$G$21*$I$8*'Traffic Data'!BI76*annualizationFactor</f>
        <v>0.17187025355499999</v>
      </c>
      <c r="AH738" s="776">
        <f>$G$21*$I$8*'Traffic Data'!BJ76*annualizationFactor</f>
        <v>0.17422994679999998</v>
      </c>
      <c r="AI738" s="24"/>
      <c r="AJ738" s="24"/>
      <c r="AK738" s="24"/>
      <c r="AL738" s="24"/>
      <c r="AM738" s="24"/>
    </row>
    <row r="739" spans="2:39" ht="21.95" customHeight="1" x14ac:dyDescent="0.2">
      <c r="B739" s="1346"/>
      <c r="C739" s="116" t="s">
        <v>337</v>
      </c>
      <c r="D739" s="116" t="s">
        <v>386</v>
      </c>
      <c r="E739" s="116" t="s">
        <v>19</v>
      </c>
      <c r="F739" s="116" t="s">
        <v>41</v>
      </c>
      <c r="G739" s="970"/>
      <c r="H739" s="970"/>
      <c r="I739" s="777">
        <f>$G$21*$I$8*'Traffic Data'!AK77*annualizationFactor</f>
        <v>0.13377980000000003</v>
      </c>
      <c r="J739" s="777">
        <f>$G$21*$I$8*'Traffic Data'!AL77*annualizationFactor</f>
        <v>0.13398046970000002</v>
      </c>
      <c r="K739" s="777">
        <f>$G$21*$I$8*'Traffic Data'!AM77*annualizationFactor</f>
        <v>0.13418113939999998</v>
      </c>
      <c r="L739" s="777">
        <f>$G$21*$I$8*'Traffic Data'!AN77*annualizationFactor</f>
        <v>0.13438180910000003</v>
      </c>
      <c r="M739" s="777">
        <f>$G$21*$I$8*'Traffic Data'!AO77*annualizationFactor</f>
        <v>0.13458247880000002</v>
      </c>
      <c r="N739" s="777">
        <f>$G$21*$I$8*'Traffic Data'!AP77*annualizationFactor</f>
        <v>0.13478314850000001</v>
      </c>
      <c r="O739" s="777">
        <f>$G$21*$I$8*'Traffic Data'!AQ77*annualizationFactor</f>
        <v>0.13498381819999999</v>
      </c>
      <c r="P739" s="777">
        <f>$G$21*$I$8*'Traffic Data'!AR77*annualizationFactor</f>
        <v>0.13518448790000001</v>
      </c>
      <c r="Q739" s="777">
        <f>$G$21*$I$8*'Traffic Data'!AS77*annualizationFactor</f>
        <v>0.13538515760000003</v>
      </c>
      <c r="R739" s="777">
        <f>$G$21*$I$8*'Traffic Data'!AT77*annualizationFactor</f>
        <v>0.13538515760000003</v>
      </c>
      <c r="S739" s="777">
        <f>$G$21*$I$8*'Traffic Data'!AU77*annualizationFactor</f>
        <v>0.13538515760000003</v>
      </c>
      <c r="T739" s="777">
        <f>$G$21*$I$8*'Traffic Data'!AV77*annualizationFactor</f>
        <v>0.13538515760000003</v>
      </c>
      <c r="U739" s="777">
        <f>$G$21*$I$8*'Traffic Data'!AW77*annualizationFactor</f>
        <v>0.13538515760000003</v>
      </c>
      <c r="V739" s="777">
        <f>$G$21*$I$8*'Traffic Data'!AX77*annualizationFactor</f>
        <v>0.13538515760000003</v>
      </c>
      <c r="W739" s="777">
        <f>$G$21*$I$8*'Traffic Data'!AY77*annualizationFactor</f>
        <v>0.1362741182901</v>
      </c>
      <c r="X739" s="777">
        <f>$G$21*$I$8*'Traffic Data'!AZ77*annualizationFactor</f>
        <v>0.1383847074666</v>
      </c>
      <c r="Y739" s="777">
        <f>$G$21*$I$8*'Traffic Data'!BA77*annualizationFactor</f>
        <v>0.14049529664309998</v>
      </c>
      <c r="Z739" s="777">
        <f>$G$21*$I$8*'Traffic Data'!BB77*annualizationFactor</f>
        <v>0.14260637837250001</v>
      </c>
      <c r="AA739" s="777">
        <f>$G$21*$I$8*'Traffic Data'!BC77*annualizationFactor</f>
        <v>0.14471696754899999</v>
      </c>
      <c r="AB739" s="777">
        <f>$G$21*$I$8*'Traffic Data'!BD77*annualizationFactor</f>
        <v>0.14682804927839999</v>
      </c>
      <c r="AC739" s="777">
        <f>$G$21*$I$8*'Traffic Data'!BE77*annualizationFactor</f>
        <v>0.14893863845489999</v>
      </c>
      <c r="AD739" s="777">
        <f>$G$21*$I$8*'Traffic Data'!BF77*annualizationFactor</f>
        <v>0.1510492276314</v>
      </c>
      <c r="AE739" s="777">
        <f>$G$21*$I$8*'Traffic Data'!BG77*annualizationFactor</f>
        <v>0.15316030936080002</v>
      </c>
      <c r="AF739" s="777">
        <f>$G$21*$I$8*'Traffic Data'!BH77*annualizationFactor</f>
        <v>0.1552708985373</v>
      </c>
      <c r="AG739" s="777">
        <f>$G$21*$I$8*'Traffic Data'!BI77*annualizationFactor</f>
        <v>0.15738148771380001</v>
      </c>
      <c r="AH739" s="778">
        <f>$G$21*$I$8*'Traffic Data'!BJ77*annualizationFactor</f>
        <v>0.15949256944320003</v>
      </c>
      <c r="AI739" s="24"/>
      <c r="AJ739" s="24"/>
      <c r="AK739" s="24"/>
      <c r="AL739" s="24"/>
      <c r="AM739" s="24"/>
    </row>
    <row r="740" spans="2:39" ht="21.95" customHeight="1" x14ac:dyDescent="0.2">
      <c r="B740" s="1346"/>
      <c r="C740" s="116" t="s">
        <v>342</v>
      </c>
      <c r="D740" s="116" t="s">
        <v>341</v>
      </c>
      <c r="E740" s="116" t="s">
        <v>19</v>
      </c>
      <c r="F740" s="116" t="s">
        <v>41</v>
      </c>
      <c r="G740" s="970"/>
      <c r="H740" s="970"/>
      <c r="I740" s="777">
        <f>$G$21*$I$8*'Traffic Data'!AK78*annualizationFactor</f>
        <v>0.17391374000000001</v>
      </c>
      <c r="J740" s="777">
        <f>$G$21*$I$8*'Traffic Data'!AL78*annualizationFactor</f>
        <v>0.17417461061000003</v>
      </c>
      <c r="K740" s="777">
        <f>$G$21*$I$8*'Traffic Data'!AM78*annualizationFactor</f>
        <v>0.17443548121999999</v>
      </c>
      <c r="L740" s="777">
        <f>$G$21*$I$8*'Traffic Data'!AN78*annualizationFactor</f>
        <v>0.17469635183000001</v>
      </c>
      <c r="M740" s="777">
        <f>$G$21*$I$8*'Traffic Data'!AO78*annualizationFactor</f>
        <v>0.17495722244000003</v>
      </c>
      <c r="N740" s="777">
        <f>$G$21*$I$8*'Traffic Data'!AP78*annualizationFactor</f>
        <v>0.17521809305</v>
      </c>
      <c r="O740" s="777">
        <f>$G$21*$I$8*'Traffic Data'!AQ78*annualizationFactor</f>
        <v>0.17547896366000001</v>
      </c>
      <c r="P740" s="777">
        <f>$G$21*$I$8*'Traffic Data'!AR78*annualizationFactor</f>
        <v>0.17573983427000001</v>
      </c>
      <c r="Q740" s="777">
        <f>$G$21*$I$8*'Traffic Data'!AS78*annualizationFactor</f>
        <v>0.17600070488000003</v>
      </c>
      <c r="R740" s="777">
        <f>$G$21*$I$8*'Traffic Data'!AT78*annualizationFactor</f>
        <v>0.17600070488000003</v>
      </c>
      <c r="S740" s="777">
        <f>$G$21*$I$8*'Traffic Data'!AU78*annualizationFactor</f>
        <v>0.17600070488000003</v>
      </c>
      <c r="T740" s="777">
        <f>$G$21*$I$8*'Traffic Data'!AV78*annualizationFactor</f>
        <v>0.17600070488000003</v>
      </c>
      <c r="U740" s="777">
        <f>$G$21*$I$8*'Traffic Data'!AW78*annualizationFactor</f>
        <v>0.17600070488000003</v>
      </c>
      <c r="V740" s="777">
        <f>$G$21*$I$8*'Traffic Data'!AX78*annualizationFactor</f>
        <v>0.17600070488000003</v>
      </c>
      <c r="W740" s="777">
        <f>$G$21*$I$8*'Traffic Data'!AY78*annualizationFactor</f>
        <v>0.17715635377713002</v>
      </c>
      <c r="X740" s="777">
        <f>$G$21*$I$8*'Traffic Data'!AZ78*annualizationFactor</f>
        <v>0.17990011970657999</v>
      </c>
      <c r="Y740" s="777">
        <f>$G$21*$I$8*'Traffic Data'!BA78*annualizationFactor</f>
        <v>0.18264388563603001</v>
      </c>
      <c r="Z740" s="777">
        <f>$G$21*$I$8*'Traffic Data'!BB78*annualizationFactor</f>
        <v>0.18538829188425002</v>
      </c>
      <c r="AA740" s="777">
        <f>$G$21*$I$8*'Traffic Data'!BC78*annualizationFactor</f>
        <v>0.18813205781369999</v>
      </c>
      <c r="AB740" s="777">
        <f>$G$21*$I$8*'Traffic Data'!BD78*annualizationFactor</f>
        <v>0.19087646406192002</v>
      </c>
      <c r="AC740" s="777">
        <f>$G$21*$I$8*'Traffic Data'!BE78*annualizationFactor</f>
        <v>0.19362022999137002</v>
      </c>
      <c r="AD740" s="777">
        <f>$G$21*$I$8*'Traffic Data'!BF78*annualizationFactor</f>
        <v>0.19636399592082002</v>
      </c>
      <c r="AE740" s="777">
        <f>$G$21*$I$8*'Traffic Data'!BG78*annualizationFactor</f>
        <v>0.19910840216904002</v>
      </c>
      <c r="AF740" s="777">
        <f>$G$21*$I$8*'Traffic Data'!BH78*annualizationFactor</f>
        <v>0.20185216809849002</v>
      </c>
      <c r="AG740" s="777">
        <f>$G$21*$I$8*'Traffic Data'!BI78*annualizationFactor</f>
        <v>0.20459593402793999</v>
      </c>
      <c r="AH740" s="778">
        <f>$G$21*$I$8*'Traffic Data'!BJ78*annualizationFactor</f>
        <v>0.20734034027616002</v>
      </c>
      <c r="AI740" s="24"/>
      <c r="AJ740" s="24"/>
      <c r="AK740" s="24"/>
      <c r="AL740" s="24"/>
      <c r="AM740" s="24"/>
    </row>
    <row r="741" spans="2:39" ht="21.95" customHeight="1" x14ac:dyDescent="0.2">
      <c r="B741" s="1346"/>
      <c r="C741" s="116" t="s">
        <v>341</v>
      </c>
      <c r="D741" s="116" t="s">
        <v>344</v>
      </c>
      <c r="E741" s="116" t="s">
        <v>19</v>
      </c>
      <c r="F741" s="116" t="s">
        <v>41</v>
      </c>
      <c r="G741" s="970"/>
      <c r="H741" s="970"/>
      <c r="I741" s="777">
        <f>$G$21*$I$8*'Traffic Data'!AK79*annualizationFactor</f>
        <v>0.19288614800000001</v>
      </c>
      <c r="J741" s="777">
        <f>$G$21*$I$8*'Traffic Data'!AL79*annualizationFactor</f>
        <v>0.19317547722200001</v>
      </c>
      <c r="K741" s="777">
        <f>$G$21*$I$8*'Traffic Data'!AM79*annualizationFactor</f>
        <v>0.19346480644399999</v>
      </c>
      <c r="L741" s="777">
        <f>$G$21*$I$8*'Traffic Data'!AN79*annualizationFactor</f>
        <v>0.193754135666</v>
      </c>
      <c r="M741" s="777">
        <f>$G$21*$I$8*'Traffic Data'!AO79*annualizationFactor</f>
        <v>0.19404346488800001</v>
      </c>
      <c r="N741" s="777">
        <f>$G$21*$I$8*'Traffic Data'!AP79*annualizationFactor</f>
        <v>0.19433279411000001</v>
      </c>
      <c r="O741" s="777">
        <f>$G$21*$I$8*'Traffic Data'!AQ79*annualizationFactor</f>
        <v>0.19462212333199999</v>
      </c>
      <c r="P741" s="777">
        <f>$G$21*$I$8*'Traffic Data'!AR79*annualizationFactor</f>
        <v>0.194911452554</v>
      </c>
      <c r="Q741" s="777">
        <f>$G$21*$I$8*'Traffic Data'!AS79*annualizationFactor</f>
        <v>0.195200781776</v>
      </c>
      <c r="R741" s="777">
        <f>$G$21*$I$8*'Traffic Data'!AT79*annualizationFactor</f>
        <v>0.195200781776</v>
      </c>
      <c r="S741" s="777">
        <f>$G$21*$I$8*'Traffic Data'!AU79*annualizationFactor</f>
        <v>0.195200781776</v>
      </c>
      <c r="T741" s="777">
        <f>$G$21*$I$8*'Traffic Data'!AV79*annualizationFactor</f>
        <v>0.195200781776</v>
      </c>
      <c r="U741" s="777">
        <f>$G$21*$I$8*'Traffic Data'!AW79*annualizationFactor</f>
        <v>0.195200781776</v>
      </c>
      <c r="V741" s="777">
        <f>$G$21*$I$8*'Traffic Data'!AX79*annualizationFactor</f>
        <v>0.195200781776</v>
      </c>
      <c r="W741" s="777">
        <f>$G$21*$I$8*'Traffic Data'!AY79*annualizationFactor</f>
        <v>0.195200781776</v>
      </c>
      <c r="X741" s="777">
        <f>$G$21*$I$8*'Traffic Data'!AZ79*annualizationFactor</f>
        <v>0.195200781776</v>
      </c>
      <c r="Y741" s="777">
        <f>$G$21*$I$8*'Traffic Data'!BA79*annualizationFactor</f>
        <v>0.195200781776</v>
      </c>
      <c r="Z741" s="777">
        <f>$G$21*$I$8*'Traffic Data'!BB79*annualizationFactor</f>
        <v>0.195200781776</v>
      </c>
      <c r="AA741" s="777">
        <f>$G$21*$I$8*'Traffic Data'!BC79*annualizationFactor</f>
        <v>0.1977412644589536</v>
      </c>
      <c r="AB741" s="777">
        <f>$G$21*$I$8*'Traffic Data'!BD79*annualizationFactor</f>
        <v>0.20062584653400575</v>
      </c>
      <c r="AC741" s="777">
        <f>$G$21*$I$8*'Traffic Data'!BE79*annualizationFactor</f>
        <v>0.20350975558477538</v>
      </c>
      <c r="AD741" s="777">
        <f>$G$21*$I$8*'Traffic Data'!BF79*annualizationFactor</f>
        <v>0.20639366463554504</v>
      </c>
      <c r="AE741" s="777">
        <f>$G$21*$I$8*'Traffic Data'!BG79*annualizationFactor</f>
        <v>0.20927824671059714</v>
      </c>
      <c r="AF741" s="777">
        <f>$G$21*$I$8*'Traffic Data'!BH79*annualizationFactor</f>
        <v>0.21216215576136668</v>
      </c>
      <c r="AG741" s="777">
        <f>$G$21*$I$8*'Traffic Data'!BI79*annualizationFactor</f>
        <v>0.21504606481213634</v>
      </c>
      <c r="AH741" s="778">
        <f>$G$21*$I$8*'Traffic Data'!BJ79*annualizationFactor</f>
        <v>0.21793064688718849</v>
      </c>
      <c r="AI741" s="24"/>
      <c r="AJ741" s="24"/>
      <c r="AK741" s="24"/>
      <c r="AL741" s="24"/>
      <c r="AM741" s="24"/>
    </row>
    <row r="742" spans="2:39" ht="21.95" customHeight="1" x14ac:dyDescent="0.2">
      <c r="B742" s="1346"/>
      <c r="C742" s="116" t="s">
        <v>344</v>
      </c>
      <c r="D742" s="116" t="s">
        <v>345</v>
      </c>
      <c r="E742" s="116" t="s">
        <v>19</v>
      </c>
      <c r="F742" s="116" t="s">
        <v>41</v>
      </c>
      <c r="G742" s="970"/>
      <c r="H742" s="970"/>
      <c r="I742" s="777">
        <f>$G$21*$I$8*'Traffic Data'!AK80*annualizationFactor</f>
        <v>7.9051700000000003E-2</v>
      </c>
      <c r="J742" s="777">
        <f>$G$21*$I$8*'Traffic Data'!AL80*annualizationFactor</f>
        <v>7.9170277550000001E-2</v>
      </c>
      <c r="K742" s="777">
        <f>$G$21*$I$8*'Traffic Data'!AM80*annualizationFactor</f>
        <v>7.92888551E-2</v>
      </c>
      <c r="L742" s="777">
        <f>$G$21*$I$8*'Traffic Data'!AN80*annualizationFactor</f>
        <v>7.9407432649999998E-2</v>
      </c>
      <c r="M742" s="777">
        <f>$G$21*$I$8*'Traffic Data'!AO80*annualizationFactor</f>
        <v>7.9526010200000011E-2</v>
      </c>
      <c r="N742" s="777">
        <f>$G$21*$I$8*'Traffic Data'!AP80*annualizationFactor</f>
        <v>7.9644587750000009E-2</v>
      </c>
      <c r="O742" s="777">
        <f>$G$21*$I$8*'Traffic Data'!AQ80*annualizationFactor</f>
        <v>7.9763165299999994E-2</v>
      </c>
      <c r="P742" s="777">
        <f>$G$21*$I$8*'Traffic Data'!AR80*annualizationFactor</f>
        <v>7.9881742850000007E-2</v>
      </c>
      <c r="Q742" s="777">
        <f>$G$21*$I$8*'Traffic Data'!AS80*annualizationFactor</f>
        <v>8.0000320400000019E-2</v>
      </c>
      <c r="R742" s="777">
        <f>$G$21*$I$8*'Traffic Data'!AT80*annualizationFactor</f>
        <v>8.0000320400000019E-2</v>
      </c>
      <c r="S742" s="777">
        <f>$G$21*$I$8*'Traffic Data'!AU80*annualizationFactor</f>
        <v>8.0000320400000019E-2</v>
      </c>
      <c r="T742" s="777">
        <f>$G$21*$I$8*'Traffic Data'!AV80*annualizationFactor</f>
        <v>8.0000320400000019E-2</v>
      </c>
      <c r="U742" s="777">
        <f>$G$21*$I$8*'Traffic Data'!AW80*annualizationFactor</f>
        <v>8.0000320400000019E-2</v>
      </c>
      <c r="V742" s="777">
        <f>$G$21*$I$8*'Traffic Data'!AX80*annualizationFactor</f>
        <v>8.0000320400000019E-2</v>
      </c>
      <c r="W742" s="777">
        <f>$G$21*$I$8*'Traffic Data'!AY80*annualizationFactor</f>
        <v>8.0000320400000019E-2</v>
      </c>
      <c r="X742" s="777">
        <f>$G$21*$I$8*'Traffic Data'!AZ80*annualizationFactor</f>
        <v>8.0000320400000019E-2</v>
      </c>
      <c r="Y742" s="777">
        <f>$G$21*$I$8*'Traffic Data'!BA80*annualizationFactor</f>
        <v>8.0000320400000019E-2</v>
      </c>
      <c r="Z742" s="777">
        <f>$G$21*$I$8*'Traffic Data'!BB80*annualizationFactor</f>
        <v>8.0000320400000019E-2</v>
      </c>
      <c r="AA742" s="777">
        <f>$G$21*$I$8*'Traffic Data'!BC80*annualizationFactor</f>
        <v>8.1041501827439993E-2</v>
      </c>
      <c r="AB742" s="777">
        <f>$G$21*$I$8*'Traffic Data'!BD80*annualizationFactor</f>
        <v>8.2223707595904E-2</v>
      </c>
      <c r="AC742" s="777">
        <f>$G$21*$I$8*'Traffic Data'!BE80*annualizationFactor</f>
        <v>8.3405637534744004E-2</v>
      </c>
      <c r="AD742" s="777">
        <f>$G$21*$I$8*'Traffic Data'!BF80*annualizationFactor</f>
        <v>8.4587567473584008E-2</v>
      </c>
      <c r="AE742" s="777">
        <f>$G$21*$I$8*'Traffic Data'!BG80*annualizationFactor</f>
        <v>8.5769773242048014E-2</v>
      </c>
      <c r="AF742" s="777">
        <f>$G$21*$I$8*'Traffic Data'!BH80*annualizationFactor</f>
        <v>8.6951703180888004E-2</v>
      </c>
      <c r="AG742" s="777">
        <f>$G$21*$I$8*'Traffic Data'!BI80*annualizationFactor</f>
        <v>8.8133633119728008E-2</v>
      </c>
      <c r="AH742" s="778">
        <f>$G$21*$I$8*'Traffic Data'!BJ80*annualizationFactor</f>
        <v>8.9315838888192015E-2</v>
      </c>
      <c r="AI742" s="24"/>
      <c r="AJ742" s="24"/>
      <c r="AK742" s="24"/>
      <c r="AL742" s="24"/>
      <c r="AM742" s="24"/>
    </row>
    <row r="743" spans="2:39" ht="21.95" customHeight="1" x14ac:dyDescent="0.2">
      <c r="B743" s="1346"/>
      <c r="C743" s="116" t="s">
        <v>345</v>
      </c>
      <c r="D743" s="116" t="s">
        <v>323</v>
      </c>
      <c r="E743" s="116" t="s">
        <v>19</v>
      </c>
      <c r="F743" s="116" t="s">
        <v>41</v>
      </c>
      <c r="G743" s="970"/>
      <c r="H743" s="970"/>
      <c r="I743" s="777">
        <f>$G$21*$I$8*'Traffic Data'!AK81*annualizationFactor</f>
        <v>0.95348512000000019</v>
      </c>
      <c r="J743" s="777">
        <f>$G$21*$I$8*'Traffic Data'!AL81*annualizationFactor</f>
        <v>0.97537271146000004</v>
      </c>
      <c r="K743" s="777">
        <f>$G$21*$I$8*'Traffic Data'!AM81*annualizationFactor</f>
        <v>1.0073876770160002</v>
      </c>
      <c r="L743" s="777">
        <f>$G$21*$I$8*'Traffic Data'!AN81*annualizationFactor</f>
        <v>1.045782479616</v>
      </c>
      <c r="M743" s="777">
        <f>$G$21*$I$8*'Traffic Data'!AO81*annualizationFactor</f>
        <v>1.084187498128</v>
      </c>
      <c r="N743" s="777">
        <f>$G$21*$I$8*'Traffic Data'!AP81*annualizationFactor</f>
        <v>1.1225959219440005</v>
      </c>
      <c r="O743" s="777">
        <f>$G$21*$I$8*'Traffic Data'!AQ81*annualizationFactor</f>
        <v>1.1609907245440003</v>
      </c>
      <c r="P743" s="777">
        <f>$G$21*$I$8*'Traffic Data'!AR81*annualizationFactor</f>
        <v>1.1994059589680002</v>
      </c>
      <c r="Q743" s="777">
        <f>$G$21*$I$8*'Traffic Data'!AS81*annualizationFactor</f>
        <v>1.2324544342879999</v>
      </c>
      <c r="R743" s="777">
        <f>$G$21*$I$8*'Traffic Data'!AT81*annualizationFactor</f>
        <v>1.2655012069560001</v>
      </c>
      <c r="S743" s="777">
        <f>$G$21*$I$8*'Traffic Data'!AU81*annualizationFactor</f>
        <v>1.2985496822760001</v>
      </c>
      <c r="T743" s="777">
        <f>$G$21*$I$8*'Traffic Data'!AV81*annualizationFactor</f>
        <v>1.3315981575959996</v>
      </c>
      <c r="U743" s="777">
        <f>$G$21*$I$8*'Traffic Data'!AW81*annualizationFactor</f>
        <v>1.3646670647399999</v>
      </c>
      <c r="V743" s="777">
        <f>$G$21*$I$8*'Traffic Data'!AX81*annualizationFactor</f>
        <v>1.3913254871039999</v>
      </c>
      <c r="W743" s="777">
        <f>$G$21*$I$8*'Traffic Data'!AY81*annualizationFactor</f>
        <v>1.4132130785639998</v>
      </c>
      <c r="X743" s="777">
        <f>$G$21*$I$8*'Traffic Data'!AZ81*annualizationFactor</f>
        <v>1.4351006700239994</v>
      </c>
      <c r="Y743" s="777">
        <f>$G$21*$I$8*'Traffic Data'!BA81*annualizationFactor</f>
        <v>1.4569882614839997</v>
      </c>
      <c r="Z743" s="777">
        <f>$G$21*$I$8*'Traffic Data'!BB81*annualizationFactor</f>
        <v>1.4788809608999998</v>
      </c>
      <c r="AA743" s="777">
        <f>$G$21*$I$8*'Traffic Data'!BC81*annualizationFactor</f>
        <v>1.5007685523599996</v>
      </c>
      <c r="AB743" s="777">
        <f>$G$21*$I$8*'Traffic Data'!BD81*annualizationFactor</f>
        <v>1.5226612517759999</v>
      </c>
      <c r="AC743" s="777">
        <f>$G$21*$I$8*'Traffic Data'!BE81*annualizationFactor</f>
        <v>1.5445488432359997</v>
      </c>
      <c r="AD743" s="777">
        <f>$G$21*$I$8*'Traffic Data'!BF81*annualizationFactor</f>
        <v>1.5664364346959998</v>
      </c>
      <c r="AE743" s="777">
        <f>$G$21*$I$8*'Traffic Data'!BG81*annualizationFactor</f>
        <v>1.5883291341120001</v>
      </c>
      <c r="AF743" s="777">
        <f>$G$21*$I$8*'Traffic Data'!BH81*annualizationFactor</f>
        <v>1.6102167255719997</v>
      </c>
      <c r="AG743" s="777">
        <f>$G$21*$I$8*'Traffic Data'!BI81*annualizationFactor</f>
        <v>1.6321043170320002</v>
      </c>
      <c r="AH743" s="778">
        <f>$G$21*$I$8*'Traffic Data'!BJ81*annualizationFactor</f>
        <v>1.653997016448</v>
      </c>
      <c r="AI743" s="24"/>
      <c r="AJ743" s="24"/>
      <c r="AK743" s="24"/>
      <c r="AL743" s="24"/>
      <c r="AM743" s="24"/>
    </row>
    <row r="744" spans="2:39" ht="21.95" customHeight="1" x14ac:dyDescent="0.2">
      <c r="B744" s="1346"/>
      <c r="C744" s="116" t="s">
        <v>323</v>
      </c>
      <c r="D744" s="116" t="s">
        <v>347</v>
      </c>
      <c r="E744" s="116" t="s">
        <v>19</v>
      </c>
      <c r="F744" s="116" t="s">
        <v>41</v>
      </c>
      <c r="G744" s="970"/>
      <c r="H744" s="970"/>
      <c r="I744" s="777">
        <f>$G$21*$I$8*'Traffic Data'!AK82*annualizationFactor</f>
        <v>0.17026520000000001</v>
      </c>
      <c r="J744" s="777">
        <f>$G$21*$I$8*'Traffic Data'!AL82*annualizationFactor</f>
        <v>0.17402745283000001</v>
      </c>
      <c r="K744" s="777">
        <f>$G$21*$I$8*'Traffic Data'!AM82*annualizationFactor</f>
        <v>0.17959786127500002</v>
      </c>
      <c r="L744" s="777">
        <f>$G$21*$I$8*'Traffic Data'!AN82*annualizationFactor</f>
        <v>0.18666721157000002</v>
      </c>
      <c r="M744" s="777">
        <f>$G$21*$I$8*'Traffic Data'!AO82*annualizationFactor</f>
        <v>0.19373869018000003</v>
      </c>
      <c r="N744" s="777">
        <f>$G$21*$I$8*'Traffic Data'!AP82*annualizationFactor</f>
        <v>0.20080974312700001</v>
      </c>
      <c r="O744" s="777">
        <f>$G$21*$I$8*'Traffic Data'!AQ82*annualizationFactor</f>
        <v>0.20787909342200001</v>
      </c>
      <c r="P744" s="777">
        <f>$G$21*$I$8*'Traffic Data'!AR82*annualizationFactor</f>
        <v>0.21495227468399999</v>
      </c>
      <c r="Q744" s="777">
        <f>$G$21*$I$8*'Traffic Data'!AS82*annualizationFactor</f>
        <v>0.221237492924</v>
      </c>
      <c r="R744" s="777">
        <f>$G$21*$I$8*'Traffic Data'!AT82*annualizationFactor</f>
        <v>0.22752331925399999</v>
      </c>
      <c r="S744" s="777">
        <f>$G$21*$I$8*'Traffic Data'!AU82*annualizationFactor</f>
        <v>0.23380853749399999</v>
      </c>
      <c r="T744" s="777">
        <f>$G$21*$I$8*'Traffic Data'!AV82*annualizationFactor</f>
        <v>0.24009375573400005</v>
      </c>
      <c r="U744" s="777">
        <f>$G$21*$I$8*'Traffic Data'!AW82*annualizationFactor</f>
        <v>0.24638189280600001</v>
      </c>
      <c r="V744" s="777">
        <f>$G$21*$I$8*'Traffic Data'!AX82*annualizationFactor</f>
        <v>0.25116646654399999</v>
      </c>
      <c r="W744" s="777">
        <f>$G$21*$I$8*'Traffic Data'!AY82*annualizationFactor</f>
        <v>0.25492871937400002</v>
      </c>
      <c r="X744" s="777">
        <f>$G$21*$I$8*'Traffic Data'!AZ82*annualizationFactor</f>
        <v>0.25869097220400006</v>
      </c>
      <c r="Y744" s="777">
        <f>$G$21*$I$8*'Traffic Data'!BA82*annualizationFactor</f>
        <v>0.26245322503400009</v>
      </c>
      <c r="Z744" s="777">
        <f>$G$21*$I$8*'Traffic Data'!BB82*annualizationFactor</f>
        <v>0.26621608595400004</v>
      </c>
      <c r="AA744" s="777">
        <f>$G$21*$I$8*'Traffic Data'!BC82*annualizationFactor</f>
        <v>0.26997833878400002</v>
      </c>
      <c r="AB744" s="777">
        <f>$G$21*$I$8*'Traffic Data'!BD82*annualizationFactor</f>
        <v>0.27374119970400007</v>
      </c>
      <c r="AC744" s="777">
        <f>$G$21*$I$8*'Traffic Data'!BE82*annualizationFactor</f>
        <v>0.27750345253400011</v>
      </c>
      <c r="AD744" s="777">
        <f>$G$21*$I$8*'Traffic Data'!BF82*annualizationFactor</f>
        <v>0.28126570536400003</v>
      </c>
      <c r="AE744" s="777">
        <f>$G$21*$I$8*'Traffic Data'!BG82*annualizationFactor</f>
        <v>0.28502856628400003</v>
      </c>
      <c r="AF744" s="777">
        <f>$G$21*$I$8*'Traffic Data'!BH82*annualizationFactor</f>
        <v>0.28879081911400012</v>
      </c>
      <c r="AG744" s="777">
        <f>$G$21*$I$8*'Traffic Data'!BI82*annualizationFactor</f>
        <v>0.2925530719440001</v>
      </c>
      <c r="AH744" s="778">
        <f>$G$21*$I$8*'Traffic Data'!BJ82*annualizationFactor</f>
        <v>0.2963159328640001</v>
      </c>
      <c r="AI744" s="24"/>
      <c r="AJ744" s="24"/>
      <c r="AK744" s="24"/>
      <c r="AL744" s="24"/>
      <c r="AM744" s="24"/>
    </row>
    <row r="745" spans="2:39" ht="21.95" customHeight="1" x14ac:dyDescent="0.2">
      <c r="B745" s="1346"/>
      <c r="C745" s="116" t="s">
        <v>347</v>
      </c>
      <c r="D745" s="116" t="s">
        <v>348</v>
      </c>
      <c r="E745" s="116" t="s">
        <v>19</v>
      </c>
      <c r="F745" s="116" t="s">
        <v>41</v>
      </c>
      <c r="G745" s="970"/>
      <c r="H745" s="970"/>
      <c r="I745" s="777">
        <f>$G$21*$I$8*'Traffic Data'!AK83*annualizationFactor</f>
        <v>0.11918564000000002</v>
      </c>
      <c r="J745" s="777">
        <f>$G$21*$I$8*'Traffic Data'!AL83*annualizationFactor</f>
        <v>0.12181921698100001</v>
      </c>
      <c r="K745" s="777">
        <f>$G$21*$I$8*'Traffic Data'!AM83*annualizationFactor</f>
        <v>0.1257185028925</v>
      </c>
      <c r="L745" s="777">
        <f>$G$21*$I$8*'Traffic Data'!AN83*annualizationFactor</f>
        <v>0.13066704809899998</v>
      </c>
      <c r="M745" s="777">
        <f>$G$21*$I$8*'Traffic Data'!AO83*annualizationFactor</f>
        <v>0.13561708312600002</v>
      </c>
      <c r="N745" s="777">
        <f>$G$21*$I$8*'Traffic Data'!AP83*annualizationFactor</f>
        <v>0.14056682018890002</v>
      </c>
      <c r="O745" s="777">
        <f>$G$21*$I$8*'Traffic Data'!AQ83*annualizationFactor</f>
        <v>0.14551536539539997</v>
      </c>
      <c r="P745" s="777">
        <f>$G$21*$I$8*'Traffic Data'!AR83*annualizationFactor</f>
        <v>0.15046659227879997</v>
      </c>
      <c r="Q745" s="777">
        <f>$G$21*$I$8*'Traffic Data'!AS83*annualizationFactor</f>
        <v>0.15486624504680002</v>
      </c>
      <c r="R745" s="777">
        <f>$G$21*$I$8*'Traffic Data'!AT83*annualizationFactor</f>
        <v>0.15926632347780001</v>
      </c>
      <c r="S745" s="777">
        <f>$G$21*$I$8*'Traffic Data'!AU83*annualizationFactor</f>
        <v>0.16366597624579998</v>
      </c>
      <c r="T745" s="777">
        <f>$G$21*$I$8*'Traffic Data'!AV83*annualizationFactor</f>
        <v>0.16806562901380001</v>
      </c>
      <c r="U745" s="777">
        <f>$G$21*$I$8*'Traffic Data'!AW83*annualizationFactor</f>
        <v>0.17246732496419998</v>
      </c>
      <c r="V745" s="777">
        <f>$G$21*$I$8*'Traffic Data'!AX83*annualizationFactor</f>
        <v>0.17581652658079999</v>
      </c>
      <c r="W745" s="777">
        <f>$G$21*$I$8*'Traffic Data'!AY83*annualizationFactor</f>
        <v>0.17845010356179999</v>
      </c>
      <c r="X745" s="777">
        <f>$G$21*$I$8*'Traffic Data'!AZ83*annualizationFactor</f>
        <v>0.18108368054280002</v>
      </c>
      <c r="Y745" s="777">
        <f>$G$21*$I$8*'Traffic Data'!BA83*annualizationFactor</f>
        <v>0.18371725752380005</v>
      </c>
      <c r="Z745" s="777">
        <f>$G$21*$I$8*'Traffic Data'!BB83*annualizationFactor</f>
        <v>0.18635126016780004</v>
      </c>
      <c r="AA745" s="777">
        <f>$G$21*$I$8*'Traffic Data'!BC83*annualizationFactor</f>
        <v>0.18898483714879999</v>
      </c>
      <c r="AB745" s="777">
        <f>$G$21*$I$8*'Traffic Data'!BD83*annualizationFactor</f>
        <v>0.19161883979280003</v>
      </c>
      <c r="AC745" s="777">
        <f>$G$21*$I$8*'Traffic Data'!BE83*annualizationFactor</f>
        <v>0.19425241677380006</v>
      </c>
      <c r="AD745" s="777">
        <f>$G$21*$I$8*'Traffic Data'!BF83*annualizationFactor</f>
        <v>0.19688599375480001</v>
      </c>
      <c r="AE745" s="777">
        <f>$G$21*$I$8*'Traffic Data'!BG83*annualizationFactor</f>
        <v>0.19951999639880003</v>
      </c>
      <c r="AF745" s="777">
        <f>$G$21*$I$8*'Traffic Data'!BH83*annualizationFactor</f>
        <v>0.20215357337980006</v>
      </c>
      <c r="AG745" s="777">
        <f>$G$21*$I$8*'Traffic Data'!BI83*annualizationFactor</f>
        <v>0.20478715036080009</v>
      </c>
      <c r="AH745" s="778">
        <f>$G$21*$I$8*'Traffic Data'!BJ83*annualizationFactor</f>
        <v>0.20742115300480005</v>
      </c>
      <c r="AI745" s="24"/>
      <c r="AJ745" s="24"/>
      <c r="AK745" s="24"/>
      <c r="AL745" s="24"/>
      <c r="AM745" s="24"/>
    </row>
    <row r="746" spans="2:39" ht="21.95" customHeight="1" x14ac:dyDescent="0.2">
      <c r="B746" s="1346"/>
      <c r="C746" s="254" t="s">
        <v>348</v>
      </c>
      <c r="D746" s="254" t="s">
        <v>349</v>
      </c>
      <c r="E746" s="254" t="s">
        <v>19</v>
      </c>
      <c r="F746" s="254" t="s">
        <v>41</v>
      </c>
      <c r="G746" s="779"/>
      <c r="H746" s="779"/>
      <c r="I746" s="777">
        <f>$G$21*$I$8*'Traffic Data'!AK84*annualizationFactor</f>
        <v>0.19458880000000003</v>
      </c>
      <c r="J746" s="777">
        <f>$G$21*$I$8*'Traffic Data'!AL84*annualizationFactor</f>
        <v>0.19923673591500002</v>
      </c>
      <c r="K746" s="777">
        <f>$G$21*$I$8*'Traffic Data'!AM84*annualizationFactor</f>
        <v>0.20569313149000001</v>
      </c>
      <c r="L746" s="777">
        <f>$G$21*$I$8*'Traffic Data'!AN84*annualizationFactor</f>
        <v>0.21426780858000002</v>
      </c>
      <c r="M746" s="777">
        <f>$G$21*$I$8*'Traffic Data'!AO84*annualizationFactor</f>
        <v>0.22284491803000006</v>
      </c>
      <c r="N746" s="777">
        <f>$G$21*$I$8*'Traffic Data'!AP84*annualizationFactor</f>
        <v>0.23142263557000006</v>
      </c>
      <c r="O746" s="777">
        <f>$G$21*$I$8*'Traffic Data'!AQ84*annualizationFactor</f>
        <v>0.23999731266000005</v>
      </c>
      <c r="P746" s="777">
        <f>$G$21*$I$8*'Traffic Data'!AR84*annualizationFactor</f>
        <v>0.24857685447000008</v>
      </c>
      <c r="Q746" s="777">
        <f>$G$21*$I$8*'Traffic Data'!AS84*annualizationFactor</f>
        <v>0.25676539441000001</v>
      </c>
      <c r="R746" s="777">
        <f>$G$21*$I$8*'Traffic Data'!AT84*annualizationFactor</f>
        <v>0.26495423839499999</v>
      </c>
      <c r="S746" s="777">
        <f>$G$21*$I$8*'Traffic Data'!AU84*annualizationFactor</f>
        <v>0.273142778335</v>
      </c>
      <c r="T746" s="777">
        <f>$G$21*$I$8*'Traffic Data'!AV84*annualizationFactor</f>
        <v>0.28133131827500002</v>
      </c>
      <c r="U746" s="777">
        <f>$G$21*$I$8*'Traffic Data'!AW84*annualizationFactor</f>
        <v>0.28952472293500003</v>
      </c>
      <c r="V746" s="777">
        <f>$G$21*$I$8*'Traffic Data'!AX84*annualizationFactor</f>
        <v>0.29559254900000004</v>
      </c>
      <c r="W746" s="777">
        <f>$G$21*$I$8*'Traffic Data'!AY84*annualizationFactor</f>
        <v>0.30024048491499999</v>
      </c>
      <c r="X746" s="777">
        <f>$G$21*$I$8*'Traffic Data'!AZ84*annualizationFactor</f>
        <v>0.30488842083000001</v>
      </c>
      <c r="Y746" s="777">
        <f>$G$21*$I$8*'Traffic Data'!BA84*annualizationFactor</f>
        <v>0.30953635674500002</v>
      </c>
      <c r="Z746" s="777">
        <f>$G$21*$I$8*'Traffic Data'!BB84*annualizationFactor</f>
        <v>0.31418520479500001</v>
      </c>
      <c r="AA746" s="777">
        <f>$G$21*$I$8*'Traffic Data'!BC84*annualizationFactor</f>
        <v>0.31883314071000002</v>
      </c>
      <c r="AB746" s="777">
        <f>$G$21*$I$8*'Traffic Data'!BD84*annualizationFactor</f>
        <v>0.32348198876000006</v>
      </c>
      <c r="AC746" s="777">
        <f>$G$21*$I$8*'Traffic Data'!BE84*annualizationFactor</f>
        <v>0.32812992467500002</v>
      </c>
      <c r="AD746" s="777">
        <f>$G$21*$I$8*'Traffic Data'!BF84*annualizationFactor</f>
        <v>0.33277786059000003</v>
      </c>
      <c r="AE746" s="777">
        <f>$G$21*$I$8*'Traffic Data'!BG84*annualizationFactor</f>
        <v>0.33742670864000002</v>
      </c>
      <c r="AF746" s="777">
        <f>$G$21*$I$8*'Traffic Data'!BH84*annualizationFactor</f>
        <v>0.34207464455499997</v>
      </c>
      <c r="AG746" s="777">
        <f>$G$21*$I$8*'Traffic Data'!BI84*annualizationFactor</f>
        <v>0.34672258047000004</v>
      </c>
      <c r="AH746" s="778">
        <f>$G$21*$I$8*'Traffic Data'!BJ84*annualizationFactor</f>
        <v>0.35137142852000003</v>
      </c>
      <c r="AI746" s="24"/>
      <c r="AJ746" s="24"/>
      <c r="AK746" s="24"/>
      <c r="AL746" s="24"/>
      <c r="AM746" s="24"/>
    </row>
    <row r="747" spans="2:39" ht="21.95" customHeight="1" x14ac:dyDescent="0.2">
      <c r="B747" s="492" t="s">
        <v>288</v>
      </c>
      <c r="C747" s="116" t="s">
        <v>323</v>
      </c>
      <c r="D747" s="116" t="s">
        <v>348</v>
      </c>
      <c r="E747" s="116" t="s">
        <v>19</v>
      </c>
      <c r="F747" s="116" t="s">
        <v>41</v>
      </c>
      <c r="G747" s="970"/>
      <c r="H747" s="970"/>
      <c r="I747" s="775">
        <f>$G$21*$J$8*'Traffic Data'!AK85*annualizationFactor</f>
        <v>1.56366E-2</v>
      </c>
      <c r="J747" s="775">
        <f>$G$21*$J$8*'Traffic Data'!AL85*annualizationFactor</f>
        <v>1.6598077160000002E-2</v>
      </c>
      <c r="K747" s="775">
        <f>$G$21*$J$8*'Traffic Data'!AM85*annualizationFactor</f>
        <v>1.7870462050000001E-2</v>
      </c>
      <c r="L747" s="775">
        <f>$G$21*$J$8*'Traffic Data'!AN85*annualizationFactor</f>
        <v>1.9561386599999998E-2</v>
      </c>
      <c r="M747" s="775">
        <f>$G$21*$J$8*'Traffic Data'!AO85*annualizationFactor</f>
        <v>2.1252832369999999E-2</v>
      </c>
      <c r="N747" s="775">
        <f>$G$21*$J$8*'Traffic Data'!AP85*annualizationFactor</f>
        <v>2.2947926680000005E-2</v>
      </c>
      <c r="O747" s="775">
        <f>$G$21*$J$8*'Traffic Data'!AQ85*annualizationFactor</f>
        <v>2.4638851229999998E-2</v>
      </c>
      <c r="P747" s="775">
        <f>$G$21*$J$8*'Traffic Data'!AR85*annualizationFactor</f>
        <v>2.6331600050000001E-2</v>
      </c>
      <c r="Q747" s="775">
        <f>$G$21*$J$8*'Traffic Data'!AS85*annualizationFactor</f>
        <v>2.787510621E-2</v>
      </c>
      <c r="R747" s="775">
        <f>$G$21*$J$8*'Traffic Data'!AT85*annualizationFactor</f>
        <v>2.9417309320000001E-2</v>
      </c>
      <c r="S747" s="775">
        <f>$G$21*$J$8*'Traffic Data'!AU85*annualizationFactor</f>
        <v>3.096090235E-2</v>
      </c>
      <c r="T747" s="775">
        <f>$G$21*$J$8*'Traffic Data'!AV85*annualizationFactor</f>
        <v>3.2504408510000006E-2</v>
      </c>
      <c r="U747" s="775">
        <f>$G$21*$J$8*'Traffic Data'!AW85*annualizationFactor</f>
        <v>3.4053387480000002E-2</v>
      </c>
      <c r="V747" s="775">
        <f>$G$21*$J$8*'Traffic Data'!AX85*annualizationFactor</f>
        <v>3.5177137800000001E-2</v>
      </c>
      <c r="W747" s="775">
        <f>$G$21*$J$8*'Traffic Data'!AY85*annualizationFactor</f>
        <v>3.6138614960000003E-2</v>
      </c>
      <c r="X747" s="775">
        <f>$G$21*$J$8*'Traffic Data'!AZ85*annualizationFactor</f>
        <v>3.7100092119999997E-2</v>
      </c>
      <c r="Y747" s="775">
        <f>$G$21*$J$8*'Traffic Data'!BA85*annualizationFactor</f>
        <v>3.8061569279999999E-2</v>
      </c>
      <c r="Z747" s="775">
        <f>$G$21*$J$8*'Traffic Data'!BB85*annualizationFactor</f>
        <v>3.9024088880000002E-2</v>
      </c>
      <c r="AA747" s="775">
        <f>$G$21*$J$8*'Traffic Data'!BC85*annualizationFactor</f>
        <v>3.9985566039999997E-2</v>
      </c>
      <c r="AB747" s="775">
        <f>$G$21*$J$8*'Traffic Data'!BD85*annualizationFactor</f>
        <v>4.0949388690000005E-2</v>
      </c>
      <c r="AC747" s="775">
        <f>$G$21*$J$8*'Traffic Data'!BE85*annualizationFactor</f>
        <v>4.1910865849999999E-2</v>
      </c>
      <c r="AD747" s="775">
        <f>$G$21*$J$8*'Traffic Data'!BF85*annualizationFactor</f>
        <v>4.2872343010000001E-2</v>
      </c>
      <c r="AE747" s="775">
        <f>$G$21*$J$8*'Traffic Data'!BG85*annualizationFactor</f>
        <v>4.383486260999999E-2</v>
      </c>
      <c r="AF747" s="775">
        <f>$G$21*$J$8*'Traffic Data'!BH85*annualizationFactor</f>
        <v>4.4796339769999999E-2</v>
      </c>
      <c r="AG747" s="775">
        <f>$G$21*$J$8*'Traffic Data'!BI85*annualizationFactor</f>
        <v>4.575781693E-2</v>
      </c>
      <c r="AH747" s="776">
        <f>$G$21*$J$8*'Traffic Data'!BJ85*annualizationFactor</f>
        <v>4.6721639579999995E-2</v>
      </c>
      <c r="AI747" s="24"/>
      <c r="AJ747" s="24"/>
      <c r="AK747" s="24"/>
      <c r="AL747" s="24"/>
      <c r="AM747" s="24"/>
    </row>
    <row r="748" spans="2:39" ht="21.95" customHeight="1" x14ac:dyDescent="0.2">
      <c r="B748" s="782" t="s">
        <v>340</v>
      </c>
      <c r="C748" s="277" t="s">
        <v>335</v>
      </c>
      <c r="D748" s="277" t="s">
        <v>323</v>
      </c>
      <c r="E748" s="277" t="s">
        <v>19</v>
      </c>
      <c r="F748" s="277" t="s">
        <v>41</v>
      </c>
      <c r="G748" s="780"/>
      <c r="H748" s="780"/>
      <c r="I748" s="775">
        <f>$G$21*$K$8*'Traffic Data'!AK86*annualizationFactor</f>
        <v>0</v>
      </c>
      <c r="J748" s="775">
        <f>$G$21*$K$8*'Traffic Data'!AL86*annualizationFactor</f>
        <v>2.6224961912800004E-2</v>
      </c>
      <c r="K748" s="775">
        <f>$G$21*$K$8*'Traffic Data'!AM86*annualizationFactor</f>
        <v>2.8235330039000004E-2</v>
      </c>
      <c r="L748" s="775">
        <f>$G$21*$K$8*'Traffic Data'!AN86*annualizationFactor</f>
        <v>3.0906990827999997E-2</v>
      </c>
      <c r="M748" s="775">
        <f>$G$21*$K$8*'Traffic Data'!AO86*annualizationFactor</f>
        <v>3.3579475144600003E-2</v>
      </c>
      <c r="N748" s="775">
        <f>$G$21*$K$8*'Traffic Data'!AP86*annualizationFactor</f>
        <v>3.6257724154400005E-2</v>
      </c>
      <c r="O748" s="775">
        <f>$G$21*$K$8*'Traffic Data'!AQ86*annualizationFactor</f>
        <v>3.8929384943399994E-2</v>
      </c>
      <c r="P748" s="775">
        <f>$G$21*$K$8*'Traffic Data'!AR86*annualizationFactor</f>
        <v>4.1603928078999999E-2</v>
      </c>
      <c r="Q748" s="775">
        <f>$G$21*$K$8*'Traffic Data'!AS86*annualizationFactor</f>
        <v>4.4042667811800003E-2</v>
      </c>
      <c r="R748" s="775">
        <f>$G$21*$K$8*'Traffic Data'!AT86*annualizationFactor</f>
        <v>4.64793487256E-2</v>
      </c>
      <c r="S748" s="775">
        <f>$G$21*$K$8*'Traffic Data'!AU86*annualizationFactor</f>
        <v>4.8918225713000002E-2</v>
      </c>
      <c r="T748" s="775">
        <f>$G$21*$K$8*'Traffic Data'!AV86*annualizationFactor</f>
        <v>5.1356965445800005E-2</v>
      </c>
      <c r="U748" s="775">
        <f>$G$21*$K$8*'Traffic Data'!AW86*annualizationFactor</f>
        <v>5.3804352218399999E-2</v>
      </c>
      <c r="V748" s="775">
        <f>$G$21*$K$8*'Traffic Data'!AX86*annualizationFactor</f>
        <v>5.5579877724000012E-2</v>
      </c>
      <c r="W748" s="775">
        <f>$G$21*$K$8*'Traffic Data'!AY86*annualizationFactor</f>
        <v>5.7099011636800007E-2</v>
      </c>
      <c r="X748" s="775">
        <f>$G$21*$K$8*'Traffic Data'!AZ86*annualizationFactor</f>
        <v>5.8618145549599994E-2</v>
      </c>
      <c r="Y748" s="775">
        <f>$G$21*$K$8*'Traffic Data'!BA86*annualizationFactor</f>
        <v>6.0137279462400002E-2</v>
      </c>
      <c r="Z748" s="775">
        <f>$G$21*$K$8*'Traffic Data'!BB86*annualizationFactor</f>
        <v>6.1658060430400008E-2</v>
      </c>
      <c r="AA748" s="775">
        <f>$G$21*$K$8*'Traffic Data'!BC86*annualizationFactor</f>
        <v>6.3177194343199988E-2</v>
      </c>
      <c r="AB748" s="775">
        <f>$G$21*$K$8*'Traffic Data'!BD86*annualizationFactor</f>
        <v>6.4700034130200007E-2</v>
      </c>
      <c r="AC748" s="775">
        <f>$G$21*$K$8*'Traffic Data'!BE86*annualizationFactor</f>
        <v>6.6219168042999987E-2</v>
      </c>
      <c r="AD748" s="775">
        <f>$G$21*$K$8*'Traffic Data'!BF86*annualizationFactor</f>
        <v>6.7738301955799995E-2</v>
      </c>
      <c r="AE748" s="775">
        <f>$G$21*$K$8*'Traffic Data'!BG86*annualizationFactor</f>
        <v>6.9259082923799994E-2</v>
      </c>
      <c r="AF748" s="775">
        <f>$G$21*$K$8*'Traffic Data'!BH86*annualizationFactor</f>
        <v>7.0778216836600003E-2</v>
      </c>
      <c r="AG748" s="775">
        <f>$G$21*$K$8*'Traffic Data'!BI86*annualizationFactor</f>
        <v>7.2297350749399997E-2</v>
      </c>
      <c r="AH748" s="776">
        <f>$G$21*$K$8*'Traffic Data'!BJ86*annualizationFactor</f>
        <v>7.3820190536400002E-2</v>
      </c>
      <c r="AI748" s="24"/>
      <c r="AJ748" s="24"/>
      <c r="AK748" s="24"/>
      <c r="AL748" s="24"/>
      <c r="AM748" s="24"/>
    </row>
    <row r="749" spans="2:39" ht="21.95" customHeight="1" x14ac:dyDescent="0.2">
      <c r="B749" s="782" t="s">
        <v>357</v>
      </c>
      <c r="C749" s="277" t="s">
        <v>338</v>
      </c>
      <c r="D749" s="277" t="s">
        <v>323</v>
      </c>
      <c r="E749" s="116" t="s">
        <v>19</v>
      </c>
      <c r="F749" s="116" t="s">
        <v>41</v>
      </c>
      <c r="G749" s="970"/>
      <c r="H749" s="970"/>
      <c r="I749" s="775">
        <f>$G$21*$L$8*'Traffic Data'!AK87*annualizationFactor</f>
        <v>2.8998785454545456E-2</v>
      </c>
      <c r="J749" s="775">
        <f>$G$21*$L$8*'Traffic Data'!AL87*annualizationFactor</f>
        <v>2.9396954889272728E-2</v>
      </c>
      <c r="K749" s="775">
        <f>$G$21*$L$8*'Traffic Data'!AM87*annualizationFactor</f>
        <v>3.0085192730727274E-2</v>
      </c>
      <c r="L749" s="775">
        <f>$G$21*$L$8*'Traffic Data'!AN87*annualizationFactor</f>
        <v>3.1030069823454555E-2</v>
      </c>
      <c r="M749" s="775">
        <f>$G$21*$L$8*'Traffic Data'!AO87*annualizationFactor</f>
        <v>3.1975349677090911E-2</v>
      </c>
      <c r="N749" s="775">
        <f>$G$21*$L$8*'Traffic Data'!AP87*annualizationFactor</f>
        <v>3.2921998917818183E-2</v>
      </c>
      <c r="O749" s="775">
        <f>$G$21*$L$8*'Traffic Data'!AQ87*annualizationFactor</f>
        <v>3.3866876010545457E-2</v>
      </c>
      <c r="P749" s="775">
        <f>$G$21*$L$8*'Traffic Data'!AR87*annualizationFactor</f>
        <v>3.4815055742727273E-2</v>
      </c>
      <c r="Q749" s="775">
        <f>$G$21*$L$8*'Traffic Data'!AS87*annualizationFactor</f>
        <v>3.5472603202909091E-2</v>
      </c>
      <c r="R749" s="775">
        <f>$G$21*$L$8*'Traffic Data'!AT87*annualizationFactor</f>
        <v>3.6130231215272722E-2</v>
      </c>
      <c r="S749" s="775">
        <f>$G$21*$L$8*'Traffic Data'!AU87*annualizationFactor</f>
        <v>3.6787939779818181E-2</v>
      </c>
      <c r="T749" s="775">
        <f>$G$21*$L$8*'Traffic Data'!AV87*annualizationFactor</f>
        <v>3.7445487240000006E-2</v>
      </c>
      <c r="U749" s="775">
        <f>$G$21*$L$8*'Traffic Data'!AW87*annualizationFactor</f>
        <v>3.8107706726727274E-2</v>
      </c>
      <c r="V749" s="775">
        <f>$G$21*$L$8*'Traffic Data'!AX87*annualizationFactor</f>
        <v>3.8505876161454539E-2</v>
      </c>
      <c r="W749" s="775">
        <f>$G$21*$L$8*'Traffic Data'!AY87*annualizationFactor</f>
        <v>3.890404559618181E-2</v>
      </c>
      <c r="X749" s="775">
        <f>$G$21*$L$8*'Traffic Data'!AZ87*annualizationFactor</f>
        <v>3.9302215030909096E-2</v>
      </c>
      <c r="Y749" s="775">
        <f>$G$21*$L$8*'Traffic Data'!BA87*annualizationFactor</f>
        <v>3.9700384465636361E-2</v>
      </c>
      <c r="Z749" s="775">
        <f>$G$21*$L$8*'Traffic Data'!BB87*annualizationFactor</f>
        <v>4.0101292674545458E-2</v>
      </c>
      <c r="AA749" s="775">
        <f>$G$21*$L$8*'Traffic Data'!BC87*annualizationFactor</f>
        <v>4.049946210927273E-2</v>
      </c>
      <c r="AB749" s="775">
        <f>$G$21*$L$8*'Traffic Data'!BD87*annualizationFactor</f>
        <v>4.0899162035454552E-2</v>
      </c>
      <c r="AC749" s="775">
        <f>$G$21*$L$8*'Traffic Data'!BE87*annualizationFactor</f>
        <v>4.129733147018181E-2</v>
      </c>
      <c r="AD749" s="775">
        <f>$G$21*$L$8*'Traffic Data'!BF87*annualizationFactor</f>
        <v>4.1695500904909102E-2</v>
      </c>
      <c r="AE749" s="775">
        <f>$G$21*$L$8*'Traffic Data'!BG87*annualizationFactor</f>
        <v>4.2096409113818185E-2</v>
      </c>
      <c r="AF749" s="775">
        <f>$G$21*$L$8*'Traffic Data'!BH87*annualizationFactor</f>
        <v>4.2494578548545464E-2</v>
      </c>
      <c r="AG749" s="775">
        <f>$G$21*$L$8*'Traffic Data'!BI87*annualizationFactor</f>
        <v>4.2892747983272729E-2</v>
      </c>
      <c r="AH749" s="776">
        <f>$G$21*$L$8*'Traffic Data'!BJ87*annualizationFactor</f>
        <v>4.3292447909454551E-2</v>
      </c>
      <c r="AI749" s="24"/>
      <c r="AJ749" s="24"/>
      <c r="AK749" s="24"/>
      <c r="AL749" s="24"/>
      <c r="AM749" s="24"/>
    </row>
    <row r="750" spans="2:39" ht="21.95" customHeight="1" x14ac:dyDescent="0.2">
      <c r="B750" s="492" t="s">
        <v>338</v>
      </c>
      <c r="C750" s="116" t="s">
        <v>282</v>
      </c>
      <c r="D750" s="116" t="s">
        <v>357</v>
      </c>
      <c r="E750" s="220" t="s">
        <v>19</v>
      </c>
      <c r="F750" s="220" t="s">
        <v>41</v>
      </c>
      <c r="G750" s="775"/>
      <c r="H750" s="775"/>
      <c r="I750" s="775">
        <f>$G$21*$M$8*'Traffic Data'!AK88*annualizationFactor</f>
        <v>0.1041452840909091</v>
      </c>
      <c r="J750" s="775">
        <f>$G$21*$M$8*'Traffic Data'!AL88*annualizationFactor</f>
        <v>0.10714748019539776</v>
      </c>
      <c r="K750" s="775">
        <f>$G$21*$M$8*'Traffic Data'!AM88*annualizationFactor</f>
        <v>0.11039702134960229</v>
      </c>
      <c r="L750" s="775">
        <f>$G$21*$M$8*'Traffic Data'!AN88*annualizationFactor</f>
        <v>0.11470811538454546</v>
      </c>
      <c r="M750" s="775">
        <f>$G$21*$M$8*'Traffic Data'!AO88*annualizationFactor</f>
        <v>0.11901993843647728</v>
      </c>
      <c r="N750" s="775">
        <f>$G$21*$M$8*'Traffic Data'!AP88*annualizationFactor</f>
        <v>0.12333353195823862</v>
      </c>
      <c r="O750" s="775">
        <f>$G$21*$M$8*'Traffic Data'!AQ88*annualizationFactor</f>
        <v>0.12764462599318185</v>
      </c>
      <c r="P750" s="775">
        <f>$G$21*$M$8*'Traffic Data'!AR88*annualizationFactor</f>
        <v>0.13195686562625003</v>
      </c>
      <c r="Q750" s="775">
        <f>$G$21*$M$8*'Traffic Data'!AS88*annualizationFactor</f>
        <v>0.13670193306000003</v>
      </c>
      <c r="R750" s="775">
        <f>$G$21*$M$8*'Traffic Data'!AT88*annualizationFactor</f>
        <v>0.14144543831448864</v>
      </c>
      <c r="S750" s="775">
        <f>$G$21*$M$8*'Traffic Data'!AU88*annualizationFactor</f>
        <v>0.14619050574823866</v>
      </c>
      <c r="T750" s="775">
        <f>$G$21*$M$8*'Traffic Data'!AV88*annualizationFactor</f>
        <v>0.15093557318198864</v>
      </c>
      <c r="U750" s="775">
        <f>$G$21*$M$8*'Traffic Data'!AW88*annualizationFactor</f>
        <v>0.15568334839312503</v>
      </c>
      <c r="V750" s="775">
        <f>$G$21*$M$8*'Traffic Data'!AX88*annualizationFactor</f>
        <v>0.15936644636500003</v>
      </c>
      <c r="W750" s="775">
        <f>$G$21*$M$8*'Traffic Data'!AY88*annualizationFactor</f>
        <v>0.16236864246948865</v>
      </c>
      <c r="X750" s="775">
        <f>$G$21*$M$8*'Traffic Data'!AZ88*annualizationFactor</f>
        <v>0.16537083857397733</v>
      </c>
      <c r="Y750" s="775">
        <f>$G$21*$M$8*'Traffic Data'!BA88*annualizationFactor</f>
        <v>0.16837303467846595</v>
      </c>
      <c r="Z750" s="775">
        <f>$G$21*$M$8*'Traffic Data'!BB88*annualizationFactor</f>
        <v>0.17137491834710228</v>
      </c>
      <c r="AA750" s="775">
        <f>$G$21*$M$8*'Traffic Data'!BC88*annualizationFactor</f>
        <v>0.1743771144515909</v>
      </c>
      <c r="AB750" s="775">
        <f>$G$21*$M$8*'Traffic Data'!BD88*annualizationFactor</f>
        <v>0.17737899812022723</v>
      </c>
      <c r="AC750" s="775">
        <f>$G$21*$M$8*'Traffic Data'!BE88*annualizationFactor</f>
        <v>0.18038119422471596</v>
      </c>
      <c r="AD750" s="775">
        <f>$G$21*$M$8*'Traffic Data'!BF88*annualizationFactor</f>
        <v>0.18338339032920462</v>
      </c>
      <c r="AE750" s="775">
        <f>$G$21*$M$8*'Traffic Data'!BG88*annualizationFactor</f>
        <v>0.18638527399784094</v>
      </c>
      <c r="AF750" s="775">
        <f>$G$21*$M$8*'Traffic Data'!BH88*annualizationFactor</f>
        <v>0.18938747010232956</v>
      </c>
      <c r="AG750" s="775">
        <f>$G$21*$M$8*'Traffic Data'!BI88*annualizationFactor</f>
        <v>0.19238966620681819</v>
      </c>
      <c r="AH750" s="776">
        <f>$G$21*$M$8*'Traffic Data'!BJ88*annualizationFactor</f>
        <v>0.19539154987545462</v>
      </c>
      <c r="AI750" s="24"/>
      <c r="AJ750" s="24"/>
      <c r="AK750" s="24"/>
      <c r="AL750" s="24"/>
      <c r="AM750" s="24"/>
    </row>
    <row r="751" spans="2:39" ht="21.95" customHeight="1" x14ac:dyDescent="0.2">
      <c r="B751" s="492"/>
      <c r="C751" s="116" t="s">
        <v>357</v>
      </c>
      <c r="D751" s="116" t="s">
        <v>346</v>
      </c>
      <c r="E751" s="116" t="s">
        <v>19</v>
      </c>
      <c r="F751" s="116" t="s">
        <v>41</v>
      </c>
      <c r="G751" s="970"/>
      <c r="H751" s="970"/>
      <c r="I751" s="777">
        <f>$G$21*$M$8*'Traffic Data'!AK89*annualizationFactor</f>
        <v>1.5167370378787879E-2</v>
      </c>
      <c r="J751" s="777">
        <f>$G$21*$M$8*'Traffic Data'!AL89*annualizationFactor</f>
        <v>1.5597844298617426E-2</v>
      </c>
      <c r="K751" s="777">
        <f>$G$21*$M$8*'Traffic Data'!AM89*annualizationFactor</f>
        <v>1.6075556594350379E-2</v>
      </c>
      <c r="L751" s="777">
        <f>$G$21*$M$8*'Traffic Data'!AN89*annualizationFactor</f>
        <v>1.674607410749053E-2</v>
      </c>
      <c r="M751" s="777">
        <f>$G$21*$M$8*'Traffic Data'!AO89*annualizationFactor</f>
        <v>1.7416711363028411E-2</v>
      </c>
      <c r="N751" s="777">
        <f>$G$21*$M$8*'Traffic Data'!AP89*annualizationFactor</f>
        <v>1.8087488318030299E-2</v>
      </c>
      <c r="O751" s="777">
        <f>$G$21*$M$8*'Traffic Data'!AQ89*annualizationFactor</f>
        <v>1.8758005831170457E-2</v>
      </c>
      <c r="P751" s="777">
        <f>$G$21*$M$8*'Traffic Data'!AR89*annualizationFactor</f>
        <v>1.9428563258443183E-2</v>
      </c>
      <c r="Q751" s="777">
        <f>$G$21*$M$8*'Traffic Data'!AS89*annualizationFactor</f>
        <v>2.018224186680493E-2</v>
      </c>
      <c r="R751" s="777">
        <f>$G$21*$M$8*'Traffic Data'!AT89*annualizationFactor</f>
        <v>2.0935661033304926E-2</v>
      </c>
      <c r="S751" s="777">
        <f>$G$21*$M$8*'Traffic Data'!AU89*annualizationFactor</f>
        <v>2.1689339641666663E-2</v>
      </c>
      <c r="T751" s="777">
        <f>$G$21*$M$8*'Traffic Data'!AV89*annualizationFactor</f>
        <v>2.2443018250028406E-2</v>
      </c>
      <c r="U751" s="777">
        <f>$G$21*$M$8*'Traffic Data'!AW89*annualizationFactor</f>
        <v>2.319681660078788E-2</v>
      </c>
      <c r="V751" s="777">
        <f>$G$21*$M$8*'Traffic Data'!AX89*annualizationFactor</f>
        <v>2.3757769820007574E-2</v>
      </c>
      <c r="W751" s="777">
        <f>$G$21*$M$8*'Traffic Data'!AY89*annualizationFactor</f>
        <v>2.418824373983712E-2</v>
      </c>
      <c r="X751" s="777">
        <f>$G$21*$M$8*'Traffic Data'!AZ89*annualizationFactor</f>
        <v>2.4618717659666674E-2</v>
      </c>
      <c r="Y751" s="777">
        <f>$G$21*$M$8*'Traffic Data'!BA89*annualizationFactor</f>
        <v>2.5049191579496213E-2</v>
      </c>
      <c r="Z751" s="777">
        <f>$G$21*$M$8*'Traffic Data'!BB89*annualizationFactor</f>
        <v>2.5479445971596588E-2</v>
      </c>
      <c r="AA751" s="777">
        <f>$G$21*$M$8*'Traffic Data'!BC89*annualizationFactor</f>
        <v>2.5909919891426134E-2</v>
      </c>
      <c r="AB751" s="777">
        <f>$G$21*$M$8*'Traffic Data'!BD89*annualizationFactor</f>
        <v>2.6340174283526516E-2</v>
      </c>
      <c r="AC751" s="777">
        <f>$G$21*$M$8*'Traffic Data'!BE89*annualizationFactor</f>
        <v>2.6770648203356062E-2</v>
      </c>
      <c r="AD751" s="777">
        <f>$G$21*$M$8*'Traffic Data'!BF89*annualizationFactor</f>
        <v>2.7201122123185609E-2</v>
      </c>
      <c r="AE751" s="777">
        <f>$G$21*$M$8*'Traffic Data'!BG89*annualizationFactor</f>
        <v>2.7631376515285983E-2</v>
      </c>
      <c r="AF751" s="777">
        <f>$G$21*$M$8*'Traffic Data'!BH89*annualizationFactor</f>
        <v>2.806185043511553E-2</v>
      </c>
      <c r="AG751" s="777">
        <f>$G$21*$M$8*'Traffic Data'!BI89*annualizationFactor</f>
        <v>2.8492324354945069E-2</v>
      </c>
      <c r="AH751" s="778">
        <f>$G$21*$M$8*'Traffic Data'!BJ89*annualizationFactor</f>
        <v>2.8922578747045451E-2</v>
      </c>
      <c r="AI751" s="24"/>
      <c r="AJ751" s="24"/>
      <c r="AK751" s="24"/>
      <c r="AL751" s="24"/>
      <c r="AM751" s="24"/>
    </row>
    <row r="752" spans="2:39" ht="21.95" customHeight="1" x14ac:dyDescent="0.2">
      <c r="B752" s="492"/>
      <c r="C752" s="116" t="s">
        <v>346</v>
      </c>
      <c r="D752" s="116" t="s">
        <v>343</v>
      </c>
      <c r="E752" s="116" t="s">
        <v>19</v>
      </c>
      <c r="F752" s="116" t="s">
        <v>41</v>
      </c>
      <c r="G752" s="970"/>
      <c r="H752" s="970"/>
      <c r="I752" s="777">
        <f>$G$21*$M$8*'Traffic Data'!AK90*annualizationFactor</f>
        <v>3.7512045454545459E-3</v>
      </c>
      <c r="J752" s="777">
        <f>$G$21*$M$8*'Traffic Data'!AL90*annualizationFactor</f>
        <v>3.8576696534090909E-3</v>
      </c>
      <c r="K752" s="777">
        <f>$G$21*$M$8*'Traffic Data'!AM90*annualizationFactor</f>
        <v>3.9758177892045459E-3</v>
      </c>
      <c r="L752" s="777">
        <f>$G$21*$M$8*'Traffic Data'!AN90*annualizationFactor</f>
        <v>4.1416506448863633E-3</v>
      </c>
      <c r="M752" s="777">
        <f>$G$21*$M$8*'Traffic Data'!AO90*annualizationFactor</f>
        <v>4.3075131153409094E-3</v>
      </c>
      <c r="N752" s="777">
        <f>$G$21*$M$8*'Traffic Data'!AP90*annualizationFactor</f>
        <v>4.4734101363636354E-3</v>
      </c>
      <c r="O752" s="777">
        <f>$G$21*$M$8*'Traffic Data'!AQ90*annualizationFactor</f>
        <v>4.6392429920454545E-3</v>
      </c>
      <c r="P752" s="777">
        <f>$G$21*$M$8*'Traffic Data'!AR90*annualizationFactor</f>
        <v>4.8050857193181829E-3</v>
      </c>
      <c r="Q752" s="777">
        <f>$G$21*$M$8*'Traffic Data'!AS90*annualizationFactor</f>
        <v>4.9914860346590914E-3</v>
      </c>
      <c r="R752" s="777">
        <f>$G$21*$M$8*'Traffic Data'!AT90*annualizationFactor</f>
        <v>5.1778221846590896E-3</v>
      </c>
      <c r="S752" s="777">
        <f>$G$21*$M$8*'Traffic Data'!AU90*annualizationFactor</f>
        <v>5.3642224999999998E-3</v>
      </c>
      <c r="T752" s="777">
        <f>$G$21*$M$8*'Traffic Data'!AV90*annualizationFactor</f>
        <v>5.5506228153409084E-3</v>
      </c>
      <c r="U752" s="777">
        <f>$G$21*$M$8*'Traffic Data'!AW90*annualizationFactor</f>
        <v>5.7370527454545456E-3</v>
      </c>
      <c r="V752" s="777">
        <f>$G$21*$M$8*'Traffic Data'!AX90*annualizationFactor</f>
        <v>5.8757880840909077E-3</v>
      </c>
      <c r="W752" s="777">
        <f>$G$21*$M$8*'Traffic Data'!AY90*annualizationFactor</f>
        <v>5.9822531920454549E-3</v>
      </c>
      <c r="X752" s="777">
        <f>$G$21*$M$8*'Traffic Data'!AZ90*annualizationFactor</f>
        <v>6.0887183000000004E-3</v>
      </c>
      <c r="Y752" s="777">
        <f>$G$21*$M$8*'Traffic Data'!BA90*annualizationFactor</f>
        <v>6.1951834079545442E-3</v>
      </c>
      <c r="Z752" s="777">
        <f>$G$21*$M$8*'Traffic Data'!BB90*annualizationFactor</f>
        <v>6.3015942221590895E-3</v>
      </c>
      <c r="AA752" s="777">
        <f>$G$21*$M$8*'Traffic Data'!BC90*annualizationFactor</f>
        <v>6.4080593301136359E-3</v>
      </c>
      <c r="AB752" s="777">
        <f>$G$21*$M$8*'Traffic Data'!BD90*annualizationFactor</f>
        <v>6.514470144318182E-3</v>
      </c>
      <c r="AC752" s="777">
        <f>$G$21*$M$8*'Traffic Data'!BE90*annualizationFactor</f>
        <v>6.6209352522727267E-3</v>
      </c>
      <c r="AD752" s="777">
        <f>$G$21*$M$8*'Traffic Data'!BF90*annualizationFactor</f>
        <v>6.7274003602272739E-3</v>
      </c>
      <c r="AE752" s="777">
        <f>$G$21*$M$8*'Traffic Data'!BG90*annualizationFactor</f>
        <v>6.8338111744318175E-3</v>
      </c>
      <c r="AF752" s="777">
        <f>$G$21*$M$8*'Traffic Data'!BH90*annualizationFactor</f>
        <v>6.940276282386363E-3</v>
      </c>
      <c r="AG752" s="777">
        <f>$G$21*$M$8*'Traffic Data'!BI90*annualizationFactor</f>
        <v>7.0467413903409076E-3</v>
      </c>
      <c r="AH752" s="778">
        <f>$G$21*$M$8*'Traffic Data'!BJ90*annualizationFactor</f>
        <v>7.1531522045454529E-3</v>
      </c>
      <c r="AI752" s="24"/>
      <c r="AJ752" s="24"/>
      <c r="AK752" s="24"/>
      <c r="AL752" s="24"/>
      <c r="AM752" s="24"/>
    </row>
    <row r="753" spans="2:39" ht="21.95" customHeight="1" x14ac:dyDescent="0.2">
      <c r="B753" s="492"/>
      <c r="C753" s="116" t="s">
        <v>343</v>
      </c>
      <c r="D753" s="116" t="s">
        <v>350</v>
      </c>
      <c r="E753" s="116" t="s">
        <v>19</v>
      </c>
      <c r="F753" s="116" t="s">
        <v>41</v>
      </c>
      <c r="G753" s="970"/>
      <c r="H753" s="970"/>
      <c r="I753" s="777">
        <f>$G$21*$M$8*'Traffic Data'!AK91*annualizationFactor</f>
        <v>9.6248011363636379E-3</v>
      </c>
      <c r="J753" s="777">
        <f>$G$21*$M$8*'Traffic Data'!AL91*annualizationFactor</f>
        <v>9.8977284139204549E-3</v>
      </c>
      <c r="K753" s="777">
        <f>$G$21*$M$8*'Traffic Data'!AM91*annualizationFactor</f>
        <v>1.0208721779971591E-2</v>
      </c>
      <c r="L753" s="777">
        <f>$G$21*$M$8*'Traffic Data'!AN91*annualizationFactor</f>
        <v>1.0606097736221592E-2</v>
      </c>
      <c r="M753" s="777">
        <f>$G$21*$M$8*'Traffic Data'!AO91*annualizationFactor</f>
        <v>1.1003602023153409E-2</v>
      </c>
      <c r="N753" s="777">
        <f>$G$21*$M$8*'Traffic Data'!AP91*annualizationFactor</f>
        <v>1.1401042144744323E-2</v>
      </c>
      <c r="O753" s="777">
        <f>$G$21*$M$8*'Traffic Data'!AQ91*annualizationFactor</f>
        <v>1.1798418100994322E-2</v>
      </c>
      <c r="P753" s="777">
        <f>$G$21*$M$8*'Traffic Data'!AR91*annualizationFactor</f>
        <v>1.2195874263920456E-2</v>
      </c>
      <c r="Q753" s="777">
        <f>$G$21*$M$8*'Traffic Data'!AS91*annualizationFactor</f>
        <v>1.2645095815624998E-2</v>
      </c>
      <c r="R753" s="777">
        <f>$G$21*$M$8*'Traffic Data'!AT91*annualizationFactor</f>
        <v>1.3094301325994318E-2</v>
      </c>
      <c r="S753" s="777">
        <f>$G$21*$M$8*'Traffic Data'!AU91*annualizationFactor</f>
        <v>1.3543458712357955E-2</v>
      </c>
      <c r="T753" s="777">
        <f>$G$21*$M$8*'Traffic Data'!AV91*annualizationFactor</f>
        <v>1.3992680264062503E-2</v>
      </c>
      <c r="U753" s="777">
        <f>$G$21*$M$8*'Traffic Data'!AW91*annualizationFactor</f>
        <v>1.444198202244318E-2</v>
      </c>
      <c r="V753" s="777">
        <f>$G$21*$M$8*'Traffic Data'!AX91*annualizationFactor</f>
        <v>1.4804804942613638E-2</v>
      </c>
      <c r="W753" s="777">
        <f>$G$21*$M$8*'Traffic Data'!AY91*annualizationFactor</f>
        <v>1.5077732220170456E-2</v>
      </c>
      <c r="X753" s="777">
        <f>$G$21*$M$8*'Traffic Data'!AZ91*annualizationFactor</f>
        <v>1.5350659497727277E-2</v>
      </c>
      <c r="Y753" s="777">
        <f>$G$21*$M$8*'Traffic Data'!BA91*annualizationFactor</f>
        <v>1.5623586775284094E-2</v>
      </c>
      <c r="Z753" s="777">
        <f>$G$21*$M$8*'Traffic Data'!BB91*annualizationFactor</f>
        <v>1.5896433846164779E-2</v>
      </c>
      <c r="AA753" s="777">
        <f>$G$21*$M$8*'Traffic Data'!BC91*annualizationFactor</f>
        <v>1.6169361123721589E-2</v>
      </c>
      <c r="AB753" s="777">
        <f>$G$21*$M$8*'Traffic Data'!BD91*annualizationFactor</f>
        <v>1.6442208194602272E-2</v>
      </c>
      <c r="AC753" s="777">
        <f>$G$21*$M$8*'Traffic Data'!BE91*annualizationFactor</f>
        <v>1.6715135472159089E-2</v>
      </c>
      <c r="AD753" s="777">
        <f>$G$21*$M$8*'Traffic Data'!BF91*annualizationFactor</f>
        <v>1.6988062749715909E-2</v>
      </c>
      <c r="AE753" s="777">
        <f>$G$21*$M$8*'Traffic Data'!BG91*annualizationFactor</f>
        <v>1.7260909820596589E-2</v>
      </c>
      <c r="AF753" s="777">
        <f>$G$21*$M$8*'Traffic Data'!BH91*annualizationFactor</f>
        <v>1.7533837098153409E-2</v>
      </c>
      <c r="AG753" s="777">
        <f>$G$21*$M$8*'Traffic Data'!BI91*annualizationFactor</f>
        <v>1.7806764375710223E-2</v>
      </c>
      <c r="AH753" s="778">
        <f>$G$21*$M$8*'Traffic Data'!BJ91*annualizationFactor</f>
        <v>1.8079611446590906E-2</v>
      </c>
      <c r="AI753" s="24"/>
      <c r="AJ753" s="24"/>
      <c r="AK753" s="24"/>
      <c r="AL753" s="24"/>
      <c r="AM753" s="24"/>
    </row>
    <row r="754" spans="2:39" ht="21.95" customHeight="1" x14ac:dyDescent="0.2">
      <c r="B754" s="492"/>
      <c r="C754" s="116" t="s">
        <v>350</v>
      </c>
      <c r="D754" s="116" t="s">
        <v>280</v>
      </c>
      <c r="E754" s="116" t="s">
        <v>19</v>
      </c>
      <c r="F754" s="116" t="s">
        <v>41</v>
      </c>
      <c r="G754" s="970"/>
      <c r="H754" s="970"/>
      <c r="I754" s="777">
        <f>$G$21*$M$8*'Traffic Data'!AK92*annualizationFactor</f>
        <v>7.9910528409090908E-2</v>
      </c>
      <c r="J754" s="777">
        <f>$G$21*$M$8*'Traffic Data'!AL92*annualizationFactor</f>
        <v>8.2176524626344713E-2</v>
      </c>
      <c r="K754" s="777">
        <f>$G$21*$M$8*'Traffic Data'!AM92*annualizationFactor</f>
        <v>8.4758566983456435E-2</v>
      </c>
      <c r="L754" s="777">
        <f>$G$21*$M$8*'Traffic Data'!AN92*annualizationFactor</f>
        <v>8.8057806333039793E-2</v>
      </c>
      <c r="M754" s="777">
        <f>$G$21*$M$8*'Traffic Data'!AO92*annualizationFactor</f>
        <v>9.1358111156335228E-2</v>
      </c>
      <c r="N754" s="777">
        <f>$G$21*$M$8*'Traffic Data'!AP92*annualizationFactor</f>
        <v>9.465788324277466E-2</v>
      </c>
      <c r="O754" s="777">
        <f>$G$21*$M$8*'Traffic Data'!AQ92*annualizationFactor</f>
        <v>9.7957122592357976E-2</v>
      </c>
      <c r="P754" s="777">
        <f>$G$21*$M$8*'Traffic Data'!AR92*annualizationFactor</f>
        <v>0.1012570278630114</v>
      </c>
      <c r="Q754" s="777">
        <f>$G$21*$M$8*'Traffic Data'!AS92*annualizationFactor</f>
        <v>0.10498671859229167</v>
      </c>
      <c r="R754" s="777">
        <f>$G$21*$M$8*'Traffic Data'!AT92*annualizationFactor</f>
        <v>0.10871627613735797</v>
      </c>
      <c r="S754" s="777">
        <f>$G$21*$M$8*'Traffic Data'!AU92*annualizationFactor</f>
        <v>0.11244543412978221</v>
      </c>
      <c r="T754" s="777">
        <f>$G$21*$M$8*'Traffic Data'!AV92*annualizationFactor</f>
        <v>0.11617512485906253</v>
      </c>
      <c r="U754" s="777">
        <f>$G$21*$M$8*'Traffic Data'!AW92*annualizationFactor</f>
        <v>0.11990548150941288</v>
      </c>
      <c r="V754" s="777">
        <f>$G$21*$M$8*'Traffic Data'!AX92*annualizationFactor</f>
        <v>0.12291784206200758</v>
      </c>
      <c r="W754" s="777">
        <f>$G$21*$M$8*'Traffic Data'!AY92*annualizationFactor</f>
        <v>0.12518383827926138</v>
      </c>
      <c r="X754" s="777">
        <f>$G$21*$M$8*'Traffic Data'!AZ92*annualizationFactor</f>
        <v>0.12744983449651517</v>
      </c>
      <c r="Y754" s="777">
        <f>$G$21*$M$8*'Traffic Data'!BA92*annualizationFactor</f>
        <v>0.12971583071376896</v>
      </c>
      <c r="Z754" s="777">
        <f>$G$21*$M$8*'Traffic Data'!BB92*annualizationFactor</f>
        <v>0.13198116100995269</v>
      </c>
      <c r="AA754" s="777">
        <f>$G$21*$M$8*'Traffic Data'!BC92*annualizationFactor</f>
        <v>0.13424715722720643</v>
      </c>
      <c r="AB754" s="777">
        <f>$G$21*$M$8*'Traffic Data'!BD92*annualizationFactor</f>
        <v>0.13651248752339012</v>
      </c>
      <c r="AC754" s="777">
        <f>$G$21*$M$8*'Traffic Data'!BE92*annualizationFactor</f>
        <v>0.13877848374064394</v>
      </c>
      <c r="AD754" s="777">
        <f>$G$21*$M$8*'Traffic Data'!BF92*annualizationFactor</f>
        <v>0.14104447995789773</v>
      </c>
      <c r="AE754" s="777">
        <f>$G$21*$M$8*'Traffic Data'!BG92*annualizationFactor</f>
        <v>0.1433098102540814</v>
      </c>
      <c r="AF754" s="777">
        <f>$G$21*$M$8*'Traffic Data'!BH92*annualizationFactor</f>
        <v>0.14557580647133522</v>
      </c>
      <c r="AG754" s="777">
        <f>$G$21*$M$8*'Traffic Data'!BI92*annualizationFactor</f>
        <v>0.14784180268858899</v>
      </c>
      <c r="AH754" s="778">
        <f>$G$21*$M$8*'Traffic Data'!BJ92*annualizationFactor</f>
        <v>0.15010713298477268</v>
      </c>
      <c r="AI754" s="24"/>
      <c r="AJ754" s="24"/>
      <c r="AK754" s="24"/>
      <c r="AL754" s="24"/>
      <c r="AM754" s="24"/>
    </row>
    <row r="755" spans="2:39" ht="21.95" customHeight="1" x14ac:dyDescent="0.2">
      <c r="B755" s="493"/>
      <c r="C755" s="254" t="s">
        <v>280</v>
      </c>
      <c r="D755" s="254" t="s">
        <v>333</v>
      </c>
      <c r="E755" s="254" t="s">
        <v>19</v>
      </c>
      <c r="F755" s="254" t="s">
        <v>41</v>
      </c>
      <c r="G755" s="779"/>
      <c r="H755" s="779"/>
      <c r="I755" s="779">
        <f>$G$21*$M$8*'Traffic Data'!AK93*annualizationFactor</f>
        <v>1.9743181818181821E-3</v>
      </c>
      <c r="J755" s="779">
        <f>$G$21*$M$8*'Traffic Data'!AL93*annualizationFactor</f>
        <v>2.0303032643939401E-3</v>
      </c>
      <c r="K755" s="779">
        <f>$G$21*$M$8*'Traffic Data'!AM93*annualizationFactor</f>
        <v>2.0940967753787878E-3</v>
      </c>
      <c r="L755" s="779">
        <f>$G$21*$M$8*'Traffic Data'!AN93*annualizationFactor</f>
        <v>2.1756097920454551E-3</v>
      </c>
      <c r="M755" s="779">
        <f>$G$21*$M$8*'Traffic Data'!AO93*annualizationFactor</f>
        <v>2.2571491329545453E-3</v>
      </c>
      <c r="N755" s="779">
        <f>$G$21*$M$8*'Traffic Data'!AP93*annualizationFactor</f>
        <v>2.338675311742425E-3</v>
      </c>
      <c r="O755" s="779">
        <f>$G$21*$M$8*'Traffic Data'!AQ93*annualizationFactor</f>
        <v>2.4201883284090918E-3</v>
      </c>
      <c r="P755" s="779">
        <f>$G$21*$M$8*'Traffic Data'!AR93*annualizationFactor</f>
        <v>2.5017177977272737E-3</v>
      </c>
      <c r="Q755" s="779">
        <f>$G$21*$M$8*'Traffic Data'!AS93*annualizationFactor</f>
        <v>2.5938658083333337E-3</v>
      </c>
      <c r="R755" s="779">
        <f>$G$21*$M$8*'Traffic Data'!AT93*annualizationFactor</f>
        <v>2.6860105284090916E-3</v>
      </c>
      <c r="S755" s="779">
        <f>$G$21*$M$8*'Traffic Data'!AU93*annualizationFactor</f>
        <v>2.7781453768939398E-3</v>
      </c>
      <c r="T755" s="779">
        <f>$G$21*$M$8*'Traffic Data'!AV93*annualizationFactor</f>
        <v>2.8702933875000007E-3</v>
      </c>
      <c r="U755" s="779">
        <f>$G$21*$M$8*'Traffic Data'!AW93*annualizationFactor</f>
        <v>2.9624578507575759E-3</v>
      </c>
      <c r="V755" s="779">
        <f>$G$21*$M$8*'Traffic Data'!AX93*annualizationFactor</f>
        <v>3.0368830651515155E-3</v>
      </c>
      <c r="W755" s="779">
        <f>$G$21*$M$8*'Traffic Data'!AY93*annualizationFactor</f>
        <v>3.0928681477272739E-3</v>
      </c>
      <c r="X755" s="779">
        <f>$G$21*$M$8*'Traffic Data'!AZ93*annualizationFactor</f>
        <v>3.1488532303030315E-3</v>
      </c>
      <c r="Y755" s="779">
        <f>$G$21*$M$8*'Traffic Data'!BA93*annualizationFactor</f>
        <v>3.2048383128787886E-3</v>
      </c>
      <c r="Z755" s="779">
        <f>$G$21*$M$8*'Traffic Data'!BB93*annualizationFactor</f>
        <v>3.2608069428030307E-3</v>
      </c>
      <c r="AA755" s="779">
        <f>$G$21*$M$8*'Traffic Data'!BC93*annualizationFactor</f>
        <v>3.3167920253787874E-3</v>
      </c>
      <c r="AB755" s="779">
        <f>$G$21*$M$8*'Traffic Data'!BD93*annualizationFactor</f>
        <v>3.37276065530303E-3</v>
      </c>
      <c r="AC755" s="779">
        <f>$G$21*$M$8*'Traffic Data'!BE93*annualizationFactor</f>
        <v>3.4287457378787871E-3</v>
      </c>
      <c r="AD755" s="779">
        <f>$G$21*$M$8*'Traffic Data'!BF93*annualizationFactor</f>
        <v>3.4847308204545447E-3</v>
      </c>
      <c r="AE755" s="779">
        <f>$G$21*$M$8*'Traffic Data'!BG93*annualizationFactor</f>
        <v>3.5406994503787872E-3</v>
      </c>
      <c r="AF755" s="779">
        <f>$G$21*$M$8*'Traffic Data'!BH93*annualizationFactor</f>
        <v>3.5966845329545452E-3</v>
      </c>
      <c r="AG755" s="779">
        <f>$G$21*$M$8*'Traffic Data'!BI93*annualizationFactor</f>
        <v>3.6526696155303024E-3</v>
      </c>
      <c r="AH755" s="783">
        <f>$G$21*$M$8*'Traffic Data'!BJ93*annualizationFactor</f>
        <v>3.7086382454545454E-3</v>
      </c>
      <c r="AI755" s="24"/>
      <c r="AJ755" s="24"/>
      <c r="AK755" s="24"/>
      <c r="AL755" s="24"/>
      <c r="AM755" s="24"/>
    </row>
    <row r="756" spans="2:39" ht="21.95" customHeight="1" x14ac:dyDescent="0.2">
      <c r="B756" s="1109" t="s">
        <v>494</v>
      </c>
      <c r="C756" s="240"/>
      <c r="D756" s="240"/>
      <c r="E756" s="240"/>
      <c r="F756" s="240"/>
      <c r="G756" s="969">
        <f>SUM(G727:G755)</f>
        <v>0</v>
      </c>
      <c r="H756" s="969">
        <f>SUM(H727:H755)</f>
        <v>0</v>
      </c>
      <c r="I756" s="785">
        <f t="shared" ref="I756:AH756" si="68">SUM(I727:I755)</f>
        <v>3.0983876174469707</v>
      </c>
      <c r="J756" s="785">
        <f t="shared" si="68"/>
        <v>3.2149192436864307</v>
      </c>
      <c r="K756" s="785">
        <f t="shared" si="68"/>
        <v>3.3730036002325918</v>
      </c>
      <c r="L756" s="785">
        <f t="shared" si="68"/>
        <v>3.6149671886761334</v>
      </c>
      <c r="M756" s="785">
        <f t="shared" si="68"/>
        <v>3.8570394042047562</v>
      </c>
      <c r="N756" s="785">
        <f t="shared" si="68"/>
        <v>4.0991125099304124</v>
      </c>
      <c r="O756" s="785">
        <f t="shared" si="68"/>
        <v>4.3410760983739545</v>
      </c>
      <c r="P756" s="785">
        <f t="shared" si="68"/>
        <v>4.5832566135601471</v>
      </c>
      <c r="Q756" s="785">
        <f t="shared" si="68"/>
        <v>4.8040629457944481</v>
      </c>
      <c r="R756" s="785">
        <f t="shared" si="68"/>
        <v>5.0240463570807856</v>
      </c>
      <c r="S756" s="785">
        <f t="shared" si="68"/>
        <v>5.2439842170724322</v>
      </c>
      <c r="T756" s="785">
        <f t="shared" si="68"/>
        <v>5.4639211022247327</v>
      </c>
      <c r="U756" s="785">
        <f t="shared" si="68"/>
        <v>5.6840744800131828</v>
      </c>
      <c r="V756" s="785">
        <f t="shared" si="68"/>
        <v>5.8209263235923769</v>
      </c>
      <c r="W756" s="785">
        <f t="shared" si="68"/>
        <v>5.9121483821945668</v>
      </c>
      <c r="X756" s="785">
        <f t="shared" si="68"/>
        <v>6.0061801863154791</v>
      </c>
      <c r="Y756" s="785">
        <f t="shared" si="68"/>
        <v>6.1002119904363905</v>
      </c>
      <c r="Z756" s="785">
        <f t="shared" si="68"/>
        <v>6.1943012089981995</v>
      </c>
      <c r="AA756" s="785">
        <f t="shared" si="68"/>
        <v>6.2919146772295038</v>
      </c>
      <c r="AB756" s="785">
        <f t="shared" si="68"/>
        <v>6.3900677336086016</v>
      </c>
      <c r="AC756" s="785">
        <f t="shared" si="68"/>
        <v>6.4881653767191239</v>
      </c>
      <c r="AD756" s="785">
        <f t="shared" si="68"/>
        <v>6.5862630198296461</v>
      </c>
      <c r="AE756" s="785">
        <f t="shared" si="68"/>
        <v>6.684419026234969</v>
      </c>
      <c r="AF756" s="785">
        <f t="shared" si="68"/>
        <v>6.7825166693454904</v>
      </c>
      <c r="AG756" s="785">
        <f t="shared" si="68"/>
        <v>6.88061431245601</v>
      </c>
      <c r="AH756" s="786">
        <f t="shared" si="68"/>
        <v>6.9787673688351104</v>
      </c>
      <c r="AI756" s="24"/>
      <c r="AJ756" s="24"/>
      <c r="AK756" s="24"/>
      <c r="AL756" s="24"/>
      <c r="AM756" s="24"/>
    </row>
    <row r="757" spans="2:39" ht="21.95" customHeight="1" x14ac:dyDescent="0.2">
      <c r="B757" s="787" t="s">
        <v>328</v>
      </c>
      <c r="C757" s="1344" t="s">
        <v>18</v>
      </c>
      <c r="D757" s="1344"/>
      <c r="E757" s="46" t="s">
        <v>24</v>
      </c>
      <c r="F757" s="46" t="s">
        <v>42</v>
      </c>
      <c r="G757" s="123" cm="1">
        <f t="array" ref="G757:AH757">year</f>
        <v>2021</v>
      </c>
      <c r="H757" s="123">
        <v>2022</v>
      </c>
      <c r="I757" s="46">
        <v>2023</v>
      </c>
      <c r="J757" s="46">
        <v>2024</v>
      </c>
      <c r="K757" s="46">
        <v>2025</v>
      </c>
      <c r="L757" s="46">
        <v>2026</v>
      </c>
      <c r="M757" s="46">
        <v>2027</v>
      </c>
      <c r="N757" s="46">
        <v>2028</v>
      </c>
      <c r="O757" s="46">
        <v>2029</v>
      </c>
      <c r="P757" s="46">
        <v>2030</v>
      </c>
      <c r="Q757" s="46">
        <v>2031</v>
      </c>
      <c r="R757" s="46">
        <v>2032</v>
      </c>
      <c r="S757" s="46">
        <v>2033</v>
      </c>
      <c r="T757" s="46">
        <v>2034</v>
      </c>
      <c r="U757" s="46">
        <v>2035</v>
      </c>
      <c r="V757" s="46">
        <v>2036</v>
      </c>
      <c r="W757" s="46">
        <v>2037</v>
      </c>
      <c r="X757" s="46">
        <v>2038</v>
      </c>
      <c r="Y757" s="46">
        <v>2039</v>
      </c>
      <c r="Z757" s="46">
        <v>2040</v>
      </c>
      <c r="AA757" s="46">
        <v>2041</v>
      </c>
      <c r="AB757" s="46">
        <v>2042</v>
      </c>
      <c r="AC757" s="46">
        <v>2043</v>
      </c>
      <c r="AD757" s="46">
        <v>2044</v>
      </c>
      <c r="AE757" s="46">
        <v>2045</v>
      </c>
      <c r="AF757" s="46">
        <v>2046</v>
      </c>
      <c r="AG757" s="46">
        <v>2047</v>
      </c>
      <c r="AH757" s="495">
        <v>2048</v>
      </c>
      <c r="AI757" s="24"/>
      <c r="AJ757" s="24"/>
      <c r="AK757" s="24"/>
      <c r="AL757" s="24"/>
      <c r="AM757" s="24"/>
    </row>
    <row r="758" spans="2:39" ht="21.95" customHeight="1" x14ac:dyDescent="0.2">
      <c r="B758" s="1346" t="s">
        <v>331</v>
      </c>
      <c r="C758" s="220" t="s">
        <v>332</v>
      </c>
      <c r="D758" s="220" t="s">
        <v>282</v>
      </c>
      <c r="E758" s="220" t="s">
        <v>467</v>
      </c>
      <c r="F758" s="220" t="s">
        <v>41</v>
      </c>
      <c r="G758" s="775"/>
      <c r="H758" s="775"/>
      <c r="I758" s="775">
        <f>$G$22*$E$9*'Traffic Data'!AK65*annualizationFactor</f>
        <v>4.3274400000000001E-3</v>
      </c>
      <c r="J758" s="775">
        <f>$G$22*$E$9*'Traffic Data'!AL65*annualizationFactor</f>
        <v>4.5242168107500003E-3</v>
      </c>
      <c r="K758" s="775">
        <f>$G$22*$E$9*'Traffic Data'!AM65*annualizationFactor</f>
        <v>4.8014569590000018E-3</v>
      </c>
      <c r="L758" s="775">
        <f>$G$22*$E$9*'Traffic Data'!AN65*annualizationFactor</f>
        <v>5.2092640860000004E-3</v>
      </c>
      <c r="M758" s="775">
        <f>$G$22*$E$9*'Traffic Data'!AO65*annualizationFactor</f>
        <v>5.61721996875E-3</v>
      </c>
      <c r="N758" s="775">
        <f>$G$22*$E$9*'Traffic Data'!AP65*annualizationFactor</f>
        <v>6.0251758514999997E-3</v>
      </c>
      <c r="O758" s="775">
        <f>$G$22*$E$9*'Traffic Data'!AQ65*annualizationFactor</f>
        <v>6.4329829785000001E-3</v>
      </c>
      <c r="P758" s="775">
        <f>$G$22*$E$9*'Traffic Data'!AR65*annualizationFactor</f>
        <v>6.8410876169999997E-3</v>
      </c>
      <c r="Q758" s="775">
        <f>$G$22*$E$9*'Traffic Data'!AS65*annualizationFactor</f>
        <v>7.2443644552500006E-3</v>
      </c>
      <c r="R758" s="775">
        <f>$G$22*$E$9*'Traffic Data'!AT65*annualizationFactor</f>
        <v>7.6477224330000005E-3</v>
      </c>
      <c r="S758" s="775">
        <f>$G$22*$E$9*'Traffic Data'!AU65*annualizationFactor</f>
        <v>8.050999271250003E-3</v>
      </c>
      <c r="T758" s="775">
        <f>$G$22*$E$9*'Traffic Data'!AV65*annualizationFactor</f>
        <v>8.4542761095000012E-3</v>
      </c>
      <c r="U758" s="775">
        <f>$G$22*$E$9*'Traffic Data'!AW65*annualizationFactor</f>
        <v>8.8578504592500013E-3</v>
      </c>
      <c r="V758" s="775">
        <f>$G$22*$E$9*'Traffic Data'!AX65*annualizationFactor</f>
        <v>9.1304115630000023E-3</v>
      </c>
      <c r="W758" s="775">
        <f>$G$22*$E$9*'Traffic Data'!AY65*annualizationFactor</f>
        <v>9.3271883737500016E-3</v>
      </c>
      <c r="X758" s="775">
        <f>$G$22*$E$9*'Traffic Data'!AZ65*annualizationFactor</f>
        <v>9.5239651844999992E-3</v>
      </c>
      <c r="Y758" s="775">
        <f>$G$22*$E$9*'Traffic Data'!BA65*annualizationFactor</f>
        <v>9.7207419952500002E-3</v>
      </c>
      <c r="Z758" s="775">
        <f>$G$22*$E$9*'Traffic Data'!BB65*annualizationFactor</f>
        <v>9.9175864222500014E-3</v>
      </c>
      <c r="AA758" s="775">
        <f>$G$22*$E$9*'Traffic Data'!BC65*annualizationFactor</f>
        <v>1.0114363233000002E-2</v>
      </c>
      <c r="AB758" s="775">
        <f>$G$22*$E$9*'Traffic Data'!BD65*annualizationFactor</f>
        <v>1.0311207659999998E-2</v>
      </c>
      <c r="AC758" s="775">
        <f>$G$22*$E$9*'Traffic Data'!BE65*annualizationFactor</f>
        <v>1.0507984470750001E-2</v>
      </c>
      <c r="AD758" s="775">
        <f>$G$22*$E$9*'Traffic Data'!BF65*annualizationFactor</f>
        <v>1.0704761281499999E-2</v>
      </c>
      <c r="AE758" s="775">
        <f>$G$22*$E$9*'Traffic Data'!BG65*annualizationFactor</f>
        <v>1.0901605708499998E-2</v>
      </c>
      <c r="AF758" s="775">
        <f>$G$22*$E$9*'Traffic Data'!BH65*annualizationFactor</f>
        <v>1.1098382519249999E-2</v>
      </c>
      <c r="AG758" s="775">
        <f>$G$22*$E$9*'Traffic Data'!BI65*annualizationFactor</f>
        <v>1.129515933E-2</v>
      </c>
      <c r="AH758" s="776">
        <f>$G$22*$E$9*'Traffic Data'!BJ65*annualizationFactor</f>
        <v>1.1492003757E-2</v>
      </c>
      <c r="AI758" s="24"/>
      <c r="AJ758" s="24"/>
      <c r="AK758" s="24"/>
      <c r="AL758" s="24"/>
      <c r="AM758" s="24"/>
    </row>
    <row r="759" spans="2:39" ht="21.95" customHeight="1" x14ac:dyDescent="0.2">
      <c r="B759" s="1346"/>
      <c r="C759" s="116" t="s">
        <v>282</v>
      </c>
      <c r="D759" s="116" t="s">
        <v>280</v>
      </c>
      <c r="E759" s="116" t="s">
        <v>467</v>
      </c>
      <c r="F759" s="116" t="s">
        <v>41</v>
      </c>
      <c r="G759" s="970"/>
      <c r="H759" s="970"/>
      <c r="I759" s="777">
        <f>$G$22*$E$9*'Traffic Data'!AK66*annualizationFactor</f>
        <v>0.13915036022727273</v>
      </c>
      <c r="J759" s="777">
        <f>$G$22*$E$9*'Traffic Data'!AL66*annualizationFactor</f>
        <v>0.14649543776045454</v>
      </c>
      <c r="K759" s="777">
        <f>$G$22*$E$9*'Traffic Data'!AM66*annualizationFactor</f>
        <v>0.15752130000750003</v>
      </c>
      <c r="L759" s="777">
        <f>$G$22*$E$9*'Traffic Data'!AN66*annualizationFactor</f>
        <v>0.17573762827636366</v>
      </c>
      <c r="M759" s="777">
        <f>$G$22*$E$9*'Traffic Data'!AO66*annualizationFactor</f>
        <v>0.19396220249250004</v>
      </c>
      <c r="N759" s="777">
        <f>$G$22*$E$9*'Traffic Data'!AP66*annualizationFactor</f>
        <v>0.21218574596522727</v>
      </c>
      <c r="O759" s="777">
        <f>$G$22*$E$9*'Traffic Data'!AQ66*annualizationFactor</f>
        <v>0.23040207423409095</v>
      </c>
      <c r="P759" s="777">
        <f>$G$22*$E$9*'Traffic Data'!AR66*annualizationFactor</f>
        <v>0.24863489439749997</v>
      </c>
      <c r="Q759" s="777">
        <f>$G$22*$E$9*'Traffic Data'!AS66*annualizationFactor</f>
        <v>0.26702954127613637</v>
      </c>
      <c r="R759" s="777">
        <f>$G$22*$E$9*'Traffic Data'!AT66*annualizationFactor</f>
        <v>0.28543037261522725</v>
      </c>
      <c r="S759" s="777">
        <f>$G$22*$E$9*'Traffic Data'!AU66*annualizationFactor</f>
        <v>0.30382501949386365</v>
      </c>
      <c r="T759" s="777">
        <f>$G$22*$E$9*'Traffic Data'!AV66*annualizationFactor</f>
        <v>0.32221966637250005</v>
      </c>
      <c r="U759" s="777">
        <f>$G$22*$E$9*'Traffic Data'!AW66*annualizationFactor</f>
        <v>0.34063080514568184</v>
      </c>
      <c r="V759" s="777">
        <f>$G$22*$E$9*'Traffic Data'!AX66*annualizationFactor</f>
        <v>0.35182674005522735</v>
      </c>
      <c r="W759" s="777">
        <f>$G$22*$E$9*'Traffic Data'!AY66*annualizationFactor</f>
        <v>0.35917181758840905</v>
      </c>
      <c r="X759" s="777">
        <f>$G$22*$E$9*'Traffic Data'!AZ66*annualizationFactor</f>
        <v>0.36651689512159091</v>
      </c>
      <c r="Y759" s="777">
        <f>$G$22*$E$9*'Traffic Data'!BA66*annualizationFactor</f>
        <v>0.37386197265477283</v>
      </c>
      <c r="Z759" s="777">
        <f>$G$22*$E$9*'Traffic Data'!BB66*annualizationFactor</f>
        <v>0.38121117316159098</v>
      </c>
      <c r="AA759" s="777">
        <f>$G$22*$E$9*'Traffic Data'!BC66*annualizationFactor</f>
        <v>0.38855625069477268</v>
      </c>
      <c r="AB759" s="777">
        <f>$G$22*$E$9*'Traffic Data'!BD66*annualizationFactor</f>
        <v>0.39590545120159093</v>
      </c>
      <c r="AC759" s="777">
        <f>$G$22*$E$9*'Traffic Data'!BE66*annualizationFactor</f>
        <v>0.4032505287347728</v>
      </c>
      <c r="AD759" s="777">
        <f>$G$22*$E$9*'Traffic Data'!BF66*annualizationFactor</f>
        <v>0.41059560626795466</v>
      </c>
      <c r="AE759" s="777">
        <f>$G$22*$E$9*'Traffic Data'!BG66*annualizationFactor</f>
        <v>0.41794480677477275</v>
      </c>
      <c r="AF759" s="777">
        <f>$G$22*$E$9*'Traffic Data'!BH66*annualizationFactor</f>
        <v>0.42528988430795456</v>
      </c>
      <c r="AG759" s="777">
        <f>$G$22*$E$9*'Traffic Data'!BI66*annualizationFactor</f>
        <v>0.43263496184113637</v>
      </c>
      <c r="AH759" s="778">
        <f>$G$22*$E$9*'Traffic Data'!BJ66*annualizationFactor</f>
        <v>0.43998416234795462</v>
      </c>
      <c r="AI759" s="24"/>
      <c r="AJ759" s="24"/>
      <c r="AK759" s="24"/>
      <c r="AL759" s="24"/>
      <c r="AM759" s="24"/>
    </row>
    <row r="760" spans="2:39" ht="21.95" customHeight="1" x14ac:dyDescent="0.2">
      <c r="B760" s="1346"/>
      <c r="C760" s="116" t="s">
        <v>280</v>
      </c>
      <c r="D760" s="116" t="s">
        <v>333</v>
      </c>
      <c r="E760" s="254" t="s">
        <v>467</v>
      </c>
      <c r="F760" s="254" t="s">
        <v>41</v>
      </c>
      <c r="G760" s="779"/>
      <c r="H760" s="779"/>
      <c r="I760" s="777">
        <f>$G$22*$E$9*'Traffic Data'!AK67*annualizationFactor</f>
        <v>3.2455800000000001E-3</v>
      </c>
      <c r="J760" s="777">
        <f>$G$22*$E$9*'Traffic Data'!AL67*annualizationFactor</f>
        <v>3.3811100114999998E-3</v>
      </c>
      <c r="K760" s="777">
        <f>$G$22*$E$9*'Traffic Data'!AM67*annualizationFactor</f>
        <v>3.5488524044999994E-3</v>
      </c>
      <c r="L760" s="777">
        <f>$G$22*$E$9*'Traffic Data'!AN67*annualizationFactor</f>
        <v>3.7746906794999999E-3</v>
      </c>
      <c r="M760" s="777">
        <f>$G$22*$E$9*'Traffic Data'!AO67*annualizationFactor</f>
        <v>4.0006100940000013E-3</v>
      </c>
      <c r="N760" s="777">
        <f>$G$22*$E$9*'Traffic Data'!AP67*annualizationFactor</f>
        <v>4.2265024620000008E-3</v>
      </c>
      <c r="O760" s="777">
        <f>$G$22*$E$9*'Traffic Data'!AQ67*annualizationFactor</f>
        <v>4.4523407370000009E-3</v>
      </c>
      <c r="P760" s="777">
        <f>$G$22*$E$9*'Traffic Data'!AR67*annualizationFactor</f>
        <v>4.6783412910000018E-3</v>
      </c>
      <c r="Q760" s="777">
        <f>$G$22*$E$9*'Traffic Data'!AS67*annualizationFactor</f>
        <v>4.8973097549999999E-3</v>
      </c>
      <c r="R760" s="777">
        <f>$G$22*$E$9*'Traffic Data'!AT67*annualizationFactor</f>
        <v>5.1163593584999988E-3</v>
      </c>
      <c r="S760" s="777">
        <f>$G$22*$E$9*'Traffic Data'!AU67*annualizationFactor</f>
        <v>5.3353278224999995E-3</v>
      </c>
      <c r="T760" s="777">
        <f>$G$22*$E$9*'Traffic Data'!AV67*annualizationFactor</f>
        <v>5.5542962865000002E-3</v>
      </c>
      <c r="U760" s="777">
        <f>$G$22*$E$9*'Traffic Data'!AW67*annualizationFactor</f>
        <v>5.7734270295000008E-3</v>
      </c>
      <c r="V760" s="777">
        <f>$G$22*$E$9*'Traffic Data'!AX67*annualizationFactor</f>
        <v>5.9342184719999996E-3</v>
      </c>
      <c r="W760" s="777">
        <f>$G$22*$E$9*'Traffic Data'!AY67*annualizationFactor</f>
        <v>6.0697484835000003E-3</v>
      </c>
      <c r="X760" s="777">
        <f>$G$22*$E$9*'Traffic Data'!AZ67*annualizationFactor</f>
        <v>6.2052784949999992E-3</v>
      </c>
      <c r="Y760" s="777">
        <f>$G$22*$E$9*'Traffic Data'!BA67*annualizationFactor</f>
        <v>6.3408085065000007E-3</v>
      </c>
      <c r="Z760" s="777">
        <f>$G$22*$E$9*'Traffic Data'!BB67*annualizationFactor</f>
        <v>6.4763926110000007E-3</v>
      </c>
      <c r="AA760" s="777">
        <f>$G$22*$E$9*'Traffic Data'!BC67*annualizationFactor</f>
        <v>6.6119226224999996E-3</v>
      </c>
      <c r="AB760" s="777">
        <f>$G$22*$E$9*'Traffic Data'!BD67*annualizationFactor</f>
        <v>6.7475067270000005E-3</v>
      </c>
      <c r="AC760" s="777">
        <f>$G$22*$E$9*'Traffic Data'!BE67*annualizationFactor</f>
        <v>6.883036738500002E-3</v>
      </c>
      <c r="AD760" s="777">
        <f>$G$22*$E$9*'Traffic Data'!BF67*annualizationFactor</f>
        <v>7.0185667499999991E-3</v>
      </c>
      <c r="AE760" s="777">
        <f>$G$22*$E$9*'Traffic Data'!BG67*annualizationFactor</f>
        <v>7.1541508545000009E-3</v>
      </c>
      <c r="AF760" s="777">
        <f>$G$22*$E$9*'Traffic Data'!BH67*annualizationFactor</f>
        <v>7.2896808659999998E-3</v>
      </c>
      <c r="AG760" s="777">
        <f>$G$22*$E$9*'Traffic Data'!BI67*annualizationFactor</f>
        <v>7.4252108774999987E-3</v>
      </c>
      <c r="AH760" s="778">
        <f>$G$22*$E$9*'Traffic Data'!BJ67*annualizationFactor</f>
        <v>7.5607949820000004E-3</v>
      </c>
      <c r="AI760" s="24"/>
      <c r="AJ760" s="24"/>
      <c r="AK760" s="24"/>
      <c r="AL760" s="24"/>
      <c r="AM760" s="24"/>
    </row>
    <row r="761" spans="2:39" ht="21.95" customHeight="1" x14ac:dyDescent="0.2">
      <c r="B761" s="1346" t="s">
        <v>280</v>
      </c>
      <c r="C761" s="220" t="s">
        <v>281</v>
      </c>
      <c r="D761" s="220" t="s">
        <v>335</v>
      </c>
      <c r="E761" s="116" t="s">
        <v>467</v>
      </c>
      <c r="F761" s="116" t="s">
        <v>41</v>
      </c>
      <c r="G761" s="970"/>
      <c r="H761" s="970"/>
      <c r="I761" s="775">
        <f>$G$22*$F$9*'Traffic Data'!AK68*annualizationFactor</f>
        <v>3.0251200000000002E-2</v>
      </c>
      <c r="J761" s="775">
        <f>$G$22*$F$9*'Traffic Data'!AL68*annualizationFactor</f>
        <v>3.3311260135999998E-2</v>
      </c>
      <c r="K761" s="775">
        <f>$G$22*$F$9*'Traffic Data'!AM68*annualizationFactor</f>
        <v>4.0152720271999995E-2</v>
      </c>
      <c r="L761" s="775">
        <f>$G$22*$F$9*'Traffic Data'!AN68*annualizationFactor</f>
        <v>5.3894327872000006E-2</v>
      </c>
      <c r="M761" s="775">
        <f>$G$22*$F$9*'Traffic Data'!AO68*annualizationFactor</f>
        <v>6.7644405807999991E-2</v>
      </c>
      <c r="N761" s="775">
        <f>$G$22*$F$9*'Traffic Data'!AP68*annualizationFactor</f>
        <v>8.139297118399999E-2</v>
      </c>
      <c r="O761" s="775">
        <f>$G$22*$F$9*'Traffic Data'!AQ68*annualizationFactor</f>
        <v>9.5134578783999987E-2</v>
      </c>
      <c r="P761" s="775">
        <f>$G$22*$F$9*'Traffic Data'!AR68*annualizationFactor</f>
        <v>0.108893127056</v>
      </c>
      <c r="Q761" s="775">
        <f>$G$22*$F$9*'Traffic Data'!AS68*annualizationFactor</f>
        <v>0.12239363259199998</v>
      </c>
      <c r="R761" s="775">
        <f>$G$22*$F$9*'Traffic Data'!AT68*annualizationFactor</f>
        <v>0.13590094464799995</v>
      </c>
      <c r="S761" s="775">
        <f>$G$22*$F$9*'Traffic Data'!AU68*annualizationFactor</f>
        <v>0.149401450184</v>
      </c>
      <c r="T761" s="775">
        <f>$G$22*$F$9*'Traffic Data'!AV68*annualizationFactor</f>
        <v>0.16290195571999999</v>
      </c>
      <c r="U761" s="775">
        <f>$G$22*$F$9*'Traffic Data'!AW68*annualizationFactor</f>
        <v>0.17641940192800001</v>
      </c>
      <c r="V761" s="775">
        <f>$G$22*$F$9*'Traffic Data'!AX68*annualizationFactor</f>
        <v>0.18301128966399999</v>
      </c>
      <c r="W761" s="775">
        <f>$G$22*$F$9*'Traffic Data'!AY68*annualizationFactor</f>
        <v>0.18607134979999998</v>
      </c>
      <c r="X761" s="775">
        <f>$G$22*$F$9*'Traffic Data'!AZ68*annualizationFactor</f>
        <v>0.18913140993599997</v>
      </c>
      <c r="Y761" s="775">
        <f>$G$22*$F$9*'Traffic Data'!BA68*annualizationFactor</f>
        <v>0.19219147007199999</v>
      </c>
      <c r="Z761" s="775">
        <f>$G$22*$F$9*'Traffic Data'!BB68*annualizationFactor</f>
        <v>0.19525621914400001</v>
      </c>
      <c r="AA761" s="775">
        <f>$G$22*$F$9*'Traffic Data'!BC68*annualizationFactor</f>
        <v>0.19831627928000001</v>
      </c>
      <c r="AB761" s="775">
        <f>$G$22*$F$9*'Traffic Data'!BD68*annualizationFactor</f>
        <v>0.20138102835199995</v>
      </c>
      <c r="AC761" s="775">
        <f>$G$22*$F$9*'Traffic Data'!BE68*annualizationFactor</f>
        <v>0.20444108848799997</v>
      </c>
      <c r="AD761" s="775">
        <f>$G$22*$F$9*'Traffic Data'!BF68*annualizationFactor</f>
        <v>0.20750114862400001</v>
      </c>
      <c r="AE761" s="775">
        <f>$G$22*$F$9*'Traffic Data'!BG68*annualizationFactor</f>
        <v>0.21056589769600004</v>
      </c>
      <c r="AF761" s="775">
        <f>$G$22*$F$9*'Traffic Data'!BH68*annualizationFactor</f>
        <v>0.21362595783199997</v>
      </c>
      <c r="AG761" s="775">
        <f>$G$22*$F$9*'Traffic Data'!BI68*annualizationFactor</f>
        <v>0.21668601796799997</v>
      </c>
      <c r="AH761" s="776">
        <f>$G$22*$F$9*'Traffic Data'!BJ68*annualizationFactor</f>
        <v>0.21975076703999996</v>
      </c>
      <c r="AI761" s="24"/>
      <c r="AJ761" s="24"/>
      <c r="AK761" s="24"/>
      <c r="AL761" s="24"/>
      <c r="AM761" s="24"/>
    </row>
    <row r="762" spans="2:39" ht="21.95" customHeight="1" x14ac:dyDescent="0.2">
      <c r="B762" s="1346"/>
      <c r="C762" s="116" t="s">
        <v>335</v>
      </c>
      <c r="D762" s="116" t="s">
        <v>323</v>
      </c>
      <c r="E762" s="116" t="s">
        <v>467</v>
      </c>
      <c r="F762" s="116" t="s">
        <v>41</v>
      </c>
      <c r="G762" s="970"/>
      <c r="H762" s="970"/>
      <c r="I762" s="777">
        <f>$G$22*$F$9*'Traffic Data'!AK69*annualizationFactor</f>
        <v>3.5040000000000006E-3</v>
      </c>
      <c r="J762" s="777">
        <f>$G$22*$F$9*'Traffic Data'!AL69*annualizationFactor</f>
        <v>3.8366756000000001E-3</v>
      </c>
      <c r="K762" s="777">
        <f>$G$22*$F$9*'Traffic Data'!AM69*annualizationFactor</f>
        <v>4.3086060000000004E-3</v>
      </c>
      <c r="L762" s="777">
        <f>$G$22*$F$9*'Traffic Data'!AN69*annualizationFactor</f>
        <v>5.0775587999999997E-3</v>
      </c>
      <c r="M762" s="777">
        <f>$G$22*$F$9*'Traffic Data'!AO69*annualizationFactor</f>
        <v>5.8467452000000005E-3</v>
      </c>
      <c r="N762" s="777">
        <f>$G$22*$F$9*'Traffic Data'!AP69*annualizationFactor</f>
        <v>6.6160046000000011E-3</v>
      </c>
      <c r="O762" s="777">
        <f>$G$22*$F$9*'Traffic Data'!AQ69*annualizationFactor</f>
        <v>7.384957400000002E-3</v>
      </c>
      <c r="P762" s="777">
        <f>$G$22*$F$9*'Traffic Data'!AR69*annualizationFactor</f>
        <v>8.1547424000000014E-3</v>
      </c>
      <c r="Q762" s="777">
        <f>$G$22*$F$9*'Traffic Data'!AS69*annualizationFactor</f>
        <v>9.0305379999999994E-3</v>
      </c>
      <c r="R762" s="777">
        <f>$G$22*$F$9*'Traffic Data'!AT69*annualizationFactor</f>
        <v>9.9067424000000032E-3</v>
      </c>
      <c r="S762" s="777">
        <f>$G$22*$F$9*'Traffic Data'!AU69*annualizationFactor</f>
        <v>1.0782494200000003E-2</v>
      </c>
      <c r="T762" s="777">
        <f>$G$22*$F$9*'Traffic Data'!AV69*annualizationFactor</f>
        <v>1.1658289800000003E-2</v>
      </c>
      <c r="U762" s="777">
        <f>$G$22*$F$9*'Traffic Data'!AW69*annualizationFactor</f>
        <v>1.2534888399999998E-2</v>
      </c>
      <c r="V762" s="777">
        <f>$G$22*$F$9*'Traffic Data'!AX69*annualizationFactor</f>
        <v>1.3113019200000003E-2</v>
      </c>
      <c r="W762" s="777">
        <f>$G$22*$F$9*'Traffic Data'!AY69*annualizationFactor</f>
        <v>1.3445694800000001E-2</v>
      </c>
      <c r="X762" s="777">
        <f>$G$22*$F$9*'Traffic Data'!AZ69*annualizationFactor</f>
        <v>1.3778370399999997E-2</v>
      </c>
      <c r="Y762" s="777">
        <f>$G$22*$F$9*'Traffic Data'!BA69*annualizationFactor</f>
        <v>1.4111045999999997E-2</v>
      </c>
      <c r="Z762" s="777">
        <f>$G$22*$F$9*'Traffic Data'!BB69*annualizationFactor</f>
        <v>1.4444101199999998E-2</v>
      </c>
      <c r="AA762" s="777">
        <f>$G$22*$F$9*'Traffic Data'!BC69*annualizationFactor</f>
        <v>1.4776776799999999E-2</v>
      </c>
      <c r="AB762" s="777">
        <f>$G$22*$F$9*'Traffic Data'!BD69*annualizationFactor</f>
        <v>1.5109831999999998E-2</v>
      </c>
      <c r="AC762" s="777">
        <f>$G$22*$F$9*'Traffic Data'!BE69*annualizationFactor</f>
        <v>1.5442507599999999E-2</v>
      </c>
      <c r="AD762" s="777">
        <f>$G$22*$F$9*'Traffic Data'!BF69*annualizationFactor</f>
        <v>1.5775183200000001E-2</v>
      </c>
      <c r="AE762" s="777">
        <f>$G$22*$F$9*'Traffic Data'!BG69*annualizationFactor</f>
        <v>1.6108238399999999E-2</v>
      </c>
      <c r="AF762" s="777">
        <f>$G$22*$F$9*'Traffic Data'!BH69*annualizationFactor</f>
        <v>1.6440913999999997E-2</v>
      </c>
      <c r="AG762" s="777">
        <f>$G$22*$F$9*'Traffic Data'!BI69*annualizationFactor</f>
        <v>1.67735896E-2</v>
      </c>
      <c r="AH762" s="778">
        <f>$G$22*$F$9*'Traffic Data'!BJ69*annualizationFactor</f>
        <v>1.7106644800000001E-2</v>
      </c>
      <c r="AI762" s="24"/>
      <c r="AJ762" s="24"/>
      <c r="AK762" s="24"/>
      <c r="AL762" s="24"/>
      <c r="AM762" s="24"/>
    </row>
    <row r="763" spans="2:39" ht="21.95" customHeight="1" x14ac:dyDescent="0.2">
      <c r="B763" s="1346"/>
      <c r="C763" s="254" t="s">
        <v>323</v>
      </c>
      <c r="D763" s="254" t="s">
        <v>338</v>
      </c>
      <c r="E763" s="116" t="s">
        <v>467</v>
      </c>
      <c r="F763" s="116" t="s">
        <v>41</v>
      </c>
      <c r="G763" s="970"/>
      <c r="H763" s="970"/>
      <c r="I763" s="777">
        <f>$G$22*$F$9*'Traffic Data'!AK70*annualizationFactor</f>
        <v>4.6953600000000005E-2</v>
      </c>
      <c r="J763" s="777">
        <f>$G$22*$F$9*'Traffic Data'!AL70*annualizationFactor</f>
        <v>4.8268457312000003E-2</v>
      </c>
      <c r="K763" s="777">
        <f>$G$22*$F$9*'Traffic Data'!AM70*annualizationFactor</f>
        <v>5.0142218976000005E-2</v>
      </c>
      <c r="L763" s="777">
        <f>$G$22*$F$9*'Traffic Data'!AN70*annualizationFactor</f>
        <v>5.2772090112000014E-2</v>
      </c>
      <c r="M763" s="777">
        <f>$G$22*$F$9*'Traffic Data'!AO70*annualizationFactor</f>
        <v>5.5403056831999996E-2</v>
      </c>
      <c r="N763" s="777">
        <f>$G$22*$F$9*'Traffic Data'!AP70*annualizationFactor</f>
        <v>5.8033788784000027E-2</v>
      </c>
      <c r="O763" s="777">
        <f>$G$22*$F$9*'Traffic Data'!AQ70*annualizationFactor</f>
        <v>6.0663659920000022E-2</v>
      </c>
      <c r="P763" s="777">
        <f>$G$22*$F$9*'Traffic Data'!AR70*annualizationFactor</f>
        <v>6.3295643968000012E-2</v>
      </c>
      <c r="Q763" s="777">
        <f>$G$22*$F$9*'Traffic Data'!AS70*annualizationFactor</f>
        <v>6.5952591680000006E-2</v>
      </c>
      <c r="R763" s="777">
        <f>$G$22*$F$9*'Traffic Data'!AT70*annualizationFactor</f>
        <v>6.8610321952000008E-2</v>
      </c>
      <c r="S763" s="777">
        <f>$G$22*$F$9*'Traffic Data'!AU70*annualizationFactor</f>
        <v>7.1267034896000003E-2</v>
      </c>
      <c r="T763" s="777">
        <f>$G$22*$F$9*'Traffic Data'!AV70*annualizationFactor</f>
        <v>7.3923982608000011E-2</v>
      </c>
      <c r="U763" s="777">
        <f>$G$22*$F$9*'Traffic Data'!AW70*annualizationFactor</f>
        <v>7.658304323200002E-2</v>
      </c>
      <c r="V763" s="777">
        <f>$G$22*$F$9*'Traffic Data'!AX70*annualizationFactor</f>
        <v>7.8482629376000007E-2</v>
      </c>
      <c r="W763" s="777">
        <f>$G$22*$F$9*'Traffic Data'!AY70*annualizationFactor</f>
        <v>7.9797486688000005E-2</v>
      </c>
      <c r="X763" s="777">
        <f>$G$22*$F$9*'Traffic Data'!AZ70*annualizationFactor</f>
        <v>8.1112344000000003E-2</v>
      </c>
      <c r="Y763" s="777">
        <f>$G$22*$F$9*'Traffic Data'!BA70*annualizationFactor</f>
        <v>8.2427201312000001E-2</v>
      </c>
      <c r="Z763" s="777">
        <f>$G$22*$F$9*'Traffic Data'!BB70*annualizationFactor</f>
        <v>8.3742684671999995E-2</v>
      </c>
      <c r="AA763" s="777">
        <f>$G$22*$F$9*'Traffic Data'!BC70*annualizationFactor</f>
        <v>8.5057541984000021E-2</v>
      </c>
      <c r="AB763" s="777">
        <f>$G$22*$F$9*'Traffic Data'!BD70*annualizationFactor</f>
        <v>8.6373025344000029E-2</v>
      </c>
      <c r="AC763" s="777">
        <f>$G$22*$F$9*'Traffic Data'!BE70*annualizationFactor</f>
        <v>8.7687882656000013E-2</v>
      </c>
      <c r="AD763" s="777">
        <f>$G$22*$F$9*'Traffic Data'!BF70*annualizationFactor</f>
        <v>8.9002739968000025E-2</v>
      </c>
      <c r="AE763" s="777">
        <f>$G$22*$F$9*'Traffic Data'!BG70*annualizationFactor</f>
        <v>9.0318223328000005E-2</v>
      </c>
      <c r="AF763" s="777">
        <f>$G$22*$F$9*'Traffic Data'!BH70*annualizationFactor</f>
        <v>9.1633080639999989E-2</v>
      </c>
      <c r="AG763" s="777">
        <f>$G$22*$F$9*'Traffic Data'!BI70*annualizationFactor</f>
        <v>9.2947937951999987E-2</v>
      </c>
      <c r="AH763" s="778">
        <f>$G$22*$F$9*'Traffic Data'!BJ70*annualizationFactor</f>
        <v>9.4263421311999995E-2</v>
      </c>
      <c r="AI763" s="24"/>
      <c r="AJ763" s="24"/>
      <c r="AK763" s="24"/>
      <c r="AL763" s="24"/>
      <c r="AM763" s="24"/>
    </row>
    <row r="764" spans="2:39" ht="21.95" customHeight="1" x14ac:dyDescent="0.2">
      <c r="B764" s="492" t="s">
        <v>339</v>
      </c>
      <c r="C764" s="116" t="s">
        <v>335</v>
      </c>
      <c r="D764" s="116" t="s">
        <v>323</v>
      </c>
      <c r="E764" s="277" t="s">
        <v>467</v>
      </c>
      <c r="F764" s="277" t="s">
        <v>41</v>
      </c>
      <c r="G764" s="780"/>
      <c r="H764" s="780"/>
      <c r="I764" s="775">
        <f>$G$22*$G$9*'Traffic Data'!AK71*annualizationFactor</f>
        <v>1.3724000000000001E-4</v>
      </c>
      <c r="J764" s="775">
        <f>$G$22*$G$9*'Traffic Data'!AL71*annualizationFactor</f>
        <v>5.7002634E-4</v>
      </c>
      <c r="K764" s="775">
        <f>$G$22*$G$9*'Traffic Data'!AM71*annualizationFactor</f>
        <v>5.0853595799999997E-3</v>
      </c>
      <c r="L764" s="775">
        <f>$G$22*$G$9*'Traffic Data'!AN71*annualizationFactor</f>
        <v>1.2028125320000003E-2</v>
      </c>
      <c r="M764" s="775">
        <f>$G$22*$G$9*'Traffic Data'!AO71*annualizationFactor</f>
        <v>1.8975831700000004E-2</v>
      </c>
      <c r="N764" s="775">
        <f>$G$22*$G$9*'Traffic Data'!AP71*annualizationFactor</f>
        <v>2.592079328E-2</v>
      </c>
      <c r="O764" s="775">
        <f>$G$22*$G$9*'Traffic Data'!AQ71*annualizationFactor</f>
        <v>3.2863559020000002E-2</v>
      </c>
      <c r="P764" s="775">
        <f>$G$22*$G$9*'Traffic Data'!AR71*annualizationFactor</f>
        <v>3.9815862940000009E-2</v>
      </c>
      <c r="Q764" s="775">
        <f>$G$22*$G$9*'Traffic Data'!AS71*annualizationFactor</f>
        <v>4.2679169680000004E-2</v>
      </c>
      <c r="R764" s="775">
        <f>$G$22*$G$9*'Traffic Data'!AT71*annualizationFactor</f>
        <v>4.5544672260000002E-2</v>
      </c>
      <c r="S764" s="775">
        <f>$G$22*$G$9*'Traffic Data'!AU71*annualizationFactor</f>
        <v>4.8409488640000005E-2</v>
      </c>
      <c r="T764" s="775">
        <f>$G$22*$G$9*'Traffic Data'!AV71*annualizationFactor</f>
        <v>5.1272795380000007E-2</v>
      </c>
      <c r="U764" s="775">
        <f>$G$22*$G$9*'Traffic Data'!AW71*annualizationFactor</f>
        <v>5.414289550000001E-2</v>
      </c>
      <c r="V764" s="775">
        <f>$G$22*$G$9*'Traffic Data'!AX71*annualizationFactor</f>
        <v>5.4575681840000015E-2</v>
      </c>
      <c r="W764" s="775">
        <f>$G$22*$G$9*'Traffic Data'!AY71*annualizationFactor</f>
        <v>5.5008468180000006E-2</v>
      </c>
      <c r="X764" s="775">
        <f>$G$22*$G$9*'Traffic Data'!AZ71*annualizationFactor</f>
        <v>5.5441254520000011E-2</v>
      </c>
      <c r="Y764" s="775">
        <f>$G$22*$G$9*'Traffic Data'!BA71*annualizationFactor</f>
        <v>5.5874040860000009E-2</v>
      </c>
      <c r="Z764" s="775">
        <f>$G$22*$G$9*'Traffic Data'!BB71*annualizationFactor</f>
        <v>5.6309915100000003E-2</v>
      </c>
      <c r="AA764" s="775">
        <f>$G$22*$G$9*'Traffic Data'!BC71*annualizationFactor</f>
        <v>5.6742701440000015E-2</v>
      </c>
      <c r="AB764" s="775">
        <f>$G$22*$G$9*'Traffic Data'!BD71*annualizationFactor</f>
        <v>5.7176860180000018E-2</v>
      </c>
      <c r="AC764" s="775">
        <f>$G$22*$G$9*'Traffic Data'!BE71*annualizationFactor</f>
        <v>5.7609646520000009E-2</v>
      </c>
      <c r="AD764" s="775">
        <f>$G$22*$G$9*'Traffic Data'!BF71*annualizationFactor</f>
        <v>5.8042432860000014E-2</v>
      </c>
      <c r="AE764" s="775">
        <f>$G$22*$G$9*'Traffic Data'!BG71*annualizationFactor</f>
        <v>5.8478307100000022E-2</v>
      </c>
      <c r="AF764" s="775">
        <f>$G$22*$G$9*'Traffic Data'!BH71*annualizationFactor</f>
        <v>5.8911093440000013E-2</v>
      </c>
      <c r="AG764" s="775">
        <f>$G$22*$G$9*'Traffic Data'!BI71*annualizationFactor</f>
        <v>5.9343879780000011E-2</v>
      </c>
      <c r="AH764" s="776">
        <f>$G$22*$G$9*'Traffic Data'!BJ71*annualizationFactor</f>
        <v>5.977803852E-2</v>
      </c>
      <c r="AI764" s="24"/>
      <c r="AJ764" s="24"/>
      <c r="AK764" s="24"/>
      <c r="AL764" s="24"/>
      <c r="AM764" s="24"/>
    </row>
    <row r="765" spans="2:39" ht="21.95" customHeight="1" x14ac:dyDescent="0.2">
      <c r="B765" s="1346" t="s">
        <v>323</v>
      </c>
      <c r="C765" s="220" t="s">
        <v>282</v>
      </c>
      <c r="D765" s="220" t="s">
        <v>339</v>
      </c>
      <c r="E765" s="116" t="s">
        <v>467</v>
      </c>
      <c r="F765" s="116" t="s">
        <v>41</v>
      </c>
      <c r="G765" s="970"/>
      <c r="H765" s="970"/>
      <c r="I765" s="775">
        <f>$G$22*$H$9*'Traffic Data'!AK72*annualizationFactor</f>
        <v>3.9419999999999999E-4</v>
      </c>
      <c r="J765" s="775">
        <f>$G$22*$H$9*'Traffic Data'!AL72*annualizationFactor</f>
        <v>8.7610949999999987E-4</v>
      </c>
      <c r="K765" s="775">
        <f>$G$22*$H$9*'Traffic Data'!AM72*annualizationFactor</f>
        <v>3.7029177000000007E-3</v>
      </c>
      <c r="L765" s="775">
        <f>$G$22*$H$9*'Traffic Data'!AN72*annualizationFactor</f>
        <v>8.3239271999999993E-3</v>
      </c>
      <c r="M765" s="775">
        <f>$G$22*$H$9*'Traffic Data'!AO72*annualizationFactor</f>
        <v>1.2947499000000003E-2</v>
      </c>
      <c r="N765" s="775">
        <f>$G$22*$H$9*'Traffic Data'!AP72*annualizationFactor</f>
        <v>1.75712679E-2</v>
      </c>
      <c r="O765" s="775">
        <f>$G$22*$H$9*'Traffic Data'!AQ72*annualizationFactor</f>
        <v>2.2192277400000002E-2</v>
      </c>
      <c r="P765" s="775">
        <f>$G$22*$H$9*'Traffic Data'!AR72*annualizationFactor</f>
        <v>2.6818608600000005E-2</v>
      </c>
      <c r="Q765" s="775">
        <f>$G$22*$H$9*'Traffic Data'!AS72*annualizationFactor</f>
        <v>3.0386118600000008E-2</v>
      </c>
      <c r="R765" s="775">
        <f>$G$22*$H$9*'Traffic Data'!AT72*annualizationFactor</f>
        <v>3.3954219900000006E-2</v>
      </c>
      <c r="S765" s="775">
        <f>$G$22*$H$9*'Traffic Data'!AU72*annualizationFactor</f>
        <v>3.7521729900000002E-2</v>
      </c>
      <c r="T765" s="775">
        <f>$G$22*$H$9*'Traffic Data'!AV72*annualizationFactor</f>
        <v>4.1089239899999998E-2</v>
      </c>
      <c r="U765" s="775">
        <f>$G$22*$H$9*'Traffic Data'!AW72*annualizationFactor</f>
        <v>4.46614803E-2</v>
      </c>
      <c r="V765" s="775">
        <f>$G$22*$H$9*'Traffic Data'!AX72*annualizationFactor</f>
        <v>4.6432029599999994E-2</v>
      </c>
      <c r="W765" s="775">
        <f>$G$22*$H$9*'Traffic Data'!AY72*annualizationFactor</f>
        <v>4.691393910000001E-2</v>
      </c>
      <c r="X765" s="775">
        <f>$G$22*$H$9*'Traffic Data'!AZ72*annualizationFactor</f>
        <v>4.7395848600000005E-2</v>
      </c>
      <c r="Y765" s="775">
        <f>$G$22*$H$9*'Traffic Data'!BA72*annualizationFactor</f>
        <v>4.7877758100000015E-2</v>
      </c>
      <c r="Z765" s="775">
        <f>$G$22*$H$9*'Traffic Data'!BB72*annualizationFactor</f>
        <v>4.8361047300000008E-2</v>
      </c>
      <c r="AA765" s="775">
        <f>$G$22*$H$9*'Traffic Data'!BC72*annualizationFactor</f>
        <v>4.8842956800000004E-2</v>
      </c>
      <c r="AB765" s="775">
        <f>$G$22*$H$9*'Traffic Data'!BD72*annualizationFactor</f>
        <v>4.9326245999999997E-2</v>
      </c>
      <c r="AC765" s="775">
        <f>$G$22*$H$9*'Traffic Data'!BE72*annualizationFactor</f>
        <v>4.98081555E-2</v>
      </c>
      <c r="AD765" s="775">
        <f>$G$22*$H$9*'Traffic Data'!BF72*annualizationFactor</f>
        <v>5.0290065000000009E-2</v>
      </c>
      <c r="AE765" s="775">
        <f>$G$22*$H$9*'Traffic Data'!BG72*annualizationFactor</f>
        <v>5.0773354199999995E-2</v>
      </c>
      <c r="AF765" s="775">
        <f>$G$22*$H$9*'Traffic Data'!BH72*annualizationFactor</f>
        <v>5.1255263700000005E-2</v>
      </c>
      <c r="AG765" s="775">
        <f>$G$22*$H$9*'Traffic Data'!BI72*annualizationFactor</f>
        <v>5.17371732E-2</v>
      </c>
      <c r="AH765" s="776">
        <f>$G$22*$H$9*'Traffic Data'!BJ72*annualizationFactor</f>
        <v>5.2220462400000001E-2</v>
      </c>
      <c r="AI765" s="24"/>
      <c r="AJ765" s="24"/>
      <c r="AK765" s="24"/>
      <c r="AL765" s="24"/>
      <c r="AM765" s="24"/>
    </row>
    <row r="766" spans="2:39" ht="21.95" customHeight="1" x14ac:dyDescent="0.2">
      <c r="B766" s="1346"/>
      <c r="C766" s="116" t="s">
        <v>339</v>
      </c>
      <c r="D766" s="116" t="s">
        <v>288</v>
      </c>
      <c r="E766" s="116" t="s">
        <v>467</v>
      </c>
      <c r="F766" s="116" t="s">
        <v>41</v>
      </c>
      <c r="G766" s="970"/>
      <c r="H766" s="970"/>
      <c r="I766" s="777">
        <f>$G$22*$H$9*'Traffic Data'!AK73*annualizationFactor</f>
        <v>0</v>
      </c>
      <c r="J766" s="777">
        <f>$G$22*$H$9*'Traffic Data'!AL73*annualizationFactor</f>
        <v>2.6572000000000005E-4</v>
      </c>
      <c r="K766" s="777">
        <f>$G$22*$H$9*'Traffic Data'!AM73*annualizationFactor</f>
        <v>7.6801256000000014E-4</v>
      </c>
      <c r="L766" s="777">
        <f>$G$22*$H$9*'Traffic Data'!AN73*annualizationFactor</f>
        <v>1.7264441600000004E-3</v>
      </c>
      <c r="M766" s="777">
        <f>$G$22*$H$9*'Traffic Data'!AO73*annualizationFactor</f>
        <v>2.6854072000000008E-3</v>
      </c>
      <c r="N766" s="777">
        <f>$G$22*$H$9*'Traffic Data'!AP73*annualizationFactor</f>
        <v>3.6444111199999993E-3</v>
      </c>
      <c r="O766" s="777">
        <f>$G$22*$H$9*'Traffic Data'!AQ73*annualizationFactor</f>
        <v>4.6028427199999999E-3</v>
      </c>
      <c r="P766" s="777">
        <f>$G$22*$H$9*'Traffic Data'!AR73*annualizationFactor</f>
        <v>5.5623780800000012E-3</v>
      </c>
      <c r="Q766" s="777">
        <f>$G$22*$H$9*'Traffic Data'!AS73*annualizationFactor</f>
        <v>6.302306080000002E-3</v>
      </c>
      <c r="R766" s="777">
        <f>$G$22*$H$9*'Traffic Data'!AT73*annualizationFactor</f>
        <v>7.0423567200000019E-3</v>
      </c>
      <c r="S766" s="777">
        <f>$G$22*$H$9*'Traffic Data'!AU73*annualizationFactor</f>
        <v>7.782284720000001E-3</v>
      </c>
      <c r="T766" s="777">
        <f>$G$22*$H$9*'Traffic Data'!AV73*annualizationFactor</f>
        <v>8.5222127200000001E-3</v>
      </c>
      <c r="U766" s="777">
        <f>$G$22*$H$9*'Traffic Data'!AW73*annualizationFactor</f>
        <v>9.263121840000001E-3</v>
      </c>
      <c r="V766" s="777">
        <f>$G$22*$H$9*'Traffic Data'!AX73*annualizationFactor</f>
        <v>9.6303468800000014E-3</v>
      </c>
      <c r="W766" s="777">
        <f>$G$22*$H$9*'Traffic Data'!AY73*annualizationFactor</f>
        <v>9.7302984800000034E-3</v>
      </c>
      <c r="X766" s="777">
        <f>$G$22*$H$9*'Traffic Data'!AZ73*annualizationFactor</f>
        <v>9.8302500800000019E-3</v>
      </c>
      <c r="Y766" s="777">
        <f>$G$22*$H$9*'Traffic Data'!BA73*annualizationFactor</f>
        <v>9.9302016800000021E-3</v>
      </c>
      <c r="Z766" s="777">
        <f>$G$22*$H$9*'Traffic Data'!BB73*annualizationFactor</f>
        <v>1.0030439440000004E-2</v>
      </c>
      <c r="AA766" s="777">
        <f>$G$22*$H$9*'Traffic Data'!BC73*annualizationFactor</f>
        <v>1.0130391040000002E-2</v>
      </c>
      <c r="AB766" s="777">
        <f>$G$22*$H$9*'Traffic Data'!BD73*annualizationFactor</f>
        <v>1.0230628799999999E-2</v>
      </c>
      <c r="AC766" s="777">
        <f>$G$22*$H$9*'Traffic Data'!BE73*annualizationFactor</f>
        <v>1.0330580400000001E-2</v>
      </c>
      <c r="AD766" s="777">
        <f>$G$22*$H$9*'Traffic Data'!BF73*annualizationFactor</f>
        <v>1.0430532000000001E-2</v>
      </c>
      <c r="AE766" s="777">
        <f>$G$22*$H$9*'Traffic Data'!BG73*annualizationFactor</f>
        <v>1.0530769760000001E-2</v>
      </c>
      <c r="AF766" s="777">
        <f>$G$22*$H$9*'Traffic Data'!BH73*annualizationFactor</f>
        <v>1.0630721360000001E-2</v>
      </c>
      <c r="AG766" s="777">
        <f>$G$22*$H$9*'Traffic Data'!BI73*annualizationFactor</f>
        <v>1.0730672960000001E-2</v>
      </c>
      <c r="AH766" s="778">
        <f>$G$22*$H$9*'Traffic Data'!BJ73*annualizationFactor</f>
        <v>1.083091072E-2</v>
      </c>
      <c r="AI766" s="24"/>
      <c r="AJ766" s="24"/>
      <c r="AK766" s="24"/>
      <c r="AL766" s="24"/>
      <c r="AM766" s="24"/>
    </row>
    <row r="767" spans="2:39" ht="21.95" customHeight="1" x14ac:dyDescent="0.2">
      <c r="B767" s="1346"/>
      <c r="C767" s="116" t="s">
        <v>288</v>
      </c>
      <c r="D767" s="116" t="s">
        <v>340</v>
      </c>
      <c r="E767" s="116" t="s">
        <v>467</v>
      </c>
      <c r="F767" s="116" t="s">
        <v>41</v>
      </c>
      <c r="G767" s="970"/>
      <c r="H767" s="970"/>
      <c r="I767" s="777">
        <f>$G$22*$H$9*'Traffic Data'!AK74*annualizationFactor</f>
        <v>0</v>
      </c>
      <c r="J767" s="777">
        <f>$G$22*$H$9*'Traffic Data'!AL74*annualizationFactor</f>
        <v>6.9277E-4</v>
      </c>
      <c r="K767" s="777">
        <f>$G$22*$H$9*'Traffic Data'!AM74*annualizationFactor</f>
        <v>2.0023184600000002E-3</v>
      </c>
      <c r="L767" s="777">
        <f>$G$22*$H$9*'Traffic Data'!AN74*annualizationFactor</f>
        <v>4.50108656E-3</v>
      </c>
      <c r="M767" s="777">
        <f>$G$22*$H$9*'Traffic Data'!AO74*annualizationFactor</f>
        <v>7.0012402000000015E-3</v>
      </c>
      <c r="N767" s="777">
        <f>$G$22*$H$9*'Traffic Data'!AP74*annualizationFactor</f>
        <v>9.5015004199999979E-3</v>
      </c>
      <c r="O767" s="777">
        <f>$G$22*$H$9*'Traffic Data'!AQ74*annualizationFactor</f>
        <v>1.2000268519999999E-2</v>
      </c>
      <c r="P767" s="777">
        <f>$G$22*$H$9*'Traffic Data'!AR74*annualizationFactor</f>
        <v>1.450191428E-2</v>
      </c>
      <c r="Q767" s="777">
        <f>$G$22*$H$9*'Traffic Data'!AS74*annualizationFactor</f>
        <v>1.6431012280000004E-2</v>
      </c>
      <c r="R767" s="777">
        <f>$G$22*$H$9*'Traffic Data'!AT74*annualizationFactor</f>
        <v>1.8360430020000002E-2</v>
      </c>
      <c r="S767" s="777">
        <f>$G$22*$H$9*'Traffic Data'!AU74*annualizationFactor</f>
        <v>2.0289528019999999E-2</v>
      </c>
      <c r="T767" s="777">
        <f>$G$22*$H$9*'Traffic Data'!AV74*annualizationFactor</f>
        <v>2.221862602E-2</v>
      </c>
      <c r="U767" s="777">
        <f>$G$22*$H$9*'Traffic Data'!AW74*annualizationFactor</f>
        <v>2.4150281940000001E-2</v>
      </c>
      <c r="V767" s="777">
        <f>$G$22*$H$9*'Traffic Data'!AX74*annualizationFactor</f>
        <v>2.5107690079999998E-2</v>
      </c>
      <c r="W767" s="777">
        <f>$G$22*$H$9*'Traffic Data'!AY74*annualizationFactor</f>
        <v>2.5368278179999999E-2</v>
      </c>
      <c r="X767" s="777">
        <f>$G$22*$H$9*'Traffic Data'!AZ74*annualizationFactor</f>
        <v>2.5628866280000002E-2</v>
      </c>
      <c r="Y767" s="777">
        <f>$G$22*$H$9*'Traffic Data'!BA74*annualizationFactor</f>
        <v>2.5889454380000003E-2</v>
      </c>
      <c r="Z767" s="777">
        <f>$G$22*$H$9*'Traffic Data'!BB74*annualizationFactor</f>
        <v>2.6150788540000004E-2</v>
      </c>
      <c r="AA767" s="777">
        <f>$G$22*$H$9*'Traffic Data'!BC74*annualizationFactor</f>
        <v>2.6411376640000001E-2</v>
      </c>
      <c r="AB767" s="777">
        <f>$G$22*$H$9*'Traffic Data'!BD74*annualizationFactor</f>
        <v>2.6672710799999996E-2</v>
      </c>
      <c r="AC767" s="777">
        <f>$G$22*$H$9*'Traffic Data'!BE74*annualizationFactor</f>
        <v>2.6933298899999996E-2</v>
      </c>
      <c r="AD767" s="777">
        <f>$G$22*$H$9*'Traffic Data'!BF74*annualizationFactor</f>
        <v>2.7193886999999996E-2</v>
      </c>
      <c r="AE767" s="777">
        <f>$G$22*$H$9*'Traffic Data'!BG74*annualizationFactor</f>
        <v>2.7455221159999994E-2</v>
      </c>
      <c r="AF767" s="777">
        <f>$G$22*$H$9*'Traffic Data'!BH74*annualizationFactor</f>
        <v>2.7715809259999995E-2</v>
      </c>
      <c r="AG767" s="777">
        <f>$G$22*$H$9*'Traffic Data'!BI74*annualizationFactor</f>
        <v>2.7976397359999995E-2</v>
      </c>
      <c r="AH767" s="778">
        <f>$G$22*$H$9*'Traffic Data'!BJ74*annualizationFactor</f>
        <v>2.823773152E-2</v>
      </c>
      <c r="AI767" s="24"/>
      <c r="AJ767" s="24"/>
      <c r="AK767" s="24"/>
      <c r="AL767" s="24"/>
      <c r="AM767" s="24"/>
    </row>
    <row r="768" spans="2:39" ht="21.95" customHeight="1" x14ac:dyDescent="0.2">
      <c r="B768" s="1346"/>
      <c r="C768" s="254" t="s">
        <v>340</v>
      </c>
      <c r="D768" s="254" t="s">
        <v>280</v>
      </c>
      <c r="E768" s="116" t="s">
        <v>467</v>
      </c>
      <c r="F768" s="116" t="s">
        <v>41</v>
      </c>
      <c r="G768" s="970"/>
      <c r="H768" s="970"/>
      <c r="I768" s="777">
        <f>$G$22*$H$9*'Traffic Data'!AK75*annualizationFactor</f>
        <v>9.1980000000000002E-4</v>
      </c>
      <c r="J768" s="777">
        <f>$G$22*$H$9*'Traffic Data'!AL75*annualizationFactor</f>
        <v>1.35937242E-3</v>
      </c>
      <c r="K768" s="777">
        <f>$G$22*$H$9*'Traffic Data'!AM75*annualizationFactor</f>
        <v>1.9069906800000002E-3</v>
      </c>
      <c r="L768" s="777">
        <f>$G$22*$H$9*'Traffic Data'!AN75*annualizationFactor</f>
        <v>3.0795517200000004E-3</v>
      </c>
      <c r="M768" s="777">
        <f>$G$22*$H$9*'Traffic Data'!AO75*annualizationFactor</f>
        <v>4.2522660600000008E-3</v>
      </c>
      <c r="N768" s="777">
        <f>$G$22*$H$9*'Traffic Data'!AP75*annualizationFactor</f>
        <v>5.4254709600000004E-3</v>
      </c>
      <c r="O768" s="777">
        <f>$G$22*$H$9*'Traffic Data'!AQ75*annualizationFactor</f>
        <v>6.5980320000000002E-3</v>
      </c>
      <c r="P768" s="777">
        <f>$G$22*$H$9*'Traffic Data'!AR75*annualizationFactor</f>
        <v>7.7699798400000008E-3</v>
      </c>
      <c r="Q768" s="777">
        <f>$G$22*$H$9*'Traffic Data'!AS75*annualizationFactor</f>
        <v>1.012319616E-2</v>
      </c>
      <c r="R768" s="777">
        <f>$G$22*$H$9*'Traffic Data'!AT75*annualizationFactor</f>
        <v>1.2475063440000001E-2</v>
      </c>
      <c r="S768" s="777">
        <f>$G$22*$H$9*'Traffic Data'!AU75*annualizationFactor</f>
        <v>1.4827451940000003E-2</v>
      </c>
      <c r="T768" s="777">
        <f>$G$22*$H$9*'Traffic Data'!AV75*annualizationFactor</f>
        <v>1.718066826E-2</v>
      </c>
      <c r="U768" s="777">
        <f>$G$22*$H$9*'Traffic Data'!AW75*annualizationFactor</f>
        <v>1.9533271380000002E-2</v>
      </c>
      <c r="V768" s="777">
        <f>$G$22*$H$9*'Traffic Data'!AX75*annualizationFactor</f>
        <v>2.1261483600000002E-2</v>
      </c>
      <c r="W768" s="777">
        <f>$G$22*$H$9*'Traffic Data'!AY75*annualizationFactor</f>
        <v>2.1701056020000005E-2</v>
      </c>
      <c r="X768" s="777">
        <f>$G$22*$H$9*'Traffic Data'!AZ75*annualizationFactor</f>
        <v>2.2140628440000001E-2</v>
      </c>
      <c r="Y768" s="777">
        <f>$G$22*$H$9*'Traffic Data'!BA75*annualizationFactor</f>
        <v>2.258020086E-2</v>
      </c>
      <c r="Z768" s="777">
        <f>$G$22*$H$9*'Traffic Data'!BB75*annualizationFactor</f>
        <v>2.3018454899999999E-2</v>
      </c>
      <c r="AA768" s="777">
        <f>$G$22*$H$9*'Traffic Data'!BC75*annualizationFactor</f>
        <v>2.3458027320000005E-2</v>
      </c>
      <c r="AB768" s="777">
        <f>$G$22*$H$9*'Traffic Data'!BD75*annualizationFactor</f>
        <v>2.3896281359999997E-2</v>
      </c>
      <c r="AC768" s="777">
        <f>$G$22*$H$9*'Traffic Data'!BE75*annualizationFactor</f>
        <v>2.4335853780000003E-2</v>
      </c>
      <c r="AD768" s="777">
        <f>$G$22*$H$9*'Traffic Data'!BF75*annualizationFactor</f>
        <v>2.4775426200000002E-2</v>
      </c>
      <c r="AE768" s="777">
        <f>$G$22*$H$9*'Traffic Data'!BG75*annualizationFactor</f>
        <v>2.5213680240000001E-2</v>
      </c>
      <c r="AF768" s="777">
        <f>$G$22*$H$9*'Traffic Data'!BH75*annualizationFactor</f>
        <v>2.5653252659999997E-2</v>
      </c>
      <c r="AG768" s="777">
        <f>$G$22*$H$9*'Traffic Data'!BI75*annualizationFactor</f>
        <v>2.6092825079999996E-2</v>
      </c>
      <c r="AH768" s="778">
        <f>$G$22*$H$9*'Traffic Data'!BJ75*annualizationFactor</f>
        <v>2.6531079119999999E-2</v>
      </c>
      <c r="AI768" s="24"/>
      <c r="AJ768" s="24"/>
      <c r="AK768" s="24"/>
      <c r="AL768" s="24"/>
      <c r="AM768" s="24"/>
    </row>
    <row r="769" spans="2:39" ht="21.95" customHeight="1" x14ac:dyDescent="0.2">
      <c r="B769" s="1346" t="s">
        <v>334</v>
      </c>
      <c r="C769" s="116" t="s">
        <v>336</v>
      </c>
      <c r="D769" s="116" t="s">
        <v>337</v>
      </c>
      <c r="E769" s="220" t="s">
        <v>467</v>
      </c>
      <c r="F769" s="220" t="s">
        <v>41</v>
      </c>
      <c r="G769" s="775"/>
      <c r="H769" s="775"/>
      <c r="I769" s="775">
        <f>$G$22*$I$9*'Traffic Data'!AK76*annualizationFactor</f>
        <v>1.8395999999999999E-2</v>
      </c>
      <c r="J769" s="775">
        <f>$G$22*$I$9*'Traffic Data'!AL76*annualizationFactor</f>
        <v>1.89055692E-2</v>
      </c>
      <c r="K769" s="775">
        <f>$G$22*$I$9*'Traffic Data'!AM76*annualizationFactor</f>
        <v>1.9727936099999999E-2</v>
      </c>
      <c r="L769" s="775">
        <f>$G$22*$I$9*'Traffic Data'!AN76*annualizationFactor</f>
        <v>2.0902783500000001E-2</v>
      </c>
      <c r="M769" s="775">
        <f>$G$22*$I$9*'Traffic Data'!AO76*annualizationFactor</f>
        <v>2.2078156500000005E-2</v>
      </c>
      <c r="N769" s="775">
        <f>$G$22*$I$9*'Traffic Data'!AP76*annualizationFactor</f>
        <v>2.3253463800000006E-2</v>
      </c>
      <c r="O769" s="775">
        <f>$G$22*$I$9*'Traffic Data'!AQ76*annualizationFactor</f>
        <v>2.4428311200000007E-2</v>
      </c>
      <c r="P769" s="775">
        <f>$G$22*$I$9*'Traffic Data'!AR76*annualizationFactor</f>
        <v>2.56042098E-2</v>
      </c>
      <c r="Q769" s="775">
        <f>$G$22*$I$9*'Traffic Data'!AS76*annualizationFactor</f>
        <v>2.6650876499999997E-2</v>
      </c>
      <c r="R769" s="775">
        <f>$G$22*$I$9*'Traffic Data'!AT76*annualizationFactor</f>
        <v>2.7697871699999998E-2</v>
      </c>
      <c r="S769" s="775">
        <f>$G$22*$I$9*'Traffic Data'!AU76*annualizationFactor</f>
        <v>2.8744538399999998E-2</v>
      </c>
      <c r="T769" s="775">
        <f>$G$22*$I$9*'Traffic Data'!AV76*annualizationFactor</f>
        <v>2.9791205099999996E-2</v>
      </c>
      <c r="U769" s="775">
        <f>$G$22*$I$9*'Traffic Data'!AW76*annualizationFactor</f>
        <v>3.0838923000000001E-2</v>
      </c>
      <c r="V769" s="775">
        <f>$G$22*$I$9*'Traffic Data'!AX76*annualizationFactor</f>
        <v>3.1532583600000004E-2</v>
      </c>
      <c r="W769" s="775">
        <f>$G$22*$I$9*'Traffic Data'!AY76*annualizationFactor</f>
        <v>3.2042152800000001E-2</v>
      </c>
      <c r="X769" s="775">
        <f>$G$22*$I$9*'Traffic Data'!AZ76*annualizationFactor</f>
        <v>3.2551721999999998E-2</v>
      </c>
      <c r="Y769" s="775">
        <f>$G$22*$I$9*'Traffic Data'!BA76*annualizationFactor</f>
        <v>3.3061291199999995E-2</v>
      </c>
      <c r="Z769" s="775">
        <f>$G$22*$I$9*'Traffic Data'!BB76*annualizationFactor</f>
        <v>3.35711889E-2</v>
      </c>
      <c r="AA769" s="775">
        <f>$G$22*$I$9*'Traffic Data'!BC76*annualizationFactor</f>
        <v>3.4080758100000011E-2</v>
      </c>
      <c r="AB769" s="775">
        <f>$G$22*$I$9*'Traffic Data'!BD76*annualizationFactor</f>
        <v>3.4590655799999995E-2</v>
      </c>
      <c r="AC769" s="775">
        <f>$G$22*$I$9*'Traffic Data'!BE76*annualizationFactor</f>
        <v>3.5100224999999992E-2</v>
      </c>
      <c r="AD769" s="775">
        <f>$G$22*$I$9*'Traffic Data'!BF76*annualizationFactor</f>
        <v>3.5609794200000003E-2</v>
      </c>
      <c r="AE769" s="775">
        <f>$G$22*$I$9*'Traffic Data'!BG76*annualizationFactor</f>
        <v>3.6119691899999994E-2</v>
      </c>
      <c r="AF769" s="775">
        <f>$G$22*$I$9*'Traffic Data'!BH76*annualizationFactor</f>
        <v>3.6629261099999991E-2</v>
      </c>
      <c r="AG769" s="775">
        <f>$G$22*$I$9*'Traffic Data'!BI76*annualizationFactor</f>
        <v>3.7138830299999995E-2</v>
      </c>
      <c r="AH769" s="776">
        <f>$G$22*$I$9*'Traffic Data'!BJ76*annualizationFactor</f>
        <v>3.7648727999999992E-2</v>
      </c>
      <c r="AI769" s="24"/>
      <c r="AJ769" s="24"/>
      <c r="AK769" s="24"/>
      <c r="AL769" s="24"/>
      <c r="AM769" s="24"/>
    </row>
    <row r="770" spans="2:39" ht="21.95" customHeight="1" x14ac:dyDescent="0.2">
      <c r="B770" s="1346"/>
      <c r="C770" s="116" t="s">
        <v>337</v>
      </c>
      <c r="D770" s="116" t="s">
        <v>386</v>
      </c>
      <c r="E770" s="116" t="s">
        <v>467</v>
      </c>
      <c r="F770" s="116" t="s">
        <v>41</v>
      </c>
      <c r="G770" s="970"/>
      <c r="H770" s="970"/>
      <c r="I770" s="777">
        <f>$G$22*$I$9*'Traffic Data'!AK77*annualizationFactor</f>
        <v>2.8908E-2</v>
      </c>
      <c r="J770" s="777">
        <f>$G$22*$I$9*'Traffic Data'!AL77*annualizationFactor</f>
        <v>2.8951362000000001E-2</v>
      </c>
      <c r="K770" s="777">
        <f>$G$22*$I$9*'Traffic Data'!AM77*annualizationFactor</f>
        <v>2.8994723999999996E-2</v>
      </c>
      <c r="L770" s="777">
        <f>$G$22*$I$9*'Traffic Data'!AN77*annualizationFactor</f>
        <v>2.9038085999999998E-2</v>
      </c>
      <c r="M770" s="777">
        <f>$G$22*$I$9*'Traffic Data'!AO77*annualizationFactor</f>
        <v>2.9081447999999999E-2</v>
      </c>
      <c r="N770" s="777">
        <f>$G$22*$I$9*'Traffic Data'!AP77*annualizationFactor</f>
        <v>2.9124810000000001E-2</v>
      </c>
      <c r="O770" s="777">
        <f>$G$22*$I$9*'Traffic Data'!AQ77*annualizationFactor</f>
        <v>2.9168171999999996E-2</v>
      </c>
      <c r="P770" s="777">
        <f>$G$22*$I$9*'Traffic Data'!AR77*annualizationFactor</f>
        <v>2.9211533999999997E-2</v>
      </c>
      <c r="Q770" s="777">
        <f>$G$22*$I$9*'Traffic Data'!AS77*annualizationFactor</f>
        <v>2.9254895999999999E-2</v>
      </c>
      <c r="R770" s="777">
        <f>$G$22*$I$9*'Traffic Data'!AT77*annualizationFactor</f>
        <v>2.9254895999999999E-2</v>
      </c>
      <c r="S770" s="777">
        <f>$G$22*$I$9*'Traffic Data'!AU77*annualizationFactor</f>
        <v>2.9254895999999999E-2</v>
      </c>
      <c r="T770" s="777">
        <f>$G$22*$I$9*'Traffic Data'!AV77*annualizationFactor</f>
        <v>2.9254895999999999E-2</v>
      </c>
      <c r="U770" s="777">
        <f>$G$22*$I$9*'Traffic Data'!AW77*annualizationFactor</f>
        <v>2.9254895999999999E-2</v>
      </c>
      <c r="V770" s="777">
        <f>$G$22*$I$9*'Traffic Data'!AX77*annualizationFactor</f>
        <v>2.9254895999999999E-2</v>
      </c>
      <c r="W770" s="777">
        <f>$G$22*$I$9*'Traffic Data'!AY77*annualizationFactor</f>
        <v>2.9446988346E-2</v>
      </c>
      <c r="X770" s="777">
        <f>$G$22*$I$9*'Traffic Data'!AZ77*annualizationFactor</f>
        <v>2.9903058035999998E-2</v>
      </c>
      <c r="Y770" s="777">
        <f>$G$22*$I$9*'Traffic Data'!BA77*annualizationFactor</f>
        <v>3.0359127725999992E-2</v>
      </c>
      <c r="Z770" s="777">
        <f>$G$22*$I$9*'Traffic Data'!BB77*annualizationFactor</f>
        <v>3.0815303849999996E-2</v>
      </c>
      <c r="AA770" s="777">
        <f>$G$22*$I$9*'Traffic Data'!BC77*annualizationFactor</f>
        <v>3.1271373539999994E-2</v>
      </c>
      <c r="AB770" s="777">
        <f>$G$22*$I$9*'Traffic Data'!BD77*annualizationFactor</f>
        <v>3.1727549663999995E-2</v>
      </c>
      <c r="AC770" s="777">
        <f>$G$22*$I$9*'Traffic Data'!BE77*annualizationFactor</f>
        <v>3.2183619353999993E-2</v>
      </c>
      <c r="AD770" s="777">
        <f>$G$22*$I$9*'Traffic Data'!BF77*annualizationFactor</f>
        <v>3.2639689043999998E-2</v>
      </c>
      <c r="AE770" s="777">
        <f>$G$22*$I$9*'Traffic Data'!BG77*annualizationFactor</f>
        <v>3.3095865167999998E-2</v>
      </c>
      <c r="AF770" s="777">
        <f>$G$22*$I$9*'Traffic Data'!BH77*annualizationFactor</f>
        <v>3.3551934857999996E-2</v>
      </c>
      <c r="AG770" s="777">
        <f>$G$22*$I$9*'Traffic Data'!BI77*annualizationFactor</f>
        <v>3.4008004548000001E-2</v>
      </c>
      <c r="AH770" s="778">
        <f>$G$22*$I$9*'Traffic Data'!BJ77*annualizationFactor</f>
        <v>3.4464180672000001E-2</v>
      </c>
      <c r="AI770" s="24"/>
      <c r="AJ770" s="24"/>
      <c r="AK770" s="24"/>
      <c r="AL770" s="24"/>
      <c r="AM770" s="24"/>
    </row>
    <row r="771" spans="2:39" ht="21.95" customHeight="1" x14ac:dyDescent="0.2">
      <c r="B771" s="1346"/>
      <c r="C771" s="116" t="s">
        <v>342</v>
      </c>
      <c r="D771" s="116" t="s">
        <v>341</v>
      </c>
      <c r="E771" s="116" t="s">
        <v>467</v>
      </c>
      <c r="F771" s="116" t="s">
        <v>41</v>
      </c>
      <c r="G771" s="970"/>
      <c r="H771" s="970"/>
      <c r="I771" s="777">
        <f>$G$22*$I$9*'Traffic Data'!AK78*annualizationFactor</f>
        <v>3.75804E-2</v>
      </c>
      <c r="J771" s="777">
        <f>$G$22*$I$9*'Traffic Data'!AL78*annualizationFactor</f>
        <v>3.7636770600000001E-2</v>
      </c>
      <c r="K771" s="777">
        <f>$G$22*$I$9*'Traffic Data'!AM78*annualizationFactor</f>
        <v>3.7693141199999995E-2</v>
      </c>
      <c r="L771" s="777">
        <f>$G$22*$I$9*'Traffic Data'!AN78*annualizationFactor</f>
        <v>3.7749511799999996E-2</v>
      </c>
      <c r="M771" s="777">
        <f>$G$22*$I$9*'Traffic Data'!AO78*annualizationFactor</f>
        <v>3.7805882400000004E-2</v>
      </c>
      <c r="N771" s="777">
        <f>$G$22*$I$9*'Traffic Data'!AP78*annualizationFactor</f>
        <v>3.7862252999999998E-2</v>
      </c>
      <c r="O771" s="777">
        <f>$G$22*$I$9*'Traffic Data'!AQ78*annualizationFactor</f>
        <v>3.79186236E-2</v>
      </c>
      <c r="P771" s="777">
        <f>$G$22*$I$9*'Traffic Data'!AR78*annualizationFactor</f>
        <v>3.7974994200000001E-2</v>
      </c>
      <c r="Q771" s="777">
        <f>$G$22*$I$9*'Traffic Data'!AS78*annualizationFactor</f>
        <v>3.8031364800000002E-2</v>
      </c>
      <c r="R771" s="777">
        <f>$G$22*$I$9*'Traffic Data'!AT78*annualizationFactor</f>
        <v>3.8031364800000002E-2</v>
      </c>
      <c r="S771" s="777">
        <f>$G$22*$I$9*'Traffic Data'!AU78*annualizationFactor</f>
        <v>3.8031364800000002E-2</v>
      </c>
      <c r="T771" s="777">
        <f>$G$22*$I$9*'Traffic Data'!AV78*annualizationFactor</f>
        <v>3.8031364800000002E-2</v>
      </c>
      <c r="U771" s="777">
        <f>$G$22*$I$9*'Traffic Data'!AW78*annualizationFactor</f>
        <v>3.8031364800000002E-2</v>
      </c>
      <c r="V771" s="777">
        <f>$G$22*$I$9*'Traffic Data'!AX78*annualizationFactor</f>
        <v>3.8031364800000002E-2</v>
      </c>
      <c r="W771" s="777">
        <f>$G$22*$I$9*'Traffic Data'!AY78*annualizationFactor</f>
        <v>3.8281084849799994E-2</v>
      </c>
      <c r="X771" s="777">
        <f>$G$22*$I$9*'Traffic Data'!AZ78*annualizationFactor</f>
        <v>3.8873975446799991E-2</v>
      </c>
      <c r="Y771" s="777">
        <f>$G$22*$I$9*'Traffic Data'!BA78*annualizationFactor</f>
        <v>3.9466866043799995E-2</v>
      </c>
      <c r="Z771" s="777">
        <f>$G$22*$I$9*'Traffic Data'!BB78*annualizationFactor</f>
        <v>4.0059895004999999E-2</v>
      </c>
      <c r="AA771" s="777">
        <f>$G$22*$I$9*'Traffic Data'!BC78*annualizationFactor</f>
        <v>4.0652785601999995E-2</v>
      </c>
      <c r="AB771" s="777">
        <f>$G$22*$I$9*'Traffic Data'!BD78*annualizationFactor</f>
        <v>4.1245814563199999E-2</v>
      </c>
      <c r="AC771" s="777">
        <f>$G$22*$I$9*'Traffic Data'!BE78*annualizationFactor</f>
        <v>4.1838705160199996E-2</v>
      </c>
      <c r="AD771" s="777">
        <f>$G$22*$I$9*'Traffic Data'!BF78*annualizationFactor</f>
        <v>4.24315957572E-2</v>
      </c>
      <c r="AE771" s="777">
        <f>$G$22*$I$9*'Traffic Data'!BG78*annualizationFactor</f>
        <v>4.3024624718400004E-2</v>
      </c>
      <c r="AF771" s="777">
        <f>$G$22*$I$9*'Traffic Data'!BH78*annualizationFactor</f>
        <v>4.3617515315399993E-2</v>
      </c>
      <c r="AG771" s="777">
        <f>$G$22*$I$9*'Traffic Data'!BI78*annualizationFactor</f>
        <v>4.4210405912399997E-2</v>
      </c>
      <c r="AH771" s="778">
        <f>$G$22*$I$9*'Traffic Data'!BJ78*annualizationFactor</f>
        <v>4.4803434873600001E-2</v>
      </c>
      <c r="AI771" s="24"/>
      <c r="AJ771" s="24"/>
      <c r="AK771" s="24"/>
      <c r="AL771" s="24"/>
      <c r="AM771" s="24"/>
    </row>
    <row r="772" spans="2:39" ht="21.95" customHeight="1" x14ac:dyDescent="0.2">
      <c r="B772" s="1346"/>
      <c r="C772" s="116" t="s">
        <v>341</v>
      </c>
      <c r="D772" s="116" t="s">
        <v>344</v>
      </c>
      <c r="E772" s="116" t="s">
        <v>467</v>
      </c>
      <c r="F772" s="116" t="s">
        <v>41</v>
      </c>
      <c r="G772" s="970"/>
      <c r="H772" s="970"/>
      <c r="I772" s="777">
        <f>$G$22*$I$9*'Traffic Data'!AK79*annualizationFactor</f>
        <v>4.1680079999999994E-2</v>
      </c>
      <c r="J772" s="777">
        <f>$G$22*$I$9*'Traffic Data'!AL79*annualizationFactor</f>
        <v>4.1742600119999994E-2</v>
      </c>
      <c r="K772" s="777">
        <f>$G$22*$I$9*'Traffic Data'!AM79*annualizationFactor</f>
        <v>4.1805120239999993E-2</v>
      </c>
      <c r="L772" s="777">
        <f>$G$22*$I$9*'Traffic Data'!AN79*annualizationFactor</f>
        <v>4.186764036E-2</v>
      </c>
      <c r="M772" s="777">
        <f>$G$22*$I$9*'Traffic Data'!AO79*annualizationFactor</f>
        <v>4.1930160479999999E-2</v>
      </c>
      <c r="N772" s="777">
        <f>$G$22*$I$9*'Traffic Data'!AP79*annualizationFactor</f>
        <v>4.1992680599999999E-2</v>
      </c>
      <c r="O772" s="777">
        <f>$G$22*$I$9*'Traffic Data'!AQ79*annualizationFactor</f>
        <v>4.2055200719999998E-2</v>
      </c>
      <c r="P772" s="777">
        <f>$G$22*$I$9*'Traffic Data'!AR79*annualizationFactor</f>
        <v>4.2117720839999997E-2</v>
      </c>
      <c r="Q772" s="777">
        <f>$G$22*$I$9*'Traffic Data'!AS79*annualizationFactor</f>
        <v>4.2180240959999997E-2</v>
      </c>
      <c r="R772" s="777">
        <f>$G$22*$I$9*'Traffic Data'!AT79*annualizationFactor</f>
        <v>4.2180240959999997E-2</v>
      </c>
      <c r="S772" s="777">
        <f>$G$22*$I$9*'Traffic Data'!AU79*annualizationFactor</f>
        <v>4.2180240959999997E-2</v>
      </c>
      <c r="T772" s="777">
        <f>$G$22*$I$9*'Traffic Data'!AV79*annualizationFactor</f>
        <v>4.2180240959999997E-2</v>
      </c>
      <c r="U772" s="777">
        <f>$G$22*$I$9*'Traffic Data'!AW79*annualizationFactor</f>
        <v>4.2180240959999997E-2</v>
      </c>
      <c r="V772" s="777">
        <f>$G$22*$I$9*'Traffic Data'!AX79*annualizationFactor</f>
        <v>4.2180240959999997E-2</v>
      </c>
      <c r="W772" s="777">
        <f>$G$22*$I$9*'Traffic Data'!AY79*annualizationFactor</f>
        <v>4.2180240959999997E-2</v>
      </c>
      <c r="X772" s="777">
        <f>$G$22*$I$9*'Traffic Data'!AZ79*annualizationFactor</f>
        <v>4.2180240959999997E-2</v>
      </c>
      <c r="Y772" s="777">
        <f>$G$22*$I$9*'Traffic Data'!BA79*annualizationFactor</f>
        <v>4.2180240959999997E-2</v>
      </c>
      <c r="Z772" s="777">
        <f>$G$22*$I$9*'Traffic Data'!BB79*annualizationFactor</f>
        <v>4.2180240959999997E-2</v>
      </c>
      <c r="AA772" s="777">
        <f>$G$22*$I$9*'Traffic Data'!BC79*annualizationFactor</f>
        <v>4.2729204805055994E-2</v>
      </c>
      <c r="AB772" s="777">
        <f>$G$22*$I$9*'Traffic Data'!BD79*annualizationFactor</f>
        <v>4.33525238608896E-2</v>
      </c>
      <c r="AC772" s="777">
        <f>$G$22*$I$9*'Traffic Data'!BE79*annualizationFactor</f>
        <v>4.3975697485305595E-2</v>
      </c>
      <c r="AD772" s="777">
        <f>$G$22*$I$9*'Traffic Data'!BF79*annualizationFactor</f>
        <v>4.4598871109721605E-2</v>
      </c>
      <c r="AE772" s="777">
        <f>$G$22*$I$9*'Traffic Data'!BG79*annualizationFactor</f>
        <v>4.5222190165555204E-2</v>
      </c>
      <c r="AF772" s="777">
        <f>$G$22*$I$9*'Traffic Data'!BH79*annualizationFactor</f>
        <v>4.5845363789971193E-2</v>
      </c>
      <c r="AG772" s="777">
        <f>$G$22*$I$9*'Traffic Data'!BI79*annualizationFactor</f>
        <v>4.6468537414387195E-2</v>
      </c>
      <c r="AH772" s="778">
        <f>$G$22*$I$9*'Traffic Data'!BJ79*annualizationFactor</f>
        <v>4.7091856470220801E-2</v>
      </c>
      <c r="AI772" s="24"/>
      <c r="AJ772" s="24"/>
      <c r="AK772" s="24"/>
      <c r="AL772" s="24"/>
      <c r="AM772" s="24"/>
    </row>
    <row r="773" spans="2:39" ht="21.95" customHeight="1" x14ac:dyDescent="0.2">
      <c r="B773" s="1346"/>
      <c r="C773" s="116" t="s">
        <v>344</v>
      </c>
      <c r="D773" s="116" t="s">
        <v>345</v>
      </c>
      <c r="E773" s="116" t="s">
        <v>467</v>
      </c>
      <c r="F773" s="116" t="s">
        <v>41</v>
      </c>
      <c r="G773" s="970"/>
      <c r="H773" s="970"/>
      <c r="I773" s="777">
        <f>$G$22*$I$9*'Traffic Data'!AK80*annualizationFactor</f>
        <v>1.7082E-2</v>
      </c>
      <c r="J773" s="777">
        <f>$G$22*$I$9*'Traffic Data'!AL80*annualizationFactor</f>
        <v>1.7107622999999999E-2</v>
      </c>
      <c r="K773" s="777">
        <f>$G$22*$I$9*'Traffic Data'!AM80*annualizationFactor</f>
        <v>1.7133245999999998E-2</v>
      </c>
      <c r="L773" s="777">
        <f>$G$22*$I$9*'Traffic Data'!AN80*annualizationFactor</f>
        <v>1.7158869E-2</v>
      </c>
      <c r="M773" s="777">
        <f>$G$22*$I$9*'Traffic Data'!AO80*annualizationFactor</f>
        <v>1.7184491999999999E-2</v>
      </c>
      <c r="N773" s="777">
        <f>$G$22*$I$9*'Traffic Data'!AP80*annualizationFactor</f>
        <v>1.7210114999999998E-2</v>
      </c>
      <c r="O773" s="777">
        <f>$G$22*$I$9*'Traffic Data'!AQ80*annualizationFactor</f>
        <v>1.7235737999999997E-2</v>
      </c>
      <c r="P773" s="777">
        <f>$G$22*$I$9*'Traffic Data'!AR80*annualizationFactor</f>
        <v>1.7261360999999999E-2</v>
      </c>
      <c r="Q773" s="777">
        <f>$G$22*$I$9*'Traffic Data'!AS80*annualizationFactor</f>
        <v>1.7286983999999998E-2</v>
      </c>
      <c r="R773" s="777">
        <f>$G$22*$I$9*'Traffic Data'!AT80*annualizationFactor</f>
        <v>1.7286983999999998E-2</v>
      </c>
      <c r="S773" s="777">
        <f>$G$22*$I$9*'Traffic Data'!AU80*annualizationFactor</f>
        <v>1.7286983999999998E-2</v>
      </c>
      <c r="T773" s="777">
        <f>$G$22*$I$9*'Traffic Data'!AV80*annualizationFactor</f>
        <v>1.7286983999999998E-2</v>
      </c>
      <c r="U773" s="777">
        <f>$G$22*$I$9*'Traffic Data'!AW80*annualizationFactor</f>
        <v>1.7286983999999998E-2</v>
      </c>
      <c r="V773" s="777">
        <f>$G$22*$I$9*'Traffic Data'!AX80*annualizationFactor</f>
        <v>1.7286983999999998E-2</v>
      </c>
      <c r="W773" s="777">
        <f>$G$22*$I$9*'Traffic Data'!AY80*annualizationFactor</f>
        <v>1.7286983999999998E-2</v>
      </c>
      <c r="X773" s="777">
        <f>$G$22*$I$9*'Traffic Data'!AZ80*annualizationFactor</f>
        <v>1.7286983999999998E-2</v>
      </c>
      <c r="Y773" s="777">
        <f>$G$22*$I$9*'Traffic Data'!BA80*annualizationFactor</f>
        <v>1.7286983999999998E-2</v>
      </c>
      <c r="Z773" s="777">
        <f>$G$22*$I$9*'Traffic Data'!BB80*annualizationFactor</f>
        <v>1.7286983999999998E-2</v>
      </c>
      <c r="AA773" s="777">
        <f>$G$22*$I$9*'Traffic Data'!BC80*annualizationFactor</f>
        <v>1.75119691824E-2</v>
      </c>
      <c r="AB773" s="777">
        <f>$G$22*$I$9*'Traffic Data'!BD80*annualizationFactor</f>
        <v>1.776742781184E-2</v>
      </c>
      <c r="AC773" s="777">
        <f>$G$22*$I$9*'Traffic Data'!BE80*annualizationFactor</f>
        <v>1.802282683824E-2</v>
      </c>
      <c r="AD773" s="777">
        <f>$G$22*$I$9*'Traffic Data'!BF80*annualizationFactor</f>
        <v>1.8278225864640001E-2</v>
      </c>
      <c r="AE773" s="777">
        <f>$G$22*$I$9*'Traffic Data'!BG80*annualizationFactor</f>
        <v>1.8533684494080001E-2</v>
      </c>
      <c r="AF773" s="777">
        <f>$G$22*$I$9*'Traffic Data'!BH80*annualizationFactor</f>
        <v>1.8789083520479997E-2</v>
      </c>
      <c r="AG773" s="777">
        <f>$G$22*$I$9*'Traffic Data'!BI80*annualizationFactor</f>
        <v>1.9044482546880001E-2</v>
      </c>
      <c r="AH773" s="778">
        <f>$G$22*$I$9*'Traffic Data'!BJ80*annualizationFactor</f>
        <v>1.9299941176320001E-2</v>
      </c>
      <c r="AI773" s="24"/>
      <c r="AJ773" s="24"/>
      <c r="AK773" s="24"/>
      <c r="AL773" s="24"/>
      <c r="AM773" s="24"/>
    </row>
    <row r="774" spans="2:39" ht="21.95" customHeight="1" x14ac:dyDescent="0.2">
      <c r="B774" s="1346"/>
      <c r="C774" s="116" t="s">
        <v>345</v>
      </c>
      <c r="D774" s="116" t="s">
        <v>323</v>
      </c>
      <c r="E774" s="116" t="s">
        <v>467</v>
      </c>
      <c r="F774" s="116" t="s">
        <v>41</v>
      </c>
      <c r="G774" s="970"/>
      <c r="H774" s="970"/>
      <c r="I774" s="777">
        <f>$G$22*$I$9*'Traffic Data'!AK81*annualizationFactor</f>
        <v>0.2060352</v>
      </c>
      <c r="J774" s="777">
        <f>$G$22*$I$9*'Traffic Data'!AL81*annualizationFactor</f>
        <v>0.21076481159999999</v>
      </c>
      <c r="K774" s="777">
        <f>$G$22*$I$9*'Traffic Data'!AM81*annualizationFactor</f>
        <v>0.21768281135999998</v>
      </c>
      <c r="L774" s="777">
        <f>$G$22*$I$9*'Traffic Data'!AN81*annualizationFactor</f>
        <v>0.22597940736</v>
      </c>
      <c r="M774" s="777">
        <f>$G$22*$I$9*'Traffic Data'!AO81*annualizationFactor</f>
        <v>0.23427821087999998</v>
      </c>
      <c r="N774" s="777">
        <f>$G$22*$I$9*'Traffic Data'!AP81*annualizationFactor</f>
        <v>0.24257775024000008</v>
      </c>
      <c r="O774" s="777">
        <f>$G$22*$I$9*'Traffic Data'!AQ81*annualizationFactor</f>
        <v>0.25087434624000005</v>
      </c>
      <c r="P774" s="777">
        <f>$G$22*$I$9*'Traffic Data'!AR81*annualizationFactor</f>
        <v>0.25917535728000002</v>
      </c>
      <c r="Q774" s="777">
        <f>$G$22*$I$9*'Traffic Data'!AS81*annualizationFactor</f>
        <v>0.26631668447999995</v>
      </c>
      <c r="R774" s="777">
        <f>$G$22*$I$9*'Traffic Data'!AT81*annualizationFactor</f>
        <v>0.27345764375999998</v>
      </c>
      <c r="S774" s="777">
        <f>$G$22*$I$9*'Traffic Data'!AU81*annualizationFactor</f>
        <v>0.28059897095999997</v>
      </c>
      <c r="T774" s="777">
        <f>$G$22*$I$9*'Traffic Data'!AV81*annualizationFactor</f>
        <v>0.28774029815999991</v>
      </c>
      <c r="U774" s="777">
        <f>$G$22*$I$9*'Traffic Data'!AW81*annualizationFactor</f>
        <v>0.29488604039999994</v>
      </c>
      <c r="V774" s="777">
        <f>$G$22*$I$9*'Traffic Data'!AX81*annualizationFactor</f>
        <v>0.30064656383999994</v>
      </c>
      <c r="W774" s="777">
        <f>$G$22*$I$9*'Traffic Data'!AY81*annualizationFactor</f>
        <v>0.3053761754399999</v>
      </c>
      <c r="X774" s="777">
        <f>$G$22*$I$9*'Traffic Data'!AZ81*annualizationFactor</f>
        <v>0.31010578703999991</v>
      </c>
      <c r="Y774" s="777">
        <f>$G$22*$I$9*'Traffic Data'!BA81*annualizationFactor</f>
        <v>0.31483539863999993</v>
      </c>
      <c r="Z774" s="777">
        <f>$G$22*$I$9*'Traffic Data'!BB81*annualizationFactor</f>
        <v>0.3195661139999999</v>
      </c>
      <c r="AA774" s="777">
        <f>$G$22*$I$9*'Traffic Data'!BC81*annualizationFactor</f>
        <v>0.32429572559999992</v>
      </c>
      <c r="AB774" s="777">
        <f>$G$22*$I$9*'Traffic Data'!BD81*annualizationFactor</f>
        <v>0.32902644095999994</v>
      </c>
      <c r="AC774" s="777">
        <f>$G$22*$I$9*'Traffic Data'!BE81*annualizationFactor</f>
        <v>0.33375605255999996</v>
      </c>
      <c r="AD774" s="777">
        <f>$G$22*$I$9*'Traffic Data'!BF81*annualizationFactor</f>
        <v>0.33848566415999992</v>
      </c>
      <c r="AE774" s="777">
        <f>$G$22*$I$9*'Traffic Data'!BG81*annualizationFactor</f>
        <v>0.34321637951999995</v>
      </c>
      <c r="AF774" s="777">
        <f>$G$22*$I$9*'Traffic Data'!BH81*annualizationFactor</f>
        <v>0.34794599111999985</v>
      </c>
      <c r="AG774" s="777">
        <f>$G$22*$I$9*'Traffic Data'!BI81*annualizationFactor</f>
        <v>0.35267560271999998</v>
      </c>
      <c r="AH774" s="778">
        <f>$G$22*$I$9*'Traffic Data'!BJ81*annualizationFactor</f>
        <v>0.35740631807999995</v>
      </c>
      <c r="AI774" s="24"/>
      <c r="AJ774" s="24"/>
      <c r="AK774" s="24"/>
      <c r="AL774" s="24"/>
      <c r="AM774" s="24"/>
    </row>
    <row r="775" spans="2:39" ht="21.95" customHeight="1" x14ac:dyDescent="0.2">
      <c r="B775" s="1346"/>
      <c r="C775" s="116" t="s">
        <v>323</v>
      </c>
      <c r="D775" s="116" t="s">
        <v>347</v>
      </c>
      <c r="E775" s="116" t="s">
        <v>467</v>
      </c>
      <c r="F775" s="116" t="s">
        <v>41</v>
      </c>
      <c r="G775" s="970"/>
      <c r="H775" s="970"/>
      <c r="I775" s="777">
        <f>$G$22*$I$9*'Traffic Data'!AK82*annualizationFactor</f>
        <v>3.6791999999999998E-2</v>
      </c>
      <c r="J775" s="777">
        <f>$G$22*$I$9*'Traffic Data'!AL82*annualizationFactor</f>
        <v>3.7604971799999998E-2</v>
      </c>
      <c r="K775" s="777">
        <f>$G$22*$I$9*'Traffic Data'!AM82*annualizationFactor</f>
        <v>3.8808661500000001E-2</v>
      </c>
      <c r="L775" s="777">
        <f>$G$22*$I$9*'Traffic Data'!AN82*annualizationFactor</f>
        <v>4.0336252199999999E-2</v>
      </c>
      <c r="M775" s="777">
        <f>$G$22*$I$9*'Traffic Data'!AO82*annualizationFactor</f>
        <v>4.1864302800000003E-2</v>
      </c>
      <c r="N775" s="777">
        <f>$G$22*$I$9*'Traffic Data'!AP82*annualizationFactor</f>
        <v>4.3392261420000001E-2</v>
      </c>
      <c r="O775" s="777">
        <f>$G$22*$I$9*'Traffic Data'!AQ82*annualizationFactor</f>
        <v>4.4919852119999985E-2</v>
      </c>
      <c r="P775" s="777">
        <f>$G$22*$I$9*'Traffic Data'!AR82*annualizationFactor</f>
        <v>4.644827063999999E-2</v>
      </c>
      <c r="Q775" s="777">
        <f>$G$22*$I$9*'Traffic Data'!AS82*annualizationFactor</f>
        <v>4.7806421040000005E-2</v>
      </c>
      <c r="R775" s="777">
        <f>$G$22*$I$9*'Traffic Data'!AT82*annualizationFactor</f>
        <v>4.9164702839999998E-2</v>
      </c>
      <c r="S775" s="777">
        <f>$G$22*$I$9*'Traffic Data'!AU82*annualizationFactor</f>
        <v>5.0522853239999992E-2</v>
      </c>
      <c r="T775" s="777">
        <f>$G$22*$I$9*'Traffic Data'!AV82*annualizationFactor</f>
        <v>5.1881003640000006E-2</v>
      </c>
      <c r="U775" s="777">
        <f>$G$22*$I$9*'Traffic Data'!AW82*annualizationFactor</f>
        <v>5.3239784759999992E-2</v>
      </c>
      <c r="V775" s="777">
        <f>$G$22*$I$9*'Traffic Data'!AX82*annualizationFactor</f>
        <v>5.427366623999999E-2</v>
      </c>
      <c r="W775" s="777">
        <f>$G$22*$I$9*'Traffic Data'!AY82*annualizationFactor</f>
        <v>5.5086638040000004E-2</v>
      </c>
      <c r="X775" s="777">
        <f>$G$22*$I$9*'Traffic Data'!AZ82*annualizationFactor</f>
        <v>5.589960984000001E-2</v>
      </c>
      <c r="Y775" s="777">
        <f>$G$22*$I$9*'Traffic Data'!BA82*annualizationFactor</f>
        <v>5.6712581640000016E-2</v>
      </c>
      <c r="Z775" s="777">
        <f>$G$22*$I$9*'Traffic Data'!BB82*annualizationFactor</f>
        <v>5.7525684840000008E-2</v>
      </c>
      <c r="AA775" s="777">
        <f>$G$22*$I$9*'Traffic Data'!BC82*annualizationFactor</f>
        <v>5.8338656639999993E-2</v>
      </c>
      <c r="AB775" s="777">
        <f>$G$22*$I$9*'Traffic Data'!BD82*annualizationFactor</f>
        <v>5.9151759840000005E-2</v>
      </c>
      <c r="AC775" s="777">
        <f>$G$22*$I$9*'Traffic Data'!BE82*annualizationFactor</f>
        <v>5.9964731640000012E-2</v>
      </c>
      <c r="AD775" s="777">
        <f>$G$22*$I$9*'Traffic Data'!BF82*annualizationFactor</f>
        <v>6.0777703440000004E-2</v>
      </c>
      <c r="AE775" s="777">
        <f>$G$22*$I$9*'Traffic Data'!BG82*annualizationFactor</f>
        <v>6.1590806640000002E-2</v>
      </c>
      <c r="AF775" s="777">
        <f>$G$22*$I$9*'Traffic Data'!BH82*annualizationFactor</f>
        <v>6.2403778440000016E-2</v>
      </c>
      <c r="AG775" s="777">
        <f>$G$22*$I$9*'Traffic Data'!BI82*annualizationFactor</f>
        <v>6.3216750240000008E-2</v>
      </c>
      <c r="AH775" s="778">
        <f>$G$22*$I$9*'Traffic Data'!BJ82*annualizationFactor</f>
        <v>6.4029853440000006E-2</v>
      </c>
      <c r="AI775" s="24"/>
      <c r="AJ775" s="24"/>
      <c r="AK775" s="24"/>
      <c r="AL775" s="24"/>
      <c r="AM775" s="24"/>
    </row>
    <row r="776" spans="2:39" ht="21.95" customHeight="1" x14ac:dyDescent="0.2">
      <c r="B776" s="1346"/>
      <c r="C776" s="116" t="s">
        <v>347</v>
      </c>
      <c r="D776" s="116" t="s">
        <v>348</v>
      </c>
      <c r="E776" s="116" t="s">
        <v>467</v>
      </c>
      <c r="F776" s="116" t="s">
        <v>41</v>
      </c>
      <c r="G776" s="970"/>
      <c r="H776" s="970"/>
      <c r="I776" s="777">
        <f>$G$22*$I$9*'Traffic Data'!AK83*annualizationFactor</f>
        <v>2.57544E-2</v>
      </c>
      <c r="J776" s="777">
        <f>$G$22*$I$9*'Traffic Data'!AL83*annualizationFactor</f>
        <v>2.632348026E-2</v>
      </c>
      <c r="K776" s="777">
        <f>$G$22*$I$9*'Traffic Data'!AM83*annualizationFactor</f>
        <v>2.7166063049999994E-2</v>
      </c>
      <c r="L776" s="777">
        <f>$G$22*$I$9*'Traffic Data'!AN83*annualizationFactor</f>
        <v>2.8235376539999996E-2</v>
      </c>
      <c r="M776" s="777">
        <f>$G$22*$I$9*'Traffic Data'!AO83*annualizationFactor</f>
        <v>2.9305011960000002E-2</v>
      </c>
      <c r="N776" s="777">
        <f>$G$22*$I$9*'Traffic Data'!AP83*annualizationFactor</f>
        <v>3.0374582994000001E-2</v>
      </c>
      <c r="O776" s="777">
        <f>$G$22*$I$9*'Traffic Data'!AQ83*annualizationFactor</f>
        <v>3.1443896483999992E-2</v>
      </c>
      <c r="P776" s="777">
        <f>$G$22*$I$9*'Traffic Data'!AR83*annualizationFactor</f>
        <v>3.2513789447999993E-2</v>
      </c>
      <c r="Q776" s="777">
        <f>$G$22*$I$9*'Traffic Data'!AS83*annualizationFactor</f>
        <v>3.3464494727999998E-2</v>
      </c>
      <c r="R776" s="777">
        <f>$G$22*$I$9*'Traffic Data'!AT83*annualizationFactor</f>
        <v>3.4415291987999995E-2</v>
      </c>
      <c r="S776" s="777">
        <f>$G$22*$I$9*'Traffic Data'!AU83*annualizationFactor</f>
        <v>3.5365997267999993E-2</v>
      </c>
      <c r="T776" s="777">
        <f>$G$22*$I$9*'Traffic Data'!AV83*annualizationFactor</f>
        <v>3.6316702547999999E-2</v>
      </c>
      <c r="U776" s="777">
        <f>$G$22*$I$9*'Traffic Data'!AW83*annualizationFactor</f>
        <v>3.7267849331999989E-2</v>
      </c>
      <c r="V776" s="777">
        <f>$G$22*$I$9*'Traffic Data'!AX83*annualizationFactor</f>
        <v>3.7991566367999996E-2</v>
      </c>
      <c r="W776" s="777">
        <f>$G$22*$I$9*'Traffic Data'!AY83*annualizationFactor</f>
        <v>3.8560646627999996E-2</v>
      </c>
      <c r="X776" s="777">
        <f>$G$22*$I$9*'Traffic Data'!AZ83*annualizationFactor</f>
        <v>3.9129726888000003E-2</v>
      </c>
      <c r="Y776" s="777">
        <f>$G$22*$I$9*'Traffic Data'!BA83*annualizationFactor</f>
        <v>3.9698807148000004E-2</v>
      </c>
      <c r="Z776" s="777">
        <f>$G$22*$I$9*'Traffic Data'!BB83*annualizationFactor</f>
        <v>4.0267979388000003E-2</v>
      </c>
      <c r="AA776" s="777">
        <f>$G$22*$I$9*'Traffic Data'!BC83*annualizationFactor</f>
        <v>4.0837059647999989E-2</v>
      </c>
      <c r="AB776" s="777">
        <f>$G$22*$I$9*'Traffic Data'!BD83*annualizationFactor</f>
        <v>4.1406231888000002E-2</v>
      </c>
      <c r="AC776" s="777">
        <f>$G$22*$I$9*'Traffic Data'!BE83*annualizationFactor</f>
        <v>4.1975312148000002E-2</v>
      </c>
      <c r="AD776" s="777">
        <f>$G$22*$I$9*'Traffic Data'!BF83*annualizationFactor</f>
        <v>4.2544392408000002E-2</v>
      </c>
      <c r="AE776" s="777">
        <f>$G$22*$I$9*'Traffic Data'!BG83*annualizationFactor</f>
        <v>4.3113564648000001E-2</v>
      </c>
      <c r="AF776" s="777">
        <f>$G$22*$I$9*'Traffic Data'!BH83*annualizationFactor</f>
        <v>4.3682644908000001E-2</v>
      </c>
      <c r="AG776" s="777">
        <f>$G$22*$I$9*'Traffic Data'!BI83*annualizationFactor</f>
        <v>4.4251725168000008E-2</v>
      </c>
      <c r="AH776" s="778">
        <f>$G$22*$I$9*'Traffic Data'!BJ83*annualizationFactor</f>
        <v>4.4820897408000007E-2</v>
      </c>
      <c r="AI776" s="24"/>
      <c r="AJ776" s="24"/>
      <c r="AK776" s="24"/>
      <c r="AL776" s="24"/>
      <c r="AM776" s="24"/>
    </row>
    <row r="777" spans="2:39" ht="21.95" customHeight="1" x14ac:dyDescent="0.2">
      <c r="B777" s="1346"/>
      <c r="C777" s="254" t="s">
        <v>348</v>
      </c>
      <c r="D777" s="254" t="s">
        <v>349</v>
      </c>
      <c r="E777" s="254" t="s">
        <v>467</v>
      </c>
      <c r="F777" s="254" t="s">
        <v>41</v>
      </c>
      <c r="G777" s="779"/>
      <c r="H777" s="779"/>
      <c r="I777" s="777">
        <f>$G$22*$I$9*'Traffic Data'!AK84*annualizationFactor</f>
        <v>4.2047999999999995E-2</v>
      </c>
      <c r="J777" s="777">
        <f>$G$22*$I$9*'Traffic Data'!AL84*annualizationFactor</f>
        <v>4.3052355899999999E-2</v>
      </c>
      <c r="K777" s="777">
        <f>$G$22*$I$9*'Traffic Data'!AM84*annualizationFactor</f>
        <v>4.4447495400000002E-2</v>
      </c>
      <c r="L777" s="777">
        <f>$G$22*$I$9*'Traffic Data'!AN84*annualizationFactor</f>
        <v>4.6300366799999992E-2</v>
      </c>
      <c r="M777" s="777">
        <f>$G$22*$I$9*'Traffic Data'!AO84*annualizationFactor</f>
        <v>4.8153763800000006E-2</v>
      </c>
      <c r="N777" s="777">
        <f>$G$22*$I$9*'Traffic Data'!AP84*annualizationFactor</f>
        <v>5.0007292199999998E-2</v>
      </c>
      <c r="O777" s="777">
        <f>$G$22*$I$9*'Traffic Data'!AQ84*annualizationFactor</f>
        <v>5.1860163600000009E-2</v>
      </c>
      <c r="P777" s="777">
        <f>$G$22*$I$9*'Traffic Data'!AR84*annualizationFactor</f>
        <v>5.3714086200000018E-2</v>
      </c>
      <c r="Q777" s="777">
        <f>$G$22*$I$9*'Traffic Data'!AS84*annualizationFactor</f>
        <v>5.5483518600000004E-2</v>
      </c>
      <c r="R777" s="777">
        <f>$G$22*$I$9*'Traffic Data'!AT84*annualizationFactor</f>
        <v>5.7253016699999992E-2</v>
      </c>
      <c r="S777" s="777">
        <f>$G$22*$I$9*'Traffic Data'!AU84*annualizationFactor</f>
        <v>5.9022449099999985E-2</v>
      </c>
      <c r="T777" s="777">
        <f>$G$22*$I$9*'Traffic Data'!AV84*annualizationFactor</f>
        <v>6.0791881500000006E-2</v>
      </c>
      <c r="U777" s="777">
        <f>$G$22*$I$9*'Traffic Data'!AW84*annualizationFactor</f>
        <v>6.2562365100000003E-2</v>
      </c>
      <c r="V777" s="777">
        <f>$G$22*$I$9*'Traffic Data'!AX84*annualizationFactor</f>
        <v>6.3873539999999993E-2</v>
      </c>
      <c r="W777" s="777">
        <f>$G$22*$I$9*'Traffic Data'!AY84*annualizationFactor</f>
        <v>6.4877895899999996E-2</v>
      </c>
      <c r="X777" s="777">
        <f>$G$22*$I$9*'Traffic Data'!AZ84*annualizationFactor</f>
        <v>6.5882251799999986E-2</v>
      </c>
      <c r="Y777" s="777">
        <f>$G$22*$I$9*'Traffic Data'!BA84*annualizationFactor</f>
        <v>6.6886607700000003E-2</v>
      </c>
      <c r="Z777" s="777">
        <f>$G$22*$I$9*'Traffic Data'!BB84*annualizationFactor</f>
        <v>6.7891160699999994E-2</v>
      </c>
      <c r="AA777" s="777">
        <f>$G$22*$I$9*'Traffic Data'!BC84*annualizationFactor</f>
        <v>6.8895516599999984E-2</v>
      </c>
      <c r="AB777" s="777">
        <f>$G$22*$I$9*'Traffic Data'!BD84*annualizationFactor</f>
        <v>6.9900069600000003E-2</v>
      </c>
      <c r="AC777" s="777">
        <f>$G$22*$I$9*'Traffic Data'!BE84*annualizationFactor</f>
        <v>7.0904425499999993E-2</v>
      </c>
      <c r="AD777" s="777">
        <f>$G$22*$I$9*'Traffic Data'!BF84*annualizationFactor</f>
        <v>7.1908781399999996E-2</v>
      </c>
      <c r="AE777" s="777">
        <f>$G$22*$I$9*'Traffic Data'!BG84*annualizationFactor</f>
        <v>7.2913334400000002E-2</v>
      </c>
      <c r="AF777" s="777">
        <f>$G$22*$I$9*'Traffic Data'!BH84*annualizationFactor</f>
        <v>7.3917690299999991E-2</v>
      </c>
      <c r="AG777" s="777">
        <f>$G$22*$I$9*'Traffic Data'!BI84*annualizationFactor</f>
        <v>7.4922046199999995E-2</v>
      </c>
      <c r="AH777" s="778">
        <f>$G$22*$I$9*'Traffic Data'!BJ84*annualizationFactor</f>
        <v>7.5926599199999986E-2</v>
      </c>
      <c r="AI777" s="24"/>
      <c r="AJ777" s="24"/>
      <c r="AK777" s="24"/>
      <c r="AL777" s="24"/>
      <c r="AM777" s="24"/>
    </row>
    <row r="778" spans="2:39" ht="21.95" customHeight="1" x14ac:dyDescent="0.2">
      <c r="B778" s="492" t="s">
        <v>288</v>
      </c>
      <c r="C778" s="116" t="s">
        <v>323</v>
      </c>
      <c r="D778" s="116" t="s">
        <v>348</v>
      </c>
      <c r="E778" s="116" t="s">
        <v>467</v>
      </c>
      <c r="F778" s="116" t="s">
        <v>41</v>
      </c>
      <c r="G778" s="970"/>
      <c r="H778" s="970"/>
      <c r="I778" s="775">
        <f>$G$22*$J$9*'Traffic Data'!AK85*annualizationFactor</f>
        <v>5.2560000000000003E-3</v>
      </c>
      <c r="J778" s="775">
        <f>$G$22*$J$9*'Traffic Data'!AL85*annualizationFactor</f>
        <v>5.5791856000000006E-3</v>
      </c>
      <c r="K778" s="775">
        <f>$G$22*$J$9*'Traffic Data'!AM85*annualizationFactor</f>
        <v>6.0068780000000011E-3</v>
      </c>
      <c r="L778" s="775">
        <f>$G$22*$J$9*'Traffic Data'!AN85*annualizationFactor</f>
        <v>6.5752559999999989E-3</v>
      </c>
      <c r="M778" s="775">
        <f>$G$22*$J$9*'Traffic Data'!AO85*annualizationFactor</f>
        <v>7.1438092000000002E-3</v>
      </c>
      <c r="N778" s="775">
        <f>$G$22*$J$9*'Traffic Data'!AP85*annualizationFactor</f>
        <v>7.7135888000000015E-3</v>
      </c>
      <c r="O778" s="775">
        <f>$G$22*$J$9*'Traffic Data'!AQ85*annualizationFactor</f>
        <v>8.2819667999999985E-3</v>
      </c>
      <c r="P778" s="775">
        <f>$G$22*$J$9*'Traffic Data'!AR85*annualizationFactor</f>
        <v>8.850957999999999E-3</v>
      </c>
      <c r="Q778" s="775">
        <f>$G$22*$J$9*'Traffic Data'!AS85*annualizationFactor</f>
        <v>9.3697836000000007E-3</v>
      </c>
      <c r="R778" s="775">
        <f>$G$22*$J$9*'Traffic Data'!AT85*annualizationFactor</f>
        <v>9.8881712000000021E-3</v>
      </c>
      <c r="S778" s="775">
        <f>$G$22*$J$9*'Traffic Data'!AU85*annualizationFactor</f>
        <v>1.0407026E-2</v>
      </c>
      <c r="T778" s="775">
        <f>$G$22*$J$9*'Traffic Data'!AV85*annualizationFactor</f>
        <v>1.09258516E-2</v>
      </c>
      <c r="U778" s="775">
        <f>$G$22*$J$9*'Traffic Data'!AW85*annualizationFactor</f>
        <v>1.1446516800000001E-2</v>
      </c>
      <c r="V778" s="775">
        <f>$G$22*$J$9*'Traffic Data'!AX85*annualizationFactor</f>
        <v>1.1824248000000002E-2</v>
      </c>
      <c r="W778" s="775">
        <f>$G$22*$J$9*'Traffic Data'!AY85*annualizationFactor</f>
        <v>1.2147433600000002E-2</v>
      </c>
      <c r="X778" s="775">
        <f>$G$22*$J$9*'Traffic Data'!AZ85*annualizationFactor</f>
        <v>1.2470619199999998E-2</v>
      </c>
      <c r="Y778" s="775">
        <f>$G$22*$J$9*'Traffic Data'!BA85*annualizationFactor</f>
        <v>1.2793804799999999E-2</v>
      </c>
      <c r="Z778" s="775">
        <f>$G$22*$J$9*'Traffic Data'!BB85*annualizationFactor</f>
        <v>1.31173408E-2</v>
      </c>
      <c r="AA778" s="775">
        <f>$G$22*$J$9*'Traffic Data'!BC85*annualizationFactor</f>
        <v>1.3440526399999998E-2</v>
      </c>
      <c r="AB778" s="775">
        <f>$G$22*$J$9*'Traffic Data'!BD85*annualizationFactor</f>
        <v>1.3764500400000001E-2</v>
      </c>
      <c r="AC778" s="775">
        <f>$G$22*$J$9*'Traffic Data'!BE85*annualizationFactor</f>
        <v>1.4087685999999999E-2</v>
      </c>
      <c r="AD778" s="775">
        <f>$G$22*$J$9*'Traffic Data'!BF85*annualizationFactor</f>
        <v>1.44108716E-2</v>
      </c>
      <c r="AE778" s="775">
        <f>$G$22*$J$9*'Traffic Data'!BG85*annualizationFactor</f>
        <v>1.4734407599999997E-2</v>
      </c>
      <c r="AF778" s="775">
        <f>$G$22*$J$9*'Traffic Data'!BH85*annualizationFactor</f>
        <v>1.50575932E-2</v>
      </c>
      <c r="AG778" s="775">
        <f>$G$22*$J$9*'Traffic Data'!BI85*annualizationFactor</f>
        <v>1.53807788E-2</v>
      </c>
      <c r="AH778" s="776">
        <f>$G$22*$J$9*'Traffic Data'!BJ85*annualizationFactor</f>
        <v>1.5704752799999999E-2</v>
      </c>
      <c r="AI778" s="24"/>
      <c r="AJ778" s="24"/>
      <c r="AK778" s="24"/>
      <c r="AL778" s="24"/>
      <c r="AM778" s="24"/>
    </row>
    <row r="779" spans="2:39" ht="21.95" customHeight="1" x14ac:dyDescent="0.2">
      <c r="B779" s="782" t="s">
        <v>340</v>
      </c>
      <c r="C779" s="277" t="s">
        <v>335</v>
      </c>
      <c r="D779" s="277" t="s">
        <v>323</v>
      </c>
      <c r="E779" s="277" t="s">
        <v>467</v>
      </c>
      <c r="F779" s="277" t="s">
        <v>41</v>
      </c>
      <c r="G779" s="780"/>
      <c r="H779" s="780"/>
      <c r="I779" s="775">
        <f>$G$22*$K$9*'Traffic Data'!AK86*annualizationFactor</f>
        <v>0</v>
      </c>
      <c r="J779" s="775">
        <f>$G$22*$K$9*'Traffic Data'!AL86*annualizationFactor</f>
        <v>8.8151132480000002E-3</v>
      </c>
      <c r="K779" s="775">
        <f>$G$22*$K$9*'Traffic Data'!AM86*annualizationFactor</f>
        <v>9.4908672400000026E-3</v>
      </c>
      <c r="L779" s="775">
        <f>$G$22*$K$9*'Traffic Data'!AN86*annualizationFactor</f>
        <v>1.0388904480000001E-2</v>
      </c>
      <c r="M779" s="775">
        <f>$G$22*$K$9*'Traffic Data'!AO86*annualizationFactor</f>
        <v>1.1287218535999999E-2</v>
      </c>
      <c r="N779" s="775">
        <f>$G$22*$K$9*'Traffic Data'!AP86*annualizationFactor</f>
        <v>1.2187470304000003E-2</v>
      </c>
      <c r="O779" s="775">
        <f>$G$22*$K$9*'Traffic Data'!AQ86*annualizationFactor</f>
        <v>1.3085507543999998E-2</v>
      </c>
      <c r="P779" s="775">
        <f>$G$22*$K$9*'Traffic Data'!AR86*annualizationFactor</f>
        <v>1.398451364E-2</v>
      </c>
      <c r="Q779" s="775">
        <f>$G$22*$K$9*'Traffic Data'!AS86*annualizationFactor</f>
        <v>1.4804258088000002E-2</v>
      </c>
      <c r="R779" s="775">
        <f>$G$22*$K$9*'Traffic Data'!AT86*annualizationFactor</f>
        <v>1.5623310496000001E-2</v>
      </c>
      <c r="S779" s="775">
        <f>$G$22*$K$9*'Traffic Data'!AU86*annualizationFactor</f>
        <v>1.6443101080000001E-2</v>
      </c>
      <c r="T779" s="775">
        <f>$G$22*$K$9*'Traffic Data'!AV86*annualizationFactor</f>
        <v>1.7262845528E-2</v>
      </c>
      <c r="U779" s="775">
        <f>$G$22*$K$9*'Traffic Data'!AW86*annualizationFactor</f>
        <v>1.8085496544000001E-2</v>
      </c>
      <c r="V779" s="775">
        <f>$G$22*$K$9*'Traffic Data'!AX86*annualizationFactor</f>
        <v>1.8682311840000004E-2</v>
      </c>
      <c r="W779" s="775">
        <f>$G$22*$K$9*'Traffic Data'!AY86*annualizationFactor</f>
        <v>1.9192945088000003E-2</v>
      </c>
      <c r="X779" s="775">
        <f>$G$22*$K$9*'Traffic Data'!AZ86*annualizationFactor</f>
        <v>1.9703578335999998E-2</v>
      </c>
      <c r="Y779" s="775">
        <f>$G$22*$K$9*'Traffic Data'!BA86*annualizationFactor</f>
        <v>2.0214211584E-2</v>
      </c>
      <c r="Z779" s="775">
        <f>$G$22*$K$9*'Traffic Data'!BB86*annualizationFactor</f>
        <v>2.0725398464000001E-2</v>
      </c>
      <c r="AA779" s="775">
        <f>$G$22*$K$9*'Traffic Data'!BC86*annualizationFactor</f>
        <v>2.1236031711999996E-2</v>
      </c>
      <c r="AB779" s="775">
        <f>$G$22*$K$9*'Traffic Data'!BD86*annualizationFactor</f>
        <v>2.1747910632000003E-2</v>
      </c>
      <c r="AC779" s="775">
        <f>$G$22*$K$9*'Traffic Data'!BE86*annualizationFactor</f>
        <v>2.2258543879999999E-2</v>
      </c>
      <c r="AD779" s="775">
        <f>$G$22*$K$9*'Traffic Data'!BF86*annualizationFactor</f>
        <v>2.2769177128000001E-2</v>
      </c>
      <c r="AE779" s="775">
        <f>$G$22*$K$9*'Traffic Data'!BG86*annualizationFactor</f>
        <v>2.3280364007999998E-2</v>
      </c>
      <c r="AF779" s="775">
        <f>$G$22*$K$9*'Traffic Data'!BH86*annualizationFactor</f>
        <v>2.3790997256E-2</v>
      </c>
      <c r="AG779" s="775">
        <f>$G$22*$K$9*'Traffic Data'!BI86*annualizationFactor</f>
        <v>2.4301630503999999E-2</v>
      </c>
      <c r="AH779" s="776">
        <f>$G$22*$K$9*'Traffic Data'!BJ86*annualizationFactor</f>
        <v>2.4813509423999996E-2</v>
      </c>
      <c r="AI779" s="24"/>
      <c r="AJ779" s="24"/>
      <c r="AK779" s="24"/>
      <c r="AL779" s="24"/>
      <c r="AM779" s="24"/>
    </row>
    <row r="780" spans="2:39" ht="21.95" customHeight="1" x14ac:dyDescent="0.2">
      <c r="B780" s="782" t="s">
        <v>357</v>
      </c>
      <c r="C780" s="277" t="s">
        <v>338</v>
      </c>
      <c r="D780" s="277" t="s">
        <v>323</v>
      </c>
      <c r="E780" s="116" t="s">
        <v>467</v>
      </c>
      <c r="F780" s="116" t="s">
        <v>41</v>
      </c>
      <c r="G780" s="970"/>
      <c r="H780" s="970"/>
      <c r="I780" s="775">
        <f>$G$22*$L$9*'Traffic Data'!AK87*annualizationFactor</f>
        <v>9.7474909090909095E-3</v>
      </c>
      <c r="J780" s="775">
        <f>$G$22*$L$9*'Traffic Data'!AL87*annualizationFactor</f>
        <v>9.8813293745454549E-3</v>
      </c>
      <c r="K780" s="775">
        <f>$G$22*$L$9*'Traffic Data'!AM87*annualizationFactor</f>
        <v>1.0112669825454546E-2</v>
      </c>
      <c r="L780" s="775">
        <f>$G$22*$L$9*'Traffic Data'!AN87*annualizationFactor</f>
        <v>1.0430275570909094E-2</v>
      </c>
      <c r="M780" s="775">
        <f>$G$22*$L$9*'Traffic Data'!AO87*annualizationFactor</f>
        <v>1.0748016698181819E-2</v>
      </c>
      <c r="N780" s="775">
        <f>$G$22*$L$9*'Traffic Data'!AP87*annualizationFactor</f>
        <v>1.1066218123636362E-2</v>
      </c>
      <c r="O780" s="775">
        <f>$G$22*$L$9*'Traffic Data'!AQ87*annualizationFactor</f>
        <v>1.1383823869090912E-2</v>
      </c>
      <c r="P780" s="775">
        <f>$G$22*$L$9*'Traffic Data'!AR87*annualizationFactor</f>
        <v>1.1702539745454545E-2</v>
      </c>
      <c r="Q780" s="775">
        <f>$G$22*$L$9*'Traffic Data'!AS87*annualizationFactor</f>
        <v>1.1923564101818182E-2</v>
      </c>
      <c r="R780" s="775">
        <f>$G$22*$L$9*'Traffic Data'!AT87*annualizationFactor</f>
        <v>1.2144615534545454E-2</v>
      </c>
      <c r="S780" s="775">
        <f>$G$22*$L$9*'Traffic Data'!AU87*annualizationFactor</f>
        <v>1.2365694043636364E-2</v>
      </c>
      <c r="T780" s="775">
        <f>$G$22*$L$9*'Traffic Data'!AV87*annualizationFactor</f>
        <v>1.2586718400000004E-2</v>
      </c>
      <c r="U780" s="775">
        <f>$G$22*$L$9*'Traffic Data'!AW87*annualizationFactor</f>
        <v>1.2809313185454547E-2</v>
      </c>
      <c r="V780" s="775">
        <f>$G$22*$L$9*'Traffic Data'!AX87*annualizationFactor</f>
        <v>1.294315165090909E-2</v>
      </c>
      <c r="W780" s="775">
        <f>$G$22*$L$9*'Traffic Data'!AY87*annualizationFactor</f>
        <v>1.3076990116363634E-2</v>
      </c>
      <c r="X780" s="775">
        <f>$G$22*$L$9*'Traffic Data'!AZ87*annualizationFactor</f>
        <v>1.3210828581818183E-2</v>
      </c>
      <c r="Y780" s="775">
        <f>$G$22*$L$9*'Traffic Data'!BA87*annualizationFactor</f>
        <v>1.3344667047272725E-2</v>
      </c>
      <c r="Z780" s="775">
        <f>$G$22*$L$9*'Traffic Data'!BB87*annualizationFactor</f>
        <v>1.3479426109090911E-2</v>
      </c>
      <c r="AA780" s="775">
        <f>$G$22*$L$9*'Traffic Data'!BC87*annualizationFactor</f>
        <v>1.3613264574545455E-2</v>
      </c>
      <c r="AB780" s="775">
        <f>$G$22*$L$9*'Traffic Data'!BD87*annualizationFactor</f>
        <v>1.3747617490909095E-2</v>
      </c>
      <c r="AC780" s="775">
        <f>$G$22*$L$9*'Traffic Data'!BE87*annualizationFactor</f>
        <v>1.3881455956363633E-2</v>
      </c>
      <c r="AD780" s="775">
        <f>$G$22*$L$9*'Traffic Data'!BF87*annualizationFactor</f>
        <v>1.4015294421818186E-2</v>
      </c>
      <c r="AE780" s="775">
        <f>$G$22*$L$9*'Traffic Data'!BG87*annualizationFactor</f>
        <v>1.4150053483636366E-2</v>
      </c>
      <c r="AF780" s="775">
        <f>$G$22*$L$9*'Traffic Data'!BH87*annualizationFactor</f>
        <v>1.4283891949090913E-2</v>
      </c>
      <c r="AG780" s="775">
        <f>$G$22*$L$9*'Traffic Data'!BI87*annualizationFactor</f>
        <v>1.4417730414545457E-2</v>
      </c>
      <c r="AH780" s="776">
        <f>$G$22*$L$9*'Traffic Data'!BJ87*annualizationFactor</f>
        <v>1.4552083330909092E-2</v>
      </c>
      <c r="AI780" s="24"/>
      <c r="AJ780" s="24"/>
      <c r="AK780" s="24"/>
      <c r="AL780" s="24"/>
      <c r="AM780" s="24"/>
    </row>
    <row r="781" spans="2:39" ht="21.95" customHeight="1" x14ac:dyDescent="0.2">
      <c r="B781" s="492" t="s">
        <v>338</v>
      </c>
      <c r="C781" s="116" t="s">
        <v>282</v>
      </c>
      <c r="D781" s="116" t="s">
        <v>357</v>
      </c>
      <c r="E781" s="220" t="s">
        <v>467</v>
      </c>
      <c r="F781" s="220" t="s">
        <v>41</v>
      </c>
      <c r="G781" s="775"/>
      <c r="H781" s="775"/>
      <c r="I781" s="775">
        <f>$G$22*$M$9*'Traffic Data'!AK88*annualizationFactor</f>
        <v>3.5006818181818188E-2</v>
      </c>
      <c r="J781" s="775">
        <f>$G$22*$M$9*'Traffic Data'!AL88*annualizationFactor</f>
        <v>3.6015959729545466E-2</v>
      </c>
      <c r="K781" s="775">
        <f>$G$22*$M$9*'Traffic Data'!AM88*annualizationFactor</f>
        <v>3.710824247045455E-2</v>
      </c>
      <c r="L781" s="775">
        <f>$G$22*$M$9*'Traffic Data'!AN88*annualizationFactor</f>
        <v>3.8557349709090916E-2</v>
      </c>
      <c r="M781" s="775">
        <f>$G$22*$M$9*'Traffic Data'!AO88*annualizationFactor</f>
        <v>4.0006701995454551E-2</v>
      </c>
      <c r="N781" s="775">
        <f>$G$22*$M$9*'Traffic Data'!AP88*annualizationFactor</f>
        <v>4.1456649397727273E-2</v>
      </c>
      <c r="O781" s="775">
        <f>$G$22*$M$9*'Traffic Data'!AQ88*annualizationFactor</f>
        <v>4.2905756636363646E-2</v>
      </c>
      <c r="P781" s="775">
        <f>$G$22*$M$9*'Traffic Data'!AR88*annualizationFactor</f>
        <v>4.4355248950000009E-2</v>
      </c>
      <c r="Q781" s="775">
        <f>$G$22*$M$9*'Traffic Data'!AS88*annualizationFactor</f>
        <v>4.595022960000001E-2</v>
      </c>
      <c r="R781" s="775">
        <f>$G$22*$M$9*'Traffic Data'!AT88*annualizationFactor</f>
        <v>4.7544685147727278E-2</v>
      </c>
      <c r="S781" s="775">
        <f>$G$22*$M$9*'Traffic Data'!AU88*annualizationFactor</f>
        <v>4.9139665797727286E-2</v>
      </c>
      <c r="T781" s="775">
        <f>$G$22*$M$9*'Traffic Data'!AV88*annualizationFactor</f>
        <v>5.073464644772728E-2</v>
      </c>
      <c r="U781" s="775">
        <f>$G$22*$M$9*'Traffic Data'!AW88*annualizationFactor</f>
        <v>5.2330537275000012E-2</v>
      </c>
      <c r="V781" s="775">
        <f>$G$22*$M$9*'Traffic Data'!AX88*annualizationFactor</f>
        <v>5.3568553400000003E-2</v>
      </c>
      <c r="W781" s="775">
        <f>$G$22*$M$9*'Traffic Data'!AY88*annualizationFactor</f>
        <v>5.4577694947727282E-2</v>
      </c>
      <c r="X781" s="775">
        <f>$G$22*$M$9*'Traffic Data'!AZ88*annualizationFactor</f>
        <v>5.558683649545456E-2</v>
      </c>
      <c r="Y781" s="775">
        <f>$G$22*$M$9*'Traffic Data'!BA88*annualizationFactor</f>
        <v>5.6595978043181838E-2</v>
      </c>
      <c r="Z781" s="775">
        <f>$G$22*$M$9*'Traffic Data'!BB88*annualizationFactor</f>
        <v>5.7605014570454555E-2</v>
      </c>
      <c r="AA781" s="775">
        <f>$G$22*$M$9*'Traffic Data'!BC88*annualizationFactor</f>
        <v>5.8614156118181819E-2</v>
      </c>
      <c r="AB781" s="775">
        <f>$G$22*$M$9*'Traffic Data'!BD88*annualizationFactor</f>
        <v>5.9623192645454536E-2</v>
      </c>
      <c r="AC781" s="775">
        <f>$G$22*$M$9*'Traffic Data'!BE88*annualizationFactor</f>
        <v>6.0632334193181842E-2</v>
      </c>
      <c r="AD781" s="775">
        <f>$G$22*$M$9*'Traffic Data'!BF88*annualizationFactor</f>
        <v>6.1641475740909113E-2</v>
      </c>
      <c r="AE781" s="775">
        <f>$G$22*$M$9*'Traffic Data'!BG88*annualizationFactor</f>
        <v>6.2650512268181829E-2</v>
      </c>
      <c r="AF781" s="775">
        <f>$G$22*$M$9*'Traffic Data'!BH88*annualizationFactor</f>
        <v>6.3659653815909101E-2</v>
      </c>
      <c r="AG781" s="775">
        <f>$G$22*$M$9*'Traffic Data'!BI88*annualizationFactor</f>
        <v>6.4668795363636372E-2</v>
      </c>
      <c r="AH781" s="776">
        <f>$G$22*$M$9*'Traffic Data'!BJ88*annualizationFactor</f>
        <v>6.5677831890909116E-2</v>
      </c>
      <c r="AI781" s="24"/>
      <c r="AJ781" s="24"/>
      <c r="AK781" s="24"/>
      <c r="AL781" s="24"/>
      <c r="AM781" s="24"/>
    </row>
    <row r="782" spans="2:39" ht="21.95" customHeight="1" x14ac:dyDescent="0.2">
      <c r="B782" s="492"/>
      <c r="C782" s="116" t="s">
        <v>357</v>
      </c>
      <c r="D782" s="116" t="s">
        <v>346</v>
      </c>
      <c r="E782" s="116" t="s">
        <v>467</v>
      </c>
      <c r="F782" s="116" t="s">
        <v>41</v>
      </c>
      <c r="G782" s="970"/>
      <c r="H782" s="970"/>
      <c r="I782" s="777">
        <f>$G$22*$M$9*'Traffic Data'!AK89*annualizationFactor</f>
        <v>5.0982757575757584E-3</v>
      </c>
      <c r="J782" s="777">
        <f>$G$22*$M$9*'Traffic Data'!AL89*annualizationFactor</f>
        <v>5.2429728734848489E-3</v>
      </c>
      <c r="K782" s="777">
        <f>$G$22*$M$9*'Traffic Data'!AM89*annualizationFactor</f>
        <v>5.4035484350757577E-3</v>
      </c>
      <c r="L782" s="777">
        <f>$G$22*$M$9*'Traffic Data'!AN89*annualizationFactor</f>
        <v>5.628932473106061E-3</v>
      </c>
      <c r="M782" s="777">
        <f>$G$22*$M$9*'Traffic Data'!AO89*annualizationFactor</f>
        <v>5.8543567606818185E-3</v>
      </c>
      <c r="N782" s="777">
        <f>$G$22*$M$9*'Traffic Data'!AP89*annualizationFactor</f>
        <v>6.0798280060606049E-3</v>
      </c>
      <c r="O782" s="777">
        <f>$G$22*$M$9*'Traffic Data'!AQ89*annualizationFactor</f>
        <v>6.3052120440909099E-3</v>
      </c>
      <c r="P782" s="777">
        <f>$G$22*$M$9*'Traffic Data'!AR89*annualizationFactor</f>
        <v>6.5306094986363637E-3</v>
      </c>
      <c r="Q782" s="777">
        <f>$G$22*$M$9*'Traffic Data'!AS89*annualizationFactor</f>
        <v>6.7839468459848506E-3</v>
      </c>
      <c r="R782" s="777">
        <f>$G$22*$M$9*'Traffic Data'!AT89*annualizationFactor</f>
        <v>7.0371969859848484E-3</v>
      </c>
      <c r="S782" s="777">
        <f>$G$22*$M$9*'Traffic Data'!AU89*annualizationFactor</f>
        <v>7.2905343333333318E-3</v>
      </c>
      <c r="T782" s="777">
        <f>$G$22*$M$9*'Traffic Data'!AV89*annualizationFactor</f>
        <v>7.5438716806818171E-3</v>
      </c>
      <c r="U782" s="777">
        <f>$G$22*$M$9*'Traffic Data'!AW89*annualizationFactor</f>
        <v>7.7972492775757584E-3</v>
      </c>
      <c r="V782" s="777">
        <f>$G$22*$M$9*'Traffic Data'!AX89*annualizationFactor</f>
        <v>7.985804981515153E-3</v>
      </c>
      <c r="W782" s="777">
        <f>$G$22*$M$9*'Traffic Data'!AY89*annualizationFactor</f>
        <v>8.1305020974242418E-3</v>
      </c>
      <c r="X782" s="777">
        <f>$G$22*$M$9*'Traffic Data'!AZ89*annualizationFactor</f>
        <v>8.2751992133333358E-3</v>
      </c>
      <c r="Y782" s="777">
        <f>$G$22*$M$9*'Traffic Data'!BA89*annualizationFactor</f>
        <v>8.4198963292424246E-3</v>
      </c>
      <c r="Z782" s="777">
        <f>$G$22*$M$9*'Traffic Data'!BB89*annualizationFactor</f>
        <v>8.5645196543181808E-3</v>
      </c>
      <c r="AA782" s="777">
        <f>$G$22*$M$9*'Traffic Data'!BC89*annualizationFactor</f>
        <v>8.7092167702272714E-3</v>
      </c>
      <c r="AB782" s="777">
        <f>$G$22*$M$9*'Traffic Data'!BD89*annualizationFactor</f>
        <v>8.8538400953030293E-3</v>
      </c>
      <c r="AC782" s="777">
        <f>$G$22*$M$9*'Traffic Data'!BE89*annualizationFactor</f>
        <v>8.9985372112121216E-3</v>
      </c>
      <c r="AD782" s="777">
        <f>$G$22*$M$9*'Traffic Data'!BF89*annualizationFactor</f>
        <v>9.1432343271212121E-3</v>
      </c>
      <c r="AE782" s="777">
        <f>$G$22*$M$9*'Traffic Data'!BG89*annualizationFactor</f>
        <v>9.2878576521969684E-3</v>
      </c>
      <c r="AF782" s="777">
        <f>$G$22*$M$9*'Traffic Data'!BH89*annualizationFactor</f>
        <v>9.4325547681060606E-3</v>
      </c>
      <c r="AG782" s="777">
        <f>$G$22*$M$9*'Traffic Data'!BI89*annualizationFactor</f>
        <v>9.5772518840151494E-3</v>
      </c>
      <c r="AH782" s="778">
        <f>$G$22*$M$9*'Traffic Data'!BJ89*annualizationFactor</f>
        <v>9.7218752090909074E-3</v>
      </c>
      <c r="AI782" s="24"/>
      <c r="AJ782" s="24"/>
      <c r="AK782" s="24"/>
      <c r="AL782" s="24"/>
      <c r="AM782" s="24"/>
    </row>
    <row r="783" spans="2:39" ht="21.95" customHeight="1" x14ac:dyDescent="0.2">
      <c r="B783" s="492"/>
      <c r="C783" s="116" t="s">
        <v>346</v>
      </c>
      <c r="D783" s="116" t="s">
        <v>343</v>
      </c>
      <c r="E783" s="116" t="s">
        <v>467</v>
      </c>
      <c r="F783" s="116" t="s">
        <v>41</v>
      </c>
      <c r="G783" s="970"/>
      <c r="H783" s="970"/>
      <c r="I783" s="777">
        <f>$G$22*$M$9*'Traffic Data'!AK90*annualizationFactor</f>
        <v>1.260909090909091E-3</v>
      </c>
      <c r="J783" s="777">
        <f>$G$22*$M$9*'Traffic Data'!AL90*annualizationFactor</f>
        <v>1.2966956818181818E-3</v>
      </c>
      <c r="K783" s="777">
        <f>$G$22*$M$9*'Traffic Data'!AM90*annualizationFactor</f>
        <v>1.3364093409090909E-3</v>
      </c>
      <c r="L783" s="777">
        <f>$G$22*$M$9*'Traffic Data'!AN90*annualizationFactor</f>
        <v>1.3921514772727273E-3</v>
      </c>
      <c r="M783" s="777">
        <f>$G$22*$M$9*'Traffic Data'!AO90*annualizationFactor</f>
        <v>1.4479035681818184E-3</v>
      </c>
      <c r="N783" s="777">
        <f>$G$22*$M$9*'Traffic Data'!AP90*annualizationFactor</f>
        <v>1.5036672727272726E-3</v>
      </c>
      <c r="O783" s="777">
        <f>$G$22*$M$9*'Traffic Data'!AQ90*annualizationFactor</f>
        <v>1.559409409090909E-3</v>
      </c>
      <c r="P783" s="777">
        <f>$G$22*$M$9*'Traffic Data'!AR90*annualizationFactor</f>
        <v>1.615154863636364E-3</v>
      </c>
      <c r="Q783" s="777">
        <f>$G$22*$M$9*'Traffic Data'!AS90*annualizationFactor</f>
        <v>1.6778104318181822E-3</v>
      </c>
      <c r="R783" s="777">
        <f>$G$22*$M$9*'Traffic Data'!AT90*annualizationFactor</f>
        <v>1.7404444318181815E-3</v>
      </c>
      <c r="S783" s="777">
        <f>$G$22*$M$9*'Traffic Data'!AU90*annualizationFactor</f>
        <v>1.8030999999999998E-3</v>
      </c>
      <c r="T783" s="777">
        <f>$G$22*$M$9*'Traffic Data'!AV90*annualizationFactor</f>
        <v>1.865755568181818E-3</v>
      </c>
      <c r="U783" s="777">
        <f>$G$22*$M$9*'Traffic Data'!AW90*annualizationFactor</f>
        <v>1.9284210909090908E-3</v>
      </c>
      <c r="V783" s="777">
        <f>$G$22*$M$9*'Traffic Data'!AX90*annualizationFactor</f>
        <v>1.9750548181818178E-3</v>
      </c>
      <c r="W783" s="777">
        <f>$G$22*$M$9*'Traffic Data'!AY90*annualizationFactor</f>
        <v>2.0108414090909089E-3</v>
      </c>
      <c r="X783" s="777">
        <f>$G$22*$M$9*'Traffic Data'!AZ90*annualizationFactor</f>
        <v>2.046628E-3</v>
      </c>
      <c r="Y783" s="777">
        <f>$G$22*$M$9*'Traffic Data'!BA90*annualizationFactor</f>
        <v>2.0824145909090911E-3</v>
      </c>
      <c r="Z783" s="777">
        <f>$G$22*$M$9*'Traffic Data'!BB90*annualizationFactor</f>
        <v>2.1181829318181818E-3</v>
      </c>
      <c r="AA783" s="777">
        <f>$G$22*$M$9*'Traffic Data'!BC90*annualizationFactor</f>
        <v>2.1539695227272724E-3</v>
      </c>
      <c r="AB783" s="777">
        <f>$G$22*$M$9*'Traffic Data'!BD90*annualizationFactor</f>
        <v>2.1897378636363636E-3</v>
      </c>
      <c r="AC783" s="777">
        <f>$G$22*$M$9*'Traffic Data'!BE90*annualizationFactor</f>
        <v>2.2255244545454547E-3</v>
      </c>
      <c r="AD783" s="777">
        <f>$G$22*$M$9*'Traffic Data'!BF90*annualizationFactor</f>
        <v>2.2613110454545457E-3</v>
      </c>
      <c r="AE783" s="777">
        <f>$G$22*$M$9*'Traffic Data'!BG90*annualizationFactor</f>
        <v>2.297079386363636E-3</v>
      </c>
      <c r="AF783" s="777">
        <f>$G$22*$M$9*'Traffic Data'!BH90*annualizationFactor</f>
        <v>2.3328659772727271E-3</v>
      </c>
      <c r="AG783" s="777">
        <f>$G$22*$M$9*'Traffic Data'!BI90*annualizationFactor</f>
        <v>2.3686525681818177E-3</v>
      </c>
      <c r="AH783" s="778">
        <f>$G$22*$M$9*'Traffic Data'!BJ90*annualizationFactor</f>
        <v>2.4044209090909089E-3</v>
      </c>
      <c r="AI783" s="24"/>
      <c r="AJ783" s="24"/>
      <c r="AK783" s="24"/>
      <c r="AL783" s="24"/>
      <c r="AM783" s="24"/>
    </row>
    <row r="784" spans="2:39" ht="21.95" customHeight="1" x14ac:dyDescent="0.2">
      <c r="B784" s="492"/>
      <c r="C784" s="116" t="s">
        <v>343</v>
      </c>
      <c r="D784" s="116" t="s">
        <v>350</v>
      </c>
      <c r="E784" s="116" t="s">
        <v>467</v>
      </c>
      <c r="F784" s="116" t="s">
        <v>41</v>
      </c>
      <c r="G784" s="970"/>
      <c r="H784" s="970"/>
      <c r="I784" s="777">
        <f>$G$22*$M$9*'Traffic Data'!AK91*annualizationFactor</f>
        <v>3.2352272727272733E-3</v>
      </c>
      <c r="J784" s="777">
        <f>$G$22*$M$9*'Traffic Data'!AL91*annualizationFactor</f>
        <v>3.3269675340909096E-3</v>
      </c>
      <c r="K784" s="777">
        <f>$G$22*$M$9*'Traffic Data'!AM91*annualizationFactor</f>
        <v>3.4315031193181819E-3</v>
      </c>
      <c r="L784" s="777">
        <f>$G$22*$M$9*'Traffic Data'!AN91*annualizationFactor</f>
        <v>3.5650748693181822E-3</v>
      </c>
      <c r="M784" s="777">
        <f>$G$22*$M$9*'Traffic Data'!AO91*annualizationFactor</f>
        <v>3.6986897556818186E-3</v>
      </c>
      <c r="N784" s="777">
        <f>$G$22*$M$9*'Traffic Data'!AP91*annualizationFactor</f>
        <v>3.8322830738636376E-3</v>
      </c>
      <c r="O784" s="777">
        <f>$G$22*$M$9*'Traffic Data'!AQ91*annualizationFactor</f>
        <v>3.9658548238636375E-3</v>
      </c>
      <c r="P784" s="777">
        <f>$G$22*$M$9*'Traffic Data'!AR91*annualizationFactor</f>
        <v>4.0994535340909098E-3</v>
      </c>
      <c r="Q784" s="777">
        <f>$G$22*$M$9*'Traffic Data'!AS91*annualizationFactor</f>
        <v>4.2504523749999999E-3</v>
      </c>
      <c r="R784" s="777">
        <f>$G$22*$M$9*'Traffic Data'!AT91*annualizationFactor</f>
        <v>4.4014458238636365E-3</v>
      </c>
      <c r="S784" s="777">
        <f>$G$22*$M$9*'Traffic Data'!AU91*annualizationFactor</f>
        <v>4.5524230965909096E-3</v>
      </c>
      <c r="T784" s="777">
        <f>$G$22*$M$9*'Traffic Data'!AV91*annualizationFactor</f>
        <v>4.7034219375000014E-3</v>
      </c>
      <c r="U784" s="777">
        <f>$G$22*$M$9*'Traffic Data'!AW91*annualizationFactor</f>
        <v>4.8544477386363635E-3</v>
      </c>
      <c r="V784" s="777">
        <f>$G$22*$M$9*'Traffic Data'!AX91*annualizationFactor</f>
        <v>4.9764050227272738E-3</v>
      </c>
      <c r="W784" s="777">
        <f>$G$22*$M$9*'Traffic Data'!AY91*annualizationFactor</f>
        <v>5.0681452840909101E-3</v>
      </c>
      <c r="X784" s="777">
        <f>$G$22*$M$9*'Traffic Data'!AZ91*annualizationFactor</f>
        <v>5.1598855454545473E-3</v>
      </c>
      <c r="Y784" s="777">
        <f>$G$22*$M$9*'Traffic Data'!BA91*annualizationFactor</f>
        <v>5.2516258068181828E-3</v>
      </c>
      <c r="Z784" s="777">
        <f>$G$22*$M$9*'Traffic Data'!BB91*annualizationFactor</f>
        <v>5.3433391079545471E-3</v>
      </c>
      <c r="AA784" s="777">
        <f>$G$22*$M$9*'Traffic Data'!BC91*annualizationFactor</f>
        <v>5.4350793693181809E-3</v>
      </c>
      <c r="AB784" s="777">
        <f>$G$22*$M$9*'Traffic Data'!BD91*annualizationFactor</f>
        <v>5.5267926704545452E-3</v>
      </c>
      <c r="AC784" s="777">
        <f>$G$22*$M$9*'Traffic Data'!BE91*annualizationFactor</f>
        <v>5.6185329318181815E-3</v>
      </c>
      <c r="AD784" s="777">
        <f>$G$22*$M$9*'Traffic Data'!BF91*annualizationFactor</f>
        <v>5.7102731931818178E-3</v>
      </c>
      <c r="AE784" s="777">
        <f>$G$22*$M$9*'Traffic Data'!BG91*annualizationFactor</f>
        <v>5.8019864943181804E-3</v>
      </c>
      <c r="AF784" s="777">
        <f>$G$22*$M$9*'Traffic Data'!BH91*annualizationFactor</f>
        <v>5.8937267556818176E-3</v>
      </c>
      <c r="AG784" s="777">
        <f>$G$22*$M$9*'Traffic Data'!BI91*annualizationFactor</f>
        <v>5.9854670170454531E-3</v>
      </c>
      <c r="AH784" s="778">
        <f>$G$22*$M$9*'Traffic Data'!BJ91*annualizationFactor</f>
        <v>6.0771803181818166E-3</v>
      </c>
      <c r="AI784" s="24"/>
      <c r="AJ784" s="24"/>
      <c r="AK784" s="24"/>
      <c r="AL784" s="24"/>
      <c r="AM784" s="24"/>
    </row>
    <row r="785" spans="2:39" ht="21.95" customHeight="1" x14ac:dyDescent="0.2">
      <c r="B785" s="492"/>
      <c r="C785" s="116" t="s">
        <v>350</v>
      </c>
      <c r="D785" s="116" t="s">
        <v>280</v>
      </c>
      <c r="E785" s="116" t="s">
        <v>467</v>
      </c>
      <c r="F785" s="116" t="s">
        <v>41</v>
      </c>
      <c r="G785" s="970"/>
      <c r="H785" s="970"/>
      <c r="I785" s="777">
        <f>$G$22*$M$9*'Traffic Data'!AK92*annualizationFactor</f>
        <v>2.6860681818181822E-2</v>
      </c>
      <c r="J785" s="777">
        <f>$G$22*$M$9*'Traffic Data'!AL92*annualizationFactor</f>
        <v>2.7622361218939399E-2</v>
      </c>
      <c r="K785" s="777">
        <f>$G$22*$M$9*'Traffic Data'!AM92*annualizationFactor</f>
        <v>2.8490274616287878E-2</v>
      </c>
      <c r="L785" s="777">
        <f>$G$22*$M$9*'Traffic Data'!AN92*annualizationFactor</f>
        <v>2.9599262632954551E-2</v>
      </c>
      <c r="M785" s="777">
        <f>$G$22*$M$9*'Traffic Data'!AO92*annualizationFactor</f>
        <v>3.0708608792045459E-2</v>
      </c>
      <c r="N785" s="777">
        <f>$G$22*$M$9*'Traffic Data'!AP92*annualizationFactor</f>
        <v>3.1817775879924258E-2</v>
      </c>
      <c r="O785" s="777">
        <f>$G$22*$M$9*'Traffic Data'!AQ92*annualizationFactor</f>
        <v>3.292676389659091E-2</v>
      </c>
      <c r="P785" s="777">
        <f>$G$22*$M$9*'Traffic Data'!AR92*annualizationFactor</f>
        <v>3.4035975752272733E-2</v>
      </c>
      <c r="Q785" s="777">
        <f>$G$22*$M$9*'Traffic Data'!AS92*annualizationFactor</f>
        <v>3.5289653308333335E-2</v>
      </c>
      <c r="R785" s="777">
        <f>$G$22*$M$9*'Traffic Data'!AT92*annualizationFactor</f>
        <v>3.6543286096590917E-2</v>
      </c>
      <c r="S785" s="777">
        <f>$G$22*$M$9*'Traffic Data'!AU92*annualizationFactor</f>
        <v>3.7796784581439397E-2</v>
      </c>
      <c r="T785" s="777">
        <f>$G$22*$M$9*'Traffic Data'!AV92*annualizationFactor</f>
        <v>3.9050462137500005E-2</v>
      </c>
      <c r="U785" s="777">
        <f>$G$22*$M$9*'Traffic Data'!AW92*annualizationFactor</f>
        <v>4.0304363532575764E-2</v>
      </c>
      <c r="V785" s="777">
        <f>$G$22*$M$9*'Traffic Data'!AX92*annualizationFactor</f>
        <v>4.1316921701515158E-2</v>
      </c>
      <c r="W785" s="777">
        <f>$G$22*$M$9*'Traffic Data'!AY92*annualizationFactor</f>
        <v>4.2078601102272732E-2</v>
      </c>
      <c r="X785" s="777">
        <f>$G$22*$M$9*'Traffic Data'!AZ92*annualizationFactor</f>
        <v>4.284028050303032E-2</v>
      </c>
      <c r="Y785" s="777">
        <f>$G$22*$M$9*'Traffic Data'!BA92*annualizationFactor</f>
        <v>4.3601959903787894E-2</v>
      </c>
      <c r="Z785" s="777">
        <f>$G$22*$M$9*'Traffic Data'!BB92*annualizationFactor</f>
        <v>4.4363415465530319E-2</v>
      </c>
      <c r="AA785" s="777">
        <f>$G$22*$M$9*'Traffic Data'!BC92*annualizationFactor</f>
        <v>4.5125094866287872E-2</v>
      </c>
      <c r="AB785" s="777">
        <f>$G$22*$M$9*'Traffic Data'!BD92*annualizationFactor</f>
        <v>4.5886550428030304E-2</v>
      </c>
      <c r="AC785" s="777">
        <f>$G$22*$M$9*'Traffic Data'!BE92*annualizationFactor</f>
        <v>4.6648229828787878E-2</v>
      </c>
      <c r="AD785" s="777">
        <f>$G$22*$M$9*'Traffic Data'!BF92*annualizationFactor</f>
        <v>4.7409909229545459E-2</v>
      </c>
      <c r="AE785" s="777">
        <f>$G$22*$M$9*'Traffic Data'!BG92*annualizationFactor</f>
        <v>4.8171364791287863E-2</v>
      </c>
      <c r="AF785" s="777">
        <f>$G$22*$M$9*'Traffic Data'!BH92*annualizationFactor</f>
        <v>4.8933044192045458E-2</v>
      </c>
      <c r="AG785" s="777">
        <f>$G$22*$M$9*'Traffic Data'!BI92*annualizationFactor</f>
        <v>4.9694723592803025E-2</v>
      </c>
      <c r="AH785" s="778">
        <f>$G$22*$M$9*'Traffic Data'!BJ92*annualizationFactor</f>
        <v>5.0456179154545443E-2</v>
      </c>
      <c r="AI785" s="24"/>
      <c r="AJ785" s="24"/>
      <c r="AK785" s="24"/>
      <c r="AL785" s="24"/>
      <c r="AM785" s="24"/>
    </row>
    <row r="786" spans="2:39" ht="21.95" customHeight="1" x14ac:dyDescent="0.2">
      <c r="B786" s="493"/>
      <c r="C786" s="254" t="s">
        <v>280</v>
      </c>
      <c r="D786" s="254" t="s">
        <v>333</v>
      </c>
      <c r="E786" s="254" t="s">
        <v>467</v>
      </c>
      <c r="F786" s="254" t="s">
        <v>41</v>
      </c>
      <c r="G786" s="779"/>
      <c r="H786" s="779"/>
      <c r="I786" s="779">
        <f>$G$22*$M$9*'Traffic Data'!AK93*annualizationFactor</f>
        <v>6.6363636363636364E-4</v>
      </c>
      <c r="J786" s="779">
        <f>$G$22*$M$9*'Traffic Data'!AL93*annualizationFactor</f>
        <v>6.8245487878787904E-4</v>
      </c>
      <c r="K786" s="779">
        <f>$G$22*$M$9*'Traffic Data'!AM93*annualizationFactor</f>
        <v>7.0389807575757578E-4</v>
      </c>
      <c r="L786" s="779">
        <f>$G$22*$M$9*'Traffic Data'!AN93*annualizationFactor</f>
        <v>7.3129740909090937E-4</v>
      </c>
      <c r="M786" s="779">
        <f>$G$22*$M$9*'Traffic Data'!AO93*annualizationFactor</f>
        <v>7.5870559090909101E-4</v>
      </c>
      <c r="N786" s="779">
        <f>$G$22*$M$9*'Traffic Data'!AP93*annualizationFactor</f>
        <v>7.8610934848484873E-4</v>
      </c>
      <c r="O786" s="779">
        <f>$G$22*$M$9*'Traffic Data'!AQ93*annualizationFactor</f>
        <v>8.1350868181818221E-4</v>
      </c>
      <c r="P786" s="779">
        <f>$G$22*$M$9*'Traffic Data'!AR93*annualizationFactor</f>
        <v>8.4091354545454578E-4</v>
      </c>
      <c r="Q786" s="779">
        <f>$G$22*$M$9*'Traffic Data'!AS93*annualizationFactor</f>
        <v>8.7188766666666687E-4</v>
      </c>
      <c r="R786" s="779">
        <f>$G$22*$M$9*'Traffic Data'!AT93*annualizationFactor</f>
        <v>9.0286068181818211E-4</v>
      </c>
      <c r="S786" s="779">
        <f>$G$22*$M$9*'Traffic Data'!AU93*annualizationFactor</f>
        <v>9.3383037878787896E-4</v>
      </c>
      <c r="T786" s="779">
        <f>$G$22*$M$9*'Traffic Data'!AV93*annualizationFactor</f>
        <v>9.6480450000000027E-4</v>
      </c>
      <c r="U786" s="779">
        <f>$G$22*$M$9*'Traffic Data'!AW93*annualizationFactor</f>
        <v>9.9578415151515155E-4</v>
      </c>
      <c r="V786" s="779">
        <f>$G$22*$M$9*'Traffic Data'!AX93*annualizationFactor</f>
        <v>1.0208010303030305E-3</v>
      </c>
      <c r="W786" s="779">
        <f>$G$22*$M$9*'Traffic Data'!AY93*annualizationFactor</f>
        <v>1.0396195454545458E-3</v>
      </c>
      <c r="X786" s="779">
        <f>$G$22*$M$9*'Traffic Data'!AZ93*annualizationFactor</f>
        <v>1.0584380606060611E-3</v>
      </c>
      <c r="Y786" s="779">
        <f>$G$22*$M$9*'Traffic Data'!BA93*annualizationFactor</f>
        <v>1.0772565757575761E-3</v>
      </c>
      <c r="Z786" s="779">
        <f>$G$22*$M$9*'Traffic Data'!BB93*annualizationFactor</f>
        <v>1.096069560606061E-3</v>
      </c>
      <c r="AA786" s="779">
        <f>$G$22*$M$9*'Traffic Data'!BC93*annualizationFactor</f>
        <v>1.1148880757575754E-3</v>
      </c>
      <c r="AB786" s="779">
        <f>$G$22*$M$9*'Traffic Data'!BD93*annualizationFactor</f>
        <v>1.1337010606060605E-3</v>
      </c>
      <c r="AC786" s="779">
        <f>$G$22*$M$9*'Traffic Data'!BE93*annualizationFactor</f>
        <v>1.1525195757575756E-3</v>
      </c>
      <c r="AD786" s="779">
        <f>$G$22*$M$9*'Traffic Data'!BF93*annualizationFactor</f>
        <v>1.1713380909090909E-3</v>
      </c>
      <c r="AE786" s="779">
        <f>$G$22*$M$9*'Traffic Data'!BG93*annualizationFactor</f>
        <v>1.1901510757575757E-3</v>
      </c>
      <c r="AF786" s="779">
        <f>$G$22*$M$9*'Traffic Data'!BH93*annualizationFactor</f>
        <v>1.208969590909091E-3</v>
      </c>
      <c r="AG786" s="779">
        <f>$G$22*$M$9*'Traffic Data'!BI93*annualizationFactor</f>
        <v>1.2277881060606059E-3</v>
      </c>
      <c r="AH786" s="783">
        <f>$G$22*$M$9*'Traffic Data'!BJ93*annualizationFactor</f>
        <v>1.246601090909091E-3</v>
      </c>
      <c r="AI786" s="24"/>
      <c r="AJ786" s="24"/>
      <c r="AK786" s="24"/>
      <c r="AL786" s="24"/>
      <c r="AM786" s="24"/>
    </row>
    <row r="787" spans="2:39" ht="21.95" customHeight="1" x14ac:dyDescent="0.2">
      <c r="B787" s="1109" t="s">
        <v>495</v>
      </c>
      <c r="C787" s="240"/>
      <c r="D787" s="240"/>
      <c r="E787" s="240"/>
      <c r="F787" s="240"/>
      <c r="G787" s="969">
        <f>SUM(G758:G786)</f>
        <v>0</v>
      </c>
      <c r="H787" s="969">
        <f>SUM(H758:H786)</f>
        <v>0</v>
      </c>
      <c r="I787" s="785">
        <f t="shared" ref="I787:AH787" si="69">SUM(I758:I786)</f>
        <v>0.77028853962121213</v>
      </c>
      <c r="J787" s="785">
        <f t="shared" si="69"/>
        <v>0.80413374050991671</v>
      </c>
      <c r="K787" s="785">
        <f t="shared" si="69"/>
        <v>0.84948424357225738</v>
      </c>
      <c r="L787" s="785">
        <f t="shared" si="69"/>
        <v>0.92056149296760614</v>
      </c>
      <c r="M787" s="785">
        <f t="shared" si="69"/>
        <v>0.99167192427238648</v>
      </c>
      <c r="N787" s="785">
        <f t="shared" si="69"/>
        <v>1.0627824319871517</v>
      </c>
      <c r="O787" s="785">
        <f t="shared" si="69"/>
        <v>1.1338596813824999</v>
      </c>
      <c r="P787" s="785">
        <f t="shared" si="69"/>
        <v>1.2050032714070458</v>
      </c>
      <c r="Q787" s="785">
        <f t="shared" si="69"/>
        <v>1.2698668476840076</v>
      </c>
      <c r="R787" s="785">
        <f t="shared" si="69"/>
        <v>1.3345572348930759</v>
      </c>
      <c r="S787" s="785">
        <f t="shared" si="69"/>
        <v>1.3992332631271285</v>
      </c>
      <c r="T787" s="785">
        <f t="shared" si="69"/>
        <v>1.4639089636840901</v>
      </c>
      <c r="U787" s="785">
        <f t="shared" si="69"/>
        <v>1.5286510451020985</v>
      </c>
      <c r="V787" s="785">
        <f t="shared" si="69"/>
        <v>1.5678701985833787</v>
      </c>
      <c r="W787" s="785">
        <f t="shared" si="69"/>
        <v>1.5930669058478828</v>
      </c>
      <c r="X787" s="785">
        <f t="shared" si="69"/>
        <v>1.618870761003588</v>
      </c>
      <c r="Y787" s="785">
        <f t="shared" si="69"/>
        <v>1.6446746161592924</v>
      </c>
      <c r="Z787" s="785">
        <f t="shared" si="69"/>
        <v>1.6704960607976138</v>
      </c>
      <c r="AA787" s="785">
        <f t="shared" si="69"/>
        <v>1.6970738649807739</v>
      </c>
      <c r="AB787" s="785">
        <f t="shared" si="69"/>
        <v>1.7237730956989143</v>
      </c>
      <c r="AC787" s="785">
        <f t="shared" si="69"/>
        <v>1.7504555235054351</v>
      </c>
      <c r="AD787" s="785">
        <f t="shared" si="69"/>
        <v>1.7771379513119556</v>
      </c>
      <c r="AE787" s="785">
        <f t="shared" si="69"/>
        <v>1.80383817363555</v>
      </c>
      <c r="AF787" s="785">
        <f t="shared" si="69"/>
        <v>1.8305206014420705</v>
      </c>
      <c r="AG787" s="785">
        <f t="shared" si="69"/>
        <v>1.8572030292485913</v>
      </c>
      <c r="AH787" s="786">
        <f t="shared" si="69"/>
        <v>1.8839022599667317</v>
      </c>
      <c r="AI787" s="24"/>
      <c r="AJ787" s="24"/>
      <c r="AK787" s="24"/>
      <c r="AL787" s="24"/>
      <c r="AM787" s="24"/>
    </row>
    <row r="788" spans="2:39" ht="21.95" customHeight="1" x14ac:dyDescent="0.2">
      <c r="B788" s="787" t="s">
        <v>328</v>
      </c>
      <c r="C788" s="1344" t="s">
        <v>18</v>
      </c>
      <c r="D788" s="1344"/>
      <c r="E788" s="46" t="s">
        <v>24</v>
      </c>
      <c r="F788" s="46" t="s">
        <v>42</v>
      </c>
      <c r="G788" s="123" cm="1">
        <f t="array" ref="G788:AH788">year</f>
        <v>2021</v>
      </c>
      <c r="H788" s="123">
        <v>2022</v>
      </c>
      <c r="I788" s="46">
        <v>2023</v>
      </c>
      <c r="J788" s="46">
        <v>2024</v>
      </c>
      <c r="K788" s="46">
        <v>2025</v>
      </c>
      <c r="L788" s="46">
        <v>2026</v>
      </c>
      <c r="M788" s="46">
        <v>2027</v>
      </c>
      <c r="N788" s="46">
        <v>2028</v>
      </c>
      <c r="O788" s="46">
        <v>2029</v>
      </c>
      <c r="P788" s="46">
        <v>2030</v>
      </c>
      <c r="Q788" s="46">
        <v>2031</v>
      </c>
      <c r="R788" s="46">
        <v>2032</v>
      </c>
      <c r="S788" s="46">
        <v>2033</v>
      </c>
      <c r="T788" s="46">
        <v>2034</v>
      </c>
      <c r="U788" s="46">
        <v>2035</v>
      </c>
      <c r="V788" s="46">
        <v>2036</v>
      </c>
      <c r="W788" s="46">
        <v>2037</v>
      </c>
      <c r="X788" s="46">
        <v>2038</v>
      </c>
      <c r="Y788" s="46">
        <v>2039</v>
      </c>
      <c r="Z788" s="46">
        <v>2040</v>
      </c>
      <c r="AA788" s="46">
        <v>2041</v>
      </c>
      <c r="AB788" s="46">
        <v>2042</v>
      </c>
      <c r="AC788" s="46">
        <v>2043</v>
      </c>
      <c r="AD788" s="46">
        <v>2044</v>
      </c>
      <c r="AE788" s="46">
        <v>2045</v>
      </c>
      <c r="AF788" s="46">
        <v>2046</v>
      </c>
      <c r="AG788" s="46">
        <v>2047</v>
      </c>
      <c r="AH788" s="495">
        <v>2048</v>
      </c>
      <c r="AI788" s="24"/>
      <c r="AJ788" s="24"/>
      <c r="AK788" s="24"/>
      <c r="AL788" s="24"/>
      <c r="AM788" s="24"/>
    </row>
    <row r="789" spans="2:39" ht="21.95" customHeight="1" x14ac:dyDescent="0.2">
      <c r="B789" s="1346" t="s">
        <v>331</v>
      </c>
      <c r="C789" s="220" t="s">
        <v>332</v>
      </c>
      <c r="D789" s="220" t="s">
        <v>282</v>
      </c>
      <c r="E789" s="220" t="s">
        <v>19</v>
      </c>
      <c r="F789" s="220" t="s">
        <v>40</v>
      </c>
      <c r="G789" s="775"/>
      <c r="H789" s="775"/>
      <c r="I789" s="775">
        <f>$H$21*$E$8*'Traffic Data'!AK65*annualizationFactor</f>
        <v>1242.53008</v>
      </c>
      <c r="J789" s="775">
        <f>$H$21*$E$8*'Traffic Data'!AL65*annualizationFactor</f>
        <v>1299.0302524814999</v>
      </c>
      <c r="K789" s="775">
        <f>$H$21*$E$8*'Traffic Data'!AM65*annualizationFactor</f>
        <v>1378.6337186380003</v>
      </c>
      <c r="L789" s="775">
        <f>$H$21*$E$8*'Traffic Data'!AN65*annualizationFactor</f>
        <v>1495.7266470520001</v>
      </c>
      <c r="M789" s="775">
        <f>$H$21*$E$8*'Traffic Data'!AO65*annualizationFactor</f>
        <v>1612.8622874375001</v>
      </c>
      <c r="N789" s="775">
        <f>$H$21*$E$8*'Traffic Data'!AP65*annualizationFactor</f>
        <v>1729.9979278229998</v>
      </c>
      <c r="O789" s="775">
        <f>$H$21*$E$8*'Traffic Data'!AQ65*annualizationFactor</f>
        <v>1847.0908562369996</v>
      </c>
      <c r="P789" s="775">
        <f>$H$21*$E$8*'Traffic Data'!AR65*annualizationFactor</f>
        <v>1964.2692085939996</v>
      </c>
      <c r="Q789" s="775">
        <f>$H$21*$E$8*'Traffic Data'!AS65*annualizationFactor</f>
        <v>2080.0613633305002</v>
      </c>
      <c r="R789" s="775">
        <f>$H$21*$E$8*'Traffic Data'!AT65*annualizationFactor</f>
        <v>2195.8768155060002</v>
      </c>
      <c r="S789" s="775">
        <f>$H$21*$E$8*'Traffic Data'!AU65*annualizationFactor</f>
        <v>2311.6689702425006</v>
      </c>
      <c r="T789" s="775">
        <f>$H$21*$E$8*'Traffic Data'!AV65*annualizationFactor</f>
        <v>2427.461124979</v>
      </c>
      <c r="U789" s="775">
        <f>$H$21*$E$8*'Traffic Data'!AW65*annualizationFactor</f>
        <v>2543.3387036585</v>
      </c>
      <c r="V789" s="775">
        <f>$H$21*$E$8*'Traffic Data'!AX65*annualizationFactor</f>
        <v>2621.5986841660001</v>
      </c>
      <c r="W789" s="775">
        <f>$H$21*$E$8*'Traffic Data'!AY65*annualizationFactor</f>
        <v>2678.0988566475003</v>
      </c>
      <c r="X789" s="775">
        <f>$H$21*$E$8*'Traffic Data'!AZ65*annualizationFactor</f>
        <v>2734.5990291289995</v>
      </c>
      <c r="Y789" s="775">
        <f>$H$21*$E$8*'Traffic Data'!BA65*annualizationFactor</f>
        <v>2791.0992016104997</v>
      </c>
      <c r="Z789" s="775">
        <f>$H$21*$E$8*'Traffic Data'!BB65*annualizationFactor</f>
        <v>2847.6187886245002</v>
      </c>
      <c r="AA789" s="775">
        <f>$H$21*$E$8*'Traffic Data'!BC65*annualizationFactor</f>
        <v>2904.1189611060008</v>
      </c>
      <c r="AB789" s="775">
        <f>$H$21*$E$8*'Traffic Data'!BD65*annualizationFactor</f>
        <v>2960.6385481199991</v>
      </c>
      <c r="AC789" s="775">
        <f>$H$21*$E$8*'Traffic Data'!BE65*annualizationFactor</f>
        <v>3017.1387206015002</v>
      </c>
      <c r="AD789" s="775">
        <f>$H$21*$E$8*'Traffic Data'!BF65*annualizationFactor</f>
        <v>3073.6388930829999</v>
      </c>
      <c r="AE789" s="775">
        <f>$H$21*$E$8*'Traffic Data'!BG65*annualizationFactor</f>
        <v>3130.1584800969995</v>
      </c>
      <c r="AF789" s="775">
        <f>$H$21*$E$8*'Traffic Data'!BH65*annualizationFactor</f>
        <v>3186.6586525785001</v>
      </c>
      <c r="AG789" s="775">
        <f>$H$21*$E$8*'Traffic Data'!BI65*annualizationFactor</f>
        <v>3243.1588250599998</v>
      </c>
      <c r="AH789" s="776">
        <f>$H$21*$E$8*'Traffic Data'!BJ65*annualizationFactor</f>
        <v>3299.6784120739994</v>
      </c>
      <c r="AI789" s="24"/>
      <c r="AJ789" s="24"/>
      <c r="AK789" s="24"/>
      <c r="AL789" s="24"/>
      <c r="AM789" s="24"/>
    </row>
    <row r="790" spans="2:39" ht="21.95" customHeight="1" x14ac:dyDescent="0.2">
      <c r="B790" s="1346"/>
      <c r="C790" s="116" t="s">
        <v>282</v>
      </c>
      <c r="D790" s="116" t="s">
        <v>280</v>
      </c>
      <c r="E790" s="116" t="s">
        <v>19</v>
      </c>
      <c r="F790" s="116" t="s">
        <v>40</v>
      </c>
      <c r="G790" s="970"/>
      <c r="H790" s="970"/>
      <c r="I790" s="777">
        <f>$H$21*$E$8*'Traffic Data'!AK66*annualizationFactor</f>
        <v>39953.993175000003</v>
      </c>
      <c r="J790" s="777">
        <f>$H$21*$E$8*'Traffic Data'!AL66*annualizationFactor</f>
        <v>42062.972103629996</v>
      </c>
      <c r="K790" s="777">
        <f>$H$21*$E$8*'Traffic Data'!AM66*annualizationFactor</f>
        <v>45228.808140615001</v>
      </c>
      <c r="L790" s="777">
        <f>$H$21*$E$8*'Traffic Data'!AN66*annualizationFactor</f>
        <v>50459.229780480004</v>
      </c>
      <c r="M790" s="777">
        <f>$H$21*$E$8*'Traffic Data'!AO66*annualizationFactor</f>
        <v>55692.019064385007</v>
      </c>
      <c r="N790" s="777">
        <f>$H$21*$E$8*'Traffic Data'!AP66*annualizationFactor</f>
        <v>60924.512392784993</v>
      </c>
      <c r="O790" s="777">
        <f>$H$21*$E$8*'Traffic Data'!AQ66*annualizationFactor</f>
        <v>66154.93403265001</v>
      </c>
      <c r="P790" s="777">
        <f>$H$21*$E$8*'Traffic Data'!AR66*annualizationFactor</f>
        <v>71390.090960595</v>
      </c>
      <c r="Q790" s="777">
        <f>$H$21*$E$8*'Traffic Data'!AS66*annualizationFactor</f>
        <v>76671.712902825006</v>
      </c>
      <c r="R790" s="777">
        <f>$H$21*$E$8*'Traffic Data'!AT66*annualizationFactor</f>
        <v>81955.11057808499</v>
      </c>
      <c r="S790" s="777">
        <f>$H$21*$E$8*'Traffic Data'!AU66*annualizationFactor</f>
        <v>87236.732520314996</v>
      </c>
      <c r="T790" s="777">
        <f>$H$21*$E$8*'Traffic Data'!AV66*annualizationFactor</f>
        <v>92518.354462545001</v>
      </c>
      <c r="U790" s="777">
        <f>$H$21*$E$8*'Traffic Data'!AW66*annualizationFactor</f>
        <v>97804.711692855009</v>
      </c>
      <c r="V790" s="777">
        <f>$H$21*$E$8*'Traffic Data'!AX66*annualizationFactor</f>
        <v>101019.38038816501</v>
      </c>
      <c r="W790" s="777">
        <f>$H$21*$E$8*'Traffic Data'!AY66*annualizationFactor</f>
        <v>103128.35931679499</v>
      </c>
      <c r="X790" s="777">
        <f>$H$21*$E$8*'Traffic Data'!AZ66*annualizationFactor</f>
        <v>105237.33824542501</v>
      </c>
      <c r="Y790" s="777">
        <f>$H$21*$E$8*'Traffic Data'!BA66*annualizationFactor</f>
        <v>107346.31717405503</v>
      </c>
      <c r="Z790" s="777">
        <f>$H$21*$E$8*'Traffic Data'!BB66*annualizationFactor</f>
        <v>109456.47992470501</v>
      </c>
      <c r="AA790" s="777">
        <f>$H$21*$E$8*'Traffic Data'!BC66*annualizationFactor</f>
        <v>111565.45885333499</v>
      </c>
      <c r="AB790" s="777">
        <f>$H$21*$E$8*'Traffic Data'!BD66*annualizationFactor</f>
        <v>113675.621603985</v>
      </c>
      <c r="AC790" s="777">
        <f>$H$21*$E$8*'Traffic Data'!BE66*annualizationFactor</f>
        <v>115784.600532615</v>
      </c>
      <c r="AD790" s="777">
        <f>$H$21*$E$8*'Traffic Data'!BF66*annualizationFactor</f>
        <v>117893.57946124501</v>
      </c>
      <c r="AE790" s="777">
        <f>$H$21*$E$8*'Traffic Data'!BG66*annualizationFactor</f>
        <v>120003.74221189503</v>
      </c>
      <c r="AF790" s="777">
        <f>$H$21*$E$8*'Traffic Data'!BH66*annualizationFactor</f>
        <v>122112.721140525</v>
      </c>
      <c r="AG790" s="777">
        <f>$H$21*$E$8*'Traffic Data'!BI66*annualizationFactor</f>
        <v>124221.70006915501</v>
      </c>
      <c r="AH790" s="778">
        <f>$H$21*$E$8*'Traffic Data'!BJ66*annualizationFactor</f>
        <v>126331.86281980501</v>
      </c>
      <c r="AI790" s="24"/>
      <c r="AJ790" s="24"/>
      <c r="AK790" s="24"/>
      <c r="AL790" s="24"/>
      <c r="AM790" s="24"/>
    </row>
    <row r="791" spans="2:39" ht="21.95" customHeight="1" x14ac:dyDescent="0.2">
      <c r="B791" s="1346"/>
      <c r="C791" s="116" t="s">
        <v>280</v>
      </c>
      <c r="D791" s="116" t="s">
        <v>333</v>
      </c>
      <c r="E791" s="254" t="s">
        <v>19</v>
      </c>
      <c r="F791" s="116" t="s">
        <v>40</v>
      </c>
      <c r="G791" s="779"/>
      <c r="H791" s="779"/>
      <c r="I791" s="777">
        <f>$H$21*$E$8*'Traffic Data'!AK67*annualizationFactor</f>
        <v>931.89756</v>
      </c>
      <c r="J791" s="777">
        <f>$H$21*$E$8*'Traffic Data'!AL67*annualizationFactor</f>
        <v>970.81204894299992</v>
      </c>
      <c r="K791" s="777">
        <f>$H$21*$E$8*'Traffic Data'!AM67*annualizationFactor</f>
        <v>1018.9756211689999</v>
      </c>
      <c r="L791" s="777">
        <f>$H$21*$E$8*'Traffic Data'!AN67*annualizationFactor</f>
        <v>1083.820159719</v>
      </c>
      <c r="M791" s="777">
        <f>$H$21*$E$8*'Traffic Data'!AO67*annualizationFactor</f>
        <v>1148.6879957080002</v>
      </c>
      <c r="N791" s="777">
        <f>$H$21*$E$8*'Traffic Data'!AP67*annualizationFactor</f>
        <v>1213.5480658840002</v>
      </c>
      <c r="O791" s="777">
        <f>$H$21*$E$8*'Traffic Data'!AQ67*annualizationFactor</f>
        <v>1278.3926044340003</v>
      </c>
      <c r="P791" s="777">
        <f>$H$21*$E$8*'Traffic Data'!AR67*annualizationFactor</f>
        <v>1343.2837378620006</v>
      </c>
      <c r="Q791" s="777">
        <f>$H$21*$E$8*'Traffic Data'!AS67*annualizationFactor</f>
        <v>1406.1557599099999</v>
      </c>
      <c r="R791" s="777">
        <f>$H$21*$E$8*'Traffic Data'!AT67*annualizationFactor</f>
        <v>1469.0510793969997</v>
      </c>
      <c r="S791" s="777">
        <f>$H$21*$E$8*'Traffic Data'!AU67*annualizationFactor</f>
        <v>1531.9231014449999</v>
      </c>
      <c r="T791" s="777">
        <f>$H$21*$E$8*'Traffic Data'!AV67*annualizationFactor</f>
        <v>1594.7951234930001</v>
      </c>
      <c r="U791" s="777">
        <f>$H$21*$E$8*'Traffic Data'!AW67*annualizationFactor</f>
        <v>1657.713740419</v>
      </c>
      <c r="V791" s="777">
        <f>$H$21*$E$8*'Traffic Data'!AX67*annualizationFactor</f>
        <v>1703.8814987039998</v>
      </c>
      <c r="W791" s="777">
        <f>$H$21*$E$8*'Traffic Data'!AY67*annualizationFactor</f>
        <v>1742.7959876470002</v>
      </c>
      <c r="X791" s="777">
        <f>$H$21*$E$8*'Traffic Data'!AZ67*annualizationFactor</f>
        <v>1781.7104765899996</v>
      </c>
      <c r="Y791" s="777">
        <f>$H$21*$E$8*'Traffic Data'!BA67*annualizationFactor</f>
        <v>1820.624965533</v>
      </c>
      <c r="Z791" s="777">
        <f>$H$21*$E$8*'Traffic Data'!BB67*annualizationFactor</f>
        <v>1859.5549861019999</v>
      </c>
      <c r="AA791" s="777">
        <f>$H$21*$E$8*'Traffic Data'!BC67*annualizationFactor</f>
        <v>1898.4694750450001</v>
      </c>
      <c r="AB791" s="777">
        <f>$H$21*$E$8*'Traffic Data'!BD67*annualizationFactor</f>
        <v>1937.3994956140002</v>
      </c>
      <c r="AC791" s="777">
        <f>$H$21*$E$8*'Traffic Data'!BE67*annualizationFactor</f>
        <v>1976.3139845570006</v>
      </c>
      <c r="AD791" s="777">
        <f>$H$21*$E$8*'Traffic Data'!BF67*annualizationFactor</f>
        <v>2015.2284734999996</v>
      </c>
      <c r="AE791" s="777">
        <f>$H$21*$E$8*'Traffic Data'!BG67*annualizationFactor</f>
        <v>2054.158494069</v>
      </c>
      <c r="AF791" s="777">
        <f>$H$21*$E$8*'Traffic Data'!BH67*annualizationFactor</f>
        <v>2093.0729830120003</v>
      </c>
      <c r="AG791" s="777">
        <f>$H$21*$E$8*'Traffic Data'!BI67*annualizationFactor</f>
        <v>2131.9874719549994</v>
      </c>
      <c r="AH791" s="778">
        <f>$H$21*$E$8*'Traffic Data'!BJ67*annualizationFactor</f>
        <v>2170.917492524</v>
      </c>
      <c r="AI791" s="24"/>
      <c r="AJ791" s="24"/>
      <c r="AK791" s="24"/>
      <c r="AL791" s="24"/>
      <c r="AM791" s="24"/>
    </row>
    <row r="792" spans="2:39" ht="21.95" customHeight="1" x14ac:dyDescent="0.2">
      <c r="B792" s="1346" t="s">
        <v>280</v>
      </c>
      <c r="C792" s="220" t="s">
        <v>281</v>
      </c>
      <c r="D792" s="220" t="s">
        <v>335</v>
      </c>
      <c r="E792" s="116" t="s">
        <v>19</v>
      </c>
      <c r="F792" s="220" t="s">
        <v>40</v>
      </c>
      <c r="G792" s="970"/>
      <c r="H792" s="970"/>
      <c r="I792" s="775">
        <f>$H$21*$F$8*'Traffic Data'!AK68*annualizationFactor</f>
        <v>7698.9304000000002</v>
      </c>
      <c r="J792" s="775">
        <f>$H$21*$F$8*'Traffic Data'!AL68*annualizationFactor</f>
        <v>8477.715704612001</v>
      </c>
      <c r="K792" s="775">
        <f>$H$21*$F$8*'Traffic Data'!AM68*annualizationFactor</f>
        <v>10218.867309223999</v>
      </c>
      <c r="L792" s="775">
        <f>$H$21*$F$8*'Traffic Data'!AN68*annualizationFactor</f>
        <v>13716.106443424002</v>
      </c>
      <c r="M792" s="775">
        <f>$H$21*$F$8*'Traffic Data'!AO68*annualizationFactor</f>
        <v>17215.501278135998</v>
      </c>
      <c r="N792" s="775">
        <f>$H$21*$F$8*'Traffic Data'!AP68*annualizationFactor</f>
        <v>20714.511166327997</v>
      </c>
      <c r="O792" s="775">
        <f>$H$21*$F$8*'Traffic Data'!AQ68*annualizationFactor</f>
        <v>24211.750300527998</v>
      </c>
      <c r="P792" s="775">
        <f>$H$21*$F$8*'Traffic Data'!AR68*annualizationFactor</f>
        <v>27713.300835752001</v>
      </c>
      <c r="Q792" s="775">
        <f>$H$21*$F$8*'Traffic Data'!AS68*annualizationFactor</f>
        <v>31149.179494663997</v>
      </c>
      <c r="R792" s="775">
        <f>$H$21*$F$8*'Traffic Data'!AT68*annualizationFactor</f>
        <v>34586.790412915987</v>
      </c>
      <c r="S792" s="775">
        <f>$H$21*$F$8*'Traffic Data'!AU68*annualizationFactor</f>
        <v>38022.669071827993</v>
      </c>
      <c r="T792" s="775">
        <f>$H$21*$F$8*'Traffic Data'!AV68*annualizationFactor</f>
        <v>41458.54773074</v>
      </c>
      <c r="U792" s="775">
        <f>$H$21*$F$8*'Traffic Data'!AW68*annualizationFactor</f>
        <v>44898.737790676001</v>
      </c>
      <c r="V792" s="775">
        <f>$H$21*$F$8*'Traffic Data'!AX68*annualizationFactor</f>
        <v>46576.373219487992</v>
      </c>
      <c r="W792" s="775">
        <f>$H$21*$F$8*'Traffic Data'!AY68*annualizationFactor</f>
        <v>47355.158524099999</v>
      </c>
      <c r="X792" s="775">
        <f>$H$21*$F$8*'Traffic Data'!AZ68*annualizationFactor</f>
        <v>48133.943828711999</v>
      </c>
      <c r="Y792" s="775">
        <f>$H$21*$F$8*'Traffic Data'!BA68*annualizationFactor</f>
        <v>48912.729133323985</v>
      </c>
      <c r="Z792" s="775">
        <f>$H$21*$F$8*'Traffic Data'!BB68*annualizationFactor</f>
        <v>49692.707772147995</v>
      </c>
      <c r="AA792" s="775">
        <f>$H$21*$F$8*'Traffic Data'!BC68*annualizationFactor</f>
        <v>50471.493076759994</v>
      </c>
      <c r="AB792" s="775">
        <f>$H$21*$F$8*'Traffic Data'!BD68*annualizationFactor</f>
        <v>51251.471715583983</v>
      </c>
      <c r="AC792" s="775">
        <f>$H$21*$F$8*'Traffic Data'!BE68*annualizationFactor</f>
        <v>52030.25702019599</v>
      </c>
      <c r="AD792" s="775">
        <f>$H$21*$F$8*'Traffic Data'!BF68*annualizationFactor</f>
        <v>52809.042324807997</v>
      </c>
      <c r="AE792" s="775">
        <f>$H$21*$F$8*'Traffic Data'!BG68*annualizationFactor</f>
        <v>53589.020963632</v>
      </c>
      <c r="AF792" s="775">
        <f>$H$21*$F$8*'Traffic Data'!BH68*annualizationFactor</f>
        <v>54367.806268244</v>
      </c>
      <c r="AG792" s="775">
        <f>$H$21*$F$8*'Traffic Data'!BI68*annualizationFactor</f>
        <v>55146.591572855992</v>
      </c>
      <c r="AH792" s="776">
        <f>$H$21*$F$8*'Traffic Data'!BJ68*annualizationFactor</f>
        <v>55926.570211679988</v>
      </c>
      <c r="AI792" s="24"/>
      <c r="AJ792" s="24"/>
      <c r="AK792" s="24"/>
      <c r="AL792" s="24"/>
      <c r="AM792" s="24"/>
    </row>
    <row r="793" spans="2:39" ht="21.95" customHeight="1" x14ac:dyDescent="0.2">
      <c r="B793" s="1346"/>
      <c r="C793" s="116" t="s">
        <v>335</v>
      </c>
      <c r="D793" s="116" t="s">
        <v>323</v>
      </c>
      <c r="E793" s="116" t="s">
        <v>19</v>
      </c>
      <c r="F793" s="116" t="s">
        <v>40</v>
      </c>
      <c r="G793" s="970"/>
      <c r="H793" s="970"/>
      <c r="I793" s="777">
        <f>$H$21*$F$8*'Traffic Data'!AK69*annualizationFactor</f>
        <v>891.76800000000003</v>
      </c>
      <c r="J793" s="777">
        <f>$H$21*$F$8*'Traffic Data'!AL69*annualizationFactor</f>
        <v>976.43394019999994</v>
      </c>
      <c r="K793" s="777">
        <f>$H$21*$F$8*'Traffic Data'!AM69*annualizationFactor</f>
        <v>1096.540227</v>
      </c>
      <c r="L793" s="777">
        <f>$H$21*$F$8*'Traffic Data'!AN69*annualizationFactor</f>
        <v>1292.2387145999999</v>
      </c>
      <c r="M793" s="777">
        <f>$H$21*$F$8*'Traffic Data'!AO69*annualizationFactor</f>
        <v>1487.9966534</v>
      </c>
      <c r="N793" s="777">
        <f>$H$21*$F$8*'Traffic Data'!AP69*annualizationFactor</f>
        <v>1683.7731707</v>
      </c>
      <c r="O793" s="777">
        <f>$H$21*$F$8*'Traffic Data'!AQ69*annualizationFactor</f>
        <v>1879.4716583000002</v>
      </c>
      <c r="P793" s="777">
        <f>$H$21*$F$8*'Traffic Data'!AR69*annualizationFactor</f>
        <v>2075.3819408000004</v>
      </c>
      <c r="Q793" s="777">
        <f>$H$21*$F$8*'Traffic Data'!AS69*annualizationFactor</f>
        <v>2298.271921</v>
      </c>
      <c r="R793" s="777">
        <f>$H$21*$F$8*'Traffic Data'!AT69*annualizationFactor</f>
        <v>2521.2659408000004</v>
      </c>
      <c r="S793" s="777">
        <f>$H$21*$F$8*'Traffic Data'!AU69*annualizationFactor</f>
        <v>2744.1447739000005</v>
      </c>
      <c r="T793" s="777">
        <f>$H$21*$F$8*'Traffic Data'!AV69*annualizationFactor</f>
        <v>2967.0347540999996</v>
      </c>
      <c r="U793" s="777">
        <f>$H$21*$F$8*'Traffic Data'!AW69*annualizationFactor</f>
        <v>3190.1290977999997</v>
      </c>
      <c r="V793" s="777">
        <f>$H$21*$F$8*'Traffic Data'!AX69*annualizationFactor</f>
        <v>3337.2633864000004</v>
      </c>
      <c r="W793" s="777">
        <f>$H$21*$F$8*'Traffic Data'!AY69*annualizationFactor</f>
        <v>3421.9293266</v>
      </c>
      <c r="X793" s="777">
        <f>$H$21*$F$8*'Traffic Data'!AZ69*annualizationFactor</f>
        <v>3506.5952667999995</v>
      </c>
      <c r="Y793" s="777">
        <f>$H$21*$F$8*'Traffic Data'!BA69*annualizationFactor</f>
        <v>3591.2612069999996</v>
      </c>
      <c r="Z793" s="777">
        <f>$H$21*$F$8*'Traffic Data'!BB69*annualizationFactor</f>
        <v>3676.0237553999991</v>
      </c>
      <c r="AA793" s="777">
        <f>$H$21*$F$8*'Traffic Data'!BC69*annualizationFactor</f>
        <v>3760.6896955999991</v>
      </c>
      <c r="AB793" s="777">
        <f>$H$21*$F$8*'Traffic Data'!BD69*annualizationFactor</f>
        <v>3845.4522439999996</v>
      </c>
      <c r="AC793" s="777">
        <f>$H$21*$F$8*'Traffic Data'!BE69*annualizationFactor</f>
        <v>3930.1181842000001</v>
      </c>
      <c r="AD793" s="777">
        <f>$H$21*$F$8*'Traffic Data'!BF69*annualizationFactor</f>
        <v>4014.7841244000001</v>
      </c>
      <c r="AE793" s="777">
        <f>$H$21*$F$8*'Traffic Data'!BG69*annualizationFactor</f>
        <v>4099.5466727999992</v>
      </c>
      <c r="AF793" s="777">
        <f>$H$21*$F$8*'Traffic Data'!BH69*annualizationFactor</f>
        <v>4184.2126129999988</v>
      </c>
      <c r="AG793" s="777">
        <f>$H$21*$F$8*'Traffic Data'!BI69*annualizationFactor</f>
        <v>4268.8785531999993</v>
      </c>
      <c r="AH793" s="778">
        <f>$H$21*$F$8*'Traffic Data'!BJ69*annualizationFactor</f>
        <v>4353.6411016000002</v>
      </c>
      <c r="AI793" s="24"/>
      <c r="AJ793" s="24"/>
      <c r="AK793" s="24"/>
      <c r="AL793" s="24"/>
      <c r="AM793" s="24"/>
    </row>
    <row r="794" spans="2:39" ht="21.95" customHeight="1" x14ac:dyDescent="0.2">
      <c r="B794" s="1346"/>
      <c r="C794" s="254" t="s">
        <v>323</v>
      </c>
      <c r="D794" s="254" t="s">
        <v>338</v>
      </c>
      <c r="E794" s="116" t="s">
        <v>19</v>
      </c>
      <c r="F794" s="116" t="s">
        <v>40</v>
      </c>
      <c r="G794" s="970"/>
      <c r="H794" s="970"/>
      <c r="I794" s="777">
        <f>$H$21*$F$8*'Traffic Data'!AK70*annualizationFactor</f>
        <v>11949.691200000001</v>
      </c>
      <c r="J794" s="777">
        <f>$H$21*$F$8*'Traffic Data'!AL70*annualizationFactor</f>
        <v>12284.322385904001</v>
      </c>
      <c r="K794" s="777">
        <f>$H$21*$F$8*'Traffic Data'!AM70*annualizationFactor</f>
        <v>12761.194729392002</v>
      </c>
      <c r="L794" s="777">
        <f>$H$21*$F$8*'Traffic Data'!AN70*annualizationFactor</f>
        <v>13430.496933504</v>
      </c>
      <c r="M794" s="777">
        <f>$H$21*$F$8*'Traffic Data'!AO70*annualizationFactor</f>
        <v>14100.077963743997</v>
      </c>
      <c r="N794" s="777">
        <f>$H$21*$F$8*'Traffic Data'!AP70*annualizationFactor</f>
        <v>14769.599245528007</v>
      </c>
      <c r="O794" s="777">
        <f>$H$21*$F$8*'Traffic Data'!AQ70*annualizationFactor</f>
        <v>15438.901449640005</v>
      </c>
      <c r="P794" s="777">
        <f>$H$21*$F$8*'Traffic Data'!AR70*annualizationFactor</f>
        <v>16108.741389856004</v>
      </c>
      <c r="Q794" s="777">
        <f>$H$21*$F$8*'Traffic Data'!AS70*annualizationFactor</f>
        <v>16784.934582559999</v>
      </c>
      <c r="R794" s="777">
        <f>$H$21*$F$8*'Traffic Data'!AT70*annualizationFactor</f>
        <v>17461.326936784</v>
      </c>
      <c r="S794" s="777">
        <f>$H$21*$F$8*'Traffic Data'!AU70*annualizationFactor</f>
        <v>18137.460381032</v>
      </c>
      <c r="T794" s="777">
        <f>$H$21*$F$8*'Traffic Data'!AV70*annualizationFactor</f>
        <v>18813.653573736003</v>
      </c>
      <c r="U794" s="777">
        <f>$H$21*$F$8*'Traffic Data'!AW70*annualizationFactor</f>
        <v>19490.384502544002</v>
      </c>
      <c r="V794" s="777">
        <f>$H$21*$F$8*'Traffic Data'!AX70*annualizationFactor</f>
        <v>19973.829176192001</v>
      </c>
      <c r="W794" s="777">
        <f>$H$21*$F$8*'Traffic Data'!AY70*annualizationFactor</f>
        <v>20308.460362096001</v>
      </c>
      <c r="X794" s="777">
        <f>$H$21*$F$8*'Traffic Data'!AZ70*annualizationFactor</f>
        <v>20643.091548</v>
      </c>
      <c r="Y794" s="777">
        <f>$H$21*$F$8*'Traffic Data'!BA70*annualizationFactor</f>
        <v>20977.722733904</v>
      </c>
      <c r="Z794" s="777">
        <f>$H$21*$F$8*'Traffic Data'!BB70*annualizationFactor</f>
        <v>21312.513249023999</v>
      </c>
      <c r="AA794" s="777">
        <f>$H$21*$F$8*'Traffic Data'!BC70*annualizationFactor</f>
        <v>21647.144434928003</v>
      </c>
      <c r="AB794" s="777">
        <f>$H$21*$F$8*'Traffic Data'!BD70*annualizationFactor</f>
        <v>21981.934950048006</v>
      </c>
      <c r="AC794" s="777">
        <f>$H$21*$F$8*'Traffic Data'!BE70*annualizationFactor</f>
        <v>22316.566135952002</v>
      </c>
      <c r="AD794" s="777">
        <f>$H$21*$F$8*'Traffic Data'!BF70*annualizationFactor</f>
        <v>22651.197321856005</v>
      </c>
      <c r="AE794" s="777">
        <f>$H$21*$F$8*'Traffic Data'!BG70*annualizationFactor</f>
        <v>22985.987836976001</v>
      </c>
      <c r="AF794" s="777">
        <f>$H$21*$F$8*'Traffic Data'!BH70*annualizationFactor</f>
        <v>23320.619022879997</v>
      </c>
      <c r="AG794" s="777">
        <f>$H$21*$F$8*'Traffic Data'!BI70*annualizationFactor</f>
        <v>23655.250208784</v>
      </c>
      <c r="AH794" s="778">
        <f>$H$21*$F$8*'Traffic Data'!BJ70*annualizationFactor</f>
        <v>23990.040723904</v>
      </c>
      <c r="AI794" s="24"/>
      <c r="AJ794" s="24"/>
      <c r="AK794" s="24"/>
      <c r="AL794" s="24"/>
      <c r="AM794" s="24"/>
    </row>
    <row r="795" spans="2:39" ht="21.95" customHeight="1" x14ac:dyDescent="0.2">
      <c r="B795" s="492" t="s">
        <v>339</v>
      </c>
      <c r="C795" s="116" t="s">
        <v>335</v>
      </c>
      <c r="D795" s="116" t="s">
        <v>323</v>
      </c>
      <c r="E795" s="277" t="s">
        <v>19</v>
      </c>
      <c r="F795" s="220" t="s">
        <v>40</v>
      </c>
      <c r="G795" s="780"/>
      <c r="H795" s="780"/>
      <c r="I795" s="775">
        <f>$H$21*$G$8*'Traffic Data'!AK71*annualizationFactor</f>
        <v>34.927579999999999</v>
      </c>
      <c r="J795" s="775">
        <f>$H$21*$G$8*'Traffic Data'!AL71*annualizationFactor</f>
        <v>145.07170353000001</v>
      </c>
      <c r="K795" s="775">
        <f>$H$21*$G$8*'Traffic Data'!AM71*annualizationFactor</f>
        <v>1294.22401311</v>
      </c>
      <c r="L795" s="775">
        <f>$H$21*$G$8*'Traffic Data'!AN71*annualizationFactor</f>
        <v>3061.1578939400001</v>
      </c>
      <c r="M795" s="775">
        <f>$H$21*$G$8*'Traffic Data'!AO71*annualizationFactor</f>
        <v>4829.3491676500007</v>
      </c>
      <c r="N795" s="775">
        <f>$H$21*$G$8*'Traffic Data'!AP71*annualizationFactor</f>
        <v>6596.8418897599986</v>
      </c>
      <c r="O795" s="775">
        <f>$H$21*$G$8*'Traffic Data'!AQ71*annualizationFactor</f>
        <v>8363.7757705900003</v>
      </c>
      <c r="P795" s="775">
        <f>$H$21*$G$8*'Traffic Data'!AR71*annualizationFactor</f>
        <v>10133.137118230003</v>
      </c>
      <c r="Q795" s="775">
        <f>$H$21*$G$8*'Traffic Data'!AS71*annualizationFactor</f>
        <v>10861.848683560002</v>
      </c>
      <c r="R795" s="775">
        <f>$H$21*$G$8*'Traffic Data'!AT71*annualizationFactor</f>
        <v>11591.119090170001</v>
      </c>
      <c r="S795" s="775">
        <f>$H$21*$G$8*'Traffic Data'!AU71*annualizationFactor</f>
        <v>12320.214858880001</v>
      </c>
      <c r="T795" s="775">
        <f>$H$21*$G$8*'Traffic Data'!AV71*annualizationFactor</f>
        <v>13048.926424210002</v>
      </c>
      <c r="U795" s="775">
        <f>$H$21*$G$8*'Traffic Data'!AW71*annualizationFactor</f>
        <v>13779.366904750001</v>
      </c>
      <c r="V795" s="775">
        <f>$H$21*$G$8*'Traffic Data'!AX71*annualizationFactor</f>
        <v>13889.511028280003</v>
      </c>
      <c r="W795" s="775">
        <f>$H$21*$G$8*'Traffic Data'!AY71*annualizationFactor</f>
        <v>13999.655151810002</v>
      </c>
      <c r="X795" s="775">
        <f>$H$21*$G$8*'Traffic Data'!AZ71*annualizationFactor</f>
        <v>14109.799275340003</v>
      </c>
      <c r="Y795" s="775">
        <f>$H$21*$G$8*'Traffic Data'!BA71*annualizationFactor</f>
        <v>14219.943398870002</v>
      </c>
      <c r="Z795" s="775">
        <f>$H$21*$G$8*'Traffic Data'!BB71*annualizationFactor</f>
        <v>14330.873392950003</v>
      </c>
      <c r="AA795" s="775">
        <f>$H$21*$G$8*'Traffic Data'!BC71*annualizationFactor</f>
        <v>14441.017516480004</v>
      </c>
      <c r="AB795" s="775">
        <f>$H$21*$G$8*'Traffic Data'!BD71*annualizationFactor</f>
        <v>14551.510915810004</v>
      </c>
      <c r="AC795" s="775">
        <f>$H$21*$G$8*'Traffic Data'!BE71*annualizationFactor</f>
        <v>14661.655039340001</v>
      </c>
      <c r="AD795" s="775">
        <f>$H$21*$G$8*'Traffic Data'!BF71*annualizationFactor</f>
        <v>14771.799162870002</v>
      </c>
      <c r="AE795" s="775">
        <f>$H$21*$G$8*'Traffic Data'!BG71*annualizationFactor</f>
        <v>14882.729156950005</v>
      </c>
      <c r="AF795" s="775">
        <f>$H$21*$G$8*'Traffic Data'!BH71*annualizationFactor</f>
        <v>14992.873280480004</v>
      </c>
      <c r="AG795" s="775">
        <f>$H$21*$G$8*'Traffic Data'!BI71*annualizationFactor</f>
        <v>15103.017404010001</v>
      </c>
      <c r="AH795" s="776">
        <f>$H$21*$G$8*'Traffic Data'!BJ71*annualizationFactor</f>
        <v>15213.510803340001</v>
      </c>
      <c r="AI795" s="24"/>
      <c r="AJ795" s="24"/>
      <c r="AK795" s="24"/>
      <c r="AL795" s="24"/>
      <c r="AM795" s="24"/>
    </row>
    <row r="796" spans="2:39" ht="21.95" customHeight="1" x14ac:dyDescent="0.2">
      <c r="B796" s="1346" t="s">
        <v>323</v>
      </c>
      <c r="C796" s="220" t="s">
        <v>282</v>
      </c>
      <c r="D796" s="220" t="s">
        <v>339</v>
      </c>
      <c r="E796" s="116" t="s">
        <v>19</v>
      </c>
      <c r="F796" s="220" t="s">
        <v>40</v>
      </c>
      <c r="G796" s="970"/>
      <c r="H796" s="970"/>
      <c r="I796" s="775">
        <f>$H$21*$H$8*'Traffic Data'!AK72*annualizationFactor</f>
        <v>100.32389999999999</v>
      </c>
      <c r="J796" s="775">
        <f>$H$21*$H$8*'Traffic Data'!AL72*annualizationFactor</f>
        <v>222.96986774999999</v>
      </c>
      <c r="K796" s="775">
        <f>$H$21*$H$8*'Traffic Data'!AM72*annualizationFactor</f>
        <v>942.39255465000008</v>
      </c>
      <c r="L796" s="775">
        <f>$H$21*$H$8*'Traffic Data'!AN72*annualizationFactor</f>
        <v>2118.4394723999999</v>
      </c>
      <c r="M796" s="775">
        <f>$H$21*$H$8*'Traffic Data'!AO72*annualizationFactor</f>
        <v>3295.1384955000008</v>
      </c>
      <c r="N796" s="775">
        <f>$H$21*$H$8*'Traffic Data'!AP72*annualizationFactor</f>
        <v>4471.8876805499995</v>
      </c>
      <c r="O796" s="775">
        <f>$H$21*$H$8*'Traffic Data'!AQ72*annualizationFactor</f>
        <v>5647.9345983000003</v>
      </c>
      <c r="P796" s="775">
        <f>$H$21*$H$8*'Traffic Data'!AR72*annualizationFactor</f>
        <v>6825.3358887000022</v>
      </c>
      <c r="Q796" s="775">
        <f>$H$21*$H$8*'Traffic Data'!AS72*annualizationFactor</f>
        <v>7733.2671837000007</v>
      </c>
      <c r="R796" s="775">
        <f>$H$21*$H$8*'Traffic Data'!AT72*annualizationFactor</f>
        <v>8641.3489645500013</v>
      </c>
      <c r="S796" s="775">
        <f>$H$21*$H$8*'Traffic Data'!AU72*annualizationFactor</f>
        <v>9549.2802595499998</v>
      </c>
      <c r="T796" s="775">
        <f>$H$21*$H$8*'Traffic Data'!AV72*annualizationFactor</f>
        <v>10457.21155455</v>
      </c>
      <c r="U796" s="775">
        <f>$H$21*$H$8*'Traffic Data'!AW72*annualizationFactor</f>
        <v>11366.34673635</v>
      </c>
      <c r="V796" s="775">
        <f>$H$21*$H$8*'Traffic Data'!AX72*annualizationFactor</f>
        <v>11816.951533199999</v>
      </c>
      <c r="W796" s="775">
        <f>$H$21*$H$8*'Traffic Data'!AY72*annualizationFactor</f>
        <v>11939.597500950002</v>
      </c>
      <c r="X796" s="775">
        <f>$H$21*$H$8*'Traffic Data'!AZ72*annualizationFactor</f>
        <v>12062.2434687</v>
      </c>
      <c r="Y796" s="775">
        <f>$H$21*$H$8*'Traffic Data'!BA72*annualizationFactor</f>
        <v>12184.889436450003</v>
      </c>
      <c r="Z796" s="775">
        <f>$H$21*$H$8*'Traffic Data'!BB72*annualizationFactor</f>
        <v>12307.886537850001</v>
      </c>
      <c r="AA796" s="775">
        <f>$H$21*$H$8*'Traffic Data'!BC72*annualizationFactor</f>
        <v>12430.532505600002</v>
      </c>
      <c r="AB796" s="775">
        <f>$H$21*$H$8*'Traffic Data'!BD72*annualizationFactor</f>
        <v>12553.529606999999</v>
      </c>
      <c r="AC796" s="775">
        <f>$H$21*$H$8*'Traffic Data'!BE72*annualizationFactor</f>
        <v>12676.175574749999</v>
      </c>
      <c r="AD796" s="775">
        <f>$H$21*$H$8*'Traffic Data'!BF72*annualizationFactor</f>
        <v>12798.8215425</v>
      </c>
      <c r="AE796" s="775">
        <f>$H$21*$H$8*'Traffic Data'!BG72*annualizationFactor</f>
        <v>12921.818643899998</v>
      </c>
      <c r="AF796" s="775">
        <f>$H$21*$H$8*'Traffic Data'!BH72*annualizationFactor</f>
        <v>13044.464611650001</v>
      </c>
      <c r="AG796" s="775">
        <f>$H$21*$H$8*'Traffic Data'!BI72*annualizationFactor</f>
        <v>13167.1105794</v>
      </c>
      <c r="AH796" s="776">
        <f>$H$21*$H$8*'Traffic Data'!BJ72*annualizationFactor</f>
        <v>13290.1076808</v>
      </c>
      <c r="AI796" s="24"/>
      <c r="AJ796" s="24"/>
      <c r="AK796" s="24"/>
      <c r="AL796" s="24"/>
      <c r="AM796" s="24"/>
    </row>
    <row r="797" spans="2:39" ht="21.95" customHeight="1" x14ac:dyDescent="0.2">
      <c r="B797" s="1346"/>
      <c r="C797" s="116" t="s">
        <v>339</v>
      </c>
      <c r="D797" s="116" t="s">
        <v>288</v>
      </c>
      <c r="E797" s="116" t="s">
        <v>19</v>
      </c>
      <c r="F797" s="116" t="s">
        <v>40</v>
      </c>
      <c r="G797" s="970"/>
      <c r="H797" s="970"/>
      <c r="I797" s="777">
        <f>$H$21*$H$8*'Traffic Data'!AK73*annualizationFactor</f>
        <v>0</v>
      </c>
      <c r="J797" s="777">
        <f>$H$21*$H$8*'Traffic Data'!AL73*annualizationFactor</f>
        <v>67.625740000000008</v>
      </c>
      <c r="K797" s="777">
        <f>$H$21*$H$8*'Traffic Data'!AM73*annualizationFactor</f>
        <v>195.45919652000003</v>
      </c>
      <c r="L797" s="777">
        <f>$H$21*$H$8*'Traffic Data'!AN73*annualizationFactor</f>
        <v>439.38003872000002</v>
      </c>
      <c r="M797" s="777">
        <f>$H$21*$H$8*'Traffic Data'!AO73*annualizationFactor</f>
        <v>683.43613240000025</v>
      </c>
      <c r="N797" s="777">
        <f>$H$21*$H$8*'Traffic Data'!AP73*annualizationFactor</f>
        <v>927.50263003999987</v>
      </c>
      <c r="O797" s="777">
        <f>$H$21*$H$8*'Traffic Data'!AQ73*annualizationFactor</f>
        <v>1171.4234722400001</v>
      </c>
      <c r="P797" s="777">
        <f>$H$21*$H$8*'Traffic Data'!AR73*annualizationFactor</f>
        <v>1415.6252213600003</v>
      </c>
      <c r="Q797" s="777">
        <f>$H$21*$H$8*'Traffic Data'!AS73*annualizationFactor</f>
        <v>1603.9368973600006</v>
      </c>
      <c r="R797" s="777">
        <f>$H$21*$H$8*'Traffic Data'!AT73*annualizationFactor</f>
        <v>1792.2797852400006</v>
      </c>
      <c r="S797" s="777">
        <f>$H$21*$H$8*'Traffic Data'!AU73*annualizationFactor</f>
        <v>1980.5914612400002</v>
      </c>
      <c r="T797" s="777">
        <f>$H$21*$H$8*'Traffic Data'!AV73*annualizationFactor</f>
        <v>2168.90313724</v>
      </c>
      <c r="U797" s="777">
        <f>$H$21*$H$8*'Traffic Data'!AW73*annualizationFactor</f>
        <v>2357.4645082800002</v>
      </c>
      <c r="V797" s="777">
        <f>$H$21*$H$8*'Traffic Data'!AX73*annualizationFactor</f>
        <v>2450.9232809600003</v>
      </c>
      <c r="W797" s="777">
        <f>$H$21*$H$8*'Traffic Data'!AY73*annualizationFactor</f>
        <v>2476.3609631600007</v>
      </c>
      <c r="X797" s="777">
        <f>$H$21*$H$8*'Traffic Data'!AZ73*annualizationFactor</f>
        <v>2501.7986453600001</v>
      </c>
      <c r="Y797" s="777">
        <f>$H$21*$H$8*'Traffic Data'!BA73*annualizationFactor</f>
        <v>2527.2363275600005</v>
      </c>
      <c r="Z797" s="777">
        <f>$H$21*$H$8*'Traffic Data'!BB73*annualizationFactor</f>
        <v>2552.7468374800005</v>
      </c>
      <c r="AA797" s="777">
        <f>$H$21*$H$8*'Traffic Data'!BC73*annualizationFactor</f>
        <v>2578.1845196800004</v>
      </c>
      <c r="AB797" s="777">
        <f>$H$21*$H$8*'Traffic Data'!BD73*annualizationFactor</f>
        <v>2603.6950295999995</v>
      </c>
      <c r="AC797" s="777">
        <f>$H$21*$H$8*'Traffic Data'!BE73*annualizationFactor</f>
        <v>2629.1327117999999</v>
      </c>
      <c r="AD797" s="777">
        <f>$H$21*$H$8*'Traffic Data'!BF73*annualizationFactor</f>
        <v>2654.5703940000003</v>
      </c>
      <c r="AE797" s="777">
        <f>$H$21*$H$8*'Traffic Data'!BG73*annualizationFactor</f>
        <v>2680.0809039199999</v>
      </c>
      <c r="AF797" s="777">
        <f>$H$21*$H$8*'Traffic Data'!BH73*annualizationFactor</f>
        <v>2705.5185861199998</v>
      </c>
      <c r="AG797" s="777">
        <f>$H$21*$H$8*'Traffic Data'!BI73*annualizationFactor</f>
        <v>2730.9562683199997</v>
      </c>
      <c r="AH797" s="778">
        <f>$H$21*$H$8*'Traffic Data'!BJ73*annualizationFactor</f>
        <v>2756.4667782400002</v>
      </c>
      <c r="AI797" s="24"/>
      <c r="AJ797" s="24"/>
      <c r="AK797" s="24"/>
      <c r="AL797" s="24"/>
      <c r="AM797" s="24"/>
    </row>
    <row r="798" spans="2:39" ht="21.95" customHeight="1" x14ac:dyDescent="0.2">
      <c r="B798" s="1346"/>
      <c r="C798" s="116" t="s">
        <v>288</v>
      </c>
      <c r="D798" s="116" t="s">
        <v>340</v>
      </c>
      <c r="E798" s="116" t="s">
        <v>19</v>
      </c>
      <c r="F798" s="116" t="s">
        <v>40</v>
      </c>
      <c r="G798" s="970"/>
      <c r="H798" s="970"/>
      <c r="I798" s="777">
        <f>$H$21*$H$8*'Traffic Data'!AK74*annualizationFactor</f>
        <v>0</v>
      </c>
      <c r="J798" s="777">
        <f>$H$21*$H$8*'Traffic Data'!AL74*annualizationFactor</f>
        <v>176.30996500000001</v>
      </c>
      <c r="K798" s="777">
        <f>$H$21*$H$8*'Traffic Data'!AM74*annualizationFactor</f>
        <v>509.59004806999997</v>
      </c>
      <c r="L798" s="777">
        <f>$H$21*$H$8*'Traffic Data'!AN74*annualizationFactor</f>
        <v>1145.5265295199999</v>
      </c>
      <c r="M798" s="777">
        <f>$H$21*$H$8*'Traffic Data'!AO74*annualizationFactor</f>
        <v>1781.8156309000003</v>
      </c>
      <c r="N798" s="777">
        <f>$H$21*$H$8*'Traffic Data'!AP74*annualizationFactor</f>
        <v>2418.1318568899997</v>
      </c>
      <c r="O798" s="777">
        <f>$H$21*$H$8*'Traffic Data'!AQ74*annualizationFactor</f>
        <v>3054.0683383400001</v>
      </c>
      <c r="P798" s="777">
        <f>$H$21*$H$8*'Traffic Data'!AR74*annualizationFactor</f>
        <v>3690.73718426</v>
      </c>
      <c r="Q798" s="777">
        <f>$H$21*$H$8*'Traffic Data'!AS74*annualizationFactor</f>
        <v>4181.6926252600006</v>
      </c>
      <c r="R798" s="777">
        <f>$H$21*$H$8*'Traffic Data'!AT74*annualizationFactor</f>
        <v>4672.72944009</v>
      </c>
      <c r="S798" s="777">
        <f>$H$21*$H$8*'Traffic Data'!AU74*annualizationFactor</f>
        <v>5163.6848810899992</v>
      </c>
      <c r="T798" s="777">
        <f>$H$21*$H$8*'Traffic Data'!AV74*annualizationFactor</f>
        <v>5654.6403220899992</v>
      </c>
      <c r="U798" s="777">
        <f>$H$21*$H$8*'Traffic Data'!AW74*annualizationFactor</f>
        <v>6146.2467537300008</v>
      </c>
      <c r="V798" s="777">
        <f>$H$21*$H$8*'Traffic Data'!AX74*annualizationFactor</f>
        <v>6389.9071253600005</v>
      </c>
      <c r="W798" s="777">
        <f>$H$21*$H$8*'Traffic Data'!AY74*annualizationFactor</f>
        <v>6456.2267968099995</v>
      </c>
      <c r="X798" s="777">
        <f>$H$21*$H$8*'Traffic Data'!AZ74*annualizationFactor</f>
        <v>6522.5464682599995</v>
      </c>
      <c r="Y798" s="777">
        <f>$H$21*$H$8*'Traffic Data'!BA74*annualizationFactor</f>
        <v>6588.8661397099995</v>
      </c>
      <c r="Z798" s="777">
        <f>$H$21*$H$8*'Traffic Data'!BB74*annualizationFactor</f>
        <v>6655.3756834300011</v>
      </c>
      <c r="AA798" s="777">
        <f>$H$21*$H$8*'Traffic Data'!BC74*annualizationFactor</f>
        <v>6721.6953548800002</v>
      </c>
      <c r="AB798" s="777">
        <f>$H$21*$H$8*'Traffic Data'!BD74*annualizationFactor</f>
        <v>6788.2048985999982</v>
      </c>
      <c r="AC798" s="777">
        <f>$H$21*$H$8*'Traffic Data'!BE74*annualizationFactor</f>
        <v>6854.5245700499981</v>
      </c>
      <c r="AD798" s="777">
        <f>$H$21*$H$8*'Traffic Data'!BF74*annualizationFactor</f>
        <v>6920.8442415</v>
      </c>
      <c r="AE798" s="777">
        <f>$H$21*$H$8*'Traffic Data'!BG74*annualizationFactor</f>
        <v>6987.3537852199979</v>
      </c>
      <c r="AF798" s="777">
        <f>$H$21*$H$8*'Traffic Data'!BH74*annualizationFactor</f>
        <v>7053.6734566699997</v>
      </c>
      <c r="AG798" s="777">
        <f>$H$21*$H$8*'Traffic Data'!BI74*annualizationFactor</f>
        <v>7119.9931281199997</v>
      </c>
      <c r="AH798" s="778">
        <f>$H$21*$H$8*'Traffic Data'!BJ74*annualizationFactor</f>
        <v>7186.5026718399995</v>
      </c>
      <c r="AI798" s="24"/>
      <c r="AJ798" s="24"/>
      <c r="AK798" s="24"/>
      <c r="AL798" s="24"/>
      <c r="AM798" s="24"/>
    </row>
    <row r="799" spans="2:39" ht="21.95" customHeight="1" x14ac:dyDescent="0.2">
      <c r="B799" s="1346"/>
      <c r="C799" s="254" t="s">
        <v>340</v>
      </c>
      <c r="D799" s="254" t="s">
        <v>280</v>
      </c>
      <c r="E799" s="116" t="s">
        <v>19</v>
      </c>
      <c r="F799" s="116" t="s">
        <v>40</v>
      </c>
      <c r="G799" s="970"/>
      <c r="H799" s="970"/>
      <c r="I799" s="777">
        <f>$H$21*$H$8*'Traffic Data'!AK75*annualizationFactor</f>
        <v>234.0891</v>
      </c>
      <c r="J799" s="777">
        <f>$H$21*$H$8*'Traffic Data'!AL75*annualizationFactor</f>
        <v>345.96028088999998</v>
      </c>
      <c r="K799" s="777">
        <f>$H$21*$H$8*'Traffic Data'!AM75*annualizationFactor</f>
        <v>485.32912806000007</v>
      </c>
      <c r="L799" s="777">
        <f>$H$21*$H$8*'Traffic Data'!AN75*annualizationFactor</f>
        <v>783.74591273999999</v>
      </c>
      <c r="M799" s="777">
        <f>$H$21*$H$8*'Traffic Data'!AO75*annualizationFactor</f>
        <v>1082.2017122700001</v>
      </c>
      <c r="N799" s="777">
        <f>$H$21*$H$8*'Traffic Data'!AP75*annualizationFactor</f>
        <v>1380.7823593200001</v>
      </c>
      <c r="O799" s="777">
        <f>$H$21*$H$8*'Traffic Data'!AQ75*annualizationFactor</f>
        <v>1679.1991440000002</v>
      </c>
      <c r="P799" s="777">
        <f>$H$21*$H$8*'Traffic Data'!AR75*annualizationFactor</f>
        <v>1977.4598692800002</v>
      </c>
      <c r="Q799" s="777">
        <f>$H$21*$H$8*'Traffic Data'!AS75*annualizationFactor</f>
        <v>2576.3534227199998</v>
      </c>
      <c r="R799" s="777">
        <f>$H$21*$H$8*'Traffic Data'!AT75*annualizationFactor</f>
        <v>3174.9036454800003</v>
      </c>
      <c r="S799" s="777">
        <f>$H$21*$H$8*'Traffic Data'!AU75*annualizationFactor</f>
        <v>3773.5865187300001</v>
      </c>
      <c r="T799" s="777">
        <f>$H$21*$H$8*'Traffic Data'!AV75*annualizationFactor</f>
        <v>4372.4800721700003</v>
      </c>
      <c r="U799" s="777">
        <f>$H$21*$H$8*'Traffic Data'!AW75*annualizationFactor</f>
        <v>4971.2175662100008</v>
      </c>
      <c r="V799" s="777">
        <f>$H$21*$H$8*'Traffic Data'!AX75*annualizationFactor</f>
        <v>5411.0475762000005</v>
      </c>
      <c r="W799" s="777">
        <f>$H$21*$H$8*'Traffic Data'!AY75*annualizationFactor</f>
        <v>5522.9187570900003</v>
      </c>
      <c r="X799" s="777">
        <f>$H$21*$H$8*'Traffic Data'!AZ75*annualizationFactor</f>
        <v>5634.7899379800001</v>
      </c>
      <c r="Y799" s="777">
        <f>$H$21*$H$8*'Traffic Data'!BA75*annualizationFactor</f>
        <v>5746.6611188699999</v>
      </c>
      <c r="Z799" s="777">
        <f>$H$21*$H$8*'Traffic Data'!BB75*annualizationFactor</f>
        <v>5858.1967720499997</v>
      </c>
      <c r="AA799" s="777">
        <f>$H$21*$H$8*'Traffic Data'!BC75*annualizationFactor</f>
        <v>5970.0679529399995</v>
      </c>
      <c r="AB799" s="777">
        <f>$H$21*$H$8*'Traffic Data'!BD75*annualizationFactor</f>
        <v>6081.6036061199993</v>
      </c>
      <c r="AC799" s="777">
        <f>$H$21*$H$8*'Traffic Data'!BE75*annualizationFactor</f>
        <v>6193.4747870100009</v>
      </c>
      <c r="AD799" s="777">
        <f>$H$21*$H$8*'Traffic Data'!BF75*annualizationFactor</f>
        <v>6305.3459678999998</v>
      </c>
      <c r="AE799" s="777">
        <f>$H$21*$H$8*'Traffic Data'!BG75*annualizationFactor</f>
        <v>6416.8816210800005</v>
      </c>
      <c r="AF799" s="777">
        <f>$H$21*$H$8*'Traffic Data'!BH75*annualizationFactor</f>
        <v>6528.7528019700003</v>
      </c>
      <c r="AG799" s="777">
        <f>$H$21*$H$8*'Traffic Data'!BI75*annualizationFactor</f>
        <v>6640.6239828599992</v>
      </c>
      <c r="AH799" s="778">
        <f>$H$21*$H$8*'Traffic Data'!BJ75*annualizationFactor</f>
        <v>6752.1596360399999</v>
      </c>
      <c r="AI799" s="24"/>
      <c r="AJ799" s="24"/>
      <c r="AK799" s="24"/>
      <c r="AL799" s="24"/>
      <c r="AM799" s="24"/>
    </row>
    <row r="800" spans="2:39" ht="21.95" customHeight="1" x14ac:dyDescent="0.2">
      <c r="B800" s="1346" t="s">
        <v>334</v>
      </c>
      <c r="C800" s="116" t="s">
        <v>336</v>
      </c>
      <c r="D800" s="116" t="s">
        <v>337</v>
      </c>
      <c r="E800" s="220" t="s">
        <v>19</v>
      </c>
      <c r="F800" s="220" t="s">
        <v>40</v>
      </c>
      <c r="G800" s="775"/>
      <c r="H800" s="775"/>
      <c r="I800" s="775">
        <f>$H$21*$I$8*'Traffic Data'!AK76*annualizationFactor</f>
        <v>7282.7720000000008</v>
      </c>
      <c r="J800" s="775">
        <f>$H$21*$I$8*'Traffic Data'!AL76*annualizationFactor</f>
        <v>7484.5047844000001</v>
      </c>
      <c r="K800" s="775">
        <f>$H$21*$I$8*'Traffic Data'!AM76*annualizationFactor</f>
        <v>7810.0707027000008</v>
      </c>
      <c r="L800" s="775">
        <f>$H$21*$I$8*'Traffic Data'!AN76*annualizationFactor</f>
        <v>8275.1797345000014</v>
      </c>
      <c r="M800" s="775">
        <f>$H$21*$I$8*'Traffic Data'!AO76*annualizationFactor</f>
        <v>8740.4968455000035</v>
      </c>
      <c r="N800" s="775">
        <f>$H$21*$I$8*'Traffic Data'!AP76*annualizationFactor</f>
        <v>9205.7879466000031</v>
      </c>
      <c r="O800" s="775">
        <f>$H$21*$I$8*'Traffic Data'!AQ76*annualizationFactor</f>
        <v>9670.8969784000055</v>
      </c>
      <c r="P800" s="775">
        <f>$H$21*$I$8*'Traffic Data'!AR76*annualizationFactor</f>
        <v>10136.422168600002</v>
      </c>
      <c r="Q800" s="775">
        <f>$H$21*$I$8*'Traffic Data'!AS76*annualizationFactor</f>
        <v>10550.785885499999</v>
      </c>
      <c r="R800" s="775">
        <f>$H$21*$I$8*'Traffic Data'!AT76*annualizationFactor</f>
        <v>10965.2796519</v>
      </c>
      <c r="S800" s="775">
        <f>$H$21*$I$8*'Traffic Data'!AU76*annualizationFactor</f>
        <v>11379.6433688</v>
      </c>
      <c r="T800" s="775">
        <f>$H$21*$I$8*'Traffic Data'!AV76*annualizationFactor</f>
        <v>11794.007085700001</v>
      </c>
      <c r="U800" s="775">
        <f>$H$21*$I$8*'Traffic Data'!AW76*annualizationFactor</f>
        <v>12208.786961000002</v>
      </c>
      <c r="V800" s="775">
        <f>$H$21*$I$8*'Traffic Data'!AX76*annualizationFactor</f>
        <v>12483.399485200003</v>
      </c>
      <c r="W800" s="775">
        <f>$H$21*$I$8*'Traffic Data'!AY76*annualizationFactor</f>
        <v>12685.132269600002</v>
      </c>
      <c r="X800" s="775">
        <f>$H$21*$I$8*'Traffic Data'!AZ76*annualizationFactor</f>
        <v>12886.865054000002</v>
      </c>
      <c r="Y800" s="775">
        <f>$H$21*$I$8*'Traffic Data'!BA76*annualizationFactor</f>
        <v>13088.597838399999</v>
      </c>
      <c r="Z800" s="775">
        <f>$H$21*$I$8*'Traffic Data'!BB76*annualizationFactor</f>
        <v>13290.460672300002</v>
      </c>
      <c r="AA800" s="775">
        <f>$H$21*$I$8*'Traffic Data'!BC76*annualizationFactor</f>
        <v>13492.193456700003</v>
      </c>
      <c r="AB800" s="775">
        <f>$H$21*$I$8*'Traffic Data'!BD76*annualizationFactor</f>
        <v>13694.0562906</v>
      </c>
      <c r="AC800" s="775">
        <f>$H$21*$I$8*'Traffic Data'!BE76*annualizationFactor</f>
        <v>13895.789075000001</v>
      </c>
      <c r="AD800" s="775">
        <f>$H$21*$I$8*'Traffic Data'!BF76*annualizationFactor</f>
        <v>14097.521859400002</v>
      </c>
      <c r="AE800" s="775">
        <f>$H$21*$I$8*'Traffic Data'!BG76*annualizationFactor</f>
        <v>14299.3846933</v>
      </c>
      <c r="AF800" s="775">
        <f>$H$21*$I$8*'Traffic Data'!BH76*annualizationFactor</f>
        <v>14501.117477699998</v>
      </c>
      <c r="AG800" s="775">
        <f>$H$21*$I$8*'Traffic Data'!BI76*annualizationFactor</f>
        <v>14702.850262099999</v>
      </c>
      <c r="AH800" s="776">
        <f>$H$21*$I$8*'Traffic Data'!BJ76*annualizationFactor</f>
        <v>14904.713096000001</v>
      </c>
      <c r="AI800" s="24"/>
      <c r="AJ800" s="24"/>
      <c r="AK800" s="24"/>
      <c r="AL800" s="24"/>
      <c r="AM800" s="24"/>
    </row>
    <row r="801" spans="2:39" ht="21.95" customHeight="1" x14ac:dyDescent="0.2">
      <c r="B801" s="1346"/>
      <c r="C801" s="116" t="s">
        <v>337</v>
      </c>
      <c r="D801" s="116" t="s">
        <v>386</v>
      </c>
      <c r="E801" s="116" t="s">
        <v>19</v>
      </c>
      <c r="F801" s="116" t="s">
        <v>40</v>
      </c>
      <c r="G801" s="970"/>
      <c r="H801" s="970"/>
      <c r="I801" s="777">
        <f>$H$21*$I$8*'Traffic Data'!AK77*annualizationFactor</f>
        <v>11444.356000000002</v>
      </c>
      <c r="J801" s="777">
        <f>$H$21*$I$8*'Traffic Data'!AL77*annualizationFactor</f>
        <v>11461.522534000002</v>
      </c>
      <c r="K801" s="777">
        <f>$H$21*$I$8*'Traffic Data'!AM77*annualizationFactor</f>
        <v>11478.689068</v>
      </c>
      <c r="L801" s="777">
        <f>$H$21*$I$8*'Traffic Data'!AN77*annualizationFactor</f>
        <v>11495.855602000001</v>
      </c>
      <c r="M801" s="777">
        <f>$H$21*$I$8*'Traffic Data'!AO77*annualizationFactor</f>
        <v>11513.022136000001</v>
      </c>
      <c r="N801" s="777">
        <f>$H$21*$I$8*'Traffic Data'!AP77*annualizationFactor</f>
        <v>11530.188670000001</v>
      </c>
      <c r="O801" s="777">
        <f>$H$21*$I$8*'Traffic Data'!AQ77*annualizationFactor</f>
        <v>11547.355204</v>
      </c>
      <c r="P801" s="777">
        <f>$H$21*$I$8*'Traffic Data'!AR77*annualizationFactor</f>
        <v>11564.521738000001</v>
      </c>
      <c r="Q801" s="777">
        <f>$H$21*$I$8*'Traffic Data'!AS77*annualizationFactor</f>
        <v>11581.688272000001</v>
      </c>
      <c r="R801" s="777">
        <f>$H$21*$I$8*'Traffic Data'!AT77*annualizationFactor</f>
        <v>11581.688272000001</v>
      </c>
      <c r="S801" s="777">
        <f>$H$21*$I$8*'Traffic Data'!AU77*annualizationFactor</f>
        <v>11581.688272000001</v>
      </c>
      <c r="T801" s="777">
        <f>$H$21*$I$8*'Traffic Data'!AV77*annualizationFactor</f>
        <v>11581.688272000001</v>
      </c>
      <c r="U801" s="777">
        <f>$H$21*$I$8*'Traffic Data'!AW77*annualizationFactor</f>
        <v>11581.688272000001</v>
      </c>
      <c r="V801" s="777">
        <f>$H$21*$I$8*'Traffic Data'!AX77*annualizationFactor</f>
        <v>11581.688272000001</v>
      </c>
      <c r="W801" s="777">
        <f>$H$21*$I$8*'Traffic Data'!AY77*annualizationFactor</f>
        <v>11657.735497422002</v>
      </c>
      <c r="X801" s="777">
        <f>$H$21*$I$8*'Traffic Data'!AZ77*annualizationFactor</f>
        <v>11838.288420252</v>
      </c>
      <c r="Y801" s="777">
        <f>$H$21*$I$8*'Traffic Data'!BA77*annualizationFactor</f>
        <v>12018.841343082</v>
      </c>
      <c r="Z801" s="777">
        <f>$H$21*$I$8*'Traffic Data'!BB77*annualizationFactor</f>
        <v>12199.436401950001</v>
      </c>
      <c r="AA801" s="777">
        <f>$H$21*$I$8*'Traffic Data'!BC77*annualizationFactor</f>
        <v>12379.989324780001</v>
      </c>
      <c r="AB801" s="777">
        <f>$H$21*$I$8*'Traffic Data'!BD77*annualizationFactor</f>
        <v>12560.584383648002</v>
      </c>
      <c r="AC801" s="777">
        <f>$H$21*$I$8*'Traffic Data'!BE77*annualizationFactor</f>
        <v>12741.137306478</v>
      </c>
      <c r="AD801" s="777">
        <f>$H$21*$I$8*'Traffic Data'!BF77*annualizationFactor</f>
        <v>12921.690229308</v>
      </c>
      <c r="AE801" s="777">
        <f>$H$21*$I$8*'Traffic Data'!BG77*annualizationFactor</f>
        <v>13102.285288176001</v>
      </c>
      <c r="AF801" s="777">
        <f>$H$21*$I$8*'Traffic Data'!BH77*annualizationFactor</f>
        <v>13282.838211005999</v>
      </c>
      <c r="AG801" s="777">
        <f>$H$21*$I$8*'Traffic Data'!BI77*annualizationFactor</f>
        <v>13463.391133836001</v>
      </c>
      <c r="AH801" s="778">
        <f>$H$21*$I$8*'Traffic Data'!BJ77*annualizationFactor</f>
        <v>13643.986192704002</v>
      </c>
      <c r="AI801" s="24"/>
      <c r="AJ801" s="24"/>
      <c r="AK801" s="24"/>
      <c r="AL801" s="24"/>
      <c r="AM801" s="24"/>
    </row>
    <row r="802" spans="2:39" ht="21.95" customHeight="1" x14ac:dyDescent="0.2">
      <c r="B802" s="1346"/>
      <c r="C802" s="116" t="s">
        <v>342</v>
      </c>
      <c r="D802" s="116" t="s">
        <v>341</v>
      </c>
      <c r="E802" s="116" t="s">
        <v>19</v>
      </c>
      <c r="F802" s="116" t="s">
        <v>40</v>
      </c>
      <c r="G802" s="970"/>
      <c r="H802" s="970"/>
      <c r="I802" s="777">
        <f>$H$21*$I$8*'Traffic Data'!AK78*annualizationFactor</f>
        <v>14877.662800000002</v>
      </c>
      <c r="J802" s="777">
        <f>$H$21*$I$8*'Traffic Data'!AL78*annualizationFactor</f>
        <v>14899.979294200002</v>
      </c>
      <c r="K802" s="777">
        <f>$H$21*$I$8*'Traffic Data'!AM78*annualizationFactor</f>
        <v>14922.295788399999</v>
      </c>
      <c r="L802" s="777">
        <f>$H$21*$I$8*'Traffic Data'!AN78*annualizationFactor</f>
        <v>14944.612282600001</v>
      </c>
      <c r="M802" s="777">
        <f>$H$21*$I$8*'Traffic Data'!AO78*annualizationFactor</f>
        <v>14966.928776800003</v>
      </c>
      <c r="N802" s="777">
        <f>$H$21*$I$8*'Traffic Data'!AP78*annualizationFactor</f>
        <v>14989.245271000003</v>
      </c>
      <c r="O802" s="777">
        <f>$H$21*$I$8*'Traffic Data'!AQ78*annualizationFactor</f>
        <v>15011.5617652</v>
      </c>
      <c r="P802" s="777">
        <f>$H$21*$I$8*'Traffic Data'!AR78*annualizationFactor</f>
        <v>15033.878259400002</v>
      </c>
      <c r="Q802" s="777">
        <f>$H$21*$I$8*'Traffic Data'!AS78*annualizationFactor</f>
        <v>15056.194753600001</v>
      </c>
      <c r="R802" s="777">
        <f>$H$21*$I$8*'Traffic Data'!AT78*annualizationFactor</f>
        <v>15056.194753600001</v>
      </c>
      <c r="S802" s="777">
        <f>$H$21*$I$8*'Traffic Data'!AU78*annualizationFactor</f>
        <v>15056.194753600001</v>
      </c>
      <c r="T802" s="777">
        <f>$H$21*$I$8*'Traffic Data'!AV78*annualizationFactor</f>
        <v>15056.194753600001</v>
      </c>
      <c r="U802" s="777">
        <f>$H$21*$I$8*'Traffic Data'!AW78*annualizationFactor</f>
        <v>15056.194753600001</v>
      </c>
      <c r="V802" s="777">
        <f>$H$21*$I$8*'Traffic Data'!AX78*annualizationFactor</f>
        <v>15056.194753600001</v>
      </c>
      <c r="W802" s="777">
        <f>$H$21*$I$8*'Traffic Data'!AY78*annualizationFactor</f>
        <v>15155.056146648601</v>
      </c>
      <c r="X802" s="777">
        <f>$H$21*$I$8*'Traffic Data'!AZ78*annualizationFactor</f>
        <v>15389.7749463276</v>
      </c>
      <c r="Y802" s="777">
        <f>$H$21*$I$8*'Traffic Data'!BA78*annualizationFactor</f>
        <v>15624.493746006601</v>
      </c>
      <c r="Z802" s="777">
        <f>$H$21*$I$8*'Traffic Data'!BB78*annualizationFactor</f>
        <v>15859.267322535001</v>
      </c>
      <c r="AA802" s="777">
        <f>$H$21*$I$8*'Traffic Data'!BC78*annualizationFactor</f>
        <v>16093.986122213999</v>
      </c>
      <c r="AB802" s="777">
        <f>$H$21*$I$8*'Traffic Data'!BD78*annualizationFactor</f>
        <v>16328.7596987424</v>
      </c>
      <c r="AC802" s="777">
        <f>$H$21*$I$8*'Traffic Data'!BE78*annualizationFactor</f>
        <v>16563.478498421402</v>
      </c>
      <c r="AD802" s="777">
        <f>$H$21*$I$8*'Traffic Data'!BF78*annualizationFactor</f>
        <v>16798.197298100404</v>
      </c>
      <c r="AE802" s="777">
        <f>$H$21*$I$8*'Traffic Data'!BG78*annualizationFactor</f>
        <v>17032.970874628802</v>
      </c>
      <c r="AF802" s="777">
        <f>$H$21*$I$8*'Traffic Data'!BH78*annualizationFactor</f>
        <v>17267.6896743078</v>
      </c>
      <c r="AG802" s="777">
        <f>$H$21*$I$8*'Traffic Data'!BI78*annualizationFactor</f>
        <v>17502.408473986801</v>
      </c>
      <c r="AH802" s="778">
        <f>$H$21*$I$8*'Traffic Data'!BJ78*annualizationFactor</f>
        <v>17737.182050515203</v>
      </c>
      <c r="AI802" s="24"/>
      <c r="AJ802" s="24"/>
      <c r="AK802" s="24"/>
      <c r="AL802" s="24"/>
      <c r="AM802" s="24"/>
    </row>
    <row r="803" spans="2:39" ht="21.95" customHeight="1" x14ac:dyDescent="0.2">
      <c r="B803" s="1346"/>
      <c r="C803" s="116" t="s">
        <v>341</v>
      </c>
      <c r="D803" s="116" t="s">
        <v>344</v>
      </c>
      <c r="E803" s="116" t="s">
        <v>19</v>
      </c>
      <c r="F803" s="116" t="s">
        <v>40</v>
      </c>
      <c r="G803" s="970"/>
      <c r="H803" s="970"/>
      <c r="I803" s="777">
        <f>$H$21*$I$8*'Traffic Data'!AK79*annualizationFactor</f>
        <v>16500.680560000001</v>
      </c>
      <c r="J803" s="777">
        <f>$H$21*$I$8*'Traffic Data'!AL79*annualizationFactor</f>
        <v>16525.431580839999</v>
      </c>
      <c r="K803" s="777">
        <f>$H$21*$I$8*'Traffic Data'!AM79*annualizationFactor</f>
        <v>16550.182601680001</v>
      </c>
      <c r="L803" s="777">
        <f>$H$21*$I$8*'Traffic Data'!AN79*annualizationFactor</f>
        <v>16574.933622519999</v>
      </c>
      <c r="M803" s="777">
        <f>$H$21*$I$8*'Traffic Data'!AO79*annualizationFactor</f>
        <v>16599.684643360004</v>
      </c>
      <c r="N803" s="777">
        <f>$H$21*$I$8*'Traffic Data'!AP79*annualizationFactor</f>
        <v>16624.435664199998</v>
      </c>
      <c r="O803" s="777">
        <f>$H$21*$I$8*'Traffic Data'!AQ79*annualizationFactor</f>
        <v>16649.18668504</v>
      </c>
      <c r="P803" s="777">
        <f>$H$21*$I$8*'Traffic Data'!AR79*annualizationFactor</f>
        <v>16673.937705880002</v>
      </c>
      <c r="Q803" s="777">
        <f>$H$21*$I$8*'Traffic Data'!AS79*annualizationFactor</f>
        <v>16698.68872672</v>
      </c>
      <c r="R803" s="777">
        <f>$H$21*$I$8*'Traffic Data'!AT79*annualizationFactor</f>
        <v>16698.68872672</v>
      </c>
      <c r="S803" s="777">
        <f>$H$21*$I$8*'Traffic Data'!AU79*annualizationFactor</f>
        <v>16698.68872672</v>
      </c>
      <c r="T803" s="777">
        <f>$H$21*$I$8*'Traffic Data'!AV79*annualizationFactor</f>
        <v>16698.68872672</v>
      </c>
      <c r="U803" s="777">
        <f>$H$21*$I$8*'Traffic Data'!AW79*annualizationFactor</f>
        <v>16698.68872672</v>
      </c>
      <c r="V803" s="777">
        <f>$H$21*$I$8*'Traffic Data'!AX79*annualizationFactor</f>
        <v>16698.68872672</v>
      </c>
      <c r="W803" s="777">
        <f>$H$21*$I$8*'Traffic Data'!AY79*annualizationFactor</f>
        <v>16698.68872672</v>
      </c>
      <c r="X803" s="777">
        <f>$H$21*$I$8*'Traffic Data'!AZ79*annualizationFactor</f>
        <v>16698.68872672</v>
      </c>
      <c r="Y803" s="777">
        <f>$H$21*$I$8*'Traffic Data'!BA79*annualizationFactor</f>
        <v>16698.68872672</v>
      </c>
      <c r="Z803" s="777">
        <f>$H$21*$I$8*'Traffic Data'!BB79*annualizationFactor</f>
        <v>16698.68872672</v>
      </c>
      <c r="AA803" s="777">
        <f>$H$21*$I$8*'Traffic Data'!BC79*annualizationFactor</f>
        <v>16916.017413379392</v>
      </c>
      <c r="AB803" s="777">
        <f>$H$21*$I$8*'Traffic Data'!BD79*annualizationFactor</f>
        <v>17162.78250181663</v>
      </c>
      <c r="AC803" s="777">
        <f>$H$21*$I$8*'Traffic Data'!BE79*annualizationFactor</f>
        <v>17409.49001557154</v>
      </c>
      <c r="AD803" s="777">
        <f>$H$21*$I$8*'Traffic Data'!BF79*annualizationFactor</f>
        <v>17656.197529326455</v>
      </c>
      <c r="AE803" s="777">
        <f>$H$21*$I$8*'Traffic Data'!BG79*annualizationFactor</f>
        <v>17902.962617763689</v>
      </c>
      <c r="AF803" s="777">
        <f>$H$21*$I$8*'Traffic Data'!BH79*annualizationFactor</f>
        <v>18149.670131518596</v>
      </c>
      <c r="AG803" s="777">
        <f>$H$21*$I$8*'Traffic Data'!BI79*annualizationFactor</f>
        <v>18396.377645273515</v>
      </c>
      <c r="AH803" s="778">
        <f>$H$21*$I$8*'Traffic Data'!BJ79*annualizationFactor</f>
        <v>18643.142733710749</v>
      </c>
      <c r="AI803" s="24"/>
      <c r="AJ803" s="24"/>
      <c r="AK803" s="24"/>
      <c r="AL803" s="24"/>
      <c r="AM803" s="24"/>
    </row>
    <row r="804" spans="2:39" ht="21.95" customHeight="1" x14ac:dyDescent="0.2">
      <c r="B804" s="1346"/>
      <c r="C804" s="116" t="s">
        <v>344</v>
      </c>
      <c r="D804" s="116" t="s">
        <v>345</v>
      </c>
      <c r="E804" s="116" t="s">
        <v>19</v>
      </c>
      <c r="F804" s="116" t="s">
        <v>40</v>
      </c>
      <c r="G804" s="970"/>
      <c r="H804" s="970"/>
      <c r="I804" s="777">
        <f>$H$21*$I$8*'Traffic Data'!AK80*annualizationFactor</f>
        <v>6762.5740000000014</v>
      </c>
      <c r="J804" s="777">
        <f>$H$21*$I$8*'Traffic Data'!AL80*annualizationFactor</f>
        <v>6772.7178610000001</v>
      </c>
      <c r="K804" s="777">
        <f>$H$21*$I$8*'Traffic Data'!AM80*annualizationFactor</f>
        <v>6782.8617219999996</v>
      </c>
      <c r="L804" s="777">
        <f>$H$21*$I$8*'Traffic Data'!AN80*annualizationFactor</f>
        <v>6793.0055830000001</v>
      </c>
      <c r="M804" s="777">
        <f>$H$21*$I$8*'Traffic Data'!AO80*annualizationFactor</f>
        <v>6803.1494440000006</v>
      </c>
      <c r="N804" s="777">
        <f>$H$21*$I$8*'Traffic Data'!AP80*annualizationFactor</f>
        <v>6813.2933050000001</v>
      </c>
      <c r="O804" s="777">
        <f>$H$21*$I$8*'Traffic Data'!AQ80*annualizationFactor</f>
        <v>6823.4371659999997</v>
      </c>
      <c r="P804" s="777">
        <f>$H$21*$I$8*'Traffic Data'!AR80*annualizationFactor</f>
        <v>6833.5810270000002</v>
      </c>
      <c r="Q804" s="777">
        <f>$H$21*$I$8*'Traffic Data'!AS80*annualizationFactor</f>
        <v>6843.7248880000006</v>
      </c>
      <c r="R804" s="777">
        <f>$H$21*$I$8*'Traffic Data'!AT80*annualizationFactor</f>
        <v>6843.7248880000006</v>
      </c>
      <c r="S804" s="777">
        <f>$H$21*$I$8*'Traffic Data'!AU80*annualizationFactor</f>
        <v>6843.7248880000006</v>
      </c>
      <c r="T804" s="777">
        <f>$H$21*$I$8*'Traffic Data'!AV80*annualizationFactor</f>
        <v>6843.7248880000006</v>
      </c>
      <c r="U804" s="777">
        <f>$H$21*$I$8*'Traffic Data'!AW80*annualizationFactor</f>
        <v>6843.7248880000006</v>
      </c>
      <c r="V804" s="777">
        <f>$H$21*$I$8*'Traffic Data'!AX80*annualizationFactor</f>
        <v>6843.7248880000006</v>
      </c>
      <c r="W804" s="777">
        <f>$H$21*$I$8*'Traffic Data'!AY80*annualizationFactor</f>
        <v>6843.7248880000006</v>
      </c>
      <c r="X804" s="777">
        <f>$H$21*$I$8*'Traffic Data'!AZ80*annualizationFactor</f>
        <v>6843.7248880000006</v>
      </c>
      <c r="Y804" s="777">
        <f>$H$21*$I$8*'Traffic Data'!BA80*annualizationFactor</f>
        <v>6843.7248880000006</v>
      </c>
      <c r="Z804" s="777">
        <f>$H$21*$I$8*'Traffic Data'!BB80*annualizationFactor</f>
        <v>6843.7248880000006</v>
      </c>
      <c r="AA804" s="777">
        <f>$H$21*$I$8*'Traffic Data'!BC80*annualizationFactor</f>
        <v>6932.7940218768008</v>
      </c>
      <c r="AB804" s="777">
        <f>$H$21*$I$8*'Traffic Data'!BD80*annualizationFactor</f>
        <v>7033.9272548428817</v>
      </c>
      <c r="AC804" s="777">
        <f>$H$21*$I$8*'Traffic Data'!BE80*annualizationFactor</f>
        <v>7135.0368916276811</v>
      </c>
      <c r="AD804" s="777">
        <f>$H$21*$I$8*'Traffic Data'!BF80*annualizationFactor</f>
        <v>7236.1465284124815</v>
      </c>
      <c r="AE804" s="777">
        <f>$H$21*$I$8*'Traffic Data'!BG80*annualizationFactor</f>
        <v>7337.2797613785606</v>
      </c>
      <c r="AF804" s="777">
        <f>$H$21*$I$8*'Traffic Data'!BH80*annualizationFactor</f>
        <v>7438.3893981633601</v>
      </c>
      <c r="AG804" s="777">
        <f>$H$21*$I$8*'Traffic Data'!BI80*annualizationFactor</f>
        <v>7539.4990349481614</v>
      </c>
      <c r="AH804" s="778">
        <f>$H$21*$I$8*'Traffic Data'!BJ80*annualizationFactor</f>
        <v>7640.6322679142422</v>
      </c>
      <c r="AI804" s="24"/>
      <c r="AJ804" s="24"/>
      <c r="AK804" s="24"/>
      <c r="AL804" s="24"/>
      <c r="AM804" s="24"/>
    </row>
    <row r="805" spans="2:39" ht="21.95" customHeight="1" x14ac:dyDescent="0.2">
      <c r="B805" s="1346"/>
      <c r="C805" s="116" t="s">
        <v>345</v>
      </c>
      <c r="D805" s="116" t="s">
        <v>323</v>
      </c>
      <c r="E805" s="116" t="s">
        <v>19</v>
      </c>
      <c r="F805" s="116" t="s">
        <v>40</v>
      </c>
      <c r="G805" s="970"/>
      <c r="H805" s="970"/>
      <c r="I805" s="777">
        <f>$H$21*$I$8*'Traffic Data'!AK81*annualizationFactor</f>
        <v>81567.046400000007</v>
      </c>
      <c r="J805" s="777">
        <f>$H$21*$I$8*'Traffic Data'!AL81*annualizationFactor</f>
        <v>83439.447081200007</v>
      </c>
      <c r="K805" s="777">
        <f>$H$21*$I$8*'Traffic Data'!AM81*annualizationFactor</f>
        <v>86178.206319520003</v>
      </c>
      <c r="L805" s="777">
        <f>$H$21*$I$8*'Traffic Data'!AN81*annualizationFactor</f>
        <v>89462.736491520001</v>
      </c>
      <c r="M805" s="777">
        <f>$H$21*$I$8*'Traffic Data'!AO81*annualizationFactor</f>
        <v>92748.140596159996</v>
      </c>
      <c r="N805" s="777">
        <f>$H$21*$I$8*'Traffic Data'!AP81*annualizationFactor</f>
        <v>96033.836011680047</v>
      </c>
      <c r="O805" s="777">
        <f>$H$21*$I$8*'Traffic Data'!AQ81*annualizationFactor</f>
        <v>99318.366183680031</v>
      </c>
      <c r="P805" s="777">
        <f>$H$21*$I$8*'Traffic Data'!AR81*annualizationFactor</f>
        <v>102604.64422096002</v>
      </c>
      <c r="Q805" s="777">
        <f>$H$21*$I$8*'Traffic Data'!AS81*annualizationFactor</f>
        <v>105431.81631135999</v>
      </c>
      <c r="R805" s="777">
        <f>$H$21*$I$8*'Traffic Data'!AT81*annualizationFactor</f>
        <v>108258.84274632001</v>
      </c>
      <c r="S805" s="777">
        <f>$H$21*$I$8*'Traffic Data'!AU81*annualizationFactor</f>
        <v>111086.01483672</v>
      </c>
      <c r="T805" s="777">
        <f>$H$21*$I$8*'Traffic Data'!AV81*annualizationFactor</f>
        <v>113913.18692711998</v>
      </c>
      <c r="U805" s="777">
        <f>$H$21*$I$8*'Traffic Data'!AW81*annualizationFactor</f>
        <v>116742.10688279998</v>
      </c>
      <c r="V805" s="777">
        <f>$H$21*$I$8*'Traffic Data'!AX81*annualizationFactor</f>
        <v>119022.63410688</v>
      </c>
      <c r="W805" s="777">
        <f>$H$21*$I$8*'Traffic Data'!AY81*annualizationFactor</f>
        <v>120895.03478807998</v>
      </c>
      <c r="X805" s="777">
        <f>$H$21*$I$8*'Traffic Data'!AZ81*annualizationFactor</f>
        <v>122767.43546927998</v>
      </c>
      <c r="Y805" s="777">
        <f>$H$21*$I$8*'Traffic Data'!BA81*annualizationFactor</f>
        <v>124639.83615047997</v>
      </c>
      <c r="Z805" s="777">
        <f>$H$21*$I$8*'Traffic Data'!BB81*annualizationFactor</f>
        <v>126512.67379799999</v>
      </c>
      <c r="AA805" s="777">
        <f>$H$21*$I$8*'Traffic Data'!BC81*annualizationFactor</f>
        <v>128385.07447919999</v>
      </c>
      <c r="AB805" s="777">
        <f>$H$21*$I$8*'Traffic Data'!BD81*annualizationFactor</f>
        <v>130257.91212671998</v>
      </c>
      <c r="AC805" s="777">
        <f>$H$21*$I$8*'Traffic Data'!BE81*annualizationFactor</f>
        <v>132130.31280791998</v>
      </c>
      <c r="AD805" s="777">
        <f>$H$21*$I$8*'Traffic Data'!BF81*annualizationFactor</f>
        <v>134002.71348911998</v>
      </c>
      <c r="AE805" s="777">
        <f>$H$21*$I$8*'Traffic Data'!BG81*annualizationFactor</f>
        <v>135875.55113663999</v>
      </c>
      <c r="AF805" s="777">
        <f>$H$21*$I$8*'Traffic Data'!BH81*annualizationFactor</f>
        <v>137747.95181783999</v>
      </c>
      <c r="AG805" s="777">
        <f>$H$21*$I$8*'Traffic Data'!BI81*annualizationFactor</f>
        <v>139620.35249903999</v>
      </c>
      <c r="AH805" s="778">
        <f>$H$21*$I$8*'Traffic Data'!BJ81*annualizationFactor</f>
        <v>141493.19014655999</v>
      </c>
      <c r="AI805" s="24"/>
      <c r="AJ805" s="24"/>
      <c r="AK805" s="24"/>
      <c r="AL805" s="24"/>
      <c r="AM805" s="24"/>
    </row>
    <row r="806" spans="2:39" ht="21.95" customHeight="1" x14ac:dyDescent="0.2">
      <c r="B806" s="1346"/>
      <c r="C806" s="116" t="s">
        <v>323</v>
      </c>
      <c r="D806" s="116" t="s">
        <v>347</v>
      </c>
      <c r="E806" s="116" t="s">
        <v>19</v>
      </c>
      <c r="F806" s="116" t="s">
        <v>40</v>
      </c>
      <c r="G806" s="970"/>
      <c r="H806" s="970"/>
      <c r="I806" s="777">
        <f>$H$21*$I$8*'Traffic Data'!AK82*annualizationFactor</f>
        <v>14565.544000000002</v>
      </c>
      <c r="J806" s="777">
        <f>$H$21*$I$8*'Traffic Data'!AL82*annualizationFactor</f>
        <v>14887.390502600003</v>
      </c>
      <c r="K806" s="777">
        <f>$H$21*$I$8*'Traffic Data'!AM82*annualizationFactor</f>
        <v>15363.917880500001</v>
      </c>
      <c r="L806" s="777">
        <f>$H$21*$I$8*'Traffic Data'!AN82*annualizationFactor</f>
        <v>15968.6740654</v>
      </c>
      <c r="M806" s="777">
        <f>$H$21*$I$8*'Traffic Data'!AO82*annualizationFactor</f>
        <v>16573.612319600004</v>
      </c>
      <c r="N806" s="777">
        <f>$H$21*$I$8*'Traffic Data'!AP82*annualizationFactor</f>
        <v>17178.514159940001</v>
      </c>
      <c r="O806" s="777">
        <f>$H$21*$I$8*'Traffic Data'!AQ82*annualizationFactor</f>
        <v>17783.270344839999</v>
      </c>
      <c r="P806" s="777">
        <f>$H$21*$I$8*'Traffic Data'!AR82*annualizationFactor</f>
        <v>18388.35425448</v>
      </c>
      <c r="Q806" s="777">
        <f>$H$21*$I$8*'Traffic Data'!AS82*annualizationFactor</f>
        <v>18926.030907280001</v>
      </c>
      <c r="R806" s="777">
        <f>$H$21*$I$8*'Traffic Data'!AT82*annualizationFactor</f>
        <v>19463.759579879999</v>
      </c>
      <c r="S806" s="777">
        <f>$H$21*$I$8*'Traffic Data'!AU82*annualizationFactor</f>
        <v>20001.43623268</v>
      </c>
      <c r="T806" s="777">
        <f>$H$21*$I$8*'Traffic Data'!AV82*annualizationFactor</f>
        <v>20539.112885480004</v>
      </c>
      <c r="U806" s="777">
        <f>$H$21*$I$8*'Traffic Data'!AW82*annualizationFactor</f>
        <v>21077.03923332</v>
      </c>
      <c r="V806" s="777">
        <f>$H$21*$I$8*'Traffic Data'!AX82*annualizationFactor</f>
        <v>21486.341423680002</v>
      </c>
      <c r="W806" s="777">
        <f>$H$21*$I$8*'Traffic Data'!AY82*annualizationFactor</f>
        <v>21808.187926280003</v>
      </c>
      <c r="X806" s="777">
        <f>$H$21*$I$8*'Traffic Data'!AZ82*annualizationFactor</f>
        <v>22130.034428880004</v>
      </c>
      <c r="Y806" s="777">
        <f>$H$21*$I$8*'Traffic Data'!BA82*annualizationFactor</f>
        <v>22451.880931480006</v>
      </c>
      <c r="Z806" s="777">
        <f>$H$21*$I$8*'Traffic Data'!BB82*annualizationFactor</f>
        <v>22773.779453880004</v>
      </c>
      <c r="AA806" s="777">
        <f>$H$21*$I$8*'Traffic Data'!BC82*annualizationFactor</f>
        <v>23095.625956480002</v>
      </c>
      <c r="AB806" s="777">
        <f>$H$21*$I$8*'Traffic Data'!BD82*annualizationFactor</f>
        <v>23417.524478880005</v>
      </c>
      <c r="AC806" s="777">
        <f>$H$21*$I$8*'Traffic Data'!BE82*annualizationFactor</f>
        <v>23739.370981480006</v>
      </c>
      <c r="AD806" s="777">
        <f>$H$21*$I$8*'Traffic Data'!BF82*annualizationFactor</f>
        <v>24061.217484080007</v>
      </c>
      <c r="AE806" s="777">
        <f>$H$21*$I$8*'Traffic Data'!BG82*annualizationFactor</f>
        <v>24383.116006480006</v>
      </c>
      <c r="AF806" s="777">
        <f>$H$21*$I$8*'Traffic Data'!BH82*annualizationFactor</f>
        <v>24704.962509080011</v>
      </c>
      <c r="AG806" s="777">
        <f>$H$21*$I$8*'Traffic Data'!BI82*annualizationFactor</f>
        <v>25026.809011680009</v>
      </c>
      <c r="AH806" s="778">
        <f>$H$21*$I$8*'Traffic Data'!BJ82*annualizationFactor</f>
        <v>25348.707534080004</v>
      </c>
      <c r="AI806" s="24"/>
      <c r="AJ806" s="24"/>
      <c r="AK806" s="24"/>
      <c r="AL806" s="24"/>
      <c r="AM806" s="24"/>
    </row>
    <row r="807" spans="2:39" ht="21.95" customHeight="1" x14ac:dyDescent="0.2">
      <c r="B807" s="1346"/>
      <c r="C807" s="116" t="s">
        <v>347</v>
      </c>
      <c r="D807" s="116" t="s">
        <v>348</v>
      </c>
      <c r="E807" s="116" t="s">
        <v>19</v>
      </c>
      <c r="F807" s="116" t="s">
        <v>40</v>
      </c>
      <c r="G807" s="970"/>
      <c r="H807" s="970"/>
      <c r="I807" s="777">
        <f>$H$21*$I$8*'Traffic Data'!AK83*annualizationFactor</f>
        <v>10195.880800000001</v>
      </c>
      <c r="J807" s="777">
        <f>$H$21*$I$8*'Traffic Data'!AL83*annualizationFactor</f>
        <v>10421.173351820002</v>
      </c>
      <c r="K807" s="777">
        <f>$H$21*$I$8*'Traffic Data'!AM83*annualizationFactor</f>
        <v>10754.742516349999</v>
      </c>
      <c r="L807" s="777">
        <f>$H$21*$I$8*'Traffic Data'!AN83*annualizationFactor</f>
        <v>11178.071845779999</v>
      </c>
      <c r="M807" s="777">
        <f>$H$21*$I$8*'Traffic Data'!AO83*annualizationFactor</f>
        <v>11601.528623720003</v>
      </c>
      <c r="N807" s="777">
        <f>$H$21*$I$8*'Traffic Data'!AP83*annualizationFactor</f>
        <v>12024.959911958002</v>
      </c>
      <c r="O807" s="777">
        <f>$H$21*$I$8*'Traffic Data'!AQ83*annualizationFactor</f>
        <v>12448.289241388</v>
      </c>
      <c r="P807" s="777">
        <f>$H$21*$I$8*'Traffic Data'!AR83*annualizationFactor</f>
        <v>12871.847978135998</v>
      </c>
      <c r="Q807" s="777">
        <f>$H$21*$I$8*'Traffic Data'!AS83*annualizationFactor</f>
        <v>13248.221635096003</v>
      </c>
      <c r="R807" s="777">
        <f>$H$21*$I$8*'Traffic Data'!AT83*annualizationFactor</f>
        <v>13624.631705916001</v>
      </c>
      <c r="S807" s="777">
        <f>$H$21*$I$8*'Traffic Data'!AU83*annualizationFactor</f>
        <v>14001.005362876</v>
      </c>
      <c r="T807" s="777">
        <f>$H$21*$I$8*'Traffic Data'!AV83*annualizationFactor</f>
        <v>14377.379019836002</v>
      </c>
      <c r="U807" s="777">
        <f>$H$21*$I$8*'Traffic Data'!AW83*annualizationFactor</f>
        <v>14753.927463323998</v>
      </c>
      <c r="V807" s="777">
        <f>$H$21*$I$8*'Traffic Data'!AX83*annualizationFactor</f>
        <v>15040.438996576</v>
      </c>
      <c r="W807" s="777">
        <f>$H$21*$I$8*'Traffic Data'!AY83*annualizationFactor</f>
        <v>15265.731548395999</v>
      </c>
      <c r="X807" s="777">
        <f>$H$21*$I$8*'Traffic Data'!AZ83*annualizationFactor</f>
        <v>15491.024100216002</v>
      </c>
      <c r="Y807" s="777">
        <f>$H$21*$I$8*'Traffic Data'!BA83*annualizationFactor</f>
        <v>15716.316652036005</v>
      </c>
      <c r="Z807" s="777">
        <f>$H$21*$I$8*'Traffic Data'!BB83*annualizationFactor</f>
        <v>15941.645617716003</v>
      </c>
      <c r="AA807" s="777">
        <f>$H$21*$I$8*'Traffic Data'!BC83*annualizationFactor</f>
        <v>16166.938169535997</v>
      </c>
      <c r="AB807" s="777">
        <f>$H$21*$I$8*'Traffic Data'!BD83*annualizationFactor</f>
        <v>16392.267135216</v>
      </c>
      <c r="AC807" s="777">
        <f>$H$21*$I$8*'Traffic Data'!BE83*annualizationFactor</f>
        <v>16617.559687036002</v>
      </c>
      <c r="AD807" s="777">
        <f>$H$21*$I$8*'Traffic Data'!BF83*annualizationFactor</f>
        <v>16842.852238856001</v>
      </c>
      <c r="AE807" s="777">
        <f>$H$21*$I$8*'Traffic Data'!BG83*annualizationFactor</f>
        <v>17068.181204536002</v>
      </c>
      <c r="AF807" s="777">
        <f>$H$21*$I$8*'Traffic Data'!BH83*annualizationFactor</f>
        <v>17293.473756356005</v>
      </c>
      <c r="AG807" s="777">
        <f>$H$21*$I$8*'Traffic Data'!BI83*annualizationFactor</f>
        <v>17518.766308176007</v>
      </c>
      <c r="AH807" s="778">
        <f>$H$21*$I$8*'Traffic Data'!BJ83*annualizationFactor</f>
        <v>17744.095273856004</v>
      </c>
      <c r="AI807" s="24"/>
      <c r="AJ807" s="24"/>
      <c r="AK807" s="24"/>
      <c r="AL807" s="24"/>
      <c r="AM807" s="24"/>
    </row>
    <row r="808" spans="2:39" ht="21.95" customHeight="1" x14ac:dyDescent="0.2">
      <c r="B808" s="1346"/>
      <c r="C808" s="254" t="s">
        <v>348</v>
      </c>
      <c r="D808" s="254" t="s">
        <v>349</v>
      </c>
      <c r="E808" s="254" t="s">
        <v>19</v>
      </c>
      <c r="F808" s="116" t="s">
        <v>40</v>
      </c>
      <c r="G808" s="779"/>
      <c r="H808" s="779"/>
      <c r="I808" s="777">
        <f>$H$21*$I$8*'Traffic Data'!AK84*annualizationFactor</f>
        <v>16646.336000000003</v>
      </c>
      <c r="J808" s="777">
        <f>$H$21*$I$8*'Traffic Data'!AL84*annualizationFactor</f>
        <v>17043.949341300002</v>
      </c>
      <c r="K808" s="777">
        <f>$H$21*$I$8*'Traffic Data'!AM84*annualizationFactor</f>
        <v>17596.269567800002</v>
      </c>
      <c r="L808" s="777">
        <f>$H$21*$I$8*'Traffic Data'!AN84*annualizationFactor</f>
        <v>18329.800767600002</v>
      </c>
      <c r="M808" s="777">
        <f>$H$21*$I$8*'Traffic Data'!AO84*annualizationFactor</f>
        <v>19063.540046600003</v>
      </c>
      <c r="N808" s="777">
        <f>$H$21*$I$8*'Traffic Data'!AP84*annualizationFactor</f>
        <v>19797.331345400002</v>
      </c>
      <c r="O808" s="777">
        <f>$H$21*$I$8*'Traffic Data'!AQ84*annualizationFactor</f>
        <v>20530.862545200001</v>
      </c>
      <c r="P808" s="777">
        <f>$H$21*$I$8*'Traffic Data'!AR84*annualizationFactor</f>
        <v>21264.809903400008</v>
      </c>
      <c r="Q808" s="777">
        <f>$H$21*$I$8*'Traffic Data'!AS84*annualizationFactor</f>
        <v>21965.308530200004</v>
      </c>
      <c r="R808" s="777">
        <f>$H$21*$I$8*'Traffic Data'!AT84*annualizationFactor</f>
        <v>22665.8331669</v>
      </c>
      <c r="S808" s="777">
        <f>$H$21*$I$8*'Traffic Data'!AU84*annualizationFactor</f>
        <v>23366.331793700003</v>
      </c>
      <c r="T808" s="777">
        <f>$H$21*$I$8*'Traffic Data'!AV84*annualizationFactor</f>
        <v>24066.830420500006</v>
      </c>
      <c r="U808" s="777">
        <f>$H$21*$I$8*'Traffic Data'!AW84*annualizationFactor</f>
        <v>24767.745205700005</v>
      </c>
      <c r="V808" s="777">
        <f>$H$21*$I$8*'Traffic Data'!AX84*annualizationFactor</f>
        <v>25286.824780000003</v>
      </c>
      <c r="W808" s="777">
        <f>$H$21*$I$8*'Traffic Data'!AY84*annualizationFactor</f>
        <v>25684.438121300005</v>
      </c>
      <c r="X808" s="777">
        <f>$H$21*$I$8*'Traffic Data'!AZ84*annualizationFactor</f>
        <v>26082.0514626</v>
      </c>
      <c r="Y808" s="777">
        <f>$H$21*$I$8*'Traffic Data'!BA84*annualizationFactor</f>
        <v>26479.664803899999</v>
      </c>
      <c r="Z808" s="777">
        <f>$H$21*$I$8*'Traffic Data'!BB84*annualizationFactor</f>
        <v>26877.3561749</v>
      </c>
      <c r="AA808" s="777">
        <f>$H$21*$I$8*'Traffic Data'!BC84*annualizationFactor</f>
        <v>27274.969516200003</v>
      </c>
      <c r="AB808" s="777">
        <f>$H$21*$I$8*'Traffic Data'!BD84*annualizationFactor</f>
        <v>27672.660887200007</v>
      </c>
      <c r="AC808" s="777">
        <f>$H$21*$I$8*'Traffic Data'!BE84*annualizationFactor</f>
        <v>28070.274228500002</v>
      </c>
      <c r="AD808" s="777">
        <f>$H$21*$I$8*'Traffic Data'!BF84*annualizationFactor</f>
        <v>28467.887569800001</v>
      </c>
      <c r="AE808" s="777">
        <f>$H$21*$I$8*'Traffic Data'!BG84*annualizationFactor</f>
        <v>28865.578940800002</v>
      </c>
      <c r="AF808" s="777">
        <f>$H$21*$I$8*'Traffic Data'!BH84*annualizationFactor</f>
        <v>29263.192282100001</v>
      </c>
      <c r="AG808" s="777">
        <f>$H$21*$I$8*'Traffic Data'!BI84*annualizationFactor</f>
        <v>29660.805623400003</v>
      </c>
      <c r="AH808" s="778">
        <f>$H$21*$I$8*'Traffic Data'!BJ84*annualizationFactor</f>
        <v>30058.4969944</v>
      </c>
      <c r="AI808" s="24"/>
      <c r="AJ808" s="24"/>
      <c r="AK808" s="24"/>
      <c r="AL808" s="24"/>
      <c r="AM808" s="24"/>
    </row>
    <row r="809" spans="2:39" ht="21.95" customHeight="1" x14ac:dyDescent="0.2">
      <c r="B809" s="492" t="s">
        <v>288</v>
      </c>
      <c r="C809" s="116" t="s">
        <v>323</v>
      </c>
      <c r="D809" s="116" t="s">
        <v>348</v>
      </c>
      <c r="E809" s="116" t="s">
        <v>19</v>
      </c>
      <c r="F809" s="220" t="s">
        <v>40</v>
      </c>
      <c r="G809" s="970"/>
      <c r="H809" s="970"/>
      <c r="I809" s="775">
        <f>$H$21*$J$8*'Traffic Data'!AK85*annualizationFactor</f>
        <v>1337.652</v>
      </c>
      <c r="J809" s="775">
        <f>$H$21*$J$8*'Traffic Data'!AL85*annualizationFactor</f>
        <v>1419.9027352000001</v>
      </c>
      <c r="K809" s="775">
        <f>$H$21*$J$8*'Traffic Data'!AM85*annualizationFactor</f>
        <v>1528.7504510000001</v>
      </c>
      <c r="L809" s="775">
        <f>$H$21*$J$8*'Traffic Data'!AN85*annualizationFactor</f>
        <v>1673.4026519999998</v>
      </c>
      <c r="M809" s="775">
        <f>$H$21*$J$8*'Traffic Data'!AO85*annualizationFactor</f>
        <v>1818.0994413999997</v>
      </c>
      <c r="N809" s="775">
        <f>$H$21*$J$8*'Traffic Data'!AP85*annualizationFactor</f>
        <v>1963.1083496000001</v>
      </c>
      <c r="O809" s="775">
        <f>$H$21*$J$8*'Traffic Data'!AQ85*annualizationFactor</f>
        <v>2107.7605505999995</v>
      </c>
      <c r="P809" s="775">
        <f>$H$21*$J$8*'Traffic Data'!AR85*annualizationFactor</f>
        <v>2252.5688110000001</v>
      </c>
      <c r="Q809" s="775">
        <f>$H$21*$J$8*'Traffic Data'!AS85*annualizationFactor</f>
        <v>2384.6099262000002</v>
      </c>
      <c r="R809" s="775">
        <f>$H$21*$J$8*'Traffic Data'!AT85*annualizationFactor</f>
        <v>2516.5395704000002</v>
      </c>
      <c r="S809" s="775">
        <f>$H$21*$J$8*'Traffic Data'!AU85*annualizationFactor</f>
        <v>2648.5881169999998</v>
      </c>
      <c r="T809" s="775">
        <f>$H$21*$J$8*'Traffic Data'!AV85*annualizationFactor</f>
        <v>2780.6292321999999</v>
      </c>
      <c r="U809" s="775">
        <f>$H$21*$J$8*'Traffic Data'!AW85*annualizationFactor</f>
        <v>2913.1385256000003</v>
      </c>
      <c r="V809" s="775">
        <f>$H$21*$J$8*'Traffic Data'!AX85*annualizationFactor</f>
        <v>3009.2711159999999</v>
      </c>
      <c r="W809" s="775">
        <f>$H$21*$J$8*'Traffic Data'!AY85*annualizationFactor</f>
        <v>3091.5218512000001</v>
      </c>
      <c r="X809" s="775">
        <f>$H$21*$J$8*'Traffic Data'!AZ85*annualizationFactor</f>
        <v>3173.7725863999995</v>
      </c>
      <c r="Y809" s="775">
        <f>$H$21*$J$8*'Traffic Data'!BA85*annualizationFactor</f>
        <v>3256.0233215999997</v>
      </c>
      <c r="Z809" s="775">
        <f>$H$21*$J$8*'Traffic Data'!BB85*annualizationFactor</f>
        <v>3338.3632336000001</v>
      </c>
      <c r="AA809" s="775">
        <f>$H$21*$J$8*'Traffic Data'!BC85*annualizationFactor</f>
        <v>3420.6139687999994</v>
      </c>
      <c r="AB809" s="775">
        <f>$H$21*$J$8*'Traffic Data'!BD85*annualizationFactor</f>
        <v>3503.0653517999999</v>
      </c>
      <c r="AC809" s="775">
        <f>$H$21*$J$8*'Traffic Data'!BE85*annualizationFactor</f>
        <v>3585.3160869999992</v>
      </c>
      <c r="AD809" s="775">
        <f>$H$21*$J$8*'Traffic Data'!BF85*annualizationFactor</f>
        <v>3667.5668221999995</v>
      </c>
      <c r="AE809" s="775">
        <f>$H$21*$J$8*'Traffic Data'!BG85*annualizationFactor</f>
        <v>3749.9067341999989</v>
      </c>
      <c r="AF809" s="775">
        <f>$H$21*$J$8*'Traffic Data'!BH85*annualizationFactor</f>
        <v>3832.1574693999996</v>
      </c>
      <c r="AG809" s="775">
        <f>$H$21*$J$8*'Traffic Data'!BI85*annualizationFactor</f>
        <v>3914.4082045999999</v>
      </c>
      <c r="AH809" s="776">
        <f>$H$21*$J$8*'Traffic Data'!BJ85*annualizationFactor</f>
        <v>3996.8595875999995</v>
      </c>
      <c r="AI809" s="24"/>
      <c r="AJ809" s="24"/>
      <c r="AK809" s="24"/>
      <c r="AL809" s="24"/>
      <c r="AM809" s="24"/>
    </row>
    <row r="810" spans="2:39" ht="21.95" customHeight="1" x14ac:dyDescent="0.2">
      <c r="B810" s="782" t="s">
        <v>340</v>
      </c>
      <c r="C810" s="277" t="s">
        <v>335</v>
      </c>
      <c r="D810" s="277" t="s">
        <v>323</v>
      </c>
      <c r="E810" s="277" t="s">
        <v>19</v>
      </c>
      <c r="F810" s="220" t="s">
        <v>40</v>
      </c>
      <c r="G810" s="780"/>
      <c r="H810" s="780"/>
      <c r="I810" s="775">
        <f>$H$21*$K$8*'Traffic Data'!AK86*annualizationFactor</f>
        <v>0</v>
      </c>
      <c r="J810" s="775">
        <f>$H$21*$K$8*'Traffic Data'!AL86*annualizationFactor</f>
        <v>2243.4463216160002</v>
      </c>
      <c r="K810" s="775">
        <f>$H$21*$K$8*'Traffic Data'!AM86*annualizationFactor</f>
        <v>2415.4257125800004</v>
      </c>
      <c r="L810" s="775">
        <f>$H$21*$K$8*'Traffic Data'!AN86*annualizationFactor</f>
        <v>2643.97619016</v>
      </c>
      <c r="M810" s="775">
        <f>$H$21*$K$8*'Traffic Data'!AO86*annualizationFactor</f>
        <v>2872.597117412</v>
      </c>
      <c r="N810" s="775">
        <f>$H$21*$K$8*'Traffic Data'!AP86*annualizationFactor</f>
        <v>3101.7111923680009</v>
      </c>
      <c r="O810" s="775">
        <f>$H$21*$K$8*'Traffic Data'!AQ86*annualizationFactor</f>
        <v>3330.2616699479995</v>
      </c>
      <c r="P810" s="775">
        <f>$H$21*$K$8*'Traffic Data'!AR86*annualizationFactor</f>
        <v>3559.05872138</v>
      </c>
      <c r="Q810" s="775">
        <f>$H$21*$K$8*'Traffic Data'!AS86*annualizationFactor</f>
        <v>3767.6836833960001</v>
      </c>
      <c r="R810" s="775">
        <f>$H$21*$K$8*'Traffic Data'!AT86*annualizationFactor</f>
        <v>3976.1325212320003</v>
      </c>
      <c r="S810" s="775">
        <f>$H$21*$K$8*'Traffic Data'!AU86*annualizationFactor</f>
        <v>4184.7692248599997</v>
      </c>
      <c r="T810" s="775">
        <f>$H$21*$K$8*'Traffic Data'!AV86*annualizationFactor</f>
        <v>4393.3941868760003</v>
      </c>
      <c r="U810" s="775">
        <f>$H$21*$K$8*'Traffic Data'!AW86*annualizationFactor</f>
        <v>4602.7588704480004</v>
      </c>
      <c r="V810" s="775">
        <f>$H$21*$K$8*'Traffic Data'!AX86*annualizationFactor</f>
        <v>4754.6483632800009</v>
      </c>
      <c r="W810" s="775">
        <f>$H$21*$K$8*'Traffic Data'!AY86*annualizationFactor</f>
        <v>4884.6045248959999</v>
      </c>
      <c r="X810" s="775">
        <f>$H$21*$K$8*'Traffic Data'!AZ86*annualizationFactor</f>
        <v>5014.5606865119989</v>
      </c>
      <c r="Y810" s="775">
        <f>$H$21*$K$8*'Traffic Data'!BA86*annualizationFactor</f>
        <v>5144.5168481279998</v>
      </c>
      <c r="Z810" s="775">
        <f>$H$21*$K$8*'Traffic Data'!BB86*annualizationFactor</f>
        <v>5274.6139090879997</v>
      </c>
      <c r="AA810" s="775">
        <f>$H$21*$K$8*'Traffic Data'!BC86*annualizationFactor</f>
        <v>5404.5700707039987</v>
      </c>
      <c r="AB810" s="775">
        <f>$H$21*$K$8*'Traffic Data'!BD86*annualizationFactor</f>
        <v>5534.8432558439999</v>
      </c>
      <c r="AC810" s="775">
        <f>$H$21*$K$8*'Traffic Data'!BE86*annualizationFactor</f>
        <v>5664.7994174599989</v>
      </c>
      <c r="AD810" s="775">
        <f>$H$21*$K$8*'Traffic Data'!BF86*annualizationFactor</f>
        <v>5794.7555790759998</v>
      </c>
      <c r="AE810" s="775">
        <f>$H$21*$K$8*'Traffic Data'!BG86*annualizationFactor</f>
        <v>5924.8526400359988</v>
      </c>
      <c r="AF810" s="775">
        <f>$H$21*$K$8*'Traffic Data'!BH86*annualizationFactor</f>
        <v>6054.8088016519996</v>
      </c>
      <c r="AG810" s="775">
        <f>$H$21*$K$8*'Traffic Data'!BI86*annualizationFactor</f>
        <v>6184.7649632679995</v>
      </c>
      <c r="AH810" s="776">
        <f>$H$21*$K$8*'Traffic Data'!BJ86*annualizationFactor</f>
        <v>6315.038148407999</v>
      </c>
      <c r="AI810" s="24"/>
      <c r="AJ810" s="24"/>
      <c r="AK810" s="24"/>
      <c r="AL810" s="24"/>
      <c r="AM810" s="24"/>
    </row>
    <row r="811" spans="2:39" ht="21.95" customHeight="1" x14ac:dyDescent="0.2">
      <c r="B811" s="782" t="s">
        <v>357</v>
      </c>
      <c r="C811" s="277" t="s">
        <v>338</v>
      </c>
      <c r="D811" s="277" t="s">
        <v>323</v>
      </c>
      <c r="E811" s="116" t="s">
        <v>19</v>
      </c>
      <c r="F811" s="220" t="s">
        <v>40</v>
      </c>
      <c r="G811" s="970"/>
      <c r="H811" s="970"/>
      <c r="I811" s="775">
        <f>$H$21*$L$8*'Traffic Data'!AK87*annualizationFactor</f>
        <v>2480.7364363636366</v>
      </c>
      <c r="J811" s="775">
        <f>$H$21*$L$8*'Traffic Data'!AL87*annualizationFactor</f>
        <v>2514.7983258218183</v>
      </c>
      <c r="K811" s="775">
        <f>$H$21*$L$8*'Traffic Data'!AM87*annualizationFactor</f>
        <v>2573.6744705781816</v>
      </c>
      <c r="L811" s="775">
        <f>$H$21*$L$8*'Traffic Data'!AN87*annualizationFactor</f>
        <v>2654.5051327963643</v>
      </c>
      <c r="M811" s="775">
        <f>$H$21*$L$8*'Traffic Data'!AO87*annualizationFactor</f>
        <v>2735.3702496872729</v>
      </c>
      <c r="N811" s="775">
        <f>$H$21*$L$8*'Traffic Data'!AP87*annualizationFactor</f>
        <v>2816.3525124654543</v>
      </c>
      <c r="O811" s="775">
        <f>$H$21*$L$8*'Traffic Data'!AQ87*annualizationFactor</f>
        <v>2897.1831746836369</v>
      </c>
      <c r="P811" s="775">
        <f>$H$21*$L$8*'Traffic Data'!AR87*annualizationFactor</f>
        <v>2978.2963652181816</v>
      </c>
      <c r="Q811" s="775">
        <f>$H$21*$L$8*'Traffic Data'!AS87*annualizationFactor</f>
        <v>3034.5470639127275</v>
      </c>
      <c r="R811" s="775">
        <f>$H$21*$L$8*'Traffic Data'!AT87*annualizationFactor</f>
        <v>3090.804653541818</v>
      </c>
      <c r="S811" s="775">
        <f>$H$21*$L$8*'Traffic Data'!AU87*annualizationFactor</f>
        <v>3147.0691341054544</v>
      </c>
      <c r="T811" s="775">
        <f>$H$21*$L$8*'Traffic Data'!AV87*annualizationFactor</f>
        <v>3203.3198328000003</v>
      </c>
      <c r="U811" s="775">
        <f>$H$21*$L$8*'Traffic Data'!AW87*annualizationFactor</f>
        <v>3259.9702056981814</v>
      </c>
      <c r="V811" s="775">
        <f>$H$21*$L$8*'Traffic Data'!AX87*annualizationFactor</f>
        <v>3294.0320951563635</v>
      </c>
      <c r="W811" s="775">
        <f>$H$21*$L$8*'Traffic Data'!AY87*annualizationFactor</f>
        <v>3328.0939846145448</v>
      </c>
      <c r="X811" s="775">
        <f>$H$21*$L$8*'Traffic Data'!AZ87*annualizationFactor</f>
        <v>3362.1558740727273</v>
      </c>
      <c r="Y811" s="775">
        <f>$H$21*$L$8*'Traffic Data'!BA87*annualizationFactor</f>
        <v>3396.2177635309081</v>
      </c>
      <c r="Z811" s="775">
        <f>$H$21*$L$8*'Traffic Data'!BB87*annualizationFactor</f>
        <v>3430.513944763637</v>
      </c>
      <c r="AA811" s="775">
        <f>$H$21*$L$8*'Traffic Data'!BC87*annualizationFactor</f>
        <v>3464.5758342218182</v>
      </c>
      <c r="AB811" s="775">
        <f>$H$21*$L$8*'Traffic Data'!BD87*annualizationFactor</f>
        <v>3498.7686514363641</v>
      </c>
      <c r="AC811" s="775">
        <f>$H$21*$L$8*'Traffic Data'!BE87*annualizationFactor</f>
        <v>3532.8305408945448</v>
      </c>
      <c r="AD811" s="775">
        <f>$H$21*$L$8*'Traffic Data'!BF87*annualizationFactor</f>
        <v>3566.8924303527278</v>
      </c>
      <c r="AE811" s="775">
        <f>$H$21*$L$8*'Traffic Data'!BG87*annualizationFactor</f>
        <v>3601.188611585455</v>
      </c>
      <c r="AF811" s="775">
        <f>$H$21*$L$8*'Traffic Data'!BH87*annualizationFactor</f>
        <v>3635.2505010436371</v>
      </c>
      <c r="AG811" s="775">
        <f>$H$21*$L$8*'Traffic Data'!BI87*annualizationFactor</f>
        <v>3669.3123905018183</v>
      </c>
      <c r="AH811" s="776">
        <f>$H$21*$L$8*'Traffic Data'!BJ87*annualizationFactor</f>
        <v>3703.5052077163637</v>
      </c>
      <c r="AI811" s="24"/>
      <c r="AJ811" s="24"/>
      <c r="AK811" s="24"/>
      <c r="AL811" s="24"/>
      <c r="AM811" s="24"/>
    </row>
    <row r="812" spans="2:39" ht="21.95" customHeight="1" x14ac:dyDescent="0.2">
      <c r="B812" s="492" t="s">
        <v>338</v>
      </c>
      <c r="C812" s="116" t="s">
        <v>282</v>
      </c>
      <c r="D812" s="116" t="s">
        <v>357</v>
      </c>
      <c r="E812" s="220" t="s">
        <v>19</v>
      </c>
      <c r="F812" s="220" t="s">
        <v>40</v>
      </c>
      <c r="G812" s="775"/>
      <c r="H812" s="775"/>
      <c r="I812" s="775">
        <f>$H$21*$M$8*'Traffic Data'!AK88*annualizationFactor</f>
        <v>8909.2352272727276</v>
      </c>
      <c r="J812" s="775">
        <f>$H$21*$M$8*'Traffic Data'!AL88*annualizationFactor</f>
        <v>9166.0617511693217</v>
      </c>
      <c r="K812" s="775">
        <f>$H$21*$M$8*'Traffic Data'!AM88*annualizationFactor</f>
        <v>9444.0477087306826</v>
      </c>
      <c r="L812" s="775">
        <f>$H$21*$M$8*'Traffic Data'!AN88*annualizationFactor</f>
        <v>9812.8455009636364</v>
      </c>
      <c r="M812" s="775">
        <f>$H$21*$M$8*'Traffic Data'!AO88*annualizationFactor</f>
        <v>10181.705657843182</v>
      </c>
      <c r="N812" s="775">
        <f>$H$21*$M$8*'Traffic Data'!AP88*annualizationFactor</f>
        <v>10550.717271721591</v>
      </c>
      <c r="O812" s="775">
        <f>$H$21*$M$8*'Traffic Data'!AQ88*annualizationFactor</f>
        <v>10919.515063954548</v>
      </c>
      <c r="P812" s="775">
        <f>$H$21*$M$8*'Traffic Data'!AR88*annualizationFactor</f>
        <v>11288.410857775003</v>
      </c>
      <c r="Q812" s="775">
        <f>$H$21*$M$8*'Traffic Data'!AS88*annualizationFactor</f>
        <v>11694.333433200001</v>
      </c>
      <c r="R812" s="775">
        <f>$H$21*$M$8*'Traffic Data'!AT88*annualizationFactor</f>
        <v>12100.122370096593</v>
      </c>
      <c r="S812" s="775">
        <f>$H$21*$M$8*'Traffic Data'!AU88*annualizationFactor</f>
        <v>12506.044945521593</v>
      </c>
      <c r="T812" s="775">
        <f>$H$21*$M$8*'Traffic Data'!AV88*annualizationFactor</f>
        <v>12911.967520946593</v>
      </c>
      <c r="U812" s="775">
        <f>$H$21*$M$8*'Traffic Data'!AW88*annualizationFactor</f>
        <v>13318.121736487503</v>
      </c>
      <c r="V812" s="775">
        <f>$H$21*$M$8*'Traffic Data'!AX88*annualizationFactor</f>
        <v>13633.196840299999</v>
      </c>
      <c r="W812" s="775">
        <f>$H$21*$M$8*'Traffic Data'!AY88*annualizationFactor</f>
        <v>13890.023364196592</v>
      </c>
      <c r="X812" s="775">
        <f>$H$21*$M$8*'Traffic Data'!AZ88*annualizationFactor</f>
        <v>14146.849888093184</v>
      </c>
      <c r="Y812" s="775">
        <f>$H$21*$M$8*'Traffic Data'!BA88*annualizationFactor</f>
        <v>14403.676411989774</v>
      </c>
      <c r="Z812" s="775">
        <f>$H$21*$M$8*'Traffic Data'!BB88*annualizationFactor</f>
        <v>14660.476208180684</v>
      </c>
      <c r="AA812" s="775">
        <f>$H$21*$M$8*'Traffic Data'!BC88*annualizationFactor</f>
        <v>14917.302732077271</v>
      </c>
      <c r="AB812" s="775">
        <f>$H$21*$M$8*'Traffic Data'!BD88*annualizationFactor</f>
        <v>15174.102528268177</v>
      </c>
      <c r="AC812" s="775">
        <f>$H$21*$M$8*'Traffic Data'!BE88*annualizationFactor</f>
        <v>15430.929052164778</v>
      </c>
      <c r="AD812" s="775">
        <f>$H$21*$M$8*'Traffic Data'!BF88*annualizationFactor</f>
        <v>15687.755576061367</v>
      </c>
      <c r="AE812" s="775">
        <f>$H$21*$M$8*'Traffic Data'!BG88*annualizationFactor</f>
        <v>15944.555372252275</v>
      </c>
      <c r="AF812" s="775">
        <f>$H$21*$M$8*'Traffic Data'!BH88*annualizationFactor</f>
        <v>16201.381896148867</v>
      </c>
      <c r="AG812" s="775">
        <f>$H$21*$M$8*'Traffic Data'!BI88*annualizationFactor</f>
        <v>16458.208420045456</v>
      </c>
      <c r="AH812" s="776">
        <f>$H$21*$M$8*'Traffic Data'!BJ88*annualizationFactor</f>
        <v>16715.008216236369</v>
      </c>
      <c r="AI812" s="24"/>
      <c r="AJ812" s="24"/>
      <c r="AK812" s="24"/>
      <c r="AL812" s="24"/>
      <c r="AM812" s="24"/>
    </row>
    <row r="813" spans="2:39" ht="21.95" customHeight="1" x14ac:dyDescent="0.2">
      <c r="B813" s="492"/>
      <c r="C813" s="116" t="s">
        <v>357</v>
      </c>
      <c r="D813" s="116" t="s">
        <v>346</v>
      </c>
      <c r="E813" s="116" t="s">
        <v>19</v>
      </c>
      <c r="F813" s="116" t="s">
        <v>40</v>
      </c>
      <c r="G813" s="970"/>
      <c r="H813" s="970"/>
      <c r="I813" s="777">
        <f>$H$21*$M$8*'Traffic Data'!AK89*annualizationFactor</f>
        <v>1297.5111803030304</v>
      </c>
      <c r="J813" s="777">
        <f>$H$21*$M$8*'Traffic Data'!AL89*annualizationFactor</f>
        <v>1334.3365963018939</v>
      </c>
      <c r="K813" s="777">
        <f>$H$21*$M$8*'Traffic Data'!AM89*annualizationFactor</f>
        <v>1375.2030767267802</v>
      </c>
      <c r="L813" s="777">
        <f>$H$21*$M$8*'Traffic Data'!AN89*annualizationFactor</f>
        <v>1432.5633144054923</v>
      </c>
      <c r="M813" s="777">
        <f>$H$21*$M$8*'Traffic Data'!AO89*annualizationFactor</f>
        <v>1489.9337955935227</v>
      </c>
      <c r="N813" s="777">
        <f>$H$21*$M$8*'Traffic Data'!AP89*annualizationFactor</f>
        <v>1547.3162275424238</v>
      </c>
      <c r="O813" s="777">
        <f>$H$21*$M$8*'Traffic Data'!AQ89*annualizationFactor</f>
        <v>1604.6764652211366</v>
      </c>
      <c r="P813" s="777">
        <f>$H$21*$M$8*'Traffic Data'!AR89*annualizationFactor</f>
        <v>1662.0401174029544</v>
      </c>
      <c r="Q813" s="777">
        <f>$H$21*$M$8*'Traffic Data'!AS89*annualizationFactor</f>
        <v>1726.5144723031444</v>
      </c>
      <c r="R813" s="777">
        <f>$H$21*$M$8*'Traffic Data'!AT89*annualizationFactor</f>
        <v>1790.9666329331437</v>
      </c>
      <c r="S813" s="777">
        <f>$H$21*$M$8*'Traffic Data'!AU89*annualizationFactor</f>
        <v>1855.4409878333331</v>
      </c>
      <c r="T813" s="777">
        <f>$H$21*$M$8*'Traffic Data'!AV89*annualizationFactor</f>
        <v>1919.9153427335223</v>
      </c>
      <c r="U813" s="777">
        <f>$H$21*$M$8*'Traffic Data'!AW89*annualizationFactor</f>
        <v>1984.3999411430304</v>
      </c>
      <c r="V813" s="777">
        <f>$H$21*$M$8*'Traffic Data'!AX89*annualizationFactor</f>
        <v>2032.387367795606</v>
      </c>
      <c r="W813" s="777">
        <f>$H$21*$M$8*'Traffic Data'!AY89*annualizationFactor</f>
        <v>2069.2127837944695</v>
      </c>
      <c r="X813" s="777">
        <f>$H$21*$M$8*'Traffic Data'!AZ89*annualizationFactor</f>
        <v>2106.0381997933337</v>
      </c>
      <c r="Y813" s="777">
        <f>$H$21*$M$8*'Traffic Data'!BA89*annualizationFactor</f>
        <v>2142.8636157921969</v>
      </c>
      <c r="Z813" s="777">
        <f>$H$21*$M$8*'Traffic Data'!BB89*annualizationFactor</f>
        <v>2179.6702520239769</v>
      </c>
      <c r="AA813" s="777">
        <f>$H$21*$M$8*'Traffic Data'!BC89*annualizationFactor</f>
        <v>2216.4956680228411</v>
      </c>
      <c r="AB813" s="777">
        <f>$H$21*$M$8*'Traffic Data'!BD89*annualizationFactor</f>
        <v>2253.302304254621</v>
      </c>
      <c r="AC813" s="777">
        <f>$H$21*$M$8*'Traffic Data'!BE89*annualizationFactor</f>
        <v>2290.1277202534848</v>
      </c>
      <c r="AD813" s="777">
        <f>$H$21*$M$8*'Traffic Data'!BF89*annualizationFactor</f>
        <v>2326.9531362523485</v>
      </c>
      <c r="AE813" s="777">
        <f>$H$21*$M$8*'Traffic Data'!BG89*annualizationFactor</f>
        <v>2363.7597724841285</v>
      </c>
      <c r="AF813" s="777">
        <f>$H$21*$M$8*'Traffic Data'!BH89*annualizationFactor</f>
        <v>2400.5851884829922</v>
      </c>
      <c r="AG813" s="777">
        <f>$H$21*$M$8*'Traffic Data'!BI89*annualizationFactor</f>
        <v>2437.4106044818559</v>
      </c>
      <c r="AH813" s="778">
        <f>$H$21*$M$8*'Traffic Data'!BJ89*annualizationFactor</f>
        <v>2474.2172407136359</v>
      </c>
      <c r="AI813" s="24"/>
      <c r="AJ813" s="24"/>
      <c r="AK813" s="24"/>
      <c r="AL813" s="24"/>
      <c r="AM813" s="24"/>
    </row>
    <row r="814" spans="2:39" ht="21.95" customHeight="1" x14ac:dyDescent="0.2">
      <c r="B814" s="492"/>
      <c r="C814" s="116" t="s">
        <v>346</v>
      </c>
      <c r="D814" s="116" t="s">
        <v>343</v>
      </c>
      <c r="E814" s="116" t="s">
        <v>19</v>
      </c>
      <c r="F814" s="116" t="s">
        <v>40</v>
      </c>
      <c r="G814" s="970"/>
      <c r="H814" s="970"/>
      <c r="I814" s="777">
        <f>$H$21*$M$8*'Traffic Data'!AK90*annualizationFactor</f>
        <v>320.90136363636361</v>
      </c>
      <c r="J814" s="777">
        <f>$H$21*$M$8*'Traffic Data'!AL90*annualizationFactor</f>
        <v>330.00905102272731</v>
      </c>
      <c r="K814" s="777">
        <f>$H$21*$M$8*'Traffic Data'!AM90*annualizationFactor</f>
        <v>340.11617726136365</v>
      </c>
      <c r="L814" s="777">
        <f>$H$21*$M$8*'Traffic Data'!AN90*annualizationFactor</f>
        <v>354.30255096590906</v>
      </c>
      <c r="M814" s="777">
        <f>$H$21*$M$8*'Traffic Data'!AO90*annualizationFactor</f>
        <v>368.4914581022727</v>
      </c>
      <c r="N814" s="777">
        <f>$H$21*$M$8*'Traffic Data'!AP90*annualizationFactor</f>
        <v>382.68332090909092</v>
      </c>
      <c r="O814" s="777">
        <f>$H$21*$M$8*'Traffic Data'!AQ90*annualizationFactor</f>
        <v>396.8696946136364</v>
      </c>
      <c r="P814" s="777">
        <f>$H$21*$M$8*'Traffic Data'!AR90*annualizationFactor</f>
        <v>411.05691279545459</v>
      </c>
      <c r="Q814" s="777">
        <f>$H$21*$M$8*'Traffic Data'!AS90*annualizationFactor</f>
        <v>427.0027548977273</v>
      </c>
      <c r="R814" s="777">
        <f>$H$21*$M$8*'Traffic Data'!AT90*annualizationFactor</f>
        <v>442.94310789772715</v>
      </c>
      <c r="S814" s="777">
        <f>$H$21*$M$8*'Traffic Data'!AU90*annualizationFactor</f>
        <v>458.88894999999997</v>
      </c>
      <c r="T814" s="777">
        <f>$H$21*$M$8*'Traffic Data'!AV90*annualizationFactor</f>
        <v>474.83479210227267</v>
      </c>
      <c r="U814" s="777">
        <f>$H$21*$M$8*'Traffic Data'!AW90*annualizationFactor</f>
        <v>490.7831676363636</v>
      </c>
      <c r="V814" s="777">
        <f>$H$21*$M$8*'Traffic Data'!AX90*annualizationFactor</f>
        <v>502.65145122727262</v>
      </c>
      <c r="W814" s="777">
        <f>$H$21*$M$8*'Traffic Data'!AY90*annualizationFactor</f>
        <v>511.75913861363631</v>
      </c>
      <c r="X814" s="777">
        <f>$H$21*$M$8*'Traffic Data'!AZ90*annualizationFactor</f>
        <v>520.86682600000006</v>
      </c>
      <c r="Y814" s="777">
        <f>$H$21*$M$8*'Traffic Data'!BA90*annualizationFactor</f>
        <v>529.97451338636358</v>
      </c>
      <c r="Z814" s="777">
        <f>$H$21*$M$8*'Traffic Data'!BB90*annualizationFactor</f>
        <v>539.07755614772714</v>
      </c>
      <c r="AA814" s="777">
        <f>$H$21*$M$8*'Traffic Data'!BC90*annualizationFactor</f>
        <v>548.18524353409077</v>
      </c>
      <c r="AB814" s="777">
        <f>$H$21*$M$8*'Traffic Data'!BD90*annualizationFactor</f>
        <v>557.28828629545455</v>
      </c>
      <c r="AC814" s="777">
        <f>$H$21*$M$8*'Traffic Data'!BE90*annualizationFactor</f>
        <v>566.39597368181819</v>
      </c>
      <c r="AD814" s="777">
        <f>$H$21*$M$8*'Traffic Data'!BF90*annualizationFactor</f>
        <v>575.50366106818183</v>
      </c>
      <c r="AE814" s="777">
        <f>$H$21*$M$8*'Traffic Data'!BG90*annualizationFactor</f>
        <v>584.60670382954538</v>
      </c>
      <c r="AF814" s="777">
        <f>$H$21*$M$8*'Traffic Data'!BH90*annualizationFactor</f>
        <v>593.71439121590902</v>
      </c>
      <c r="AG814" s="777">
        <f>$H$21*$M$8*'Traffic Data'!BI90*annualizationFactor</f>
        <v>602.82207860227254</v>
      </c>
      <c r="AH814" s="778">
        <f>$H$21*$M$8*'Traffic Data'!BJ90*annualizationFactor</f>
        <v>611.92512136363632</v>
      </c>
      <c r="AI814" s="24"/>
      <c r="AJ814" s="24"/>
      <c r="AK814" s="24"/>
      <c r="AL814" s="24"/>
      <c r="AM814" s="24"/>
    </row>
    <row r="815" spans="2:39" ht="21.95" customHeight="1" x14ac:dyDescent="0.2">
      <c r="B815" s="492"/>
      <c r="C815" s="116" t="s">
        <v>343</v>
      </c>
      <c r="D815" s="116" t="s">
        <v>350</v>
      </c>
      <c r="E815" s="116" t="s">
        <v>19</v>
      </c>
      <c r="F815" s="116" t="s">
        <v>40</v>
      </c>
      <c r="G815" s="970"/>
      <c r="H815" s="970"/>
      <c r="I815" s="777">
        <f>$H$21*$M$8*'Traffic Data'!AK91*annualizationFactor</f>
        <v>823.36534090909095</v>
      </c>
      <c r="J815" s="777">
        <f>$H$21*$M$8*'Traffic Data'!AL91*annualizationFactor</f>
        <v>846.71323742613629</v>
      </c>
      <c r="K815" s="777">
        <f>$H$21*$M$8*'Traffic Data'!AM91*annualizationFactor</f>
        <v>873.31754386647731</v>
      </c>
      <c r="L815" s="777">
        <f>$H$21*$M$8*'Traffic Data'!AN91*annualizationFactor</f>
        <v>907.31155424147732</v>
      </c>
      <c r="M815" s="777">
        <f>$H$21*$M$8*'Traffic Data'!AO91*annualizationFactor</f>
        <v>941.31654282102272</v>
      </c>
      <c r="N815" s="777">
        <f>$H$21*$M$8*'Traffic Data'!AP91*annualizationFactor</f>
        <v>975.31604229829577</v>
      </c>
      <c r="O815" s="777">
        <f>$H$21*$M$8*'Traffic Data'!AQ91*annualizationFactor</f>
        <v>1009.3100526732957</v>
      </c>
      <c r="P815" s="777">
        <f>$H$21*$M$8*'Traffic Data'!AR91*annualizationFactor</f>
        <v>1043.3109244261366</v>
      </c>
      <c r="Q815" s="777">
        <f>$H$21*$M$8*'Traffic Data'!AS91*annualizationFactor</f>
        <v>1081.7401294374999</v>
      </c>
      <c r="R815" s="777">
        <f>$H$21*$M$8*'Traffic Data'!AT91*annualizationFactor</f>
        <v>1120.1679621732956</v>
      </c>
      <c r="S815" s="777">
        <f>$H$21*$M$8*'Traffic Data'!AU91*annualizationFactor</f>
        <v>1158.5916780823866</v>
      </c>
      <c r="T815" s="777">
        <f>$H$21*$M$8*'Traffic Data'!AV91*annualizationFactor</f>
        <v>1197.0208830937502</v>
      </c>
      <c r="U815" s="777">
        <f>$H$21*$M$8*'Traffic Data'!AW91*annualizationFactor</f>
        <v>1235.4569494829545</v>
      </c>
      <c r="V815" s="777">
        <f>$H$21*$M$8*'Traffic Data'!AX91*annualizationFactor</f>
        <v>1266.4950782840911</v>
      </c>
      <c r="W815" s="777">
        <f>$H$21*$M$8*'Traffic Data'!AY91*annualizationFactor</f>
        <v>1289.8429748011367</v>
      </c>
      <c r="X815" s="777">
        <f>$H$21*$M$8*'Traffic Data'!AZ91*annualizationFactor</f>
        <v>1313.1908713181822</v>
      </c>
      <c r="Y815" s="777">
        <f>$H$21*$M$8*'Traffic Data'!BA91*annualizationFactor</f>
        <v>1336.5387678352274</v>
      </c>
      <c r="Z815" s="777">
        <f>$H$21*$M$8*'Traffic Data'!BB91*annualizationFactor</f>
        <v>1359.8798029744321</v>
      </c>
      <c r="AA815" s="777">
        <f>$H$21*$M$8*'Traffic Data'!BC91*annualizationFactor</f>
        <v>1383.2276994914771</v>
      </c>
      <c r="AB815" s="777">
        <f>$H$21*$M$8*'Traffic Data'!BD91*annualizationFactor</f>
        <v>1406.5687346306815</v>
      </c>
      <c r="AC815" s="777">
        <f>$H$21*$M$8*'Traffic Data'!BE91*annualizationFactor</f>
        <v>1429.916631147727</v>
      </c>
      <c r="AD815" s="777">
        <f>$H$21*$M$8*'Traffic Data'!BF91*annualizationFactor</f>
        <v>1453.2645276647727</v>
      </c>
      <c r="AE815" s="777">
        <f>$H$21*$M$8*'Traffic Data'!BG91*annualizationFactor</f>
        <v>1476.6055628039769</v>
      </c>
      <c r="AF815" s="777">
        <f>$H$21*$M$8*'Traffic Data'!BH91*annualizationFactor</f>
        <v>1499.9534593210226</v>
      </c>
      <c r="AG815" s="777">
        <f>$H$21*$M$8*'Traffic Data'!BI91*annualizationFactor</f>
        <v>1523.3013558380678</v>
      </c>
      <c r="AH815" s="778">
        <f>$H$21*$M$8*'Traffic Data'!BJ91*annualizationFactor</f>
        <v>1546.6423909772725</v>
      </c>
      <c r="AI815" s="24"/>
      <c r="AJ815" s="24"/>
      <c r="AK815" s="24"/>
      <c r="AL815" s="24"/>
      <c r="AM815" s="24"/>
    </row>
    <row r="816" spans="2:39" ht="21.95" customHeight="1" x14ac:dyDescent="0.2">
      <c r="B816" s="492"/>
      <c r="C816" s="116" t="s">
        <v>350</v>
      </c>
      <c r="D816" s="116" t="s">
        <v>280</v>
      </c>
      <c r="E816" s="116" t="s">
        <v>19</v>
      </c>
      <c r="F816" s="116" t="s">
        <v>40</v>
      </c>
      <c r="G816" s="970"/>
      <c r="H816" s="970"/>
      <c r="I816" s="777">
        <f>$H$21*$M$8*'Traffic Data'!AK92*annualizationFactor</f>
        <v>6836.0435227272728</v>
      </c>
      <c r="J816" s="777">
        <f>$H$21*$M$8*'Traffic Data'!AL92*annualizationFactor</f>
        <v>7029.8909302200773</v>
      </c>
      <c r="K816" s="777">
        <f>$H$21*$M$8*'Traffic Data'!AM92*annualizationFactor</f>
        <v>7250.7748898452655</v>
      </c>
      <c r="L816" s="777">
        <f>$H$21*$M$8*'Traffic Data'!AN92*annualizationFactor</f>
        <v>7533.0123400869325</v>
      </c>
      <c r="M816" s="777">
        <f>$H$21*$M$8*'Traffic Data'!AO92*annualizationFactor</f>
        <v>7815.3409375755691</v>
      </c>
      <c r="N816" s="777">
        <f>$H$21*$M$8*'Traffic Data'!AP92*annualizationFactor</f>
        <v>8097.6239614407241</v>
      </c>
      <c r="O816" s="777">
        <f>$H$21*$M$8*'Traffic Data'!AQ92*annualizationFactor</f>
        <v>8379.8614116823883</v>
      </c>
      <c r="P816" s="777">
        <f>$H$21*$M$8*'Traffic Data'!AR92*annualizationFactor</f>
        <v>8662.1558289534114</v>
      </c>
      <c r="Q816" s="777">
        <f>$H$21*$M$8*'Traffic Data'!AS92*annualizationFactor</f>
        <v>8981.2167669708324</v>
      </c>
      <c r="R816" s="777">
        <f>$H$21*$M$8*'Traffic Data'!AT92*annualizationFactor</f>
        <v>9300.2663115823889</v>
      </c>
      <c r="S816" s="777">
        <f>$H$21*$M$8*'Traffic Data'!AU92*annualizationFactor</f>
        <v>9619.2816759763264</v>
      </c>
      <c r="T816" s="777">
        <f>$H$21*$M$8*'Traffic Data'!AV92*annualizationFactor</f>
        <v>9938.3426139937528</v>
      </c>
      <c r="U816" s="777">
        <f>$H$21*$M$8*'Traffic Data'!AW92*annualizationFactor</f>
        <v>10257.460519040531</v>
      </c>
      <c r="V816" s="777">
        <f>$H$21*$M$8*'Traffic Data'!AX92*annualizationFactor</f>
        <v>10515.156573035607</v>
      </c>
      <c r="W816" s="777">
        <f>$H$21*$M$8*'Traffic Data'!AY92*annualizationFactor</f>
        <v>10709.00398052841</v>
      </c>
      <c r="X816" s="777">
        <f>$H$21*$M$8*'Traffic Data'!AZ92*annualizationFactor</f>
        <v>10902.851388021214</v>
      </c>
      <c r="Y816" s="777">
        <f>$H$21*$M$8*'Traffic Data'!BA92*annualizationFactor</f>
        <v>11096.698795514018</v>
      </c>
      <c r="Z816" s="777">
        <f>$H$21*$M$8*'Traffic Data'!BB92*annualizationFactor</f>
        <v>11290.489235977466</v>
      </c>
      <c r="AA816" s="777">
        <f>$H$21*$M$8*'Traffic Data'!BC92*annualizationFactor</f>
        <v>11484.336643470264</v>
      </c>
      <c r="AB816" s="777">
        <f>$H$21*$M$8*'Traffic Data'!BD92*annualizationFactor</f>
        <v>11678.12708393371</v>
      </c>
      <c r="AC816" s="777">
        <f>$H$21*$M$8*'Traffic Data'!BE92*annualizationFactor</f>
        <v>11871.974491426514</v>
      </c>
      <c r="AD816" s="777">
        <f>$H$21*$M$8*'Traffic Data'!BF92*annualizationFactor</f>
        <v>12065.821898919317</v>
      </c>
      <c r="AE816" s="777">
        <f>$H$21*$M$8*'Traffic Data'!BG92*annualizationFactor</f>
        <v>12259.612339382762</v>
      </c>
      <c r="AF816" s="777">
        <f>$H$21*$M$8*'Traffic Data'!BH92*annualizationFactor</f>
        <v>12453.459746875569</v>
      </c>
      <c r="AG816" s="777">
        <f>$H$21*$M$8*'Traffic Data'!BI92*annualizationFactor</f>
        <v>12647.307154368367</v>
      </c>
      <c r="AH816" s="778">
        <f>$H$21*$M$8*'Traffic Data'!BJ92*annualizationFactor</f>
        <v>12841.097594831817</v>
      </c>
      <c r="AI816" s="24"/>
      <c r="AJ816" s="24"/>
      <c r="AK816" s="24"/>
      <c r="AL816" s="24"/>
      <c r="AM816" s="24"/>
    </row>
    <row r="817" spans="2:39" ht="21.95" customHeight="1" x14ac:dyDescent="0.2">
      <c r="B817" s="493"/>
      <c r="C817" s="254" t="s">
        <v>280</v>
      </c>
      <c r="D817" s="254" t="s">
        <v>333</v>
      </c>
      <c r="E817" s="254" t="s">
        <v>19</v>
      </c>
      <c r="F817" s="254" t="s">
        <v>40</v>
      </c>
      <c r="G817" s="779"/>
      <c r="H817" s="779"/>
      <c r="I817" s="779">
        <f>$H$21*$M$8*'Traffic Data'!AK93*annualizationFactor</f>
        <v>168.89545454545456</v>
      </c>
      <c r="J817" s="779">
        <f>$H$21*$M$8*'Traffic Data'!AL93*annualizationFactor</f>
        <v>173.68476665151519</v>
      </c>
      <c r="K817" s="779">
        <f>$H$21*$M$8*'Traffic Data'!AM93*annualizationFactor</f>
        <v>179.14206028030301</v>
      </c>
      <c r="L817" s="779">
        <f>$H$21*$M$8*'Traffic Data'!AN93*annualizationFactor</f>
        <v>186.1151906136364</v>
      </c>
      <c r="M817" s="779">
        <f>$H$21*$M$8*'Traffic Data'!AO93*annualizationFactor</f>
        <v>193.09057288636365</v>
      </c>
      <c r="N817" s="779">
        <f>$H$21*$M$8*'Traffic Data'!AP93*annualizationFactor</f>
        <v>200.064829189394</v>
      </c>
      <c r="O817" s="779">
        <f>$H$21*$M$8*'Traffic Data'!AQ93*annualizationFactor</f>
        <v>207.03795952272733</v>
      </c>
      <c r="P817" s="779">
        <f>$H$21*$M$8*'Traffic Data'!AR93*annualizationFactor</f>
        <v>214.01249731818186</v>
      </c>
      <c r="Q817" s="779">
        <f>$H$21*$M$8*'Traffic Data'!AS93*annualizationFactor</f>
        <v>221.89541116666669</v>
      </c>
      <c r="R817" s="779">
        <f>$H$21*$M$8*'Traffic Data'!AT93*annualizationFactor</f>
        <v>229.7780435227273</v>
      </c>
      <c r="S817" s="779">
        <f>$H$21*$M$8*'Traffic Data'!AU93*annualizationFactor</f>
        <v>237.65983140151513</v>
      </c>
      <c r="T817" s="779">
        <f>$H$21*$M$8*'Traffic Data'!AV93*annualizationFactor</f>
        <v>245.54274525000008</v>
      </c>
      <c r="U817" s="779">
        <f>$H$21*$M$8*'Traffic Data'!AW93*annualizationFactor</f>
        <v>253.42706656060608</v>
      </c>
      <c r="V817" s="779">
        <f>$H$21*$M$8*'Traffic Data'!AX93*annualizationFactor</f>
        <v>259.79386221212127</v>
      </c>
      <c r="W817" s="779">
        <f>$H$21*$M$8*'Traffic Data'!AY93*annualizationFactor</f>
        <v>264.58317431818188</v>
      </c>
      <c r="X817" s="779">
        <f>$H$21*$M$8*'Traffic Data'!AZ93*annualizationFactor</f>
        <v>269.37248642424254</v>
      </c>
      <c r="Y817" s="779">
        <f>$H$21*$M$8*'Traffic Data'!BA93*annualizationFactor</f>
        <v>274.16179853030309</v>
      </c>
      <c r="Z817" s="779">
        <f>$H$21*$M$8*'Traffic Data'!BB93*annualizationFactor</f>
        <v>278.94970317424247</v>
      </c>
      <c r="AA817" s="779">
        <f>$H$21*$M$8*'Traffic Data'!BC93*annualizationFactor</f>
        <v>283.73901528030297</v>
      </c>
      <c r="AB817" s="779">
        <f>$H$21*$M$8*'Traffic Data'!BD93*annualizationFactor</f>
        <v>288.52691992424235</v>
      </c>
      <c r="AC817" s="779">
        <f>$H$21*$M$8*'Traffic Data'!BE93*annualizationFactor</f>
        <v>293.31623203030296</v>
      </c>
      <c r="AD817" s="779">
        <f>$H$21*$M$8*'Traffic Data'!BF93*annualizationFactor</f>
        <v>298.10554413636362</v>
      </c>
      <c r="AE817" s="779">
        <f>$H$21*$M$8*'Traffic Data'!BG93*annualizationFactor</f>
        <v>302.893448780303</v>
      </c>
      <c r="AF817" s="779">
        <f>$H$21*$M$8*'Traffic Data'!BH93*annualizationFactor</f>
        <v>307.68276088636367</v>
      </c>
      <c r="AG817" s="779">
        <f>$H$21*$M$8*'Traffic Data'!BI93*annualizationFactor</f>
        <v>312.47207299242416</v>
      </c>
      <c r="AH817" s="783">
        <f>$H$21*$M$8*'Traffic Data'!BJ93*annualizationFactor</f>
        <v>317.2599776363636</v>
      </c>
      <c r="AI817" s="24"/>
      <c r="AJ817" s="24"/>
      <c r="AK817" s="24"/>
      <c r="AL817" s="24"/>
      <c r="AM817" s="24"/>
    </row>
    <row r="818" spans="2:39" ht="21.95" customHeight="1" x14ac:dyDescent="0.2">
      <c r="B818" s="1109" t="s">
        <v>496</v>
      </c>
      <c r="C818" s="240"/>
      <c r="D818" s="240"/>
      <c r="E818" s="240"/>
      <c r="F818" s="240"/>
      <c r="G818" s="969">
        <f>SUM(G789:G817)</f>
        <v>0</v>
      </c>
      <c r="H818" s="969">
        <f>SUM(H789:H817)</f>
        <v>0</v>
      </c>
      <c r="I818" s="785">
        <f t="shared" ref="I818:AH818" si="70">SUM(I789:I817)</f>
        <v>265055.34408075758</v>
      </c>
      <c r="J818" s="785">
        <f t="shared" si="70"/>
        <v>275024.18403972994</v>
      </c>
      <c r="K818" s="785">
        <f t="shared" si="70"/>
        <v>288547.70294426696</v>
      </c>
      <c r="L818" s="785">
        <f t="shared" si="70"/>
        <v>309246.77294725244</v>
      </c>
      <c r="M818" s="785">
        <f t="shared" si="70"/>
        <v>329955.13558659161</v>
      </c>
      <c r="N818" s="785">
        <f t="shared" si="70"/>
        <v>350663.57437892101</v>
      </c>
      <c r="O818" s="785">
        <f t="shared" si="70"/>
        <v>371362.64438190643</v>
      </c>
      <c r="P818" s="785">
        <f t="shared" si="70"/>
        <v>392080.27164741443</v>
      </c>
      <c r="Q818" s="785">
        <f t="shared" si="70"/>
        <v>410969.41838813009</v>
      </c>
      <c r="R818" s="785">
        <f t="shared" si="70"/>
        <v>429788.16735363367</v>
      </c>
      <c r="S818" s="785">
        <f t="shared" si="70"/>
        <v>448603.01957812911</v>
      </c>
      <c r="T818" s="785">
        <f t="shared" si="70"/>
        <v>467417.78840880486</v>
      </c>
      <c r="U818" s="785">
        <f t="shared" si="70"/>
        <v>486251.07736583368</v>
      </c>
      <c r="V818" s="785">
        <f t="shared" si="70"/>
        <v>497958.23507706216</v>
      </c>
      <c r="W818" s="785">
        <f t="shared" si="70"/>
        <v>505761.93723311502</v>
      </c>
      <c r="X818" s="785">
        <f t="shared" si="70"/>
        <v>513806.00249320641</v>
      </c>
      <c r="Y818" s="785">
        <f t="shared" si="70"/>
        <v>521850.06775329792</v>
      </c>
      <c r="Z818" s="785">
        <f t="shared" si="70"/>
        <v>529899.04460169456</v>
      </c>
      <c r="AA818" s="785">
        <f t="shared" si="70"/>
        <v>538249.50768232218</v>
      </c>
      <c r="AB818" s="785">
        <f t="shared" si="70"/>
        <v>546646.13048853411</v>
      </c>
      <c r="AC818" s="785">
        <f t="shared" si="70"/>
        <v>555038.01289916527</v>
      </c>
      <c r="AD818" s="785">
        <f t="shared" si="70"/>
        <v>563429.89530979632</v>
      </c>
      <c r="AE818" s="785">
        <f t="shared" si="70"/>
        <v>571826.77047959645</v>
      </c>
      <c r="AF818" s="785">
        <f t="shared" si="70"/>
        <v>580218.65289022785</v>
      </c>
      <c r="AG818" s="785">
        <f t="shared" si="70"/>
        <v>588610.53530085867</v>
      </c>
      <c r="AH818" s="786">
        <f t="shared" si="70"/>
        <v>597007.1581070706</v>
      </c>
      <c r="AI818" s="24"/>
      <c r="AJ818" s="24"/>
      <c r="AK818" s="24"/>
      <c r="AL818" s="24"/>
      <c r="AM818" s="24"/>
    </row>
    <row r="819" spans="2:39" ht="21.95" customHeight="1" x14ac:dyDescent="0.2">
      <c r="B819" s="787" t="s">
        <v>328</v>
      </c>
      <c r="C819" s="1344" t="s">
        <v>18</v>
      </c>
      <c r="D819" s="1344"/>
      <c r="E819" s="46" t="s">
        <v>24</v>
      </c>
      <c r="F819" s="46" t="s">
        <v>42</v>
      </c>
      <c r="G819" s="123" cm="1">
        <f t="array" ref="G819:AH819">year</f>
        <v>2021</v>
      </c>
      <c r="H819" s="123">
        <v>2022</v>
      </c>
      <c r="I819" s="46">
        <v>2023</v>
      </c>
      <c r="J819" s="46">
        <v>2024</v>
      </c>
      <c r="K819" s="46">
        <v>2025</v>
      </c>
      <c r="L819" s="46">
        <v>2026</v>
      </c>
      <c r="M819" s="46">
        <v>2027</v>
      </c>
      <c r="N819" s="46">
        <v>2028</v>
      </c>
      <c r="O819" s="46">
        <v>2029</v>
      </c>
      <c r="P819" s="46">
        <v>2030</v>
      </c>
      <c r="Q819" s="46">
        <v>2031</v>
      </c>
      <c r="R819" s="46">
        <v>2032</v>
      </c>
      <c r="S819" s="46">
        <v>2033</v>
      </c>
      <c r="T819" s="46">
        <v>2034</v>
      </c>
      <c r="U819" s="46">
        <v>2035</v>
      </c>
      <c r="V819" s="46">
        <v>2036</v>
      </c>
      <c r="W819" s="46">
        <v>2037</v>
      </c>
      <c r="X819" s="46">
        <v>2038</v>
      </c>
      <c r="Y819" s="46">
        <v>2039</v>
      </c>
      <c r="Z819" s="46">
        <v>2040</v>
      </c>
      <c r="AA819" s="46">
        <v>2041</v>
      </c>
      <c r="AB819" s="46">
        <v>2042</v>
      </c>
      <c r="AC819" s="46">
        <v>2043</v>
      </c>
      <c r="AD819" s="46">
        <v>2044</v>
      </c>
      <c r="AE819" s="46">
        <v>2045</v>
      </c>
      <c r="AF819" s="46">
        <v>2046</v>
      </c>
      <c r="AG819" s="46">
        <v>2047</v>
      </c>
      <c r="AH819" s="495">
        <v>2048</v>
      </c>
      <c r="AI819" s="24"/>
      <c r="AJ819" s="24"/>
      <c r="AK819" s="24"/>
      <c r="AL819" s="24"/>
      <c r="AM819" s="24"/>
    </row>
    <row r="820" spans="2:39" ht="21.95" customHeight="1" x14ac:dyDescent="0.2">
      <c r="B820" s="1346" t="s">
        <v>331</v>
      </c>
      <c r="C820" s="220" t="s">
        <v>332</v>
      </c>
      <c r="D820" s="220" t="s">
        <v>282</v>
      </c>
      <c r="E820" s="220" t="s">
        <v>467</v>
      </c>
      <c r="F820" s="220" t="s">
        <v>40</v>
      </c>
      <c r="G820" s="775"/>
      <c r="H820" s="775"/>
      <c r="I820" s="775">
        <f>$H$22*$E$9*'Traffic Data'!AK65*annualizationFactor</f>
        <v>3845.795928</v>
      </c>
      <c r="J820" s="775">
        <f>$H$22*$E$9*'Traffic Data'!AL65*annualizationFactor</f>
        <v>4020.6714797135251</v>
      </c>
      <c r="K820" s="775">
        <f>$H$22*$E$9*'Traffic Data'!AM65*annualizationFactor</f>
        <v>4267.0547994633007</v>
      </c>
      <c r="L820" s="775">
        <f>$H$22*$E$9*'Traffic Data'!AN65*annualizationFactor</f>
        <v>4629.4729932281998</v>
      </c>
      <c r="M820" s="775">
        <f>$H$22*$E$9*'Traffic Data'!AO65*annualizationFactor</f>
        <v>4992.0233862281248</v>
      </c>
      <c r="N820" s="775">
        <f>$H$22*$E$9*'Traffic Data'!AP65*annualizationFactor</f>
        <v>5354.5737792280497</v>
      </c>
      <c r="O820" s="775">
        <f>$H$22*$E$9*'Traffic Data'!AQ65*annualizationFactor</f>
        <v>5716.9919729929488</v>
      </c>
      <c r="P820" s="775">
        <f>$H$22*$E$9*'Traffic Data'!AR65*annualizationFactor</f>
        <v>6079.6745652278987</v>
      </c>
      <c r="Q820" s="775">
        <f>$H$22*$E$9*'Traffic Data'!AS65*annualizationFactor</f>
        <v>6438.0666913806745</v>
      </c>
      <c r="R820" s="775">
        <f>$H$22*$E$9*'Traffic Data'!AT65*annualizationFactor</f>
        <v>6796.5309262071005</v>
      </c>
      <c r="S820" s="775">
        <f>$H$22*$E$9*'Traffic Data'!AU65*annualizationFactor</f>
        <v>7154.9230523598762</v>
      </c>
      <c r="T820" s="775">
        <f>$H$22*$E$9*'Traffic Data'!AV65*annualizationFactor</f>
        <v>7513.3151785126493</v>
      </c>
      <c r="U820" s="775">
        <f>$H$22*$E$9*'Traffic Data'!AW65*annualizationFactor</f>
        <v>7871.9717031354749</v>
      </c>
      <c r="V820" s="775">
        <f>$H$22*$E$9*'Traffic Data'!AX65*annualizationFactor</f>
        <v>8114.1967560380999</v>
      </c>
      <c r="W820" s="775">
        <f>$H$22*$E$9*'Traffic Data'!AY65*annualizationFactor</f>
        <v>8289.072307751625</v>
      </c>
      <c r="X820" s="775">
        <f>$H$22*$E$9*'Traffic Data'!AZ65*annualizationFactor</f>
        <v>8463.9478594651482</v>
      </c>
      <c r="Y820" s="775">
        <f>$H$22*$E$9*'Traffic Data'!BA65*annualizationFactor</f>
        <v>8638.8234111786733</v>
      </c>
      <c r="Z820" s="775">
        <f>$H$22*$E$9*'Traffic Data'!BB65*annualizationFactor</f>
        <v>8813.7590534535757</v>
      </c>
      <c r="AA820" s="775">
        <f>$H$22*$E$9*'Traffic Data'!BC65*annualizationFactor</f>
        <v>8988.6346051671007</v>
      </c>
      <c r="AB820" s="775">
        <f>$H$22*$E$9*'Traffic Data'!BD65*annualizationFactor</f>
        <v>9163.5702474419977</v>
      </c>
      <c r="AC820" s="775">
        <f>$H$22*$E$9*'Traffic Data'!BE65*annualizationFactor</f>
        <v>9338.4457991555264</v>
      </c>
      <c r="AD820" s="775">
        <f>$H$22*$E$9*'Traffic Data'!BF65*annualizationFactor</f>
        <v>9513.3213508690496</v>
      </c>
      <c r="AE820" s="775">
        <f>$H$22*$E$9*'Traffic Data'!BG65*annualizationFactor</f>
        <v>9688.2569931439484</v>
      </c>
      <c r="AF820" s="775">
        <f>$H$22*$E$9*'Traffic Data'!BH65*annualizationFactor</f>
        <v>9863.1325448574735</v>
      </c>
      <c r="AG820" s="775">
        <f>$H$22*$E$9*'Traffic Data'!BI65*annualizationFactor</f>
        <v>10038.008096571</v>
      </c>
      <c r="AH820" s="776">
        <f>$H$22*$E$9*'Traffic Data'!BJ65*annualizationFactor</f>
        <v>10212.943738845899</v>
      </c>
      <c r="AI820" s="24"/>
      <c r="AJ820" s="24"/>
      <c r="AK820" s="24"/>
      <c r="AL820" s="24"/>
      <c r="AM820" s="24"/>
    </row>
    <row r="821" spans="2:39" ht="21.95" customHeight="1" x14ac:dyDescent="0.2">
      <c r="B821" s="1346"/>
      <c r="C821" s="116" t="s">
        <v>282</v>
      </c>
      <c r="D821" s="116" t="s">
        <v>280</v>
      </c>
      <c r="E821" s="116" t="s">
        <v>467</v>
      </c>
      <c r="F821" s="116" t="s">
        <v>40</v>
      </c>
      <c r="G821" s="970"/>
      <c r="H821" s="970"/>
      <c r="I821" s="777">
        <f>$H$22*$E$9*'Traffic Data'!AK66*annualizationFactor</f>
        <v>123662.92513397729</v>
      </c>
      <c r="J821" s="777">
        <f>$H$22*$E$9*'Traffic Data'!AL66*annualizationFactor</f>
        <v>130190.49553771593</v>
      </c>
      <c r="K821" s="777">
        <f>$H$22*$E$9*'Traffic Data'!AM66*annualizationFactor</f>
        <v>139989.17931666528</v>
      </c>
      <c r="L821" s="777">
        <f>$H$22*$E$9*'Traffic Data'!AN66*annualizationFactor</f>
        <v>156178.03024920434</v>
      </c>
      <c r="M821" s="777">
        <f>$H$22*$E$9*'Traffic Data'!AO66*annualizationFactor</f>
        <v>172374.20935508475</v>
      </c>
      <c r="N821" s="777">
        <f>$H$22*$E$9*'Traffic Data'!AP66*annualizationFactor</f>
        <v>188569.47243929745</v>
      </c>
      <c r="O821" s="777">
        <f>$H$22*$E$9*'Traffic Data'!AQ66*annualizationFactor</f>
        <v>204758.32337183662</v>
      </c>
      <c r="P821" s="777">
        <f>$H$22*$E$9*'Traffic Data'!AR66*annualizationFactor</f>
        <v>220961.83065105823</v>
      </c>
      <c r="Q821" s="777">
        <f>$H$22*$E$9*'Traffic Data'!AS66*annualizationFactor</f>
        <v>237309.15333210235</v>
      </c>
      <c r="R821" s="777">
        <f>$H$22*$E$9*'Traffic Data'!AT66*annualizationFactor</f>
        <v>253661.97214315244</v>
      </c>
      <c r="S821" s="777">
        <f>$H$22*$E$9*'Traffic Data'!AU66*annualizationFactor</f>
        <v>270009.29482419655</v>
      </c>
      <c r="T821" s="777">
        <f>$H$22*$E$9*'Traffic Data'!AV66*annualizationFactor</f>
        <v>286356.61750524072</v>
      </c>
      <c r="U821" s="777">
        <f>$H$22*$E$9*'Traffic Data'!AW66*annualizationFactor</f>
        <v>302718.59653296741</v>
      </c>
      <c r="V821" s="777">
        <f>$H$22*$E$9*'Traffic Data'!AX66*annualizationFactor</f>
        <v>312668.42388708051</v>
      </c>
      <c r="W821" s="777">
        <f>$H$22*$E$9*'Traffic Data'!AY66*annualizationFactor</f>
        <v>319195.9942908191</v>
      </c>
      <c r="X821" s="777">
        <f>$H$22*$E$9*'Traffic Data'!AZ66*annualizationFactor</f>
        <v>325723.5646945578</v>
      </c>
      <c r="Y821" s="777">
        <f>$H$22*$E$9*'Traffic Data'!BA66*annualizationFactor</f>
        <v>332251.13509829663</v>
      </c>
      <c r="Z821" s="777">
        <f>$H$22*$E$9*'Traffic Data'!BB66*annualizationFactor</f>
        <v>338782.36958870583</v>
      </c>
      <c r="AA821" s="777">
        <f>$H$22*$E$9*'Traffic Data'!BC66*annualizationFactor</f>
        <v>345309.93999244442</v>
      </c>
      <c r="AB821" s="777">
        <f>$H$22*$E$9*'Traffic Data'!BD66*annualizationFactor</f>
        <v>351841.17448285385</v>
      </c>
      <c r="AC821" s="777">
        <f>$H$22*$E$9*'Traffic Data'!BE66*annualizationFactor</f>
        <v>358368.74488659255</v>
      </c>
      <c r="AD821" s="777">
        <f>$H$22*$E$9*'Traffic Data'!BF66*annualizationFactor</f>
        <v>364896.3152903312</v>
      </c>
      <c r="AE821" s="777">
        <f>$H$22*$E$9*'Traffic Data'!BG66*annualizationFactor</f>
        <v>371427.54978074058</v>
      </c>
      <c r="AF821" s="777">
        <f>$H$22*$E$9*'Traffic Data'!BH66*annualizationFactor</f>
        <v>377955.12018447916</v>
      </c>
      <c r="AG821" s="777">
        <f>$H$22*$E$9*'Traffic Data'!BI66*annualizationFactor</f>
        <v>384482.69058821787</v>
      </c>
      <c r="AH821" s="778">
        <f>$H$22*$E$9*'Traffic Data'!BJ66*annualizationFactor</f>
        <v>391013.92507862719</v>
      </c>
      <c r="AI821" s="24"/>
      <c r="AJ821" s="24"/>
      <c r="AK821" s="24"/>
      <c r="AL821" s="24"/>
      <c r="AM821" s="24"/>
    </row>
    <row r="822" spans="2:39" ht="21.95" customHeight="1" x14ac:dyDescent="0.2">
      <c r="B822" s="1346"/>
      <c r="C822" s="116" t="s">
        <v>280</v>
      </c>
      <c r="D822" s="116" t="s">
        <v>333</v>
      </c>
      <c r="E822" s="254" t="s">
        <v>467</v>
      </c>
      <c r="F822" s="116" t="s">
        <v>40</v>
      </c>
      <c r="G822" s="779"/>
      <c r="H822" s="779"/>
      <c r="I822" s="777">
        <f>$H$22*$E$9*'Traffic Data'!AK67*annualizationFactor</f>
        <v>2884.3469460000001</v>
      </c>
      <c r="J822" s="777">
        <f>$H$22*$E$9*'Traffic Data'!AL67*annualizationFactor</f>
        <v>3004.7924672200497</v>
      </c>
      <c r="K822" s="777">
        <f>$H$22*$E$9*'Traffic Data'!AM67*annualizationFactor</f>
        <v>3153.8651318791494</v>
      </c>
      <c r="L822" s="777">
        <f>$H$22*$E$9*'Traffic Data'!AN67*annualizationFactor</f>
        <v>3354.5676068716498</v>
      </c>
      <c r="M822" s="777">
        <f>$H$22*$E$9*'Traffic Data'!AO67*annualizationFactor</f>
        <v>3555.3421905378004</v>
      </c>
      <c r="N822" s="777">
        <f>$H$22*$E$9*'Traffic Data'!AP67*annualizationFactor</f>
        <v>3756.0927379794007</v>
      </c>
      <c r="O822" s="777">
        <f>$H$22*$E$9*'Traffic Data'!AQ67*annualizationFactor</f>
        <v>3956.7952129719006</v>
      </c>
      <c r="P822" s="777">
        <f>$H$22*$E$9*'Traffic Data'!AR67*annualizationFactor</f>
        <v>4157.6419053117015</v>
      </c>
      <c r="Q822" s="777">
        <f>$H$22*$E$9*'Traffic Data'!AS67*annualizationFactor</f>
        <v>4352.2391792685003</v>
      </c>
      <c r="R822" s="777">
        <f>$H$22*$E$9*'Traffic Data'!AT67*annualizationFactor</f>
        <v>4546.9085618989484</v>
      </c>
      <c r="S822" s="777">
        <f>$H$22*$E$9*'Traffic Data'!AU67*annualizationFactor</f>
        <v>4741.5058358557499</v>
      </c>
      <c r="T822" s="777">
        <f>$H$22*$E$9*'Traffic Data'!AV67*annualizationFactor</f>
        <v>4936.1031098125495</v>
      </c>
      <c r="U822" s="777">
        <f>$H$22*$E$9*'Traffic Data'!AW67*annualizationFactor</f>
        <v>5130.8446011166507</v>
      </c>
      <c r="V822" s="777">
        <f>$H$22*$E$9*'Traffic Data'!AX67*annualizationFactor</f>
        <v>5273.7399560663989</v>
      </c>
      <c r="W822" s="777">
        <f>$H$22*$E$9*'Traffic Data'!AY67*annualizationFactor</f>
        <v>5394.1854772864499</v>
      </c>
      <c r="X822" s="777">
        <f>$H$22*$E$9*'Traffic Data'!AZ67*annualizationFactor</f>
        <v>5514.6309985064991</v>
      </c>
      <c r="Y822" s="777">
        <f>$H$22*$E$9*'Traffic Data'!BA67*annualizationFactor</f>
        <v>5635.07651972655</v>
      </c>
      <c r="Z822" s="777">
        <f>$H$22*$E$9*'Traffic Data'!BB67*annualizationFactor</f>
        <v>5755.5701133957</v>
      </c>
      <c r="AA822" s="777">
        <f>$H$22*$E$9*'Traffic Data'!BC67*annualizationFactor</f>
        <v>5876.0156346157491</v>
      </c>
      <c r="AB822" s="777">
        <f>$H$22*$E$9*'Traffic Data'!BD67*annualizationFactor</f>
        <v>5996.5092282849</v>
      </c>
      <c r="AC822" s="777">
        <f>$H$22*$E$9*'Traffic Data'!BE67*annualizationFactor</f>
        <v>6116.9547495049519</v>
      </c>
      <c r="AD822" s="777">
        <f>$H$22*$E$9*'Traffic Data'!BF67*annualizationFactor</f>
        <v>6237.4002707249992</v>
      </c>
      <c r="AE822" s="777">
        <f>$H$22*$E$9*'Traffic Data'!BG67*annualizationFactor</f>
        <v>6357.8938643941501</v>
      </c>
      <c r="AF822" s="777">
        <f>$H$22*$E$9*'Traffic Data'!BH67*annualizationFactor</f>
        <v>6478.3393856142002</v>
      </c>
      <c r="AG822" s="777">
        <f>$H$22*$E$9*'Traffic Data'!BI67*annualizationFactor</f>
        <v>6598.7849068342493</v>
      </c>
      <c r="AH822" s="778">
        <f>$H$22*$E$9*'Traffic Data'!BJ67*annualizationFactor</f>
        <v>6719.2785005034002</v>
      </c>
      <c r="AI822" s="24"/>
      <c r="AJ822" s="24"/>
      <c r="AK822" s="24"/>
      <c r="AL822" s="24"/>
      <c r="AM822" s="24"/>
    </row>
    <row r="823" spans="2:39" ht="21.95" customHeight="1" x14ac:dyDescent="0.2">
      <c r="B823" s="1346" t="s">
        <v>280</v>
      </c>
      <c r="C823" s="220" t="s">
        <v>281</v>
      </c>
      <c r="D823" s="220" t="s">
        <v>335</v>
      </c>
      <c r="E823" s="116" t="s">
        <v>467</v>
      </c>
      <c r="F823" s="220" t="s">
        <v>40</v>
      </c>
      <c r="G823" s="970"/>
      <c r="H823" s="970"/>
      <c r="I823" s="775">
        <f>$H$22*$F$9*'Traffic Data'!AK68*annualizationFactor</f>
        <v>26884.241440000002</v>
      </c>
      <c r="J823" s="775">
        <f>$H$22*$F$9*'Traffic Data'!AL68*annualizationFactor</f>
        <v>29603.716882863198</v>
      </c>
      <c r="K823" s="775">
        <f>$H$22*$F$9*'Traffic Data'!AM68*annualizationFactor</f>
        <v>35683.722505726393</v>
      </c>
      <c r="L823" s="775">
        <f>$H$22*$F$9*'Traffic Data'!AN68*annualizationFactor</f>
        <v>47895.889179846403</v>
      </c>
      <c r="M823" s="775">
        <f>$H$22*$F$9*'Traffic Data'!AO68*annualizationFactor</f>
        <v>60115.583441569594</v>
      </c>
      <c r="N823" s="775">
        <f>$H$22*$F$9*'Traffic Data'!AP68*annualizationFactor</f>
        <v>72333.933491220785</v>
      </c>
      <c r="O823" s="775">
        <f>$H$22*$F$9*'Traffic Data'!AQ68*annualizationFactor</f>
        <v>84546.100165340787</v>
      </c>
      <c r="P823" s="775">
        <f>$H$22*$F$9*'Traffic Data'!AR68*annualizationFactor</f>
        <v>96773.322014667196</v>
      </c>
      <c r="Q823" s="775">
        <f>$H$22*$F$9*'Traffic Data'!AS68*annualizationFactor</f>
        <v>108771.22128451038</v>
      </c>
      <c r="R823" s="775">
        <f>$H$22*$F$9*'Traffic Data'!AT68*annualizationFactor</f>
        <v>120775.16950867756</v>
      </c>
      <c r="S823" s="775">
        <f>$H$22*$F$9*'Traffic Data'!AU68*annualizationFactor</f>
        <v>132773.06877852077</v>
      </c>
      <c r="T823" s="775">
        <f>$H$22*$F$9*'Traffic Data'!AV68*annualizationFactor</f>
        <v>144770.96804836398</v>
      </c>
      <c r="U823" s="775">
        <f>$H$22*$F$9*'Traffic Data'!AW68*annualizationFactor</f>
        <v>156783.92249341361</v>
      </c>
      <c r="V823" s="775">
        <f>$H$22*$F$9*'Traffic Data'!AX68*annualizationFactor</f>
        <v>162642.13312439676</v>
      </c>
      <c r="W823" s="775">
        <f>$H$22*$F$9*'Traffic Data'!AY68*annualizationFactor</f>
        <v>165361.60856725997</v>
      </c>
      <c r="X823" s="775">
        <f>$H$22*$F$9*'Traffic Data'!AZ68*annualizationFactor</f>
        <v>168081.08401012316</v>
      </c>
      <c r="Y823" s="775">
        <f>$H$22*$F$9*'Traffic Data'!BA68*annualizationFactor</f>
        <v>170800.55945298634</v>
      </c>
      <c r="Z823" s="775">
        <f>$H$22*$F$9*'Traffic Data'!BB68*annualizationFactor</f>
        <v>173524.2019532728</v>
      </c>
      <c r="AA823" s="775">
        <f>$H$22*$F$9*'Traffic Data'!BC68*annualizationFactor</f>
        <v>176243.67739613599</v>
      </c>
      <c r="AB823" s="775">
        <f>$H$22*$F$9*'Traffic Data'!BD68*annualizationFactor</f>
        <v>178967.31989642236</v>
      </c>
      <c r="AC823" s="775">
        <f>$H$22*$F$9*'Traffic Data'!BE68*annualizationFactor</f>
        <v>181686.79533928554</v>
      </c>
      <c r="AD823" s="775">
        <f>$H$22*$F$9*'Traffic Data'!BF68*annualizationFactor</f>
        <v>184406.27078214876</v>
      </c>
      <c r="AE823" s="775">
        <f>$H$22*$F$9*'Traffic Data'!BG68*annualizationFactor</f>
        <v>187129.91328243521</v>
      </c>
      <c r="AF823" s="775">
        <f>$H$22*$F$9*'Traffic Data'!BH68*annualizationFactor</f>
        <v>189849.38872529837</v>
      </c>
      <c r="AG823" s="775">
        <f>$H$22*$F$9*'Traffic Data'!BI68*annualizationFactor</f>
        <v>192568.86416816156</v>
      </c>
      <c r="AH823" s="776">
        <f>$H$22*$F$9*'Traffic Data'!BJ68*annualizationFactor</f>
        <v>195292.50666844792</v>
      </c>
      <c r="AI823" s="24"/>
      <c r="AJ823" s="24"/>
      <c r="AK823" s="24"/>
      <c r="AL823" s="24"/>
      <c r="AM823" s="24"/>
    </row>
    <row r="824" spans="2:39" ht="21.95" customHeight="1" x14ac:dyDescent="0.2">
      <c r="B824" s="1346"/>
      <c r="C824" s="116" t="s">
        <v>335</v>
      </c>
      <c r="D824" s="116" t="s">
        <v>323</v>
      </c>
      <c r="E824" s="116" t="s">
        <v>467</v>
      </c>
      <c r="F824" s="116" t="s">
        <v>40</v>
      </c>
      <c r="G824" s="970"/>
      <c r="H824" s="970"/>
      <c r="I824" s="777">
        <f>$H$22*$F$9*'Traffic Data'!AK69*annualizationFactor</f>
        <v>3114.0048000000002</v>
      </c>
      <c r="J824" s="777">
        <f>$H$22*$F$9*'Traffic Data'!AL69*annualizationFactor</f>
        <v>3409.6536057199996</v>
      </c>
      <c r="K824" s="777">
        <f>$H$22*$F$9*'Traffic Data'!AM69*annualizationFactor</f>
        <v>3829.0581522000002</v>
      </c>
      <c r="L824" s="777">
        <f>$H$22*$F$9*'Traffic Data'!AN69*annualizationFactor</f>
        <v>4512.426505559999</v>
      </c>
      <c r="M824" s="777">
        <f>$H$22*$F$9*'Traffic Data'!AO69*annualizationFactor</f>
        <v>5196.0024592399996</v>
      </c>
      <c r="N824" s="777">
        <f>$H$22*$F$9*'Traffic Data'!AP69*annualizationFactor</f>
        <v>5879.6432880200009</v>
      </c>
      <c r="O824" s="777">
        <f>$H$22*$F$9*'Traffic Data'!AQ69*annualizationFactor</f>
        <v>6563.0116413800015</v>
      </c>
      <c r="P824" s="777">
        <f>$H$22*$F$9*'Traffic Data'!AR69*annualizationFactor</f>
        <v>7247.1195708799996</v>
      </c>
      <c r="Q824" s="777">
        <f>$H$22*$F$9*'Traffic Data'!AS69*annualizationFactor</f>
        <v>8025.4391205999982</v>
      </c>
      <c r="R824" s="777">
        <f>$H$22*$F$9*'Traffic Data'!AT69*annualizationFactor</f>
        <v>8804.1219708800018</v>
      </c>
      <c r="S824" s="777">
        <f>$H$22*$F$9*'Traffic Data'!AU69*annualizationFactor</f>
        <v>9582.4025955400011</v>
      </c>
      <c r="T824" s="777">
        <f>$H$22*$F$9*'Traffic Data'!AV69*annualizationFactor</f>
        <v>10360.722145259999</v>
      </c>
      <c r="U824" s="777">
        <f>$H$22*$F$9*'Traffic Data'!AW69*annualizationFactor</f>
        <v>11139.75532108</v>
      </c>
      <c r="V824" s="777">
        <f>$H$22*$F$9*'Traffic Data'!AX69*annualizationFactor</f>
        <v>11653.540163040001</v>
      </c>
      <c r="W824" s="777">
        <f>$H$22*$F$9*'Traffic Data'!AY69*annualizationFactor</f>
        <v>11949.188968759998</v>
      </c>
      <c r="X824" s="777">
        <f>$H$22*$F$9*'Traffic Data'!AZ69*annualizationFactor</f>
        <v>12244.837774479996</v>
      </c>
      <c r="Y824" s="777">
        <f>$H$22*$F$9*'Traffic Data'!BA69*annualizationFactor</f>
        <v>12540.486580199997</v>
      </c>
      <c r="Z824" s="777">
        <f>$H$22*$F$9*'Traffic Data'!BB69*annualizationFactor</f>
        <v>12836.472736439997</v>
      </c>
      <c r="AA824" s="777">
        <f>$H$22*$F$9*'Traffic Data'!BC69*annualizationFactor</f>
        <v>13132.121542159997</v>
      </c>
      <c r="AB824" s="777">
        <f>$H$22*$F$9*'Traffic Data'!BD69*annualizationFactor</f>
        <v>13428.107698399999</v>
      </c>
      <c r="AC824" s="777">
        <f>$H$22*$F$9*'Traffic Data'!BE69*annualizationFactor</f>
        <v>13723.75650412</v>
      </c>
      <c r="AD824" s="777">
        <f>$H$22*$F$9*'Traffic Data'!BF69*annualizationFactor</f>
        <v>14019.40530984</v>
      </c>
      <c r="AE824" s="777">
        <f>$H$22*$F$9*'Traffic Data'!BG69*annualizationFactor</f>
        <v>14315.391466079996</v>
      </c>
      <c r="AF824" s="777">
        <f>$H$22*$F$9*'Traffic Data'!BH69*annualizationFactor</f>
        <v>14611.040271799997</v>
      </c>
      <c r="AG824" s="777">
        <f>$H$22*$F$9*'Traffic Data'!BI69*annualizationFactor</f>
        <v>14906.689077519999</v>
      </c>
      <c r="AH824" s="778">
        <f>$H$22*$F$9*'Traffic Data'!BJ69*annualizationFactor</f>
        <v>15202.675233759997</v>
      </c>
      <c r="AI824" s="21"/>
      <c r="AJ824" s="21"/>
      <c r="AK824" s="21"/>
      <c r="AL824" s="21"/>
      <c r="AM824" s="21"/>
    </row>
    <row r="825" spans="2:39" ht="21.95" customHeight="1" x14ac:dyDescent="0.2">
      <c r="B825" s="1346"/>
      <c r="C825" s="254" t="s">
        <v>323</v>
      </c>
      <c r="D825" s="254" t="s">
        <v>338</v>
      </c>
      <c r="E825" s="116" t="s">
        <v>467</v>
      </c>
      <c r="F825" s="116" t="s">
        <v>40</v>
      </c>
      <c r="G825" s="970"/>
      <c r="H825" s="970"/>
      <c r="I825" s="777">
        <f>$H$22*$F$9*'Traffic Data'!AK70*annualizationFactor</f>
        <v>41727.664320000003</v>
      </c>
      <c r="J825" s="777">
        <f>$H$22*$F$9*'Traffic Data'!AL70*annualizationFactor</f>
        <v>42896.178013174402</v>
      </c>
      <c r="K825" s="777">
        <f>$H$22*$F$9*'Traffic Data'!AM70*annualizationFactor</f>
        <v>44561.390003971203</v>
      </c>
      <c r="L825" s="777">
        <f>$H$22*$F$9*'Traffic Data'!AN70*annualizationFactor</f>
        <v>46898.556482534404</v>
      </c>
      <c r="M825" s="777">
        <f>$H$22*$F$9*'Traffic Data'!AO70*annualizationFactor</f>
        <v>49236.696606598387</v>
      </c>
      <c r="N825" s="777">
        <f>$H$22*$F$9*'Traffic Data'!AP70*annualizationFactor</f>
        <v>51574.628092340819</v>
      </c>
      <c r="O825" s="777">
        <f>$H$22*$F$9*'Traffic Data'!AQ70*annualizationFactor</f>
        <v>53911.794570904007</v>
      </c>
      <c r="P825" s="777">
        <f>$H$22*$F$9*'Traffic Data'!AR70*annualizationFactor</f>
        <v>56250.838794361611</v>
      </c>
      <c r="Q825" s="777">
        <f>$H$22*$F$9*'Traffic Data'!AS70*annualizationFactor</f>
        <v>58612.068226016003</v>
      </c>
      <c r="R825" s="777">
        <f>$H$22*$F$9*'Traffic Data'!AT70*annualizationFactor</f>
        <v>60973.993118742401</v>
      </c>
      <c r="S825" s="777">
        <f>$H$22*$F$9*'Traffic Data'!AU70*annualizationFactor</f>
        <v>63335.013912075192</v>
      </c>
      <c r="T825" s="777">
        <f>$H$22*$F$9*'Traffic Data'!AV70*annualizationFactor</f>
        <v>65696.243343729613</v>
      </c>
      <c r="U825" s="777">
        <f>$H$22*$F$9*'Traffic Data'!AW70*annualizationFactor</f>
        <v>68059.350520278414</v>
      </c>
      <c r="V825" s="777">
        <f>$H$22*$F$9*'Traffic Data'!AX70*annualizationFactor</f>
        <v>69747.512726451198</v>
      </c>
      <c r="W825" s="777">
        <f>$H$22*$F$9*'Traffic Data'!AY70*annualizationFactor</f>
        <v>70916.026419625603</v>
      </c>
      <c r="X825" s="777">
        <f>$H$22*$F$9*'Traffic Data'!AZ70*annualizationFactor</f>
        <v>72084.540112799994</v>
      </c>
      <c r="Y825" s="777">
        <f>$H$22*$F$9*'Traffic Data'!BA70*annualizationFactor</f>
        <v>73253.053805974385</v>
      </c>
      <c r="Z825" s="777">
        <f>$H$22*$F$9*'Traffic Data'!BB70*annualizationFactor</f>
        <v>74422.123868006398</v>
      </c>
      <c r="AA825" s="777">
        <f>$H$22*$F$9*'Traffic Data'!BC70*annualizationFactor</f>
        <v>75590.637561180818</v>
      </c>
      <c r="AB825" s="777">
        <f>$H$22*$F$9*'Traffic Data'!BD70*annualizationFactor</f>
        <v>76759.707623212817</v>
      </c>
      <c r="AC825" s="777">
        <f>$H$22*$F$9*'Traffic Data'!BE70*annualizationFactor</f>
        <v>77928.221316387207</v>
      </c>
      <c r="AD825" s="777">
        <f>$H$22*$F$9*'Traffic Data'!BF70*annualizationFactor</f>
        <v>79096.735009561613</v>
      </c>
      <c r="AE825" s="777">
        <f>$H$22*$F$9*'Traffic Data'!BG70*annualizationFactor</f>
        <v>80265.805071593582</v>
      </c>
      <c r="AF825" s="777">
        <f>$H$22*$F$9*'Traffic Data'!BH70*annualizationFactor</f>
        <v>81434.318764767988</v>
      </c>
      <c r="AG825" s="777">
        <f>$H$22*$F$9*'Traffic Data'!BI70*annualizationFactor</f>
        <v>82602.832457942379</v>
      </c>
      <c r="AH825" s="778">
        <f>$H$22*$F$9*'Traffic Data'!BJ70*annualizationFactor</f>
        <v>83771.902519974392</v>
      </c>
      <c r="AI825" s="21"/>
      <c r="AJ825" s="21"/>
      <c r="AK825" s="21"/>
      <c r="AL825" s="21"/>
      <c r="AM825" s="21"/>
    </row>
    <row r="826" spans="2:39" ht="21.95" customHeight="1" x14ac:dyDescent="0.2">
      <c r="B826" s="492" t="s">
        <v>339</v>
      </c>
      <c r="C826" s="116" t="s">
        <v>335</v>
      </c>
      <c r="D826" s="116" t="s">
        <v>323</v>
      </c>
      <c r="E826" s="277" t="s">
        <v>467</v>
      </c>
      <c r="F826" s="220" t="s">
        <v>40</v>
      </c>
      <c r="G826" s="780"/>
      <c r="H826" s="780"/>
      <c r="I826" s="775">
        <f>$H$22*$G$9*'Traffic Data'!AK71*annualizationFactor</f>
        <v>121.965188</v>
      </c>
      <c r="J826" s="775">
        <f>$H$22*$G$9*'Traffic Data'!AL71*annualizationFactor</f>
        <v>506.58240835799995</v>
      </c>
      <c r="K826" s="775">
        <f>$H$22*$G$9*'Traffic Data'!AM71*annualizationFactor</f>
        <v>4519.3590587459994</v>
      </c>
      <c r="L826" s="775">
        <f>$H$22*$G$9*'Traffic Data'!AN71*annualizationFactor</f>
        <v>10689.394971884001</v>
      </c>
      <c r="M826" s="775">
        <f>$H$22*$G$9*'Traffic Data'!AO71*annualizationFactor</f>
        <v>16863.821631790004</v>
      </c>
      <c r="N826" s="775">
        <f>$H$22*$G$9*'Traffic Data'!AP71*annualizationFactor</f>
        <v>23035.808987935998</v>
      </c>
      <c r="O826" s="775">
        <f>$H$22*$G$9*'Traffic Data'!AQ71*annualizationFactor</f>
        <v>29205.844901074001</v>
      </c>
      <c r="P826" s="775">
        <f>$H$22*$G$9*'Traffic Data'!AR71*annualizationFactor</f>
        <v>35384.35739477801</v>
      </c>
      <c r="Q826" s="775">
        <f>$H$22*$G$9*'Traffic Data'!AS71*annualizationFactor</f>
        <v>37928.978094615995</v>
      </c>
      <c r="R826" s="775">
        <f>$H$22*$G$9*'Traffic Data'!AT71*annualizationFactor</f>
        <v>40475.550237462005</v>
      </c>
      <c r="S826" s="775">
        <f>$H$22*$G$9*'Traffic Data'!AU71*annualizationFactor</f>
        <v>43021.512554368004</v>
      </c>
      <c r="T826" s="775">
        <f>$H$22*$G$9*'Traffic Data'!AV71*annualizationFactor</f>
        <v>45566.133254206004</v>
      </c>
      <c r="U826" s="775">
        <f>$H$22*$G$9*'Traffic Data'!AW71*annualizationFactor</f>
        <v>48116.791230850009</v>
      </c>
      <c r="V826" s="775">
        <f>$H$22*$G$9*'Traffic Data'!AX71*annualizationFactor</f>
        <v>48501.408451208001</v>
      </c>
      <c r="W826" s="775">
        <f>$H$22*$G$9*'Traffic Data'!AY71*annualizationFactor</f>
        <v>48886.025671566</v>
      </c>
      <c r="X826" s="775">
        <f>$H$22*$G$9*'Traffic Data'!AZ71*annualizationFactor</f>
        <v>49270.642891924013</v>
      </c>
      <c r="Y826" s="775">
        <f>$H$22*$G$9*'Traffic Data'!BA71*annualizationFactor</f>
        <v>49655.260112281998</v>
      </c>
      <c r="Z826" s="775">
        <f>$H$22*$G$9*'Traffic Data'!BB71*annualizationFactor</f>
        <v>50042.62154937</v>
      </c>
      <c r="AA826" s="775">
        <f>$H$22*$G$9*'Traffic Data'!BC71*annualizationFactor</f>
        <v>50427.238769728014</v>
      </c>
      <c r="AB826" s="775">
        <f>$H$22*$G$9*'Traffic Data'!BD71*annualizationFactor</f>
        <v>50813.07564196601</v>
      </c>
      <c r="AC826" s="775">
        <f>$H$22*$G$9*'Traffic Data'!BE71*annualizationFactor</f>
        <v>51197.692862324002</v>
      </c>
      <c r="AD826" s="775">
        <f>$H$22*$G$9*'Traffic Data'!BF71*annualizationFactor</f>
        <v>51582.310082682001</v>
      </c>
      <c r="AE826" s="775">
        <f>$H$22*$G$9*'Traffic Data'!BG71*annualizationFactor</f>
        <v>51969.67151977001</v>
      </c>
      <c r="AF826" s="775">
        <f>$H$22*$G$9*'Traffic Data'!BH71*annualizationFactor</f>
        <v>52354.28874012801</v>
      </c>
      <c r="AG826" s="775">
        <f>$H$22*$G$9*'Traffic Data'!BI71*annualizationFactor</f>
        <v>52738.905960486001</v>
      </c>
      <c r="AH826" s="776">
        <f>$H$22*$G$9*'Traffic Data'!BJ71*annualizationFactor</f>
        <v>53124.742832723998</v>
      </c>
      <c r="AI826" s="21"/>
      <c r="AJ826" s="21"/>
      <c r="AK826" s="21"/>
      <c r="AL826" s="21"/>
      <c r="AM826" s="21"/>
    </row>
    <row r="827" spans="2:39" ht="21.95" customHeight="1" x14ac:dyDescent="0.2">
      <c r="B827" s="1346" t="s">
        <v>323</v>
      </c>
      <c r="C827" s="220" t="s">
        <v>282</v>
      </c>
      <c r="D827" s="220" t="s">
        <v>339</v>
      </c>
      <c r="E827" s="116" t="s">
        <v>467</v>
      </c>
      <c r="F827" s="220" t="s">
        <v>40</v>
      </c>
      <c r="G827" s="970"/>
      <c r="H827" s="970"/>
      <c r="I827" s="775">
        <f>$H$22*$H$9*'Traffic Data'!AK72*annualizationFactor</f>
        <v>350.32553999999999</v>
      </c>
      <c r="J827" s="775">
        <f>$H$22*$H$9*'Traffic Data'!AL72*annualizationFactor</f>
        <v>778.59851264999998</v>
      </c>
      <c r="K827" s="775">
        <f>$H$22*$H$9*'Traffic Data'!AM72*annualizationFactor</f>
        <v>3290.7829599900006</v>
      </c>
      <c r="L827" s="775">
        <f>$H$22*$H$9*'Traffic Data'!AN72*annualizationFactor</f>
        <v>7397.4741026399997</v>
      </c>
      <c r="M827" s="775">
        <f>$H$22*$H$9*'Traffic Data'!AO72*annualizationFactor</f>
        <v>11506.442361300002</v>
      </c>
      <c r="N827" s="775">
        <f>$H$22*$H$9*'Traffic Data'!AP72*annualizationFactor</f>
        <v>15615.585782729997</v>
      </c>
      <c r="O827" s="775">
        <f>$H$22*$H$9*'Traffic Data'!AQ72*annualizationFactor</f>
        <v>19722.27692538</v>
      </c>
      <c r="P827" s="775">
        <f>$H$22*$H$9*'Traffic Data'!AR72*annualizationFactor</f>
        <v>23833.697462820004</v>
      </c>
      <c r="Q827" s="775">
        <f>$H$22*$H$9*'Traffic Data'!AS72*annualizationFactor</f>
        <v>27004.143599820007</v>
      </c>
      <c r="R827" s="775">
        <f>$H$22*$H$9*'Traffic Data'!AT72*annualizationFactor</f>
        <v>30175.115225130005</v>
      </c>
      <c r="S827" s="775">
        <f>$H$22*$H$9*'Traffic Data'!AU72*annualizationFactor</f>
        <v>33345.56136213</v>
      </c>
      <c r="T827" s="775">
        <f>$H$22*$H$9*'Traffic Data'!AV72*annualizationFactor</f>
        <v>36516.007499129999</v>
      </c>
      <c r="U827" s="775">
        <f>$H$22*$H$9*'Traffic Data'!AW72*annualizationFactor</f>
        <v>39690.657542610003</v>
      </c>
      <c r="V827" s="775">
        <f>$H$22*$H$9*'Traffic Data'!AX72*annualizationFactor</f>
        <v>41264.144705519997</v>
      </c>
      <c r="W827" s="775">
        <f>$H$22*$H$9*'Traffic Data'!AY72*annualizationFactor</f>
        <v>41692.417678170008</v>
      </c>
      <c r="X827" s="775">
        <f>$H$22*$H$9*'Traffic Data'!AZ72*annualizationFactor</f>
        <v>42120.690650819997</v>
      </c>
      <c r="Y827" s="775">
        <f>$H$22*$H$9*'Traffic Data'!BA72*annualizationFactor</f>
        <v>42548.963623470008</v>
      </c>
      <c r="Z827" s="775">
        <f>$H$22*$H$9*'Traffic Data'!BB72*annualizationFactor</f>
        <v>42978.462735510009</v>
      </c>
      <c r="AA827" s="775">
        <f>$H$22*$H$9*'Traffic Data'!BC72*annualizationFactor</f>
        <v>43406.735708159998</v>
      </c>
      <c r="AB827" s="775">
        <f>$H$22*$H$9*'Traffic Data'!BD72*annualizationFactor</f>
        <v>43836.234820199985</v>
      </c>
      <c r="AC827" s="775">
        <f>$H$22*$H$9*'Traffic Data'!BE72*annualizationFactor</f>
        <v>44264.507792849996</v>
      </c>
      <c r="AD827" s="775">
        <f>$H$22*$H$9*'Traffic Data'!BF72*annualizationFactor</f>
        <v>44692.7807655</v>
      </c>
      <c r="AE827" s="775">
        <f>$H$22*$H$9*'Traffic Data'!BG72*annualizationFactor</f>
        <v>45122.279877539993</v>
      </c>
      <c r="AF827" s="775">
        <f>$H$22*$H$9*'Traffic Data'!BH72*annualizationFactor</f>
        <v>45550.552850189997</v>
      </c>
      <c r="AG827" s="775">
        <f>$H$22*$H$9*'Traffic Data'!BI72*annualizationFactor</f>
        <v>45978.825822839994</v>
      </c>
      <c r="AH827" s="776">
        <f>$H$22*$H$9*'Traffic Data'!BJ72*annualizationFactor</f>
        <v>46408.324934880002</v>
      </c>
      <c r="AI827" s="21"/>
      <c r="AJ827" s="21"/>
      <c r="AK827" s="21"/>
      <c r="AL827" s="21"/>
      <c r="AM827" s="21"/>
    </row>
    <row r="828" spans="2:39" s="1" customFormat="1" ht="21.95" customHeight="1" x14ac:dyDescent="0.2">
      <c r="B828" s="1346"/>
      <c r="C828" s="116" t="s">
        <v>339</v>
      </c>
      <c r="D828" s="116" t="s">
        <v>288</v>
      </c>
      <c r="E828" s="116" t="s">
        <v>467</v>
      </c>
      <c r="F828" s="116" t="s">
        <v>40</v>
      </c>
      <c r="G828" s="970"/>
      <c r="H828" s="970"/>
      <c r="I828" s="777">
        <f>$H$22*$H$9*'Traffic Data'!AK73*annualizationFactor</f>
        <v>0</v>
      </c>
      <c r="J828" s="777">
        <f>$H$22*$H$9*'Traffic Data'!AL73*annualizationFactor</f>
        <v>236.145364</v>
      </c>
      <c r="K828" s="777">
        <f>$H$22*$H$9*'Traffic Data'!AM73*annualizationFactor</f>
        <v>682.53276207199997</v>
      </c>
      <c r="L828" s="777">
        <f>$H$22*$H$9*'Traffic Data'!AN73*annualizationFactor</f>
        <v>1534.2909249920001</v>
      </c>
      <c r="M828" s="777">
        <f>$H$22*$H$9*'Traffic Data'!AO73*annualizationFactor</f>
        <v>2386.5213786400004</v>
      </c>
      <c r="N828" s="777">
        <f>$H$22*$H$9*'Traffic Data'!AP73*annualizationFactor</f>
        <v>3238.7881623439994</v>
      </c>
      <c r="O828" s="777">
        <f>$H$22*$H$9*'Traffic Data'!AQ73*annualizationFactor</f>
        <v>4090.5463252640002</v>
      </c>
      <c r="P828" s="777">
        <f>$H$22*$H$9*'Traffic Data'!AR73*annualizationFactor</f>
        <v>4943.2853996960002</v>
      </c>
      <c r="Q828" s="777">
        <f>$H$22*$H$9*'Traffic Data'!AS73*annualizationFactor</f>
        <v>5600.8594132960006</v>
      </c>
      <c r="R828" s="777">
        <f>$H$22*$H$9*'Traffic Data'!AT73*annualizationFactor</f>
        <v>6258.5424170640017</v>
      </c>
      <c r="S828" s="777">
        <f>$H$22*$H$9*'Traffic Data'!AU73*annualizationFactor</f>
        <v>6916.1164306640003</v>
      </c>
      <c r="T828" s="777">
        <f>$H$22*$H$9*'Traffic Data'!AV73*annualizationFactor</f>
        <v>7573.6904442639989</v>
      </c>
      <c r="U828" s="777">
        <f>$H$22*$H$9*'Traffic Data'!AW73*annualizationFactor</f>
        <v>8232.136379208001</v>
      </c>
      <c r="V828" s="777">
        <f>$H$22*$H$9*'Traffic Data'!AX73*annualizationFactor</f>
        <v>8558.4892722559998</v>
      </c>
      <c r="W828" s="777">
        <f>$H$22*$H$9*'Traffic Data'!AY73*annualizationFactor</f>
        <v>8647.3162591760029</v>
      </c>
      <c r="X828" s="777">
        <f>$H$22*$H$9*'Traffic Data'!AZ73*annualizationFactor</f>
        <v>8736.1432460960004</v>
      </c>
      <c r="Y828" s="777">
        <f>$H$22*$H$9*'Traffic Data'!BA73*annualizationFactor</f>
        <v>8824.9702330160017</v>
      </c>
      <c r="Z828" s="777">
        <f>$H$22*$H$9*'Traffic Data'!BB73*annualizationFactor</f>
        <v>8914.0515303280008</v>
      </c>
      <c r="AA828" s="777">
        <f>$H$22*$H$9*'Traffic Data'!BC73*annualizationFactor</f>
        <v>9002.8785172480002</v>
      </c>
      <c r="AB828" s="777">
        <f>$H$22*$H$9*'Traffic Data'!BD73*annualizationFactor</f>
        <v>9091.9598145599994</v>
      </c>
      <c r="AC828" s="777">
        <f>$H$22*$H$9*'Traffic Data'!BE73*annualizationFactor</f>
        <v>9180.7868014799988</v>
      </c>
      <c r="AD828" s="777">
        <f>$H$22*$H$9*'Traffic Data'!BF73*annualizationFactor</f>
        <v>9269.6137884</v>
      </c>
      <c r="AE828" s="777">
        <f>$H$22*$H$9*'Traffic Data'!BG73*annualizationFactor</f>
        <v>9358.6950857119991</v>
      </c>
      <c r="AF828" s="777">
        <f>$H$22*$H$9*'Traffic Data'!BH73*annualizationFactor</f>
        <v>9447.5220726319985</v>
      </c>
      <c r="AG828" s="777">
        <f>$H$22*$H$9*'Traffic Data'!BI73*annualizationFactor</f>
        <v>9536.3490595519997</v>
      </c>
      <c r="AH828" s="778">
        <f>$H$22*$H$9*'Traffic Data'!BJ73*annualizationFactor</f>
        <v>9625.4303568639989</v>
      </c>
      <c r="AI828" s="135"/>
      <c r="AJ828" s="135"/>
      <c r="AK828" s="135"/>
      <c r="AL828" s="135"/>
      <c r="AM828" s="135"/>
    </row>
    <row r="829" spans="2:39" s="1" customFormat="1" ht="21.95" customHeight="1" x14ac:dyDescent="0.2">
      <c r="B829" s="1346"/>
      <c r="C829" s="116" t="s">
        <v>288</v>
      </c>
      <c r="D829" s="116" t="s">
        <v>340</v>
      </c>
      <c r="E829" s="116" t="s">
        <v>467</v>
      </c>
      <c r="F829" s="116" t="s">
        <v>40</v>
      </c>
      <c r="G829" s="970"/>
      <c r="H829" s="970"/>
      <c r="I829" s="777">
        <f>$H$22*$H$9*'Traffic Data'!AK74*annualizationFactor</f>
        <v>0</v>
      </c>
      <c r="J829" s="777">
        <f>$H$22*$H$9*'Traffic Data'!AL74*annualizationFactor</f>
        <v>615.66469899999993</v>
      </c>
      <c r="K829" s="777">
        <f>$H$22*$H$9*'Traffic Data'!AM74*annualizationFactor</f>
        <v>1779.4604154020001</v>
      </c>
      <c r="L829" s="777">
        <f>$H$22*$H$9*'Traffic Data'!AN74*annualizationFactor</f>
        <v>4000.1156258719998</v>
      </c>
      <c r="M829" s="777">
        <f>$H$22*$H$9*'Traffic Data'!AO74*annualizationFactor</f>
        <v>6222.0021657400002</v>
      </c>
      <c r="N829" s="777">
        <f>$H$22*$H$9*'Traffic Data'!AP74*annualizationFactor</f>
        <v>8443.9834232539979</v>
      </c>
      <c r="O829" s="777">
        <f>$H$22*$H$9*'Traffic Data'!AQ74*annualizationFactor</f>
        <v>10664.638633723998</v>
      </c>
      <c r="P829" s="777">
        <f>$H$22*$H$9*'Traffic Data'!AR74*annualizationFactor</f>
        <v>12887.851220635997</v>
      </c>
      <c r="Q829" s="777">
        <f>$H$22*$H$9*'Traffic Data'!AS74*annualizationFactor</f>
        <v>14602.240613236001</v>
      </c>
      <c r="R829" s="777">
        <f>$H$22*$H$9*'Traffic Data'!AT74*annualizationFactor</f>
        <v>16316.914158774001</v>
      </c>
      <c r="S829" s="777">
        <f>$H$22*$H$9*'Traffic Data'!AU74*annualizationFactor</f>
        <v>18031.303551373996</v>
      </c>
      <c r="T829" s="777">
        <f>$H$22*$H$9*'Traffic Data'!AV74*annualizationFactor</f>
        <v>19745.692943973998</v>
      </c>
      <c r="U829" s="777">
        <f>$H$22*$H$9*'Traffic Data'!AW74*annualizationFactor</f>
        <v>21462.355560078002</v>
      </c>
      <c r="V829" s="777">
        <f>$H$22*$H$9*'Traffic Data'!AX74*annualizationFactor</f>
        <v>22313.204174095998</v>
      </c>
      <c r="W829" s="777">
        <f>$H$22*$H$9*'Traffic Data'!AY74*annualizationFactor</f>
        <v>22544.788818565998</v>
      </c>
      <c r="X829" s="777">
        <f>$H$22*$H$9*'Traffic Data'!AZ74*annualizationFactor</f>
        <v>22776.373463035998</v>
      </c>
      <c r="Y829" s="777">
        <f>$H$22*$H$9*'Traffic Data'!BA74*annualizationFactor</f>
        <v>23007.958107506001</v>
      </c>
      <c r="Z829" s="777">
        <f>$H$22*$H$9*'Traffic Data'!BB74*annualizationFactor</f>
        <v>23240.205775498005</v>
      </c>
      <c r="AA829" s="777">
        <f>$H$22*$H$9*'Traffic Data'!BC74*annualizationFactor</f>
        <v>23471.790419967998</v>
      </c>
      <c r="AB829" s="777">
        <f>$H$22*$H$9*'Traffic Data'!BD74*annualizationFactor</f>
        <v>23704.038087959994</v>
      </c>
      <c r="AC829" s="777">
        <f>$H$22*$H$9*'Traffic Data'!BE74*annualizationFactor</f>
        <v>23935.622732429994</v>
      </c>
      <c r="AD829" s="777">
        <f>$H$22*$H$9*'Traffic Data'!BF74*annualizationFactor</f>
        <v>24167.207376899998</v>
      </c>
      <c r="AE829" s="777">
        <f>$H$22*$H$9*'Traffic Data'!BG74*annualizationFactor</f>
        <v>24399.455044891994</v>
      </c>
      <c r="AF829" s="777">
        <f>$H$22*$H$9*'Traffic Data'!BH74*annualizationFactor</f>
        <v>24631.039689361995</v>
      </c>
      <c r="AG829" s="777">
        <f>$H$22*$H$9*'Traffic Data'!BI74*annualizationFactor</f>
        <v>24862.624333831998</v>
      </c>
      <c r="AH829" s="778">
        <f>$H$22*$H$9*'Traffic Data'!BJ74*annualizationFactor</f>
        <v>25094.872001823995</v>
      </c>
      <c r="AI829" s="135"/>
      <c r="AJ829" s="135"/>
      <c r="AK829" s="135"/>
      <c r="AL829" s="135"/>
      <c r="AM829" s="135"/>
    </row>
    <row r="830" spans="2:39" ht="21.95" customHeight="1" x14ac:dyDescent="0.2">
      <c r="B830" s="1346"/>
      <c r="C830" s="254" t="s">
        <v>340</v>
      </c>
      <c r="D830" s="254" t="s">
        <v>280</v>
      </c>
      <c r="E830" s="116" t="s">
        <v>467</v>
      </c>
      <c r="F830" s="116" t="s">
        <v>40</v>
      </c>
      <c r="G830" s="970"/>
      <c r="H830" s="970"/>
      <c r="I830" s="777">
        <f>$H$22*$H$9*'Traffic Data'!AK75*annualizationFactor</f>
        <v>817.42625999999996</v>
      </c>
      <c r="J830" s="777">
        <f>$H$22*$H$9*'Traffic Data'!AL75*annualizationFactor</f>
        <v>1208.0742696539999</v>
      </c>
      <c r="K830" s="777">
        <f>$H$22*$H$9*'Traffic Data'!AM75*annualizationFactor</f>
        <v>1694.742617316</v>
      </c>
      <c r="L830" s="777">
        <f>$H$22*$H$9*'Traffic Data'!AN75*annualizationFactor</f>
        <v>2736.7976135640001</v>
      </c>
      <c r="M830" s="777">
        <f>$H$22*$H$9*'Traffic Data'!AO75*annualizationFactor</f>
        <v>3778.9888475220005</v>
      </c>
      <c r="N830" s="777">
        <f>$H$22*$H$9*'Traffic Data'!AP75*annualizationFactor</f>
        <v>4821.6160421519999</v>
      </c>
      <c r="O830" s="777">
        <f>$H$22*$H$9*'Traffic Data'!AQ75*annualizationFactor</f>
        <v>5863.6710383999989</v>
      </c>
      <c r="P830" s="777">
        <f>$H$22*$H$9*'Traffic Data'!AR75*annualizationFactor</f>
        <v>6905.1810838080009</v>
      </c>
      <c r="Q830" s="777">
        <f>$H$22*$H$9*'Traffic Data'!AS75*annualizationFactor</f>
        <v>8996.4844273920007</v>
      </c>
      <c r="R830" s="777">
        <f>$H$22*$H$9*'Traffic Data'!AT75*annualizationFactor</f>
        <v>11086.588879127999</v>
      </c>
      <c r="S830" s="777">
        <f>$H$22*$H$9*'Traffic Data'!AU75*annualizationFactor</f>
        <v>13177.156539078</v>
      </c>
      <c r="T830" s="777">
        <f>$H$22*$H$9*'Traffic Data'!AV75*annualizationFactor</f>
        <v>15268.459882661999</v>
      </c>
      <c r="U830" s="777">
        <f>$H$22*$H$9*'Traffic Data'!AW75*annualizationFactor</f>
        <v>17359.218275406001</v>
      </c>
      <c r="V830" s="777">
        <f>$H$22*$H$9*'Traffic Data'!AX75*annualizationFactor</f>
        <v>18895.080475319999</v>
      </c>
      <c r="W830" s="777">
        <f>$H$22*$H$9*'Traffic Data'!AY75*annualizationFactor</f>
        <v>19285.728484974003</v>
      </c>
      <c r="X830" s="777">
        <f>$H$22*$H$9*'Traffic Data'!AZ75*annualizationFactor</f>
        <v>19676.376494627999</v>
      </c>
      <c r="Y830" s="777">
        <f>$H$22*$H$9*'Traffic Data'!BA75*annualizationFactor</f>
        <v>20067.024504281999</v>
      </c>
      <c r="Z830" s="777">
        <f>$H$22*$H$9*'Traffic Data'!BB75*annualizationFactor</f>
        <v>20456.500869629996</v>
      </c>
      <c r="AA830" s="777">
        <f>$H$22*$H$9*'Traffic Data'!BC75*annualizationFactor</f>
        <v>20847.148879283999</v>
      </c>
      <c r="AB830" s="777">
        <f>$H$22*$H$9*'Traffic Data'!BD75*annualizationFactor</f>
        <v>21236.625244632</v>
      </c>
      <c r="AC830" s="777">
        <f>$H$22*$H$9*'Traffic Data'!BE75*annualizationFactor</f>
        <v>21627.273254285999</v>
      </c>
      <c r="AD830" s="777">
        <f>$H$22*$H$9*'Traffic Data'!BF75*annualizationFactor</f>
        <v>22017.921263939999</v>
      </c>
      <c r="AE830" s="777">
        <f>$H$22*$H$9*'Traffic Data'!BG75*annualizationFactor</f>
        <v>22407.397629288</v>
      </c>
      <c r="AF830" s="777">
        <f>$H$22*$H$9*'Traffic Data'!BH75*annualizationFactor</f>
        <v>22798.045638941996</v>
      </c>
      <c r="AG830" s="777">
        <f>$H$22*$H$9*'Traffic Data'!BI75*annualizationFactor</f>
        <v>23188.693648596</v>
      </c>
      <c r="AH830" s="778">
        <f>$H$22*$H$9*'Traffic Data'!BJ75*annualizationFactor</f>
        <v>23578.170013943996</v>
      </c>
      <c r="AI830" s="21"/>
      <c r="AJ830" s="21"/>
      <c r="AK830" s="21"/>
      <c r="AL830" s="21"/>
      <c r="AM830" s="21"/>
    </row>
    <row r="831" spans="2:39" ht="21.95" customHeight="1" x14ac:dyDescent="0.2">
      <c r="B831" s="1346" t="s">
        <v>334</v>
      </c>
      <c r="C831" s="116" t="s">
        <v>336</v>
      </c>
      <c r="D831" s="116" t="s">
        <v>337</v>
      </c>
      <c r="E831" s="220" t="s">
        <v>467</v>
      </c>
      <c r="F831" s="220" t="s">
        <v>40</v>
      </c>
      <c r="G831" s="775"/>
      <c r="H831" s="775"/>
      <c r="I831" s="775">
        <f>$H$22*$I$9*'Traffic Data'!AK76*annualizationFactor</f>
        <v>16348.525199999998</v>
      </c>
      <c r="J831" s="775">
        <f>$H$22*$I$9*'Traffic Data'!AL76*annualizationFactor</f>
        <v>16801.379348039998</v>
      </c>
      <c r="K831" s="775">
        <f>$H$22*$I$9*'Traffic Data'!AM76*annualizationFactor</f>
        <v>17532.216812069997</v>
      </c>
      <c r="L831" s="775">
        <f>$H$22*$I$9*'Traffic Data'!AN76*annualizationFactor</f>
        <v>18576.303696449995</v>
      </c>
      <c r="M831" s="775">
        <f>$H$22*$I$9*'Traffic Data'!AO76*annualizationFactor</f>
        <v>19620.857681549998</v>
      </c>
      <c r="N831" s="775">
        <f>$H$22*$I$9*'Traffic Data'!AP76*annualizationFactor</f>
        <v>20665.35327906</v>
      </c>
      <c r="O831" s="775">
        <f>$H$22*$I$9*'Traffic Data'!AQ76*annualizationFactor</f>
        <v>21709.440163440002</v>
      </c>
      <c r="P831" s="775">
        <f>$H$22*$I$9*'Traffic Data'!AR76*annualizationFactor</f>
        <v>22754.461249259995</v>
      </c>
      <c r="Q831" s="775">
        <f>$H$22*$I$9*'Traffic Data'!AS76*annualizationFactor</f>
        <v>23684.633945549991</v>
      </c>
      <c r="R831" s="775">
        <f>$H$22*$I$9*'Traffic Data'!AT76*annualizationFactor</f>
        <v>24615.098579789996</v>
      </c>
      <c r="S831" s="775">
        <f>$H$22*$I$9*'Traffic Data'!AU76*annualizationFactor</f>
        <v>25545.271276079995</v>
      </c>
      <c r="T831" s="775">
        <f>$H$22*$I$9*'Traffic Data'!AV76*annualizationFactor</f>
        <v>26475.443972369994</v>
      </c>
      <c r="U831" s="775">
        <f>$H$22*$I$9*'Traffic Data'!AW76*annualizationFactor</f>
        <v>27406.550870099996</v>
      </c>
      <c r="V831" s="775">
        <f>$H$22*$I$9*'Traffic Data'!AX76*annualizationFactor</f>
        <v>28023.007045319999</v>
      </c>
      <c r="W831" s="775">
        <f>$H$22*$I$9*'Traffic Data'!AY76*annualizationFactor</f>
        <v>28475.861193359997</v>
      </c>
      <c r="X831" s="775">
        <f>$H$22*$I$9*'Traffic Data'!AZ76*annualizationFactor</f>
        <v>28928.715341399995</v>
      </c>
      <c r="Y831" s="775">
        <f>$H$22*$I$9*'Traffic Data'!BA76*annualizationFactor</f>
        <v>29381.569489439993</v>
      </c>
      <c r="Z831" s="775">
        <f>$H$22*$I$9*'Traffic Data'!BB76*annualizationFactor</f>
        <v>29834.715575429993</v>
      </c>
      <c r="AA831" s="775">
        <f>$H$22*$I$9*'Traffic Data'!BC76*annualizationFactor</f>
        <v>30287.569723469998</v>
      </c>
      <c r="AB831" s="775">
        <f>$H$22*$I$9*'Traffic Data'!BD76*annualizationFactor</f>
        <v>30740.715809459994</v>
      </c>
      <c r="AC831" s="775">
        <f>$H$22*$I$9*'Traffic Data'!BE76*annualizationFactor</f>
        <v>31193.569957499993</v>
      </c>
      <c r="AD831" s="775">
        <f>$H$22*$I$9*'Traffic Data'!BF76*annualizationFactor</f>
        <v>31646.424105539994</v>
      </c>
      <c r="AE831" s="775">
        <f>$H$22*$I$9*'Traffic Data'!BG76*annualizationFactor</f>
        <v>32099.570191529991</v>
      </c>
      <c r="AF831" s="775">
        <f>$H$22*$I$9*'Traffic Data'!BH76*annualizationFactor</f>
        <v>32552.424339569989</v>
      </c>
      <c r="AG831" s="775">
        <f>$H$22*$I$9*'Traffic Data'!BI76*annualizationFactor</f>
        <v>33005.27848760999</v>
      </c>
      <c r="AH831" s="776">
        <f>$H$22*$I$9*'Traffic Data'!BJ76*annualizationFactor</f>
        <v>33458.424573599987</v>
      </c>
      <c r="AI831" s="21"/>
      <c r="AJ831" s="21"/>
      <c r="AK831" s="21"/>
      <c r="AL831" s="21"/>
      <c r="AM831" s="21"/>
    </row>
    <row r="832" spans="2:39" ht="21.95" customHeight="1" x14ac:dyDescent="0.2">
      <c r="B832" s="1346"/>
      <c r="C832" s="116" t="s">
        <v>337</v>
      </c>
      <c r="D832" s="116" t="s">
        <v>386</v>
      </c>
      <c r="E832" s="116" t="s">
        <v>467</v>
      </c>
      <c r="F832" s="116" t="s">
        <v>40</v>
      </c>
      <c r="G832" s="970"/>
      <c r="H832" s="970"/>
      <c r="I832" s="777">
        <f>$H$22*$I$9*'Traffic Data'!AK77*annualizationFactor</f>
        <v>25690.539599999996</v>
      </c>
      <c r="J832" s="777">
        <f>$H$22*$I$9*'Traffic Data'!AL77*annualizationFactor</f>
        <v>25729.075409399997</v>
      </c>
      <c r="K832" s="777">
        <f>$H$22*$I$9*'Traffic Data'!AM77*annualizationFactor</f>
        <v>25767.61121879999</v>
      </c>
      <c r="L832" s="777">
        <f>$H$22*$I$9*'Traffic Data'!AN77*annualizationFactor</f>
        <v>25806.147028199997</v>
      </c>
      <c r="M832" s="777">
        <f>$H$22*$I$9*'Traffic Data'!AO77*annualizationFactor</f>
        <v>25844.682837599998</v>
      </c>
      <c r="N832" s="777">
        <f>$H$22*$I$9*'Traffic Data'!AP77*annualizationFactor</f>
        <v>25883.218646999998</v>
      </c>
      <c r="O832" s="777">
        <f>$H$22*$I$9*'Traffic Data'!AQ77*annualizationFactor</f>
        <v>25921.754456399991</v>
      </c>
      <c r="P832" s="777">
        <f>$H$22*$I$9*'Traffic Data'!AR77*annualizationFactor</f>
        <v>25960.290265799998</v>
      </c>
      <c r="Q832" s="777">
        <f>$H$22*$I$9*'Traffic Data'!AS77*annualizationFactor</f>
        <v>25998.826075199999</v>
      </c>
      <c r="R832" s="777">
        <f>$H$22*$I$9*'Traffic Data'!AT77*annualizationFactor</f>
        <v>25998.826075199999</v>
      </c>
      <c r="S832" s="777">
        <f>$H$22*$I$9*'Traffic Data'!AU77*annualizationFactor</f>
        <v>25998.826075199999</v>
      </c>
      <c r="T832" s="777">
        <f>$H$22*$I$9*'Traffic Data'!AV77*annualizationFactor</f>
        <v>25998.826075199999</v>
      </c>
      <c r="U832" s="777">
        <f>$H$22*$I$9*'Traffic Data'!AW77*annualizationFactor</f>
        <v>25998.826075199999</v>
      </c>
      <c r="V832" s="777">
        <f>$H$22*$I$9*'Traffic Data'!AX77*annualizationFactor</f>
        <v>25998.826075199999</v>
      </c>
      <c r="W832" s="777">
        <f>$H$22*$I$9*'Traffic Data'!AY77*annualizationFactor</f>
        <v>26169.538543090195</v>
      </c>
      <c r="X832" s="777">
        <f>$H$22*$I$9*'Traffic Data'!AZ77*annualizationFactor</f>
        <v>26574.847676593192</v>
      </c>
      <c r="Y832" s="777">
        <f>$H$22*$I$9*'Traffic Data'!BA77*annualizationFactor</f>
        <v>26980.156810096192</v>
      </c>
      <c r="Z832" s="777">
        <f>$H$22*$I$9*'Traffic Data'!BB77*annualizationFactor</f>
        <v>27385.56053149499</v>
      </c>
      <c r="AA832" s="777">
        <f>$H$22*$I$9*'Traffic Data'!BC77*annualizationFactor</f>
        <v>27790.86966499799</v>
      </c>
      <c r="AB832" s="777">
        <f>$H$22*$I$9*'Traffic Data'!BD77*annualizationFactor</f>
        <v>28196.273386396795</v>
      </c>
      <c r="AC832" s="777">
        <f>$H$22*$I$9*'Traffic Data'!BE77*annualizationFactor</f>
        <v>28601.582519899792</v>
      </c>
      <c r="AD832" s="777">
        <f>$H$22*$I$9*'Traffic Data'!BF77*annualizationFactor</f>
        <v>29006.891653402796</v>
      </c>
      <c r="AE832" s="777">
        <f>$H$22*$I$9*'Traffic Data'!BG77*annualizationFactor</f>
        <v>29412.295374801593</v>
      </c>
      <c r="AF832" s="777">
        <f>$H$22*$I$9*'Traffic Data'!BH77*annualizationFactor</f>
        <v>29817.60450830459</v>
      </c>
      <c r="AG832" s="777">
        <f>$H$22*$I$9*'Traffic Data'!BI77*annualizationFactor</f>
        <v>30222.91364180759</v>
      </c>
      <c r="AH832" s="778">
        <f>$H$22*$I$9*'Traffic Data'!BJ77*annualizationFactor</f>
        <v>30628.317363206395</v>
      </c>
      <c r="AI832" s="21"/>
      <c r="AJ832" s="21"/>
      <c r="AK832" s="21"/>
      <c r="AL832" s="21"/>
      <c r="AM832" s="21"/>
    </row>
    <row r="833" spans="2:39" ht="21.95" customHeight="1" x14ac:dyDescent="0.2">
      <c r="B833" s="1346"/>
      <c r="C833" s="116" t="s">
        <v>342</v>
      </c>
      <c r="D833" s="116" t="s">
        <v>341</v>
      </c>
      <c r="E833" s="116" t="s">
        <v>467</v>
      </c>
      <c r="F833" s="116" t="s">
        <v>40</v>
      </c>
      <c r="G833" s="970"/>
      <c r="H833" s="970"/>
      <c r="I833" s="777">
        <f>$H$22*$I$9*'Traffic Data'!AK78*annualizationFactor</f>
        <v>33397.701479999996</v>
      </c>
      <c r="J833" s="777">
        <f>$H$22*$I$9*'Traffic Data'!AL78*annualizationFactor</f>
        <v>33447.798032219995</v>
      </c>
      <c r="K833" s="777">
        <f>$H$22*$I$9*'Traffic Data'!AM78*annualizationFactor</f>
        <v>33497.894584439986</v>
      </c>
      <c r="L833" s="777">
        <f>$H$22*$I$9*'Traffic Data'!AN78*annualizationFactor</f>
        <v>33547.991136659999</v>
      </c>
      <c r="M833" s="777">
        <f>$H$22*$I$9*'Traffic Data'!AO78*annualizationFactor</f>
        <v>33598.087688879998</v>
      </c>
      <c r="N833" s="777">
        <f>$H$22*$I$9*'Traffic Data'!AP78*annualizationFactor</f>
        <v>33648.184241099996</v>
      </c>
      <c r="O833" s="777">
        <f>$H$22*$I$9*'Traffic Data'!AQ78*annualizationFactor</f>
        <v>33698.280793319995</v>
      </c>
      <c r="P833" s="777">
        <f>$H$22*$I$9*'Traffic Data'!AR78*annualizationFactor</f>
        <v>33748.377345539993</v>
      </c>
      <c r="Q833" s="777">
        <f>$H$22*$I$9*'Traffic Data'!AS78*annualizationFactor</f>
        <v>33798.473897759999</v>
      </c>
      <c r="R833" s="777">
        <f>$H$22*$I$9*'Traffic Data'!AT78*annualizationFactor</f>
        <v>33798.473897759999</v>
      </c>
      <c r="S833" s="777">
        <f>$H$22*$I$9*'Traffic Data'!AU78*annualizationFactor</f>
        <v>33798.473897759999</v>
      </c>
      <c r="T833" s="777">
        <f>$H$22*$I$9*'Traffic Data'!AV78*annualizationFactor</f>
        <v>33798.473897759999</v>
      </c>
      <c r="U833" s="777">
        <f>$H$22*$I$9*'Traffic Data'!AW78*annualizationFactor</f>
        <v>33798.473897759999</v>
      </c>
      <c r="V833" s="777">
        <f>$H$22*$I$9*'Traffic Data'!AX78*annualizationFactor</f>
        <v>33798.473897759999</v>
      </c>
      <c r="W833" s="777">
        <f>$H$22*$I$9*'Traffic Data'!AY78*annualizationFactor</f>
        <v>34020.400106017252</v>
      </c>
      <c r="X833" s="777">
        <f>$H$22*$I$9*'Traffic Data'!AZ78*annualizationFactor</f>
        <v>34547.301979571152</v>
      </c>
      <c r="Y833" s="777">
        <f>$H$22*$I$9*'Traffic Data'!BA78*annualizationFactor</f>
        <v>35074.203853125051</v>
      </c>
      <c r="Z833" s="777">
        <f>$H$22*$I$9*'Traffic Data'!BB78*annualizationFactor</f>
        <v>35601.228690943492</v>
      </c>
      <c r="AA833" s="777">
        <f>$H$22*$I$9*'Traffic Data'!BC78*annualizationFactor</f>
        <v>36128.130564497391</v>
      </c>
      <c r="AB833" s="777">
        <f>$H$22*$I$9*'Traffic Data'!BD78*annualizationFactor</f>
        <v>36655.155402315831</v>
      </c>
      <c r="AC833" s="777">
        <f>$H$22*$I$9*'Traffic Data'!BE78*annualizationFactor</f>
        <v>37182.057275869731</v>
      </c>
      <c r="AD833" s="777">
        <f>$H$22*$I$9*'Traffic Data'!BF78*annualizationFactor</f>
        <v>37708.95914942363</v>
      </c>
      <c r="AE833" s="777">
        <f>$H$22*$I$9*'Traffic Data'!BG78*annualizationFactor</f>
        <v>38235.983987242071</v>
      </c>
      <c r="AF833" s="777">
        <f>$H$22*$I$9*'Traffic Data'!BH78*annualizationFactor</f>
        <v>38762.88586079597</v>
      </c>
      <c r="AG833" s="777">
        <f>$H$22*$I$9*'Traffic Data'!BI78*annualizationFactor</f>
        <v>39289.787734349869</v>
      </c>
      <c r="AH833" s="778">
        <f>$H$22*$I$9*'Traffic Data'!BJ78*annualizationFactor</f>
        <v>39816.81257216831</v>
      </c>
      <c r="AI833" s="21"/>
      <c r="AJ833" s="21"/>
      <c r="AK833" s="21"/>
      <c r="AL833" s="21"/>
      <c r="AM833" s="21"/>
    </row>
    <row r="834" spans="2:39" s="1" customFormat="1" ht="21.95" customHeight="1" x14ac:dyDescent="0.2">
      <c r="B834" s="1346"/>
      <c r="C834" s="116" t="s">
        <v>341</v>
      </c>
      <c r="D834" s="116" t="s">
        <v>344</v>
      </c>
      <c r="E834" s="116" t="s">
        <v>467</v>
      </c>
      <c r="F834" s="116" t="s">
        <v>40</v>
      </c>
      <c r="G834" s="970"/>
      <c r="H834" s="970"/>
      <c r="I834" s="777">
        <f>$H$22*$I$9*'Traffic Data'!AK79*annualizationFactor</f>
        <v>37041.087095999996</v>
      </c>
      <c r="J834" s="777">
        <f>$H$22*$I$9*'Traffic Data'!AL79*annualizationFactor</f>
        <v>37096.648726643987</v>
      </c>
      <c r="K834" s="777">
        <f>$H$22*$I$9*'Traffic Data'!AM79*annualizationFactor</f>
        <v>37152.210357287993</v>
      </c>
      <c r="L834" s="777">
        <f>$H$22*$I$9*'Traffic Data'!AN79*annualizationFactor</f>
        <v>37207.771987931992</v>
      </c>
      <c r="M834" s="777">
        <f>$H$22*$I$9*'Traffic Data'!AO79*annualizationFactor</f>
        <v>37263.333618575991</v>
      </c>
      <c r="N834" s="777">
        <f>$H$22*$I$9*'Traffic Data'!AP79*annualizationFactor</f>
        <v>37318.89524921999</v>
      </c>
      <c r="O834" s="777">
        <f>$H$22*$I$9*'Traffic Data'!AQ79*annualizationFactor</f>
        <v>37374.456879863988</v>
      </c>
      <c r="P834" s="777">
        <f>$H$22*$I$9*'Traffic Data'!AR79*annualizationFactor</f>
        <v>37430.018510507995</v>
      </c>
      <c r="Q834" s="777">
        <f>$H$22*$I$9*'Traffic Data'!AS79*annualizationFactor</f>
        <v>37485.580141151993</v>
      </c>
      <c r="R834" s="777">
        <f>$H$22*$I$9*'Traffic Data'!AT79*annualizationFactor</f>
        <v>37485.580141151993</v>
      </c>
      <c r="S834" s="777">
        <f>$H$22*$I$9*'Traffic Data'!AU79*annualizationFactor</f>
        <v>37485.580141151993</v>
      </c>
      <c r="T834" s="777">
        <f>$H$22*$I$9*'Traffic Data'!AV79*annualizationFactor</f>
        <v>37485.580141151993</v>
      </c>
      <c r="U834" s="777">
        <f>$H$22*$I$9*'Traffic Data'!AW79*annualizationFactor</f>
        <v>37485.580141151993</v>
      </c>
      <c r="V834" s="777">
        <f>$H$22*$I$9*'Traffic Data'!AX79*annualizationFactor</f>
        <v>37485.580141151993</v>
      </c>
      <c r="W834" s="777">
        <f>$H$22*$I$9*'Traffic Data'!AY79*annualizationFactor</f>
        <v>37485.580141151993</v>
      </c>
      <c r="X834" s="777">
        <f>$H$22*$I$9*'Traffic Data'!AZ79*annualizationFactor</f>
        <v>37485.580141151993</v>
      </c>
      <c r="Y834" s="777">
        <f>$H$22*$I$9*'Traffic Data'!BA79*annualizationFactor</f>
        <v>37485.580141151993</v>
      </c>
      <c r="Z834" s="777">
        <f>$H$22*$I$9*'Traffic Data'!BB79*annualizationFactor</f>
        <v>37485.580141151993</v>
      </c>
      <c r="AA834" s="777">
        <f>$H$22*$I$9*'Traffic Data'!BC79*annualizationFactor</f>
        <v>37973.44431025326</v>
      </c>
      <c r="AB834" s="777">
        <f>$H$22*$I$9*'Traffic Data'!BD79*annualizationFactor</f>
        <v>38527.387955172577</v>
      </c>
      <c r="AC834" s="777">
        <f>$H$22*$I$9*'Traffic Data'!BE79*annualizationFactor</f>
        <v>39081.202355191075</v>
      </c>
      <c r="AD834" s="777">
        <f>$H$22*$I$9*'Traffic Data'!BF79*annualizationFactor</f>
        <v>39635.016755209588</v>
      </c>
      <c r="AE834" s="777">
        <f>$H$22*$I$9*'Traffic Data'!BG79*annualizationFactor</f>
        <v>40188.960400128897</v>
      </c>
      <c r="AF834" s="777">
        <f>$H$22*$I$9*'Traffic Data'!BH79*annualizationFactor</f>
        <v>40742.774800147388</v>
      </c>
      <c r="AG834" s="777">
        <f>$H$22*$I$9*'Traffic Data'!BI79*annualizationFactor</f>
        <v>41296.589200165901</v>
      </c>
      <c r="AH834" s="778">
        <f>$H$22*$I$9*'Traffic Data'!BJ79*annualizationFactor</f>
        <v>41850.532845085218</v>
      </c>
      <c r="AI834" s="135"/>
      <c r="AJ834" s="135"/>
      <c r="AK834" s="135"/>
      <c r="AL834" s="135"/>
      <c r="AM834" s="135"/>
    </row>
    <row r="835" spans="2:39" s="1" customFormat="1" ht="21.95" customHeight="1" x14ac:dyDescent="0.2">
      <c r="B835" s="1346"/>
      <c r="C835" s="116" t="s">
        <v>344</v>
      </c>
      <c r="D835" s="116" t="s">
        <v>345</v>
      </c>
      <c r="E835" s="116" t="s">
        <v>467</v>
      </c>
      <c r="F835" s="116" t="s">
        <v>40</v>
      </c>
      <c r="G835" s="970"/>
      <c r="H835" s="970"/>
      <c r="I835" s="777">
        <f>$H$22*$I$9*'Traffic Data'!AK80*annualizationFactor</f>
        <v>15180.773399999998</v>
      </c>
      <c r="J835" s="777">
        <f>$H$22*$I$9*'Traffic Data'!AL80*annualizationFactor</f>
        <v>15203.544560099999</v>
      </c>
      <c r="K835" s="777">
        <f>$H$22*$I$9*'Traffic Data'!AM80*annualizationFactor</f>
        <v>15226.315720199997</v>
      </c>
      <c r="L835" s="777">
        <f>$H$22*$I$9*'Traffic Data'!AN80*annualizationFactor</f>
        <v>15249.086880299996</v>
      </c>
      <c r="M835" s="777">
        <f>$H$22*$I$9*'Traffic Data'!AO80*annualizationFactor</f>
        <v>15271.858040399997</v>
      </c>
      <c r="N835" s="777">
        <f>$H$22*$I$9*'Traffic Data'!AP80*annualizationFactor</f>
        <v>15294.629200499998</v>
      </c>
      <c r="O835" s="777">
        <f>$H$22*$I$9*'Traffic Data'!AQ80*annualizationFactor</f>
        <v>15317.400360599995</v>
      </c>
      <c r="P835" s="777">
        <f>$H$22*$I$9*'Traffic Data'!AR80*annualizationFactor</f>
        <v>15340.171520699998</v>
      </c>
      <c r="Q835" s="777">
        <f>$H$22*$I$9*'Traffic Data'!AS80*annualizationFactor</f>
        <v>15362.942680799999</v>
      </c>
      <c r="R835" s="777">
        <f>$H$22*$I$9*'Traffic Data'!AT80*annualizationFactor</f>
        <v>15362.942680799999</v>
      </c>
      <c r="S835" s="777">
        <f>$H$22*$I$9*'Traffic Data'!AU80*annualizationFactor</f>
        <v>15362.942680799999</v>
      </c>
      <c r="T835" s="777">
        <f>$H$22*$I$9*'Traffic Data'!AV80*annualizationFactor</f>
        <v>15362.942680799999</v>
      </c>
      <c r="U835" s="777">
        <f>$H$22*$I$9*'Traffic Data'!AW80*annualizationFactor</f>
        <v>15362.942680799999</v>
      </c>
      <c r="V835" s="777">
        <f>$H$22*$I$9*'Traffic Data'!AX80*annualizationFactor</f>
        <v>15362.942680799999</v>
      </c>
      <c r="W835" s="777">
        <f>$H$22*$I$9*'Traffic Data'!AY80*annualizationFactor</f>
        <v>15362.942680799999</v>
      </c>
      <c r="X835" s="777">
        <f>$H$22*$I$9*'Traffic Data'!AZ80*annualizationFactor</f>
        <v>15362.942680799999</v>
      </c>
      <c r="Y835" s="777">
        <f>$H$22*$I$9*'Traffic Data'!BA80*annualizationFactor</f>
        <v>15362.942680799999</v>
      </c>
      <c r="Z835" s="777">
        <f>$H$22*$I$9*'Traffic Data'!BB80*annualizationFactor</f>
        <v>15362.942680799999</v>
      </c>
      <c r="AA835" s="777">
        <f>$H$22*$I$9*'Traffic Data'!BC80*annualizationFactor</f>
        <v>15562.887012398876</v>
      </c>
      <c r="AB835" s="777">
        <f>$H$22*$I$9*'Traffic Data'!BD80*annualizationFactor</f>
        <v>15789.913096382206</v>
      </c>
      <c r="AC835" s="777">
        <f>$H$22*$I$9*'Traffic Data'!BE80*annualizationFactor</f>
        <v>16016.886211143885</v>
      </c>
      <c r="AD835" s="777">
        <f>$H$22*$I$9*'Traffic Data'!BF80*annualizationFactor</f>
        <v>16243.859325905567</v>
      </c>
      <c r="AE835" s="777">
        <f>$H$22*$I$9*'Traffic Data'!BG80*annualizationFactor</f>
        <v>16470.885409888895</v>
      </c>
      <c r="AF835" s="777">
        <f>$H$22*$I$9*'Traffic Data'!BH80*annualizationFactor</f>
        <v>16697.858524650572</v>
      </c>
      <c r="AG835" s="777">
        <f>$H$22*$I$9*'Traffic Data'!BI80*annualizationFactor</f>
        <v>16924.831639412252</v>
      </c>
      <c r="AH835" s="778">
        <f>$H$22*$I$9*'Traffic Data'!BJ80*annualizationFactor</f>
        <v>17151.857723395584</v>
      </c>
      <c r="AI835" s="135"/>
      <c r="AJ835" s="135"/>
      <c r="AK835" s="135"/>
      <c r="AL835" s="135"/>
      <c r="AM835" s="135"/>
    </row>
    <row r="836" spans="2:39" ht="21.95" customHeight="1" x14ac:dyDescent="0.2">
      <c r="B836" s="1346"/>
      <c r="C836" s="116" t="s">
        <v>345</v>
      </c>
      <c r="D836" s="116" t="s">
        <v>323</v>
      </c>
      <c r="E836" s="116" t="s">
        <v>467</v>
      </c>
      <c r="F836" s="116" t="s">
        <v>40</v>
      </c>
      <c r="G836" s="970"/>
      <c r="H836" s="970"/>
      <c r="I836" s="777">
        <f>$H$22*$I$9*'Traffic Data'!AK81*annualizationFactor</f>
        <v>183103.48223999998</v>
      </c>
      <c r="J836" s="777">
        <f>$H$22*$I$9*'Traffic Data'!AL81*annualizationFactor</f>
        <v>187306.68806891996</v>
      </c>
      <c r="K836" s="777">
        <f>$H$22*$I$9*'Traffic Data'!AM81*annualizationFactor</f>
        <v>193454.71445563194</v>
      </c>
      <c r="L836" s="777">
        <f>$H$22*$I$9*'Traffic Data'!AN81*annualizationFactor</f>
        <v>200827.89932083193</v>
      </c>
      <c r="M836" s="777">
        <f>$H$22*$I$9*'Traffic Data'!AO81*annualizationFactor</f>
        <v>208203.04600905592</v>
      </c>
      <c r="N836" s="777">
        <f>$H$22*$I$9*'Traffic Data'!AP81*annualizationFactor</f>
        <v>215578.84663828803</v>
      </c>
      <c r="O836" s="777">
        <f>$H$22*$I$9*'Traffic Data'!AQ81*annualizationFactor</f>
        <v>222952.03150348799</v>
      </c>
      <c r="P836" s="777">
        <f>$H$22*$I$9*'Traffic Data'!AR81*annualizationFactor</f>
        <v>230329.14001473601</v>
      </c>
      <c r="Q836" s="777">
        <f>$H$22*$I$9*'Traffic Data'!AS81*annualizationFactor</f>
        <v>236675.63749737595</v>
      </c>
      <c r="R836" s="777">
        <f>$H$22*$I$9*'Traffic Data'!AT81*annualizationFactor</f>
        <v>243021.80800951194</v>
      </c>
      <c r="S836" s="777">
        <f>$H$22*$I$9*'Traffic Data'!AU81*annualizationFactor</f>
        <v>249368.30549215194</v>
      </c>
      <c r="T836" s="777">
        <f>$H$22*$I$9*'Traffic Data'!AV81*annualizationFactor</f>
        <v>255714.80297479191</v>
      </c>
      <c r="U836" s="777">
        <f>$H$22*$I$9*'Traffic Data'!AW81*annualizationFactor</f>
        <v>262065.22410347991</v>
      </c>
      <c r="V836" s="777">
        <f>$H$22*$I$9*'Traffic Data'!AX81*annualizationFactor</f>
        <v>267184.6012846079</v>
      </c>
      <c r="W836" s="777">
        <f>$H$22*$I$9*'Traffic Data'!AY81*annualizationFactor</f>
        <v>271387.80711352784</v>
      </c>
      <c r="X836" s="777">
        <f>$H$22*$I$9*'Traffic Data'!AZ81*annualizationFactor</f>
        <v>275591.01294244785</v>
      </c>
      <c r="Y836" s="777">
        <f>$H$22*$I$9*'Traffic Data'!BA81*annualizationFactor</f>
        <v>279794.21877136786</v>
      </c>
      <c r="Z836" s="777">
        <f>$H$22*$I$9*'Traffic Data'!BB81*annualizationFactor</f>
        <v>283998.40551179985</v>
      </c>
      <c r="AA836" s="777">
        <f>$H$22*$I$9*'Traffic Data'!BC81*annualizationFactor</f>
        <v>288201.61134071986</v>
      </c>
      <c r="AB836" s="777">
        <f>$H$22*$I$9*'Traffic Data'!BD81*annualizationFactor</f>
        <v>292405.79808115191</v>
      </c>
      <c r="AC836" s="777">
        <f>$H$22*$I$9*'Traffic Data'!BE81*annualizationFactor</f>
        <v>296609.00391007192</v>
      </c>
      <c r="AD836" s="777">
        <f>$H$22*$I$9*'Traffic Data'!BF81*annualizationFactor</f>
        <v>300812.20973899186</v>
      </c>
      <c r="AE836" s="777">
        <f>$H$22*$I$9*'Traffic Data'!BG81*annualizationFactor</f>
        <v>305016.39647942391</v>
      </c>
      <c r="AF836" s="777">
        <f>$H$22*$I$9*'Traffic Data'!BH81*annualizationFactor</f>
        <v>309219.6023083438</v>
      </c>
      <c r="AG836" s="777">
        <f>$H$22*$I$9*'Traffic Data'!BI81*annualizationFactor</f>
        <v>313422.80813726393</v>
      </c>
      <c r="AH836" s="778">
        <f>$H$22*$I$9*'Traffic Data'!BJ81*annualizationFactor</f>
        <v>317626.99487769592</v>
      </c>
      <c r="AI836" s="21"/>
      <c r="AJ836" s="21"/>
      <c r="AK836" s="21"/>
      <c r="AL836" s="21"/>
      <c r="AM836" s="21"/>
    </row>
    <row r="837" spans="2:39" ht="21.95" customHeight="1" x14ac:dyDescent="0.2">
      <c r="B837" s="1346"/>
      <c r="C837" s="116" t="s">
        <v>323</v>
      </c>
      <c r="D837" s="116" t="s">
        <v>347</v>
      </c>
      <c r="E837" s="116" t="s">
        <v>467</v>
      </c>
      <c r="F837" s="116" t="s">
        <v>40</v>
      </c>
      <c r="G837" s="970"/>
      <c r="H837" s="970"/>
      <c r="I837" s="777">
        <f>$H$22*$I$9*'Traffic Data'!AK82*annualizationFactor</f>
        <v>32697.050399999996</v>
      </c>
      <c r="J837" s="777">
        <f>$H$22*$I$9*'Traffic Data'!AL82*annualizationFactor</f>
        <v>33419.538438659998</v>
      </c>
      <c r="K837" s="777">
        <f>$H$22*$I$9*'Traffic Data'!AM82*annualizationFactor</f>
        <v>34489.257475049992</v>
      </c>
      <c r="L837" s="777">
        <f>$H$22*$I$9*'Traffic Data'!AN82*annualizationFactor</f>
        <v>35846.827330139989</v>
      </c>
      <c r="M837" s="777">
        <f>$H$22*$I$9*'Traffic Data'!AO82*annualizationFactor</f>
        <v>37204.805898359999</v>
      </c>
      <c r="N837" s="777">
        <f>$H$22*$I$9*'Traffic Data'!AP82*annualizationFactor</f>
        <v>38562.702723953989</v>
      </c>
      <c r="O837" s="777">
        <f>$H$22*$I$9*'Traffic Data'!AQ82*annualizationFactor</f>
        <v>39920.272579043987</v>
      </c>
      <c r="P837" s="777">
        <f>$H$22*$I$9*'Traffic Data'!AR82*annualizationFactor</f>
        <v>41278.578117767982</v>
      </c>
      <c r="Q837" s="777">
        <f>$H$22*$I$9*'Traffic Data'!AS82*annualizationFactor</f>
        <v>42485.56637824799</v>
      </c>
      <c r="R837" s="777">
        <f>$H$22*$I$9*'Traffic Data'!AT82*annualizationFactor</f>
        <v>43692.671413907985</v>
      </c>
      <c r="S837" s="777">
        <f>$H$22*$I$9*'Traffic Data'!AU82*annualizationFactor</f>
        <v>44899.659674387985</v>
      </c>
      <c r="T837" s="777">
        <f>$H$22*$I$9*'Traffic Data'!AV82*annualizationFactor</f>
        <v>46106.647934867993</v>
      </c>
      <c r="U837" s="777">
        <f>$H$22*$I$9*'Traffic Data'!AW82*annualizationFactor</f>
        <v>47314.196716211984</v>
      </c>
      <c r="V837" s="777">
        <f>$H$22*$I$9*'Traffic Data'!AX82*annualizationFactor</f>
        <v>48233.007187487987</v>
      </c>
      <c r="W837" s="777">
        <f>$H$22*$I$9*'Traffic Data'!AY82*annualizationFactor</f>
        <v>48955.495226147992</v>
      </c>
      <c r="X837" s="777">
        <f>$H$22*$I$9*'Traffic Data'!AZ82*annualizationFactor</f>
        <v>49677.983264807997</v>
      </c>
      <c r="Y837" s="777">
        <f>$H$22*$I$9*'Traffic Data'!BA82*annualizationFactor</f>
        <v>50400.47130346801</v>
      </c>
      <c r="Z837" s="777">
        <f>$H$22*$I$9*'Traffic Data'!BB82*annualizationFactor</f>
        <v>51123.076117308003</v>
      </c>
      <c r="AA837" s="777">
        <f>$H$22*$I$9*'Traffic Data'!BC82*annualizationFactor</f>
        <v>51845.564155967986</v>
      </c>
      <c r="AB837" s="777">
        <f>$H$22*$I$9*'Traffic Data'!BD82*annualizationFactor</f>
        <v>52568.168969808001</v>
      </c>
      <c r="AC837" s="777">
        <f>$H$22*$I$9*'Traffic Data'!BE82*annualizationFactor</f>
        <v>53290.657008467999</v>
      </c>
      <c r="AD837" s="777">
        <f>$H$22*$I$9*'Traffic Data'!BF82*annualizationFactor</f>
        <v>54013.145047128004</v>
      </c>
      <c r="AE837" s="777">
        <f>$H$22*$I$9*'Traffic Data'!BG82*annualizationFactor</f>
        <v>54735.749860967997</v>
      </c>
      <c r="AF837" s="777">
        <f>$H$22*$I$9*'Traffic Data'!BH82*annualizationFactor</f>
        <v>55458.237899628002</v>
      </c>
      <c r="AG837" s="777">
        <f>$H$22*$I$9*'Traffic Data'!BI82*annualizationFactor</f>
        <v>56180.725938288</v>
      </c>
      <c r="AH837" s="778">
        <f>$H$22*$I$9*'Traffic Data'!BJ82*annualizationFactor</f>
        <v>56903.330752127993</v>
      </c>
      <c r="AI837" s="21"/>
      <c r="AJ837" s="21"/>
      <c r="AK837" s="21"/>
      <c r="AL837" s="21"/>
      <c r="AM837" s="21"/>
    </row>
    <row r="838" spans="2:39" ht="21.95" customHeight="1" x14ac:dyDescent="0.2">
      <c r="B838" s="1346"/>
      <c r="C838" s="116" t="s">
        <v>347</v>
      </c>
      <c r="D838" s="116" t="s">
        <v>348</v>
      </c>
      <c r="E838" s="116" t="s">
        <v>467</v>
      </c>
      <c r="F838" s="116" t="s">
        <v>40</v>
      </c>
      <c r="G838" s="970"/>
      <c r="H838" s="970"/>
      <c r="I838" s="777">
        <f>$H$22*$I$9*'Traffic Data'!AK83*annualizationFactor</f>
        <v>22887.935279999998</v>
      </c>
      <c r="J838" s="777">
        <f>$H$22*$I$9*'Traffic Data'!AL83*annualizationFactor</f>
        <v>23393.676907061996</v>
      </c>
      <c r="K838" s="777">
        <f>$H$22*$I$9*'Traffic Data'!AM83*annualizationFactor</f>
        <v>24142.480232534992</v>
      </c>
      <c r="L838" s="777">
        <f>$H$22*$I$9*'Traffic Data'!AN83*annualizationFactor</f>
        <v>25092.779131097992</v>
      </c>
      <c r="M838" s="777">
        <f>$H$22*$I$9*'Traffic Data'!AO83*annualizationFactor</f>
        <v>26043.364128852001</v>
      </c>
      <c r="N838" s="777">
        <f>$H$22*$I$9*'Traffic Data'!AP83*annualizationFactor</f>
        <v>26993.891906767793</v>
      </c>
      <c r="O838" s="777">
        <f>$H$22*$I$9*'Traffic Data'!AQ83*annualizationFactor</f>
        <v>27944.190805330789</v>
      </c>
      <c r="P838" s="777">
        <f>$H$22*$I$9*'Traffic Data'!AR83*annualizationFactor</f>
        <v>28895.00468243759</v>
      </c>
      <c r="Q838" s="777">
        <f>$H$22*$I$9*'Traffic Data'!AS83*annualizationFactor</f>
        <v>29739.896464773592</v>
      </c>
      <c r="R838" s="777">
        <f>$H$22*$I$9*'Traffic Data'!AT83*annualizationFactor</f>
        <v>30584.869989735591</v>
      </c>
      <c r="S838" s="777">
        <f>$H$22*$I$9*'Traffic Data'!AU83*annualizationFactor</f>
        <v>31429.761772071586</v>
      </c>
      <c r="T838" s="777">
        <f>$H$22*$I$9*'Traffic Data'!AV83*annualizationFactor</f>
        <v>32274.653554407596</v>
      </c>
      <c r="U838" s="777">
        <f>$H$22*$I$9*'Traffic Data'!AW83*annualizationFactor</f>
        <v>33119.93770134839</v>
      </c>
      <c r="V838" s="777">
        <f>$H$22*$I$9*'Traffic Data'!AX83*annualizationFactor</f>
        <v>33763.10503124159</v>
      </c>
      <c r="W838" s="777">
        <f>$H$22*$I$9*'Traffic Data'!AY83*annualizationFactor</f>
        <v>34268.846658303584</v>
      </c>
      <c r="X838" s="777">
        <f>$H$22*$I$9*'Traffic Data'!AZ83*annualizationFactor</f>
        <v>34774.588285365593</v>
      </c>
      <c r="Y838" s="777">
        <f>$H$22*$I$9*'Traffic Data'!BA83*annualizationFactor</f>
        <v>35280.329912427595</v>
      </c>
      <c r="Z838" s="777">
        <f>$H$22*$I$9*'Traffic Data'!BB83*annualizationFactor</f>
        <v>35786.1532821156</v>
      </c>
      <c r="AA838" s="777">
        <f>$H$22*$I$9*'Traffic Data'!BC83*annualizationFactor</f>
        <v>36291.894909177587</v>
      </c>
      <c r="AB838" s="777">
        <f>$H$22*$I$9*'Traffic Data'!BD83*annualizationFactor</f>
        <v>36797.718278865592</v>
      </c>
      <c r="AC838" s="777">
        <f>$H$22*$I$9*'Traffic Data'!BE83*annualizationFactor</f>
        <v>37303.459905927601</v>
      </c>
      <c r="AD838" s="777">
        <f>$H$22*$I$9*'Traffic Data'!BF83*annualizationFactor</f>
        <v>37809.201532989595</v>
      </c>
      <c r="AE838" s="777">
        <f>$H$22*$I$9*'Traffic Data'!BG83*annualizationFactor</f>
        <v>38315.024902677593</v>
      </c>
      <c r="AF838" s="777">
        <f>$H$22*$I$9*'Traffic Data'!BH83*annualizationFactor</f>
        <v>38820.766529739594</v>
      </c>
      <c r="AG838" s="777">
        <f>$H$22*$I$9*'Traffic Data'!BI83*annualizationFactor</f>
        <v>39326.508156801603</v>
      </c>
      <c r="AH838" s="778">
        <f>$H$22*$I$9*'Traffic Data'!BJ83*annualizationFactor</f>
        <v>39832.331526489601</v>
      </c>
      <c r="AI838" s="21"/>
      <c r="AJ838" s="21"/>
      <c r="AK838" s="21"/>
      <c r="AL838" s="21"/>
      <c r="AM838" s="21"/>
    </row>
    <row r="839" spans="2:39" ht="21.95" customHeight="1" x14ac:dyDescent="0.2">
      <c r="B839" s="1346"/>
      <c r="C839" s="254" t="s">
        <v>348</v>
      </c>
      <c r="D839" s="254" t="s">
        <v>349</v>
      </c>
      <c r="E839" s="254" t="s">
        <v>467</v>
      </c>
      <c r="F839" s="116" t="s">
        <v>40</v>
      </c>
      <c r="G839" s="779"/>
      <c r="H839" s="779"/>
      <c r="I839" s="777">
        <f>$H$22*$I$9*'Traffic Data'!AK84*annualizationFactor</f>
        <v>37368.057599999993</v>
      </c>
      <c r="J839" s="777">
        <f>$H$22*$I$9*'Traffic Data'!AL84*annualizationFactor</f>
        <v>38260.628688329991</v>
      </c>
      <c r="K839" s="777">
        <f>$H$22*$I$9*'Traffic Data'!AM84*annualizationFactor</f>
        <v>39500.489161979989</v>
      </c>
      <c r="L839" s="777">
        <f>$H$22*$I$9*'Traffic Data'!AN84*annualizationFactor</f>
        <v>41147.135975159988</v>
      </c>
      <c r="M839" s="777">
        <f>$H$22*$I$9*'Traffic Data'!AO84*annualizationFactor</f>
        <v>42794.249889059996</v>
      </c>
      <c r="N839" s="777">
        <f>$H$22*$I$9*'Traffic Data'!AP84*annualizationFactor</f>
        <v>44441.480578139992</v>
      </c>
      <c r="O839" s="777">
        <f>$H$22*$I$9*'Traffic Data'!AQ84*annualizationFactor</f>
        <v>46088.127391319991</v>
      </c>
      <c r="P839" s="777">
        <f>$H$22*$I$9*'Traffic Data'!AR84*annualizationFactor</f>
        <v>47735.708405940008</v>
      </c>
      <c r="Q839" s="777">
        <f>$H$22*$I$9*'Traffic Data'!AS84*annualizationFactor</f>
        <v>49308.202979819987</v>
      </c>
      <c r="R839" s="777">
        <f>$H$22*$I$9*'Traffic Data'!AT84*annualizationFactor</f>
        <v>50880.755941289986</v>
      </c>
      <c r="S839" s="777">
        <f>$H$22*$I$9*'Traffic Data'!AU84*annualizationFactor</f>
        <v>52453.250515169981</v>
      </c>
      <c r="T839" s="777">
        <f>$H$22*$I$9*'Traffic Data'!AV84*annualizationFactor</f>
        <v>54025.745089049989</v>
      </c>
      <c r="U839" s="777">
        <f>$H$22*$I$9*'Traffic Data'!AW84*annualizationFactor</f>
        <v>55599.173864369994</v>
      </c>
      <c r="V839" s="777">
        <f>$H$22*$I$9*'Traffic Data'!AX84*annualizationFactor</f>
        <v>56764.414997999986</v>
      </c>
      <c r="W839" s="777">
        <f>$H$22*$I$9*'Traffic Data'!AY84*annualizationFactor</f>
        <v>57656.986086329991</v>
      </c>
      <c r="X839" s="777">
        <f>$H$22*$I$9*'Traffic Data'!AZ84*annualizationFactor</f>
        <v>58549.557174659989</v>
      </c>
      <c r="Y839" s="777">
        <f>$H$22*$I$9*'Traffic Data'!BA84*annualizationFactor</f>
        <v>59442.12826298998</v>
      </c>
      <c r="Z839" s="777">
        <f>$H$22*$I$9*'Traffic Data'!BB84*annualizationFactor</f>
        <v>60334.874514089985</v>
      </c>
      <c r="AA839" s="777">
        <f>$H$22*$I$9*'Traffic Data'!BC84*annualizationFactor</f>
        <v>61227.445602419975</v>
      </c>
      <c r="AB839" s="777">
        <f>$H$22*$I$9*'Traffic Data'!BD84*annualizationFactor</f>
        <v>62120.191853519995</v>
      </c>
      <c r="AC839" s="777">
        <f>$H$22*$I$9*'Traffic Data'!BE84*annualizationFactor</f>
        <v>63012.762941849986</v>
      </c>
      <c r="AD839" s="777">
        <f>$H$22*$I$9*'Traffic Data'!BF84*annualizationFactor</f>
        <v>63905.334030179984</v>
      </c>
      <c r="AE839" s="777">
        <f>$H$22*$I$9*'Traffic Data'!BG84*annualizationFactor</f>
        <v>64798.080281279981</v>
      </c>
      <c r="AF839" s="777">
        <f>$H$22*$I$9*'Traffic Data'!BH84*annualizationFactor</f>
        <v>65690.651369609986</v>
      </c>
      <c r="AG839" s="777">
        <f>$H$22*$I$9*'Traffic Data'!BI84*annualizationFactor</f>
        <v>66583.222457939992</v>
      </c>
      <c r="AH839" s="778">
        <f>$H$22*$I$9*'Traffic Data'!BJ84*annualizationFactor</f>
        <v>67475.968709039982</v>
      </c>
      <c r="AI839" s="21"/>
      <c r="AJ839" s="21"/>
      <c r="AK839" s="21"/>
      <c r="AL839" s="21"/>
      <c r="AM839" s="21"/>
    </row>
    <row r="840" spans="2:39" s="1" customFormat="1" ht="21.95" customHeight="1" x14ac:dyDescent="0.2">
      <c r="B840" s="492" t="s">
        <v>288</v>
      </c>
      <c r="C840" s="116" t="s">
        <v>323</v>
      </c>
      <c r="D840" s="116" t="s">
        <v>348</v>
      </c>
      <c r="E840" s="116" t="s">
        <v>467</v>
      </c>
      <c r="F840" s="220" t="s">
        <v>40</v>
      </c>
      <c r="G840" s="970"/>
      <c r="H840" s="970"/>
      <c r="I840" s="775">
        <f>$H$22*$J$9*'Traffic Data'!AK85*annualizationFactor</f>
        <v>4671.0072</v>
      </c>
      <c r="J840" s="775">
        <f>$H$22*$J$9*'Traffic Data'!AL85*annualizationFactor</f>
        <v>4958.2222427199995</v>
      </c>
      <c r="K840" s="775">
        <f>$H$22*$J$9*'Traffic Data'!AM85*annualizationFactor</f>
        <v>5338.3124785999998</v>
      </c>
      <c r="L840" s="775">
        <f>$H$22*$J$9*'Traffic Data'!AN85*annualizationFactor</f>
        <v>5843.4300071999996</v>
      </c>
      <c r="M840" s="775">
        <f>$H$22*$J$9*'Traffic Data'!AO85*annualizationFactor</f>
        <v>6348.703236039999</v>
      </c>
      <c r="N840" s="775">
        <f>$H$22*$J$9*'Traffic Data'!AP85*annualizationFactor</f>
        <v>6855.0663665600014</v>
      </c>
      <c r="O840" s="775">
        <f>$H$22*$J$9*'Traffic Data'!AQ85*annualizationFactor</f>
        <v>7360.1838951599984</v>
      </c>
      <c r="P840" s="775">
        <f>$H$22*$J$9*'Traffic Data'!AR85*annualizationFactor</f>
        <v>7865.8463745999998</v>
      </c>
      <c r="Q840" s="775">
        <f>$H$22*$J$9*'Traffic Data'!AS85*annualizationFactor</f>
        <v>8326.9266853199988</v>
      </c>
      <c r="R840" s="775">
        <f>$H$22*$J$9*'Traffic Data'!AT85*annualizationFactor</f>
        <v>8787.6177454400004</v>
      </c>
      <c r="S840" s="775">
        <f>$H$22*$J$9*'Traffic Data'!AU85*annualizationFactor</f>
        <v>9248.7240061999983</v>
      </c>
      <c r="T840" s="775">
        <f>$H$22*$J$9*'Traffic Data'!AV85*annualizationFactor</f>
        <v>9709.8043169199991</v>
      </c>
      <c r="U840" s="775">
        <f>$H$22*$J$9*'Traffic Data'!AW85*annualizationFactor</f>
        <v>10172.519480159999</v>
      </c>
      <c r="V840" s="775">
        <f>$H$22*$J$9*'Traffic Data'!AX85*annualizationFactor</f>
        <v>10508.209197599999</v>
      </c>
      <c r="W840" s="775">
        <f>$H$22*$J$9*'Traffic Data'!AY85*annualizationFactor</f>
        <v>10795.424240320001</v>
      </c>
      <c r="X840" s="775">
        <f>$H$22*$J$9*'Traffic Data'!AZ85*annualizationFactor</f>
        <v>11082.639283039998</v>
      </c>
      <c r="Y840" s="775">
        <f>$H$22*$J$9*'Traffic Data'!BA85*annualizationFactor</f>
        <v>11369.854325759999</v>
      </c>
      <c r="Z840" s="775">
        <f>$H$22*$J$9*'Traffic Data'!BB85*annualizationFactor</f>
        <v>11657.380768959998</v>
      </c>
      <c r="AA840" s="775">
        <f>$H$22*$J$9*'Traffic Data'!BC85*annualizationFactor</f>
        <v>11944.595811679997</v>
      </c>
      <c r="AB840" s="775">
        <f>$H$22*$J$9*'Traffic Data'!BD85*annualizationFactor</f>
        <v>12232.511505480001</v>
      </c>
      <c r="AC840" s="775">
        <f>$H$22*$J$9*'Traffic Data'!BE85*annualizationFactor</f>
        <v>12519.726548199998</v>
      </c>
      <c r="AD840" s="775">
        <f>$H$22*$J$9*'Traffic Data'!BF85*annualizationFactor</f>
        <v>12806.941590919998</v>
      </c>
      <c r="AE840" s="775">
        <f>$H$22*$J$9*'Traffic Data'!BG85*annualizationFactor</f>
        <v>13094.468034119998</v>
      </c>
      <c r="AF840" s="775">
        <f>$H$22*$J$9*'Traffic Data'!BH85*annualizationFactor</f>
        <v>13381.683076840001</v>
      </c>
      <c r="AG840" s="775">
        <f>$H$22*$J$9*'Traffic Data'!BI85*annualizationFactor</f>
        <v>13668.898119559999</v>
      </c>
      <c r="AH840" s="776">
        <f>$H$22*$J$9*'Traffic Data'!BJ85*annualizationFactor</f>
        <v>13956.813813359999</v>
      </c>
      <c r="AI840" s="135"/>
      <c r="AJ840" s="135"/>
      <c r="AK840" s="135"/>
      <c r="AL840" s="135"/>
      <c r="AM840" s="135"/>
    </row>
    <row r="841" spans="2:39" s="1" customFormat="1" ht="21.95" customHeight="1" x14ac:dyDescent="0.2">
      <c r="B841" s="782" t="s">
        <v>340</v>
      </c>
      <c r="C841" s="277" t="s">
        <v>335</v>
      </c>
      <c r="D841" s="277" t="s">
        <v>323</v>
      </c>
      <c r="E841" s="277" t="s">
        <v>467</v>
      </c>
      <c r="F841" s="220" t="s">
        <v>40</v>
      </c>
      <c r="G841" s="780"/>
      <c r="H841" s="780"/>
      <c r="I841" s="775">
        <f>$H$22*$K$9*'Traffic Data'!AK86*annualizationFactor</f>
        <v>0</v>
      </c>
      <c r="J841" s="775">
        <f>$H$22*$K$9*'Traffic Data'!AL86*annualizationFactor</f>
        <v>7833.9911434976002</v>
      </c>
      <c r="K841" s="775">
        <f>$H$22*$K$9*'Traffic Data'!AM86*annualizationFactor</f>
        <v>8434.5337161880016</v>
      </c>
      <c r="L841" s="775">
        <f>$H$22*$K$9*'Traffic Data'!AN86*annualizationFactor</f>
        <v>9232.6194113759975</v>
      </c>
      <c r="M841" s="775">
        <f>$H$22*$K$9*'Traffic Data'!AO86*annualizationFactor</f>
        <v>10030.951112943199</v>
      </c>
      <c r="N841" s="775">
        <f>$H$22*$K$9*'Traffic Data'!AP86*annualizationFactor</f>
        <v>10831.004859164801</v>
      </c>
      <c r="O841" s="775">
        <f>$H$22*$K$9*'Traffic Data'!AQ86*annualizationFactor</f>
        <v>11629.090554352799</v>
      </c>
      <c r="P841" s="775">
        <f>$H$22*$K$9*'Traffic Data'!AR86*annualizationFactor</f>
        <v>12428.037271867999</v>
      </c>
      <c r="Q841" s="775">
        <f>$H$22*$K$9*'Traffic Data'!AS86*annualizationFactor</f>
        <v>13156.5441628056</v>
      </c>
      <c r="R841" s="775">
        <f>$H$22*$K$9*'Traffic Data'!AT86*annualizationFactor</f>
        <v>13884.4360377952</v>
      </c>
      <c r="S841" s="775">
        <f>$H$22*$K$9*'Traffic Data'!AU86*annualizationFactor</f>
        <v>14612.983929795997</v>
      </c>
      <c r="T841" s="775">
        <f>$H$22*$K$9*'Traffic Data'!AV86*annualizationFactor</f>
        <v>15341.490820733599</v>
      </c>
      <c r="U841" s="775">
        <f>$H$22*$K$9*'Traffic Data'!AW86*annualizationFactor</f>
        <v>16072.5807786528</v>
      </c>
      <c r="V841" s="775">
        <f>$H$22*$K$9*'Traffic Data'!AX86*annualizationFactor</f>
        <v>16602.970532208001</v>
      </c>
      <c r="W841" s="775">
        <f>$H$22*$K$9*'Traffic Data'!AY86*annualizationFactor</f>
        <v>17056.7702997056</v>
      </c>
      <c r="X841" s="775">
        <f>$H$22*$K$9*'Traffic Data'!AZ86*annualizationFactor</f>
        <v>17510.570067203196</v>
      </c>
      <c r="Y841" s="775">
        <f>$H$22*$K$9*'Traffic Data'!BA86*annualizationFactor</f>
        <v>17964.369834700799</v>
      </c>
      <c r="Z841" s="775">
        <f>$H$22*$K$9*'Traffic Data'!BB86*annualizationFactor</f>
        <v>18418.6616149568</v>
      </c>
      <c r="AA841" s="775">
        <f>$H$22*$K$9*'Traffic Data'!BC86*annualizationFactor</f>
        <v>18872.461382454396</v>
      </c>
      <c r="AB841" s="775">
        <f>$H$22*$K$9*'Traffic Data'!BD86*annualizationFactor</f>
        <v>19327.368178658402</v>
      </c>
      <c r="AC841" s="775">
        <f>$H$22*$K$9*'Traffic Data'!BE86*annualizationFactor</f>
        <v>19781.167946155998</v>
      </c>
      <c r="AD841" s="775">
        <f>$H$22*$K$9*'Traffic Data'!BF86*annualizationFactor</f>
        <v>20234.967713653597</v>
      </c>
      <c r="AE841" s="775">
        <f>$H$22*$K$9*'Traffic Data'!BG86*annualizationFactor</f>
        <v>20689.259493909594</v>
      </c>
      <c r="AF841" s="775">
        <f>$H$22*$K$9*'Traffic Data'!BH86*annualizationFactor</f>
        <v>21143.059261407201</v>
      </c>
      <c r="AG841" s="775">
        <f>$H$22*$K$9*'Traffic Data'!BI86*annualizationFactor</f>
        <v>21596.859028904797</v>
      </c>
      <c r="AH841" s="776">
        <f>$H$22*$K$9*'Traffic Data'!BJ86*annualizationFactor</f>
        <v>22051.765825108796</v>
      </c>
      <c r="AI841" s="135"/>
      <c r="AJ841" s="135"/>
      <c r="AK841" s="135"/>
      <c r="AL841" s="135"/>
      <c r="AM841" s="135"/>
    </row>
    <row r="842" spans="2:39" ht="21.95" customHeight="1" x14ac:dyDescent="0.2">
      <c r="B842" s="782" t="s">
        <v>357</v>
      </c>
      <c r="C842" s="277" t="s">
        <v>338</v>
      </c>
      <c r="D842" s="277" t="s">
        <v>323</v>
      </c>
      <c r="E842" s="116" t="s">
        <v>467</v>
      </c>
      <c r="F842" s="220" t="s">
        <v>40</v>
      </c>
      <c r="G842" s="970"/>
      <c r="H842" s="970"/>
      <c r="I842" s="775">
        <f>$H$22*$L$9*'Traffic Data'!AK87*annualizationFactor</f>
        <v>8662.5951709090896</v>
      </c>
      <c r="J842" s="775">
        <f>$H$22*$L$9*'Traffic Data'!AL87*annualizationFactor</f>
        <v>8781.5374151585456</v>
      </c>
      <c r="K842" s="775">
        <f>$H$22*$L$9*'Traffic Data'!AM87*annualizationFactor</f>
        <v>8987.1296738814544</v>
      </c>
      <c r="L842" s="775">
        <f>$H$22*$L$9*'Traffic Data'!AN87*annualizationFactor</f>
        <v>9269.3858998669093</v>
      </c>
      <c r="M842" s="775">
        <f>$H$22*$L$9*'Traffic Data'!AO87*annualizationFactor</f>
        <v>9551.7624396741812</v>
      </c>
      <c r="N842" s="775">
        <f>$H$22*$L$9*'Traffic Data'!AP87*annualizationFactor</f>
        <v>9834.5480464756347</v>
      </c>
      <c r="O842" s="775">
        <f>$H$22*$L$9*'Traffic Data'!AQ87*annualizationFactor</f>
        <v>10116.804272461091</v>
      </c>
      <c r="P842" s="775">
        <f>$H$22*$L$9*'Traffic Data'!AR87*annualizationFactor</f>
        <v>10400.047071785453</v>
      </c>
      <c r="Q842" s="775">
        <f>$H$22*$L$9*'Traffic Data'!AS87*annualizationFactor</f>
        <v>10596.471417285818</v>
      </c>
      <c r="R842" s="775">
        <f>$H$22*$L$9*'Traffic Data'!AT87*annualizationFactor</f>
        <v>10792.919825550543</v>
      </c>
      <c r="S842" s="775">
        <f>$H$22*$L$9*'Traffic Data'!AU87*annualizationFactor</f>
        <v>10989.392296579636</v>
      </c>
      <c r="T842" s="775">
        <f>$H$22*$L$9*'Traffic Data'!AV87*annualizationFactor</f>
        <v>11185.816642080001</v>
      </c>
      <c r="U842" s="775">
        <f>$H$22*$L$9*'Traffic Data'!AW87*annualizationFactor</f>
        <v>11383.636627913455</v>
      </c>
      <c r="V842" s="775">
        <f>$H$22*$L$9*'Traffic Data'!AX87*annualizationFactor</f>
        <v>11502.578872162907</v>
      </c>
      <c r="W842" s="775">
        <f>$H$22*$L$9*'Traffic Data'!AY87*annualizationFactor</f>
        <v>11621.521116412361</v>
      </c>
      <c r="X842" s="775">
        <f>$H$22*$L$9*'Traffic Data'!AZ87*annualizationFactor</f>
        <v>11740.463360661819</v>
      </c>
      <c r="Y842" s="775">
        <f>$H$22*$L$9*'Traffic Data'!BA87*annualizationFactor</f>
        <v>11859.40560491127</v>
      </c>
      <c r="Z842" s="775">
        <f>$H$22*$L$9*'Traffic Data'!BB87*annualizationFactor</f>
        <v>11979.165983149092</v>
      </c>
      <c r="AA842" s="775">
        <f>$H$22*$L$9*'Traffic Data'!BC87*annualizationFactor</f>
        <v>12098.108227398545</v>
      </c>
      <c r="AB842" s="775">
        <f>$H$22*$L$9*'Traffic Data'!BD87*annualizationFactor</f>
        <v>12217.507664170909</v>
      </c>
      <c r="AC842" s="775">
        <f>$H$22*$L$9*'Traffic Data'!BE87*annualizationFactor</f>
        <v>12336.449908420362</v>
      </c>
      <c r="AD842" s="775">
        <f>$H$22*$L$9*'Traffic Data'!BF87*annualizationFactor</f>
        <v>12455.39215266982</v>
      </c>
      <c r="AE842" s="775">
        <f>$H$22*$L$9*'Traffic Data'!BG87*annualizationFactor</f>
        <v>12575.152530907635</v>
      </c>
      <c r="AF842" s="775">
        <f>$H$22*$L$9*'Traffic Data'!BH87*annualizationFactor</f>
        <v>12694.094775157093</v>
      </c>
      <c r="AG842" s="775">
        <f>$H$22*$L$9*'Traffic Data'!BI87*annualizationFactor</f>
        <v>12813.037019406544</v>
      </c>
      <c r="AH842" s="776">
        <f>$H$22*$L$9*'Traffic Data'!BJ87*annualizationFactor</f>
        <v>12932.43645617891</v>
      </c>
      <c r="AI842" s="21"/>
      <c r="AJ842" s="21"/>
      <c r="AK842" s="21"/>
      <c r="AL842" s="21"/>
      <c r="AM842" s="21"/>
    </row>
    <row r="843" spans="2:39" ht="21.95" customHeight="1" x14ac:dyDescent="0.2">
      <c r="B843" s="492" t="s">
        <v>338</v>
      </c>
      <c r="C843" s="116" t="s">
        <v>282</v>
      </c>
      <c r="D843" s="116" t="s">
        <v>357</v>
      </c>
      <c r="E843" s="220" t="s">
        <v>467</v>
      </c>
      <c r="F843" s="220" t="s">
        <v>40</v>
      </c>
      <c r="G843" s="775"/>
      <c r="H843" s="775"/>
      <c r="I843" s="775">
        <f>$H$22*$M$9*'Traffic Data'!AK88*annualizationFactor</f>
        <v>31110.559318181819</v>
      </c>
      <c r="J843" s="775">
        <f>$H$22*$M$9*'Traffic Data'!AL88*annualizationFactor</f>
        <v>32007.383411647057</v>
      </c>
      <c r="K843" s="775">
        <f>$H$22*$M$9*'Traffic Data'!AM88*annualizationFactor</f>
        <v>32978.095083492961</v>
      </c>
      <c r="L843" s="775">
        <f>$H$22*$M$9*'Traffic Data'!AN88*annualizationFactor</f>
        <v>34265.916686469092</v>
      </c>
      <c r="M843" s="775">
        <f>$H$22*$M$9*'Traffic Data'!AO88*annualizationFactor</f>
        <v>35553.956063360456</v>
      </c>
      <c r="N843" s="775">
        <f>$H$22*$M$9*'Traffic Data'!AP88*annualizationFactor</f>
        <v>36842.524319760225</v>
      </c>
      <c r="O843" s="775">
        <f>$H$22*$M$9*'Traffic Data'!AQ88*annualizationFactor</f>
        <v>38130.345922736371</v>
      </c>
      <c r="P843" s="775">
        <f>$H$22*$M$9*'Traffic Data'!AR88*annualizationFactor</f>
        <v>39418.509741865004</v>
      </c>
      <c r="Q843" s="775">
        <f>$H$22*$M$9*'Traffic Data'!AS88*annualizationFactor</f>
        <v>40835.969045520011</v>
      </c>
      <c r="R843" s="775">
        <f>$H$22*$M$9*'Traffic Data'!AT88*annualizationFactor</f>
        <v>42252.961690785225</v>
      </c>
      <c r="S843" s="775">
        <f>$H$22*$M$9*'Traffic Data'!AU88*annualizationFactor</f>
        <v>43670.420994440225</v>
      </c>
      <c r="T843" s="775">
        <f>$H$22*$M$9*'Traffic Data'!AV88*annualizationFactor</f>
        <v>45087.880298095231</v>
      </c>
      <c r="U843" s="775">
        <f>$H$22*$M$9*'Traffic Data'!AW88*annualizationFactor</f>
        <v>46506.148476292503</v>
      </c>
      <c r="V843" s="775">
        <f>$H$22*$M$9*'Traffic Data'!AX88*annualizationFactor</f>
        <v>47606.373406580002</v>
      </c>
      <c r="W843" s="775">
        <f>$H$22*$M$9*'Traffic Data'!AY88*annualizationFactor</f>
        <v>48503.197500045229</v>
      </c>
      <c r="X843" s="775">
        <f>$H$22*$M$9*'Traffic Data'!AZ88*annualizationFactor</f>
        <v>49400.021593510457</v>
      </c>
      <c r="Y843" s="775">
        <f>$H$22*$M$9*'Traffic Data'!BA88*annualizationFactor</f>
        <v>50296.845686975692</v>
      </c>
      <c r="Z843" s="775">
        <f>$H$22*$M$9*'Traffic Data'!BB88*annualizationFactor</f>
        <v>51193.576448762949</v>
      </c>
      <c r="AA843" s="775">
        <f>$H$22*$M$9*'Traffic Data'!BC88*annualizationFactor</f>
        <v>52090.40054222817</v>
      </c>
      <c r="AB843" s="775">
        <f>$H$22*$M$9*'Traffic Data'!BD88*annualizationFactor</f>
        <v>52987.131304015435</v>
      </c>
      <c r="AC843" s="775">
        <f>$H$22*$M$9*'Traffic Data'!BE88*annualizationFactor</f>
        <v>53883.955397480699</v>
      </c>
      <c r="AD843" s="775">
        <f>$H$22*$M$9*'Traffic Data'!BF88*annualizationFactor</f>
        <v>54780.779490945919</v>
      </c>
      <c r="AE843" s="775">
        <f>$H$22*$M$9*'Traffic Data'!BG88*annualizationFactor</f>
        <v>55677.510252733191</v>
      </c>
      <c r="AF843" s="775">
        <f>$H$22*$M$9*'Traffic Data'!BH88*annualizationFactor</f>
        <v>56574.334346198411</v>
      </c>
      <c r="AG843" s="775">
        <f>$H$22*$M$9*'Traffic Data'!BI88*annualizationFactor</f>
        <v>57471.158439663639</v>
      </c>
      <c r="AH843" s="776">
        <f>$H$22*$M$9*'Traffic Data'!BJ88*annualizationFactor</f>
        <v>58367.889201450926</v>
      </c>
      <c r="AI843" s="21"/>
      <c r="AJ843" s="21"/>
      <c r="AK843" s="21"/>
      <c r="AL843" s="21"/>
      <c r="AM843" s="21"/>
    </row>
    <row r="844" spans="2:39" ht="21.95" customHeight="1" x14ac:dyDescent="0.2">
      <c r="B844" s="492"/>
      <c r="C844" s="116" t="s">
        <v>357</v>
      </c>
      <c r="D844" s="116" t="s">
        <v>346</v>
      </c>
      <c r="E844" s="116" t="s">
        <v>467</v>
      </c>
      <c r="F844" s="116" t="s">
        <v>40</v>
      </c>
      <c r="G844" s="970"/>
      <c r="H844" s="970"/>
      <c r="I844" s="777">
        <f>$H$22*$M$9*'Traffic Data'!AK89*annualizationFactor</f>
        <v>4530.8376657575755</v>
      </c>
      <c r="J844" s="777">
        <f>$H$22*$M$9*'Traffic Data'!AL89*annualizationFactor</f>
        <v>4659.4299926659842</v>
      </c>
      <c r="K844" s="777">
        <f>$H$22*$M$9*'Traffic Data'!AM89*annualizationFactor</f>
        <v>4802.1334942518261</v>
      </c>
      <c r="L844" s="777">
        <f>$H$22*$M$9*'Traffic Data'!AN89*annualizationFactor</f>
        <v>5002.4322888493552</v>
      </c>
      <c r="M844" s="777">
        <f>$H$22*$M$9*'Traffic Data'!AO89*annualizationFactor</f>
        <v>5202.7668532179323</v>
      </c>
      <c r="N844" s="777">
        <f>$H$22*$M$9*'Traffic Data'!AP89*annualizationFactor</f>
        <v>5403.1431489860588</v>
      </c>
      <c r="O844" s="777">
        <f>$H$22*$M$9*'Traffic Data'!AQ89*annualizationFactor</f>
        <v>5603.4419435835907</v>
      </c>
      <c r="P844" s="777">
        <f>$H$22*$M$9*'Traffic Data'!AR89*annualizationFactor</f>
        <v>5803.7526614381359</v>
      </c>
      <c r="Q844" s="777">
        <f>$H$22*$M$9*'Traffic Data'!AS89*annualizationFactor</f>
        <v>6028.8935620267348</v>
      </c>
      <c r="R844" s="777">
        <f>$H$22*$M$9*'Traffic Data'!AT89*annualizationFactor</f>
        <v>6253.9569614447337</v>
      </c>
      <c r="S844" s="777">
        <f>$H$22*$M$9*'Traffic Data'!AU89*annualizationFactor</f>
        <v>6479.0978620333317</v>
      </c>
      <c r="T844" s="777">
        <f>$H$22*$M$9*'Traffic Data'!AV89*annualizationFactor</f>
        <v>6704.2387626219297</v>
      </c>
      <c r="U844" s="777">
        <f>$H$22*$M$9*'Traffic Data'!AW89*annualizationFactor</f>
        <v>6929.4154329815756</v>
      </c>
      <c r="V844" s="777">
        <f>$H$22*$M$9*'Traffic Data'!AX89*annualizationFactor</f>
        <v>7096.9848870725145</v>
      </c>
      <c r="W844" s="777">
        <f>$H$22*$M$9*'Traffic Data'!AY89*annualizationFactor</f>
        <v>7225.5772139809242</v>
      </c>
      <c r="X844" s="777">
        <f>$H$22*$M$9*'Traffic Data'!AZ89*annualizationFactor</f>
        <v>7354.1695408893338</v>
      </c>
      <c r="Y844" s="777">
        <f>$H$22*$M$9*'Traffic Data'!BA89*annualizationFactor</f>
        <v>7482.7618677977416</v>
      </c>
      <c r="Z844" s="777">
        <f>$H$22*$M$9*'Traffic Data'!BB89*annualizationFactor</f>
        <v>7611.2886167925662</v>
      </c>
      <c r="AA844" s="777">
        <f>$H$22*$M$9*'Traffic Data'!BC89*annualizationFactor</f>
        <v>7739.8809437009768</v>
      </c>
      <c r="AB844" s="777">
        <f>$H$22*$M$9*'Traffic Data'!BD89*annualizationFactor</f>
        <v>7868.4076926958032</v>
      </c>
      <c r="AC844" s="777">
        <f>$H$22*$M$9*'Traffic Data'!BE89*annualizationFactor</f>
        <v>7997.000019604211</v>
      </c>
      <c r="AD844" s="777">
        <f>$H$22*$M$9*'Traffic Data'!BF89*annualizationFactor</f>
        <v>8125.5923465126198</v>
      </c>
      <c r="AE844" s="777">
        <f>$H$22*$M$9*'Traffic Data'!BG89*annualizationFactor</f>
        <v>8254.1190955074453</v>
      </c>
      <c r="AF844" s="777">
        <f>$H$22*$M$9*'Traffic Data'!BH89*annualizationFactor</f>
        <v>8382.7114224158558</v>
      </c>
      <c r="AG844" s="777">
        <f>$H$22*$M$9*'Traffic Data'!BI89*annualizationFactor</f>
        <v>8511.3037493242628</v>
      </c>
      <c r="AH844" s="778">
        <f>$H$22*$M$9*'Traffic Data'!BJ89*annualizationFactor</f>
        <v>8639.8304983190883</v>
      </c>
      <c r="AI844" s="21"/>
      <c r="AJ844" s="21"/>
      <c r="AK844" s="21"/>
      <c r="AL844" s="21"/>
      <c r="AM844" s="21"/>
    </row>
    <row r="845" spans="2:39" ht="21.95" customHeight="1" x14ac:dyDescent="0.2">
      <c r="B845" s="492"/>
      <c r="C845" s="116" t="s">
        <v>346</v>
      </c>
      <c r="D845" s="116" t="s">
        <v>343</v>
      </c>
      <c r="E845" s="116" t="s">
        <v>467</v>
      </c>
      <c r="F845" s="116" t="s">
        <v>40</v>
      </c>
      <c r="G845" s="970"/>
      <c r="H845" s="970"/>
      <c r="I845" s="777">
        <f>$H$22*$M$9*'Traffic Data'!AK90*annualizationFactor</f>
        <v>1120.5699090909091</v>
      </c>
      <c r="J845" s="777">
        <f>$H$22*$M$9*'Traffic Data'!AL90*annualizationFactor</f>
        <v>1152.3734524318181</v>
      </c>
      <c r="K845" s="777">
        <f>$H$22*$M$9*'Traffic Data'!AM90*annualizationFactor</f>
        <v>1187.666981265909</v>
      </c>
      <c r="L845" s="777">
        <f>$H$22*$M$9*'Traffic Data'!AN90*annualizationFactor</f>
        <v>1237.2050178522727</v>
      </c>
      <c r="M845" s="777">
        <f>$H$22*$M$9*'Traffic Data'!AO90*annualizationFactor</f>
        <v>1286.7519010431818</v>
      </c>
      <c r="N845" s="777">
        <f>$H$22*$M$9*'Traffic Data'!AP90*annualizationFactor</f>
        <v>1336.309105272727</v>
      </c>
      <c r="O845" s="777">
        <f>$H$22*$M$9*'Traffic Data'!AQ90*annualizationFactor</f>
        <v>1385.8471418590909</v>
      </c>
      <c r="P845" s="777">
        <f>$H$22*$M$9*'Traffic Data'!AR90*annualizationFactor</f>
        <v>1435.3881273136365</v>
      </c>
      <c r="Q845" s="777">
        <f>$H$22*$M$9*'Traffic Data'!AS90*annualizationFactor</f>
        <v>1491.0701307568181</v>
      </c>
      <c r="R845" s="777">
        <f>$H$22*$M$9*'Traffic Data'!AT90*annualizationFactor</f>
        <v>1546.7329665568177</v>
      </c>
      <c r="S845" s="777">
        <f>$H$22*$M$9*'Traffic Data'!AU90*annualizationFactor</f>
        <v>1602.4149699999996</v>
      </c>
      <c r="T845" s="777">
        <f>$H$22*$M$9*'Traffic Data'!AV90*annualizationFactor</f>
        <v>1658.0969734431815</v>
      </c>
      <c r="U845" s="777">
        <f>$H$22*$M$9*'Traffic Data'!AW90*annualizationFactor</f>
        <v>1713.7878234909087</v>
      </c>
      <c r="V845" s="777">
        <f>$H$22*$M$9*'Traffic Data'!AX90*annualizationFactor</f>
        <v>1755.2312169181814</v>
      </c>
      <c r="W845" s="777">
        <f>$H$22*$M$9*'Traffic Data'!AY90*annualizationFactor</f>
        <v>1787.0347602590907</v>
      </c>
      <c r="X845" s="777">
        <f>$H$22*$M$9*'Traffic Data'!AZ90*annualizationFactor</f>
        <v>1818.8383036</v>
      </c>
      <c r="Y845" s="777">
        <f>$H$22*$M$9*'Traffic Data'!BA90*annualizationFactor</f>
        <v>1850.6418469409089</v>
      </c>
      <c r="Z845" s="777">
        <f>$H$22*$M$9*'Traffic Data'!BB90*annualizationFactor</f>
        <v>1882.4291715068177</v>
      </c>
      <c r="AA845" s="777">
        <f>$H$22*$M$9*'Traffic Data'!BC90*annualizationFactor</f>
        <v>1914.2327148477268</v>
      </c>
      <c r="AB845" s="777">
        <f>$H$22*$M$9*'Traffic Data'!BD90*annualizationFactor</f>
        <v>1946.0200394136364</v>
      </c>
      <c r="AC845" s="777">
        <f>$H$22*$M$9*'Traffic Data'!BE90*annualizationFactor</f>
        <v>1977.8235827545452</v>
      </c>
      <c r="AD845" s="777">
        <f>$H$22*$M$9*'Traffic Data'!BF90*annualizationFactor</f>
        <v>2009.6271260954545</v>
      </c>
      <c r="AE845" s="777">
        <f>$H$22*$M$9*'Traffic Data'!BG90*annualizationFactor</f>
        <v>2041.4144506613629</v>
      </c>
      <c r="AF845" s="777">
        <f>$H$22*$M$9*'Traffic Data'!BH90*annualizationFactor</f>
        <v>2073.217994002272</v>
      </c>
      <c r="AG845" s="777">
        <f>$H$22*$M$9*'Traffic Data'!BI90*annualizationFactor</f>
        <v>2105.0215373431811</v>
      </c>
      <c r="AH845" s="778">
        <f>$H$22*$M$9*'Traffic Data'!BJ90*annualizationFactor</f>
        <v>2136.8088619090904</v>
      </c>
      <c r="AI845" s="21"/>
      <c r="AJ845" s="21"/>
      <c r="AK845" s="21"/>
      <c r="AL845" s="21"/>
      <c r="AM845" s="21"/>
    </row>
    <row r="846" spans="2:39" s="1" customFormat="1" ht="21.95" customHeight="1" x14ac:dyDescent="0.2">
      <c r="B846" s="492"/>
      <c r="C846" s="116" t="s">
        <v>343</v>
      </c>
      <c r="D846" s="116" t="s">
        <v>350</v>
      </c>
      <c r="E846" s="116" t="s">
        <v>467</v>
      </c>
      <c r="F846" s="116" t="s">
        <v>40</v>
      </c>
      <c r="G846" s="970"/>
      <c r="H846" s="970"/>
      <c r="I846" s="777">
        <f>$H$22*$M$9*'Traffic Data'!AK91*annualizationFactor</f>
        <v>2875.1464772727272</v>
      </c>
      <c r="J846" s="777">
        <f>$H$22*$M$9*'Traffic Data'!AL91*annualizationFactor</f>
        <v>2956.6760475465908</v>
      </c>
      <c r="K846" s="777">
        <f>$H$22*$M$9*'Traffic Data'!AM91*annualizationFactor</f>
        <v>3049.5768221380681</v>
      </c>
      <c r="L846" s="777">
        <f>$H$22*$M$9*'Traffic Data'!AN91*annualizationFactor</f>
        <v>3168.2820363630681</v>
      </c>
      <c r="M846" s="777">
        <f>$H$22*$M$9*'Traffic Data'!AO91*annualizationFactor</f>
        <v>3287.0255858744317</v>
      </c>
      <c r="N846" s="777">
        <f>$H$22*$M$9*'Traffic Data'!AP91*annualizationFactor</f>
        <v>3405.7499677426149</v>
      </c>
      <c r="O846" s="777">
        <f>$H$22*$M$9*'Traffic Data'!AQ91*annualizationFactor</f>
        <v>3524.455181967614</v>
      </c>
      <c r="P846" s="777">
        <f>$H$22*$M$9*'Traffic Data'!AR91*annualizationFactor</f>
        <v>3643.1843557465913</v>
      </c>
      <c r="Q846" s="777">
        <f>$H$22*$M$9*'Traffic Data'!AS91*annualizationFactor</f>
        <v>3777.3770256624998</v>
      </c>
      <c r="R846" s="777">
        <f>$H$22*$M$9*'Traffic Data'!AT91*annualizationFactor</f>
        <v>3911.5649036676136</v>
      </c>
      <c r="S846" s="777">
        <f>$H$22*$M$9*'Traffic Data'!AU91*annualizationFactor</f>
        <v>4045.7384059403412</v>
      </c>
      <c r="T846" s="777">
        <f>$H$22*$M$9*'Traffic Data'!AV91*annualizationFactor</f>
        <v>4179.9310758562497</v>
      </c>
      <c r="U846" s="777">
        <f>$H$22*$M$9*'Traffic Data'!AW91*annualizationFactor</f>
        <v>4314.147705326136</v>
      </c>
      <c r="V846" s="777">
        <f>$H$22*$M$9*'Traffic Data'!AX91*annualizationFactor</f>
        <v>4422.5311436977272</v>
      </c>
      <c r="W846" s="777">
        <f>$H$22*$M$9*'Traffic Data'!AY91*annualizationFactor</f>
        <v>4504.0607139715912</v>
      </c>
      <c r="X846" s="777">
        <f>$H$22*$M$9*'Traffic Data'!AZ91*annualizationFactor</f>
        <v>4585.5902842454552</v>
      </c>
      <c r="Y846" s="777">
        <f>$H$22*$M$9*'Traffic Data'!BA91*annualizationFactor</f>
        <v>4667.1198545193183</v>
      </c>
      <c r="Z846" s="777">
        <f>$H$22*$M$9*'Traffic Data'!BB91*annualizationFactor</f>
        <v>4748.6254652392054</v>
      </c>
      <c r="AA846" s="777">
        <f>$H$22*$M$9*'Traffic Data'!BC91*annualizationFactor</f>
        <v>4830.1550355130676</v>
      </c>
      <c r="AB846" s="777">
        <f>$H$22*$M$9*'Traffic Data'!BD91*annualizationFactor</f>
        <v>4911.6606462329528</v>
      </c>
      <c r="AC846" s="777">
        <f>$H$22*$M$9*'Traffic Data'!BE91*annualizationFactor</f>
        <v>4993.1902165068177</v>
      </c>
      <c r="AD846" s="777">
        <f>$H$22*$M$9*'Traffic Data'!BF91*annualizationFactor</f>
        <v>5074.7197867806817</v>
      </c>
      <c r="AE846" s="777">
        <f>$H$22*$M$9*'Traffic Data'!BG91*annualizationFactor</f>
        <v>5156.2253975005669</v>
      </c>
      <c r="AF846" s="777">
        <f>$H$22*$M$9*'Traffic Data'!BH91*annualizationFactor</f>
        <v>5237.754967774431</v>
      </c>
      <c r="AG846" s="777">
        <f>$H$22*$M$9*'Traffic Data'!BI91*annualizationFactor</f>
        <v>5319.2845380482941</v>
      </c>
      <c r="AH846" s="778">
        <f>$H$22*$M$9*'Traffic Data'!BJ91*annualizationFactor</f>
        <v>5400.7901487681802</v>
      </c>
      <c r="AI846" s="135"/>
      <c r="AJ846" s="135"/>
      <c r="AK846" s="135"/>
      <c r="AL846" s="135"/>
      <c r="AM846" s="135"/>
    </row>
    <row r="847" spans="2:39" s="1" customFormat="1" ht="21.95" customHeight="1" x14ac:dyDescent="0.2">
      <c r="B847" s="492"/>
      <c r="C847" s="116" t="s">
        <v>350</v>
      </c>
      <c r="D847" s="116" t="s">
        <v>280</v>
      </c>
      <c r="E847" s="116" t="s">
        <v>467</v>
      </c>
      <c r="F847" s="116" t="s">
        <v>40</v>
      </c>
      <c r="G847" s="970"/>
      <c r="H847" s="970"/>
      <c r="I847" s="777">
        <f>$H$22*$M$9*'Traffic Data'!AK92*annualizationFactor</f>
        <v>23871.087931818183</v>
      </c>
      <c r="J847" s="777">
        <f>$H$22*$M$9*'Traffic Data'!AL92*annualizationFactor</f>
        <v>24547.992415271441</v>
      </c>
      <c r="K847" s="777">
        <f>$H$22*$M$9*'Traffic Data'!AM92*annualizationFactor</f>
        <v>25319.307051495038</v>
      </c>
      <c r="L847" s="777">
        <f>$H$22*$M$9*'Traffic Data'!AN92*annualizationFactor</f>
        <v>26304.86470190671</v>
      </c>
      <c r="M847" s="777">
        <f>$H$22*$M$9*'Traffic Data'!AO92*annualizationFactor</f>
        <v>27290.740633490797</v>
      </c>
      <c r="N847" s="777">
        <f>$H$22*$M$9*'Traffic Data'!AP92*annualizationFactor</f>
        <v>28276.457424488686</v>
      </c>
      <c r="O847" s="777">
        <f>$H$22*$M$9*'Traffic Data'!AQ92*annualizationFactor</f>
        <v>29262.015074900344</v>
      </c>
      <c r="P847" s="777">
        <f>$H$22*$M$9*'Traffic Data'!AR92*annualizationFactor</f>
        <v>30247.771651044779</v>
      </c>
      <c r="Q847" s="777">
        <f>$H$22*$M$9*'Traffic Data'!AS92*annualizationFactor</f>
        <v>31361.914895115828</v>
      </c>
      <c r="R847" s="777">
        <f>$H$22*$M$9*'Traffic Data'!AT92*annualizationFactor</f>
        <v>32476.018354040345</v>
      </c>
      <c r="S847" s="777">
        <f>$H$22*$M$9*'Traffic Data'!AU92*annualizationFactor</f>
        <v>33590.002457525188</v>
      </c>
      <c r="T847" s="777">
        <f>$H$22*$M$9*'Traffic Data'!AV92*annualizationFactor</f>
        <v>34704.145701596251</v>
      </c>
      <c r="U847" s="777">
        <f>$H$22*$M$9*'Traffic Data'!AW92*annualizationFactor</f>
        <v>35818.487871400073</v>
      </c>
      <c r="V847" s="777">
        <f>$H$22*$M$9*'Traffic Data'!AX92*annualizationFactor</f>
        <v>36718.348316136515</v>
      </c>
      <c r="W847" s="777">
        <f>$H$22*$M$9*'Traffic Data'!AY92*annualizationFactor</f>
        <v>37395.252799589776</v>
      </c>
      <c r="X847" s="777">
        <f>$H$22*$M$9*'Traffic Data'!AZ92*annualizationFactor</f>
        <v>38072.157283043038</v>
      </c>
      <c r="Y847" s="777">
        <f>$H$22*$M$9*'Traffic Data'!BA92*annualizationFactor</f>
        <v>38749.061766496292</v>
      </c>
      <c r="Z847" s="777">
        <f>$H$22*$M$9*'Traffic Data'!BB92*annualizationFactor</f>
        <v>39425.767324216788</v>
      </c>
      <c r="AA847" s="777">
        <f>$H$22*$M$9*'Traffic Data'!BC92*annualizationFactor</f>
        <v>40102.671807670027</v>
      </c>
      <c r="AB847" s="777">
        <f>$H$22*$M$9*'Traffic Data'!BD92*annualizationFactor</f>
        <v>40779.377365390523</v>
      </c>
      <c r="AC847" s="777">
        <f>$H$22*$M$9*'Traffic Data'!BE92*annualizationFactor</f>
        <v>41456.281848843784</v>
      </c>
      <c r="AD847" s="777">
        <f>$H$22*$M$9*'Traffic Data'!BF92*annualizationFactor</f>
        <v>42133.186332297038</v>
      </c>
      <c r="AE847" s="777">
        <f>$H$22*$M$9*'Traffic Data'!BG92*annualizationFactor</f>
        <v>42809.891890017527</v>
      </c>
      <c r="AF847" s="777">
        <f>$H$22*$M$9*'Traffic Data'!BH92*annualizationFactor</f>
        <v>43486.796373470796</v>
      </c>
      <c r="AG847" s="777">
        <f>$H$22*$M$9*'Traffic Data'!BI92*annualizationFactor</f>
        <v>44163.700856924042</v>
      </c>
      <c r="AH847" s="778">
        <f>$H$22*$M$9*'Traffic Data'!BJ92*annualizationFactor</f>
        <v>44840.406414644531</v>
      </c>
      <c r="AI847" s="135"/>
      <c r="AJ847" s="135"/>
      <c r="AK847" s="135"/>
      <c r="AL847" s="135"/>
      <c r="AM847" s="135"/>
    </row>
    <row r="848" spans="2:39" ht="21.95" customHeight="1" thickBot="1" x14ac:dyDescent="0.25">
      <c r="B848" s="795"/>
      <c r="C848" s="278" t="s">
        <v>280</v>
      </c>
      <c r="D848" s="278" t="s">
        <v>333</v>
      </c>
      <c r="E848" s="278" t="s">
        <v>467</v>
      </c>
      <c r="F848" s="278" t="s">
        <v>40</v>
      </c>
      <c r="G848" s="813"/>
      <c r="H848" s="813"/>
      <c r="I848" s="813">
        <f>$H$22*$M$9*'Traffic Data'!AK93*annualizationFactor</f>
        <v>589.77363636363634</v>
      </c>
      <c r="J848" s="813">
        <f>$H$22*$M$9*'Traffic Data'!AL93*annualizationFactor</f>
        <v>606.49765077878806</v>
      </c>
      <c r="K848" s="813">
        <f>$H$22*$M$9*'Traffic Data'!AM93*annualizationFactor</f>
        <v>625.55421992575748</v>
      </c>
      <c r="L848" s="813">
        <f>$H$22*$M$9*'Traffic Data'!AN93*annualizationFactor</f>
        <v>649.90400745909108</v>
      </c>
      <c r="M848" s="813">
        <f>$H$22*$M$9*'Traffic Data'!AO93*annualizationFactor</f>
        <v>674.26165864090899</v>
      </c>
      <c r="N848" s="813">
        <f>$H$22*$M$9*'Traffic Data'!AP93*annualizationFactor</f>
        <v>698.61537799848509</v>
      </c>
      <c r="O848" s="813">
        <f>$H$22*$M$9*'Traffic Data'!AQ93*annualizationFactor</f>
        <v>722.96516553181834</v>
      </c>
      <c r="P848" s="813">
        <f>$H$22*$M$9*'Traffic Data'!AR93*annualizationFactor</f>
        <v>747.31986784545461</v>
      </c>
      <c r="Q848" s="813">
        <f>$H$22*$M$9*'Traffic Data'!AS93*annualizationFactor</f>
        <v>774.8465693666667</v>
      </c>
      <c r="R848" s="813">
        <f>$H$22*$M$9*'Traffic Data'!AT93*annualizationFactor</f>
        <v>802.37228793181839</v>
      </c>
      <c r="S848" s="813">
        <f>$H$22*$M$9*'Traffic Data'!AU93*annualizationFactor</f>
        <v>829.89505762878787</v>
      </c>
      <c r="T848" s="813">
        <f>$H$22*$M$9*'Traffic Data'!AV93*annualizationFactor</f>
        <v>857.42175915000018</v>
      </c>
      <c r="U848" s="813">
        <f>$H$22*$M$9*'Traffic Data'!AW93*annualizationFactor</f>
        <v>884.95337545151506</v>
      </c>
      <c r="V848" s="813">
        <f>$H$22*$M$9*'Traffic Data'!AX93*annualizationFactor</f>
        <v>907.18587563030303</v>
      </c>
      <c r="W848" s="813">
        <f>$H$22*$M$9*'Traffic Data'!AY93*annualizationFactor</f>
        <v>923.90989004545474</v>
      </c>
      <c r="X848" s="813">
        <f>$H$22*$M$9*'Traffic Data'!AZ93*annualizationFactor</f>
        <v>940.63390446060635</v>
      </c>
      <c r="Y848" s="813">
        <f>$H$22*$M$9*'Traffic Data'!BA93*annualizationFactor</f>
        <v>957.35791887575772</v>
      </c>
      <c r="Z848" s="813">
        <f>$H$22*$M$9*'Traffic Data'!BB93*annualizationFactor</f>
        <v>974.07701851060619</v>
      </c>
      <c r="AA848" s="813">
        <f>$H$22*$M$9*'Traffic Data'!BC93*annualizationFactor</f>
        <v>990.80103292575734</v>
      </c>
      <c r="AB848" s="813">
        <f>$H$22*$M$9*'Traffic Data'!BD93*annualizationFactor</f>
        <v>1007.5201325606058</v>
      </c>
      <c r="AC848" s="813">
        <f>$H$22*$M$9*'Traffic Data'!BE93*annualizationFactor</f>
        <v>1024.2441469757573</v>
      </c>
      <c r="AD848" s="813">
        <f>$H$22*$M$9*'Traffic Data'!BF93*annualizationFactor</f>
        <v>1040.9681613909088</v>
      </c>
      <c r="AE848" s="813">
        <f>$H$22*$M$9*'Traffic Data'!BG93*annualizationFactor</f>
        <v>1057.6872610257574</v>
      </c>
      <c r="AF848" s="813">
        <f>$H$22*$M$9*'Traffic Data'!BH93*annualizationFactor</f>
        <v>1074.4112754409091</v>
      </c>
      <c r="AG848" s="813">
        <f>$H$22*$M$9*'Traffic Data'!BI93*annualizationFactor</f>
        <v>1091.1352898560604</v>
      </c>
      <c r="AH848" s="814">
        <f>$H$22*$M$9*'Traffic Data'!BJ93*annualizationFactor</f>
        <v>1107.8543894909089</v>
      </c>
    </row>
    <row r="849" spans="2:34" ht="21.95" customHeight="1" thickBot="1" x14ac:dyDescent="0.25">
      <c r="B849" s="788" t="s">
        <v>497</v>
      </c>
      <c r="C849" s="789"/>
      <c r="D849" s="789"/>
      <c r="E849" s="789"/>
      <c r="F849" s="789"/>
      <c r="G849" s="790">
        <f>SUM(G820:G848)</f>
        <v>0</v>
      </c>
      <c r="H849" s="790">
        <f>SUM(H820:H848)</f>
        <v>0</v>
      </c>
      <c r="I849" s="790">
        <f t="shared" ref="I849:AH849" si="71">SUM(I820:I848)</f>
        <v>684555.42516137124</v>
      </c>
      <c r="J849" s="790">
        <f t="shared" si="71"/>
        <v>714633.65519116272</v>
      </c>
      <c r="K849" s="790">
        <f t="shared" si="71"/>
        <v>754936.64726266521</v>
      </c>
      <c r="L849" s="790">
        <f t="shared" si="71"/>
        <v>818102.99880031112</v>
      </c>
      <c r="M849" s="790">
        <f t="shared" si="71"/>
        <v>881298.83910087007</v>
      </c>
      <c r="N849" s="790">
        <f t="shared" si="71"/>
        <v>944494.74730698159</v>
      </c>
      <c r="O849" s="790">
        <f t="shared" si="71"/>
        <v>1007661.0988446276</v>
      </c>
      <c r="P849" s="790">
        <f t="shared" si="71"/>
        <v>1070886.4072994413</v>
      </c>
      <c r="Q849" s="790">
        <f t="shared" si="71"/>
        <v>1128530.6675367774</v>
      </c>
      <c r="R849" s="790">
        <f t="shared" si="71"/>
        <v>1186021.0146494764</v>
      </c>
      <c r="S849" s="790">
        <f t="shared" si="71"/>
        <v>1243498.6009410792</v>
      </c>
      <c r="T849" s="790">
        <f t="shared" si="71"/>
        <v>1300975.8960260518</v>
      </c>
      <c r="U849" s="790">
        <f t="shared" si="71"/>
        <v>1358512.183782235</v>
      </c>
      <c r="V849" s="790">
        <f t="shared" si="71"/>
        <v>1393366.2454810487</v>
      </c>
      <c r="W849" s="790">
        <f t="shared" si="71"/>
        <v>1415758.5592270137</v>
      </c>
      <c r="X849" s="790">
        <f t="shared" si="71"/>
        <v>1438690.4453038885</v>
      </c>
      <c r="Y849" s="790">
        <f t="shared" si="71"/>
        <v>1461622.3313807631</v>
      </c>
      <c r="Z849" s="790">
        <f t="shared" si="71"/>
        <v>1484569.8492308392</v>
      </c>
      <c r="AA849" s="790">
        <f t="shared" si="71"/>
        <v>1508189.5438084137</v>
      </c>
      <c r="AB849" s="790">
        <f t="shared" si="71"/>
        <v>1531917.1501476248</v>
      </c>
      <c r="AC849" s="790">
        <f t="shared" si="71"/>
        <v>1555629.8237392793</v>
      </c>
      <c r="AD849" s="790">
        <f t="shared" si="71"/>
        <v>1579342.4973309345</v>
      </c>
      <c r="AE849" s="790">
        <f t="shared" si="71"/>
        <v>1603070.9849099137</v>
      </c>
      <c r="AF849" s="790">
        <f t="shared" si="71"/>
        <v>1626783.658501568</v>
      </c>
      <c r="AG849" s="790">
        <f t="shared" si="71"/>
        <v>1650496.332093223</v>
      </c>
      <c r="AH849" s="791">
        <f t="shared" si="71"/>
        <v>1674223.9384324346</v>
      </c>
    </row>
    <row r="850" spans="2:34" ht="21.95" customHeight="1" x14ac:dyDescent="0.2">
      <c r="F850"/>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row>
    <row r="851" spans="2:34" ht="21.95" customHeight="1" x14ac:dyDescent="0.2">
      <c r="F851"/>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row>
    <row r="852" spans="2:34" ht="21.95" customHeight="1" thickBot="1" x14ac:dyDescent="0.25">
      <c r="B852" s="796" t="s">
        <v>499</v>
      </c>
      <c r="F852"/>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row>
    <row r="853" spans="2:34" ht="21.95" customHeight="1" x14ac:dyDescent="0.2">
      <c r="B853" s="573"/>
      <c r="C853" s="482"/>
      <c r="D853" s="482"/>
      <c r="E853" s="482" t="s">
        <v>24</v>
      </c>
      <c r="F853" s="482"/>
      <c r="G853" s="482" cm="1">
        <f t="array" ref="G853:AH853">year</f>
        <v>2021</v>
      </c>
      <c r="H853" s="482">
        <v>2022</v>
      </c>
      <c r="I853" s="482">
        <v>2023</v>
      </c>
      <c r="J853" s="482">
        <v>2024</v>
      </c>
      <c r="K853" s="482">
        <v>2025</v>
      </c>
      <c r="L853" s="482">
        <v>2026</v>
      </c>
      <c r="M853" s="482">
        <v>2027</v>
      </c>
      <c r="N853" s="482">
        <v>2028</v>
      </c>
      <c r="O853" s="482">
        <v>2029</v>
      </c>
      <c r="P853" s="482">
        <v>2030</v>
      </c>
      <c r="Q853" s="482">
        <v>2031</v>
      </c>
      <c r="R853" s="482">
        <v>2032</v>
      </c>
      <c r="S853" s="482">
        <v>2033</v>
      </c>
      <c r="T853" s="482">
        <v>2034</v>
      </c>
      <c r="U853" s="482">
        <v>2035</v>
      </c>
      <c r="V853" s="482">
        <v>2036</v>
      </c>
      <c r="W853" s="482">
        <v>2037</v>
      </c>
      <c r="X853" s="482">
        <v>2038</v>
      </c>
      <c r="Y853" s="482">
        <v>2039</v>
      </c>
      <c r="Z853" s="482">
        <v>2040</v>
      </c>
      <c r="AA853" s="482">
        <v>2041</v>
      </c>
      <c r="AB853" s="482">
        <v>2042</v>
      </c>
      <c r="AC853" s="482">
        <v>2043</v>
      </c>
      <c r="AD853" s="482">
        <v>2044</v>
      </c>
      <c r="AE853" s="482">
        <v>2045</v>
      </c>
      <c r="AF853" s="482">
        <v>2046</v>
      </c>
      <c r="AG853" s="482">
        <v>2047</v>
      </c>
      <c r="AH853" s="494">
        <v>2048</v>
      </c>
    </row>
    <row r="854" spans="2:34" ht="21.95" customHeight="1" x14ac:dyDescent="0.2">
      <c r="B854" s="1346" t="s">
        <v>43</v>
      </c>
      <c r="C854" s="220"/>
      <c r="D854" s="220"/>
      <c r="E854" s="220" t="s">
        <v>19</v>
      </c>
      <c r="F854" s="220"/>
      <c r="G854" s="775">
        <f>G632</f>
        <v>0</v>
      </c>
      <c r="H854" s="775">
        <f>H632</f>
        <v>0</v>
      </c>
      <c r="I854" s="775">
        <f t="shared" ref="I854:AH854" si="72">I632</f>
        <v>108.54771409358332</v>
      </c>
      <c r="J854" s="775">
        <f t="shared" si="72"/>
        <v>112.6302380414179</v>
      </c>
      <c r="K854" s="775">
        <f t="shared" si="72"/>
        <v>118.16850428041741</v>
      </c>
      <c r="L854" s="775">
        <f t="shared" si="72"/>
        <v>126.64536310580503</v>
      </c>
      <c r="M854" s="775">
        <f t="shared" si="72"/>
        <v>135.12602753050106</v>
      </c>
      <c r="N854" s="775">
        <f t="shared" si="72"/>
        <v>143.60672314201585</v>
      </c>
      <c r="O854" s="775">
        <f t="shared" si="72"/>
        <v>152.08358196740349</v>
      </c>
      <c r="P854" s="775">
        <f t="shared" si="72"/>
        <v>160.56804052043904</v>
      </c>
      <c r="Q854" s="775">
        <f t="shared" si="72"/>
        <v>168.30368421022737</v>
      </c>
      <c r="R854" s="775">
        <f t="shared" si="72"/>
        <v>176.01049800562856</v>
      </c>
      <c r="S854" s="775">
        <f t="shared" si="72"/>
        <v>183.7157159745795</v>
      </c>
      <c r="T854" s="775">
        <f t="shared" si="72"/>
        <v>191.42089979138578</v>
      </c>
      <c r="U854" s="775">
        <f t="shared" si="72"/>
        <v>199.13366812752062</v>
      </c>
      <c r="V854" s="775">
        <f t="shared" si="72"/>
        <v>203.92808271476142</v>
      </c>
      <c r="W854" s="775">
        <f t="shared" si="72"/>
        <v>207.12392105352225</v>
      </c>
      <c r="X854" s="775">
        <f t="shared" si="72"/>
        <v>210.41819493066578</v>
      </c>
      <c r="Y854" s="775">
        <f t="shared" si="72"/>
        <v>213.71246880780939</v>
      </c>
      <c r="Z854" s="775">
        <f t="shared" si="72"/>
        <v>217.00875412028142</v>
      </c>
      <c r="AA854" s="775">
        <f t="shared" si="72"/>
        <v>220.4285066333596</v>
      </c>
      <c r="AB854" s="775">
        <f t="shared" si="72"/>
        <v>223.86716286902745</v>
      </c>
      <c r="AC854" s="775">
        <f t="shared" si="72"/>
        <v>227.30387777766401</v>
      </c>
      <c r="AD854" s="775">
        <f t="shared" si="72"/>
        <v>230.74059268630074</v>
      </c>
      <c r="AE854" s="775">
        <f t="shared" si="72"/>
        <v>234.17935227204694</v>
      </c>
      <c r="AF854" s="775">
        <f t="shared" si="72"/>
        <v>237.61606718068353</v>
      </c>
      <c r="AG854" s="775">
        <f t="shared" si="72"/>
        <v>241.0527820893202</v>
      </c>
      <c r="AH854" s="776">
        <f t="shared" si="72"/>
        <v>244.49143832498797</v>
      </c>
    </row>
    <row r="855" spans="2:34" ht="21.95" customHeight="1" x14ac:dyDescent="0.2">
      <c r="B855" s="1346"/>
      <c r="C855" s="116"/>
      <c r="D855" s="116"/>
      <c r="E855" s="116" t="s">
        <v>467</v>
      </c>
      <c r="F855" s="116"/>
      <c r="G855" s="777">
        <f>G663</f>
        <v>0</v>
      </c>
      <c r="H855" s="777">
        <f>H663</f>
        <v>0</v>
      </c>
      <c r="I855" s="777">
        <f t="shared" ref="I855:AH855" si="73">I663</f>
        <v>14.789539960727273</v>
      </c>
      <c r="J855" s="777">
        <f t="shared" si="73"/>
        <v>15.4393678177904</v>
      </c>
      <c r="K855" s="777">
        <f t="shared" si="73"/>
        <v>16.310097476587341</v>
      </c>
      <c r="L855" s="777">
        <f t="shared" si="73"/>
        <v>17.674780664978041</v>
      </c>
      <c r="M855" s="777">
        <f t="shared" si="73"/>
        <v>19.040100946029821</v>
      </c>
      <c r="N855" s="777">
        <f t="shared" si="73"/>
        <v>20.405422694153312</v>
      </c>
      <c r="O855" s="777">
        <f t="shared" si="73"/>
        <v>21.770105882544009</v>
      </c>
      <c r="P855" s="777">
        <f t="shared" si="73"/>
        <v>23.136062811015268</v>
      </c>
      <c r="Q855" s="777">
        <f t="shared" si="73"/>
        <v>24.381443475532947</v>
      </c>
      <c r="R855" s="777">
        <f t="shared" si="73"/>
        <v>25.623498909947049</v>
      </c>
      <c r="S855" s="777">
        <f t="shared" si="73"/>
        <v>26.865278652040871</v>
      </c>
      <c r="T855" s="777">
        <f t="shared" si="73"/>
        <v>28.107052102734539</v>
      </c>
      <c r="U855" s="777">
        <f t="shared" si="73"/>
        <v>29.350100065960291</v>
      </c>
      <c r="V855" s="777">
        <f t="shared" si="73"/>
        <v>30.103107812800879</v>
      </c>
      <c r="W855" s="777">
        <f t="shared" si="73"/>
        <v>30.586884592279361</v>
      </c>
      <c r="X855" s="777">
        <f t="shared" si="73"/>
        <v>31.082318611268885</v>
      </c>
      <c r="Y855" s="777">
        <f t="shared" si="73"/>
        <v>31.577752630258413</v>
      </c>
      <c r="Z855" s="777">
        <f t="shared" si="73"/>
        <v>32.073524367314185</v>
      </c>
      <c r="AA855" s="777">
        <f t="shared" si="73"/>
        <v>32.583818207630856</v>
      </c>
      <c r="AB855" s="777">
        <f t="shared" si="73"/>
        <v>33.096443437419154</v>
      </c>
      <c r="AC855" s="777">
        <f t="shared" si="73"/>
        <v>33.608746051304351</v>
      </c>
      <c r="AD855" s="777">
        <f t="shared" si="73"/>
        <v>34.121048665189548</v>
      </c>
      <c r="AE855" s="777">
        <f t="shared" si="73"/>
        <v>34.633692933802578</v>
      </c>
      <c r="AF855" s="777">
        <f t="shared" si="73"/>
        <v>35.145995547687754</v>
      </c>
      <c r="AG855" s="777">
        <f t="shared" si="73"/>
        <v>35.658298161572951</v>
      </c>
      <c r="AH855" s="778">
        <f t="shared" si="73"/>
        <v>36.170923391361242</v>
      </c>
    </row>
    <row r="856" spans="2:34" ht="21.95" customHeight="1" x14ac:dyDescent="0.2">
      <c r="B856" s="1346"/>
      <c r="C856" s="116"/>
      <c r="D856" s="116"/>
      <c r="E856" s="772" t="s">
        <v>25</v>
      </c>
      <c r="F856" s="240"/>
      <c r="G856" s="793">
        <f>G854+G855</f>
        <v>0</v>
      </c>
      <c r="H856" s="793">
        <f>H854+H855</f>
        <v>0</v>
      </c>
      <c r="I856" s="793">
        <f t="shared" ref="I856:AH856" si="74">I854+I855</f>
        <v>123.33725405431059</v>
      </c>
      <c r="J856" s="793">
        <f t="shared" si="74"/>
        <v>128.06960585920831</v>
      </c>
      <c r="K856" s="793">
        <f t="shared" si="74"/>
        <v>134.47860175700475</v>
      </c>
      <c r="L856" s="793">
        <f t="shared" si="74"/>
        <v>144.32014377078306</v>
      </c>
      <c r="M856" s="793">
        <f t="shared" si="74"/>
        <v>154.16612847653087</v>
      </c>
      <c r="N856" s="793">
        <f t="shared" si="74"/>
        <v>164.01214583616917</v>
      </c>
      <c r="O856" s="793">
        <f t="shared" si="74"/>
        <v>173.85368784994751</v>
      </c>
      <c r="P856" s="793">
        <f t="shared" si="74"/>
        <v>183.70410333145432</v>
      </c>
      <c r="Q856" s="793">
        <f t="shared" si="74"/>
        <v>192.68512768576034</v>
      </c>
      <c r="R856" s="793">
        <f t="shared" si="74"/>
        <v>201.63399691557561</v>
      </c>
      <c r="S856" s="793">
        <f t="shared" si="74"/>
        <v>210.58099462662037</v>
      </c>
      <c r="T856" s="793">
        <f t="shared" si="74"/>
        <v>219.52795189412032</v>
      </c>
      <c r="U856" s="793">
        <f t="shared" si="74"/>
        <v>228.4837681934809</v>
      </c>
      <c r="V856" s="793">
        <f t="shared" si="74"/>
        <v>234.0311905275623</v>
      </c>
      <c r="W856" s="793">
        <f t="shared" si="74"/>
        <v>237.7108056458016</v>
      </c>
      <c r="X856" s="793">
        <f t="shared" si="74"/>
        <v>241.50051354193465</v>
      </c>
      <c r="Y856" s="793">
        <f t="shared" si="74"/>
        <v>245.29022143806779</v>
      </c>
      <c r="Z856" s="793">
        <f t="shared" si="74"/>
        <v>249.0822784875956</v>
      </c>
      <c r="AA856" s="793">
        <f t="shared" si="74"/>
        <v>253.01232484099046</v>
      </c>
      <c r="AB856" s="793">
        <f t="shared" si="74"/>
        <v>256.96360630644659</v>
      </c>
      <c r="AC856" s="793">
        <f t="shared" si="74"/>
        <v>260.91262382896838</v>
      </c>
      <c r="AD856" s="793">
        <f t="shared" si="74"/>
        <v>264.86164135149028</v>
      </c>
      <c r="AE856" s="793">
        <f t="shared" si="74"/>
        <v>268.81304520584951</v>
      </c>
      <c r="AF856" s="793">
        <f t="shared" si="74"/>
        <v>272.76206272837129</v>
      </c>
      <c r="AG856" s="793">
        <f t="shared" si="74"/>
        <v>276.71108025089313</v>
      </c>
      <c r="AH856" s="794">
        <f t="shared" si="74"/>
        <v>280.66236171634921</v>
      </c>
    </row>
    <row r="857" spans="2:34" ht="21.95" customHeight="1" x14ac:dyDescent="0.2">
      <c r="B857" s="1346" t="s">
        <v>438</v>
      </c>
      <c r="C857" s="220"/>
      <c r="D857" s="220"/>
      <c r="E857" s="220" t="s">
        <v>19</v>
      </c>
      <c r="F857" s="220"/>
      <c r="G857" s="777">
        <f>G694</f>
        <v>0</v>
      </c>
      <c r="H857" s="777">
        <f>H694</f>
        <v>0</v>
      </c>
      <c r="I857" s="777">
        <f t="shared" ref="I857:AH857" si="75">I694</f>
        <v>2.3240492592116246E-2</v>
      </c>
      <c r="J857" s="777">
        <f t="shared" si="75"/>
        <v>2.4114577029168388E-2</v>
      </c>
      <c r="K857" s="777">
        <f t="shared" si="75"/>
        <v>2.5300341617353703E-2</v>
      </c>
      <c r="L857" s="777">
        <f t="shared" si="75"/>
        <v>2.7115270438111645E-2</v>
      </c>
      <c r="M857" s="777">
        <f t="shared" si="75"/>
        <v>2.893101405265195E-2</v>
      </c>
      <c r="N857" s="777">
        <f t="shared" si="75"/>
        <v>3.0746764344412855E-2</v>
      </c>
      <c r="O857" s="777">
        <f t="shared" si="75"/>
        <v>3.2561693165170776E-2</v>
      </c>
      <c r="P857" s="777">
        <f t="shared" si="75"/>
        <v>3.4378249117513943E-2</v>
      </c>
      <c r="Q857" s="777">
        <f t="shared" si="75"/>
        <v>3.6034480861950102E-2</v>
      </c>
      <c r="R857" s="777">
        <f t="shared" si="75"/>
        <v>3.7684540012587052E-2</v>
      </c>
      <c r="S857" s="777">
        <f t="shared" si="75"/>
        <v>3.9334257490503365E-2</v>
      </c>
      <c r="T857" s="777">
        <f t="shared" si="75"/>
        <v>4.0983967656311134E-2</v>
      </c>
      <c r="U857" s="777">
        <f t="shared" si="75"/>
        <v>4.2635301697543128E-2</v>
      </c>
      <c r="V857" s="777">
        <f t="shared" si="75"/>
        <v>4.366180472092545E-2</v>
      </c>
      <c r="W857" s="777">
        <f t="shared" si="75"/>
        <v>4.4346046281033634E-2</v>
      </c>
      <c r="X857" s="777">
        <f t="shared" si="75"/>
        <v>4.5051363277135006E-2</v>
      </c>
      <c r="Y857" s="777">
        <f t="shared" si="75"/>
        <v>4.5756680273236372E-2</v>
      </c>
      <c r="Z857" s="777">
        <f t="shared" si="75"/>
        <v>4.6462427925554176E-2</v>
      </c>
      <c r="AA857" s="777">
        <f t="shared" si="75"/>
        <v>4.7194610391216647E-2</v>
      </c>
      <c r="AB857" s="777">
        <f t="shared" si="75"/>
        <v>4.7930840218248956E-2</v>
      </c>
      <c r="AC857" s="777">
        <f t="shared" si="75"/>
        <v>4.8666654399527109E-2</v>
      </c>
      <c r="AD857" s="777">
        <f t="shared" si="75"/>
        <v>4.9402468580805263E-2</v>
      </c>
      <c r="AE857" s="777">
        <f t="shared" si="75"/>
        <v>5.0138720535495923E-2</v>
      </c>
      <c r="AF857" s="777">
        <f t="shared" si="75"/>
        <v>5.0874534716774084E-2</v>
      </c>
      <c r="AG857" s="777">
        <f t="shared" si="75"/>
        <v>5.1610348898052244E-2</v>
      </c>
      <c r="AH857" s="778">
        <f t="shared" si="75"/>
        <v>5.2346578725084539E-2</v>
      </c>
    </row>
    <row r="858" spans="2:34" ht="21.95" customHeight="1" x14ac:dyDescent="0.2">
      <c r="B858" s="1346"/>
      <c r="C858" s="116"/>
      <c r="D858" s="116"/>
      <c r="E858" s="116" t="s">
        <v>467</v>
      </c>
      <c r="F858" s="116"/>
      <c r="G858" s="777">
        <f>G725</f>
        <v>0</v>
      </c>
      <c r="H858" s="777">
        <f>H725</f>
        <v>0</v>
      </c>
      <c r="I858" s="777">
        <f t="shared" ref="I858:AH858" si="76">I725</f>
        <v>0.17036184390205916</v>
      </c>
      <c r="J858" s="777">
        <f t="shared" si="76"/>
        <v>0.1778472607738599</v>
      </c>
      <c r="K858" s="777">
        <f t="shared" si="76"/>
        <v>0.18787726242413197</v>
      </c>
      <c r="L858" s="777">
        <f t="shared" si="76"/>
        <v>0.20359715262583813</v>
      </c>
      <c r="M858" s="777">
        <f t="shared" si="76"/>
        <v>0.21932438154671813</v>
      </c>
      <c r="N858" s="777">
        <f t="shared" si="76"/>
        <v>0.23505162736690946</v>
      </c>
      <c r="O858" s="777">
        <f t="shared" si="76"/>
        <v>0.25077151756861565</v>
      </c>
      <c r="P858" s="777">
        <f t="shared" si="76"/>
        <v>0.26650608007989718</v>
      </c>
      <c r="Q858" s="777">
        <f t="shared" si="76"/>
        <v>0.28085171536879683</v>
      </c>
      <c r="R858" s="777">
        <f t="shared" si="76"/>
        <v>0.29515904707737267</v>
      </c>
      <c r="S858" s="777">
        <f t="shared" si="76"/>
        <v>0.30946320306498876</v>
      </c>
      <c r="T858" s="777">
        <f t="shared" si="76"/>
        <v>0.32376728658148479</v>
      </c>
      <c r="U858" s="777">
        <f t="shared" si="76"/>
        <v>0.33808605130548397</v>
      </c>
      <c r="V858" s="777">
        <f t="shared" si="76"/>
        <v>0.34676000523271538</v>
      </c>
      <c r="W858" s="777">
        <f t="shared" si="76"/>
        <v>0.3523326670198843</v>
      </c>
      <c r="X858" s="777">
        <f t="shared" si="76"/>
        <v>0.35803960944209573</v>
      </c>
      <c r="Y858" s="777">
        <f t="shared" si="76"/>
        <v>0.36374655186430699</v>
      </c>
      <c r="Z858" s="777">
        <f t="shared" si="76"/>
        <v>0.36945738448679749</v>
      </c>
      <c r="AA858" s="777">
        <f t="shared" si="76"/>
        <v>0.37533549832935525</v>
      </c>
      <c r="AB858" s="777">
        <f t="shared" si="76"/>
        <v>0.38124046762585495</v>
      </c>
      <c r="AC858" s="777">
        <f t="shared" si="76"/>
        <v>0.38714172068504987</v>
      </c>
      <c r="AD858" s="777">
        <f t="shared" si="76"/>
        <v>0.39304297374424468</v>
      </c>
      <c r="AE858" s="777">
        <f t="shared" si="76"/>
        <v>0.39894816235042513</v>
      </c>
      <c r="AF858" s="777">
        <f t="shared" si="76"/>
        <v>0.40484941540961999</v>
      </c>
      <c r="AG858" s="777">
        <f t="shared" si="76"/>
        <v>0.41075066846881497</v>
      </c>
      <c r="AH858" s="778">
        <f t="shared" si="76"/>
        <v>0.41665563776531478</v>
      </c>
    </row>
    <row r="859" spans="2:34" ht="21.95" customHeight="1" x14ac:dyDescent="0.2">
      <c r="B859" s="1346"/>
      <c r="C859" s="116"/>
      <c r="D859" s="116"/>
      <c r="E859" s="772" t="s">
        <v>25</v>
      </c>
      <c r="F859" s="240"/>
      <c r="G859" s="785">
        <f>G857+G858</f>
        <v>0</v>
      </c>
      <c r="H859" s="785">
        <f>H857+H858</f>
        <v>0</v>
      </c>
      <c r="I859" s="785">
        <f t="shared" ref="I859:AH859" si="77">I857+I858</f>
        <v>0.19360233649417541</v>
      </c>
      <c r="J859" s="785">
        <f t="shared" si="77"/>
        <v>0.20196183780302829</v>
      </c>
      <c r="K859" s="785">
        <f t="shared" si="77"/>
        <v>0.21317760404148567</v>
      </c>
      <c r="L859" s="785">
        <f t="shared" si="77"/>
        <v>0.23071242306394979</v>
      </c>
      <c r="M859" s="785">
        <f t="shared" si="77"/>
        <v>0.24825539559937007</v>
      </c>
      <c r="N859" s="785">
        <f t="shared" si="77"/>
        <v>0.2657983917113223</v>
      </c>
      <c r="O859" s="785">
        <f t="shared" si="77"/>
        <v>0.28333321073378642</v>
      </c>
      <c r="P859" s="785">
        <f t="shared" si="77"/>
        <v>0.30088432919741115</v>
      </c>
      <c r="Q859" s="785">
        <f t="shared" si="77"/>
        <v>0.31688619623074693</v>
      </c>
      <c r="R859" s="785">
        <f t="shared" si="77"/>
        <v>0.3328435870899597</v>
      </c>
      <c r="S859" s="785">
        <f t="shared" si="77"/>
        <v>0.3487974605554921</v>
      </c>
      <c r="T859" s="785">
        <f t="shared" si="77"/>
        <v>0.36475125423779592</v>
      </c>
      <c r="U859" s="785">
        <f t="shared" si="77"/>
        <v>0.38072135300302712</v>
      </c>
      <c r="V859" s="785">
        <f t="shared" si="77"/>
        <v>0.39042180995364084</v>
      </c>
      <c r="W859" s="785">
        <f t="shared" si="77"/>
        <v>0.39667871330091792</v>
      </c>
      <c r="X859" s="785">
        <f t="shared" si="77"/>
        <v>0.40309097271923072</v>
      </c>
      <c r="Y859" s="785">
        <f t="shared" si="77"/>
        <v>0.40950323213754336</v>
      </c>
      <c r="Z859" s="785">
        <f t="shared" si="77"/>
        <v>0.41591981241235165</v>
      </c>
      <c r="AA859" s="785">
        <f t="shared" si="77"/>
        <v>0.4225301087205719</v>
      </c>
      <c r="AB859" s="785">
        <f t="shared" si="77"/>
        <v>0.4291713078441039</v>
      </c>
      <c r="AC859" s="785">
        <f t="shared" si="77"/>
        <v>0.43580837508457698</v>
      </c>
      <c r="AD859" s="785">
        <f t="shared" si="77"/>
        <v>0.44244544232504995</v>
      </c>
      <c r="AE859" s="785">
        <f t="shared" si="77"/>
        <v>0.44908688288592102</v>
      </c>
      <c r="AF859" s="785">
        <f t="shared" si="77"/>
        <v>0.45572395012639411</v>
      </c>
      <c r="AG859" s="785">
        <f t="shared" si="77"/>
        <v>0.46236101736686719</v>
      </c>
      <c r="AH859" s="786">
        <f t="shared" si="77"/>
        <v>0.4690022164903993</v>
      </c>
    </row>
    <row r="860" spans="2:34" ht="21.95" customHeight="1" x14ac:dyDescent="0.2">
      <c r="B860" s="1346" t="s">
        <v>41</v>
      </c>
      <c r="C860" s="220"/>
      <c r="D860" s="220"/>
      <c r="E860" s="220" t="s">
        <v>19</v>
      </c>
      <c r="F860" s="220"/>
      <c r="G860" s="775">
        <f>G756</f>
        <v>0</v>
      </c>
      <c r="H860" s="775">
        <f>H756</f>
        <v>0</v>
      </c>
      <c r="I860" s="775">
        <f t="shared" ref="I860:AH860" si="78">I756</f>
        <v>3.0983876174469707</v>
      </c>
      <c r="J860" s="775">
        <f t="shared" si="78"/>
        <v>3.2149192436864307</v>
      </c>
      <c r="K860" s="775">
        <f t="shared" si="78"/>
        <v>3.3730036002325918</v>
      </c>
      <c r="L860" s="775">
        <f t="shared" si="78"/>
        <v>3.6149671886761334</v>
      </c>
      <c r="M860" s="775">
        <f t="shared" si="78"/>
        <v>3.8570394042047562</v>
      </c>
      <c r="N860" s="775">
        <f t="shared" si="78"/>
        <v>4.0991125099304124</v>
      </c>
      <c r="O860" s="775">
        <f t="shared" si="78"/>
        <v>4.3410760983739545</v>
      </c>
      <c r="P860" s="775">
        <f t="shared" si="78"/>
        <v>4.5832566135601471</v>
      </c>
      <c r="Q860" s="775">
        <f t="shared" si="78"/>
        <v>4.8040629457944481</v>
      </c>
      <c r="R860" s="775">
        <f t="shared" si="78"/>
        <v>5.0240463570807856</v>
      </c>
      <c r="S860" s="775">
        <f t="shared" si="78"/>
        <v>5.2439842170724322</v>
      </c>
      <c r="T860" s="775">
        <f t="shared" si="78"/>
        <v>5.4639211022247327</v>
      </c>
      <c r="U860" s="775">
        <f t="shared" si="78"/>
        <v>5.6840744800131828</v>
      </c>
      <c r="V860" s="775">
        <f t="shared" si="78"/>
        <v>5.8209263235923769</v>
      </c>
      <c r="W860" s="775">
        <f t="shared" si="78"/>
        <v>5.9121483821945668</v>
      </c>
      <c r="X860" s="775">
        <f t="shared" si="78"/>
        <v>6.0061801863154791</v>
      </c>
      <c r="Y860" s="775">
        <f t="shared" si="78"/>
        <v>6.1002119904363905</v>
      </c>
      <c r="Z860" s="775">
        <f t="shared" si="78"/>
        <v>6.1943012089981995</v>
      </c>
      <c r="AA860" s="775">
        <f t="shared" si="78"/>
        <v>6.2919146772295038</v>
      </c>
      <c r="AB860" s="775">
        <f t="shared" si="78"/>
        <v>6.3900677336086016</v>
      </c>
      <c r="AC860" s="775">
        <f t="shared" si="78"/>
        <v>6.4881653767191239</v>
      </c>
      <c r="AD860" s="775">
        <f t="shared" si="78"/>
        <v>6.5862630198296461</v>
      </c>
      <c r="AE860" s="775">
        <f t="shared" si="78"/>
        <v>6.684419026234969</v>
      </c>
      <c r="AF860" s="775">
        <f t="shared" si="78"/>
        <v>6.7825166693454904</v>
      </c>
      <c r="AG860" s="775">
        <f t="shared" si="78"/>
        <v>6.88061431245601</v>
      </c>
      <c r="AH860" s="776">
        <f t="shared" si="78"/>
        <v>6.9787673688351104</v>
      </c>
    </row>
    <row r="861" spans="2:34" ht="21.95" customHeight="1" x14ac:dyDescent="0.2">
      <c r="B861" s="1346"/>
      <c r="C861" s="116"/>
      <c r="D861" s="116"/>
      <c r="E861" s="116" t="s">
        <v>467</v>
      </c>
      <c r="F861" s="116"/>
      <c r="G861" s="777">
        <f>G787</f>
        <v>0</v>
      </c>
      <c r="H861" s="777">
        <f>H787</f>
        <v>0</v>
      </c>
      <c r="I861" s="777">
        <f t="shared" ref="I861:AH861" si="79">I787</f>
        <v>0.77028853962121213</v>
      </c>
      <c r="J861" s="777">
        <f t="shared" si="79"/>
        <v>0.80413374050991671</v>
      </c>
      <c r="K861" s="777">
        <f t="shared" si="79"/>
        <v>0.84948424357225738</v>
      </c>
      <c r="L861" s="777">
        <f t="shared" si="79"/>
        <v>0.92056149296760614</v>
      </c>
      <c r="M861" s="777">
        <f t="shared" si="79"/>
        <v>0.99167192427238648</v>
      </c>
      <c r="N861" s="777">
        <f t="shared" si="79"/>
        <v>1.0627824319871517</v>
      </c>
      <c r="O861" s="777">
        <f t="shared" si="79"/>
        <v>1.1338596813824999</v>
      </c>
      <c r="P861" s="777">
        <f t="shared" si="79"/>
        <v>1.2050032714070458</v>
      </c>
      <c r="Q861" s="777">
        <f t="shared" si="79"/>
        <v>1.2698668476840076</v>
      </c>
      <c r="R861" s="777">
        <f t="shared" si="79"/>
        <v>1.3345572348930759</v>
      </c>
      <c r="S861" s="777">
        <f t="shared" si="79"/>
        <v>1.3992332631271285</v>
      </c>
      <c r="T861" s="777">
        <f t="shared" si="79"/>
        <v>1.4639089636840901</v>
      </c>
      <c r="U861" s="777">
        <f t="shared" si="79"/>
        <v>1.5286510451020985</v>
      </c>
      <c r="V861" s="777">
        <f t="shared" si="79"/>
        <v>1.5678701985833787</v>
      </c>
      <c r="W861" s="777">
        <f t="shared" si="79"/>
        <v>1.5930669058478828</v>
      </c>
      <c r="X861" s="777">
        <f t="shared" si="79"/>
        <v>1.618870761003588</v>
      </c>
      <c r="Y861" s="777">
        <f t="shared" si="79"/>
        <v>1.6446746161592924</v>
      </c>
      <c r="Z861" s="777">
        <f t="shared" si="79"/>
        <v>1.6704960607976138</v>
      </c>
      <c r="AA861" s="777">
        <f t="shared" si="79"/>
        <v>1.6970738649807739</v>
      </c>
      <c r="AB861" s="777">
        <f t="shared" si="79"/>
        <v>1.7237730956989143</v>
      </c>
      <c r="AC861" s="777">
        <f t="shared" si="79"/>
        <v>1.7504555235054351</v>
      </c>
      <c r="AD861" s="777">
        <f t="shared" si="79"/>
        <v>1.7771379513119556</v>
      </c>
      <c r="AE861" s="777">
        <f t="shared" si="79"/>
        <v>1.80383817363555</v>
      </c>
      <c r="AF861" s="777">
        <f t="shared" si="79"/>
        <v>1.8305206014420705</v>
      </c>
      <c r="AG861" s="777">
        <f t="shared" si="79"/>
        <v>1.8572030292485913</v>
      </c>
      <c r="AH861" s="778">
        <f t="shared" si="79"/>
        <v>1.8839022599667317</v>
      </c>
    </row>
    <row r="862" spans="2:34" ht="21.95" customHeight="1" x14ac:dyDescent="0.2">
      <c r="B862" s="1346"/>
      <c r="C862" s="116"/>
      <c r="D862" s="116"/>
      <c r="E862" s="772" t="s">
        <v>25</v>
      </c>
      <c r="F862" s="240"/>
      <c r="G862" s="793">
        <f>G860+G861</f>
        <v>0</v>
      </c>
      <c r="H862" s="793">
        <f>H860+H861</f>
        <v>0</v>
      </c>
      <c r="I862" s="793">
        <f t="shared" ref="I862:AH862" si="80">I860+I861</f>
        <v>3.8686761570681827</v>
      </c>
      <c r="J862" s="793">
        <f t="shared" si="80"/>
        <v>4.0190529841963478</v>
      </c>
      <c r="K862" s="793">
        <f t="shared" si="80"/>
        <v>4.2224878438048492</v>
      </c>
      <c r="L862" s="793">
        <f t="shared" si="80"/>
        <v>4.5355286816437399</v>
      </c>
      <c r="M862" s="793">
        <f t="shared" si="80"/>
        <v>4.848711328477143</v>
      </c>
      <c r="N862" s="793">
        <f t="shared" si="80"/>
        <v>5.1618949419175646</v>
      </c>
      <c r="O862" s="793">
        <f t="shared" si="80"/>
        <v>5.4749357797564544</v>
      </c>
      <c r="P862" s="793">
        <f t="shared" si="80"/>
        <v>5.7882598849671929</v>
      </c>
      <c r="Q862" s="793">
        <f t="shared" si="80"/>
        <v>6.073929793478456</v>
      </c>
      <c r="R862" s="793">
        <f t="shared" si="80"/>
        <v>6.3586035919738615</v>
      </c>
      <c r="S862" s="793">
        <f t="shared" si="80"/>
        <v>6.6432174801995609</v>
      </c>
      <c r="T862" s="793">
        <f t="shared" si="80"/>
        <v>6.9278300659088226</v>
      </c>
      <c r="U862" s="793">
        <f t="shared" si="80"/>
        <v>7.2127255251152818</v>
      </c>
      <c r="V862" s="793">
        <f t="shared" si="80"/>
        <v>7.3887965221757561</v>
      </c>
      <c r="W862" s="793">
        <f t="shared" si="80"/>
        <v>7.5052152880424501</v>
      </c>
      <c r="X862" s="793">
        <f t="shared" si="80"/>
        <v>7.6250509473190675</v>
      </c>
      <c r="Y862" s="793">
        <f t="shared" si="80"/>
        <v>7.7448866065956832</v>
      </c>
      <c r="Z862" s="793">
        <f t="shared" si="80"/>
        <v>7.8647972697958135</v>
      </c>
      <c r="AA862" s="793">
        <f t="shared" si="80"/>
        <v>7.9889885422102775</v>
      </c>
      <c r="AB862" s="793">
        <f t="shared" si="80"/>
        <v>8.1138408293075166</v>
      </c>
      <c r="AC862" s="793">
        <f t="shared" si="80"/>
        <v>8.238620900224559</v>
      </c>
      <c r="AD862" s="793">
        <f t="shared" si="80"/>
        <v>8.3634009711416013</v>
      </c>
      <c r="AE862" s="793">
        <f t="shared" si="80"/>
        <v>8.4882571998705192</v>
      </c>
      <c r="AF862" s="793">
        <f t="shared" si="80"/>
        <v>8.6130372707875615</v>
      </c>
      <c r="AG862" s="793">
        <f t="shared" si="80"/>
        <v>8.7378173417046021</v>
      </c>
      <c r="AH862" s="794">
        <f t="shared" si="80"/>
        <v>8.8626696288018429</v>
      </c>
    </row>
    <row r="863" spans="2:34" ht="21.95" customHeight="1" x14ac:dyDescent="0.2">
      <c r="B863" s="1346" t="s">
        <v>40</v>
      </c>
      <c r="C863" s="220"/>
      <c r="D863" s="220"/>
      <c r="E863" s="220" t="s">
        <v>19</v>
      </c>
      <c r="F863" s="220"/>
      <c r="G863" s="777">
        <f>G818</f>
        <v>0</v>
      </c>
      <c r="H863" s="777">
        <f>H818</f>
        <v>0</v>
      </c>
      <c r="I863" s="777">
        <f t="shared" ref="I863:AH863" si="81">I818</f>
        <v>265055.34408075758</v>
      </c>
      <c r="J863" s="777">
        <f t="shared" si="81"/>
        <v>275024.18403972994</v>
      </c>
      <c r="K863" s="777">
        <f t="shared" si="81"/>
        <v>288547.70294426696</v>
      </c>
      <c r="L863" s="777">
        <f t="shared" si="81"/>
        <v>309246.77294725244</v>
      </c>
      <c r="M863" s="777">
        <f t="shared" si="81"/>
        <v>329955.13558659161</v>
      </c>
      <c r="N863" s="777">
        <f t="shared" si="81"/>
        <v>350663.57437892101</v>
      </c>
      <c r="O863" s="777">
        <f t="shared" si="81"/>
        <v>371362.64438190643</v>
      </c>
      <c r="P863" s="777">
        <f t="shared" si="81"/>
        <v>392080.27164741443</v>
      </c>
      <c r="Q863" s="777">
        <f t="shared" si="81"/>
        <v>410969.41838813009</v>
      </c>
      <c r="R863" s="777">
        <f t="shared" si="81"/>
        <v>429788.16735363367</v>
      </c>
      <c r="S863" s="777">
        <f t="shared" si="81"/>
        <v>448603.01957812911</v>
      </c>
      <c r="T863" s="777">
        <f t="shared" si="81"/>
        <v>467417.78840880486</v>
      </c>
      <c r="U863" s="777">
        <f t="shared" si="81"/>
        <v>486251.07736583368</v>
      </c>
      <c r="V863" s="777">
        <f t="shared" si="81"/>
        <v>497958.23507706216</v>
      </c>
      <c r="W863" s="777">
        <f t="shared" si="81"/>
        <v>505761.93723311502</v>
      </c>
      <c r="X863" s="777">
        <f t="shared" si="81"/>
        <v>513806.00249320641</v>
      </c>
      <c r="Y863" s="777">
        <f t="shared" si="81"/>
        <v>521850.06775329792</v>
      </c>
      <c r="Z863" s="777">
        <f t="shared" si="81"/>
        <v>529899.04460169456</v>
      </c>
      <c r="AA863" s="777">
        <f t="shared" si="81"/>
        <v>538249.50768232218</v>
      </c>
      <c r="AB863" s="777">
        <f t="shared" si="81"/>
        <v>546646.13048853411</v>
      </c>
      <c r="AC863" s="777">
        <f t="shared" si="81"/>
        <v>555038.01289916527</v>
      </c>
      <c r="AD863" s="777">
        <f t="shared" si="81"/>
        <v>563429.89530979632</v>
      </c>
      <c r="AE863" s="777">
        <f t="shared" si="81"/>
        <v>571826.77047959645</v>
      </c>
      <c r="AF863" s="777">
        <f t="shared" si="81"/>
        <v>580218.65289022785</v>
      </c>
      <c r="AG863" s="777">
        <f t="shared" si="81"/>
        <v>588610.53530085867</v>
      </c>
      <c r="AH863" s="778">
        <f t="shared" si="81"/>
        <v>597007.1581070706</v>
      </c>
    </row>
    <row r="864" spans="2:34" ht="21.95" customHeight="1" x14ac:dyDescent="0.2">
      <c r="B864" s="1346"/>
      <c r="C864" s="116"/>
      <c r="D864" s="116"/>
      <c r="E864" s="116" t="s">
        <v>467</v>
      </c>
      <c r="F864" s="116"/>
      <c r="G864" s="777">
        <f>G849</f>
        <v>0</v>
      </c>
      <c r="H864" s="777">
        <f>H849</f>
        <v>0</v>
      </c>
      <c r="I864" s="777">
        <f t="shared" ref="I864:AH864" si="82">I849</f>
        <v>684555.42516137124</v>
      </c>
      <c r="J864" s="777">
        <f t="shared" si="82"/>
        <v>714633.65519116272</v>
      </c>
      <c r="K864" s="777">
        <f t="shared" si="82"/>
        <v>754936.64726266521</v>
      </c>
      <c r="L864" s="777">
        <f t="shared" si="82"/>
        <v>818102.99880031112</v>
      </c>
      <c r="M864" s="777">
        <f t="shared" si="82"/>
        <v>881298.83910087007</v>
      </c>
      <c r="N864" s="777">
        <f t="shared" si="82"/>
        <v>944494.74730698159</v>
      </c>
      <c r="O864" s="777">
        <f t="shared" si="82"/>
        <v>1007661.0988446276</v>
      </c>
      <c r="P864" s="777">
        <f t="shared" si="82"/>
        <v>1070886.4072994413</v>
      </c>
      <c r="Q864" s="777">
        <f t="shared" si="82"/>
        <v>1128530.6675367774</v>
      </c>
      <c r="R864" s="777">
        <f t="shared" si="82"/>
        <v>1186021.0146494764</v>
      </c>
      <c r="S864" s="777">
        <f t="shared" si="82"/>
        <v>1243498.6009410792</v>
      </c>
      <c r="T864" s="777">
        <f t="shared" si="82"/>
        <v>1300975.8960260518</v>
      </c>
      <c r="U864" s="777">
        <f t="shared" si="82"/>
        <v>1358512.183782235</v>
      </c>
      <c r="V864" s="777">
        <f t="shared" si="82"/>
        <v>1393366.2454810487</v>
      </c>
      <c r="W864" s="777">
        <f t="shared" si="82"/>
        <v>1415758.5592270137</v>
      </c>
      <c r="X864" s="777">
        <f t="shared" si="82"/>
        <v>1438690.4453038885</v>
      </c>
      <c r="Y864" s="777">
        <f t="shared" si="82"/>
        <v>1461622.3313807631</v>
      </c>
      <c r="Z864" s="777">
        <f t="shared" si="82"/>
        <v>1484569.8492308392</v>
      </c>
      <c r="AA864" s="777">
        <f t="shared" si="82"/>
        <v>1508189.5438084137</v>
      </c>
      <c r="AB864" s="777">
        <f t="shared" si="82"/>
        <v>1531917.1501476248</v>
      </c>
      <c r="AC864" s="777">
        <f t="shared" si="82"/>
        <v>1555629.8237392793</v>
      </c>
      <c r="AD864" s="777">
        <f t="shared" si="82"/>
        <v>1579342.4973309345</v>
      </c>
      <c r="AE864" s="777">
        <f t="shared" si="82"/>
        <v>1603070.9849099137</v>
      </c>
      <c r="AF864" s="777">
        <f t="shared" si="82"/>
        <v>1626783.658501568</v>
      </c>
      <c r="AG864" s="777">
        <f t="shared" si="82"/>
        <v>1650496.332093223</v>
      </c>
      <c r="AH864" s="778">
        <f t="shared" si="82"/>
        <v>1674223.9384324346</v>
      </c>
    </row>
    <row r="865" spans="2:34" ht="21.95" customHeight="1" thickBot="1" x14ac:dyDescent="0.25">
      <c r="B865" s="1347"/>
      <c r="C865" s="278"/>
      <c r="D865" s="278"/>
      <c r="E865" s="789" t="s">
        <v>25</v>
      </c>
      <c r="F865" s="789"/>
      <c r="G865" s="790">
        <f>G863+G864</f>
        <v>0</v>
      </c>
      <c r="H865" s="790">
        <f>H863+H864</f>
        <v>0</v>
      </c>
      <c r="I865" s="790">
        <f t="shared" ref="I865:AH865" si="83">I863+I864</f>
        <v>949610.76924212882</v>
      </c>
      <c r="J865" s="790">
        <f t="shared" si="83"/>
        <v>989657.83923089271</v>
      </c>
      <c r="K865" s="790">
        <f t="shared" si="83"/>
        <v>1043484.3502069322</v>
      </c>
      <c r="L865" s="790">
        <f t="shared" si="83"/>
        <v>1127349.7717475635</v>
      </c>
      <c r="M865" s="790">
        <f t="shared" si="83"/>
        <v>1211253.9746874617</v>
      </c>
      <c r="N865" s="790">
        <f t="shared" si="83"/>
        <v>1295158.3216859025</v>
      </c>
      <c r="O865" s="790">
        <f t="shared" si="83"/>
        <v>1379023.743226534</v>
      </c>
      <c r="P865" s="790">
        <f t="shared" si="83"/>
        <v>1462966.6789468557</v>
      </c>
      <c r="Q865" s="790">
        <f t="shared" si="83"/>
        <v>1539500.0859249076</v>
      </c>
      <c r="R865" s="790">
        <f t="shared" si="83"/>
        <v>1615809.1820031102</v>
      </c>
      <c r="S865" s="790">
        <f t="shared" si="83"/>
        <v>1692101.6205192083</v>
      </c>
      <c r="T865" s="790">
        <f t="shared" si="83"/>
        <v>1768393.6844348568</v>
      </c>
      <c r="U865" s="790">
        <f t="shared" si="83"/>
        <v>1844763.2611480686</v>
      </c>
      <c r="V865" s="790">
        <f t="shared" si="83"/>
        <v>1891324.4805581109</v>
      </c>
      <c r="W865" s="790">
        <f t="shared" si="83"/>
        <v>1921520.4964601288</v>
      </c>
      <c r="X865" s="790">
        <f t="shared" si="83"/>
        <v>1952496.4477970949</v>
      </c>
      <c r="Y865" s="790">
        <f t="shared" si="83"/>
        <v>1983472.3991340611</v>
      </c>
      <c r="Z865" s="790">
        <f t="shared" si="83"/>
        <v>2014468.8938325336</v>
      </c>
      <c r="AA865" s="790">
        <f t="shared" si="83"/>
        <v>2046439.0514907357</v>
      </c>
      <c r="AB865" s="790">
        <f t="shared" si="83"/>
        <v>2078563.2806361588</v>
      </c>
      <c r="AC865" s="790">
        <f t="shared" si="83"/>
        <v>2110667.8366384446</v>
      </c>
      <c r="AD865" s="790">
        <f t="shared" si="83"/>
        <v>2142772.3926407308</v>
      </c>
      <c r="AE865" s="790">
        <f t="shared" si="83"/>
        <v>2174897.7553895102</v>
      </c>
      <c r="AF865" s="790">
        <f t="shared" si="83"/>
        <v>2207002.311391796</v>
      </c>
      <c r="AG865" s="790">
        <f t="shared" si="83"/>
        <v>2239106.8673940818</v>
      </c>
      <c r="AH865" s="791">
        <f t="shared" si="83"/>
        <v>2271231.0965395053</v>
      </c>
    </row>
    <row r="866" spans="2:34" ht="21.95" customHeight="1" x14ac:dyDescent="0.2">
      <c r="F866"/>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row>
    <row r="867" spans="2:34" ht="21.95" customHeight="1" x14ac:dyDescent="0.2">
      <c r="F867"/>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row>
    <row r="868" spans="2:34" ht="21.95" customHeight="1" thickBot="1" x14ac:dyDescent="0.25">
      <c r="B868" s="548" t="s">
        <v>500</v>
      </c>
      <c r="F868"/>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row>
    <row r="869" spans="2:34" ht="21.95" customHeight="1" x14ac:dyDescent="0.2">
      <c r="B869" s="573"/>
      <c r="C869" s="482"/>
      <c r="D869" s="482"/>
      <c r="E869" s="482" t="s">
        <v>24</v>
      </c>
      <c r="F869" s="482"/>
      <c r="G869" s="482" cm="1">
        <f t="array" ref="G869:AH869">year</f>
        <v>2021</v>
      </c>
      <c r="H869" s="482">
        <v>2022</v>
      </c>
      <c r="I869" s="482">
        <v>2023</v>
      </c>
      <c r="J869" s="482">
        <v>2024</v>
      </c>
      <c r="K869" s="482">
        <v>2025</v>
      </c>
      <c r="L869" s="482">
        <v>2026</v>
      </c>
      <c r="M869" s="482">
        <v>2027</v>
      </c>
      <c r="N869" s="482">
        <v>2028</v>
      </c>
      <c r="O869" s="482">
        <v>2029</v>
      </c>
      <c r="P869" s="482">
        <v>2030</v>
      </c>
      <c r="Q869" s="482">
        <v>2031</v>
      </c>
      <c r="R869" s="482">
        <v>2032</v>
      </c>
      <c r="S869" s="482">
        <v>2033</v>
      </c>
      <c r="T869" s="482">
        <v>2034</v>
      </c>
      <c r="U869" s="482">
        <v>2035</v>
      </c>
      <c r="V869" s="482">
        <v>2036</v>
      </c>
      <c r="W869" s="482">
        <v>2037</v>
      </c>
      <c r="X869" s="482">
        <v>2038</v>
      </c>
      <c r="Y869" s="482">
        <v>2039</v>
      </c>
      <c r="Z869" s="482">
        <v>2040</v>
      </c>
      <c r="AA869" s="482">
        <v>2041</v>
      </c>
      <c r="AB869" s="482">
        <v>2042</v>
      </c>
      <c r="AC869" s="482">
        <v>2043</v>
      </c>
      <c r="AD869" s="482">
        <v>2044</v>
      </c>
      <c r="AE869" s="482">
        <v>2045</v>
      </c>
      <c r="AF869" s="482">
        <v>2046</v>
      </c>
      <c r="AG869" s="482">
        <v>2047</v>
      </c>
      <c r="AH869" s="494">
        <v>2048</v>
      </c>
    </row>
    <row r="870" spans="2:34" ht="21.95" customHeight="1" x14ac:dyDescent="0.2">
      <c r="B870" s="1346" t="s">
        <v>43</v>
      </c>
      <c r="C870" s="220"/>
      <c r="D870" s="220"/>
      <c r="E870" s="220" t="s">
        <v>19</v>
      </c>
      <c r="F870" s="220"/>
      <c r="G870" s="799">
        <f t="shared" ref="G870:AH870" si="84">G854*G13</f>
        <v>0</v>
      </c>
      <c r="H870" s="799">
        <f t="shared" si="84"/>
        <v>0</v>
      </c>
      <c r="I870" s="799">
        <f t="shared" si="84"/>
        <v>1823601.5967721997</v>
      </c>
      <c r="J870" s="799">
        <f t="shared" si="84"/>
        <v>1914714.0467041042</v>
      </c>
      <c r="K870" s="799">
        <f t="shared" si="84"/>
        <v>2032498.2736231794</v>
      </c>
      <c r="L870" s="799">
        <f t="shared" si="84"/>
        <v>2216293.8543515881</v>
      </c>
      <c r="M870" s="799">
        <f t="shared" si="84"/>
        <v>2418755.8927959688</v>
      </c>
      <c r="N870" s="799">
        <f t="shared" si="84"/>
        <v>2613642.3611846883</v>
      </c>
      <c r="O870" s="799">
        <f t="shared" si="84"/>
        <v>2828754.6245937049</v>
      </c>
      <c r="P870" s="799">
        <f t="shared" si="84"/>
        <v>3034735.9658362977</v>
      </c>
      <c r="Q870" s="799">
        <f t="shared" si="84"/>
        <v>3180939.6315732975</v>
      </c>
      <c r="R870" s="799">
        <f t="shared" si="84"/>
        <v>3326598.41230638</v>
      </c>
      <c r="S870" s="799">
        <f t="shared" si="84"/>
        <v>3472227.0319195525</v>
      </c>
      <c r="T870" s="799">
        <f t="shared" si="84"/>
        <v>3617855.0060571912</v>
      </c>
      <c r="U870" s="799">
        <f t="shared" si="84"/>
        <v>3763626.3276101397</v>
      </c>
      <c r="V870" s="799">
        <f t="shared" si="84"/>
        <v>3854240.7633089907</v>
      </c>
      <c r="W870" s="799">
        <f t="shared" si="84"/>
        <v>3914642.1079115705</v>
      </c>
      <c r="X870" s="799">
        <f t="shared" si="84"/>
        <v>3976903.8841895834</v>
      </c>
      <c r="Y870" s="799">
        <f t="shared" si="84"/>
        <v>4039165.6604675972</v>
      </c>
      <c r="Z870" s="799">
        <f t="shared" si="84"/>
        <v>4101465.4528733189</v>
      </c>
      <c r="AA870" s="799">
        <f t="shared" si="84"/>
        <v>4166098.7753704963</v>
      </c>
      <c r="AB870" s="799">
        <f t="shared" si="84"/>
        <v>4231089.3782246187</v>
      </c>
      <c r="AC870" s="799">
        <f t="shared" si="84"/>
        <v>4296043.2899978496</v>
      </c>
      <c r="AD870" s="799">
        <f t="shared" si="84"/>
        <v>4360997.2017710842</v>
      </c>
      <c r="AE870" s="799">
        <f t="shared" si="84"/>
        <v>4425989.7579416875</v>
      </c>
      <c r="AF870" s="799">
        <f t="shared" si="84"/>
        <v>4490943.6697149184</v>
      </c>
      <c r="AG870" s="799">
        <f t="shared" si="84"/>
        <v>4555897.581488152</v>
      </c>
      <c r="AH870" s="800">
        <f t="shared" si="84"/>
        <v>4620888.1843422726</v>
      </c>
    </row>
    <row r="871" spans="2:34" ht="21.95" customHeight="1" x14ac:dyDescent="0.2">
      <c r="B871" s="1346"/>
      <c r="C871" s="116"/>
      <c r="D871" s="116"/>
      <c r="E871" s="116" t="s">
        <v>467</v>
      </c>
      <c r="F871" s="116"/>
      <c r="G871" s="810">
        <f t="shared" ref="G871:AH871" si="85">G855*G13</f>
        <v>0</v>
      </c>
      <c r="H871" s="810">
        <f t="shared" si="85"/>
        <v>0</v>
      </c>
      <c r="I871" s="810">
        <f t="shared" si="85"/>
        <v>248464.2713402182</v>
      </c>
      <c r="J871" s="810">
        <f t="shared" si="85"/>
        <v>262469.25290243677</v>
      </c>
      <c r="K871" s="810">
        <f t="shared" si="85"/>
        <v>280533.67659730226</v>
      </c>
      <c r="L871" s="810">
        <f t="shared" si="85"/>
        <v>309308.6616371157</v>
      </c>
      <c r="M871" s="810">
        <f t="shared" si="85"/>
        <v>340817.80693393381</v>
      </c>
      <c r="N871" s="810">
        <f t="shared" si="85"/>
        <v>371378.69303359027</v>
      </c>
      <c r="O871" s="810">
        <f t="shared" si="85"/>
        <v>404923.96941531857</v>
      </c>
      <c r="P871" s="810">
        <f t="shared" si="85"/>
        <v>437271.58712818858</v>
      </c>
      <c r="Q871" s="810">
        <f t="shared" si="85"/>
        <v>460809.28168757271</v>
      </c>
      <c r="R871" s="810">
        <f t="shared" si="85"/>
        <v>484284.1293979992</v>
      </c>
      <c r="S871" s="810">
        <f t="shared" si="85"/>
        <v>507753.76652357244</v>
      </c>
      <c r="T871" s="810">
        <f t="shared" si="85"/>
        <v>531223.28474168282</v>
      </c>
      <c r="U871" s="810">
        <f t="shared" si="85"/>
        <v>554716.89124664955</v>
      </c>
      <c r="V871" s="810">
        <f t="shared" si="85"/>
        <v>568948.73766193655</v>
      </c>
      <c r="W871" s="810">
        <f t="shared" si="85"/>
        <v>578092.11879407987</v>
      </c>
      <c r="X871" s="810">
        <f t="shared" si="85"/>
        <v>587455.82175298198</v>
      </c>
      <c r="Y871" s="810">
        <f t="shared" si="85"/>
        <v>596819.52471188398</v>
      </c>
      <c r="Z871" s="810">
        <f t="shared" si="85"/>
        <v>606189.61054223811</v>
      </c>
      <c r="AA871" s="810">
        <f t="shared" si="85"/>
        <v>615834.16412422317</v>
      </c>
      <c r="AB871" s="810">
        <f t="shared" si="85"/>
        <v>625522.78096722206</v>
      </c>
      <c r="AC871" s="810">
        <f t="shared" si="85"/>
        <v>635205.30036965222</v>
      </c>
      <c r="AD871" s="810">
        <f t="shared" si="85"/>
        <v>644887.8197720825</v>
      </c>
      <c r="AE871" s="810">
        <f t="shared" si="85"/>
        <v>654576.7964488687</v>
      </c>
      <c r="AF871" s="810">
        <f t="shared" si="85"/>
        <v>664259.31585129851</v>
      </c>
      <c r="AG871" s="810">
        <f t="shared" si="85"/>
        <v>673941.83525372879</v>
      </c>
      <c r="AH871" s="802">
        <f t="shared" si="85"/>
        <v>683630.45209672744</v>
      </c>
    </row>
    <row r="872" spans="2:34" ht="21.95" customHeight="1" x14ac:dyDescent="0.2">
      <c r="B872" s="1346"/>
      <c r="C872" s="116"/>
      <c r="D872" s="116"/>
      <c r="E872" s="772" t="s">
        <v>25</v>
      </c>
      <c r="F872" s="240"/>
      <c r="G872" s="803">
        <f>G870+G871</f>
        <v>0</v>
      </c>
      <c r="H872" s="803">
        <f>H870+H871</f>
        <v>0</v>
      </c>
      <c r="I872" s="803">
        <f t="shared" ref="I872:AH872" si="86">I870+I871</f>
        <v>2072065.8681124179</v>
      </c>
      <c r="J872" s="803">
        <f t="shared" si="86"/>
        <v>2177183.2996065412</v>
      </c>
      <c r="K872" s="803">
        <f t="shared" si="86"/>
        <v>2313031.9502204815</v>
      </c>
      <c r="L872" s="803">
        <f t="shared" si="86"/>
        <v>2525602.5159887038</v>
      </c>
      <c r="M872" s="803">
        <f t="shared" si="86"/>
        <v>2759573.6997299027</v>
      </c>
      <c r="N872" s="803">
        <f t="shared" si="86"/>
        <v>2985021.0542182787</v>
      </c>
      <c r="O872" s="803">
        <f t="shared" si="86"/>
        <v>3233678.5940090236</v>
      </c>
      <c r="P872" s="803">
        <f t="shared" si="86"/>
        <v>3472007.5529644862</v>
      </c>
      <c r="Q872" s="803">
        <f t="shared" si="86"/>
        <v>3641748.9132608701</v>
      </c>
      <c r="R872" s="803">
        <f t="shared" si="86"/>
        <v>3810882.541704379</v>
      </c>
      <c r="S872" s="803">
        <f t="shared" si="86"/>
        <v>3979980.7984431251</v>
      </c>
      <c r="T872" s="803">
        <f t="shared" si="86"/>
        <v>4149078.2907988741</v>
      </c>
      <c r="U872" s="803">
        <f t="shared" si="86"/>
        <v>4318343.2188567892</v>
      </c>
      <c r="V872" s="803">
        <f t="shared" si="86"/>
        <v>4423189.5009709271</v>
      </c>
      <c r="W872" s="803">
        <f t="shared" si="86"/>
        <v>4492734.2267056499</v>
      </c>
      <c r="X872" s="803">
        <f t="shared" si="86"/>
        <v>4564359.7059425656</v>
      </c>
      <c r="Y872" s="803">
        <f t="shared" si="86"/>
        <v>4635985.1851794813</v>
      </c>
      <c r="Z872" s="803">
        <f t="shared" si="86"/>
        <v>4707655.0634155571</v>
      </c>
      <c r="AA872" s="803">
        <f t="shared" si="86"/>
        <v>4781932.9394947197</v>
      </c>
      <c r="AB872" s="803">
        <f t="shared" si="86"/>
        <v>4856612.1591918413</v>
      </c>
      <c r="AC872" s="803">
        <f t="shared" si="86"/>
        <v>4931248.5903675016</v>
      </c>
      <c r="AD872" s="803">
        <f t="shared" si="86"/>
        <v>5005885.0215431666</v>
      </c>
      <c r="AE872" s="803">
        <f t="shared" si="86"/>
        <v>5080566.5543905562</v>
      </c>
      <c r="AF872" s="803">
        <f t="shared" si="86"/>
        <v>5155202.9855662165</v>
      </c>
      <c r="AG872" s="803">
        <f t="shared" si="86"/>
        <v>5229839.4167418806</v>
      </c>
      <c r="AH872" s="804">
        <f t="shared" si="86"/>
        <v>5304518.6364390003</v>
      </c>
    </row>
    <row r="873" spans="2:34" ht="21.95" customHeight="1" x14ac:dyDescent="0.2">
      <c r="B873" s="1346" t="s">
        <v>438</v>
      </c>
      <c r="C873" s="220"/>
      <c r="D873" s="220"/>
      <c r="E873" s="220" t="s">
        <v>19</v>
      </c>
      <c r="F873" s="220"/>
      <c r="G873" s="810">
        <f t="shared" ref="G873:AH873" si="87">G857*G14</f>
        <v>0</v>
      </c>
      <c r="H873" s="810">
        <f t="shared" si="87"/>
        <v>0</v>
      </c>
      <c r="I873" s="810">
        <f t="shared" si="87"/>
        <v>1048.1462159044427</v>
      </c>
      <c r="J873" s="810">
        <f t="shared" si="87"/>
        <v>1109.2705433417459</v>
      </c>
      <c r="K873" s="810">
        <f t="shared" si="87"/>
        <v>1186.5860218538887</v>
      </c>
      <c r="L873" s="810">
        <f t="shared" si="87"/>
        <v>1296.1099269417366</v>
      </c>
      <c r="M873" s="810">
        <f t="shared" si="87"/>
        <v>1408.9403843641501</v>
      </c>
      <c r="N873" s="810">
        <f t="shared" si="87"/>
        <v>1521.9648350484363</v>
      </c>
      <c r="O873" s="810">
        <f t="shared" si="87"/>
        <v>1641.1093355246071</v>
      </c>
      <c r="P873" s="810">
        <f t="shared" si="87"/>
        <v>1763.6041797284652</v>
      </c>
      <c r="Q873" s="810">
        <f t="shared" si="87"/>
        <v>1848.5688682180403</v>
      </c>
      <c r="R873" s="810">
        <f t="shared" si="87"/>
        <v>1933.2169026457157</v>
      </c>
      <c r="S873" s="810">
        <f t="shared" si="87"/>
        <v>2017.8474092628226</v>
      </c>
      <c r="T873" s="810">
        <f t="shared" si="87"/>
        <v>2102.4775407687612</v>
      </c>
      <c r="U873" s="810">
        <f t="shared" si="87"/>
        <v>2187.1909770839625</v>
      </c>
      <c r="V873" s="810">
        <f t="shared" si="87"/>
        <v>2239.8505821834756</v>
      </c>
      <c r="W873" s="810">
        <f t="shared" si="87"/>
        <v>2274.9521742170255</v>
      </c>
      <c r="X873" s="810">
        <f t="shared" si="87"/>
        <v>2311.134936117026</v>
      </c>
      <c r="Y873" s="810">
        <f t="shared" si="87"/>
        <v>2347.317698017026</v>
      </c>
      <c r="Z873" s="810">
        <f t="shared" si="87"/>
        <v>2383.5225525809292</v>
      </c>
      <c r="AA873" s="810">
        <f t="shared" si="87"/>
        <v>2421.083513069414</v>
      </c>
      <c r="AB873" s="810">
        <f t="shared" si="87"/>
        <v>2458.8521031961714</v>
      </c>
      <c r="AC873" s="810">
        <f t="shared" si="87"/>
        <v>2496.5993706957406</v>
      </c>
      <c r="AD873" s="810">
        <f t="shared" si="87"/>
        <v>2534.3466381953099</v>
      </c>
      <c r="AE873" s="810">
        <f t="shared" si="87"/>
        <v>2572.116363470941</v>
      </c>
      <c r="AF873" s="810">
        <f t="shared" si="87"/>
        <v>2609.8636309705107</v>
      </c>
      <c r="AG873" s="810">
        <f t="shared" si="87"/>
        <v>2647.61089847008</v>
      </c>
      <c r="AH873" s="802">
        <f t="shared" si="87"/>
        <v>2685.3794885968368</v>
      </c>
    </row>
    <row r="874" spans="2:34" ht="21.95" customHeight="1" x14ac:dyDescent="0.2">
      <c r="B874" s="1346"/>
      <c r="C874" s="116"/>
      <c r="D874" s="116"/>
      <c r="E874" s="116" t="s">
        <v>467</v>
      </c>
      <c r="F874" s="116"/>
      <c r="G874" s="810">
        <f t="shared" ref="G874:AH874" si="88">G858*G14</f>
        <v>0</v>
      </c>
      <c r="H874" s="810">
        <f t="shared" si="88"/>
        <v>0</v>
      </c>
      <c r="I874" s="810">
        <f t="shared" si="88"/>
        <v>7683.3191599828679</v>
      </c>
      <c r="J874" s="810">
        <f t="shared" si="88"/>
        <v>8180.9739955975556</v>
      </c>
      <c r="K874" s="810">
        <f t="shared" si="88"/>
        <v>8811.44360769179</v>
      </c>
      <c r="L874" s="810">
        <f t="shared" si="88"/>
        <v>9731.9438955150636</v>
      </c>
      <c r="M874" s="810">
        <f t="shared" si="88"/>
        <v>10681.097381325173</v>
      </c>
      <c r="N874" s="810">
        <f t="shared" si="88"/>
        <v>11635.055554662018</v>
      </c>
      <c r="O874" s="810">
        <f t="shared" si="88"/>
        <v>12638.884485458229</v>
      </c>
      <c r="P874" s="810">
        <f t="shared" si="88"/>
        <v>13671.761908098726</v>
      </c>
      <c r="Q874" s="810">
        <f t="shared" si="88"/>
        <v>14407.692998419278</v>
      </c>
      <c r="R874" s="810">
        <f t="shared" si="88"/>
        <v>15141.659115069218</v>
      </c>
      <c r="S874" s="810">
        <f t="shared" si="88"/>
        <v>15875.462317233923</v>
      </c>
      <c r="T874" s="810">
        <f t="shared" si="88"/>
        <v>16609.261801630171</v>
      </c>
      <c r="U874" s="810">
        <f t="shared" si="88"/>
        <v>17343.814431971328</v>
      </c>
      <c r="V874" s="810">
        <f t="shared" si="88"/>
        <v>17788.7882684383</v>
      </c>
      <c r="W874" s="810">
        <f t="shared" si="88"/>
        <v>18074.665818120066</v>
      </c>
      <c r="X874" s="810">
        <f t="shared" si="88"/>
        <v>18367.43196437951</v>
      </c>
      <c r="Y874" s="810">
        <f t="shared" si="88"/>
        <v>18660.19811063895</v>
      </c>
      <c r="Z874" s="810">
        <f t="shared" si="88"/>
        <v>18953.163824172712</v>
      </c>
      <c r="AA874" s="810">
        <f t="shared" si="88"/>
        <v>19254.711064295923</v>
      </c>
      <c r="AB874" s="810">
        <f t="shared" si="88"/>
        <v>19557.635989206359</v>
      </c>
      <c r="AC874" s="810">
        <f t="shared" si="88"/>
        <v>19860.37027114306</v>
      </c>
      <c r="AD874" s="810">
        <f t="shared" si="88"/>
        <v>20163.104553079753</v>
      </c>
      <c r="AE874" s="810">
        <f t="shared" si="88"/>
        <v>20466.040728576809</v>
      </c>
      <c r="AF874" s="810">
        <f t="shared" si="88"/>
        <v>20768.775010513506</v>
      </c>
      <c r="AG874" s="810">
        <f t="shared" si="88"/>
        <v>21071.50929245021</v>
      </c>
      <c r="AH874" s="802">
        <f t="shared" si="88"/>
        <v>21374.434217360649</v>
      </c>
    </row>
    <row r="875" spans="2:34" ht="21.95" customHeight="1" x14ac:dyDescent="0.2">
      <c r="B875" s="1346"/>
      <c r="C875" s="116"/>
      <c r="D875" s="116"/>
      <c r="E875" s="772" t="s">
        <v>25</v>
      </c>
      <c r="F875" s="240"/>
      <c r="G875" s="811">
        <f>G873+G874</f>
        <v>0</v>
      </c>
      <c r="H875" s="811">
        <f>H873+H874</f>
        <v>0</v>
      </c>
      <c r="I875" s="811">
        <f t="shared" ref="I875:AH875" si="89">I873+I874</f>
        <v>8731.4653758873101</v>
      </c>
      <c r="J875" s="811">
        <f t="shared" si="89"/>
        <v>9290.2445389393015</v>
      </c>
      <c r="K875" s="811">
        <f t="shared" si="89"/>
        <v>9998.0296295456792</v>
      </c>
      <c r="L875" s="811">
        <f t="shared" si="89"/>
        <v>11028.053822456801</v>
      </c>
      <c r="M875" s="811">
        <f t="shared" si="89"/>
        <v>12090.037765689323</v>
      </c>
      <c r="N875" s="811">
        <f t="shared" si="89"/>
        <v>13157.020389710455</v>
      </c>
      <c r="O875" s="811">
        <f t="shared" si="89"/>
        <v>14279.993820982836</v>
      </c>
      <c r="P875" s="811">
        <f t="shared" si="89"/>
        <v>15435.366087827191</v>
      </c>
      <c r="Q875" s="811">
        <f t="shared" si="89"/>
        <v>16256.261866637318</v>
      </c>
      <c r="R875" s="811">
        <f t="shared" si="89"/>
        <v>17074.876017714934</v>
      </c>
      <c r="S875" s="811">
        <f t="shared" si="89"/>
        <v>17893.309726496747</v>
      </c>
      <c r="T875" s="811">
        <f t="shared" si="89"/>
        <v>18711.739342398934</v>
      </c>
      <c r="U875" s="811">
        <f t="shared" si="89"/>
        <v>19531.005409055291</v>
      </c>
      <c r="V875" s="811">
        <f t="shared" si="89"/>
        <v>20028.638850621777</v>
      </c>
      <c r="W875" s="811">
        <f t="shared" si="89"/>
        <v>20349.617992337091</v>
      </c>
      <c r="X875" s="811">
        <f t="shared" si="89"/>
        <v>20678.566900496535</v>
      </c>
      <c r="Y875" s="811">
        <f t="shared" si="89"/>
        <v>21007.515808655975</v>
      </c>
      <c r="Z875" s="811">
        <f t="shared" si="89"/>
        <v>21336.686376753642</v>
      </c>
      <c r="AA875" s="811">
        <f t="shared" si="89"/>
        <v>21675.794577365337</v>
      </c>
      <c r="AB875" s="811">
        <f t="shared" si="89"/>
        <v>22016.488092402531</v>
      </c>
      <c r="AC875" s="811">
        <f t="shared" si="89"/>
        <v>22356.969641838801</v>
      </c>
      <c r="AD875" s="811">
        <f t="shared" si="89"/>
        <v>22697.451191275064</v>
      </c>
      <c r="AE875" s="811">
        <f t="shared" si="89"/>
        <v>23038.15709204775</v>
      </c>
      <c r="AF875" s="811">
        <f t="shared" si="89"/>
        <v>23378.638641484016</v>
      </c>
      <c r="AG875" s="811">
        <f t="shared" si="89"/>
        <v>23719.12019092029</v>
      </c>
      <c r="AH875" s="805">
        <f t="shared" si="89"/>
        <v>24059.813705957487</v>
      </c>
    </row>
    <row r="876" spans="2:34" ht="21.95" customHeight="1" x14ac:dyDescent="0.2">
      <c r="B876" s="1346" t="s">
        <v>41</v>
      </c>
      <c r="C876" s="220"/>
      <c r="D876" s="220"/>
      <c r="E876" s="220" t="s">
        <v>19</v>
      </c>
      <c r="F876" s="220"/>
      <c r="G876" s="799">
        <f t="shared" ref="G876:AH876" si="90">G860*G15</f>
        <v>0</v>
      </c>
      <c r="H876" s="799">
        <f t="shared" si="90"/>
        <v>0</v>
      </c>
      <c r="I876" s="799">
        <f t="shared" si="90"/>
        <v>2511243.1639407696</v>
      </c>
      <c r="J876" s="799">
        <f t="shared" si="90"/>
        <v>2650700.9164194623</v>
      </c>
      <c r="K876" s="799">
        <f t="shared" si="90"/>
        <v>2829275.4198750979</v>
      </c>
      <c r="L876" s="799">
        <f t="shared" si="90"/>
        <v>3080313.5414709332</v>
      </c>
      <c r="M876" s="799">
        <f t="shared" si="90"/>
        <v>3338653.3082796368</v>
      </c>
      <c r="N876" s="799">
        <f t="shared" si="90"/>
        <v>3604759.5412328048</v>
      </c>
      <c r="O876" s="799">
        <f t="shared" si="90"/>
        <v>3878317.3862872911</v>
      </c>
      <c r="P876" s="799">
        <f t="shared" si="90"/>
        <v>4159763.7024671896</v>
      </c>
      <c r="Q876" s="799">
        <f t="shared" si="90"/>
        <v>4360167.5296030408</v>
      </c>
      <c r="R876" s="799">
        <f t="shared" si="90"/>
        <v>4559824.4736865209</v>
      </c>
      <c r="S876" s="799">
        <f t="shared" si="90"/>
        <v>4759440.0754149398</v>
      </c>
      <c r="T876" s="799">
        <f t="shared" si="90"/>
        <v>4959054.7923791679</v>
      </c>
      <c r="U876" s="799">
        <f t="shared" si="90"/>
        <v>5158865.9980599647</v>
      </c>
      <c r="V876" s="799">
        <f t="shared" si="90"/>
        <v>5283072.7312924415</v>
      </c>
      <c r="W876" s="799">
        <f t="shared" si="90"/>
        <v>5365865.8716797885</v>
      </c>
      <c r="X876" s="799">
        <f t="shared" si="90"/>
        <v>5451209.1370999292</v>
      </c>
      <c r="Y876" s="799">
        <f t="shared" si="90"/>
        <v>5536552.402520068</v>
      </c>
      <c r="Z876" s="799">
        <f t="shared" si="90"/>
        <v>5621947.7772867661</v>
      </c>
      <c r="AA876" s="799">
        <f t="shared" si="90"/>
        <v>5710541.7610534979</v>
      </c>
      <c r="AB876" s="799">
        <f t="shared" si="90"/>
        <v>5799625.4750231672</v>
      </c>
      <c r="AC876" s="799">
        <f t="shared" si="90"/>
        <v>5888658.895910277</v>
      </c>
      <c r="AD876" s="799">
        <f t="shared" si="90"/>
        <v>5977692.3167973869</v>
      </c>
      <c r="AE876" s="799">
        <f t="shared" si="90"/>
        <v>6066778.7082108576</v>
      </c>
      <c r="AF876" s="799">
        <f t="shared" si="90"/>
        <v>6155812.1290979674</v>
      </c>
      <c r="AG876" s="799">
        <f t="shared" si="90"/>
        <v>6244845.5499850744</v>
      </c>
      <c r="AH876" s="800">
        <f t="shared" si="90"/>
        <v>6333929.2639547465</v>
      </c>
    </row>
    <row r="877" spans="2:34" ht="21.95" customHeight="1" x14ac:dyDescent="0.2">
      <c r="B877" s="1346"/>
      <c r="C877" s="116"/>
      <c r="D877" s="116"/>
      <c r="E877" s="116" t="s">
        <v>467</v>
      </c>
      <c r="F877" s="116"/>
      <c r="G877" s="810">
        <f t="shared" ref="G877:AH877" si="91">G861*G15</f>
        <v>0</v>
      </c>
      <c r="H877" s="810">
        <f t="shared" si="91"/>
        <v>0</v>
      </c>
      <c r="I877" s="810">
        <f t="shared" si="91"/>
        <v>624318.86136299244</v>
      </c>
      <c r="J877" s="810">
        <f t="shared" si="91"/>
        <v>663008.26905042632</v>
      </c>
      <c r="K877" s="810">
        <f t="shared" si="91"/>
        <v>712547.38350840949</v>
      </c>
      <c r="L877" s="810">
        <f t="shared" si="91"/>
        <v>784410.44815769722</v>
      </c>
      <c r="M877" s="810">
        <f t="shared" si="91"/>
        <v>858391.21765017777</v>
      </c>
      <c r="N877" s="810">
        <f t="shared" si="91"/>
        <v>934610.87068950117</v>
      </c>
      <c r="O877" s="810">
        <f t="shared" si="91"/>
        <v>1012990.2393471254</v>
      </c>
      <c r="P877" s="810">
        <f t="shared" si="91"/>
        <v>1093660.9691290348</v>
      </c>
      <c r="Q877" s="810">
        <f t="shared" si="91"/>
        <v>1152531.1509580053</v>
      </c>
      <c r="R877" s="810">
        <f t="shared" si="91"/>
        <v>1211244.1463889556</v>
      </c>
      <c r="S877" s="810">
        <f t="shared" si="91"/>
        <v>1269944.1096141818</v>
      </c>
      <c r="T877" s="810">
        <f t="shared" si="91"/>
        <v>1328643.7754396801</v>
      </c>
      <c r="U877" s="810">
        <f t="shared" si="91"/>
        <v>1387403.6885346647</v>
      </c>
      <c r="V877" s="810">
        <f t="shared" si="91"/>
        <v>1422998.9922342745</v>
      </c>
      <c r="W877" s="810">
        <f t="shared" si="91"/>
        <v>1445867.5237475384</v>
      </c>
      <c r="X877" s="810">
        <f t="shared" si="91"/>
        <v>1469287.1026868564</v>
      </c>
      <c r="Y877" s="810">
        <f t="shared" si="91"/>
        <v>1492706.6816261739</v>
      </c>
      <c r="Z877" s="810">
        <f t="shared" si="91"/>
        <v>1516142.2247799144</v>
      </c>
      <c r="AA877" s="810">
        <f t="shared" si="91"/>
        <v>1540264.2398565505</v>
      </c>
      <c r="AB877" s="810">
        <f t="shared" si="91"/>
        <v>1564496.4616563346</v>
      </c>
      <c r="AC877" s="810">
        <f t="shared" si="91"/>
        <v>1588713.433133533</v>
      </c>
      <c r="AD877" s="810">
        <f t="shared" si="91"/>
        <v>1612930.4046107309</v>
      </c>
      <c r="AE877" s="810">
        <f t="shared" si="91"/>
        <v>1637163.5263916252</v>
      </c>
      <c r="AF877" s="810">
        <f t="shared" si="91"/>
        <v>1661380.4978688231</v>
      </c>
      <c r="AG877" s="810">
        <f t="shared" si="91"/>
        <v>1685597.4693460215</v>
      </c>
      <c r="AH877" s="802">
        <f t="shared" si="91"/>
        <v>1709829.6911458056</v>
      </c>
    </row>
    <row r="878" spans="2:34" ht="21.95" customHeight="1" x14ac:dyDescent="0.2">
      <c r="B878" s="1346"/>
      <c r="C878" s="116"/>
      <c r="D878" s="116"/>
      <c r="E878" s="772" t="s">
        <v>25</v>
      </c>
      <c r="F878" s="240"/>
      <c r="G878" s="803">
        <f>G876+G877</f>
        <v>0</v>
      </c>
      <c r="H878" s="803">
        <f>H876+H877</f>
        <v>0</v>
      </c>
      <c r="I878" s="803">
        <f t="shared" ref="I878:AH878" si="92">I876+I877</f>
        <v>3135562.0253037619</v>
      </c>
      <c r="J878" s="803">
        <f t="shared" si="92"/>
        <v>3313709.1854698886</v>
      </c>
      <c r="K878" s="803">
        <f t="shared" si="92"/>
        <v>3541822.8033835073</v>
      </c>
      <c r="L878" s="803">
        <f t="shared" si="92"/>
        <v>3864723.9896286307</v>
      </c>
      <c r="M878" s="803">
        <f t="shared" si="92"/>
        <v>4197044.5259298142</v>
      </c>
      <c r="N878" s="803">
        <f t="shared" si="92"/>
        <v>4539370.4119223058</v>
      </c>
      <c r="O878" s="803">
        <f t="shared" si="92"/>
        <v>4891307.6256344169</v>
      </c>
      <c r="P878" s="803">
        <f t="shared" si="92"/>
        <v>5253424.6715962244</v>
      </c>
      <c r="Q878" s="803">
        <f t="shared" si="92"/>
        <v>5512698.6805610461</v>
      </c>
      <c r="R878" s="803">
        <f t="shared" si="92"/>
        <v>5771068.6200754764</v>
      </c>
      <c r="S878" s="803">
        <f t="shared" si="92"/>
        <v>6029384.1850291211</v>
      </c>
      <c r="T878" s="803">
        <f t="shared" si="92"/>
        <v>6287698.5678188484</v>
      </c>
      <c r="U878" s="803">
        <f t="shared" si="92"/>
        <v>6546269.6865946297</v>
      </c>
      <c r="V878" s="803">
        <f t="shared" si="92"/>
        <v>6706071.7235267162</v>
      </c>
      <c r="W878" s="803">
        <f t="shared" si="92"/>
        <v>6811733.3954273267</v>
      </c>
      <c r="X878" s="803">
        <f t="shared" si="92"/>
        <v>6920496.2397867851</v>
      </c>
      <c r="Y878" s="803">
        <f t="shared" si="92"/>
        <v>7029259.0841462417</v>
      </c>
      <c r="Z878" s="803">
        <f t="shared" si="92"/>
        <v>7138090.0020666802</v>
      </c>
      <c r="AA878" s="803">
        <f t="shared" si="92"/>
        <v>7250806.0009100484</v>
      </c>
      <c r="AB878" s="803">
        <f t="shared" si="92"/>
        <v>7364121.936679502</v>
      </c>
      <c r="AC878" s="803">
        <f t="shared" si="92"/>
        <v>7477372.3290438103</v>
      </c>
      <c r="AD878" s="803">
        <f t="shared" si="92"/>
        <v>7590622.7214081176</v>
      </c>
      <c r="AE878" s="803">
        <f t="shared" si="92"/>
        <v>7703942.234602483</v>
      </c>
      <c r="AF878" s="803">
        <f t="shared" si="92"/>
        <v>7817192.6269667903</v>
      </c>
      <c r="AG878" s="803">
        <f t="shared" si="92"/>
        <v>7930443.0193310957</v>
      </c>
      <c r="AH878" s="804">
        <f t="shared" si="92"/>
        <v>8043758.9551005522</v>
      </c>
    </row>
    <row r="879" spans="2:34" ht="21.95" customHeight="1" x14ac:dyDescent="0.2">
      <c r="B879" s="1346" t="s">
        <v>40</v>
      </c>
      <c r="C879" s="220"/>
      <c r="D879" s="220"/>
      <c r="E879" s="220" t="s">
        <v>19</v>
      </c>
      <c r="F879" s="220"/>
      <c r="G879" s="810">
        <f t="shared" ref="G879:AH879" si="93">G863*G16</f>
        <v>0</v>
      </c>
      <c r="H879" s="810">
        <f t="shared" si="93"/>
        <v>0</v>
      </c>
      <c r="I879" s="810">
        <f t="shared" si="93"/>
        <v>15108154.612603182</v>
      </c>
      <c r="J879" s="810">
        <f t="shared" si="93"/>
        <v>15951402.674304336</v>
      </c>
      <c r="K879" s="810">
        <f t="shared" si="93"/>
        <v>17024314.473711751</v>
      </c>
      <c r="L879" s="810">
        <f t="shared" si="93"/>
        <v>18554806.376835145</v>
      </c>
      <c r="M879" s="810">
        <f t="shared" si="93"/>
        <v>20127263.270782087</v>
      </c>
      <c r="N879" s="810">
        <f t="shared" si="93"/>
        <v>21741141.611493103</v>
      </c>
      <c r="O879" s="810">
        <f t="shared" si="93"/>
        <v>23395846.596060105</v>
      </c>
      <c r="P879" s="810">
        <f t="shared" si="93"/>
        <v>25485217.657081939</v>
      </c>
      <c r="Q879" s="810">
        <f t="shared" si="93"/>
        <v>27123981.613616586</v>
      </c>
      <c r="R879" s="810">
        <f t="shared" si="93"/>
        <v>28795807.212693457</v>
      </c>
      <c r="S879" s="810">
        <f t="shared" si="93"/>
        <v>30505005.331312779</v>
      </c>
      <c r="T879" s="810">
        <f t="shared" si="93"/>
        <v>32251827.400207534</v>
      </c>
      <c r="U879" s="810">
        <f t="shared" si="93"/>
        <v>34037575.415608361</v>
      </c>
      <c r="V879" s="810">
        <f t="shared" si="93"/>
        <v>35852992.925548479</v>
      </c>
      <c r="W879" s="810">
        <f t="shared" si="93"/>
        <v>36920621.418017395</v>
      </c>
      <c r="X879" s="810">
        <f t="shared" si="93"/>
        <v>38021644.184497274</v>
      </c>
      <c r="Y879" s="810">
        <f t="shared" si="93"/>
        <v>39138755.081497341</v>
      </c>
      <c r="Z879" s="810">
        <f t="shared" si="93"/>
        <v>40272327.389728785</v>
      </c>
      <c r="AA879" s="810">
        <f t="shared" si="93"/>
        <v>41983461.599221133</v>
      </c>
      <c r="AB879" s="810">
        <f t="shared" si="93"/>
        <v>43185044.308594197</v>
      </c>
      <c r="AC879" s="810">
        <f t="shared" si="93"/>
        <v>44403041.031933218</v>
      </c>
      <c r="AD879" s="810">
        <f t="shared" si="93"/>
        <v>45637821.520093501</v>
      </c>
      <c r="AE879" s="810">
        <f t="shared" si="93"/>
        <v>46889795.179326907</v>
      </c>
      <c r="AF879" s="810">
        <f t="shared" si="93"/>
        <v>48738366.842779137</v>
      </c>
      <c r="AG879" s="810">
        <f t="shared" si="93"/>
        <v>50031895.500572987</v>
      </c>
      <c r="AH879" s="802">
        <f t="shared" si="93"/>
        <v>51342615.597208075</v>
      </c>
    </row>
    <row r="880" spans="2:34" ht="21.95" customHeight="1" x14ac:dyDescent="0.2">
      <c r="B880" s="1346"/>
      <c r="C880" s="116"/>
      <c r="D880" s="116"/>
      <c r="E880" s="116" t="s">
        <v>467</v>
      </c>
      <c r="F880" s="116"/>
      <c r="G880" s="810">
        <f t="shared" ref="G880:AH880" si="94">G864*G16</f>
        <v>0</v>
      </c>
      <c r="H880" s="810">
        <f t="shared" si="94"/>
        <v>0</v>
      </c>
      <c r="I880" s="810">
        <f t="shared" si="94"/>
        <v>39019659.23419816</v>
      </c>
      <c r="J880" s="810">
        <f t="shared" si="94"/>
        <v>41448752.001087435</v>
      </c>
      <c r="K880" s="810">
        <f t="shared" si="94"/>
        <v>44541262.188497245</v>
      </c>
      <c r="L880" s="810">
        <f t="shared" si="94"/>
        <v>49086179.928018667</v>
      </c>
      <c r="M880" s="810">
        <f t="shared" si="94"/>
        <v>53759229.185153075</v>
      </c>
      <c r="N880" s="810">
        <f t="shared" si="94"/>
        <v>58558674.333032861</v>
      </c>
      <c r="O880" s="810">
        <f t="shared" si="94"/>
        <v>63482649.227211542</v>
      </c>
      <c r="P880" s="810">
        <f t="shared" si="94"/>
        <v>69607616.474463686</v>
      </c>
      <c r="Q880" s="810">
        <f t="shared" si="94"/>
        <v>74483024.057427317</v>
      </c>
      <c r="R880" s="810">
        <f t="shared" si="94"/>
        <v>79463407.981514916</v>
      </c>
      <c r="S880" s="810">
        <f t="shared" si="94"/>
        <v>84557904.863993391</v>
      </c>
      <c r="T880" s="810">
        <f t="shared" si="94"/>
        <v>89767336.825797573</v>
      </c>
      <c r="U880" s="810">
        <f t="shared" si="94"/>
        <v>95095852.86475645</v>
      </c>
      <c r="V880" s="810">
        <f t="shared" si="94"/>
        <v>100322369.6746355</v>
      </c>
      <c r="W880" s="810">
        <f t="shared" si="94"/>
        <v>103350374.82357199</v>
      </c>
      <c r="X880" s="810">
        <f t="shared" si="94"/>
        <v>106463092.95248775</v>
      </c>
      <c r="Y880" s="810">
        <f t="shared" si="94"/>
        <v>109621674.85355723</v>
      </c>
      <c r="Z880" s="810">
        <f t="shared" si="94"/>
        <v>112827308.54154378</v>
      </c>
      <c r="AA880" s="810">
        <f t="shared" si="94"/>
        <v>117638784.41705626</v>
      </c>
      <c r="AB880" s="810">
        <f t="shared" si="94"/>
        <v>121021454.86166236</v>
      </c>
      <c r="AC880" s="810">
        <f t="shared" si="94"/>
        <v>124450385.89914234</v>
      </c>
      <c r="AD880" s="810">
        <f t="shared" si="94"/>
        <v>127926742.2838057</v>
      </c>
      <c r="AE880" s="810">
        <f t="shared" si="94"/>
        <v>131451820.76261292</v>
      </c>
      <c r="AF880" s="810">
        <f t="shared" si="94"/>
        <v>136649827.31413171</v>
      </c>
      <c r="AG880" s="810">
        <f t="shared" si="94"/>
        <v>140292188.22792396</v>
      </c>
      <c r="AH880" s="802">
        <f t="shared" si="94"/>
        <v>143983258.70518938</v>
      </c>
    </row>
    <row r="881" spans="1:39" ht="21.95" customHeight="1" thickBot="1" x14ac:dyDescent="0.25">
      <c r="B881" s="1347"/>
      <c r="C881" s="278"/>
      <c r="D881" s="278"/>
      <c r="E881" s="789" t="s">
        <v>25</v>
      </c>
      <c r="F881" s="789"/>
      <c r="G881" s="806">
        <f>G879+G880</f>
        <v>0</v>
      </c>
      <c r="H881" s="806">
        <f>H879+H880</f>
        <v>0</v>
      </c>
      <c r="I881" s="806">
        <f t="shared" ref="I881:AH881" si="95">I879+I880</f>
        <v>54127813.846801341</v>
      </c>
      <c r="J881" s="806">
        <f t="shared" si="95"/>
        <v>57400154.675391771</v>
      </c>
      <c r="K881" s="806">
        <f t="shared" si="95"/>
        <v>61565576.662208997</v>
      </c>
      <c r="L881" s="806">
        <f t="shared" si="95"/>
        <v>67640986.304853812</v>
      </c>
      <c r="M881" s="806">
        <f t="shared" si="95"/>
        <v>73886492.455935165</v>
      </c>
      <c r="N881" s="806">
        <f t="shared" si="95"/>
        <v>80299815.944525957</v>
      </c>
      <c r="O881" s="806">
        <f t="shared" si="95"/>
        <v>86878495.823271647</v>
      </c>
      <c r="P881" s="806">
        <f t="shared" si="95"/>
        <v>95092834.131545633</v>
      </c>
      <c r="Q881" s="806">
        <f t="shared" si="95"/>
        <v>101607005.6710439</v>
      </c>
      <c r="R881" s="806">
        <f t="shared" si="95"/>
        <v>108259215.19420837</v>
      </c>
      <c r="S881" s="806">
        <f t="shared" si="95"/>
        <v>115062910.19530617</v>
      </c>
      <c r="T881" s="806">
        <f t="shared" si="95"/>
        <v>122019164.22600511</v>
      </c>
      <c r="U881" s="806">
        <f t="shared" si="95"/>
        <v>129133428.28036481</v>
      </c>
      <c r="V881" s="806">
        <f t="shared" si="95"/>
        <v>136175362.60018396</v>
      </c>
      <c r="W881" s="806">
        <f t="shared" si="95"/>
        <v>140270996.2415894</v>
      </c>
      <c r="X881" s="806">
        <f t="shared" si="95"/>
        <v>144484737.13698503</v>
      </c>
      <c r="Y881" s="806">
        <f t="shared" si="95"/>
        <v>148760429.93505457</v>
      </c>
      <c r="Z881" s="806">
        <f t="shared" si="95"/>
        <v>153099635.93127257</v>
      </c>
      <c r="AA881" s="806">
        <f t="shared" si="95"/>
        <v>159622246.0162774</v>
      </c>
      <c r="AB881" s="806">
        <f t="shared" si="95"/>
        <v>164206499.17025656</v>
      </c>
      <c r="AC881" s="806">
        <f t="shared" si="95"/>
        <v>168853426.93107557</v>
      </c>
      <c r="AD881" s="806">
        <f t="shared" si="95"/>
        <v>173564563.8038992</v>
      </c>
      <c r="AE881" s="806">
        <f t="shared" si="95"/>
        <v>178341615.94193983</v>
      </c>
      <c r="AF881" s="806">
        <f t="shared" si="95"/>
        <v>185388194.15691084</v>
      </c>
      <c r="AG881" s="806">
        <f t="shared" si="95"/>
        <v>190324083.72849694</v>
      </c>
      <c r="AH881" s="807">
        <f t="shared" si="95"/>
        <v>195325874.30239746</v>
      </c>
    </row>
    <row r="882" spans="1:39" ht="21.95" customHeight="1" x14ac:dyDescent="0.2">
      <c r="B882" s="1"/>
      <c r="C882" s="1"/>
      <c r="D882" s="1"/>
      <c r="E882" s="1"/>
      <c r="F882" s="1"/>
      <c r="G882" s="967"/>
      <c r="H882" s="967"/>
      <c r="I882" s="471"/>
      <c r="J882" s="471"/>
      <c r="K882" s="471"/>
      <c r="L882" s="471"/>
      <c r="M882" s="471"/>
      <c r="N882" s="471"/>
      <c r="O882" s="471"/>
      <c r="P882" s="471"/>
      <c r="Q882" s="471"/>
      <c r="R882" s="471"/>
      <c r="S882" s="471"/>
      <c r="T882" s="471"/>
      <c r="U882" s="471"/>
      <c r="V882" s="471"/>
      <c r="W882" s="471"/>
      <c r="X882" s="471"/>
      <c r="Y882" s="471"/>
      <c r="Z882" s="471"/>
      <c r="AA882" s="471"/>
      <c r="AB882" s="471"/>
      <c r="AC882" s="471"/>
      <c r="AD882" s="471"/>
      <c r="AE882" s="471"/>
      <c r="AF882" s="471"/>
      <c r="AG882" s="471"/>
      <c r="AH882" s="471"/>
    </row>
    <row r="883" spans="1:39" ht="21.95" customHeight="1" x14ac:dyDescent="0.2">
      <c r="B883" s="1"/>
      <c r="C883" s="1"/>
      <c r="D883" s="1"/>
      <c r="E883" s="1"/>
      <c r="F883" s="1"/>
      <c r="G883" s="967"/>
      <c r="H883" s="967"/>
      <c r="I883" s="471"/>
      <c r="J883" s="471"/>
      <c r="K883" s="471"/>
      <c r="L883" s="471"/>
      <c r="M883" s="471"/>
      <c r="N883" s="471"/>
      <c r="O883" s="471"/>
      <c r="P883" s="471"/>
      <c r="Q883" s="471"/>
      <c r="R883" s="471"/>
      <c r="S883" s="471"/>
      <c r="T883" s="471"/>
      <c r="U883" s="471"/>
      <c r="V883" s="471"/>
      <c r="W883" s="471"/>
      <c r="X883" s="471"/>
      <c r="Y883" s="471"/>
      <c r="Z883" s="471"/>
      <c r="AA883" s="471"/>
      <c r="AB883" s="471"/>
      <c r="AC883" s="471"/>
      <c r="AD883" s="471"/>
      <c r="AE883" s="471"/>
      <c r="AF883" s="471"/>
      <c r="AG883" s="471"/>
      <c r="AH883" s="471"/>
    </row>
    <row r="884" spans="1:39" ht="21.95" customHeight="1" x14ac:dyDescent="0.2">
      <c r="A884" s="226" t="s">
        <v>87</v>
      </c>
      <c r="B884" s="798" t="s">
        <v>38</v>
      </c>
    </row>
    <row r="887" spans="1:39" ht="21.95" customHeight="1" thickBot="1" x14ac:dyDescent="0.25">
      <c r="B887" s="796" t="s">
        <v>499</v>
      </c>
    </row>
    <row r="888" spans="1:39" ht="21.95" customHeight="1" x14ac:dyDescent="0.2">
      <c r="B888" s="832" t="s">
        <v>502</v>
      </c>
      <c r="C888" s="759" t="s">
        <v>42</v>
      </c>
      <c r="D888" s="759"/>
      <c r="E888" s="759"/>
      <c r="F888" s="833" t="s">
        <v>25</v>
      </c>
      <c r="G888" s="759" cm="1">
        <f t="array" ref="G888:AH888">year</f>
        <v>2021</v>
      </c>
      <c r="H888" s="759">
        <v>2022</v>
      </c>
      <c r="I888" s="759">
        <v>2023</v>
      </c>
      <c r="J888" s="759">
        <v>2024</v>
      </c>
      <c r="K888" s="759">
        <v>2025</v>
      </c>
      <c r="L888" s="759">
        <v>2026</v>
      </c>
      <c r="M888" s="759">
        <v>2027</v>
      </c>
      <c r="N888" s="759">
        <v>2028</v>
      </c>
      <c r="O888" s="759">
        <v>2029</v>
      </c>
      <c r="P888" s="759">
        <v>2030</v>
      </c>
      <c r="Q888" s="759">
        <v>2031</v>
      </c>
      <c r="R888" s="759">
        <v>2032</v>
      </c>
      <c r="S888" s="759">
        <v>2033</v>
      </c>
      <c r="T888" s="759">
        <v>2034</v>
      </c>
      <c r="U888" s="759">
        <v>2035</v>
      </c>
      <c r="V888" s="759">
        <v>2036</v>
      </c>
      <c r="W888" s="759">
        <v>2037</v>
      </c>
      <c r="X888" s="759">
        <v>2038</v>
      </c>
      <c r="Y888" s="759">
        <v>2039</v>
      </c>
      <c r="Z888" s="759">
        <v>2040</v>
      </c>
      <c r="AA888" s="759">
        <v>2041</v>
      </c>
      <c r="AB888" s="759">
        <v>2042</v>
      </c>
      <c r="AC888" s="759">
        <v>2043</v>
      </c>
      <c r="AD888" s="759">
        <v>2044</v>
      </c>
      <c r="AE888" s="759">
        <v>2045</v>
      </c>
      <c r="AF888" s="759">
        <v>2046</v>
      </c>
      <c r="AG888" s="759">
        <v>2047</v>
      </c>
      <c r="AH888" s="833">
        <v>2048</v>
      </c>
      <c r="AI888" s="251"/>
      <c r="AJ888" s="251"/>
      <c r="AK888" s="251"/>
      <c r="AL888" s="251"/>
      <c r="AM888" s="251"/>
    </row>
    <row r="889" spans="1:39" ht="21.95" customHeight="1" x14ac:dyDescent="0.2">
      <c r="B889" s="784" t="s">
        <v>126</v>
      </c>
      <c r="C889" s="116" t="str" cm="1">
        <f t="array" ref="C889:C892">_xlfn.ANCHORARRAY($B$13)</f>
        <v>NOx</v>
      </c>
      <c r="D889" s="116"/>
      <c r="E889" s="116"/>
      <c r="F889" s="815">
        <f t="shared" ref="F889:F900" si="96">SUM(G889:AH889)</f>
        <v>5866.8136951534834</v>
      </c>
      <c r="G889" s="970">
        <f>G284</f>
        <v>0</v>
      </c>
      <c r="H889" s="970">
        <f>H284</f>
        <v>0</v>
      </c>
      <c r="I889" s="777">
        <f t="shared" ref="I889:AH889" si="97">I284</f>
        <v>123.43838257491061</v>
      </c>
      <c r="J889" s="777">
        <f t="shared" si="97"/>
        <v>127.59491775502508</v>
      </c>
      <c r="K889" s="777">
        <f t="shared" si="97"/>
        <v>134.48904781051618</v>
      </c>
      <c r="L889" s="777">
        <f t="shared" si="97"/>
        <v>145.24559907759428</v>
      </c>
      <c r="M889" s="777">
        <f t="shared" si="97"/>
        <v>156.00746430659146</v>
      </c>
      <c r="N889" s="777">
        <f t="shared" si="97"/>
        <v>166.76942213707525</v>
      </c>
      <c r="O889" s="777">
        <f t="shared" si="97"/>
        <v>177.52597340415326</v>
      </c>
      <c r="P889" s="777">
        <f t="shared" si="97"/>
        <v>188.29226459684915</v>
      </c>
      <c r="Q889" s="777">
        <f t="shared" si="97"/>
        <v>198.86450046461627</v>
      </c>
      <c r="R889" s="777">
        <f t="shared" si="97"/>
        <v>209.43848572445884</v>
      </c>
      <c r="S889" s="777">
        <f t="shared" si="97"/>
        <v>220.01042220848049</v>
      </c>
      <c r="T889" s="777">
        <f t="shared" si="97"/>
        <v>230.58279626977364</v>
      </c>
      <c r="U889" s="777">
        <f t="shared" si="97"/>
        <v>241.16388071184366</v>
      </c>
      <c r="V889" s="777">
        <f t="shared" si="97"/>
        <v>247.86835221457176</v>
      </c>
      <c r="W889" s="777">
        <f t="shared" si="97"/>
        <v>252.03519864979626</v>
      </c>
      <c r="X889" s="777">
        <f t="shared" si="97"/>
        <v>256.20310382139473</v>
      </c>
      <c r="Y889" s="777">
        <f t="shared" si="97"/>
        <v>260.37059917770927</v>
      </c>
      <c r="Z889" s="777">
        <f t="shared" si="97"/>
        <v>264.54004076428447</v>
      </c>
      <c r="AA889" s="777">
        <f t="shared" si="97"/>
        <v>268.707536120599</v>
      </c>
      <c r="AB889" s="777">
        <f t="shared" si="97"/>
        <v>272.87697770717426</v>
      </c>
      <c r="AC889" s="777">
        <f t="shared" si="97"/>
        <v>277.04447306348879</v>
      </c>
      <c r="AD889" s="777">
        <f t="shared" si="97"/>
        <v>281.21196841980327</v>
      </c>
      <c r="AE889" s="777">
        <f t="shared" si="97"/>
        <v>285.38130909409858</v>
      </c>
      <c r="AF889" s="777">
        <f t="shared" si="97"/>
        <v>289.549214265697</v>
      </c>
      <c r="AG889" s="777">
        <f t="shared" si="97"/>
        <v>293.71616161320151</v>
      </c>
      <c r="AH889" s="778">
        <f t="shared" si="97"/>
        <v>297.88560319977682</v>
      </c>
      <c r="AI889" s="40"/>
      <c r="AJ889" s="40"/>
      <c r="AK889" s="40"/>
      <c r="AL889" s="40"/>
      <c r="AM889" s="40"/>
    </row>
    <row r="890" spans="1:39" ht="21.95" customHeight="1" x14ac:dyDescent="0.2">
      <c r="B890" s="492"/>
      <c r="C890" s="116" t="str">
        <v>SOx</v>
      </c>
      <c r="D890" s="116"/>
      <c r="E890" s="116"/>
      <c r="F890" s="815">
        <f t="shared" si="96"/>
        <v>9.6331325936830847</v>
      </c>
      <c r="G890" s="970">
        <f>G287</f>
        <v>0</v>
      </c>
      <c r="H890" s="970">
        <f>H287</f>
        <v>0</v>
      </c>
      <c r="I890" s="777">
        <f t="shared" ref="I890:AH890" si="98">I287</f>
        <v>0.19380183334619314</v>
      </c>
      <c r="J890" s="777">
        <f t="shared" si="98"/>
        <v>0.20079562267587456</v>
      </c>
      <c r="K890" s="777">
        <f t="shared" si="98"/>
        <v>0.21208172898911165</v>
      </c>
      <c r="L890" s="777">
        <f t="shared" si="98"/>
        <v>0.23052703525679807</v>
      </c>
      <c r="M890" s="777">
        <f t="shared" si="98"/>
        <v>0.2489811282680407</v>
      </c>
      <c r="N890" s="777">
        <f t="shared" si="98"/>
        <v>0.26743626688449451</v>
      </c>
      <c r="O890" s="777">
        <f t="shared" si="98"/>
        <v>0.28588157315218088</v>
      </c>
      <c r="P890" s="777">
        <f t="shared" si="98"/>
        <v>0.30434391460322496</v>
      </c>
      <c r="Q890" s="777">
        <f t="shared" si="98"/>
        <v>0.32323871768370976</v>
      </c>
      <c r="R890" s="777">
        <f t="shared" si="98"/>
        <v>0.34213671702505899</v>
      </c>
      <c r="S890" s="777">
        <f t="shared" si="98"/>
        <v>0.36103092950939508</v>
      </c>
      <c r="T890" s="777">
        <f t="shared" si="98"/>
        <v>0.37992592759997629</v>
      </c>
      <c r="U890" s="777">
        <f t="shared" si="98"/>
        <v>0.39883722094539387</v>
      </c>
      <c r="V890" s="777">
        <f t="shared" si="98"/>
        <v>0.41056322656441807</v>
      </c>
      <c r="W890" s="777">
        <f t="shared" si="98"/>
        <v>0.41757150982592572</v>
      </c>
      <c r="X890" s="777">
        <f t="shared" si="98"/>
        <v>0.42458134377940931</v>
      </c>
      <c r="Y890" s="777">
        <f t="shared" si="98"/>
        <v>0.43159059942708955</v>
      </c>
      <c r="Z890" s="777">
        <f t="shared" si="98"/>
        <v>0.43860347446300096</v>
      </c>
      <c r="AA890" s="777">
        <f t="shared" si="98"/>
        <v>0.44561273011068109</v>
      </c>
      <c r="AB890" s="777">
        <f t="shared" si="98"/>
        <v>0.45262560514659267</v>
      </c>
      <c r="AC890" s="777">
        <f t="shared" si="98"/>
        <v>0.45963486079427296</v>
      </c>
      <c r="AD890" s="777">
        <f t="shared" si="98"/>
        <v>0.46664411644195319</v>
      </c>
      <c r="AE890" s="777">
        <f t="shared" si="98"/>
        <v>0.47365679240759184</v>
      </c>
      <c r="AF890" s="777">
        <f t="shared" si="98"/>
        <v>0.48066662636107554</v>
      </c>
      <c r="AG890" s="777">
        <f t="shared" si="98"/>
        <v>0.4876751086928558</v>
      </c>
      <c r="AH890" s="778">
        <f t="shared" si="98"/>
        <v>0.49468798372876721</v>
      </c>
      <c r="AI890" s="40"/>
      <c r="AJ890" s="40"/>
      <c r="AK890" s="40"/>
      <c r="AL890" s="40"/>
      <c r="AM890" s="40"/>
    </row>
    <row r="891" spans="1:39" ht="21.95" customHeight="1" x14ac:dyDescent="0.2">
      <c r="B891" s="492"/>
      <c r="C891" s="116" t="str">
        <v>PM2.5</v>
      </c>
      <c r="D891" s="116"/>
      <c r="E891" s="116"/>
      <c r="F891" s="815">
        <f t="shared" si="96"/>
        <v>184.90513797930845</v>
      </c>
      <c r="G891" s="970">
        <f>G290</f>
        <v>0</v>
      </c>
      <c r="H891" s="970">
        <f>H290</f>
        <v>0</v>
      </c>
      <c r="I891" s="777">
        <f t="shared" ref="I891:AH891" si="99">I290</f>
        <v>3.8719330812681827</v>
      </c>
      <c r="J891" s="777">
        <f t="shared" si="99"/>
        <v>4.0032867961244536</v>
      </c>
      <c r="K891" s="777">
        <f t="shared" si="99"/>
        <v>4.2204995180675544</v>
      </c>
      <c r="L891" s="777">
        <f t="shared" si="99"/>
        <v>4.5611462994634051</v>
      </c>
      <c r="M891" s="777">
        <f t="shared" si="99"/>
        <v>4.9019606894950201</v>
      </c>
      <c r="N891" s="777">
        <f t="shared" si="99"/>
        <v>5.2427798586310725</v>
      </c>
      <c r="O891" s="777">
        <f t="shared" si="99"/>
        <v>5.583426640026925</v>
      </c>
      <c r="P891" s="777">
        <f t="shared" si="99"/>
        <v>5.924382566676198</v>
      </c>
      <c r="Q891" s="777">
        <f t="shared" si="99"/>
        <v>6.2607863623747138</v>
      </c>
      <c r="R891" s="777">
        <f t="shared" si="99"/>
        <v>6.5972459681361766</v>
      </c>
      <c r="S891" s="777">
        <f t="shared" si="99"/>
        <v>6.9336401219437569</v>
      </c>
      <c r="T891" s="777">
        <f t="shared" si="99"/>
        <v>7.2700482066842742</v>
      </c>
      <c r="U891" s="777">
        <f t="shared" si="99"/>
        <v>7.6067349676290403</v>
      </c>
      <c r="V891" s="777">
        <f t="shared" si="99"/>
        <v>7.8195345868302146</v>
      </c>
      <c r="W891" s="777">
        <f t="shared" si="99"/>
        <v>7.951208208856487</v>
      </c>
      <c r="X891" s="777">
        <f t="shared" si="99"/>
        <v>8.0829148083407585</v>
      </c>
      <c r="Y891" s="777">
        <f t="shared" si="99"/>
        <v>8.2146086885970302</v>
      </c>
      <c r="Z891" s="777">
        <f t="shared" si="99"/>
        <v>8.3463647907558585</v>
      </c>
      <c r="AA891" s="777">
        <f t="shared" si="99"/>
        <v>8.4780586710121284</v>
      </c>
      <c r="AB891" s="777">
        <f t="shared" si="99"/>
        <v>8.6098147731709584</v>
      </c>
      <c r="AC891" s="777">
        <f t="shared" si="99"/>
        <v>8.7415086534272302</v>
      </c>
      <c r="AD891" s="777">
        <f t="shared" si="99"/>
        <v>8.8732025336835001</v>
      </c>
      <c r="AE891" s="777">
        <f t="shared" si="99"/>
        <v>9.0049553858823277</v>
      </c>
      <c r="AF891" s="777">
        <f t="shared" si="99"/>
        <v>9.1366619853666009</v>
      </c>
      <c r="AG891" s="777">
        <f t="shared" si="99"/>
        <v>9.2683388573528696</v>
      </c>
      <c r="AH891" s="778">
        <f t="shared" si="99"/>
        <v>9.4000949595116996</v>
      </c>
      <c r="AI891" s="40"/>
      <c r="AJ891" s="40"/>
      <c r="AK891" s="40"/>
      <c r="AL891" s="40"/>
      <c r="AM891" s="40"/>
    </row>
    <row r="892" spans="1:39" ht="21.95" customHeight="1" x14ac:dyDescent="0.2">
      <c r="B892" s="492"/>
      <c r="C892" s="116" t="str">
        <v>CO2</v>
      </c>
      <c r="D892" s="116"/>
      <c r="E892" s="116"/>
      <c r="F892" s="815">
        <f t="shared" si="96"/>
        <v>46814799.398265988</v>
      </c>
      <c r="G892" s="970">
        <f>G293</f>
        <v>0</v>
      </c>
      <c r="H892" s="970">
        <f>H293</f>
        <v>0</v>
      </c>
      <c r="I892" s="777">
        <f t="shared" ref="I892:AH892" si="100">I293</f>
        <v>950547.45244852873</v>
      </c>
      <c r="J892" s="777">
        <f t="shared" si="100"/>
        <v>984369.90809044964</v>
      </c>
      <c r="K892" s="777">
        <f t="shared" si="100"/>
        <v>1039250.9980825407</v>
      </c>
      <c r="L892" s="777">
        <f t="shared" si="100"/>
        <v>1128122.1100541865</v>
      </c>
      <c r="M892" s="777">
        <f t="shared" si="100"/>
        <v>1217035.8633333261</v>
      </c>
      <c r="N892" s="777">
        <f t="shared" si="100"/>
        <v>1305953.8210579017</v>
      </c>
      <c r="O892" s="777">
        <f t="shared" si="100"/>
        <v>1394824.9330295478</v>
      </c>
      <c r="P892" s="777">
        <f t="shared" si="100"/>
        <v>1483777.8089103701</v>
      </c>
      <c r="Q892" s="777">
        <f t="shared" si="100"/>
        <v>1574095.2088262606</v>
      </c>
      <c r="R892" s="777">
        <f t="shared" si="100"/>
        <v>1664427.8240365935</v>
      </c>
      <c r="S892" s="777">
        <f t="shared" si="100"/>
        <v>1754742.4509689086</v>
      </c>
      <c r="T892" s="777">
        <f t="shared" si="100"/>
        <v>1845060.8298956836</v>
      </c>
      <c r="U892" s="777">
        <f t="shared" si="100"/>
        <v>1935456.4439575574</v>
      </c>
      <c r="V892" s="777">
        <f t="shared" si="100"/>
        <v>1991737.9891219621</v>
      </c>
      <c r="W892" s="777">
        <f t="shared" si="100"/>
        <v>2025633.2734898229</v>
      </c>
      <c r="X892" s="777">
        <f t="shared" si="100"/>
        <v>2059536.2780962</v>
      </c>
      <c r="Y892" s="777">
        <f t="shared" si="100"/>
        <v>2093436.3794289213</v>
      </c>
      <c r="Z892" s="777">
        <f t="shared" si="100"/>
        <v>2127353.6542889709</v>
      </c>
      <c r="AA892" s="777">
        <f t="shared" si="100"/>
        <v>2161253.7556216912</v>
      </c>
      <c r="AB892" s="777">
        <f t="shared" si="100"/>
        <v>2195171.0304817408</v>
      </c>
      <c r="AC892" s="777">
        <f t="shared" si="100"/>
        <v>2229071.1318144617</v>
      </c>
      <c r="AD892" s="777">
        <f t="shared" si="100"/>
        <v>2262971.2331471834</v>
      </c>
      <c r="AE892" s="777">
        <f t="shared" si="100"/>
        <v>2296887.5733269122</v>
      </c>
      <c r="AF892" s="777">
        <f t="shared" si="100"/>
        <v>2330790.5779332886</v>
      </c>
      <c r="AG892" s="777">
        <f t="shared" si="100"/>
        <v>2364686.7969814707</v>
      </c>
      <c r="AH892" s="778">
        <f t="shared" si="100"/>
        <v>2398604.0718415193</v>
      </c>
      <c r="AI892" s="40"/>
      <c r="AJ892" s="40"/>
      <c r="AK892" s="40"/>
      <c r="AL892" s="40"/>
      <c r="AM892" s="40"/>
    </row>
    <row r="893" spans="1:39" ht="21.95" customHeight="1" x14ac:dyDescent="0.2">
      <c r="B893" s="808" t="s">
        <v>485</v>
      </c>
      <c r="C893" s="220" t="str" cm="1">
        <f t="array" ref="C893:C896">_xlfn.ANCHORARRAY($B$13)</f>
        <v>NOx</v>
      </c>
      <c r="D893" s="220"/>
      <c r="E893" s="220"/>
      <c r="F893" s="816">
        <f t="shared" si="96"/>
        <v>5644.2153766365882</v>
      </c>
      <c r="G893" s="775">
        <f>G570</f>
        <v>0</v>
      </c>
      <c r="H893" s="775">
        <f>H570</f>
        <v>0</v>
      </c>
      <c r="I893" s="775">
        <f t="shared" ref="I893:AH893" si="101">I570</f>
        <v>123.33725405431059</v>
      </c>
      <c r="J893" s="775">
        <f t="shared" si="101"/>
        <v>127.05760150974639</v>
      </c>
      <c r="K893" s="775">
        <f t="shared" si="101"/>
        <v>133.45704674569626</v>
      </c>
      <c r="L893" s="775">
        <f t="shared" si="101"/>
        <v>143.36081811963504</v>
      </c>
      <c r="M893" s="775">
        <f t="shared" si="101"/>
        <v>153.2690016235386</v>
      </c>
      <c r="N893" s="775">
        <f t="shared" si="101"/>
        <v>163.17740731621848</v>
      </c>
      <c r="O893" s="775">
        <f t="shared" si="101"/>
        <v>173.08117869015729</v>
      </c>
      <c r="P893" s="775">
        <f t="shared" si="101"/>
        <v>182.99383477633583</v>
      </c>
      <c r="Q893" s="775">
        <f t="shared" si="101"/>
        <v>192.28684641984239</v>
      </c>
      <c r="R893" s="775">
        <f t="shared" si="101"/>
        <v>201.53634291844429</v>
      </c>
      <c r="S893" s="775">
        <f t="shared" si="101"/>
        <v>211.12418068881271</v>
      </c>
      <c r="T893" s="775">
        <f t="shared" si="101"/>
        <v>220.87154054964611</v>
      </c>
      <c r="U893" s="775">
        <f t="shared" si="101"/>
        <v>230.62346666826434</v>
      </c>
      <c r="V893" s="775">
        <f t="shared" si="101"/>
        <v>236.77700257114648</v>
      </c>
      <c r="W893" s="775">
        <f t="shared" si="101"/>
        <v>240.66491909324549</v>
      </c>
      <c r="X893" s="775">
        <f t="shared" si="101"/>
        <v>244.65330002902985</v>
      </c>
      <c r="Y893" s="775">
        <f t="shared" si="101"/>
        <v>248.64168096481427</v>
      </c>
      <c r="Z893" s="775">
        <f t="shared" si="101"/>
        <v>252.63242626492718</v>
      </c>
      <c r="AA893" s="775">
        <f t="shared" si="101"/>
        <v>256.62080720071151</v>
      </c>
      <c r="AB893" s="775">
        <f t="shared" si="101"/>
        <v>260.6115564324719</v>
      </c>
      <c r="AC893" s="775">
        <f t="shared" si="101"/>
        <v>264.59993736825618</v>
      </c>
      <c r="AD893" s="775">
        <f t="shared" si="101"/>
        <v>268.58831830404057</v>
      </c>
      <c r="AE893" s="775">
        <f t="shared" si="101"/>
        <v>272.57906360415365</v>
      </c>
      <c r="AF893" s="775">
        <f t="shared" si="101"/>
        <v>276.56744453993787</v>
      </c>
      <c r="AG893" s="775">
        <f t="shared" si="101"/>
        <v>280.55582547572226</v>
      </c>
      <c r="AH893" s="776">
        <f t="shared" si="101"/>
        <v>284.54657470748259</v>
      </c>
      <c r="AI893" s="40"/>
      <c r="AJ893" s="40"/>
      <c r="AK893" s="40"/>
      <c r="AL893" s="40"/>
      <c r="AM893" s="40"/>
    </row>
    <row r="894" spans="1:39" ht="21.95" customHeight="1" x14ac:dyDescent="0.2">
      <c r="B894" s="784"/>
      <c r="C894" s="116" t="str">
        <v>SOx</v>
      </c>
      <c r="D894" s="116"/>
      <c r="E894" s="116"/>
      <c r="F894" s="815">
        <f t="shared" si="96"/>
        <v>9.327774248256004</v>
      </c>
      <c r="G894" s="970">
        <f>G573</f>
        <v>0</v>
      </c>
      <c r="H894" s="970">
        <f>H573</f>
        <v>0</v>
      </c>
      <c r="I894" s="777">
        <f t="shared" ref="I894:AH894" si="102">I573</f>
        <v>0.19360233649417541</v>
      </c>
      <c r="J894" s="777">
        <f t="shared" si="102"/>
        <v>0.19995907362421317</v>
      </c>
      <c r="K894" s="777">
        <f t="shared" si="102"/>
        <v>0.2111496222136206</v>
      </c>
      <c r="L894" s="777">
        <f t="shared" si="102"/>
        <v>0.22880082447611358</v>
      </c>
      <c r="M894" s="777">
        <f t="shared" si="102"/>
        <v>0.24646011996170863</v>
      </c>
      <c r="N894" s="777">
        <f t="shared" si="102"/>
        <v>0.26411981292046605</v>
      </c>
      <c r="O894" s="777">
        <f t="shared" si="102"/>
        <v>0.28177101518295899</v>
      </c>
      <c r="P894" s="777">
        <f t="shared" si="102"/>
        <v>0.29943853906872864</v>
      </c>
      <c r="Q894" s="777">
        <f t="shared" si="102"/>
        <v>0.31604948833852231</v>
      </c>
      <c r="R894" s="777">
        <f t="shared" si="102"/>
        <v>0.33259992845226571</v>
      </c>
      <c r="S894" s="777">
        <f t="shared" si="102"/>
        <v>0.34962684379661585</v>
      </c>
      <c r="T894" s="777">
        <f t="shared" si="102"/>
        <v>0.3668789409716241</v>
      </c>
      <c r="U894" s="777">
        <f t="shared" si="102"/>
        <v>0.38414134981316539</v>
      </c>
      <c r="V894" s="777">
        <f t="shared" si="102"/>
        <v>0.39482612515319504</v>
      </c>
      <c r="W894" s="777">
        <f t="shared" si="102"/>
        <v>0.40137726719125683</v>
      </c>
      <c r="X894" s="777">
        <f t="shared" si="102"/>
        <v>0.40807017835248616</v>
      </c>
      <c r="Y894" s="777">
        <f t="shared" si="102"/>
        <v>0.41476308951371521</v>
      </c>
      <c r="Z894" s="777">
        <f t="shared" si="102"/>
        <v>0.42146032557039914</v>
      </c>
      <c r="AA894" s="777">
        <f t="shared" si="102"/>
        <v>0.4281532367316282</v>
      </c>
      <c r="AB894" s="777">
        <f t="shared" si="102"/>
        <v>0.4348504805442967</v>
      </c>
      <c r="AC894" s="777">
        <f t="shared" si="102"/>
        <v>0.44154339170552592</v>
      </c>
      <c r="AD894" s="777">
        <f t="shared" si="102"/>
        <v>0.44823630286675492</v>
      </c>
      <c r="AE894" s="777">
        <f t="shared" si="102"/>
        <v>0.45493353892343874</v>
      </c>
      <c r="AF894" s="777">
        <f t="shared" si="102"/>
        <v>0.46162645008466785</v>
      </c>
      <c r="AG894" s="777">
        <f t="shared" si="102"/>
        <v>0.46831936124589713</v>
      </c>
      <c r="AH894" s="778">
        <f t="shared" si="102"/>
        <v>0.47501660505856574</v>
      </c>
      <c r="AI894" s="40"/>
      <c r="AJ894" s="40"/>
      <c r="AK894" s="40"/>
      <c r="AL894" s="40"/>
      <c r="AM894" s="40"/>
    </row>
    <row r="895" spans="1:39" ht="21.95" customHeight="1" x14ac:dyDescent="0.2">
      <c r="B895" s="784"/>
      <c r="C895" s="116" t="str">
        <v>PM2.5</v>
      </c>
      <c r="D895" s="116"/>
      <c r="E895" s="116"/>
      <c r="F895" s="815">
        <f t="shared" si="96"/>
        <v>178.01470457941136</v>
      </c>
      <c r="G895" s="970">
        <f>G576</f>
        <v>0</v>
      </c>
      <c r="H895" s="970">
        <f>H576</f>
        <v>0</v>
      </c>
      <c r="I895" s="777">
        <f t="shared" ref="I895:AH895" si="103">I576</f>
        <v>3.8686761570681827</v>
      </c>
      <c r="J895" s="777">
        <f t="shared" si="103"/>
        <v>3.9864473033630476</v>
      </c>
      <c r="K895" s="777">
        <f t="shared" si="103"/>
        <v>4.1895612980853496</v>
      </c>
      <c r="L895" s="777">
        <f t="shared" si="103"/>
        <v>4.5045930035677397</v>
      </c>
      <c r="M895" s="777">
        <f t="shared" si="103"/>
        <v>4.8197655337710419</v>
      </c>
      <c r="N895" s="777">
        <f t="shared" si="103"/>
        <v>5.1349451347026651</v>
      </c>
      <c r="O895" s="777">
        <f t="shared" si="103"/>
        <v>5.4499768401850543</v>
      </c>
      <c r="P895" s="777">
        <f t="shared" si="103"/>
        <v>5.7652921751776933</v>
      </c>
      <c r="Q895" s="777">
        <f t="shared" si="103"/>
        <v>6.0609966034931571</v>
      </c>
      <c r="R895" s="777">
        <f t="shared" si="103"/>
        <v>6.3553523415747613</v>
      </c>
      <c r="S895" s="777">
        <f t="shared" si="103"/>
        <v>6.6602069835702693</v>
      </c>
      <c r="T895" s="777">
        <f t="shared" si="103"/>
        <v>6.9700127858295406</v>
      </c>
      <c r="U895" s="777">
        <f t="shared" si="103"/>
        <v>7.279968362788293</v>
      </c>
      <c r="V895" s="777">
        <f t="shared" si="103"/>
        <v>7.4751196206633939</v>
      </c>
      <c r="W895" s="777">
        <f t="shared" si="103"/>
        <v>7.5980039488272446</v>
      </c>
      <c r="X895" s="777">
        <f t="shared" si="103"/>
        <v>7.7240063397706962</v>
      </c>
      <c r="Y895" s="777">
        <f t="shared" si="103"/>
        <v>7.8500087307141468</v>
      </c>
      <c r="Z895" s="777">
        <f t="shared" si="103"/>
        <v>7.976086561391023</v>
      </c>
      <c r="AA895" s="777">
        <f t="shared" si="103"/>
        <v>8.1020889523344728</v>
      </c>
      <c r="AB895" s="777">
        <f t="shared" si="103"/>
        <v>8.2281669096331687</v>
      </c>
      <c r="AC895" s="777">
        <f t="shared" si="103"/>
        <v>8.3541693005766184</v>
      </c>
      <c r="AD895" s="777">
        <f t="shared" si="103"/>
        <v>8.48017169152007</v>
      </c>
      <c r="AE895" s="777">
        <f t="shared" si="103"/>
        <v>8.6062495221969417</v>
      </c>
      <c r="AF895" s="777">
        <f t="shared" si="103"/>
        <v>8.7322519131403933</v>
      </c>
      <c r="AG895" s="777">
        <f t="shared" si="103"/>
        <v>8.8582543040838413</v>
      </c>
      <c r="AH895" s="778">
        <f t="shared" si="103"/>
        <v>8.9843322613825389</v>
      </c>
      <c r="AI895" s="40"/>
      <c r="AJ895" s="40"/>
      <c r="AK895" s="40"/>
      <c r="AL895" s="40"/>
      <c r="AM895" s="40"/>
    </row>
    <row r="896" spans="1:39" ht="21.95" customHeight="1" x14ac:dyDescent="0.2">
      <c r="B896" s="817"/>
      <c r="C896" s="254" t="str">
        <v>CO2</v>
      </c>
      <c r="D896" s="254"/>
      <c r="E896" s="254"/>
      <c r="F896" s="818">
        <f t="shared" si="96"/>
        <v>45271804.340917207</v>
      </c>
      <c r="G896" s="779">
        <f>G579</f>
        <v>0</v>
      </c>
      <c r="H896" s="779">
        <f>H579</f>
        <v>0</v>
      </c>
      <c r="I896" s="779">
        <f t="shared" ref="I896:AH896" si="104">I579</f>
        <v>949610.76924212882</v>
      </c>
      <c r="J896" s="779">
        <f t="shared" si="104"/>
        <v>980259.6140115991</v>
      </c>
      <c r="K896" s="779">
        <f t="shared" si="104"/>
        <v>1033972.9316150683</v>
      </c>
      <c r="L896" s="779">
        <f t="shared" si="104"/>
        <v>1118390.0082429918</v>
      </c>
      <c r="M896" s="779">
        <f t="shared" si="104"/>
        <v>1202845.5831955704</v>
      </c>
      <c r="N896" s="779">
        <f t="shared" si="104"/>
        <v>1287303.0577366217</v>
      </c>
      <c r="O896" s="779">
        <f t="shared" si="104"/>
        <v>1371720.1343645451</v>
      </c>
      <c r="P896" s="779">
        <f t="shared" si="104"/>
        <v>1456214.8293222515</v>
      </c>
      <c r="Q896" s="779">
        <f t="shared" si="104"/>
        <v>1535613.2255134101</v>
      </c>
      <c r="R896" s="779">
        <f t="shared" si="104"/>
        <v>1614706.823059523</v>
      </c>
      <c r="S896" s="779">
        <f t="shared" si="104"/>
        <v>1696193.5820782832</v>
      </c>
      <c r="T896" s="779">
        <f t="shared" si="104"/>
        <v>1778810.7386756919</v>
      </c>
      <c r="U896" s="779">
        <f t="shared" si="104"/>
        <v>1861475.2458661445</v>
      </c>
      <c r="V896" s="779">
        <f t="shared" si="104"/>
        <v>1912830.7247017645</v>
      </c>
      <c r="W896" s="779">
        <f t="shared" si="104"/>
        <v>1944503.5708162584</v>
      </c>
      <c r="X896" s="779">
        <f t="shared" si="104"/>
        <v>1976888.1416931169</v>
      </c>
      <c r="Y896" s="779">
        <f t="shared" si="104"/>
        <v>2009272.7125699748</v>
      </c>
      <c r="Z896" s="779">
        <f t="shared" si="104"/>
        <v>2041677.8669846873</v>
      </c>
      <c r="AA896" s="779">
        <f t="shared" si="104"/>
        <v>2074062.437861545</v>
      </c>
      <c r="AB896" s="779">
        <f t="shared" si="104"/>
        <v>2106467.6286923736</v>
      </c>
      <c r="AC896" s="779">
        <f t="shared" si="104"/>
        <v>2138852.1995692318</v>
      </c>
      <c r="AD896" s="779">
        <f t="shared" si="104"/>
        <v>2171236.77044609</v>
      </c>
      <c r="AE896" s="779">
        <f t="shared" si="104"/>
        <v>2203641.9248608029</v>
      </c>
      <c r="AF896" s="779">
        <f t="shared" si="104"/>
        <v>2236026.4957376607</v>
      </c>
      <c r="AG896" s="779">
        <f t="shared" si="104"/>
        <v>2268411.0666145193</v>
      </c>
      <c r="AH896" s="783">
        <f t="shared" si="104"/>
        <v>2300816.2574453475</v>
      </c>
      <c r="AI896" s="40"/>
      <c r="AJ896" s="40"/>
      <c r="AK896" s="40"/>
      <c r="AL896" s="40"/>
      <c r="AM896" s="40"/>
    </row>
    <row r="897" spans="2:39" ht="21.95" customHeight="1" x14ac:dyDescent="0.2">
      <c r="B897" s="784" t="s">
        <v>486</v>
      </c>
      <c r="C897" s="116" t="str" cm="1">
        <f t="array" ref="C897:C900">_xlfn.ANCHORARRAY($B$13)</f>
        <v>NOx</v>
      </c>
      <c r="D897" s="116"/>
      <c r="E897" s="116"/>
      <c r="F897" s="815">
        <f t="shared" si="96"/>
        <v>5601.167266121287</v>
      </c>
      <c r="G897" s="970">
        <f>G856</f>
        <v>0</v>
      </c>
      <c r="H897" s="970">
        <f>H856</f>
        <v>0</v>
      </c>
      <c r="I897" s="777">
        <f t="shared" ref="I897:AH897" si="105">I856</f>
        <v>123.33725405431059</v>
      </c>
      <c r="J897" s="777">
        <f t="shared" si="105"/>
        <v>128.06960585920831</v>
      </c>
      <c r="K897" s="777">
        <f t="shared" si="105"/>
        <v>134.47860175700475</v>
      </c>
      <c r="L897" s="777">
        <f t="shared" si="105"/>
        <v>144.32014377078306</v>
      </c>
      <c r="M897" s="777">
        <f t="shared" si="105"/>
        <v>154.16612847653087</v>
      </c>
      <c r="N897" s="777">
        <f t="shared" si="105"/>
        <v>164.01214583616917</v>
      </c>
      <c r="O897" s="777">
        <f t="shared" si="105"/>
        <v>173.85368784994751</v>
      </c>
      <c r="P897" s="777">
        <f t="shared" si="105"/>
        <v>183.70410333145432</v>
      </c>
      <c r="Q897" s="777">
        <f t="shared" si="105"/>
        <v>192.68512768576034</v>
      </c>
      <c r="R897" s="777">
        <f t="shared" si="105"/>
        <v>201.63399691557561</v>
      </c>
      <c r="S897" s="777">
        <f t="shared" si="105"/>
        <v>210.58099462662037</v>
      </c>
      <c r="T897" s="777">
        <f t="shared" si="105"/>
        <v>219.52795189412032</v>
      </c>
      <c r="U897" s="777">
        <f t="shared" si="105"/>
        <v>228.4837681934809</v>
      </c>
      <c r="V897" s="777">
        <f t="shared" si="105"/>
        <v>234.0311905275623</v>
      </c>
      <c r="W897" s="777">
        <f t="shared" si="105"/>
        <v>237.7108056458016</v>
      </c>
      <c r="X897" s="777">
        <f t="shared" si="105"/>
        <v>241.50051354193465</v>
      </c>
      <c r="Y897" s="777">
        <f t="shared" si="105"/>
        <v>245.29022143806779</v>
      </c>
      <c r="Z897" s="777">
        <f t="shared" si="105"/>
        <v>249.0822784875956</v>
      </c>
      <c r="AA897" s="777">
        <f t="shared" si="105"/>
        <v>253.01232484099046</v>
      </c>
      <c r="AB897" s="777">
        <f t="shared" si="105"/>
        <v>256.96360630644659</v>
      </c>
      <c r="AC897" s="777">
        <f t="shared" si="105"/>
        <v>260.91262382896838</v>
      </c>
      <c r="AD897" s="777">
        <f t="shared" si="105"/>
        <v>264.86164135149028</v>
      </c>
      <c r="AE897" s="777">
        <f t="shared" si="105"/>
        <v>268.81304520584951</v>
      </c>
      <c r="AF897" s="777">
        <f t="shared" si="105"/>
        <v>272.76206272837129</v>
      </c>
      <c r="AG897" s="777">
        <f t="shared" si="105"/>
        <v>276.71108025089313</v>
      </c>
      <c r="AH897" s="778">
        <f t="shared" si="105"/>
        <v>280.66236171634921</v>
      </c>
      <c r="AI897" s="40"/>
      <c r="AJ897" s="40"/>
      <c r="AK897" s="40"/>
      <c r="AL897" s="40"/>
      <c r="AM897" s="40"/>
    </row>
    <row r="898" spans="2:39" ht="21.95" customHeight="1" x14ac:dyDescent="0.2">
      <c r="B898" s="784"/>
      <c r="C898" s="116" t="str">
        <v>SOx</v>
      </c>
      <c r="D898" s="116"/>
      <c r="E898" s="116"/>
      <c r="F898" s="815">
        <f t="shared" si="96"/>
        <v>9.2634692211291174</v>
      </c>
      <c r="G898" s="970">
        <f>G859</f>
        <v>0</v>
      </c>
      <c r="H898" s="970">
        <f>H859</f>
        <v>0</v>
      </c>
      <c r="I898" s="777">
        <f t="shared" ref="I898:AH898" si="106">I859</f>
        <v>0.19360233649417541</v>
      </c>
      <c r="J898" s="777">
        <f t="shared" si="106"/>
        <v>0.20196183780302829</v>
      </c>
      <c r="K898" s="777">
        <f t="shared" si="106"/>
        <v>0.21317760404148567</v>
      </c>
      <c r="L898" s="777">
        <f t="shared" si="106"/>
        <v>0.23071242306394979</v>
      </c>
      <c r="M898" s="777">
        <f t="shared" si="106"/>
        <v>0.24825539559937007</v>
      </c>
      <c r="N898" s="777">
        <f t="shared" si="106"/>
        <v>0.2657983917113223</v>
      </c>
      <c r="O898" s="777">
        <f t="shared" si="106"/>
        <v>0.28333321073378642</v>
      </c>
      <c r="P898" s="777">
        <f t="shared" si="106"/>
        <v>0.30088432919741115</v>
      </c>
      <c r="Q898" s="777">
        <f t="shared" si="106"/>
        <v>0.31688619623074693</v>
      </c>
      <c r="R898" s="777">
        <f t="shared" si="106"/>
        <v>0.3328435870899597</v>
      </c>
      <c r="S898" s="777">
        <f t="shared" si="106"/>
        <v>0.3487974605554921</v>
      </c>
      <c r="T898" s="777">
        <f t="shared" si="106"/>
        <v>0.36475125423779592</v>
      </c>
      <c r="U898" s="777">
        <f t="shared" si="106"/>
        <v>0.38072135300302712</v>
      </c>
      <c r="V898" s="777">
        <f t="shared" si="106"/>
        <v>0.39042180995364084</v>
      </c>
      <c r="W898" s="777">
        <f t="shared" si="106"/>
        <v>0.39667871330091792</v>
      </c>
      <c r="X898" s="777">
        <f t="shared" si="106"/>
        <v>0.40309097271923072</v>
      </c>
      <c r="Y898" s="777">
        <f t="shared" si="106"/>
        <v>0.40950323213754336</v>
      </c>
      <c r="Z898" s="777">
        <f t="shared" si="106"/>
        <v>0.41591981241235165</v>
      </c>
      <c r="AA898" s="777">
        <f t="shared" si="106"/>
        <v>0.4225301087205719</v>
      </c>
      <c r="AB898" s="777">
        <f t="shared" si="106"/>
        <v>0.4291713078441039</v>
      </c>
      <c r="AC898" s="777">
        <f t="shared" si="106"/>
        <v>0.43580837508457698</v>
      </c>
      <c r="AD898" s="777">
        <f t="shared" si="106"/>
        <v>0.44244544232504995</v>
      </c>
      <c r="AE898" s="777">
        <f t="shared" si="106"/>
        <v>0.44908688288592102</v>
      </c>
      <c r="AF898" s="777">
        <f t="shared" si="106"/>
        <v>0.45572395012639411</v>
      </c>
      <c r="AG898" s="777">
        <f t="shared" si="106"/>
        <v>0.46236101736686719</v>
      </c>
      <c r="AH898" s="778">
        <f t="shared" si="106"/>
        <v>0.4690022164903993</v>
      </c>
      <c r="AI898" s="40"/>
      <c r="AJ898" s="40"/>
      <c r="AK898" s="40"/>
      <c r="AL898" s="40"/>
      <c r="AM898" s="40"/>
    </row>
    <row r="899" spans="2:39" ht="21.95" customHeight="1" x14ac:dyDescent="0.2">
      <c r="B899" s="784"/>
      <c r="C899" s="116" t="str">
        <v>PM2.5</v>
      </c>
      <c r="D899" s="116"/>
      <c r="E899" s="116"/>
      <c r="F899" s="815">
        <f t="shared" si="96"/>
        <v>176.67123337648476</v>
      </c>
      <c r="G899" s="970">
        <f>G862</f>
        <v>0</v>
      </c>
      <c r="H899" s="970">
        <f>H862</f>
        <v>0</v>
      </c>
      <c r="I899" s="777">
        <f t="shared" ref="I899:AH899" si="107">I862</f>
        <v>3.8686761570681827</v>
      </c>
      <c r="J899" s="777">
        <f t="shared" si="107"/>
        <v>4.0190529841963478</v>
      </c>
      <c r="K899" s="777">
        <f t="shared" si="107"/>
        <v>4.2224878438048492</v>
      </c>
      <c r="L899" s="777">
        <f t="shared" si="107"/>
        <v>4.5355286816437399</v>
      </c>
      <c r="M899" s="777">
        <f t="shared" si="107"/>
        <v>4.848711328477143</v>
      </c>
      <c r="N899" s="777">
        <f t="shared" si="107"/>
        <v>5.1618949419175646</v>
      </c>
      <c r="O899" s="777">
        <f t="shared" si="107"/>
        <v>5.4749357797564544</v>
      </c>
      <c r="P899" s="777">
        <f t="shared" si="107"/>
        <v>5.7882598849671929</v>
      </c>
      <c r="Q899" s="777">
        <f t="shared" si="107"/>
        <v>6.073929793478456</v>
      </c>
      <c r="R899" s="777">
        <f t="shared" si="107"/>
        <v>6.3586035919738615</v>
      </c>
      <c r="S899" s="777">
        <f t="shared" si="107"/>
        <v>6.6432174801995609</v>
      </c>
      <c r="T899" s="777">
        <f t="shared" si="107"/>
        <v>6.9278300659088226</v>
      </c>
      <c r="U899" s="777">
        <f t="shared" si="107"/>
        <v>7.2127255251152818</v>
      </c>
      <c r="V899" s="777">
        <f t="shared" si="107"/>
        <v>7.3887965221757561</v>
      </c>
      <c r="W899" s="777">
        <f t="shared" si="107"/>
        <v>7.5052152880424501</v>
      </c>
      <c r="X899" s="777">
        <f t="shared" si="107"/>
        <v>7.6250509473190675</v>
      </c>
      <c r="Y899" s="777">
        <f t="shared" si="107"/>
        <v>7.7448866065956832</v>
      </c>
      <c r="Z899" s="777">
        <f t="shared" si="107"/>
        <v>7.8647972697958135</v>
      </c>
      <c r="AA899" s="777">
        <f t="shared" si="107"/>
        <v>7.9889885422102775</v>
      </c>
      <c r="AB899" s="777">
        <f t="shared" si="107"/>
        <v>8.1138408293075166</v>
      </c>
      <c r="AC899" s="777">
        <f t="shared" si="107"/>
        <v>8.238620900224559</v>
      </c>
      <c r="AD899" s="777">
        <f t="shared" si="107"/>
        <v>8.3634009711416013</v>
      </c>
      <c r="AE899" s="777">
        <f t="shared" si="107"/>
        <v>8.4882571998705192</v>
      </c>
      <c r="AF899" s="777">
        <f t="shared" si="107"/>
        <v>8.6130372707875615</v>
      </c>
      <c r="AG899" s="777">
        <f t="shared" si="107"/>
        <v>8.7378173417046021</v>
      </c>
      <c r="AH899" s="778">
        <f t="shared" si="107"/>
        <v>8.8626696288018429</v>
      </c>
      <c r="AI899" s="40"/>
      <c r="AJ899" s="40"/>
      <c r="AK899" s="40"/>
      <c r="AL899" s="40"/>
      <c r="AM899" s="40"/>
    </row>
    <row r="900" spans="2:39" ht="21.95" customHeight="1" thickBot="1" x14ac:dyDescent="0.25">
      <c r="B900" s="788"/>
      <c r="C900" s="278" t="str">
        <v>CO2</v>
      </c>
      <c r="D900" s="278"/>
      <c r="E900" s="278"/>
      <c r="F900" s="819">
        <f t="shared" si="96"/>
        <v>44953036.592907317</v>
      </c>
      <c r="G900" s="813">
        <f>G865</f>
        <v>0</v>
      </c>
      <c r="H900" s="813">
        <f>H865</f>
        <v>0</v>
      </c>
      <c r="I900" s="813">
        <f t="shared" ref="I900:AH900" si="108">I865</f>
        <v>949610.76924212882</v>
      </c>
      <c r="J900" s="813">
        <f t="shared" si="108"/>
        <v>989657.83923089271</v>
      </c>
      <c r="K900" s="813">
        <f t="shared" si="108"/>
        <v>1043484.3502069322</v>
      </c>
      <c r="L900" s="813">
        <f t="shared" si="108"/>
        <v>1127349.7717475635</v>
      </c>
      <c r="M900" s="813">
        <f t="shared" si="108"/>
        <v>1211253.9746874617</v>
      </c>
      <c r="N900" s="813">
        <f t="shared" si="108"/>
        <v>1295158.3216859025</v>
      </c>
      <c r="O900" s="813">
        <f t="shared" si="108"/>
        <v>1379023.743226534</v>
      </c>
      <c r="P900" s="813">
        <f t="shared" si="108"/>
        <v>1462966.6789468557</v>
      </c>
      <c r="Q900" s="813">
        <f t="shared" si="108"/>
        <v>1539500.0859249076</v>
      </c>
      <c r="R900" s="813">
        <f t="shared" si="108"/>
        <v>1615809.1820031102</v>
      </c>
      <c r="S900" s="813">
        <f t="shared" si="108"/>
        <v>1692101.6205192083</v>
      </c>
      <c r="T900" s="813">
        <f t="shared" si="108"/>
        <v>1768393.6844348568</v>
      </c>
      <c r="U900" s="813">
        <f t="shared" si="108"/>
        <v>1844763.2611480686</v>
      </c>
      <c r="V900" s="813">
        <f t="shared" si="108"/>
        <v>1891324.4805581109</v>
      </c>
      <c r="W900" s="813">
        <f t="shared" si="108"/>
        <v>1921520.4964601288</v>
      </c>
      <c r="X900" s="813">
        <f t="shared" si="108"/>
        <v>1952496.4477970949</v>
      </c>
      <c r="Y900" s="813">
        <f t="shared" si="108"/>
        <v>1983472.3991340611</v>
      </c>
      <c r="Z900" s="813">
        <f t="shared" si="108"/>
        <v>2014468.8938325336</v>
      </c>
      <c r="AA900" s="813">
        <f t="shared" si="108"/>
        <v>2046439.0514907357</v>
      </c>
      <c r="AB900" s="813">
        <f t="shared" si="108"/>
        <v>2078563.2806361588</v>
      </c>
      <c r="AC900" s="813">
        <f t="shared" si="108"/>
        <v>2110667.8366384446</v>
      </c>
      <c r="AD900" s="813">
        <f t="shared" si="108"/>
        <v>2142772.3926407308</v>
      </c>
      <c r="AE900" s="813">
        <f t="shared" si="108"/>
        <v>2174897.7553895102</v>
      </c>
      <c r="AF900" s="813">
        <f t="shared" si="108"/>
        <v>2207002.311391796</v>
      </c>
      <c r="AG900" s="813">
        <f t="shared" si="108"/>
        <v>2239106.8673940818</v>
      </c>
      <c r="AH900" s="814">
        <f t="shared" si="108"/>
        <v>2271231.0965395053</v>
      </c>
      <c r="AI900" s="40"/>
      <c r="AJ900" s="40"/>
      <c r="AK900" s="40"/>
      <c r="AL900" s="40"/>
      <c r="AM900" s="40"/>
    </row>
    <row r="901" spans="2:39" ht="21.95" customHeight="1" x14ac:dyDescent="0.2">
      <c r="B901" s="1"/>
      <c r="F901"/>
      <c r="G901" s="24"/>
      <c r="H901" s="24"/>
      <c r="I901" s="39"/>
      <c r="J901" s="39"/>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row>
    <row r="902" spans="2:39" ht="21.95" customHeight="1" x14ac:dyDescent="0.2">
      <c r="B902" s="1"/>
      <c r="F902"/>
      <c r="G902" s="24"/>
      <c r="H902" s="24"/>
      <c r="I902" s="39"/>
      <c r="J902" s="39"/>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row>
    <row r="903" spans="2:39" ht="21.95" customHeight="1" thickBot="1" x14ac:dyDescent="0.25">
      <c r="B903" s="796" t="s">
        <v>510</v>
      </c>
      <c r="AI903" s="40"/>
      <c r="AJ903" s="40"/>
      <c r="AK903" s="40"/>
      <c r="AL903" s="40"/>
      <c r="AM903" s="40"/>
    </row>
    <row r="904" spans="2:39" ht="21.95" customHeight="1" x14ac:dyDescent="0.2">
      <c r="B904" s="573" t="s">
        <v>502</v>
      </c>
      <c r="C904" s="482" t="s">
        <v>42</v>
      </c>
      <c r="D904" s="482"/>
      <c r="E904" s="482"/>
      <c r="F904" s="494" t="s">
        <v>25</v>
      </c>
      <c r="G904" s="482" cm="1">
        <f t="array" ref="G904:AH904">year</f>
        <v>2021</v>
      </c>
      <c r="H904" s="482">
        <v>2022</v>
      </c>
      <c r="I904" s="482">
        <v>2023</v>
      </c>
      <c r="J904" s="482">
        <v>2024</v>
      </c>
      <c r="K904" s="482">
        <v>2025</v>
      </c>
      <c r="L904" s="482">
        <v>2026</v>
      </c>
      <c r="M904" s="482">
        <v>2027</v>
      </c>
      <c r="N904" s="482">
        <v>2028</v>
      </c>
      <c r="O904" s="482">
        <v>2029</v>
      </c>
      <c r="P904" s="482">
        <v>2030</v>
      </c>
      <c r="Q904" s="482">
        <v>2031</v>
      </c>
      <c r="R904" s="482">
        <v>2032</v>
      </c>
      <c r="S904" s="482">
        <v>2033</v>
      </c>
      <c r="T904" s="482">
        <v>2034</v>
      </c>
      <c r="U904" s="482">
        <v>2035</v>
      </c>
      <c r="V904" s="482">
        <v>2036</v>
      </c>
      <c r="W904" s="482">
        <v>2037</v>
      </c>
      <c r="X904" s="482">
        <v>2038</v>
      </c>
      <c r="Y904" s="482">
        <v>2039</v>
      </c>
      <c r="Z904" s="482">
        <v>2040</v>
      </c>
      <c r="AA904" s="482">
        <v>2041</v>
      </c>
      <c r="AB904" s="482">
        <v>2042</v>
      </c>
      <c r="AC904" s="482">
        <v>2043</v>
      </c>
      <c r="AD904" s="482">
        <v>2044</v>
      </c>
      <c r="AE904" s="482">
        <v>2045</v>
      </c>
      <c r="AF904" s="482">
        <v>2046</v>
      </c>
      <c r="AG904" s="482">
        <v>2047</v>
      </c>
      <c r="AH904" s="494">
        <v>2048</v>
      </c>
      <c r="AI904" s="40"/>
      <c r="AJ904" s="40"/>
      <c r="AK904" s="40"/>
      <c r="AL904" s="40"/>
      <c r="AM904" s="40"/>
    </row>
    <row r="905" spans="2:39" ht="21.95" customHeight="1" x14ac:dyDescent="0.2">
      <c r="B905" s="808" t="s">
        <v>485</v>
      </c>
      <c r="C905" s="220" t="str" cm="1">
        <f t="array" ref="C905:C908">_xlfn.ANCHORARRAY($B$13)</f>
        <v>NOx</v>
      </c>
      <c r="D905" s="820"/>
      <c r="E905" s="820"/>
      <c r="F905" s="816">
        <f t="shared" ref="F905:F912" si="109">SUM(G905:AH905)</f>
        <v>222.5983185168958</v>
      </c>
      <c r="G905" s="775">
        <f t="shared" ref="G905:H908" si="110">G889-G893</f>
        <v>0</v>
      </c>
      <c r="H905" s="775">
        <f t="shared" si="110"/>
        <v>0</v>
      </c>
      <c r="I905" s="775">
        <f t="shared" ref="I905:AH905" si="111">I889-I893</f>
        <v>0.10112852060001387</v>
      </c>
      <c r="J905" s="775">
        <f t="shared" si="111"/>
        <v>0.5373162452786886</v>
      </c>
      <c r="K905" s="775">
        <f t="shared" si="111"/>
        <v>1.0320010648199229</v>
      </c>
      <c r="L905" s="775">
        <f t="shared" si="111"/>
        <v>1.8847809579592365</v>
      </c>
      <c r="M905" s="775">
        <f t="shared" si="111"/>
        <v>2.7384626830528589</v>
      </c>
      <c r="N905" s="775">
        <f t="shared" si="111"/>
        <v>3.5920148208567753</v>
      </c>
      <c r="O905" s="775">
        <f t="shared" si="111"/>
        <v>4.4447947139959751</v>
      </c>
      <c r="P905" s="775">
        <f t="shared" si="111"/>
        <v>5.29842982051332</v>
      </c>
      <c r="Q905" s="775">
        <f t="shared" si="111"/>
        <v>6.5776540447738796</v>
      </c>
      <c r="R905" s="775">
        <f t="shared" si="111"/>
        <v>7.9021428060145524</v>
      </c>
      <c r="S905" s="775">
        <f t="shared" si="111"/>
        <v>8.8862415196677773</v>
      </c>
      <c r="T905" s="775">
        <f t="shared" si="111"/>
        <v>9.7112557201275251</v>
      </c>
      <c r="U905" s="775">
        <f t="shared" si="111"/>
        <v>10.540414043579318</v>
      </c>
      <c r="V905" s="775">
        <f t="shared" si="111"/>
        <v>11.091349643425275</v>
      </c>
      <c r="W905" s="775">
        <f t="shared" si="111"/>
        <v>11.37027955655077</v>
      </c>
      <c r="X905" s="775">
        <f t="shared" si="111"/>
        <v>11.549803792364884</v>
      </c>
      <c r="Y905" s="775">
        <f t="shared" si="111"/>
        <v>11.728918212894996</v>
      </c>
      <c r="Z905" s="775">
        <f t="shared" si="111"/>
        <v>11.907614499357294</v>
      </c>
      <c r="AA905" s="775">
        <f t="shared" si="111"/>
        <v>12.086728919887491</v>
      </c>
      <c r="AB905" s="775">
        <f t="shared" si="111"/>
        <v>12.265421274702362</v>
      </c>
      <c r="AC905" s="775">
        <f t="shared" si="111"/>
        <v>12.444535695232616</v>
      </c>
      <c r="AD905" s="775">
        <f t="shared" si="111"/>
        <v>12.6236501157627</v>
      </c>
      <c r="AE905" s="775">
        <f t="shared" si="111"/>
        <v>12.802245489944937</v>
      </c>
      <c r="AF905" s="775">
        <f t="shared" si="111"/>
        <v>12.981769725759136</v>
      </c>
      <c r="AG905" s="775">
        <f t="shared" si="111"/>
        <v>13.160336137479248</v>
      </c>
      <c r="AH905" s="776">
        <f t="shared" si="111"/>
        <v>13.339028492294233</v>
      </c>
      <c r="AI905" s="40"/>
      <c r="AJ905" s="40"/>
      <c r="AK905" s="40"/>
      <c r="AL905" s="40"/>
      <c r="AM905" s="40"/>
    </row>
    <row r="906" spans="2:39" ht="21.95" customHeight="1" x14ac:dyDescent="0.2">
      <c r="B906" s="784"/>
      <c r="C906" s="116" t="str">
        <v>SOx</v>
      </c>
      <c r="D906" s="821"/>
      <c r="E906" s="821"/>
      <c r="F906" s="815">
        <f t="shared" si="109"/>
        <v>0.30535834542708035</v>
      </c>
      <c r="G906" s="970">
        <f t="shared" si="110"/>
        <v>0</v>
      </c>
      <c r="H906" s="970">
        <f t="shared" si="110"/>
        <v>0</v>
      </c>
      <c r="I906" s="777">
        <f t="shared" ref="I906:AH906" si="112">I890-I894</f>
        <v>1.994968520177276E-4</v>
      </c>
      <c r="J906" s="777">
        <f t="shared" si="112"/>
        <v>8.3654905166138938E-4</v>
      </c>
      <c r="K906" s="777">
        <f t="shared" si="112"/>
        <v>9.3210677549104837E-4</v>
      </c>
      <c r="L906" s="777">
        <f t="shared" si="112"/>
        <v>1.7262107806844951E-3</v>
      </c>
      <c r="M906" s="777">
        <f t="shared" si="112"/>
        <v>2.5210083063320621E-3</v>
      </c>
      <c r="N906" s="777">
        <f t="shared" si="112"/>
        <v>3.3164539640284652E-3</v>
      </c>
      <c r="O906" s="777">
        <f t="shared" si="112"/>
        <v>4.1105579692218841E-3</v>
      </c>
      <c r="P906" s="777">
        <f t="shared" si="112"/>
        <v>4.9053755344963257E-3</v>
      </c>
      <c r="Q906" s="777">
        <f t="shared" si="112"/>
        <v>7.1892293451874534E-3</v>
      </c>
      <c r="R906" s="777">
        <f t="shared" si="112"/>
        <v>9.5367885727932755E-3</v>
      </c>
      <c r="S906" s="777">
        <f t="shared" si="112"/>
        <v>1.1404085712779233E-2</v>
      </c>
      <c r="T906" s="777">
        <f t="shared" si="112"/>
        <v>1.3046986628352186E-2</v>
      </c>
      <c r="U906" s="777">
        <f t="shared" si="112"/>
        <v>1.4695871132228477E-2</v>
      </c>
      <c r="V906" s="777">
        <f t="shared" si="112"/>
        <v>1.5737101411223031E-2</v>
      </c>
      <c r="W906" s="777">
        <f t="shared" si="112"/>
        <v>1.6194242634668898E-2</v>
      </c>
      <c r="X906" s="777">
        <f t="shared" si="112"/>
        <v>1.6511165426923158E-2</v>
      </c>
      <c r="Y906" s="777">
        <f t="shared" si="112"/>
        <v>1.6827509913374339E-2</v>
      </c>
      <c r="Z906" s="777">
        <f t="shared" si="112"/>
        <v>1.7143148892601823E-2</v>
      </c>
      <c r="AA906" s="777">
        <f t="shared" si="112"/>
        <v>1.7459493379052893E-2</v>
      </c>
      <c r="AB906" s="777">
        <f t="shared" si="112"/>
        <v>1.7775124602295966E-2</v>
      </c>
      <c r="AC906" s="777">
        <f t="shared" si="112"/>
        <v>1.8091469088747036E-2</v>
      </c>
      <c r="AD906" s="777">
        <f t="shared" si="112"/>
        <v>1.8407813575198273E-2</v>
      </c>
      <c r="AE906" s="777">
        <f t="shared" si="112"/>
        <v>1.8723253484153102E-2</v>
      </c>
      <c r="AF906" s="777">
        <f t="shared" si="112"/>
        <v>1.9040176276407694E-2</v>
      </c>
      <c r="AG906" s="777">
        <f t="shared" si="112"/>
        <v>1.9355747446958671E-2</v>
      </c>
      <c r="AH906" s="778">
        <f t="shared" si="112"/>
        <v>1.9671378670201467E-2</v>
      </c>
      <c r="AI906" s="40"/>
      <c r="AJ906" s="40"/>
      <c r="AK906" s="40"/>
      <c r="AL906" s="40"/>
      <c r="AM906" s="40"/>
    </row>
    <row r="907" spans="2:39" ht="21.95" customHeight="1" x14ac:dyDescent="0.2">
      <c r="B907" s="784"/>
      <c r="C907" s="116" t="str">
        <v>PM2.5</v>
      </c>
      <c r="D907" s="821"/>
      <c r="E907" s="821"/>
      <c r="F907" s="815">
        <f t="shared" si="109"/>
        <v>6.8904333998970912</v>
      </c>
      <c r="G907" s="970">
        <f t="shared" si="110"/>
        <v>0</v>
      </c>
      <c r="H907" s="970">
        <f t="shared" si="110"/>
        <v>0</v>
      </c>
      <c r="I907" s="777">
        <f t="shared" ref="I907:AH907" si="113">I891-I895</f>
        <v>3.2569242000000109E-3</v>
      </c>
      <c r="J907" s="777">
        <f t="shared" si="113"/>
        <v>1.683949276140595E-2</v>
      </c>
      <c r="K907" s="777">
        <f t="shared" si="113"/>
        <v>3.0938219982204807E-2</v>
      </c>
      <c r="L907" s="777">
        <f t="shared" si="113"/>
        <v>5.6553295895665379E-2</v>
      </c>
      <c r="M907" s="777">
        <f t="shared" si="113"/>
        <v>8.2195155723978175E-2</v>
      </c>
      <c r="N907" s="777">
        <f t="shared" si="113"/>
        <v>0.10783472392840743</v>
      </c>
      <c r="O907" s="777">
        <f t="shared" si="113"/>
        <v>0.13344979984187066</v>
      </c>
      <c r="P907" s="777">
        <f t="shared" si="113"/>
        <v>0.15909039149850468</v>
      </c>
      <c r="Q907" s="777">
        <f t="shared" si="113"/>
        <v>0.1997897588815567</v>
      </c>
      <c r="R907" s="777">
        <f t="shared" si="113"/>
        <v>0.24189362656141533</v>
      </c>
      <c r="S907" s="777">
        <f t="shared" si="113"/>
        <v>0.27343313837348759</v>
      </c>
      <c r="T907" s="777">
        <f t="shared" si="113"/>
        <v>0.30003542085473356</v>
      </c>
      <c r="U907" s="777">
        <f t="shared" si="113"/>
        <v>0.32676660484074738</v>
      </c>
      <c r="V907" s="777">
        <f t="shared" si="113"/>
        <v>0.34441496616682077</v>
      </c>
      <c r="W907" s="777">
        <f t="shared" si="113"/>
        <v>0.35320426002924243</v>
      </c>
      <c r="X907" s="777">
        <f t="shared" si="113"/>
        <v>0.35890846857006231</v>
      </c>
      <c r="Y907" s="777">
        <f t="shared" si="113"/>
        <v>0.36459995788288335</v>
      </c>
      <c r="Z907" s="777">
        <f t="shared" si="113"/>
        <v>0.37027822936483545</v>
      </c>
      <c r="AA907" s="777">
        <f t="shared" si="113"/>
        <v>0.37596971867765561</v>
      </c>
      <c r="AB907" s="777">
        <f t="shared" si="113"/>
        <v>0.38164786353778979</v>
      </c>
      <c r="AC907" s="777">
        <f t="shared" si="113"/>
        <v>0.38733935285061172</v>
      </c>
      <c r="AD907" s="777">
        <f t="shared" si="113"/>
        <v>0.39303084216343009</v>
      </c>
      <c r="AE907" s="777">
        <f t="shared" si="113"/>
        <v>0.39870586368538596</v>
      </c>
      <c r="AF907" s="777">
        <f t="shared" si="113"/>
        <v>0.40441007222620762</v>
      </c>
      <c r="AG907" s="777">
        <f t="shared" si="113"/>
        <v>0.41008455326902826</v>
      </c>
      <c r="AH907" s="778">
        <f t="shared" si="113"/>
        <v>0.41576269812916067</v>
      </c>
      <c r="AI907" s="40"/>
      <c r="AJ907" s="40"/>
      <c r="AK907" s="40"/>
      <c r="AL907" s="40"/>
      <c r="AM907" s="40"/>
    </row>
    <row r="908" spans="2:39" ht="21.95" customHeight="1" x14ac:dyDescent="0.2">
      <c r="B908" s="817"/>
      <c r="C908" s="254" t="str">
        <v>CO2</v>
      </c>
      <c r="D908" s="822"/>
      <c r="E908" s="822"/>
      <c r="F908" s="818">
        <f t="shared" si="109"/>
        <v>1542995.057348798</v>
      </c>
      <c r="G908" s="779">
        <f t="shared" si="110"/>
        <v>0</v>
      </c>
      <c r="H908" s="779">
        <f t="shared" si="110"/>
        <v>0</v>
      </c>
      <c r="I908" s="779">
        <f t="shared" ref="I908:AH908" si="114">I892-I896</f>
        <v>936.6832063999027</v>
      </c>
      <c r="J908" s="779">
        <f t="shared" si="114"/>
        <v>4110.2940788505366</v>
      </c>
      <c r="K908" s="779">
        <f t="shared" si="114"/>
        <v>5278.0664674723521</v>
      </c>
      <c r="L908" s="779">
        <f t="shared" si="114"/>
        <v>9732.1018111947924</v>
      </c>
      <c r="M908" s="779">
        <f t="shared" si="114"/>
        <v>14190.280137755675</v>
      </c>
      <c r="N908" s="779">
        <f t="shared" si="114"/>
        <v>18650.763321280014</v>
      </c>
      <c r="O908" s="779">
        <f t="shared" si="114"/>
        <v>23104.798665002687</v>
      </c>
      <c r="P908" s="779">
        <f t="shared" si="114"/>
        <v>27562.979588118615</v>
      </c>
      <c r="Q908" s="779">
        <f t="shared" si="114"/>
        <v>38481.983312850585</v>
      </c>
      <c r="R908" s="779">
        <f t="shared" si="114"/>
        <v>49721.000977070536</v>
      </c>
      <c r="S908" s="779">
        <f t="shared" si="114"/>
        <v>58548.868890625425</v>
      </c>
      <c r="T908" s="779">
        <f t="shared" si="114"/>
        <v>66250.091219991678</v>
      </c>
      <c r="U908" s="779">
        <f t="shared" si="114"/>
        <v>73981.198091412894</v>
      </c>
      <c r="V908" s="779">
        <f t="shared" si="114"/>
        <v>78907.264420197578</v>
      </c>
      <c r="W908" s="779">
        <f t="shared" si="114"/>
        <v>81129.702673564432</v>
      </c>
      <c r="X908" s="779">
        <f t="shared" si="114"/>
        <v>82648.136403083103</v>
      </c>
      <c r="Y908" s="779">
        <f t="shared" si="114"/>
        <v>84163.666858946439</v>
      </c>
      <c r="Z908" s="779">
        <f t="shared" si="114"/>
        <v>85675.787304283585</v>
      </c>
      <c r="AA908" s="779">
        <f t="shared" si="114"/>
        <v>87191.317760146223</v>
      </c>
      <c r="AB908" s="779">
        <f t="shared" si="114"/>
        <v>88703.401789367199</v>
      </c>
      <c r="AC908" s="779">
        <f t="shared" si="114"/>
        <v>90218.932245229837</v>
      </c>
      <c r="AD908" s="779">
        <f t="shared" si="114"/>
        <v>91734.462701093405</v>
      </c>
      <c r="AE908" s="779">
        <f t="shared" si="114"/>
        <v>93245.648466109298</v>
      </c>
      <c r="AF908" s="779">
        <f t="shared" si="114"/>
        <v>94764.082195627969</v>
      </c>
      <c r="AG908" s="779">
        <f t="shared" si="114"/>
        <v>96275.73036695132</v>
      </c>
      <c r="AH908" s="783">
        <f t="shared" si="114"/>
        <v>97787.814396171831</v>
      </c>
      <c r="AI908" s="40"/>
      <c r="AJ908" s="40"/>
      <c r="AK908" s="40"/>
      <c r="AL908" s="40"/>
      <c r="AM908" s="40"/>
    </row>
    <row r="909" spans="2:39" ht="21.95" customHeight="1" x14ac:dyDescent="0.2">
      <c r="B909" s="784" t="s">
        <v>486</v>
      </c>
      <c r="C909" s="116" t="str" cm="1">
        <f t="array" ref="C909:C912">_xlfn.ANCHORARRAY($B$13)</f>
        <v>NOx</v>
      </c>
      <c r="D909" s="821"/>
      <c r="E909" s="821"/>
      <c r="F909" s="815">
        <f t="shared" si="109"/>
        <v>265.64642903219703</v>
      </c>
      <c r="G909" s="970">
        <f t="shared" ref="G909:H912" si="115">G889-G897</f>
        <v>0</v>
      </c>
      <c r="H909" s="970">
        <f t="shared" si="115"/>
        <v>0</v>
      </c>
      <c r="I909" s="777">
        <f t="shared" ref="I909:AH909" si="116">I889-I897</f>
        <v>0.10112852060001387</v>
      </c>
      <c r="J909" s="777">
        <f t="shared" si="116"/>
        <v>-0.4746881041832296</v>
      </c>
      <c r="K909" s="777">
        <f t="shared" si="116"/>
        <v>1.0446053511429909E-2</v>
      </c>
      <c r="L909" s="777">
        <f t="shared" si="116"/>
        <v>0.92545530681121591</v>
      </c>
      <c r="M909" s="777">
        <f t="shared" si="116"/>
        <v>1.8413358300605864</v>
      </c>
      <c r="N909" s="777">
        <f t="shared" si="116"/>
        <v>2.757276300906085</v>
      </c>
      <c r="O909" s="777">
        <f t="shared" si="116"/>
        <v>3.6722855542057573</v>
      </c>
      <c r="P909" s="777">
        <f t="shared" si="116"/>
        <v>4.5881612653948309</v>
      </c>
      <c r="Q909" s="777">
        <f t="shared" si="116"/>
        <v>6.1793727788559352</v>
      </c>
      <c r="R909" s="777">
        <f t="shared" si="116"/>
        <v>7.8044888088832352</v>
      </c>
      <c r="S909" s="777">
        <f t="shared" si="116"/>
        <v>9.429427581860125</v>
      </c>
      <c r="T909" s="777">
        <f t="shared" si="116"/>
        <v>11.054844375653317</v>
      </c>
      <c r="U909" s="777">
        <f t="shared" si="116"/>
        <v>12.680112518362762</v>
      </c>
      <c r="V909" s="777">
        <f t="shared" si="116"/>
        <v>13.837161687009456</v>
      </c>
      <c r="W909" s="777">
        <f t="shared" si="116"/>
        <v>14.324393003994658</v>
      </c>
      <c r="X909" s="777">
        <f t="shared" si="116"/>
        <v>14.702590279460082</v>
      </c>
      <c r="Y909" s="777">
        <f t="shared" si="116"/>
        <v>15.080377739641477</v>
      </c>
      <c r="Z909" s="777">
        <f t="shared" si="116"/>
        <v>15.457762276688868</v>
      </c>
      <c r="AA909" s="777">
        <f t="shared" si="116"/>
        <v>15.695211279608543</v>
      </c>
      <c r="AB909" s="777">
        <f t="shared" si="116"/>
        <v>15.913371400727669</v>
      </c>
      <c r="AC909" s="777">
        <f t="shared" si="116"/>
        <v>16.131849234520416</v>
      </c>
      <c r="AD909" s="777">
        <f t="shared" si="116"/>
        <v>16.350327068312993</v>
      </c>
      <c r="AE909" s="777">
        <f t="shared" si="116"/>
        <v>16.568263888249078</v>
      </c>
      <c r="AF909" s="777">
        <f t="shared" si="116"/>
        <v>16.787151537325713</v>
      </c>
      <c r="AG909" s="777">
        <f t="shared" si="116"/>
        <v>17.005081362308374</v>
      </c>
      <c r="AH909" s="778">
        <f t="shared" si="116"/>
        <v>17.223241483427614</v>
      </c>
      <c r="AI909" s="40"/>
      <c r="AJ909" s="40"/>
      <c r="AK909" s="40"/>
      <c r="AL909" s="40"/>
      <c r="AM909" s="40"/>
    </row>
    <row r="910" spans="2:39" ht="21.95" customHeight="1" x14ac:dyDescent="0.2">
      <c r="B910" s="784"/>
      <c r="C910" s="116" t="str">
        <v>SOx</v>
      </c>
      <c r="D910" s="821"/>
      <c r="E910" s="821"/>
      <c r="F910" s="815">
        <f t="shared" si="109"/>
        <v>0.3696633725539667</v>
      </c>
      <c r="G910" s="970">
        <f t="shared" si="115"/>
        <v>0</v>
      </c>
      <c r="H910" s="970">
        <f t="shared" si="115"/>
        <v>0</v>
      </c>
      <c r="I910" s="777">
        <f t="shared" ref="I910:AH910" si="117">I890-I898</f>
        <v>1.994968520177276E-4</v>
      </c>
      <c r="J910" s="777">
        <f t="shared" si="117"/>
        <v>-1.1662151271537302E-3</v>
      </c>
      <c r="K910" s="777">
        <f t="shared" si="117"/>
        <v>-1.0958750523740179E-3</v>
      </c>
      <c r="L910" s="777">
        <f t="shared" si="117"/>
        <v>-1.8538780715171566E-4</v>
      </c>
      <c r="M910" s="777">
        <f t="shared" si="117"/>
        <v>7.2573266867062558E-4</v>
      </c>
      <c r="N910" s="777">
        <f t="shared" si="117"/>
        <v>1.6378751731722097E-3</v>
      </c>
      <c r="O910" s="777">
        <f t="shared" si="117"/>
        <v>2.5483624183944564E-3</v>
      </c>
      <c r="P910" s="777">
        <f t="shared" si="117"/>
        <v>3.4595854058138142E-3</v>
      </c>
      <c r="Q910" s="777">
        <f t="shared" si="117"/>
        <v>6.3525214529628338E-3</v>
      </c>
      <c r="R910" s="777">
        <f t="shared" si="117"/>
        <v>9.2931299350992869E-3</v>
      </c>
      <c r="S910" s="777">
        <f t="shared" si="117"/>
        <v>1.2233468953902982E-2</v>
      </c>
      <c r="T910" s="777">
        <f t="shared" si="117"/>
        <v>1.5174673362180369E-2</v>
      </c>
      <c r="U910" s="777">
        <f t="shared" si="117"/>
        <v>1.8115867942366748E-2</v>
      </c>
      <c r="V910" s="777">
        <f t="shared" si="117"/>
        <v>2.014141661077723E-2</v>
      </c>
      <c r="W910" s="777">
        <f t="shared" si="117"/>
        <v>2.0892796525007806E-2</v>
      </c>
      <c r="X910" s="777">
        <f t="shared" si="117"/>
        <v>2.1490371060178592E-2</v>
      </c>
      <c r="Y910" s="777">
        <f t="shared" si="117"/>
        <v>2.2087367289546189E-2</v>
      </c>
      <c r="Z910" s="777">
        <f t="shared" si="117"/>
        <v>2.2683662050649311E-2</v>
      </c>
      <c r="AA910" s="777">
        <f t="shared" si="117"/>
        <v>2.3082621390109193E-2</v>
      </c>
      <c r="AB910" s="777">
        <f t="shared" si="117"/>
        <v>2.3454297302488769E-2</v>
      </c>
      <c r="AC910" s="777">
        <f t="shared" si="117"/>
        <v>2.3826485709695977E-2</v>
      </c>
      <c r="AD910" s="777">
        <f t="shared" si="117"/>
        <v>2.419867411690324E-2</v>
      </c>
      <c r="AE910" s="777">
        <f t="shared" si="117"/>
        <v>2.4569909521670819E-2</v>
      </c>
      <c r="AF910" s="777">
        <f t="shared" si="117"/>
        <v>2.4942676234681438E-2</v>
      </c>
      <c r="AG910" s="777">
        <f t="shared" si="117"/>
        <v>2.5314091325988608E-2</v>
      </c>
      <c r="AH910" s="778">
        <f t="shared" si="117"/>
        <v>2.5685767238367907E-2</v>
      </c>
      <c r="AI910" s="40"/>
      <c r="AJ910" s="40"/>
      <c r="AK910" s="40"/>
      <c r="AL910" s="40"/>
      <c r="AM910" s="40"/>
    </row>
    <row r="911" spans="2:39" ht="21.95" customHeight="1" x14ac:dyDescent="0.2">
      <c r="B911" s="784"/>
      <c r="C911" s="116" t="str">
        <v>PM2.5</v>
      </c>
      <c r="D911" s="821"/>
      <c r="E911" s="821"/>
      <c r="F911" s="815">
        <f t="shared" si="109"/>
        <v>8.2339046028237295</v>
      </c>
      <c r="G911" s="970">
        <f t="shared" si="115"/>
        <v>0</v>
      </c>
      <c r="H911" s="970">
        <f t="shared" si="115"/>
        <v>0</v>
      </c>
      <c r="I911" s="777">
        <f t="shared" ref="I911:AH911" si="118">I891-I899</f>
        <v>3.2569242000000109E-3</v>
      </c>
      <c r="J911" s="777">
        <f t="shared" si="118"/>
        <v>-1.5766188071894227E-2</v>
      </c>
      <c r="K911" s="777">
        <f t="shared" si="118"/>
        <v>-1.9883257372947938E-3</v>
      </c>
      <c r="L911" s="777">
        <f t="shared" si="118"/>
        <v>2.5617617819665206E-2</v>
      </c>
      <c r="M911" s="777">
        <f t="shared" si="118"/>
        <v>5.3249361017877028E-2</v>
      </c>
      <c r="N911" s="777">
        <f t="shared" si="118"/>
        <v>8.0884916713507948E-2</v>
      </c>
      <c r="O911" s="777">
        <f t="shared" si="118"/>
        <v>0.10849086027047061</v>
      </c>
      <c r="P911" s="777">
        <f t="shared" si="118"/>
        <v>0.1361226817090051</v>
      </c>
      <c r="Q911" s="777">
        <f t="shared" si="118"/>
        <v>0.18685656889625779</v>
      </c>
      <c r="R911" s="777">
        <f t="shared" si="118"/>
        <v>0.2386423761623151</v>
      </c>
      <c r="S911" s="777">
        <f t="shared" si="118"/>
        <v>0.29042264174419596</v>
      </c>
      <c r="T911" s="777">
        <f t="shared" si="118"/>
        <v>0.34221814077545165</v>
      </c>
      <c r="U911" s="777">
        <f t="shared" si="118"/>
        <v>0.39400944251375858</v>
      </c>
      <c r="V911" s="777">
        <f t="shared" si="118"/>
        <v>0.43073806465445852</v>
      </c>
      <c r="W911" s="777">
        <f t="shared" si="118"/>
        <v>0.44599292081403696</v>
      </c>
      <c r="X911" s="777">
        <f t="shared" si="118"/>
        <v>0.45786386102169097</v>
      </c>
      <c r="Y911" s="777">
        <f t="shared" si="118"/>
        <v>0.46972208200134702</v>
      </c>
      <c r="Z911" s="777">
        <f t="shared" si="118"/>
        <v>0.48156752096004496</v>
      </c>
      <c r="AA911" s="777">
        <f t="shared" si="118"/>
        <v>0.48907012880185086</v>
      </c>
      <c r="AB911" s="777">
        <f t="shared" si="118"/>
        <v>0.49597394386344185</v>
      </c>
      <c r="AC911" s="777">
        <f t="shared" si="118"/>
        <v>0.50288775320267121</v>
      </c>
      <c r="AD911" s="777">
        <f t="shared" si="118"/>
        <v>0.50980156254189879</v>
      </c>
      <c r="AE911" s="777">
        <f t="shared" si="118"/>
        <v>0.5166981860118085</v>
      </c>
      <c r="AF911" s="777">
        <f t="shared" si="118"/>
        <v>0.52362471457903936</v>
      </c>
      <c r="AG911" s="777">
        <f t="shared" si="118"/>
        <v>0.53052151564826744</v>
      </c>
      <c r="AH911" s="778">
        <f t="shared" si="118"/>
        <v>0.53742533070985665</v>
      </c>
      <c r="AI911" s="40"/>
      <c r="AJ911" s="40"/>
      <c r="AK911" s="40"/>
      <c r="AL911" s="40"/>
      <c r="AM911" s="40"/>
    </row>
    <row r="912" spans="2:39" ht="21.95" customHeight="1" thickBot="1" x14ac:dyDescent="0.25">
      <c r="B912" s="788"/>
      <c r="C912" s="278" t="str">
        <v>CO2</v>
      </c>
      <c r="D912" s="823"/>
      <c r="E912" s="823"/>
      <c r="F912" s="819">
        <f t="shared" si="109"/>
        <v>1861762.8053586851</v>
      </c>
      <c r="G912" s="813">
        <f t="shared" si="115"/>
        <v>0</v>
      </c>
      <c r="H912" s="813">
        <f t="shared" si="115"/>
        <v>0</v>
      </c>
      <c r="I912" s="813">
        <f t="shared" ref="I912:AH912" si="119">I892-I900</f>
        <v>936.6832063999027</v>
      </c>
      <c r="J912" s="813">
        <f t="shared" si="119"/>
        <v>-5287.9311404430773</v>
      </c>
      <c r="K912" s="813">
        <f t="shared" si="119"/>
        <v>-4233.3521243914729</v>
      </c>
      <c r="L912" s="813">
        <f t="shared" si="119"/>
        <v>772.33830662304536</v>
      </c>
      <c r="M912" s="813">
        <f t="shared" si="119"/>
        <v>5781.8886458643246</v>
      </c>
      <c r="N912" s="813">
        <f t="shared" si="119"/>
        <v>10795.499371999176</v>
      </c>
      <c r="O912" s="813">
        <f t="shared" si="119"/>
        <v>15801.189803013811</v>
      </c>
      <c r="P912" s="813">
        <f t="shared" si="119"/>
        <v>20811.129963514395</v>
      </c>
      <c r="Q912" s="813">
        <f t="shared" si="119"/>
        <v>34595.122901353054</v>
      </c>
      <c r="R912" s="813">
        <f t="shared" si="119"/>
        <v>48618.642033483367</v>
      </c>
      <c r="S912" s="813">
        <f t="shared" si="119"/>
        <v>62640.830449700356</v>
      </c>
      <c r="T912" s="813">
        <f t="shared" si="119"/>
        <v>76667.14546082681</v>
      </c>
      <c r="U912" s="813">
        <f t="shared" si="119"/>
        <v>90693.182809488848</v>
      </c>
      <c r="V912" s="813">
        <f t="shared" si="119"/>
        <v>100413.50856385124</v>
      </c>
      <c r="W912" s="813">
        <f t="shared" si="119"/>
        <v>104112.77702969406</v>
      </c>
      <c r="X912" s="813">
        <f t="shared" si="119"/>
        <v>107039.83029910503</v>
      </c>
      <c r="Y912" s="813">
        <f t="shared" si="119"/>
        <v>109963.9802948602</v>
      </c>
      <c r="Z912" s="813">
        <f t="shared" si="119"/>
        <v>112884.76045643725</v>
      </c>
      <c r="AA912" s="813">
        <f t="shared" si="119"/>
        <v>114814.70413095551</v>
      </c>
      <c r="AB912" s="813">
        <f t="shared" si="119"/>
        <v>116607.74984558206</v>
      </c>
      <c r="AC912" s="813">
        <f t="shared" si="119"/>
        <v>118403.2951760171</v>
      </c>
      <c r="AD912" s="813">
        <f t="shared" si="119"/>
        <v>120198.8405064526</v>
      </c>
      <c r="AE912" s="813">
        <f t="shared" si="119"/>
        <v>121989.81793740205</v>
      </c>
      <c r="AF912" s="813">
        <f t="shared" si="119"/>
        <v>123788.26654149266</v>
      </c>
      <c r="AG912" s="813">
        <f t="shared" si="119"/>
        <v>125579.92958738888</v>
      </c>
      <c r="AH912" s="814">
        <f t="shared" si="119"/>
        <v>127372.97530201403</v>
      </c>
      <c r="AI912" s="40"/>
      <c r="AJ912" s="40"/>
      <c r="AK912" s="40"/>
      <c r="AL912" s="40"/>
      <c r="AM912" s="40"/>
    </row>
    <row r="913" spans="2:39" ht="21.95" customHeight="1" x14ac:dyDescent="0.2">
      <c r="B913" s="1"/>
      <c r="F913"/>
      <c r="G913" s="24"/>
      <c r="H913" s="24"/>
      <c r="I913" s="39"/>
      <c r="J913" s="39"/>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row>
    <row r="914" spans="2:39" ht="21.95" customHeight="1" x14ac:dyDescent="0.2">
      <c r="B914" s="1"/>
      <c r="F914"/>
      <c r="G914" s="24"/>
      <c r="H914" s="24"/>
      <c r="I914" s="39"/>
      <c r="J914" s="39"/>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row>
    <row r="915" spans="2:39" ht="21.95" customHeight="1" thickBot="1" x14ac:dyDescent="0.25">
      <c r="B915" s="796" t="s">
        <v>500</v>
      </c>
      <c r="AI915" s="40"/>
      <c r="AJ915" s="40"/>
      <c r="AK915" s="40"/>
      <c r="AL915" s="40"/>
      <c r="AM915" s="40"/>
    </row>
    <row r="916" spans="2:39" ht="21.95" customHeight="1" x14ac:dyDescent="0.2">
      <c r="B916" s="832" t="s">
        <v>502</v>
      </c>
      <c r="C916" s="759" t="s">
        <v>42</v>
      </c>
      <c r="D916" s="759"/>
      <c r="E916" s="759"/>
      <c r="F916" s="833" t="s">
        <v>25</v>
      </c>
      <c r="G916" s="759" cm="1">
        <f t="array" ref="G916:AH916">year</f>
        <v>2021</v>
      </c>
      <c r="H916" s="759">
        <v>2022</v>
      </c>
      <c r="I916" s="759">
        <v>2023</v>
      </c>
      <c r="J916" s="759">
        <v>2024</v>
      </c>
      <c r="K916" s="759">
        <v>2025</v>
      </c>
      <c r="L916" s="759">
        <v>2026</v>
      </c>
      <c r="M916" s="759">
        <v>2027</v>
      </c>
      <c r="N916" s="759">
        <v>2028</v>
      </c>
      <c r="O916" s="759">
        <v>2029</v>
      </c>
      <c r="P916" s="759">
        <v>2030</v>
      </c>
      <c r="Q916" s="759">
        <v>2031</v>
      </c>
      <c r="R916" s="759">
        <v>2032</v>
      </c>
      <c r="S916" s="759">
        <v>2033</v>
      </c>
      <c r="T916" s="759">
        <v>2034</v>
      </c>
      <c r="U916" s="759">
        <v>2035</v>
      </c>
      <c r="V916" s="759">
        <v>2036</v>
      </c>
      <c r="W916" s="759">
        <v>2037</v>
      </c>
      <c r="X916" s="759">
        <v>2038</v>
      </c>
      <c r="Y916" s="759">
        <v>2039</v>
      </c>
      <c r="Z916" s="759">
        <v>2040</v>
      </c>
      <c r="AA916" s="759">
        <v>2041</v>
      </c>
      <c r="AB916" s="759">
        <v>2042</v>
      </c>
      <c r="AC916" s="759">
        <v>2043</v>
      </c>
      <c r="AD916" s="759">
        <v>2044</v>
      </c>
      <c r="AE916" s="759">
        <v>2045</v>
      </c>
      <c r="AF916" s="759">
        <v>2046</v>
      </c>
      <c r="AG916" s="759">
        <v>2047</v>
      </c>
      <c r="AH916" s="833">
        <v>2048</v>
      </c>
      <c r="AI916" s="40"/>
      <c r="AJ916" s="40"/>
      <c r="AK916" s="40"/>
      <c r="AL916" s="40"/>
      <c r="AM916" s="40"/>
    </row>
    <row r="917" spans="2:39" ht="21.95" customHeight="1" x14ac:dyDescent="0.2">
      <c r="B917" s="784" t="s">
        <v>126</v>
      </c>
      <c r="C917" s="116" t="str" cm="1">
        <f t="array" ref="C917:C920">_xlfn.ANCHORARRAY($B$13)</f>
        <v>NOx</v>
      </c>
      <c r="D917" s="116"/>
      <c r="E917" s="116"/>
      <c r="F917" s="824">
        <f t="shared" ref="F917:F928" si="120">SUM(G917:AH917)</f>
        <v>109623148.81944868</v>
      </c>
      <c r="G917" s="801">
        <f t="shared" ref="G917:AH917" si="121">G889*G13</f>
        <v>0</v>
      </c>
      <c r="H917" s="801">
        <f t="shared" si="121"/>
        <v>0</v>
      </c>
      <c r="I917" s="810">
        <f t="shared" si="121"/>
        <v>2073764.8272584982</v>
      </c>
      <c r="J917" s="810">
        <f t="shared" si="121"/>
        <v>2169113.6018354264</v>
      </c>
      <c r="K917" s="810">
        <f t="shared" si="121"/>
        <v>2313211.6223408785</v>
      </c>
      <c r="L917" s="810">
        <f t="shared" si="121"/>
        <v>2541797.9838578999</v>
      </c>
      <c r="M917" s="810">
        <f t="shared" si="121"/>
        <v>2792533.6110879872</v>
      </c>
      <c r="N917" s="810">
        <f t="shared" si="121"/>
        <v>3035203.4828947694</v>
      </c>
      <c r="O917" s="810">
        <f t="shared" si="121"/>
        <v>3301983.1053172508</v>
      </c>
      <c r="P917" s="810">
        <f t="shared" si="121"/>
        <v>3558723.8008804489</v>
      </c>
      <c r="Q917" s="810">
        <f t="shared" si="121"/>
        <v>3758539.0587812476</v>
      </c>
      <c r="R917" s="810">
        <f t="shared" si="121"/>
        <v>3958387.3801922724</v>
      </c>
      <c r="S917" s="810">
        <f t="shared" si="121"/>
        <v>4158196.9797402811</v>
      </c>
      <c r="T917" s="810">
        <f t="shared" si="121"/>
        <v>4358014.8494987218</v>
      </c>
      <c r="U917" s="810">
        <f t="shared" si="121"/>
        <v>4557997.3454538453</v>
      </c>
      <c r="V917" s="810">
        <f t="shared" si="121"/>
        <v>4684711.8568554064</v>
      </c>
      <c r="W917" s="810">
        <f t="shared" si="121"/>
        <v>4763465.2544811489</v>
      </c>
      <c r="X917" s="810">
        <f t="shared" si="121"/>
        <v>4842238.6622243607</v>
      </c>
      <c r="Y917" s="810">
        <f t="shared" si="121"/>
        <v>4921004.3244587053</v>
      </c>
      <c r="Z917" s="810">
        <f t="shared" si="121"/>
        <v>4999806.7704449762</v>
      </c>
      <c r="AA917" s="810">
        <f t="shared" si="121"/>
        <v>5078572.4326793207</v>
      </c>
      <c r="AB917" s="810">
        <f t="shared" si="121"/>
        <v>5157374.8786655935</v>
      </c>
      <c r="AC917" s="810">
        <f t="shared" si="121"/>
        <v>5236140.540899938</v>
      </c>
      <c r="AD917" s="810">
        <f t="shared" si="121"/>
        <v>5314906.2031342816</v>
      </c>
      <c r="AE917" s="810">
        <f t="shared" si="121"/>
        <v>5393706.741878463</v>
      </c>
      <c r="AF917" s="810">
        <f t="shared" si="121"/>
        <v>5472480.1496216729</v>
      </c>
      <c r="AG917" s="810">
        <f t="shared" si="121"/>
        <v>5551235.4544895086</v>
      </c>
      <c r="AH917" s="802">
        <f t="shared" si="121"/>
        <v>5630037.9004757823</v>
      </c>
      <c r="AI917" s="40"/>
      <c r="AJ917" s="40"/>
      <c r="AK917" s="40"/>
      <c r="AL917" s="40"/>
      <c r="AM917" s="40"/>
    </row>
    <row r="918" spans="2:39" ht="21.95" customHeight="1" x14ac:dyDescent="0.2">
      <c r="B918" s="492"/>
      <c r="C918" s="116" t="str">
        <v>SOx</v>
      </c>
      <c r="D918" s="116"/>
      <c r="E918" s="116"/>
      <c r="F918" s="824">
        <f t="shared" si="120"/>
        <v>488787.88002833695</v>
      </c>
      <c r="G918" s="801">
        <f t="shared" ref="G918:AH918" si="122">G890*G14</f>
        <v>0</v>
      </c>
      <c r="H918" s="801">
        <f t="shared" si="122"/>
        <v>0</v>
      </c>
      <c r="I918" s="810">
        <f t="shared" si="122"/>
        <v>8740.4626839133107</v>
      </c>
      <c r="J918" s="810">
        <f t="shared" si="122"/>
        <v>9236.5986430902303</v>
      </c>
      <c r="K918" s="810">
        <f t="shared" si="122"/>
        <v>9946.633089589337</v>
      </c>
      <c r="L918" s="810">
        <f t="shared" si="122"/>
        <v>11019.192285274949</v>
      </c>
      <c r="M918" s="810">
        <f t="shared" si="122"/>
        <v>12125.380946653582</v>
      </c>
      <c r="N918" s="810">
        <f t="shared" si="122"/>
        <v>13238.095210782478</v>
      </c>
      <c r="O918" s="810">
        <f t="shared" si="122"/>
        <v>14408.431286869916</v>
      </c>
      <c r="P918" s="810">
        <f t="shared" si="122"/>
        <v>15612.84281914544</v>
      </c>
      <c r="Q918" s="810">
        <f t="shared" si="122"/>
        <v>16582.146217174311</v>
      </c>
      <c r="R918" s="810">
        <f t="shared" si="122"/>
        <v>17551.613583385526</v>
      </c>
      <c r="S918" s="810">
        <f t="shared" si="122"/>
        <v>18520.886683831966</v>
      </c>
      <c r="T918" s="810">
        <f t="shared" si="122"/>
        <v>19490.200085878783</v>
      </c>
      <c r="U918" s="810">
        <f t="shared" si="122"/>
        <v>20460.349434498705</v>
      </c>
      <c r="V918" s="810">
        <f t="shared" si="122"/>
        <v>21061.893522754646</v>
      </c>
      <c r="W918" s="810">
        <f t="shared" si="122"/>
        <v>21421.41845406999</v>
      </c>
      <c r="X918" s="810">
        <f t="shared" si="122"/>
        <v>21781.022935883699</v>
      </c>
      <c r="Y918" s="810">
        <f t="shared" si="122"/>
        <v>22140.597750609693</v>
      </c>
      <c r="Z918" s="810">
        <f t="shared" si="122"/>
        <v>22500.358239951951</v>
      </c>
      <c r="AA918" s="810">
        <f t="shared" si="122"/>
        <v>22859.933054677938</v>
      </c>
      <c r="AB918" s="810">
        <f t="shared" si="122"/>
        <v>23219.693544020203</v>
      </c>
      <c r="AC918" s="810">
        <f t="shared" si="122"/>
        <v>23579.268358746202</v>
      </c>
      <c r="AD918" s="810">
        <f t="shared" si="122"/>
        <v>23938.8431734722</v>
      </c>
      <c r="AE918" s="810">
        <f t="shared" si="122"/>
        <v>24298.593450509463</v>
      </c>
      <c r="AF918" s="810">
        <f t="shared" si="122"/>
        <v>24658.197932323175</v>
      </c>
      <c r="AG918" s="810">
        <f t="shared" si="122"/>
        <v>25017.733075943503</v>
      </c>
      <c r="AH918" s="802">
        <f t="shared" si="122"/>
        <v>25377.493565285757</v>
      </c>
      <c r="AI918" s="40"/>
      <c r="AJ918" s="40"/>
      <c r="AK918" s="40"/>
      <c r="AL918" s="40"/>
      <c r="AM918" s="40"/>
    </row>
    <row r="919" spans="2:39" ht="21.95" customHeight="1" x14ac:dyDescent="0.2">
      <c r="B919" s="492"/>
      <c r="C919" s="116" t="str">
        <v>PM2.5</v>
      </c>
      <c r="D919" s="116"/>
      <c r="E919" s="116"/>
      <c r="F919" s="824">
        <f t="shared" si="120"/>
        <v>166134738.00934738</v>
      </c>
      <c r="G919" s="801">
        <f t="shared" ref="G919:AH919" si="123">G891*G15</f>
        <v>0</v>
      </c>
      <c r="H919" s="801">
        <f t="shared" si="123"/>
        <v>0</v>
      </c>
      <c r="I919" s="810">
        <f t="shared" si="123"/>
        <v>3138201.7623678623</v>
      </c>
      <c r="J919" s="810">
        <f t="shared" si="123"/>
        <v>3300709.9634046122</v>
      </c>
      <c r="K919" s="810">
        <f t="shared" si="123"/>
        <v>3540154.9957550648</v>
      </c>
      <c r="L919" s="810">
        <f t="shared" si="123"/>
        <v>3886552.7617727676</v>
      </c>
      <c r="M919" s="810">
        <f t="shared" si="123"/>
        <v>4243137.172826889</v>
      </c>
      <c r="N919" s="810">
        <f t="shared" si="123"/>
        <v>4610500.6076801652</v>
      </c>
      <c r="O919" s="810">
        <f t="shared" si="123"/>
        <v>4988233.3602000549</v>
      </c>
      <c r="P919" s="810">
        <f t="shared" si="123"/>
        <v>5376969.6175153172</v>
      </c>
      <c r="Q919" s="810">
        <f t="shared" si="123"/>
        <v>5682289.7024912899</v>
      </c>
      <c r="R919" s="810">
        <f t="shared" si="123"/>
        <v>5987660.4406803939</v>
      </c>
      <c r="S919" s="810">
        <f t="shared" si="123"/>
        <v>6292971.7746761534</v>
      </c>
      <c r="T919" s="810">
        <f t="shared" si="123"/>
        <v>6598295.7523866473</v>
      </c>
      <c r="U919" s="810">
        <f t="shared" si="123"/>
        <v>6903872.6566201169</v>
      </c>
      <c r="V919" s="810">
        <f t="shared" si="123"/>
        <v>7097009.5910071032</v>
      </c>
      <c r="W919" s="810">
        <f t="shared" si="123"/>
        <v>7216516.5703581478</v>
      </c>
      <c r="X919" s="810">
        <f t="shared" si="123"/>
        <v>7336053.4800500721</v>
      </c>
      <c r="Y919" s="810">
        <f t="shared" si="123"/>
        <v>7455578.8457706645</v>
      </c>
      <c r="Z919" s="810">
        <f t="shared" si="123"/>
        <v>7575160.6840900173</v>
      </c>
      <c r="AA919" s="810">
        <f t="shared" si="123"/>
        <v>7694686.0498106079</v>
      </c>
      <c r="AB919" s="810">
        <f t="shared" si="123"/>
        <v>7814267.8881299617</v>
      </c>
      <c r="AC919" s="810">
        <f t="shared" si="123"/>
        <v>7933793.2538505541</v>
      </c>
      <c r="AD919" s="810">
        <f t="shared" si="123"/>
        <v>8053318.6195711447</v>
      </c>
      <c r="AE919" s="810">
        <f t="shared" si="123"/>
        <v>8172897.5082268007</v>
      </c>
      <c r="AF919" s="810">
        <f t="shared" si="123"/>
        <v>8292434.4179187268</v>
      </c>
      <c r="AG919" s="810">
        <f t="shared" si="123"/>
        <v>8411944.3469334636</v>
      </c>
      <c r="AH919" s="802">
        <f t="shared" si="123"/>
        <v>8531526.1852528192</v>
      </c>
      <c r="AI919" s="40"/>
      <c r="AJ919" s="40"/>
      <c r="AK919" s="40"/>
      <c r="AL919" s="40"/>
      <c r="AM919" s="40"/>
    </row>
    <row r="920" spans="2:39" ht="21.95" customHeight="1" x14ac:dyDescent="0.2">
      <c r="B920" s="492"/>
      <c r="C920" s="116" t="str">
        <v>CO2</v>
      </c>
      <c r="D920" s="116"/>
      <c r="E920" s="116"/>
      <c r="F920" s="824">
        <f t="shared" si="120"/>
        <v>3434727068.0780082</v>
      </c>
      <c r="G920" s="801">
        <f t="shared" ref="G920:AH920" si="124">G892*G16</f>
        <v>0</v>
      </c>
      <c r="H920" s="801">
        <f t="shared" si="124"/>
        <v>0</v>
      </c>
      <c r="I920" s="810">
        <f t="shared" si="124"/>
        <v>54181204.789566137</v>
      </c>
      <c r="J920" s="810">
        <f t="shared" si="124"/>
        <v>57093454.669246078</v>
      </c>
      <c r="K920" s="810">
        <f t="shared" si="124"/>
        <v>61315808.8868699</v>
      </c>
      <c r="L920" s="810">
        <f t="shared" si="124"/>
        <v>67687326.603251189</v>
      </c>
      <c r="M920" s="810">
        <f t="shared" si="124"/>
        <v>74239187.663332894</v>
      </c>
      <c r="N920" s="810">
        <f t="shared" si="124"/>
        <v>80969136.905589908</v>
      </c>
      <c r="O920" s="810">
        <f t="shared" si="124"/>
        <v>87873970.780861512</v>
      </c>
      <c r="P920" s="810">
        <f t="shared" si="124"/>
        <v>96445557.579174057</v>
      </c>
      <c r="Q920" s="810">
        <f t="shared" si="124"/>
        <v>103890283.7825332</v>
      </c>
      <c r="R920" s="810">
        <f t="shared" si="124"/>
        <v>111516664.21045177</v>
      </c>
      <c r="S920" s="810">
        <f t="shared" si="124"/>
        <v>119322486.66588579</v>
      </c>
      <c r="T920" s="810">
        <f t="shared" si="124"/>
        <v>127309197.26280217</v>
      </c>
      <c r="U920" s="810">
        <f t="shared" si="124"/>
        <v>135481951.07702902</v>
      </c>
      <c r="V920" s="810">
        <f t="shared" si="124"/>
        <v>143405135.21678126</v>
      </c>
      <c r="W920" s="810">
        <f t="shared" si="124"/>
        <v>147871228.96475706</v>
      </c>
      <c r="X920" s="810">
        <f t="shared" si="124"/>
        <v>152405684.57911879</v>
      </c>
      <c r="Y920" s="810">
        <f t="shared" si="124"/>
        <v>157007728.45716909</v>
      </c>
      <c r="Z920" s="810">
        <f t="shared" si="124"/>
        <v>161678877.72596177</v>
      </c>
      <c r="AA920" s="810">
        <f t="shared" si="124"/>
        <v>168577792.93849191</v>
      </c>
      <c r="AB920" s="810">
        <f t="shared" si="124"/>
        <v>173418511.40805751</v>
      </c>
      <c r="AC920" s="810">
        <f t="shared" si="124"/>
        <v>178325690.54515693</v>
      </c>
      <c r="AD920" s="810">
        <f t="shared" si="124"/>
        <v>183300669.88492185</v>
      </c>
      <c r="AE920" s="810">
        <f t="shared" si="124"/>
        <v>188344781.0128068</v>
      </c>
      <c r="AF920" s="810">
        <f t="shared" si="124"/>
        <v>195786408.54639626</v>
      </c>
      <c r="AG920" s="810">
        <f t="shared" si="124"/>
        <v>200998377.74342501</v>
      </c>
      <c r="AH920" s="802">
        <f t="shared" si="124"/>
        <v>206279950.17837065</v>
      </c>
      <c r="AI920" s="40"/>
      <c r="AJ920" s="40"/>
      <c r="AK920" s="40"/>
      <c r="AL920" s="40"/>
      <c r="AM920" s="40"/>
    </row>
    <row r="921" spans="2:39" ht="21.95" customHeight="1" x14ac:dyDescent="0.2">
      <c r="B921" s="808" t="s">
        <v>485</v>
      </c>
      <c r="C921" s="220" t="str" cm="1">
        <f t="array" ref="C921:C924">_xlfn.ANCHORARRAY($B$13)</f>
        <v>NOx</v>
      </c>
      <c r="D921" s="220"/>
      <c r="E921" s="220"/>
      <c r="F921" s="825">
        <f t="shared" si="120"/>
        <v>105428253.27686182</v>
      </c>
      <c r="G921" s="799">
        <f t="shared" ref="G921:AH921" si="125">G893*G13</f>
        <v>0</v>
      </c>
      <c r="H921" s="799">
        <f t="shared" si="125"/>
        <v>0</v>
      </c>
      <c r="I921" s="799">
        <f t="shared" si="125"/>
        <v>2072065.8681124179</v>
      </c>
      <c r="J921" s="799">
        <f t="shared" si="125"/>
        <v>2159979.2256656885</v>
      </c>
      <c r="K921" s="799">
        <f t="shared" si="125"/>
        <v>2295461.2040259759</v>
      </c>
      <c r="L921" s="799">
        <f t="shared" si="125"/>
        <v>2508814.3170936131</v>
      </c>
      <c r="M921" s="799">
        <f t="shared" si="125"/>
        <v>2743515.1290613408</v>
      </c>
      <c r="N921" s="799">
        <f t="shared" si="125"/>
        <v>2969828.8131551761</v>
      </c>
      <c r="O921" s="799">
        <f t="shared" si="125"/>
        <v>3219309.9236369254</v>
      </c>
      <c r="P921" s="799">
        <f t="shared" si="125"/>
        <v>3458583.4772727471</v>
      </c>
      <c r="Q921" s="799">
        <f t="shared" si="125"/>
        <v>3634221.3973350213</v>
      </c>
      <c r="R921" s="799">
        <f t="shared" si="125"/>
        <v>3809036.8811585973</v>
      </c>
      <c r="S921" s="799">
        <f t="shared" si="125"/>
        <v>3990247.0150185605</v>
      </c>
      <c r="T921" s="799">
        <f t="shared" si="125"/>
        <v>4174472.1163883116</v>
      </c>
      <c r="U921" s="799">
        <f t="shared" si="125"/>
        <v>4358783.5200301958</v>
      </c>
      <c r="V921" s="799">
        <f t="shared" si="125"/>
        <v>4475085.3485946683</v>
      </c>
      <c r="W921" s="799">
        <f t="shared" si="125"/>
        <v>4548566.9708623393</v>
      </c>
      <c r="X921" s="799">
        <f t="shared" si="125"/>
        <v>4623947.3705486646</v>
      </c>
      <c r="Y921" s="799">
        <f t="shared" si="125"/>
        <v>4699327.7702349899</v>
      </c>
      <c r="Z921" s="799">
        <f t="shared" si="125"/>
        <v>4774752.8564071236</v>
      </c>
      <c r="AA921" s="799">
        <f t="shared" si="125"/>
        <v>4850133.2560934471</v>
      </c>
      <c r="AB921" s="799">
        <f t="shared" si="125"/>
        <v>4925558.4165737191</v>
      </c>
      <c r="AC921" s="799">
        <f t="shared" si="125"/>
        <v>5000938.8162600417</v>
      </c>
      <c r="AD921" s="799">
        <f t="shared" si="125"/>
        <v>5076319.215946367</v>
      </c>
      <c r="AE921" s="799">
        <f t="shared" si="125"/>
        <v>5151744.3021185035</v>
      </c>
      <c r="AF921" s="799">
        <f t="shared" si="125"/>
        <v>5227124.701804826</v>
      </c>
      <c r="AG921" s="799">
        <f t="shared" si="125"/>
        <v>5302505.1014911504</v>
      </c>
      <c r="AH921" s="800">
        <f t="shared" si="125"/>
        <v>5377930.2619714206</v>
      </c>
      <c r="AI921" s="40"/>
      <c r="AJ921" s="40"/>
      <c r="AK921" s="40"/>
      <c r="AL921" s="40"/>
      <c r="AM921" s="40"/>
    </row>
    <row r="922" spans="2:39" ht="21.95" customHeight="1" x14ac:dyDescent="0.2">
      <c r="B922" s="784"/>
      <c r="C922" s="116" t="str">
        <v>SOx</v>
      </c>
      <c r="D922" s="116"/>
      <c r="E922" s="116"/>
      <c r="F922" s="824">
        <f t="shared" si="120"/>
        <v>473155.03424683266</v>
      </c>
      <c r="G922" s="801">
        <f t="shared" ref="G922:AH922" si="126">G894*G14</f>
        <v>0</v>
      </c>
      <c r="H922" s="801">
        <f t="shared" si="126"/>
        <v>0</v>
      </c>
      <c r="I922" s="810">
        <f t="shared" si="126"/>
        <v>8731.4653758873101</v>
      </c>
      <c r="J922" s="810">
        <f t="shared" si="126"/>
        <v>9198.1173867138059</v>
      </c>
      <c r="K922" s="810">
        <f t="shared" si="126"/>
        <v>9902.9172818188053</v>
      </c>
      <c r="L922" s="810">
        <f t="shared" si="126"/>
        <v>10936.679409958229</v>
      </c>
      <c r="M922" s="810">
        <f t="shared" si="126"/>
        <v>12002.60784213521</v>
      </c>
      <c r="N922" s="810">
        <f t="shared" si="126"/>
        <v>13073.930739563069</v>
      </c>
      <c r="O922" s="810">
        <f t="shared" si="126"/>
        <v>14201.259165221134</v>
      </c>
      <c r="P922" s="810">
        <f t="shared" si="126"/>
        <v>15361.197054225779</v>
      </c>
      <c r="Q922" s="810">
        <f t="shared" si="126"/>
        <v>16213.338751766194</v>
      </c>
      <c r="R922" s="810">
        <f t="shared" si="126"/>
        <v>17062.376329601229</v>
      </c>
      <c r="S922" s="810">
        <f t="shared" si="126"/>
        <v>17935.857086766395</v>
      </c>
      <c r="T922" s="810">
        <f t="shared" si="126"/>
        <v>18820.889671844317</v>
      </c>
      <c r="U922" s="810">
        <f t="shared" si="126"/>
        <v>19706.451245415385</v>
      </c>
      <c r="V922" s="810">
        <f t="shared" si="126"/>
        <v>20254.580220358905</v>
      </c>
      <c r="W922" s="810">
        <f t="shared" si="126"/>
        <v>20590.653806911476</v>
      </c>
      <c r="X922" s="810">
        <f t="shared" si="126"/>
        <v>20934.000149482541</v>
      </c>
      <c r="Y922" s="810">
        <f t="shared" si="126"/>
        <v>21277.346492053592</v>
      </c>
      <c r="Z922" s="810">
        <f t="shared" si="126"/>
        <v>21620.914701761474</v>
      </c>
      <c r="AA922" s="810">
        <f t="shared" si="126"/>
        <v>21964.261044332525</v>
      </c>
      <c r="AB922" s="810">
        <f t="shared" si="126"/>
        <v>22307.82965192242</v>
      </c>
      <c r="AC922" s="810">
        <f t="shared" si="126"/>
        <v>22651.175994493478</v>
      </c>
      <c r="AD922" s="810">
        <f t="shared" si="126"/>
        <v>22994.522337064529</v>
      </c>
      <c r="AE922" s="810">
        <f t="shared" si="126"/>
        <v>23338.090546772408</v>
      </c>
      <c r="AF922" s="810">
        <f t="shared" si="126"/>
        <v>23681.436889343462</v>
      </c>
      <c r="AG922" s="810">
        <f t="shared" si="126"/>
        <v>24024.783231914524</v>
      </c>
      <c r="AH922" s="802">
        <f t="shared" si="126"/>
        <v>24368.351839504423</v>
      </c>
      <c r="AI922" s="40"/>
      <c r="AJ922" s="40"/>
      <c r="AK922" s="40"/>
      <c r="AL922" s="40"/>
      <c r="AM922" s="40"/>
    </row>
    <row r="923" spans="2:39" ht="21.95" customHeight="1" x14ac:dyDescent="0.2">
      <c r="B923" s="784"/>
      <c r="C923" s="116" t="str">
        <v>PM2.5</v>
      </c>
      <c r="D923" s="116"/>
      <c r="E923" s="116"/>
      <c r="F923" s="824">
        <f t="shared" si="120"/>
        <v>159896351.64515907</v>
      </c>
      <c r="G923" s="801">
        <f t="shared" ref="G923:AH923" si="127">G895*G15</f>
        <v>0</v>
      </c>
      <c r="H923" s="801">
        <f t="shared" si="127"/>
        <v>0</v>
      </c>
      <c r="I923" s="810">
        <f t="shared" si="127"/>
        <v>3135562.0253037619</v>
      </c>
      <c r="J923" s="810">
        <f t="shared" si="127"/>
        <v>3286825.8016228327</v>
      </c>
      <c r="K923" s="810">
        <f t="shared" si="127"/>
        <v>3514204.0168339913</v>
      </c>
      <c r="L923" s="810">
        <f t="shared" si="127"/>
        <v>3838363.6983400709</v>
      </c>
      <c r="M923" s="810">
        <f t="shared" si="127"/>
        <v>4171989.0460322141</v>
      </c>
      <c r="N923" s="810">
        <f t="shared" si="127"/>
        <v>4515670.7514575236</v>
      </c>
      <c r="O923" s="810">
        <f t="shared" si="127"/>
        <v>4869009.3090213276</v>
      </c>
      <c r="P923" s="810">
        <f t="shared" si="127"/>
        <v>5232579.1781912744</v>
      </c>
      <c r="Q923" s="810">
        <f t="shared" si="127"/>
        <v>5500960.5173303895</v>
      </c>
      <c r="R923" s="810">
        <f t="shared" si="127"/>
        <v>5768117.7852132535</v>
      </c>
      <c r="S923" s="810">
        <f t="shared" si="127"/>
        <v>6044803.8582883766</v>
      </c>
      <c r="T923" s="810">
        <f t="shared" si="127"/>
        <v>6325983.6044188915</v>
      </c>
      <c r="U923" s="810">
        <f t="shared" si="127"/>
        <v>6607299.2860666551</v>
      </c>
      <c r="V923" s="810">
        <f t="shared" si="127"/>
        <v>6784418.567714096</v>
      </c>
      <c r="W923" s="810">
        <f t="shared" si="127"/>
        <v>6895948.3839556072</v>
      </c>
      <c r="X923" s="810">
        <f t="shared" si="127"/>
        <v>7010308.1539758835</v>
      </c>
      <c r="Y923" s="810">
        <f t="shared" si="127"/>
        <v>7124667.9239961598</v>
      </c>
      <c r="Z923" s="810">
        <f t="shared" si="127"/>
        <v>7239096.1631184928</v>
      </c>
      <c r="AA923" s="810">
        <f t="shared" si="127"/>
        <v>7353455.9331387673</v>
      </c>
      <c r="AB923" s="810">
        <f t="shared" si="127"/>
        <v>7467884.287183064</v>
      </c>
      <c r="AC923" s="810">
        <f t="shared" si="127"/>
        <v>7582244.0572033385</v>
      </c>
      <c r="AD923" s="810">
        <f t="shared" si="127"/>
        <v>7696603.8272236157</v>
      </c>
      <c r="AE923" s="810">
        <f t="shared" si="127"/>
        <v>7811032.0663459441</v>
      </c>
      <c r="AF923" s="810">
        <f t="shared" si="127"/>
        <v>7925391.8363662213</v>
      </c>
      <c r="AG923" s="810">
        <f t="shared" si="127"/>
        <v>8039751.6063864939</v>
      </c>
      <c r="AH923" s="802">
        <f t="shared" si="127"/>
        <v>8154179.9604307925</v>
      </c>
      <c r="AI923" s="40"/>
      <c r="AJ923" s="40"/>
      <c r="AK923" s="40"/>
      <c r="AL923" s="40"/>
      <c r="AM923" s="40"/>
    </row>
    <row r="924" spans="2:39" ht="21.95" customHeight="1" x14ac:dyDescent="0.2">
      <c r="B924" s="817"/>
      <c r="C924" s="254" t="str">
        <v>CO2</v>
      </c>
      <c r="D924" s="254"/>
      <c r="E924" s="254"/>
      <c r="F924" s="826">
        <f t="shared" si="120"/>
        <v>3317469015.375947</v>
      </c>
      <c r="G924" s="827">
        <f t="shared" ref="G924:AH924" si="128">G896*G16</f>
        <v>0</v>
      </c>
      <c r="H924" s="827">
        <f t="shared" si="128"/>
        <v>0</v>
      </c>
      <c r="I924" s="827">
        <f t="shared" si="128"/>
        <v>54127813.846801341</v>
      </c>
      <c r="J924" s="827">
        <f t="shared" si="128"/>
        <v>56855057.612672746</v>
      </c>
      <c r="K924" s="827">
        <f t="shared" si="128"/>
        <v>61004402.965289034</v>
      </c>
      <c r="L924" s="827">
        <f t="shared" si="128"/>
        <v>67103400.494579509</v>
      </c>
      <c r="M924" s="827">
        <f t="shared" si="128"/>
        <v>73373580.574929789</v>
      </c>
      <c r="N924" s="827">
        <f t="shared" si="128"/>
        <v>79812789.579670548</v>
      </c>
      <c r="O924" s="827">
        <f t="shared" si="128"/>
        <v>86418368.464966342</v>
      </c>
      <c r="P924" s="827">
        <f t="shared" si="128"/>
        <v>94653963.905946344</v>
      </c>
      <c r="Q924" s="827">
        <f t="shared" si="128"/>
        <v>101350472.88388507</v>
      </c>
      <c r="R924" s="827">
        <f t="shared" si="128"/>
        <v>108185357.14498805</v>
      </c>
      <c r="S924" s="827">
        <f t="shared" si="128"/>
        <v>115341163.58132325</v>
      </c>
      <c r="T924" s="827">
        <f t="shared" si="128"/>
        <v>122737940.96862274</v>
      </c>
      <c r="U924" s="827">
        <f t="shared" si="128"/>
        <v>130303267.21063012</v>
      </c>
      <c r="V924" s="827">
        <f t="shared" si="128"/>
        <v>137723812.17852706</v>
      </c>
      <c r="W924" s="827">
        <f t="shared" si="128"/>
        <v>141948760.66958687</v>
      </c>
      <c r="X924" s="827">
        <f t="shared" si="128"/>
        <v>146289722.48529065</v>
      </c>
      <c r="Y924" s="827">
        <f t="shared" si="128"/>
        <v>150695453.4427481</v>
      </c>
      <c r="Z924" s="827">
        <f t="shared" si="128"/>
        <v>155167517.89083624</v>
      </c>
      <c r="AA924" s="827">
        <f t="shared" si="128"/>
        <v>161776870.15320051</v>
      </c>
      <c r="AB924" s="827">
        <f t="shared" si="128"/>
        <v>166410942.6666975</v>
      </c>
      <c r="AC924" s="827">
        <f t="shared" si="128"/>
        <v>171108175.96553856</v>
      </c>
      <c r="AD924" s="827">
        <f t="shared" si="128"/>
        <v>175870178.40613329</v>
      </c>
      <c r="AE924" s="827">
        <f t="shared" si="128"/>
        <v>180698637.83858585</v>
      </c>
      <c r="AF924" s="827">
        <f t="shared" si="128"/>
        <v>187826225.64196348</v>
      </c>
      <c r="AG924" s="827">
        <f t="shared" si="128"/>
        <v>192814940.66223416</v>
      </c>
      <c r="AH924" s="828">
        <f t="shared" si="128"/>
        <v>197870198.14029989</v>
      </c>
      <c r="AI924" s="40"/>
      <c r="AJ924" s="40"/>
      <c r="AK924" s="40"/>
      <c r="AL924" s="40"/>
      <c r="AM924" s="40"/>
    </row>
    <row r="925" spans="2:39" ht="21.95" customHeight="1" x14ac:dyDescent="0.2">
      <c r="B925" s="784" t="s">
        <v>486</v>
      </c>
      <c r="C925" s="116" t="str" cm="1">
        <f t="array" ref="C925:C928">_xlfn.ANCHORARRAY($B$13)</f>
        <v>NOx</v>
      </c>
      <c r="D925" s="116"/>
      <c r="E925" s="116"/>
      <c r="F925" s="824">
        <f t="shared" si="120"/>
        <v>104607928.2838629</v>
      </c>
      <c r="G925" s="801">
        <f t="shared" ref="G925:AH925" si="129">G897*G13</f>
        <v>0</v>
      </c>
      <c r="H925" s="801">
        <f t="shared" si="129"/>
        <v>0</v>
      </c>
      <c r="I925" s="810">
        <f t="shared" si="129"/>
        <v>2072065.8681124179</v>
      </c>
      <c r="J925" s="810">
        <f t="shared" si="129"/>
        <v>2177183.2996065412</v>
      </c>
      <c r="K925" s="810">
        <f t="shared" si="129"/>
        <v>2313031.950220482</v>
      </c>
      <c r="L925" s="810">
        <f t="shared" si="129"/>
        <v>2525602.5159887038</v>
      </c>
      <c r="M925" s="810">
        <f t="shared" si="129"/>
        <v>2759573.6997299027</v>
      </c>
      <c r="N925" s="810">
        <f t="shared" si="129"/>
        <v>2985021.0542182787</v>
      </c>
      <c r="O925" s="810">
        <f t="shared" si="129"/>
        <v>3233678.5940090236</v>
      </c>
      <c r="P925" s="810">
        <f t="shared" si="129"/>
        <v>3472007.5529644866</v>
      </c>
      <c r="Q925" s="810">
        <f t="shared" si="129"/>
        <v>3641748.9132608701</v>
      </c>
      <c r="R925" s="810">
        <f t="shared" si="129"/>
        <v>3810882.541704379</v>
      </c>
      <c r="S925" s="810">
        <f t="shared" si="129"/>
        <v>3979980.7984431251</v>
      </c>
      <c r="T925" s="810">
        <f t="shared" si="129"/>
        <v>4149078.2907988741</v>
      </c>
      <c r="U925" s="810">
        <f t="shared" si="129"/>
        <v>4318343.2188567892</v>
      </c>
      <c r="V925" s="810">
        <f t="shared" si="129"/>
        <v>4423189.5009709271</v>
      </c>
      <c r="W925" s="810">
        <f t="shared" si="129"/>
        <v>4492734.2267056499</v>
      </c>
      <c r="X925" s="810">
        <f t="shared" si="129"/>
        <v>4564359.7059425646</v>
      </c>
      <c r="Y925" s="810">
        <f t="shared" si="129"/>
        <v>4635985.1851794813</v>
      </c>
      <c r="Z925" s="810">
        <f t="shared" si="129"/>
        <v>4707655.0634155571</v>
      </c>
      <c r="AA925" s="810">
        <f t="shared" si="129"/>
        <v>4781932.9394947197</v>
      </c>
      <c r="AB925" s="810">
        <f t="shared" si="129"/>
        <v>4856612.1591918403</v>
      </c>
      <c r="AC925" s="810">
        <f t="shared" si="129"/>
        <v>4931248.5903675025</v>
      </c>
      <c r="AD925" s="810">
        <f t="shared" si="129"/>
        <v>5005885.0215431666</v>
      </c>
      <c r="AE925" s="810">
        <f t="shared" si="129"/>
        <v>5080566.5543905552</v>
      </c>
      <c r="AF925" s="810">
        <f t="shared" si="129"/>
        <v>5155202.9855662175</v>
      </c>
      <c r="AG925" s="810">
        <f t="shared" si="129"/>
        <v>5229839.4167418806</v>
      </c>
      <c r="AH925" s="802">
        <f t="shared" si="129"/>
        <v>5304518.6364390003</v>
      </c>
      <c r="AI925" s="40"/>
      <c r="AJ925" s="40"/>
      <c r="AK925" s="40"/>
      <c r="AL925" s="40"/>
      <c r="AM925" s="40"/>
    </row>
    <row r="926" spans="2:39" ht="21.95" customHeight="1" x14ac:dyDescent="0.2">
      <c r="B926" s="784"/>
      <c r="C926" s="116" t="str">
        <v>SOx</v>
      </c>
      <c r="D926" s="116"/>
      <c r="E926" s="116"/>
      <c r="F926" s="824">
        <f t="shared" si="120"/>
        <v>469820.86285549845</v>
      </c>
      <c r="G926" s="801">
        <f t="shared" ref="G926:AH926" si="130">G898*G14</f>
        <v>0</v>
      </c>
      <c r="H926" s="801">
        <f t="shared" si="130"/>
        <v>0</v>
      </c>
      <c r="I926" s="810">
        <f t="shared" si="130"/>
        <v>8731.4653758873101</v>
      </c>
      <c r="J926" s="810">
        <f t="shared" si="130"/>
        <v>9290.2445389393015</v>
      </c>
      <c r="K926" s="810">
        <f t="shared" si="130"/>
        <v>9998.0296295456774</v>
      </c>
      <c r="L926" s="810">
        <f t="shared" si="130"/>
        <v>11028.053822456801</v>
      </c>
      <c r="M926" s="810">
        <f t="shared" si="130"/>
        <v>12090.037765689323</v>
      </c>
      <c r="N926" s="810">
        <f t="shared" si="130"/>
        <v>13157.020389710455</v>
      </c>
      <c r="O926" s="810">
        <f t="shared" si="130"/>
        <v>14279.993820982836</v>
      </c>
      <c r="P926" s="810">
        <f t="shared" si="130"/>
        <v>15435.366087827191</v>
      </c>
      <c r="Q926" s="810">
        <f t="shared" si="130"/>
        <v>16256.261866637318</v>
      </c>
      <c r="R926" s="810">
        <f t="shared" si="130"/>
        <v>17074.876017714934</v>
      </c>
      <c r="S926" s="810">
        <f t="shared" si="130"/>
        <v>17893.309726496744</v>
      </c>
      <c r="T926" s="810">
        <f t="shared" si="130"/>
        <v>18711.739342398931</v>
      </c>
      <c r="U926" s="810">
        <f t="shared" si="130"/>
        <v>19531.005409055291</v>
      </c>
      <c r="V926" s="810">
        <f t="shared" si="130"/>
        <v>20028.638850621774</v>
      </c>
      <c r="W926" s="810">
        <f t="shared" si="130"/>
        <v>20349.617992337091</v>
      </c>
      <c r="X926" s="810">
        <f t="shared" si="130"/>
        <v>20678.566900496535</v>
      </c>
      <c r="Y926" s="810">
        <f t="shared" si="130"/>
        <v>21007.515808655975</v>
      </c>
      <c r="Z926" s="810">
        <f t="shared" si="130"/>
        <v>21336.686376753642</v>
      </c>
      <c r="AA926" s="810">
        <f t="shared" si="130"/>
        <v>21675.794577365337</v>
      </c>
      <c r="AB926" s="810">
        <f t="shared" si="130"/>
        <v>22016.488092402531</v>
      </c>
      <c r="AC926" s="810">
        <f t="shared" si="130"/>
        <v>22356.969641838798</v>
      </c>
      <c r="AD926" s="810">
        <f t="shared" si="130"/>
        <v>22697.451191275064</v>
      </c>
      <c r="AE926" s="810">
        <f t="shared" si="130"/>
        <v>23038.15709204775</v>
      </c>
      <c r="AF926" s="810">
        <f t="shared" si="130"/>
        <v>23378.638641484016</v>
      </c>
      <c r="AG926" s="810">
        <f t="shared" si="130"/>
        <v>23719.120190920286</v>
      </c>
      <c r="AH926" s="802">
        <f t="shared" si="130"/>
        <v>24059.813705957484</v>
      </c>
      <c r="AI926" s="40"/>
      <c r="AJ926" s="40"/>
      <c r="AK926" s="40"/>
      <c r="AL926" s="40"/>
      <c r="AM926" s="40"/>
    </row>
    <row r="927" spans="2:39" ht="21.95" customHeight="1" x14ac:dyDescent="0.2">
      <c r="B927" s="784"/>
      <c r="C927" s="116" t="str">
        <v>PM2.5</v>
      </c>
      <c r="D927" s="116"/>
      <c r="E927" s="116"/>
      <c r="F927" s="824">
        <f t="shared" si="120"/>
        <v>158667995.24794385</v>
      </c>
      <c r="G927" s="801">
        <f t="shared" ref="G927:AH927" si="131">G899*G15</f>
        <v>0</v>
      </c>
      <c r="H927" s="801">
        <f t="shared" si="131"/>
        <v>0</v>
      </c>
      <c r="I927" s="810">
        <f t="shared" si="131"/>
        <v>3135562.0253037619</v>
      </c>
      <c r="J927" s="810">
        <f t="shared" si="131"/>
        <v>3313709.1854698886</v>
      </c>
      <c r="K927" s="810">
        <f t="shared" si="131"/>
        <v>3541822.8033835073</v>
      </c>
      <c r="L927" s="810">
        <f t="shared" si="131"/>
        <v>3864723.9896286307</v>
      </c>
      <c r="M927" s="810">
        <f t="shared" si="131"/>
        <v>4197044.5259298151</v>
      </c>
      <c r="N927" s="810">
        <f t="shared" si="131"/>
        <v>4539370.4119223068</v>
      </c>
      <c r="O927" s="810">
        <f t="shared" si="131"/>
        <v>4891307.625634416</v>
      </c>
      <c r="P927" s="810">
        <f t="shared" si="131"/>
        <v>5253424.6715962244</v>
      </c>
      <c r="Q927" s="810">
        <f t="shared" si="131"/>
        <v>5512698.680561047</v>
      </c>
      <c r="R927" s="810">
        <f t="shared" si="131"/>
        <v>5771068.6200754764</v>
      </c>
      <c r="S927" s="810">
        <f t="shared" si="131"/>
        <v>6029384.1850291211</v>
      </c>
      <c r="T927" s="810">
        <f t="shared" si="131"/>
        <v>6287698.5678188475</v>
      </c>
      <c r="U927" s="810">
        <f t="shared" si="131"/>
        <v>6546269.6865946297</v>
      </c>
      <c r="V927" s="810">
        <f t="shared" si="131"/>
        <v>6706071.7235267162</v>
      </c>
      <c r="W927" s="810">
        <f t="shared" si="131"/>
        <v>6811733.3954273276</v>
      </c>
      <c r="X927" s="810">
        <f t="shared" si="131"/>
        <v>6920496.239786786</v>
      </c>
      <c r="Y927" s="810">
        <f t="shared" si="131"/>
        <v>7029259.0841462417</v>
      </c>
      <c r="Z927" s="810">
        <f t="shared" si="131"/>
        <v>7138090.0020666802</v>
      </c>
      <c r="AA927" s="810">
        <f t="shared" si="131"/>
        <v>7250806.0009100474</v>
      </c>
      <c r="AB927" s="810">
        <f t="shared" si="131"/>
        <v>7364121.936679502</v>
      </c>
      <c r="AC927" s="810">
        <f t="shared" si="131"/>
        <v>7477372.3290438093</v>
      </c>
      <c r="AD927" s="810">
        <f t="shared" si="131"/>
        <v>7590622.7214081176</v>
      </c>
      <c r="AE927" s="810">
        <f t="shared" si="131"/>
        <v>7703942.234602483</v>
      </c>
      <c r="AF927" s="810">
        <f t="shared" si="131"/>
        <v>7817192.6269667912</v>
      </c>
      <c r="AG927" s="810">
        <f t="shared" si="131"/>
        <v>7930443.0193310967</v>
      </c>
      <c r="AH927" s="802">
        <f t="shared" si="131"/>
        <v>8043758.9551005531</v>
      </c>
      <c r="AI927" s="40"/>
      <c r="AJ927" s="40"/>
      <c r="AK927" s="40"/>
      <c r="AL927" s="40"/>
      <c r="AM927" s="40"/>
    </row>
    <row r="928" spans="2:39" ht="21.95" customHeight="1" thickBot="1" x14ac:dyDescent="0.25">
      <c r="B928" s="788"/>
      <c r="C928" s="278" t="str">
        <v>CO2</v>
      </c>
      <c r="D928" s="278"/>
      <c r="E928" s="278"/>
      <c r="F928" s="829">
        <f t="shared" si="120"/>
        <v>3291391559.3078017</v>
      </c>
      <c r="G928" s="830">
        <f t="shared" ref="G928:AH928" si="132">G900*G16</f>
        <v>0</v>
      </c>
      <c r="H928" s="830">
        <f t="shared" si="132"/>
        <v>0</v>
      </c>
      <c r="I928" s="830">
        <f t="shared" si="132"/>
        <v>54127813.846801341</v>
      </c>
      <c r="J928" s="830">
        <f t="shared" si="132"/>
        <v>57400154.675391778</v>
      </c>
      <c r="K928" s="830">
        <f t="shared" si="132"/>
        <v>61565576.662208997</v>
      </c>
      <c r="L928" s="830">
        <f t="shared" si="132"/>
        <v>67640986.304853812</v>
      </c>
      <c r="M928" s="830">
        <f t="shared" si="132"/>
        <v>73886492.455935165</v>
      </c>
      <c r="N928" s="830">
        <f t="shared" si="132"/>
        <v>80299815.944525957</v>
      </c>
      <c r="O928" s="830">
        <f t="shared" si="132"/>
        <v>86878495.823271647</v>
      </c>
      <c r="P928" s="830">
        <f t="shared" si="132"/>
        <v>95092834.131545618</v>
      </c>
      <c r="Q928" s="830">
        <f t="shared" si="132"/>
        <v>101607005.6710439</v>
      </c>
      <c r="R928" s="830">
        <f t="shared" si="132"/>
        <v>108259215.19420838</v>
      </c>
      <c r="S928" s="830">
        <f t="shared" si="132"/>
        <v>115062910.19530617</v>
      </c>
      <c r="T928" s="830">
        <f t="shared" si="132"/>
        <v>122019164.22600512</v>
      </c>
      <c r="U928" s="830">
        <f t="shared" si="132"/>
        <v>129133428.2803648</v>
      </c>
      <c r="V928" s="830">
        <f t="shared" si="132"/>
        <v>136175362.60018399</v>
      </c>
      <c r="W928" s="830">
        <f t="shared" si="132"/>
        <v>140270996.2415894</v>
      </c>
      <c r="X928" s="830">
        <f t="shared" si="132"/>
        <v>144484737.13698503</v>
      </c>
      <c r="Y928" s="830">
        <f t="shared" si="132"/>
        <v>148760429.93505457</v>
      </c>
      <c r="Z928" s="830">
        <f t="shared" si="132"/>
        <v>153099635.93127257</v>
      </c>
      <c r="AA928" s="830">
        <f t="shared" si="132"/>
        <v>159622246.01627737</v>
      </c>
      <c r="AB928" s="830">
        <f t="shared" si="132"/>
        <v>164206499.17025656</v>
      </c>
      <c r="AC928" s="830">
        <f t="shared" si="132"/>
        <v>168853426.93107557</v>
      </c>
      <c r="AD928" s="830">
        <f t="shared" si="132"/>
        <v>173564563.8038992</v>
      </c>
      <c r="AE928" s="830">
        <f t="shared" si="132"/>
        <v>178341615.94193983</v>
      </c>
      <c r="AF928" s="830">
        <f t="shared" si="132"/>
        <v>185388194.15691087</v>
      </c>
      <c r="AG928" s="830">
        <f t="shared" si="132"/>
        <v>190324083.72849694</v>
      </c>
      <c r="AH928" s="831">
        <f t="shared" si="132"/>
        <v>195325874.30239746</v>
      </c>
      <c r="AI928" s="40"/>
      <c r="AJ928" s="40"/>
      <c r="AK928" s="40"/>
      <c r="AL928" s="40"/>
      <c r="AM928" s="40"/>
    </row>
    <row r="929" spans="2:39" ht="21.95" customHeight="1" x14ac:dyDescent="0.2">
      <c r="F929"/>
      <c r="G929" s="24"/>
      <c r="H929" s="24"/>
      <c r="I929" s="39"/>
      <c r="J929" s="39"/>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row>
    <row r="930" spans="2:39" ht="21.95" customHeight="1" x14ac:dyDescent="0.2">
      <c r="F930"/>
      <c r="G930" s="24"/>
      <c r="H930" s="24"/>
      <c r="I930" s="39"/>
      <c r="J930" s="39"/>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row>
    <row r="931" spans="2:39" ht="21.95" customHeight="1" thickBot="1" x14ac:dyDescent="0.25">
      <c r="B931" s="796" t="s">
        <v>501</v>
      </c>
      <c r="AI931" s="40"/>
      <c r="AJ931" s="40"/>
      <c r="AK931" s="40"/>
      <c r="AL931" s="40"/>
      <c r="AM931" s="40"/>
    </row>
    <row r="932" spans="2:39" ht="21.95" customHeight="1" x14ac:dyDescent="0.2">
      <c r="B932" s="573" t="s">
        <v>502</v>
      </c>
      <c r="C932" s="482" t="s">
        <v>42</v>
      </c>
      <c r="D932" s="482"/>
      <c r="E932" s="482"/>
      <c r="F932" s="494" t="s">
        <v>133</v>
      </c>
      <c r="G932" s="482" cm="1">
        <f t="array" ref="G932:AH932">year</f>
        <v>2021</v>
      </c>
      <c r="H932" s="482">
        <v>2022</v>
      </c>
      <c r="I932" s="759">
        <v>2023</v>
      </c>
      <c r="J932" s="759">
        <v>2024</v>
      </c>
      <c r="K932" s="759">
        <v>2025</v>
      </c>
      <c r="L932" s="759">
        <v>2026</v>
      </c>
      <c r="M932" s="759">
        <v>2027</v>
      </c>
      <c r="N932" s="759">
        <v>2028</v>
      </c>
      <c r="O932" s="759">
        <v>2029</v>
      </c>
      <c r="P932" s="759">
        <v>2030</v>
      </c>
      <c r="Q932" s="759">
        <v>2031</v>
      </c>
      <c r="R932" s="759">
        <v>2032</v>
      </c>
      <c r="S932" s="759">
        <v>2033</v>
      </c>
      <c r="T932" s="759">
        <v>2034</v>
      </c>
      <c r="U932" s="759">
        <v>2035</v>
      </c>
      <c r="V932" s="759">
        <v>2036</v>
      </c>
      <c r="W932" s="759">
        <v>2037</v>
      </c>
      <c r="X932" s="759">
        <v>2038</v>
      </c>
      <c r="Y932" s="759">
        <v>2039</v>
      </c>
      <c r="Z932" s="759">
        <v>2040</v>
      </c>
      <c r="AA932" s="759">
        <v>2041</v>
      </c>
      <c r="AB932" s="759">
        <v>2042</v>
      </c>
      <c r="AC932" s="759">
        <v>2043</v>
      </c>
      <c r="AD932" s="759">
        <v>2044</v>
      </c>
      <c r="AE932" s="759">
        <v>2045</v>
      </c>
      <c r="AF932" s="759">
        <v>2046</v>
      </c>
      <c r="AG932" s="759">
        <v>2047</v>
      </c>
      <c r="AH932" s="833">
        <v>2048</v>
      </c>
      <c r="AI932" s="250"/>
      <c r="AJ932" s="250"/>
      <c r="AK932" s="250"/>
      <c r="AL932" s="250"/>
      <c r="AM932" s="250"/>
    </row>
    <row r="933" spans="2:39" s="1" customFormat="1" ht="21.95" customHeight="1" x14ac:dyDescent="0.2">
      <c r="B933" s="808" t="s">
        <v>485</v>
      </c>
      <c r="C933" s="220" t="str" cm="1">
        <f t="array" ref="C933:C936">_xlfn.ANCHORARRAY($B$13)</f>
        <v>NOx</v>
      </c>
      <c r="D933" s="220"/>
      <c r="E933" s="220"/>
      <c r="F933" s="825" cm="1">
        <f t="array" ref="F933">SUM(G933:AH933*discountAnnual)</f>
        <v>1324546.7678849238</v>
      </c>
      <c r="G933" s="799">
        <f t="shared" ref="G933:H936" si="133">G917-G921</f>
        <v>0</v>
      </c>
      <c r="H933" s="799">
        <f t="shared" si="133"/>
        <v>0</v>
      </c>
      <c r="I933" s="799">
        <f t="shared" ref="I933:AH933" si="134">I917-I921</f>
        <v>1698.9591460803058</v>
      </c>
      <c r="J933" s="799">
        <f t="shared" si="134"/>
        <v>9134.3761697378941</v>
      </c>
      <c r="K933" s="799">
        <f t="shared" si="134"/>
        <v>17750.418314902578</v>
      </c>
      <c r="L933" s="799">
        <f t="shared" si="134"/>
        <v>32983.666764286812</v>
      </c>
      <c r="M933" s="799">
        <f t="shared" si="134"/>
        <v>49018.482026646379</v>
      </c>
      <c r="N933" s="799">
        <f t="shared" si="134"/>
        <v>65374.669739593286</v>
      </c>
      <c r="O933" s="799">
        <f t="shared" si="134"/>
        <v>82673.181680325419</v>
      </c>
      <c r="P933" s="799">
        <f t="shared" si="134"/>
        <v>100140.32360770181</v>
      </c>
      <c r="Q933" s="799">
        <f t="shared" si="134"/>
        <v>124317.6614462263</v>
      </c>
      <c r="R933" s="799">
        <f t="shared" si="134"/>
        <v>149350.49903367506</v>
      </c>
      <c r="S933" s="799">
        <f t="shared" si="134"/>
        <v>167949.96472172067</v>
      </c>
      <c r="T933" s="799">
        <f t="shared" si="134"/>
        <v>183542.73311041016</v>
      </c>
      <c r="U933" s="799">
        <f t="shared" si="134"/>
        <v>199213.82542364951</v>
      </c>
      <c r="V933" s="799">
        <f t="shared" si="134"/>
        <v>209626.5082607381</v>
      </c>
      <c r="W933" s="799">
        <f t="shared" si="134"/>
        <v>214898.28361880966</v>
      </c>
      <c r="X933" s="799">
        <f t="shared" si="134"/>
        <v>218291.29167569615</v>
      </c>
      <c r="Y933" s="799">
        <f t="shared" si="134"/>
        <v>221676.55422371533</v>
      </c>
      <c r="Z933" s="799">
        <f t="shared" si="134"/>
        <v>225053.91403785255</v>
      </c>
      <c r="AA933" s="799">
        <f t="shared" si="134"/>
        <v>228439.17658587359</v>
      </c>
      <c r="AB933" s="799">
        <f t="shared" si="134"/>
        <v>231816.46209187433</v>
      </c>
      <c r="AC933" s="799">
        <f t="shared" si="134"/>
        <v>235201.7246398963</v>
      </c>
      <c r="AD933" s="799">
        <f t="shared" si="134"/>
        <v>238586.98718791455</v>
      </c>
      <c r="AE933" s="799">
        <f t="shared" si="134"/>
        <v>241962.43975995947</v>
      </c>
      <c r="AF933" s="799">
        <f t="shared" si="134"/>
        <v>245355.44781684689</v>
      </c>
      <c r="AG933" s="799">
        <f t="shared" si="134"/>
        <v>248730.3529983582</v>
      </c>
      <c r="AH933" s="800">
        <f t="shared" si="134"/>
        <v>252107.63850436173</v>
      </c>
      <c r="AI933" s="25"/>
      <c r="AJ933" s="25"/>
      <c r="AK933" s="25"/>
      <c r="AL933" s="25"/>
      <c r="AM933" s="25"/>
    </row>
    <row r="934" spans="2:39" s="1" customFormat="1" ht="21.95" customHeight="1" x14ac:dyDescent="0.2">
      <c r="B934" s="784"/>
      <c r="C934" s="116" t="str">
        <v>SOx</v>
      </c>
      <c r="D934" s="116"/>
      <c r="E934" s="116"/>
      <c r="F934" s="824" cm="1">
        <f t="array" ref="F934">SUM(G934:AH934*discountAnnual)</f>
        <v>4726.5604418760668</v>
      </c>
      <c r="G934" s="801">
        <f t="shared" si="133"/>
        <v>0</v>
      </c>
      <c r="H934" s="801">
        <f t="shared" si="133"/>
        <v>0</v>
      </c>
      <c r="I934" s="810">
        <f t="shared" ref="I934:AH934" si="135">I918-I922</f>
        <v>8.99730802600061</v>
      </c>
      <c r="J934" s="810">
        <f t="shared" si="135"/>
        <v>38.481256376424426</v>
      </c>
      <c r="K934" s="810">
        <f t="shared" si="135"/>
        <v>43.715807770531683</v>
      </c>
      <c r="L934" s="810">
        <f t="shared" si="135"/>
        <v>82.512875316719146</v>
      </c>
      <c r="M934" s="810">
        <f t="shared" si="135"/>
        <v>122.77310451837184</v>
      </c>
      <c r="N934" s="810">
        <f t="shared" si="135"/>
        <v>164.16447121940837</v>
      </c>
      <c r="O934" s="810">
        <f t="shared" si="135"/>
        <v>207.17212164878219</v>
      </c>
      <c r="P934" s="810">
        <f t="shared" si="135"/>
        <v>251.64576491966181</v>
      </c>
      <c r="Q934" s="810">
        <f t="shared" si="135"/>
        <v>368.80746540811742</v>
      </c>
      <c r="R934" s="810">
        <f t="shared" si="135"/>
        <v>489.23725378429663</v>
      </c>
      <c r="S934" s="810">
        <f t="shared" si="135"/>
        <v>585.02959706557158</v>
      </c>
      <c r="T934" s="810">
        <f t="shared" si="135"/>
        <v>669.31041403446579</v>
      </c>
      <c r="U934" s="810">
        <f t="shared" si="135"/>
        <v>753.89818908332018</v>
      </c>
      <c r="V934" s="810">
        <f t="shared" si="135"/>
        <v>807.31330239574163</v>
      </c>
      <c r="W934" s="810">
        <f t="shared" si="135"/>
        <v>830.76464715851398</v>
      </c>
      <c r="X934" s="810">
        <f t="shared" si="135"/>
        <v>847.02278640115765</v>
      </c>
      <c r="Y934" s="810">
        <f t="shared" si="135"/>
        <v>863.25125855610167</v>
      </c>
      <c r="Z934" s="810">
        <f t="shared" si="135"/>
        <v>879.44353819047683</v>
      </c>
      <c r="AA934" s="810">
        <f t="shared" si="135"/>
        <v>895.67201034541358</v>
      </c>
      <c r="AB934" s="810">
        <f t="shared" si="135"/>
        <v>911.86389209778281</v>
      </c>
      <c r="AC934" s="810">
        <f t="shared" si="135"/>
        <v>928.0923642527232</v>
      </c>
      <c r="AD934" s="810">
        <f t="shared" si="135"/>
        <v>944.32083640767087</v>
      </c>
      <c r="AE934" s="810">
        <f t="shared" si="135"/>
        <v>960.50290373705502</v>
      </c>
      <c r="AF934" s="810">
        <f t="shared" si="135"/>
        <v>976.76104297971324</v>
      </c>
      <c r="AG934" s="810">
        <f t="shared" si="135"/>
        <v>992.94984402897899</v>
      </c>
      <c r="AH934" s="802">
        <f t="shared" si="135"/>
        <v>1009.1417257813337</v>
      </c>
      <c r="AI934" s="25"/>
      <c r="AJ934" s="25"/>
      <c r="AK934" s="25"/>
      <c r="AL934" s="25"/>
      <c r="AM934" s="25"/>
    </row>
    <row r="935" spans="2:39" ht="21.95" customHeight="1" x14ac:dyDescent="0.2">
      <c r="B935" s="784"/>
      <c r="C935" s="116" t="str">
        <v>PM2.5</v>
      </c>
      <c r="D935" s="116"/>
      <c r="E935" s="116"/>
      <c r="F935" s="824" cm="1">
        <f t="array" ref="F935">SUM(G935:AH935*discountAnnual)</f>
        <v>1962929.8791722436</v>
      </c>
      <c r="G935" s="801">
        <f t="shared" si="133"/>
        <v>0</v>
      </c>
      <c r="H935" s="801">
        <f t="shared" si="133"/>
        <v>0</v>
      </c>
      <c r="I935" s="810">
        <f t="shared" ref="I935:AH935" si="136">I919-I923</f>
        <v>2639.7370641003363</v>
      </c>
      <c r="J935" s="810">
        <f t="shared" si="136"/>
        <v>13884.16178177949</v>
      </c>
      <c r="K935" s="810">
        <f t="shared" si="136"/>
        <v>25950.978921073489</v>
      </c>
      <c r="L935" s="810">
        <f t="shared" si="136"/>
        <v>48189.063432696741</v>
      </c>
      <c r="M935" s="810">
        <f t="shared" si="136"/>
        <v>71148.126794674899</v>
      </c>
      <c r="N935" s="810">
        <f t="shared" si="136"/>
        <v>94829.856222641654</v>
      </c>
      <c r="O935" s="810">
        <f t="shared" si="136"/>
        <v>119224.0511787273</v>
      </c>
      <c r="P935" s="810">
        <f t="shared" si="136"/>
        <v>144390.43932404276</v>
      </c>
      <c r="Q935" s="810">
        <f t="shared" si="136"/>
        <v>181329.18516090047</v>
      </c>
      <c r="R935" s="810">
        <f t="shared" si="136"/>
        <v>219542.65546714049</v>
      </c>
      <c r="S935" s="810">
        <f t="shared" si="136"/>
        <v>248167.91638777684</v>
      </c>
      <c r="T935" s="810">
        <f t="shared" si="136"/>
        <v>272312.14796775579</v>
      </c>
      <c r="U935" s="810">
        <f t="shared" si="136"/>
        <v>296573.37055346183</v>
      </c>
      <c r="V935" s="810">
        <f t="shared" si="136"/>
        <v>312591.02329300717</v>
      </c>
      <c r="W935" s="810">
        <f t="shared" si="136"/>
        <v>320568.18640254065</v>
      </c>
      <c r="X935" s="810">
        <f t="shared" si="136"/>
        <v>325745.32607418858</v>
      </c>
      <c r="Y935" s="810">
        <f t="shared" si="136"/>
        <v>330910.92177450471</v>
      </c>
      <c r="Z935" s="810">
        <f t="shared" si="136"/>
        <v>336064.52097152453</v>
      </c>
      <c r="AA935" s="810">
        <f t="shared" si="136"/>
        <v>341230.11667184066</v>
      </c>
      <c r="AB935" s="810">
        <f t="shared" si="136"/>
        <v>346383.60094689764</v>
      </c>
      <c r="AC935" s="810">
        <f t="shared" si="136"/>
        <v>351549.19664721563</v>
      </c>
      <c r="AD935" s="810">
        <f t="shared" si="136"/>
        <v>356714.79234752897</v>
      </c>
      <c r="AE935" s="810">
        <f t="shared" si="136"/>
        <v>361865.44188085664</v>
      </c>
      <c r="AF935" s="810">
        <f t="shared" si="136"/>
        <v>367042.58155250549</v>
      </c>
      <c r="AG935" s="810">
        <f t="shared" si="136"/>
        <v>372192.7405469697</v>
      </c>
      <c r="AH935" s="802">
        <f t="shared" si="136"/>
        <v>377346.22482202668</v>
      </c>
    </row>
    <row r="936" spans="2:39" ht="21.95" customHeight="1" x14ac:dyDescent="0.2">
      <c r="B936" s="817"/>
      <c r="C936" s="254" t="str">
        <v>CO2</v>
      </c>
      <c r="D936" s="254"/>
      <c r="E936" s="254"/>
      <c r="F936" s="826" cm="1">
        <f t="array" ref="F936">SUM(G936:AH936*discountAnnualCO2)</f>
        <v>67528279.347793669</v>
      </c>
      <c r="G936" s="827">
        <f t="shared" si="133"/>
        <v>0</v>
      </c>
      <c r="H936" s="827">
        <f t="shared" si="133"/>
        <v>0</v>
      </c>
      <c r="I936" s="827">
        <f t="shared" ref="I936:AH936" si="137">I920-I924</f>
        <v>53390.942764796317</v>
      </c>
      <c r="J936" s="827">
        <f t="shared" si="137"/>
        <v>238397.05657333136</v>
      </c>
      <c r="K936" s="827">
        <f t="shared" si="137"/>
        <v>311405.92158086598</v>
      </c>
      <c r="L936" s="827">
        <f t="shared" si="137"/>
        <v>583926.10867168009</v>
      </c>
      <c r="M936" s="827">
        <f t="shared" si="137"/>
        <v>865607.08840310574</v>
      </c>
      <c r="N936" s="827">
        <f t="shared" si="137"/>
        <v>1156347.3259193599</v>
      </c>
      <c r="O936" s="827">
        <f t="shared" si="137"/>
        <v>1455602.31589517</v>
      </c>
      <c r="P936" s="827">
        <f t="shared" si="137"/>
        <v>1791593.6732277125</v>
      </c>
      <c r="Q936" s="827">
        <f t="shared" si="137"/>
        <v>2539810.8986481279</v>
      </c>
      <c r="R936" s="827">
        <f t="shared" si="137"/>
        <v>3331307.0654637218</v>
      </c>
      <c r="S936" s="827">
        <f t="shared" si="137"/>
        <v>3981323.0845625401</v>
      </c>
      <c r="T936" s="827">
        <f t="shared" si="137"/>
        <v>4571256.2941794246</v>
      </c>
      <c r="U936" s="827">
        <f t="shared" si="137"/>
        <v>5178683.8663989007</v>
      </c>
      <c r="V936" s="827">
        <f t="shared" si="137"/>
        <v>5681323.0382542014</v>
      </c>
      <c r="W936" s="827">
        <f t="shared" si="137"/>
        <v>5922468.295170188</v>
      </c>
      <c r="X936" s="827">
        <f t="shared" si="137"/>
        <v>6115962.0938281417</v>
      </c>
      <c r="Y936" s="827">
        <f t="shared" si="137"/>
        <v>6312275.0144209862</v>
      </c>
      <c r="Z936" s="827">
        <f t="shared" si="137"/>
        <v>6511359.8351255357</v>
      </c>
      <c r="AA936" s="827">
        <f t="shared" si="137"/>
        <v>6800922.7852914035</v>
      </c>
      <c r="AB936" s="827">
        <f t="shared" si="137"/>
        <v>7007568.7413600087</v>
      </c>
      <c r="AC936" s="827">
        <f t="shared" si="137"/>
        <v>7217514.5796183646</v>
      </c>
      <c r="AD936" s="827">
        <f t="shared" si="137"/>
        <v>7430491.4787885547</v>
      </c>
      <c r="AE936" s="827">
        <f t="shared" si="137"/>
        <v>7646143.1742209494</v>
      </c>
      <c r="AF936" s="827">
        <f t="shared" si="137"/>
        <v>7960182.9044327736</v>
      </c>
      <c r="AG936" s="827">
        <f t="shared" si="137"/>
        <v>8183437.0811908543</v>
      </c>
      <c r="AH936" s="828">
        <f t="shared" si="137"/>
        <v>8409752.0380707681</v>
      </c>
      <c r="AI936" s="40"/>
      <c r="AJ936" s="40"/>
      <c r="AK936" s="40"/>
      <c r="AL936" s="40"/>
      <c r="AM936" s="40"/>
    </row>
    <row r="937" spans="2:39" ht="21.95" customHeight="1" x14ac:dyDescent="0.2">
      <c r="B937" s="784" t="s">
        <v>486</v>
      </c>
      <c r="C937" s="116" t="str" cm="1">
        <f t="array" ref="C937:C940">_xlfn.ANCHORARRAY($B$13)</f>
        <v>NOx</v>
      </c>
      <c r="D937" s="116"/>
      <c r="E937" s="116"/>
      <c r="F937" s="824" cm="1">
        <f t="array" ref="F937">SUM(G937:AH937*discountAnnual)</f>
        <v>1485732.7182121829</v>
      </c>
      <c r="G937" s="801">
        <f t="shared" ref="G937:H940" si="138">G917-G925</f>
        <v>0</v>
      </c>
      <c r="H937" s="801">
        <f t="shared" si="138"/>
        <v>0</v>
      </c>
      <c r="I937" s="810">
        <f t="shared" ref="I937:AH937" si="139">I917-I925</f>
        <v>1698.9591460803058</v>
      </c>
      <c r="J937" s="810">
        <f t="shared" si="139"/>
        <v>-8069.6977711147629</v>
      </c>
      <c r="K937" s="810">
        <f t="shared" si="139"/>
        <v>179.67212039651349</v>
      </c>
      <c r="L937" s="810">
        <f t="shared" si="139"/>
        <v>16195.467869196087</v>
      </c>
      <c r="M937" s="810">
        <f t="shared" si="139"/>
        <v>32959.91135808453</v>
      </c>
      <c r="N937" s="810">
        <f t="shared" si="139"/>
        <v>50182.428676490672</v>
      </c>
      <c r="O937" s="810">
        <f t="shared" si="139"/>
        <v>68304.5113082272</v>
      </c>
      <c r="P937" s="810">
        <f t="shared" si="139"/>
        <v>86716.247915962245</v>
      </c>
      <c r="Q937" s="810">
        <f t="shared" si="139"/>
        <v>116790.14552037744</v>
      </c>
      <c r="R937" s="810">
        <f t="shared" si="139"/>
        <v>147504.83848789334</v>
      </c>
      <c r="S937" s="810">
        <f t="shared" si="139"/>
        <v>178216.18129715603</v>
      </c>
      <c r="T937" s="810">
        <f t="shared" si="139"/>
        <v>208936.55869984766</v>
      </c>
      <c r="U937" s="810">
        <f t="shared" si="139"/>
        <v>239654.12659705617</v>
      </c>
      <c r="V937" s="810">
        <f t="shared" si="139"/>
        <v>261522.35588447936</v>
      </c>
      <c r="W937" s="810">
        <f t="shared" si="139"/>
        <v>270731.02777549904</v>
      </c>
      <c r="X937" s="810">
        <f t="shared" si="139"/>
        <v>277878.9562817961</v>
      </c>
      <c r="Y937" s="810">
        <f t="shared" si="139"/>
        <v>285019.13927922398</v>
      </c>
      <c r="Z937" s="810">
        <f t="shared" si="139"/>
        <v>292151.70702941902</v>
      </c>
      <c r="AA937" s="810">
        <f t="shared" si="139"/>
        <v>296639.49318460096</v>
      </c>
      <c r="AB937" s="810">
        <f t="shared" si="139"/>
        <v>300762.71947375312</v>
      </c>
      <c r="AC937" s="810">
        <f t="shared" si="139"/>
        <v>304891.95053243544</v>
      </c>
      <c r="AD937" s="810">
        <f t="shared" si="139"/>
        <v>309021.18159111496</v>
      </c>
      <c r="AE937" s="810">
        <f t="shared" si="139"/>
        <v>313140.18748790771</v>
      </c>
      <c r="AF937" s="810">
        <f t="shared" si="139"/>
        <v>317277.16405545548</v>
      </c>
      <c r="AG937" s="810">
        <f t="shared" si="139"/>
        <v>321396.03774762806</v>
      </c>
      <c r="AH937" s="802">
        <f t="shared" si="139"/>
        <v>325519.26403678209</v>
      </c>
      <c r="AI937" s="250"/>
      <c r="AJ937" s="250"/>
      <c r="AK937" s="250"/>
      <c r="AL937" s="250"/>
      <c r="AM937" s="250"/>
    </row>
    <row r="938" spans="2:39" ht="21.95" customHeight="1" x14ac:dyDescent="0.2">
      <c r="B938" s="784"/>
      <c r="C938" s="116" t="str">
        <v>SOx</v>
      </c>
      <c r="D938" s="116"/>
      <c r="E938" s="116"/>
      <c r="F938" s="824" cm="1">
        <f t="array" ref="F938">SUM(G938:AH938*discountAnnual)</f>
        <v>5315.9613287356624</v>
      </c>
      <c r="G938" s="801">
        <f t="shared" si="138"/>
        <v>0</v>
      </c>
      <c r="H938" s="801">
        <f t="shared" si="138"/>
        <v>0</v>
      </c>
      <c r="I938" s="810">
        <f t="shared" ref="I938:AH938" si="140">I918-I926</f>
        <v>8.99730802600061</v>
      </c>
      <c r="J938" s="810">
        <f t="shared" si="140"/>
        <v>-53.645895849071167</v>
      </c>
      <c r="K938" s="810">
        <f t="shared" si="140"/>
        <v>-51.396539956340348</v>
      </c>
      <c r="L938" s="810">
        <f t="shared" si="140"/>
        <v>-8.8615371818523272</v>
      </c>
      <c r="M938" s="810">
        <f t="shared" si="140"/>
        <v>35.343180964258863</v>
      </c>
      <c r="N938" s="810">
        <f t="shared" si="140"/>
        <v>81.074821072023042</v>
      </c>
      <c r="O938" s="810">
        <f t="shared" si="140"/>
        <v>128.43746588708018</v>
      </c>
      <c r="P938" s="810">
        <f t="shared" si="140"/>
        <v>177.47673131824922</v>
      </c>
      <c r="Q938" s="810">
        <f t="shared" si="140"/>
        <v>325.88435053699322</v>
      </c>
      <c r="R938" s="810">
        <f t="shared" si="140"/>
        <v>476.73756567059172</v>
      </c>
      <c r="S938" s="810">
        <f t="shared" si="140"/>
        <v>627.57695733522269</v>
      </c>
      <c r="T938" s="810">
        <f t="shared" si="140"/>
        <v>778.46074347985268</v>
      </c>
      <c r="U938" s="810">
        <f t="shared" si="140"/>
        <v>929.34402544341356</v>
      </c>
      <c r="V938" s="810">
        <f t="shared" si="140"/>
        <v>1033.2546721328727</v>
      </c>
      <c r="W938" s="810">
        <f t="shared" si="140"/>
        <v>1071.8004617328988</v>
      </c>
      <c r="X938" s="810">
        <f t="shared" si="140"/>
        <v>1102.4560353871639</v>
      </c>
      <c r="Y938" s="810">
        <f t="shared" si="140"/>
        <v>1133.0819419537183</v>
      </c>
      <c r="Z938" s="810">
        <f t="shared" si="140"/>
        <v>1163.6718631983094</v>
      </c>
      <c r="AA938" s="810">
        <f t="shared" si="140"/>
        <v>1184.138477312601</v>
      </c>
      <c r="AB938" s="810">
        <f t="shared" si="140"/>
        <v>1203.2054516176722</v>
      </c>
      <c r="AC938" s="810">
        <f t="shared" si="140"/>
        <v>1222.298716907404</v>
      </c>
      <c r="AD938" s="810">
        <f t="shared" si="140"/>
        <v>1241.3919821971358</v>
      </c>
      <c r="AE938" s="810">
        <f t="shared" si="140"/>
        <v>1260.4363584617131</v>
      </c>
      <c r="AF938" s="810">
        <f t="shared" si="140"/>
        <v>1279.5592908391591</v>
      </c>
      <c r="AG938" s="810">
        <f t="shared" si="140"/>
        <v>1298.6128850232162</v>
      </c>
      <c r="AH938" s="802">
        <f t="shared" si="140"/>
        <v>1317.6798593282729</v>
      </c>
      <c r="AI938" s="26"/>
      <c r="AJ938" s="26"/>
      <c r="AK938" s="26"/>
      <c r="AL938" s="26"/>
      <c r="AM938" s="26"/>
    </row>
    <row r="939" spans="2:39" ht="21.95" customHeight="1" x14ac:dyDescent="0.2">
      <c r="B939" s="784"/>
      <c r="C939" s="116" t="str">
        <v>PM2.5</v>
      </c>
      <c r="D939" s="116"/>
      <c r="E939" s="116"/>
      <c r="F939" s="824" cm="1">
        <f t="array" ref="F939">SUM(G939:AH939*discountAnnual)</f>
        <v>2201148.9537430969</v>
      </c>
      <c r="G939" s="801">
        <f t="shared" si="138"/>
        <v>0</v>
      </c>
      <c r="H939" s="801">
        <f t="shared" si="138"/>
        <v>0</v>
      </c>
      <c r="I939" s="810">
        <f t="shared" ref="I939:AH939" si="141">I919-I927</f>
        <v>2639.7370641003363</v>
      </c>
      <c r="J939" s="810">
        <f t="shared" si="141"/>
        <v>-12999.222065276466</v>
      </c>
      <c r="K939" s="810">
        <f t="shared" si="141"/>
        <v>-1667.8076284425333</v>
      </c>
      <c r="L939" s="810">
        <f t="shared" si="141"/>
        <v>21828.77214413695</v>
      </c>
      <c r="M939" s="810">
        <f t="shared" si="141"/>
        <v>46092.646897073835</v>
      </c>
      <c r="N939" s="810">
        <f t="shared" si="141"/>
        <v>71130.195757858455</v>
      </c>
      <c r="O939" s="810">
        <f t="shared" si="141"/>
        <v>96925.734565638937</v>
      </c>
      <c r="P939" s="810">
        <f t="shared" si="141"/>
        <v>123544.94591909274</v>
      </c>
      <c r="Q939" s="810">
        <f t="shared" si="141"/>
        <v>169591.02193024289</v>
      </c>
      <c r="R939" s="810">
        <f t="shared" si="141"/>
        <v>216591.82060491759</v>
      </c>
      <c r="S939" s="810">
        <f t="shared" si="141"/>
        <v>263587.58964703232</v>
      </c>
      <c r="T939" s="810">
        <f t="shared" si="141"/>
        <v>310597.18456779979</v>
      </c>
      <c r="U939" s="810">
        <f t="shared" si="141"/>
        <v>357602.97002548724</v>
      </c>
      <c r="V939" s="810">
        <f t="shared" si="141"/>
        <v>390937.86748038698</v>
      </c>
      <c r="W939" s="810">
        <f t="shared" si="141"/>
        <v>404783.17493082024</v>
      </c>
      <c r="X939" s="810">
        <f t="shared" si="141"/>
        <v>415557.24026328605</v>
      </c>
      <c r="Y939" s="810">
        <f t="shared" si="141"/>
        <v>426319.76162442286</v>
      </c>
      <c r="Z939" s="810">
        <f t="shared" si="141"/>
        <v>437070.68202333711</v>
      </c>
      <c r="AA939" s="810">
        <f t="shared" si="141"/>
        <v>443880.04890056048</v>
      </c>
      <c r="AB939" s="810">
        <f t="shared" si="141"/>
        <v>450145.95145045966</v>
      </c>
      <c r="AC939" s="810">
        <f t="shared" si="141"/>
        <v>456420.92480674479</v>
      </c>
      <c r="AD939" s="810">
        <f t="shared" si="141"/>
        <v>462695.89816302713</v>
      </c>
      <c r="AE939" s="810">
        <f t="shared" si="141"/>
        <v>468955.27362431772</v>
      </c>
      <c r="AF939" s="810">
        <f t="shared" si="141"/>
        <v>475241.79095193557</v>
      </c>
      <c r="AG939" s="810">
        <f t="shared" si="141"/>
        <v>481501.32760236692</v>
      </c>
      <c r="AH939" s="802">
        <f t="shared" si="141"/>
        <v>487767.2301522661</v>
      </c>
      <c r="AI939" s="26"/>
      <c r="AJ939" s="26"/>
      <c r="AK939" s="26"/>
      <c r="AL939" s="26"/>
      <c r="AM939" s="26"/>
    </row>
    <row r="940" spans="2:39" ht="21.95" customHeight="1" thickBot="1" x14ac:dyDescent="0.25">
      <c r="B940" s="788"/>
      <c r="C940" s="278" t="str">
        <v>CO2</v>
      </c>
      <c r="D940" s="278"/>
      <c r="E940" s="278"/>
      <c r="F940" s="829" cm="1">
        <f t="array" ref="F940">SUM(G940:AH940*discountAnnualCO2)</f>
        <v>80550394.361044496</v>
      </c>
      <c r="G940" s="830">
        <f t="shared" si="138"/>
        <v>0</v>
      </c>
      <c r="H940" s="830">
        <f t="shared" si="138"/>
        <v>0</v>
      </c>
      <c r="I940" s="830">
        <f t="shared" ref="I940:AH940" si="142">I920-I928</f>
        <v>53390.942764796317</v>
      </c>
      <c r="J940" s="830">
        <f t="shared" si="142"/>
        <v>-306700.00614570081</v>
      </c>
      <c r="K940" s="830">
        <f t="shared" si="142"/>
        <v>-249767.77533909678</v>
      </c>
      <c r="L940" s="830">
        <f t="shared" si="142"/>
        <v>46340.298397377133</v>
      </c>
      <c r="M940" s="830">
        <f t="shared" si="142"/>
        <v>352695.20739772916</v>
      </c>
      <c r="N940" s="830">
        <f t="shared" si="142"/>
        <v>669320.96106395125</v>
      </c>
      <c r="O940" s="830">
        <f t="shared" si="142"/>
        <v>995474.95758986473</v>
      </c>
      <c r="P940" s="830">
        <f t="shared" si="142"/>
        <v>1352723.4476284385</v>
      </c>
      <c r="Q940" s="830">
        <f t="shared" si="142"/>
        <v>2283278.111489296</v>
      </c>
      <c r="R940" s="830">
        <f t="shared" si="142"/>
        <v>3257449.0162433833</v>
      </c>
      <c r="S940" s="830">
        <f t="shared" si="142"/>
        <v>4259576.4705796242</v>
      </c>
      <c r="T940" s="830">
        <f t="shared" si="142"/>
        <v>5290033.0367970467</v>
      </c>
      <c r="U940" s="830">
        <f t="shared" si="142"/>
        <v>6348522.7966642231</v>
      </c>
      <c r="V940" s="830">
        <f t="shared" si="142"/>
        <v>7229772.616597265</v>
      </c>
      <c r="W940" s="830">
        <f t="shared" si="142"/>
        <v>7600232.7231676579</v>
      </c>
      <c r="X940" s="830">
        <f t="shared" si="142"/>
        <v>7920947.4421337545</v>
      </c>
      <c r="Y940" s="830">
        <f t="shared" si="142"/>
        <v>8247298.5221145153</v>
      </c>
      <c r="Z940" s="830">
        <f t="shared" si="142"/>
        <v>8579241.7946892083</v>
      </c>
      <c r="AA940" s="830">
        <f t="shared" si="142"/>
        <v>8955546.9222145379</v>
      </c>
      <c r="AB940" s="830">
        <f t="shared" si="142"/>
        <v>9212012.2378009558</v>
      </c>
      <c r="AC940" s="830">
        <f t="shared" si="142"/>
        <v>9472263.6140813529</v>
      </c>
      <c r="AD940" s="830">
        <f t="shared" si="142"/>
        <v>9736106.08102265</v>
      </c>
      <c r="AE940" s="830">
        <f t="shared" si="142"/>
        <v>10003165.070866972</v>
      </c>
      <c r="AF940" s="830">
        <f t="shared" si="142"/>
        <v>10398214.389485389</v>
      </c>
      <c r="AG940" s="830">
        <f t="shared" si="142"/>
        <v>10674294.014928073</v>
      </c>
      <c r="AH940" s="831">
        <f t="shared" si="142"/>
        <v>10954075.875973195</v>
      </c>
      <c r="AI940" s="26"/>
      <c r="AJ940" s="26"/>
      <c r="AK940" s="26"/>
      <c r="AL940" s="26"/>
      <c r="AM940" s="26"/>
    </row>
    <row r="941" spans="2:39" ht="21.95" customHeight="1" x14ac:dyDescent="0.2">
      <c r="B941" s="9"/>
      <c r="F941" s="126"/>
      <c r="G941" s="21"/>
      <c r="H941" s="21"/>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row>
    <row r="942" spans="2:39" s="1" customFormat="1" ht="21.95" customHeight="1" x14ac:dyDescent="0.2">
      <c r="F942" s="115"/>
      <c r="G942" s="135"/>
      <c r="H942" s="135"/>
      <c r="I942" s="25"/>
      <c r="J942" s="25"/>
      <c r="K942" s="25"/>
      <c r="L942" s="25"/>
      <c r="M942" s="25"/>
      <c r="N942" s="25"/>
      <c r="O942" s="25"/>
      <c r="P942" s="25"/>
      <c r="Q942" s="25"/>
      <c r="R942" s="25"/>
      <c r="S942" s="25"/>
      <c r="T942" s="25"/>
      <c r="U942" s="25"/>
      <c r="V942" s="25"/>
      <c r="W942" s="25"/>
      <c r="X942" s="25"/>
      <c r="Y942" s="25"/>
      <c r="Z942" s="25"/>
      <c r="AA942" s="25"/>
      <c r="AB942" s="25"/>
      <c r="AC942" s="25"/>
      <c r="AD942" s="25"/>
      <c r="AE942" s="25"/>
      <c r="AF942" s="25"/>
      <c r="AG942" s="25"/>
      <c r="AH942" s="25"/>
      <c r="AI942" s="25"/>
      <c r="AJ942" s="25"/>
      <c r="AK942" s="25"/>
      <c r="AL942" s="25"/>
      <c r="AM942" s="25"/>
    </row>
    <row r="943" spans="2:39" s="1" customFormat="1" ht="21.95" customHeight="1" x14ac:dyDescent="0.2">
      <c r="B943" s="114"/>
      <c r="F943" s="115"/>
      <c r="G943" s="135"/>
      <c r="H943" s="135"/>
      <c r="I943" s="25"/>
      <c r="J943" s="25"/>
      <c r="K943" s="25"/>
      <c r="L943" s="25"/>
      <c r="M943" s="25"/>
      <c r="N943" s="25"/>
      <c r="O943" s="25"/>
      <c r="P943" s="25"/>
      <c r="Q943" s="25"/>
      <c r="R943" s="25"/>
      <c r="S943" s="25"/>
      <c r="T943" s="25"/>
      <c r="U943" s="25"/>
      <c r="V943" s="25"/>
      <c r="W943" s="25"/>
      <c r="X943" s="25"/>
      <c r="Y943" s="25"/>
      <c r="Z943" s="25"/>
      <c r="AA943" s="25"/>
      <c r="AB943" s="25"/>
      <c r="AC943" s="25"/>
      <c r="AD943" s="25"/>
      <c r="AE943" s="25"/>
      <c r="AF943" s="25"/>
      <c r="AG943" s="25"/>
      <c r="AH943" s="25"/>
      <c r="AI943" s="25"/>
      <c r="AJ943" s="25"/>
      <c r="AK943" s="25"/>
      <c r="AL943" s="25"/>
      <c r="AM943" s="25"/>
    </row>
    <row r="951" spans="2:6" ht="21.95" customHeight="1" x14ac:dyDescent="0.2">
      <c r="B951" s="2"/>
    </row>
    <row r="953" spans="2:6" ht="21.95" customHeight="1" x14ac:dyDescent="0.2">
      <c r="F953" s="7"/>
    </row>
    <row r="954" spans="2:6" ht="21.95" customHeight="1" x14ac:dyDescent="0.2">
      <c r="F954" s="7"/>
    </row>
    <row r="955" spans="2:6" ht="21.95" customHeight="1" x14ac:dyDescent="0.2">
      <c r="F955" s="7"/>
    </row>
    <row r="956" spans="2:6" ht="21.95" customHeight="1" x14ac:dyDescent="0.2">
      <c r="F956" s="7"/>
    </row>
    <row r="957" spans="2:6" ht="21.95" customHeight="1" x14ac:dyDescent="0.2">
      <c r="F957" s="7"/>
    </row>
    <row r="958" spans="2:6" ht="21.95" customHeight="1" x14ac:dyDescent="0.2">
      <c r="F958" s="7"/>
    </row>
    <row r="959" spans="2:6" ht="21.95" customHeight="1" x14ac:dyDescent="0.2">
      <c r="F959" s="7"/>
    </row>
    <row r="960" spans="2:6" ht="21.95" customHeight="1" x14ac:dyDescent="0.2">
      <c r="F960" s="7"/>
    </row>
  </sheetData>
  <mergeCells count="144">
    <mergeCell ref="B65:B67"/>
    <mergeCell ref="B69:B72"/>
    <mergeCell ref="B73:B81"/>
    <mergeCell ref="B93:B95"/>
    <mergeCell ref="B96:B98"/>
    <mergeCell ref="B31:B33"/>
    <mergeCell ref="B34:B36"/>
    <mergeCell ref="B38:B41"/>
    <mergeCell ref="B42:B50"/>
    <mergeCell ref="B62:B64"/>
    <mergeCell ref="B135:B143"/>
    <mergeCell ref="B155:B157"/>
    <mergeCell ref="B158:B160"/>
    <mergeCell ref="B162:B165"/>
    <mergeCell ref="B166:B174"/>
    <mergeCell ref="B100:B103"/>
    <mergeCell ref="B104:B112"/>
    <mergeCell ref="B124:B126"/>
    <mergeCell ref="B127:B129"/>
    <mergeCell ref="B131:B134"/>
    <mergeCell ref="B220:B222"/>
    <mergeCell ref="B224:B227"/>
    <mergeCell ref="B228:B236"/>
    <mergeCell ref="B248:B250"/>
    <mergeCell ref="B251:B253"/>
    <mergeCell ref="B186:B188"/>
    <mergeCell ref="B189:B191"/>
    <mergeCell ref="B193:B196"/>
    <mergeCell ref="B197:B205"/>
    <mergeCell ref="B217:B219"/>
    <mergeCell ref="B298:B300"/>
    <mergeCell ref="B301:B303"/>
    <mergeCell ref="B304:B306"/>
    <mergeCell ref="B307:B309"/>
    <mergeCell ref="B317:B319"/>
    <mergeCell ref="B255:B258"/>
    <mergeCell ref="B259:B267"/>
    <mergeCell ref="B282:B284"/>
    <mergeCell ref="B285:B287"/>
    <mergeCell ref="B288:B290"/>
    <mergeCell ref="B291:B293"/>
    <mergeCell ref="B355:B358"/>
    <mergeCell ref="B359:B367"/>
    <mergeCell ref="B379:B381"/>
    <mergeCell ref="B382:B384"/>
    <mergeCell ref="B386:B389"/>
    <mergeCell ref="B320:B322"/>
    <mergeCell ref="B324:B327"/>
    <mergeCell ref="B328:B336"/>
    <mergeCell ref="B348:B350"/>
    <mergeCell ref="B351:B353"/>
    <mergeCell ref="B441:B443"/>
    <mergeCell ref="B444:B446"/>
    <mergeCell ref="B448:B451"/>
    <mergeCell ref="B452:B460"/>
    <mergeCell ref="B472:B474"/>
    <mergeCell ref="B390:B398"/>
    <mergeCell ref="B410:B412"/>
    <mergeCell ref="B413:B415"/>
    <mergeCell ref="B417:B420"/>
    <mergeCell ref="B421:B429"/>
    <mergeCell ref="B510:B513"/>
    <mergeCell ref="B514:B522"/>
    <mergeCell ref="B534:B536"/>
    <mergeCell ref="B537:B539"/>
    <mergeCell ref="B541:B544"/>
    <mergeCell ref="B475:B477"/>
    <mergeCell ref="B479:B482"/>
    <mergeCell ref="B483:B491"/>
    <mergeCell ref="B503:B505"/>
    <mergeCell ref="B506:B508"/>
    <mergeCell ref="B584:B586"/>
    <mergeCell ref="B587:B589"/>
    <mergeCell ref="B590:B592"/>
    <mergeCell ref="B593:B595"/>
    <mergeCell ref="B603:B605"/>
    <mergeCell ref="B545:B553"/>
    <mergeCell ref="B568:B570"/>
    <mergeCell ref="B571:B573"/>
    <mergeCell ref="B574:B576"/>
    <mergeCell ref="B577:B579"/>
    <mergeCell ref="B641:B644"/>
    <mergeCell ref="B645:B653"/>
    <mergeCell ref="B665:B667"/>
    <mergeCell ref="B668:B670"/>
    <mergeCell ref="B672:B675"/>
    <mergeCell ref="B606:B608"/>
    <mergeCell ref="B610:B613"/>
    <mergeCell ref="B614:B622"/>
    <mergeCell ref="B634:B636"/>
    <mergeCell ref="B637:B639"/>
    <mergeCell ref="B727:B729"/>
    <mergeCell ref="B730:B732"/>
    <mergeCell ref="B734:B737"/>
    <mergeCell ref="B738:B746"/>
    <mergeCell ref="B758:B760"/>
    <mergeCell ref="B676:B684"/>
    <mergeCell ref="B696:B698"/>
    <mergeCell ref="B699:B701"/>
    <mergeCell ref="B703:B706"/>
    <mergeCell ref="B707:B715"/>
    <mergeCell ref="B796:B799"/>
    <mergeCell ref="B800:B808"/>
    <mergeCell ref="B820:B822"/>
    <mergeCell ref="B823:B825"/>
    <mergeCell ref="B827:B830"/>
    <mergeCell ref="B761:B763"/>
    <mergeCell ref="B765:B768"/>
    <mergeCell ref="B769:B777"/>
    <mergeCell ref="B789:B791"/>
    <mergeCell ref="B792:B794"/>
    <mergeCell ref="B870:B872"/>
    <mergeCell ref="B873:B875"/>
    <mergeCell ref="B876:B878"/>
    <mergeCell ref="B879:B881"/>
    <mergeCell ref="B831:B839"/>
    <mergeCell ref="B854:B856"/>
    <mergeCell ref="B857:B859"/>
    <mergeCell ref="B860:B862"/>
    <mergeCell ref="B863:B865"/>
    <mergeCell ref="C92:D92"/>
    <mergeCell ref="C61:D61"/>
    <mergeCell ref="C30:D30"/>
    <mergeCell ref="C123:D123"/>
    <mergeCell ref="C154:D154"/>
    <mergeCell ref="C185:D185"/>
    <mergeCell ref="C216:D216"/>
    <mergeCell ref="C247:D247"/>
    <mergeCell ref="C316:D316"/>
    <mergeCell ref="C664:D664"/>
    <mergeCell ref="C695:D695"/>
    <mergeCell ref="C726:D726"/>
    <mergeCell ref="C757:D757"/>
    <mergeCell ref="C788:D788"/>
    <mergeCell ref="C819:D819"/>
    <mergeCell ref="C347:D347"/>
    <mergeCell ref="C378:D378"/>
    <mergeCell ref="C409:D409"/>
    <mergeCell ref="C440:D440"/>
    <mergeCell ref="C471:D471"/>
    <mergeCell ref="C502:D502"/>
    <mergeCell ref="C533:D533"/>
    <mergeCell ref="C602:D602"/>
    <mergeCell ref="C633:D633"/>
  </mergeCells>
  <hyperlinks>
    <hyperlink ref="B17" location="'Emissions Data'!B4" display="Source: Emission Costs" xr:uid="{F9B280E7-C72C-43D7-8289-6D6D698EB049}"/>
    <hyperlink ref="B23" location="'Emissions Data'!J4" display="Source: Parameters and Assumptions" xr:uid="{CBAE7F2E-FEE8-47C3-89A0-3C7171889BBA}"/>
  </hyperlink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1AF03-F9B2-40CB-BD62-3F477850107B}">
  <sheetPr>
    <tabColor theme="9" tint="-0.249977111117893"/>
  </sheetPr>
  <dimension ref="A2:AJ23"/>
  <sheetViews>
    <sheetView showGridLines="0" zoomScale="80" zoomScaleNormal="80" workbookViewId="0">
      <selection activeCell="F29" sqref="F29"/>
    </sheetView>
  </sheetViews>
  <sheetFormatPr defaultColWidth="11.625" defaultRowHeight="21.95" customHeight="1" x14ac:dyDescent="0.2"/>
  <cols>
    <col min="1" max="1" width="3.375" customWidth="1"/>
    <col min="2" max="2" width="25.75" bestFit="1" customWidth="1"/>
    <col min="3" max="3" width="27.625" bestFit="1" customWidth="1"/>
    <col min="4" max="6" width="12.75" style="2" customWidth="1"/>
    <col min="7" max="36" width="12.75" customWidth="1"/>
  </cols>
  <sheetData>
    <row r="2" spans="1:36" ht="23.25" x14ac:dyDescent="0.2">
      <c r="B2" s="394" t="s">
        <v>195</v>
      </c>
      <c r="C2" s="10"/>
    </row>
    <row r="4" spans="1:36" ht="21.95" customHeight="1" x14ac:dyDescent="0.2">
      <c r="A4" s="192"/>
      <c r="B4" s="193" t="s">
        <v>103</v>
      </c>
      <c r="D4" s="522"/>
    </row>
    <row r="6" spans="1:36" ht="21.95" customHeight="1" thickBot="1" x14ac:dyDescent="0.25">
      <c r="B6" s="561" t="s">
        <v>209</v>
      </c>
    </row>
    <row r="7" spans="1:36" ht="21.95" customHeight="1" x14ac:dyDescent="0.2">
      <c r="B7" s="832"/>
      <c r="C7" s="759"/>
      <c r="D7" s="759" cm="1">
        <f t="array" ref="D7:AE7">year</f>
        <v>2021</v>
      </c>
      <c r="E7" s="759">
        <v>2022</v>
      </c>
      <c r="F7" s="759">
        <v>2023</v>
      </c>
      <c r="G7" s="759">
        <v>2024</v>
      </c>
      <c r="H7" s="759">
        <v>2025</v>
      </c>
      <c r="I7" s="759">
        <v>2026</v>
      </c>
      <c r="J7" s="759">
        <v>2027</v>
      </c>
      <c r="K7" s="759">
        <v>2028</v>
      </c>
      <c r="L7" s="759">
        <v>2029</v>
      </c>
      <c r="M7" s="759">
        <v>2030</v>
      </c>
      <c r="N7" s="759">
        <v>2031</v>
      </c>
      <c r="O7" s="759">
        <v>2032</v>
      </c>
      <c r="P7" s="759">
        <v>2033</v>
      </c>
      <c r="Q7" s="759">
        <v>2034</v>
      </c>
      <c r="R7" s="759">
        <v>2035</v>
      </c>
      <c r="S7" s="759">
        <v>2036</v>
      </c>
      <c r="T7" s="759">
        <v>2037</v>
      </c>
      <c r="U7" s="759">
        <v>2038</v>
      </c>
      <c r="V7" s="759">
        <v>2039</v>
      </c>
      <c r="W7" s="759">
        <v>2040</v>
      </c>
      <c r="X7" s="759">
        <v>2041</v>
      </c>
      <c r="Y7" s="759">
        <v>2042</v>
      </c>
      <c r="Z7" s="759">
        <v>2043</v>
      </c>
      <c r="AA7" s="759">
        <v>2044</v>
      </c>
      <c r="AB7" s="759">
        <v>2045</v>
      </c>
      <c r="AC7" s="759">
        <v>2046</v>
      </c>
      <c r="AD7" s="759">
        <v>2047</v>
      </c>
      <c r="AE7" s="833">
        <v>2048</v>
      </c>
      <c r="AF7" s="250"/>
      <c r="AG7" s="250"/>
      <c r="AH7" s="250"/>
      <c r="AI7" s="250"/>
      <c r="AJ7" s="250"/>
    </row>
    <row r="8" spans="1:36" ht="21.95" customHeight="1" x14ac:dyDescent="0.2">
      <c r="B8" s="492" t="s">
        <v>9</v>
      </c>
      <c r="C8" s="116" t="s">
        <v>207</v>
      </c>
      <c r="D8" s="854" cm="1">
        <f t="array" ref="D8:AE8">_xlfn.XLOOKUP(year, 'Project Cost Data'!$B$27:$B$52, 'Project Cost Data'!C$27:C$52, 0, 0) * adjust2023to2021</f>
        <v>0</v>
      </c>
      <c r="E8" s="847">
        <v>0</v>
      </c>
      <c r="F8" s="847">
        <v>0</v>
      </c>
      <c r="G8" s="847">
        <v>0</v>
      </c>
      <c r="H8" s="847">
        <v>2263971.851761736</v>
      </c>
      <c r="I8" s="847">
        <v>0</v>
      </c>
      <c r="J8" s="881">
        <v>0</v>
      </c>
      <c r="K8" s="881">
        <v>0</v>
      </c>
      <c r="L8" s="881">
        <v>0</v>
      </c>
      <c r="M8" s="881">
        <v>112077.81444365029</v>
      </c>
      <c r="N8" s="881">
        <v>0</v>
      </c>
      <c r="O8" s="881">
        <v>0</v>
      </c>
      <c r="P8" s="881">
        <v>0</v>
      </c>
      <c r="Q8" s="881">
        <v>0</v>
      </c>
      <c r="R8" s="881">
        <v>7531629.1306133</v>
      </c>
      <c r="S8" s="881">
        <v>0</v>
      </c>
      <c r="T8" s="881">
        <v>0</v>
      </c>
      <c r="U8" s="881">
        <v>0</v>
      </c>
      <c r="V8" s="881">
        <v>0</v>
      </c>
      <c r="W8" s="881">
        <v>112077.81444365029</v>
      </c>
      <c r="X8" s="881">
        <v>0</v>
      </c>
      <c r="Y8" s="881">
        <v>0</v>
      </c>
      <c r="Z8" s="881">
        <v>0</v>
      </c>
      <c r="AA8" s="881">
        <v>0</v>
      </c>
      <c r="AB8" s="881">
        <v>1524258.2764336441</v>
      </c>
      <c r="AC8" s="881">
        <v>0</v>
      </c>
      <c r="AD8" s="881">
        <v>0</v>
      </c>
      <c r="AE8" s="877">
        <v>0</v>
      </c>
      <c r="AF8" s="26"/>
      <c r="AG8" s="26"/>
      <c r="AH8" s="26"/>
      <c r="AI8" s="26"/>
      <c r="AJ8" s="26"/>
    </row>
    <row r="9" spans="1:36" ht="21.95" customHeight="1" x14ac:dyDescent="0.2">
      <c r="B9" s="492"/>
      <c r="C9" s="116" t="s">
        <v>210</v>
      </c>
      <c r="D9" s="847">
        <v>0</v>
      </c>
      <c r="E9" s="847">
        <v>0</v>
      </c>
      <c r="F9" s="847">
        <v>0</v>
      </c>
      <c r="G9" s="847">
        <v>0</v>
      </c>
      <c r="H9" s="847">
        <v>0</v>
      </c>
      <c r="I9" s="847">
        <v>0</v>
      </c>
      <c r="J9" s="881">
        <v>0</v>
      </c>
      <c r="K9" s="881">
        <f>'Project Cost Data'!$D$61*adjust2023to2021</f>
        <v>35864.900621968096</v>
      </c>
      <c r="L9" s="881">
        <f>'Project Cost Data'!$D$61*adjust2023to2021</f>
        <v>35864.900621968096</v>
      </c>
      <c r="M9" s="881">
        <f>'Project Cost Data'!$D$61*adjust2023to2021</f>
        <v>35864.900621968096</v>
      </c>
      <c r="N9" s="881">
        <f>'Project Cost Data'!$D$61*adjust2023to2021</f>
        <v>35864.900621968096</v>
      </c>
      <c r="O9" s="881">
        <f>'Project Cost Data'!$D$61*adjust2023to2021</f>
        <v>35864.900621968096</v>
      </c>
      <c r="P9" s="881">
        <f>'Project Cost Data'!$D$61*adjust2023to2021</f>
        <v>35864.900621968096</v>
      </c>
      <c r="Q9" s="881">
        <f>'Project Cost Data'!$D$61*adjust2023to2021</f>
        <v>35864.900621968096</v>
      </c>
      <c r="R9" s="881">
        <f>'Project Cost Data'!$D$61*adjust2023to2021</f>
        <v>35864.900621968096</v>
      </c>
      <c r="S9" s="881">
        <f>'Project Cost Data'!$D$61*adjust2023to2021</f>
        <v>35864.900621968096</v>
      </c>
      <c r="T9" s="881">
        <f>'Project Cost Data'!$D$61*adjust2023to2021</f>
        <v>35864.900621968096</v>
      </c>
      <c r="U9" s="881">
        <f>'Project Cost Data'!$D$61*adjust2023to2021</f>
        <v>35864.900621968096</v>
      </c>
      <c r="V9" s="881">
        <f>'Project Cost Data'!$D$61*adjust2023to2021</f>
        <v>35864.900621968096</v>
      </c>
      <c r="W9" s="881">
        <f>'Project Cost Data'!$D$61*adjust2023to2021</f>
        <v>35864.900621968096</v>
      </c>
      <c r="X9" s="881">
        <f>'Project Cost Data'!$D$61*adjust2023to2021</f>
        <v>35864.900621968096</v>
      </c>
      <c r="Y9" s="881">
        <f>'Project Cost Data'!$D$61*adjust2023to2021</f>
        <v>35864.900621968096</v>
      </c>
      <c r="Z9" s="881">
        <f>'Project Cost Data'!$D$61*adjust2023to2021</f>
        <v>35864.900621968096</v>
      </c>
      <c r="AA9" s="881">
        <f>'Project Cost Data'!$D$61*adjust2023to2021</f>
        <v>35864.900621968096</v>
      </c>
      <c r="AB9" s="881">
        <f>'Project Cost Data'!$D$61*adjust2023to2021</f>
        <v>35864.900621968096</v>
      </c>
      <c r="AC9" s="881">
        <f>'Project Cost Data'!$D$61*adjust2023to2021</f>
        <v>35864.900621968096</v>
      </c>
      <c r="AD9" s="881">
        <f>'Project Cost Data'!$D$61*adjust2023to2021</f>
        <v>35864.900621968096</v>
      </c>
      <c r="AE9" s="877">
        <f>'Project Cost Data'!$D$61*adjust2023to2021</f>
        <v>35864.900621968096</v>
      </c>
      <c r="AF9" s="26"/>
      <c r="AG9" s="26"/>
      <c r="AH9" s="26"/>
      <c r="AI9" s="22"/>
      <c r="AJ9" s="22"/>
    </row>
    <row r="10" spans="1:36" ht="21.95" customHeight="1" x14ac:dyDescent="0.2">
      <c r="B10" s="492"/>
      <c r="C10" s="772" t="s">
        <v>25</v>
      </c>
      <c r="D10" s="882">
        <f>D8+D9</f>
        <v>0</v>
      </c>
      <c r="E10" s="882">
        <f t="shared" ref="E10:AE10" si="0">E8+E9</f>
        <v>0</v>
      </c>
      <c r="F10" s="882">
        <f t="shared" si="0"/>
        <v>0</v>
      </c>
      <c r="G10" s="882">
        <f t="shared" si="0"/>
        <v>0</v>
      </c>
      <c r="H10" s="882">
        <f t="shared" si="0"/>
        <v>2263971.851761736</v>
      </c>
      <c r="I10" s="882">
        <f t="shared" si="0"/>
        <v>0</v>
      </c>
      <c r="J10" s="882">
        <f t="shared" si="0"/>
        <v>0</v>
      </c>
      <c r="K10" s="882">
        <f t="shared" si="0"/>
        <v>35864.900621968096</v>
      </c>
      <c r="L10" s="882">
        <f t="shared" si="0"/>
        <v>35864.900621968096</v>
      </c>
      <c r="M10" s="882">
        <f t="shared" si="0"/>
        <v>147942.71506561839</v>
      </c>
      <c r="N10" s="882">
        <f t="shared" si="0"/>
        <v>35864.900621968096</v>
      </c>
      <c r="O10" s="882">
        <f t="shared" si="0"/>
        <v>35864.900621968096</v>
      </c>
      <c r="P10" s="882">
        <f t="shared" si="0"/>
        <v>35864.900621968096</v>
      </c>
      <c r="Q10" s="882">
        <f t="shared" si="0"/>
        <v>35864.900621968096</v>
      </c>
      <c r="R10" s="882">
        <f t="shared" si="0"/>
        <v>7567494.0312352683</v>
      </c>
      <c r="S10" s="882">
        <f t="shared" si="0"/>
        <v>35864.900621968096</v>
      </c>
      <c r="T10" s="882">
        <f t="shared" si="0"/>
        <v>35864.900621968096</v>
      </c>
      <c r="U10" s="882">
        <f t="shared" si="0"/>
        <v>35864.900621968096</v>
      </c>
      <c r="V10" s="882">
        <f t="shared" si="0"/>
        <v>35864.900621968096</v>
      </c>
      <c r="W10" s="882">
        <f t="shared" si="0"/>
        <v>147942.71506561839</v>
      </c>
      <c r="X10" s="882">
        <f t="shared" si="0"/>
        <v>35864.900621968096</v>
      </c>
      <c r="Y10" s="882">
        <f t="shared" si="0"/>
        <v>35864.900621968096</v>
      </c>
      <c r="Z10" s="882">
        <f t="shared" si="0"/>
        <v>35864.900621968096</v>
      </c>
      <c r="AA10" s="882">
        <f t="shared" si="0"/>
        <v>35864.900621968096</v>
      </c>
      <c r="AB10" s="882">
        <f t="shared" si="0"/>
        <v>1560123.1770556122</v>
      </c>
      <c r="AC10" s="882">
        <f t="shared" si="0"/>
        <v>35864.900621968096</v>
      </c>
      <c r="AD10" s="882">
        <f t="shared" si="0"/>
        <v>35864.900621968096</v>
      </c>
      <c r="AE10" s="883">
        <f t="shared" si="0"/>
        <v>35864.900621968096</v>
      </c>
      <c r="AF10" s="26"/>
      <c r="AG10" s="26"/>
      <c r="AH10" s="26"/>
      <c r="AI10" s="22"/>
      <c r="AJ10" s="22"/>
    </row>
    <row r="11" spans="1:36" ht="21.95" customHeight="1" x14ac:dyDescent="0.2">
      <c r="B11" s="492" t="s">
        <v>359</v>
      </c>
      <c r="C11" s="220" t="s">
        <v>207</v>
      </c>
      <c r="D11" s="854" cm="1">
        <f t="array" ref="D11:AE11">_xlfn.XLOOKUP(year, 'Project Cost Data'!$B$27:$B$52, 'Project Cost Data'!G$27:G$52, 0, 0) * adjust2023to2021</f>
        <v>0</v>
      </c>
      <c r="E11" s="854">
        <v>0</v>
      </c>
      <c r="F11" s="854">
        <v>0</v>
      </c>
      <c r="G11" s="854">
        <v>0</v>
      </c>
      <c r="H11" s="854">
        <v>0</v>
      </c>
      <c r="I11" s="854">
        <v>0</v>
      </c>
      <c r="J11" s="854">
        <v>0</v>
      </c>
      <c r="K11" s="854">
        <v>0</v>
      </c>
      <c r="L11" s="854">
        <v>0</v>
      </c>
      <c r="M11" s="854">
        <v>224155.62888730058</v>
      </c>
      <c r="N11" s="854">
        <v>0</v>
      </c>
      <c r="O11" s="854">
        <v>0</v>
      </c>
      <c r="P11" s="854">
        <v>0</v>
      </c>
      <c r="Q11" s="854">
        <v>0</v>
      </c>
      <c r="R11" s="854">
        <v>224155.62888730058</v>
      </c>
      <c r="S11" s="854">
        <v>0</v>
      </c>
      <c r="T11" s="854">
        <v>0</v>
      </c>
      <c r="U11" s="854">
        <v>0</v>
      </c>
      <c r="V11" s="854">
        <v>0</v>
      </c>
      <c r="W11" s="854">
        <v>224155.62888730058</v>
      </c>
      <c r="X11" s="854">
        <v>0</v>
      </c>
      <c r="Y11" s="854">
        <v>0</v>
      </c>
      <c r="Z11" s="854">
        <v>0</v>
      </c>
      <c r="AA11" s="854">
        <v>0</v>
      </c>
      <c r="AB11" s="854">
        <v>1927738.4084307852</v>
      </c>
      <c r="AC11" s="854">
        <v>1927738.4084307852</v>
      </c>
      <c r="AD11" s="854">
        <v>0</v>
      </c>
      <c r="AE11" s="867">
        <v>0</v>
      </c>
      <c r="AF11" s="22"/>
      <c r="AG11" s="22"/>
      <c r="AH11" s="22"/>
      <c r="AI11" s="22"/>
      <c r="AJ11" s="22"/>
    </row>
    <row r="12" spans="1:36" ht="21.95" customHeight="1" x14ac:dyDescent="0.2">
      <c r="B12" s="492"/>
      <c r="C12" s="116" t="s">
        <v>210</v>
      </c>
      <c r="D12" s="847">
        <v>0</v>
      </c>
      <c r="E12" s="847">
        <v>0</v>
      </c>
      <c r="F12" s="847">
        <v>0</v>
      </c>
      <c r="G12" s="847">
        <v>0</v>
      </c>
      <c r="H12" s="847">
        <v>0</v>
      </c>
      <c r="I12" s="847">
        <v>0</v>
      </c>
      <c r="J12" s="847">
        <v>0</v>
      </c>
      <c r="K12" s="847">
        <f>'Project Cost Data'!$H$61*adjust2023to2021</f>
        <v>40348.013199714107</v>
      </c>
      <c r="L12" s="847">
        <f>'Project Cost Data'!$H$61*adjust2023to2021</f>
        <v>40348.013199714107</v>
      </c>
      <c r="M12" s="847">
        <f>'Project Cost Data'!$H$61*adjust2023to2021</f>
        <v>40348.013199714107</v>
      </c>
      <c r="N12" s="847">
        <f>'Project Cost Data'!$H$61*adjust2023to2021</f>
        <v>40348.013199714107</v>
      </c>
      <c r="O12" s="847">
        <f>'Project Cost Data'!$H$61*adjust2023to2021</f>
        <v>40348.013199714107</v>
      </c>
      <c r="P12" s="847">
        <f>'Project Cost Data'!$H$61*adjust2023to2021</f>
        <v>40348.013199714107</v>
      </c>
      <c r="Q12" s="847">
        <f>'Project Cost Data'!$H$61*adjust2023to2021</f>
        <v>40348.013199714107</v>
      </c>
      <c r="R12" s="847">
        <f>'Project Cost Data'!$H$61*adjust2023to2021</f>
        <v>40348.013199714107</v>
      </c>
      <c r="S12" s="847">
        <f>'Project Cost Data'!$H$61*adjust2023to2021</f>
        <v>40348.013199714107</v>
      </c>
      <c r="T12" s="847">
        <f>'Project Cost Data'!$H$61*adjust2023to2021</f>
        <v>40348.013199714107</v>
      </c>
      <c r="U12" s="847">
        <f>'Project Cost Data'!$H$61*adjust2023to2021</f>
        <v>40348.013199714107</v>
      </c>
      <c r="V12" s="847">
        <f>'Project Cost Data'!$H$61*adjust2023to2021</f>
        <v>40348.013199714107</v>
      </c>
      <c r="W12" s="847">
        <f>'Project Cost Data'!$H$61*adjust2023to2021</f>
        <v>40348.013199714107</v>
      </c>
      <c r="X12" s="847">
        <f>'Project Cost Data'!$H$61*adjust2023to2021</f>
        <v>40348.013199714107</v>
      </c>
      <c r="Y12" s="847">
        <f>'Project Cost Data'!$H$61*adjust2023to2021</f>
        <v>40348.013199714107</v>
      </c>
      <c r="Z12" s="847">
        <f>'Project Cost Data'!$H$61*adjust2023to2021</f>
        <v>40348.013199714107</v>
      </c>
      <c r="AA12" s="847">
        <f>'Project Cost Data'!$H$61*adjust2023to2021</f>
        <v>40348.013199714107</v>
      </c>
      <c r="AB12" s="847">
        <f>'Project Cost Data'!$H$61*adjust2023to2021</f>
        <v>40348.013199714107</v>
      </c>
      <c r="AC12" s="847">
        <f>'Project Cost Data'!$H$61*adjust2023to2021</f>
        <v>40348.013199714107</v>
      </c>
      <c r="AD12" s="847">
        <f>'Project Cost Data'!$H$61*adjust2023to2021</f>
        <v>40348.013199714107</v>
      </c>
      <c r="AE12" s="848">
        <f>'Project Cost Data'!$H$61*adjust2023to2021</f>
        <v>40348.013199714107</v>
      </c>
      <c r="AF12" s="22"/>
      <c r="AG12" s="22"/>
      <c r="AH12" s="22"/>
      <c r="AI12" s="22"/>
      <c r="AJ12" s="22"/>
    </row>
    <row r="13" spans="1:36" ht="21.95" customHeight="1" x14ac:dyDescent="0.2">
      <c r="B13" s="784"/>
      <c r="C13" s="772" t="s">
        <v>25</v>
      </c>
      <c r="D13" s="882">
        <f>D11+D12</f>
        <v>0</v>
      </c>
      <c r="E13" s="882">
        <f t="shared" ref="E13:AE13" si="1">E11+E12</f>
        <v>0</v>
      </c>
      <c r="F13" s="882">
        <f t="shared" si="1"/>
        <v>0</v>
      </c>
      <c r="G13" s="882">
        <f t="shared" si="1"/>
        <v>0</v>
      </c>
      <c r="H13" s="882">
        <f t="shared" si="1"/>
        <v>0</v>
      </c>
      <c r="I13" s="882">
        <f t="shared" si="1"/>
        <v>0</v>
      </c>
      <c r="J13" s="882">
        <f t="shared" si="1"/>
        <v>0</v>
      </c>
      <c r="K13" s="882">
        <f t="shared" si="1"/>
        <v>40348.013199714107</v>
      </c>
      <c r="L13" s="882">
        <f t="shared" si="1"/>
        <v>40348.013199714107</v>
      </c>
      <c r="M13" s="882">
        <f t="shared" si="1"/>
        <v>264503.64208701468</v>
      </c>
      <c r="N13" s="882">
        <f t="shared" si="1"/>
        <v>40348.013199714107</v>
      </c>
      <c r="O13" s="882">
        <f t="shared" si="1"/>
        <v>40348.013199714107</v>
      </c>
      <c r="P13" s="882">
        <f t="shared" si="1"/>
        <v>40348.013199714107</v>
      </c>
      <c r="Q13" s="882">
        <f t="shared" si="1"/>
        <v>40348.013199714107</v>
      </c>
      <c r="R13" s="882">
        <f t="shared" si="1"/>
        <v>264503.64208701468</v>
      </c>
      <c r="S13" s="882">
        <f t="shared" si="1"/>
        <v>40348.013199714107</v>
      </c>
      <c r="T13" s="882">
        <f t="shared" si="1"/>
        <v>40348.013199714107</v>
      </c>
      <c r="U13" s="882">
        <f t="shared" si="1"/>
        <v>40348.013199714107</v>
      </c>
      <c r="V13" s="882">
        <f t="shared" si="1"/>
        <v>40348.013199714107</v>
      </c>
      <c r="W13" s="882">
        <f t="shared" si="1"/>
        <v>264503.64208701468</v>
      </c>
      <c r="X13" s="882">
        <f t="shared" si="1"/>
        <v>40348.013199714107</v>
      </c>
      <c r="Y13" s="882">
        <f t="shared" si="1"/>
        <v>40348.013199714107</v>
      </c>
      <c r="Z13" s="882">
        <f t="shared" si="1"/>
        <v>40348.013199714107</v>
      </c>
      <c r="AA13" s="882">
        <f t="shared" si="1"/>
        <v>40348.013199714107</v>
      </c>
      <c r="AB13" s="882">
        <f t="shared" si="1"/>
        <v>1968086.4216304992</v>
      </c>
      <c r="AC13" s="882">
        <f t="shared" si="1"/>
        <v>1968086.4216304992</v>
      </c>
      <c r="AD13" s="882">
        <f t="shared" si="1"/>
        <v>40348.013199714107</v>
      </c>
      <c r="AE13" s="883">
        <f t="shared" si="1"/>
        <v>40348.013199714107</v>
      </c>
      <c r="AF13" s="29"/>
      <c r="AG13" s="29"/>
      <c r="AH13" s="29"/>
      <c r="AI13" s="29"/>
      <c r="AJ13" s="29"/>
    </row>
    <row r="14" spans="1:36" ht="21.95" customHeight="1" x14ac:dyDescent="0.2">
      <c r="B14" s="492" t="s">
        <v>293</v>
      </c>
      <c r="C14" s="116" t="s">
        <v>207</v>
      </c>
      <c r="D14" s="847" cm="1">
        <f t="array" ref="D14:AE14">_xlfn.XLOOKUP(year, 'Project Cost Data'!$B$27:$B$52, 'Project Cost Data'!K$27:K$52, 0, 0) * adjust2023to2021</f>
        <v>0</v>
      </c>
      <c r="E14" s="847">
        <v>0</v>
      </c>
      <c r="F14" s="847">
        <v>0</v>
      </c>
      <c r="G14" s="847">
        <v>0</v>
      </c>
      <c r="H14" s="847">
        <v>0</v>
      </c>
      <c r="I14" s="847">
        <v>0</v>
      </c>
      <c r="J14" s="881">
        <v>0</v>
      </c>
      <c r="K14" s="881">
        <v>0</v>
      </c>
      <c r="L14" s="881">
        <v>0</v>
      </c>
      <c r="M14" s="881">
        <v>268986.75466476072</v>
      </c>
      <c r="N14" s="881">
        <v>0</v>
      </c>
      <c r="O14" s="881">
        <v>0</v>
      </c>
      <c r="P14" s="881">
        <v>0</v>
      </c>
      <c r="Q14" s="881">
        <v>0</v>
      </c>
      <c r="R14" s="881">
        <v>268986.75466476072</v>
      </c>
      <c r="S14" s="881">
        <v>0</v>
      </c>
      <c r="T14" s="881">
        <v>0</v>
      </c>
      <c r="U14" s="881">
        <v>0</v>
      </c>
      <c r="V14" s="881">
        <v>0</v>
      </c>
      <c r="W14" s="881">
        <v>268986.75466476072</v>
      </c>
      <c r="X14" s="881">
        <v>0</v>
      </c>
      <c r="Y14" s="881">
        <v>0</v>
      </c>
      <c r="Z14" s="881">
        <v>0</v>
      </c>
      <c r="AA14" s="881">
        <v>0</v>
      </c>
      <c r="AB14" s="881">
        <v>2488127.4806490364</v>
      </c>
      <c r="AC14" s="881">
        <v>2488127.4806490364</v>
      </c>
      <c r="AD14" s="881">
        <v>0</v>
      </c>
      <c r="AE14" s="877">
        <v>0</v>
      </c>
      <c r="AF14" s="26"/>
      <c r="AG14" s="26"/>
      <c r="AH14" s="26"/>
      <c r="AI14" s="22"/>
      <c r="AJ14" s="22"/>
    </row>
    <row r="15" spans="1:36" ht="21.95" customHeight="1" x14ac:dyDescent="0.2">
      <c r="B15" s="492"/>
      <c r="C15" s="116" t="s">
        <v>210</v>
      </c>
      <c r="D15" s="847">
        <v>0</v>
      </c>
      <c r="E15" s="847">
        <v>0</v>
      </c>
      <c r="F15" s="847">
        <v>0</v>
      </c>
      <c r="G15" s="847">
        <v>0</v>
      </c>
      <c r="H15" s="847">
        <v>0</v>
      </c>
      <c r="I15" s="847">
        <v>0</v>
      </c>
      <c r="J15" s="881">
        <v>0</v>
      </c>
      <c r="K15" s="881">
        <f>'Project Cost Data'!$L$61*adjust2023to2021</f>
        <v>44831.125777460118</v>
      </c>
      <c r="L15" s="881">
        <f>'Project Cost Data'!$L$61*adjust2023to2021</f>
        <v>44831.125777460118</v>
      </c>
      <c r="M15" s="881">
        <f>'Project Cost Data'!$L$61*adjust2023to2021</f>
        <v>44831.125777460118</v>
      </c>
      <c r="N15" s="881">
        <f>'Project Cost Data'!$L$61*adjust2023to2021</f>
        <v>44831.125777460118</v>
      </c>
      <c r="O15" s="881">
        <f>'Project Cost Data'!$L$61*adjust2023to2021</f>
        <v>44831.125777460118</v>
      </c>
      <c r="P15" s="881">
        <f>'Project Cost Data'!$L$61*adjust2023to2021</f>
        <v>44831.125777460118</v>
      </c>
      <c r="Q15" s="881">
        <f>'Project Cost Data'!$L$61*adjust2023to2021</f>
        <v>44831.125777460118</v>
      </c>
      <c r="R15" s="881">
        <f>'Project Cost Data'!$L$61*adjust2023to2021</f>
        <v>44831.125777460118</v>
      </c>
      <c r="S15" s="881">
        <f>'Project Cost Data'!$L$61*adjust2023to2021</f>
        <v>44831.125777460118</v>
      </c>
      <c r="T15" s="881">
        <f>'Project Cost Data'!$L$61*adjust2023to2021</f>
        <v>44831.125777460118</v>
      </c>
      <c r="U15" s="881">
        <f>'Project Cost Data'!$L$61*adjust2023to2021</f>
        <v>44831.125777460118</v>
      </c>
      <c r="V15" s="881">
        <f>'Project Cost Data'!$L$61*adjust2023to2021</f>
        <v>44831.125777460118</v>
      </c>
      <c r="W15" s="881">
        <f>'Project Cost Data'!$L$61*adjust2023to2021</f>
        <v>44831.125777460118</v>
      </c>
      <c r="X15" s="881">
        <f>'Project Cost Data'!$L$61*adjust2023to2021</f>
        <v>44831.125777460118</v>
      </c>
      <c r="Y15" s="881">
        <f>'Project Cost Data'!$L$61*adjust2023to2021</f>
        <v>44831.125777460118</v>
      </c>
      <c r="Z15" s="881">
        <f>'Project Cost Data'!$L$61*adjust2023to2021</f>
        <v>44831.125777460118</v>
      </c>
      <c r="AA15" s="881">
        <f>'Project Cost Data'!$L$61*adjust2023to2021</f>
        <v>44831.125777460118</v>
      </c>
      <c r="AB15" s="881">
        <f>'Project Cost Data'!$L$61*adjust2023to2021</f>
        <v>44831.125777460118</v>
      </c>
      <c r="AC15" s="881">
        <f>'Project Cost Data'!$L$61*adjust2023to2021</f>
        <v>44831.125777460118</v>
      </c>
      <c r="AD15" s="881">
        <f>'Project Cost Data'!$L$61*adjust2023to2021</f>
        <v>44831.125777460118</v>
      </c>
      <c r="AE15" s="877">
        <f>'Project Cost Data'!$L$61*adjust2023to2021</f>
        <v>44831.125777460118</v>
      </c>
      <c r="AF15" s="26"/>
      <c r="AG15" s="26"/>
      <c r="AH15" s="26"/>
      <c r="AI15" s="22"/>
      <c r="AJ15" s="22"/>
    </row>
    <row r="16" spans="1:36" ht="21.95" customHeight="1" thickBot="1" x14ac:dyDescent="0.25">
      <c r="B16" s="788"/>
      <c r="C16" s="789" t="s">
        <v>25</v>
      </c>
      <c r="D16" s="859">
        <f>D14+D15</f>
        <v>0</v>
      </c>
      <c r="E16" s="859">
        <f t="shared" ref="E16:AE16" si="2">E14+E15</f>
        <v>0</v>
      </c>
      <c r="F16" s="859">
        <f t="shared" si="2"/>
        <v>0</v>
      </c>
      <c r="G16" s="859">
        <f t="shared" si="2"/>
        <v>0</v>
      </c>
      <c r="H16" s="859">
        <f t="shared" si="2"/>
        <v>0</v>
      </c>
      <c r="I16" s="859">
        <f t="shared" si="2"/>
        <v>0</v>
      </c>
      <c r="J16" s="859">
        <f t="shared" si="2"/>
        <v>0</v>
      </c>
      <c r="K16" s="859">
        <f t="shared" si="2"/>
        <v>44831.125777460118</v>
      </c>
      <c r="L16" s="859">
        <f t="shared" si="2"/>
        <v>44831.125777460118</v>
      </c>
      <c r="M16" s="859">
        <f t="shared" si="2"/>
        <v>313817.88044222083</v>
      </c>
      <c r="N16" s="859">
        <f t="shared" si="2"/>
        <v>44831.125777460118</v>
      </c>
      <c r="O16" s="859">
        <f t="shared" si="2"/>
        <v>44831.125777460118</v>
      </c>
      <c r="P16" s="859">
        <f t="shared" si="2"/>
        <v>44831.125777460118</v>
      </c>
      <c r="Q16" s="859">
        <f t="shared" si="2"/>
        <v>44831.125777460118</v>
      </c>
      <c r="R16" s="859">
        <f t="shared" si="2"/>
        <v>313817.88044222083</v>
      </c>
      <c r="S16" s="859">
        <f t="shared" si="2"/>
        <v>44831.125777460118</v>
      </c>
      <c r="T16" s="859">
        <f t="shared" si="2"/>
        <v>44831.125777460118</v>
      </c>
      <c r="U16" s="859">
        <f t="shared" si="2"/>
        <v>44831.125777460118</v>
      </c>
      <c r="V16" s="859">
        <f t="shared" si="2"/>
        <v>44831.125777460118</v>
      </c>
      <c r="W16" s="859">
        <f t="shared" si="2"/>
        <v>313817.88044222083</v>
      </c>
      <c r="X16" s="859">
        <f t="shared" si="2"/>
        <v>44831.125777460118</v>
      </c>
      <c r="Y16" s="859">
        <f t="shared" si="2"/>
        <v>44831.125777460118</v>
      </c>
      <c r="Z16" s="859">
        <f t="shared" si="2"/>
        <v>44831.125777460118</v>
      </c>
      <c r="AA16" s="859">
        <f t="shared" si="2"/>
        <v>44831.125777460118</v>
      </c>
      <c r="AB16" s="859">
        <f t="shared" si="2"/>
        <v>2532958.6064264965</v>
      </c>
      <c r="AC16" s="859">
        <f t="shared" si="2"/>
        <v>2532958.6064264965</v>
      </c>
      <c r="AD16" s="859">
        <f t="shared" si="2"/>
        <v>44831.125777460118</v>
      </c>
      <c r="AE16" s="860">
        <f t="shared" si="2"/>
        <v>44831.125777460118</v>
      </c>
      <c r="AF16" s="25"/>
      <c r="AG16" s="25"/>
      <c r="AH16" s="25"/>
      <c r="AI16" s="29"/>
      <c r="AJ16" s="29"/>
    </row>
    <row r="18" spans="1:31" ht="21.95" customHeight="1" x14ac:dyDescent="0.2">
      <c r="D18" s="16"/>
    </row>
    <row r="19" spans="1:31" ht="21.95" customHeight="1" x14ac:dyDescent="0.2">
      <c r="A19" s="192"/>
      <c r="B19" s="193" t="s">
        <v>38</v>
      </c>
      <c r="C19" s="247"/>
    </row>
    <row r="20" spans="1:31" ht="21.95" customHeight="1" thickBot="1" x14ac:dyDescent="0.25"/>
    <row r="21" spans="1:31" ht="21.95" customHeight="1" x14ac:dyDescent="0.2">
      <c r="B21" s="832"/>
      <c r="C21" s="759" t="s">
        <v>133</v>
      </c>
      <c r="D21" s="759" cm="1">
        <f t="array" ref="D21:AE21">year</f>
        <v>2021</v>
      </c>
      <c r="E21" s="759">
        <v>2022</v>
      </c>
      <c r="F21" s="759">
        <v>2023</v>
      </c>
      <c r="G21" s="759">
        <v>2024</v>
      </c>
      <c r="H21" s="759">
        <v>2025</v>
      </c>
      <c r="I21" s="759">
        <v>2026</v>
      </c>
      <c r="J21" s="759">
        <v>2027</v>
      </c>
      <c r="K21" s="759">
        <v>2028</v>
      </c>
      <c r="L21" s="759">
        <v>2029</v>
      </c>
      <c r="M21" s="759">
        <v>2030</v>
      </c>
      <c r="N21" s="759">
        <v>2031</v>
      </c>
      <c r="O21" s="759">
        <v>2032</v>
      </c>
      <c r="P21" s="759">
        <v>2033</v>
      </c>
      <c r="Q21" s="759">
        <v>2034</v>
      </c>
      <c r="R21" s="759">
        <v>2035</v>
      </c>
      <c r="S21" s="759">
        <v>2036</v>
      </c>
      <c r="T21" s="759">
        <v>2037</v>
      </c>
      <c r="U21" s="759">
        <v>2038</v>
      </c>
      <c r="V21" s="759">
        <v>2039</v>
      </c>
      <c r="W21" s="759">
        <v>2040</v>
      </c>
      <c r="X21" s="759">
        <v>2041</v>
      </c>
      <c r="Y21" s="759">
        <v>2042</v>
      </c>
      <c r="Z21" s="759">
        <v>2043</v>
      </c>
      <c r="AA21" s="759">
        <v>2044</v>
      </c>
      <c r="AB21" s="759">
        <v>2045</v>
      </c>
      <c r="AC21" s="759">
        <v>2046</v>
      </c>
      <c r="AD21" s="759">
        <v>2047</v>
      </c>
      <c r="AE21" s="833">
        <v>2048</v>
      </c>
    </row>
    <row r="22" spans="1:31" ht="21.95" customHeight="1" x14ac:dyDescent="0.2">
      <c r="B22" s="492" t="s">
        <v>359</v>
      </c>
      <c r="C22" s="1128" cm="1">
        <f t="array" ref="C22">SUM((D22:AE22) * discountAnnual)</f>
        <v>4002086.3508289917</v>
      </c>
      <c r="D22" s="884">
        <f t="shared" ref="D22:AE22" si="3">D10-D13</f>
        <v>0</v>
      </c>
      <c r="E22" s="884">
        <f t="shared" si="3"/>
        <v>0</v>
      </c>
      <c r="F22" s="884">
        <f t="shared" si="3"/>
        <v>0</v>
      </c>
      <c r="G22" s="884">
        <f t="shared" si="3"/>
        <v>0</v>
      </c>
      <c r="H22" s="884">
        <f t="shared" si="3"/>
        <v>2263971.851761736</v>
      </c>
      <c r="I22" s="884">
        <f t="shared" si="3"/>
        <v>0</v>
      </c>
      <c r="J22" s="884">
        <f t="shared" si="3"/>
        <v>0</v>
      </c>
      <c r="K22" s="884">
        <f t="shared" si="3"/>
        <v>-4483.1125777460111</v>
      </c>
      <c r="L22" s="884">
        <f t="shared" si="3"/>
        <v>-4483.1125777460111</v>
      </c>
      <c r="M22" s="884">
        <f t="shared" si="3"/>
        <v>-116560.92702139629</v>
      </c>
      <c r="N22" s="884">
        <f t="shared" si="3"/>
        <v>-4483.1125777460111</v>
      </c>
      <c r="O22" s="884">
        <f t="shared" si="3"/>
        <v>-4483.1125777460111</v>
      </c>
      <c r="P22" s="884">
        <f t="shared" si="3"/>
        <v>-4483.1125777460111</v>
      </c>
      <c r="Q22" s="884">
        <f t="shared" si="3"/>
        <v>-4483.1125777460111</v>
      </c>
      <c r="R22" s="884">
        <f t="shared" si="3"/>
        <v>7302990.3891482539</v>
      </c>
      <c r="S22" s="884">
        <f t="shared" si="3"/>
        <v>-4483.1125777460111</v>
      </c>
      <c r="T22" s="884">
        <f t="shared" si="3"/>
        <v>-4483.1125777460111</v>
      </c>
      <c r="U22" s="884">
        <f t="shared" si="3"/>
        <v>-4483.1125777460111</v>
      </c>
      <c r="V22" s="884">
        <f t="shared" si="3"/>
        <v>-4483.1125777460111</v>
      </c>
      <c r="W22" s="884">
        <f t="shared" si="3"/>
        <v>-116560.92702139629</v>
      </c>
      <c r="X22" s="884">
        <f t="shared" si="3"/>
        <v>-4483.1125777460111</v>
      </c>
      <c r="Y22" s="884">
        <f t="shared" si="3"/>
        <v>-4483.1125777460111</v>
      </c>
      <c r="Z22" s="884">
        <f t="shared" si="3"/>
        <v>-4483.1125777460111</v>
      </c>
      <c r="AA22" s="884">
        <f t="shared" si="3"/>
        <v>-4483.1125777460111</v>
      </c>
      <c r="AB22" s="884">
        <f t="shared" si="3"/>
        <v>-407963.24457488698</v>
      </c>
      <c r="AC22" s="884">
        <f t="shared" si="3"/>
        <v>-1932221.5210085311</v>
      </c>
      <c r="AD22" s="884">
        <f t="shared" si="3"/>
        <v>-4483.1125777460111</v>
      </c>
      <c r="AE22" s="885">
        <f t="shared" si="3"/>
        <v>-4483.1125777460111</v>
      </c>
    </row>
    <row r="23" spans="1:31" ht="21.95" customHeight="1" thickBot="1" x14ac:dyDescent="0.25">
      <c r="B23" s="795" t="s">
        <v>293</v>
      </c>
      <c r="C23" s="886" cm="1">
        <f t="array" ref="C23">SUM((D23:AE23) * discountAnnual)</f>
        <v>3701819.8561858609</v>
      </c>
      <c r="D23" s="887">
        <f t="shared" ref="D23:AE23" si="4">D10-D16</f>
        <v>0</v>
      </c>
      <c r="E23" s="887">
        <f t="shared" si="4"/>
        <v>0</v>
      </c>
      <c r="F23" s="887">
        <f t="shared" si="4"/>
        <v>0</v>
      </c>
      <c r="G23" s="887">
        <f t="shared" si="4"/>
        <v>0</v>
      </c>
      <c r="H23" s="887">
        <f t="shared" si="4"/>
        <v>2263971.851761736</v>
      </c>
      <c r="I23" s="887">
        <f t="shared" si="4"/>
        <v>0</v>
      </c>
      <c r="J23" s="887">
        <f t="shared" si="4"/>
        <v>0</v>
      </c>
      <c r="K23" s="887">
        <f t="shared" si="4"/>
        <v>-8966.2251554920222</v>
      </c>
      <c r="L23" s="887">
        <f t="shared" si="4"/>
        <v>-8966.2251554920222</v>
      </c>
      <c r="M23" s="887">
        <f t="shared" si="4"/>
        <v>-165875.16537660244</v>
      </c>
      <c r="N23" s="887">
        <f t="shared" si="4"/>
        <v>-8966.2251554920222</v>
      </c>
      <c r="O23" s="887">
        <f t="shared" si="4"/>
        <v>-8966.2251554920222</v>
      </c>
      <c r="P23" s="887">
        <f t="shared" si="4"/>
        <v>-8966.2251554920222</v>
      </c>
      <c r="Q23" s="887">
        <f t="shared" si="4"/>
        <v>-8966.2251554920222</v>
      </c>
      <c r="R23" s="887">
        <f t="shared" si="4"/>
        <v>7253676.1507930476</v>
      </c>
      <c r="S23" s="887">
        <f t="shared" si="4"/>
        <v>-8966.2251554920222</v>
      </c>
      <c r="T23" s="887">
        <f t="shared" si="4"/>
        <v>-8966.2251554920222</v>
      </c>
      <c r="U23" s="887">
        <f t="shared" si="4"/>
        <v>-8966.2251554920222</v>
      </c>
      <c r="V23" s="887">
        <f t="shared" si="4"/>
        <v>-8966.2251554920222</v>
      </c>
      <c r="W23" s="887">
        <f t="shared" si="4"/>
        <v>-165875.16537660244</v>
      </c>
      <c r="X23" s="887">
        <f t="shared" si="4"/>
        <v>-8966.2251554920222</v>
      </c>
      <c r="Y23" s="887">
        <f t="shared" si="4"/>
        <v>-8966.2251554920222</v>
      </c>
      <c r="Z23" s="887">
        <f t="shared" si="4"/>
        <v>-8966.2251554920222</v>
      </c>
      <c r="AA23" s="887">
        <f t="shared" si="4"/>
        <v>-8966.2251554920222</v>
      </c>
      <c r="AB23" s="887">
        <f t="shared" si="4"/>
        <v>-972835.42937088432</v>
      </c>
      <c r="AC23" s="887">
        <f t="shared" si="4"/>
        <v>-2497093.7058045282</v>
      </c>
      <c r="AD23" s="887">
        <f t="shared" si="4"/>
        <v>-8966.2251554920222</v>
      </c>
      <c r="AE23" s="1139">
        <f t="shared" si="4"/>
        <v>-8966.2251554920222</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FE09E-2CAA-419E-AF5B-56EC35ECE075}">
  <sheetPr codeName="Sheet12">
    <tabColor theme="9" tint="-0.249977111117893"/>
  </sheetPr>
  <dimension ref="A2:AF52"/>
  <sheetViews>
    <sheetView showGridLines="0" zoomScale="90" zoomScaleNormal="90" workbookViewId="0">
      <selection activeCell="H29" sqref="H29"/>
    </sheetView>
  </sheetViews>
  <sheetFormatPr defaultColWidth="11.625" defaultRowHeight="21.95" customHeight="1" x14ac:dyDescent="0.2"/>
  <cols>
    <col min="1" max="1" width="3.375" customWidth="1"/>
    <col min="2" max="2" width="29.75" customWidth="1"/>
    <col min="3" max="3" width="14.125" bestFit="1" customWidth="1"/>
    <col min="4" max="4" width="14.5" style="2" bestFit="1" customWidth="1"/>
    <col min="5" max="5" width="12.875" style="2" bestFit="1" customWidth="1"/>
    <col min="6" max="8" width="12.75" style="2" customWidth="1"/>
    <col min="9" max="26" width="12.75" customWidth="1"/>
    <col min="27" max="27" width="12.875" bestFit="1" customWidth="1"/>
    <col min="28" max="35" width="12.75" customWidth="1"/>
    <col min="36" max="36" width="12.125" customWidth="1"/>
  </cols>
  <sheetData>
    <row r="2" spans="1:10" ht="23.25" x14ac:dyDescent="0.2">
      <c r="B2" s="394" t="s">
        <v>81</v>
      </c>
      <c r="C2" s="10"/>
    </row>
    <row r="4" spans="1:10" ht="21.95" customHeight="1" x14ac:dyDescent="0.2">
      <c r="A4" s="192"/>
      <c r="B4" s="193" t="s">
        <v>0</v>
      </c>
    </row>
    <row r="6" spans="1:10" ht="21.95" customHeight="1" thickBot="1" x14ac:dyDescent="0.25">
      <c r="B6" s="561" t="s">
        <v>293</v>
      </c>
    </row>
    <row r="7" spans="1:10" ht="21.95" customHeight="1" x14ac:dyDescent="0.2">
      <c r="B7" s="832" t="s">
        <v>102</v>
      </c>
      <c r="C7" s="759" t="s">
        <v>160</v>
      </c>
      <c r="D7" s="759" t="s">
        <v>163</v>
      </c>
      <c r="E7" s="833" t="s">
        <v>25</v>
      </c>
      <c r="G7" s="1348" t="s">
        <v>199</v>
      </c>
      <c r="H7" s="1345"/>
      <c r="I7" s="833" t="s">
        <v>201</v>
      </c>
    </row>
    <row r="8" spans="1:10" ht="21.95" customHeight="1" x14ac:dyDescent="0.2">
      <c r="B8" s="888" t="str">
        <f>'Project Costs'!B50</f>
        <v>US-412/SH-412B Interchange</v>
      </c>
      <c r="C8" s="847">
        <f>'Project Costs'!C50</f>
        <v>25195092.686932586</v>
      </c>
      <c r="D8" s="847">
        <f>'Project Costs'!F50</f>
        <v>503901.85373865173</v>
      </c>
      <c r="E8" s="848">
        <f>C8+D8</f>
        <v>25698994.540671237</v>
      </c>
      <c r="F8"/>
      <c r="G8" s="1349" t="s">
        <v>200</v>
      </c>
      <c r="H8" s="1339"/>
      <c r="I8" s="773">
        <f>usefulLife</f>
        <v>30</v>
      </c>
      <c r="J8" s="1079"/>
    </row>
    <row r="9" spans="1:10" ht="21.95" customHeight="1" thickBot="1" x14ac:dyDescent="0.25">
      <c r="B9" s="888" t="str">
        <f>'Project Costs'!B51</f>
        <v>SH-412B South Widening</v>
      </c>
      <c r="C9" s="847">
        <f>'Project Costs'!C51</f>
        <v>12888948.661019783</v>
      </c>
      <c r="D9" s="847">
        <f>'Project Costs'!F51</f>
        <v>0</v>
      </c>
      <c r="E9" s="848">
        <f t="shared" ref="E9:E16" si="0">C9+D9</f>
        <v>12888948.661019783</v>
      </c>
      <c r="F9"/>
      <c r="G9" s="1350" t="s">
        <v>198</v>
      </c>
      <c r="H9" s="1351"/>
      <c r="I9" s="774">
        <f>yearsOfBenefits</f>
        <v>20</v>
      </c>
      <c r="J9" s="1079"/>
    </row>
    <row r="10" spans="1:10" ht="21.95" customHeight="1" x14ac:dyDescent="0.2">
      <c r="B10" s="888" t="str">
        <f>'Project Costs'!B52</f>
        <v>SH-412B Roundabout</v>
      </c>
      <c r="C10" s="847">
        <f>'Project Costs'!C52</f>
        <v>5021086.0870755333</v>
      </c>
      <c r="D10" s="847">
        <f>'Project Costs'!F52</f>
        <v>0</v>
      </c>
      <c r="E10" s="848">
        <f t="shared" si="0"/>
        <v>5021086.0870755333</v>
      </c>
      <c r="F10"/>
      <c r="G10"/>
      <c r="H10"/>
    </row>
    <row r="11" spans="1:10" ht="21.95" customHeight="1" x14ac:dyDescent="0.2">
      <c r="B11" s="888" t="str">
        <f>'Project Costs'!B53</f>
        <v>Patrol Road Improvements</v>
      </c>
      <c r="C11" s="847">
        <f>'Project Costs'!C53</f>
        <v>9683523.1679313853</v>
      </c>
      <c r="D11" s="847">
        <f>'Project Costs'!F53</f>
        <v>0</v>
      </c>
      <c r="E11" s="848">
        <f t="shared" si="0"/>
        <v>9683523.1679313853</v>
      </c>
      <c r="F11"/>
      <c r="G11"/>
      <c r="H11"/>
    </row>
    <row r="12" spans="1:10" ht="21.95" customHeight="1" x14ac:dyDescent="0.2">
      <c r="B12" s="888" t="str">
        <f>'Project Costs'!B54</f>
        <v>Williams Street Improvements</v>
      </c>
      <c r="C12" s="847">
        <f>'Project Costs'!C54</f>
        <v>12194066.211469153</v>
      </c>
      <c r="D12" s="847">
        <f>'Project Costs'!F54</f>
        <v>0</v>
      </c>
      <c r="E12" s="848">
        <f t="shared" si="0"/>
        <v>12194066.211469153</v>
      </c>
      <c r="F12"/>
      <c r="G12"/>
      <c r="H12"/>
    </row>
    <row r="13" spans="1:10" ht="21.95" customHeight="1" x14ac:dyDescent="0.2">
      <c r="B13" s="888" t="str">
        <f>'Project Costs'!B57</f>
        <v>SH-412B North Reconstruction</v>
      </c>
      <c r="C13" s="847">
        <f>'Project Costs'!C57</f>
        <v>6881577.8068401283</v>
      </c>
      <c r="D13" s="847">
        <f>'Project Costs'!F57</f>
        <v>0</v>
      </c>
      <c r="E13" s="848">
        <f t="shared" si="0"/>
        <v>6881577.8068401283</v>
      </c>
      <c r="F13"/>
      <c r="G13"/>
      <c r="H13"/>
    </row>
    <row r="14" spans="1:10" ht="21.95" customHeight="1" x14ac:dyDescent="0.2">
      <c r="B14" s="888" t="str">
        <f>'Project Costs'!B58</f>
        <v>US-69 / Main Street Intersection</v>
      </c>
      <c r="C14" s="847">
        <f>'Project Costs'!C58</f>
        <v>358649.00621968094</v>
      </c>
      <c r="D14" s="847">
        <f>'Project Costs'!F58</f>
        <v>0</v>
      </c>
      <c r="E14" s="848">
        <f t="shared" si="0"/>
        <v>358649.00621968094</v>
      </c>
      <c r="F14"/>
      <c r="G14"/>
      <c r="H14"/>
    </row>
    <row r="15" spans="1:10" ht="21.95" customHeight="1" x14ac:dyDescent="0.2">
      <c r="B15" s="888" t="str">
        <f>'Project Costs'!B59</f>
        <v>Zarrow Street Widening</v>
      </c>
      <c r="C15" s="847">
        <f>'Project Costs'!C59</f>
        <v>5684586.7485819431</v>
      </c>
      <c r="D15" s="847">
        <f>'Project Costs'!F59</f>
        <v>0</v>
      </c>
      <c r="E15" s="848">
        <f t="shared" si="0"/>
        <v>5684586.7485819431</v>
      </c>
      <c r="F15"/>
      <c r="G15"/>
      <c r="H15"/>
    </row>
    <row r="16" spans="1:10" ht="21.95" customHeight="1" x14ac:dyDescent="0.2">
      <c r="B16" s="888" t="str">
        <f>'Project Costs'!B60</f>
        <v>Rocket Road Improvements</v>
      </c>
      <c r="C16" s="847">
        <f>'Project Costs'!C60</f>
        <v>6007370.8541796561</v>
      </c>
      <c r="D16" s="847">
        <f>'Project Costs'!F60</f>
        <v>0</v>
      </c>
      <c r="E16" s="848">
        <f t="shared" si="0"/>
        <v>6007370.8541796561</v>
      </c>
      <c r="I16" s="2"/>
      <c r="J16" s="2"/>
    </row>
    <row r="17" spans="1:32" ht="21.95" customHeight="1" thickBot="1" x14ac:dyDescent="0.25">
      <c r="B17" s="889" t="s">
        <v>25</v>
      </c>
      <c r="C17" s="879">
        <f>SUM(C8:C16)</f>
        <v>83914901.230249837</v>
      </c>
      <c r="D17" s="879">
        <f>SUM(D8:D16)</f>
        <v>503901.85373865173</v>
      </c>
      <c r="E17" s="880">
        <f>C17+D17</f>
        <v>84418803.083988488</v>
      </c>
    </row>
    <row r="18" spans="1:32" ht="21.95" customHeight="1" x14ac:dyDescent="0.2">
      <c r="B18" s="1"/>
      <c r="C18" s="29"/>
      <c r="D18" s="29"/>
      <c r="E18" s="29"/>
    </row>
    <row r="19" spans="1:32" ht="21.95" customHeight="1" thickBot="1" x14ac:dyDescent="0.25">
      <c r="B19" s="561" t="s">
        <v>292</v>
      </c>
    </row>
    <row r="20" spans="1:32" ht="21.95" customHeight="1" x14ac:dyDescent="0.2">
      <c r="B20" s="832" t="s">
        <v>102</v>
      </c>
      <c r="C20" s="759" t="s">
        <v>160</v>
      </c>
      <c r="D20" s="759" t="s">
        <v>163</v>
      </c>
      <c r="E20" s="833" t="s">
        <v>25</v>
      </c>
    </row>
    <row r="21" spans="1:32" ht="21.95" customHeight="1" x14ac:dyDescent="0.2">
      <c r="B21" s="888" t="str">
        <f>'Project Costs'!B50</f>
        <v>US-412/SH-412B Interchange</v>
      </c>
      <c r="C21" s="847">
        <f>'Project Costs'!C50</f>
        <v>25195092.686932586</v>
      </c>
      <c r="D21" s="847">
        <f>'Project Costs'!F50</f>
        <v>503901.85373865173</v>
      </c>
      <c r="E21" s="848">
        <f>C21+D21</f>
        <v>25698994.540671237</v>
      </c>
    </row>
    <row r="22" spans="1:32" ht="21.95" customHeight="1" x14ac:dyDescent="0.2">
      <c r="B22" s="888" t="str">
        <f>'Project Costs'!B51</f>
        <v>SH-412B South Widening</v>
      </c>
      <c r="C22" s="847">
        <f>'Project Costs'!C51</f>
        <v>12888948.661019783</v>
      </c>
      <c r="D22" s="847">
        <f>'Project Costs'!F51</f>
        <v>0</v>
      </c>
      <c r="E22" s="848">
        <f t="shared" ref="E22:E25" si="1">C22+D22</f>
        <v>12888948.661019783</v>
      </c>
    </row>
    <row r="23" spans="1:32" ht="21.95" customHeight="1" x14ac:dyDescent="0.2">
      <c r="B23" s="888" t="str">
        <f>'Project Costs'!B52</f>
        <v>SH-412B Roundabout</v>
      </c>
      <c r="C23" s="847">
        <f>'Project Costs'!C52</f>
        <v>5021086.0870755333</v>
      </c>
      <c r="D23" s="847">
        <f>'Project Costs'!F52</f>
        <v>0</v>
      </c>
      <c r="E23" s="848">
        <f t="shared" si="1"/>
        <v>5021086.0870755333</v>
      </c>
    </row>
    <row r="24" spans="1:32" ht="21.95" customHeight="1" x14ac:dyDescent="0.2">
      <c r="B24" s="888" t="str">
        <f>'Project Costs'!B53</f>
        <v>Patrol Road Improvements</v>
      </c>
      <c r="C24" s="847">
        <f>'Project Costs'!C53</f>
        <v>9683523.1679313853</v>
      </c>
      <c r="D24" s="847">
        <f>'Project Costs'!F53</f>
        <v>0</v>
      </c>
      <c r="E24" s="848">
        <f t="shared" si="1"/>
        <v>9683523.1679313853</v>
      </c>
    </row>
    <row r="25" spans="1:32" ht="21.95" customHeight="1" x14ac:dyDescent="0.2">
      <c r="B25" s="888" t="str">
        <f>'Project Costs'!B54</f>
        <v>Williams Street Improvements</v>
      </c>
      <c r="C25" s="847">
        <f>'Project Costs'!C54</f>
        <v>12194066.211469153</v>
      </c>
      <c r="D25" s="847">
        <f>'Project Costs'!F54</f>
        <v>0</v>
      </c>
      <c r="E25" s="848">
        <f t="shared" si="1"/>
        <v>12194066.211469153</v>
      </c>
    </row>
    <row r="26" spans="1:32" ht="21.95" customHeight="1" thickBot="1" x14ac:dyDescent="0.25">
      <c r="B26" s="889" t="s">
        <v>25</v>
      </c>
      <c r="C26" s="879">
        <f>SUM(C21:C25)</f>
        <v>64982716.814428434</v>
      </c>
      <c r="D26" s="879">
        <f>SUM(D21:D25)</f>
        <v>503901.85373865173</v>
      </c>
      <c r="E26" s="880">
        <f>C26+D26</f>
        <v>65486618.668167084</v>
      </c>
    </row>
    <row r="27" spans="1:32" ht="21.95" customHeight="1" x14ac:dyDescent="0.2">
      <c r="B27" s="1"/>
      <c r="C27" s="29"/>
      <c r="D27" s="29"/>
      <c r="E27" s="29"/>
    </row>
    <row r="29" spans="1:32" ht="21.95" customHeight="1" x14ac:dyDescent="0.2">
      <c r="A29" s="192"/>
      <c r="B29" s="193" t="s">
        <v>103</v>
      </c>
      <c r="D29" s="520"/>
    </row>
    <row r="30" spans="1:32" ht="21.95" customHeight="1" x14ac:dyDescent="0.2">
      <c r="B30" s="9"/>
      <c r="C30" s="9"/>
    </row>
    <row r="31" spans="1:32" ht="21.95" customHeight="1" thickBot="1" x14ac:dyDescent="0.25">
      <c r="B31" s="561" t="s">
        <v>293</v>
      </c>
      <c r="C31" s="9"/>
    </row>
    <row r="32" spans="1:32" ht="21.95" customHeight="1" x14ac:dyDescent="0.2">
      <c r="B32" s="926" t="s">
        <v>81</v>
      </c>
      <c r="C32" s="760"/>
      <c r="D32" s="761" t="s">
        <v>133</v>
      </c>
      <c r="E32" s="760" cm="1">
        <f t="array" ref="E32:AF32">year</f>
        <v>2021</v>
      </c>
      <c r="F32" s="760">
        <v>2022</v>
      </c>
      <c r="G32" s="760">
        <v>2023</v>
      </c>
      <c r="H32" s="760">
        <v>2024</v>
      </c>
      <c r="I32" s="760">
        <v>2025</v>
      </c>
      <c r="J32" s="760">
        <v>2026</v>
      </c>
      <c r="K32" s="760">
        <v>2027</v>
      </c>
      <c r="L32" s="760">
        <v>2028</v>
      </c>
      <c r="M32" s="760">
        <v>2029</v>
      </c>
      <c r="N32" s="760">
        <v>2030</v>
      </c>
      <c r="O32" s="760">
        <v>2031</v>
      </c>
      <c r="P32" s="760">
        <v>2032</v>
      </c>
      <c r="Q32" s="760">
        <v>2033</v>
      </c>
      <c r="R32" s="760">
        <v>2034</v>
      </c>
      <c r="S32" s="760">
        <v>2035</v>
      </c>
      <c r="T32" s="760">
        <v>2036</v>
      </c>
      <c r="U32" s="760">
        <v>2037</v>
      </c>
      <c r="V32" s="760">
        <v>2038</v>
      </c>
      <c r="W32" s="760">
        <v>2039</v>
      </c>
      <c r="X32" s="760">
        <v>2040</v>
      </c>
      <c r="Y32" s="760">
        <v>2041</v>
      </c>
      <c r="Z32" s="760">
        <v>2042</v>
      </c>
      <c r="AA32" s="760">
        <v>2043</v>
      </c>
      <c r="AB32" s="760">
        <v>2044</v>
      </c>
      <c r="AC32" s="760">
        <v>2045</v>
      </c>
      <c r="AD32" s="760">
        <v>2046</v>
      </c>
      <c r="AE32" s="760">
        <v>2047</v>
      </c>
      <c r="AF32" s="761">
        <v>2048</v>
      </c>
    </row>
    <row r="33" spans="2:32" ht="21.95" customHeight="1" x14ac:dyDescent="0.2">
      <c r="B33" s="888" t="str">
        <f>'Project Costs'!B50</f>
        <v>US-412/SH-412B Interchange</v>
      </c>
      <c r="C33" s="116"/>
      <c r="D33" s="885" cm="1">
        <f t="array" ref="D33">SUM(_xlfn.ANCHORARRAY(E33) * discountAnnual)</f>
        <v>1432644.9504974985</v>
      </c>
      <c r="E33" s="884" cm="1">
        <f t="array" ref="E33:AF33">IF(year = MAX(year), (C8 * ($I$8 - $I$9) / $I$8) + D8, 0)</f>
        <v>0</v>
      </c>
      <c r="F33" s="884">
        <v>0</v>
      </c>
      <c r="G33" s="884">
        <v>0</v>
      </c>
      <c r="H33" s="884">
        <v>0</v>
      </c>
      <c r="I33" s="884">
        <v>0</v>
      </c>
      <c r="J33" s="884">
        <v>0</v>
      </c>
      <c r="K33" s="884">
        <v>0</v>
      </c>
      <c r="L33" s="884">
        <v>0</v>
      </c>
      <c r="M33" s="884">
        <v>0</v>
      </c>
      <c r="N33" s="884">
        <v>0</v>
      </c>
      <c r="O33" s="884">
        <v>0</v>
      </c>
      <c r="P33" s="884">
        <v>0</v>
      </c>
      <c r="Q33" s="884">
        <v>0</v>
      </c>
      <c r="R33" s="884">
        <v>0</v>
      </c>
      <c r="S33" s="884">
        <v>0</v>
      </c>
      <c r="T33" s="884">
        <v>0</v>
      </c>
      <c r="U33" s="884">
        <v>0</v>
      </c>
      <c r="V33" s="884">
        <v>0</v>
      </c>
      <c r="W33" s="884">
        <v>0</v>
      </c>
      <c r="X33" s="884">
        <v>0</v>
      </c>
      <c r="Y33" s="884">
        <v>0</v>
      </c>
      <c r="Z33" s="884">
        <v>0</v>
      </c>
      <c r="AA33" s="884">
        <v>0</v>
      </c>
      <c r="AB33" s="884">
        <v>0</v>
      </c>
      <c r="AC33" s="884">
        <v>0</v>
      </c>
      <c r="AD33" s="884">
        <v>0</v>
      </c>
      <c r="AE33" s="884">
        <v>0</v>
      </c>
      <c r="AF33" s="885">
        <v>8902266.0827161819</v>
      </c>
    </row>
    <row r="34" spans="2:32" ht="21.95" customHeight="1" x14ac:dyDescent="0.2">
      <c r="B34" s="888" t="str">
        <f>'Project Costs'!B51</f>
        <v>SH-412B South Widening</v>
      </c>
      <c r="C34" s="116"/>
      <c r="D34" s="885" cm="1">
        <f t="array" ref="D34">SUM(_xlfn.ANCHORARRAY(E34) * discountAnnual)</f>
        <v>691407.74737801438</v>
      </c>
      <c r="E34" s="884" cm="1">
        <f t="array" ref="E34:AF34">IF(year = MAX(year), (C9 * ($I$8 - $I$9) / $I$8) + D9, 0)</f>
        <v>0</v>
      </c>
      <c r="F34" s="884">
        <v>0</v>
      </c>
      <c r="G34" s="884">
        <v>0</v>
      </c>
      <c r="H34" s="884">
        <v>0</v>
      </c>
      <c r="I34" s="884">
        <v>0</v>
      </c>
      <c r="J34" s="884">
        <v>0</v>
      </c>
      <c r="K34" s="884">
        <v>0</v>
      </c>
      <c r="L34" s="884">
        <v>0</v>
      </c>
      <c r="M34" s="884">
        <v>0</v>
      </c>
      <c r="N34" s="884">
        <v>0</v>
      </c>
      <c r="O34" s="884">
        <v>0</v>
      </c>
      <c r="P34" s="884">
        <v>0</v>
      </c>
      <c r="Q34" s="884">
        <v>0</v>
      </c>
      <c r="R34" s="884">
        <v>0</v>
      </c>
      <c r="S34" s="884">
        <v>0</v>
      </c>
      <c r="T34" s="884">
        <v>0</v>
      </c>
      <c r="U34" s="884">
        <v>0</v>
      </c>
      <c r="V34" s="884">
        <v>0</v>
      </c>
      <c r="W34" s="884">
        <v>0</v>
      </c>
      <c r="X34" s="884">
        <v>0</v>
      </c>
      <c r="Y34" s="884">
        <v>0</v>
      </c>
      <c r="Z34" s="884">
        <v>0</v>
      </c>
      <c r="AA34" s="884">
        <v>0</v>
      </c>
      <c r="AB34" s="884">
        <v>0</v>
      </c>
      <c r="AC34" s="884">
        <v>0</v>
      </c>
      <c r="AD34" s="884">
        <v>0</v>
      </c>
      <c r="AE34" s="884">
        <v>0</v>
      </c>
      <c r="AF34" s="885">
        <v>4296316.2203399278</v>
      </c>
    </row>
    <row r="35" spans="2:32" ht="21.95" customHeight="1" x14ac:dyDescent="0.2">
      <c r="B35" s="888" t="str">
        <f>'Project Costs'!B52</f>
        <v>SH-412B Roundabout</v>
      </c>
      <c r="C35" s="116"/>
      <c r="D35" s="885" cm="1">
        <f t="array" ref="D35">SUM(_xlfn.ANCHORARRAY(E35) * discountAnnual)</f>
        <v>269348.40941334818</v>
      </c>
      <c r="E35" s="884" cm="1">
        <f t="array" ref="E35:AF35">IF(year = MAX(year), (C10 * ($I$8 - $I$9) / $I$8) + D10, 0)</f>
        <v>0</v>
      </c>
      <c r="F35" s="884">
        <v>0</v>
      </c>
      <c r="G35" s="884">
        <v>0</v>
      </c>
      <c r="H35" s="884">
        <v>0</v>
      </c>
      <c r="I35" s="884">
        <v>0</v>
      </c>
      <c r="J35" s="884">
        <v>0</v>
      </c>
      <c r="K35" s="884">
        <v>0</v>
      </c>
      <c r="L35" s="884">
        <v>0</v>
      </c>
      <c r="M35" s="884">
        <v>0</v>
      </c>
      <c r="N35" s="884">
        <v>0</v>
      </c>
      <c r="O35" s="884">
        <v>0</v>
      </c>
      <c r="P35" s="884">
        <v>0</v>
      </c>
      <c r="Q35" s="884">
        <v>0</v>
      </c>
      <c r="R35" s="884">
        <v>0</v>
      </c>
      <c r="S35" s="884">
        <v>0</v>
      </c>
      <c r="T35" s="884">
        <v>0</v>
      </c>
      <c r="U35" s="884">
        <v>0</v>
      </c>
      <c r="V35" s="884">
        <v>0</v>
      </c>
      <c r="W35" s="884">
        <v>0</v>
      </c>
      <c r="X35" s="884">
        <v>0</v>
      </c>
      <c r="Y35" s="884">
        <v>0</v>
      </c>
      <c r="Z35" s="884">
        <v>0</v>
      </c>
      <c r="AA35" s="884">
        <v>0</v>
      </c>
      <c r="AB35" s="884">
        <v>0</v>
      </c>
      <c r="AC35" s="884">
        <v>0</v>
      </c>
      <c r="AD35" s="884">
        <v>0</v>
      </c>
      <c r="AE35" s="884">
        <v>0</v>
      </c>
      <c r="AF35" s="885">
        <v>1673695.362358511</v>
      </c>
    </row>
    <row r="36" spans="2:32" ht="21.95" customHeight="1" x14ac:dyDescent="0.2">
      <c r="B36" s="888" t="str">
        <f>'Project Costs'!B53</f>
        <v>Patrol Road Improvements</v>
      </c>
      <c r="C36" s="116"/>
      <c r="D36" s="885" cm="1">
        <f t="array" ref="D36">SUM(_xlfn.ANCHORARRAY(E36) * discountAnnual)</f>
        <v>519457.64672574296</v>
      </c>
      <c r="E36" s="884" cm="1">
        <f t="array" ref="E36:AF36">IF(year = MAX(year), (C11 * ($I$8 - $I$9) / $I$8) + D11, 0)</f>
        <v>0</v>
      </c>
      <c r="F36" s="884">
        <v>0</v>
      </c>
      <c r="G36" s="884">
        <v>0</v>
      </c>
      <c r="H36" s="884">
        <v>0</v>
      </c>
      <c r="I36" s="884">
        <v>0</v>
      </c>
      <c r="J36" s="884">
        <v>0</v>
      </c>
      <c r="K36" s="884">
        <v>0</v>
      </c>
      <c r="L36" s="884">
        <v>0</v>
      </c>
      <c r="M36" s="884">
        <v>0</v>
      </c>
      <c r="N36" s="884">
        <v>0</v>
      </c>
      <c r="O36" s="884">
        <v>0</v>
      </c>
      <c r="P36" s="884">
        <v>0</v>
      </c>
      <c r="Q36" s="884">
        <v>0</v>
      </c>
      <c r="R36" s="884">
        <v>0</v>
      </c>
      <c r="S36" s="884">
        <v>0</v>
      </c>
      <c r="T36" s="884">
        <v>0</v>
      </c>
      <c r="U36" s="884">
        <v>0</v>
      </c>
      <c r="V36" s="884">
        <v>0</v>
      </c>
      <c r="W36" s="884">
        <v>0</v>
      </c>
      <c r="X36" s="884">
        <v>0</v>
      </c>
      <c r="Y36" s="884">
        <v>0</v>
      </c>
      <c r="Z36" s="884">
        <v>0</v>
      </c>
      <c r="AA36" s="884">
        <v>0</v>
      </c>
      <c r="AB36" s="884">
        <v>0</v>
      </c>
      <c r="AC36" s="884">
        <v>0</v>
      </c>
      <c r="AD36" s="884">
        <v>0</v>
      </c>
      <c r="AE36" s="884">
        <v>0</v>
      </c>
      <c r="AF36" s="885">
        <v>3227841.0559771284</v>
      </c>
    </row>
    <row r="37" spans="2:32" ht="21.95" customHeight="1" x14ac:dyDescent="0.2">
      <c r="B37" s="888" t="str">
        <f>'Project Costs'!B54</f>
        <v>Williams Street Improvements</v>
      </c>
      <c r="C37" s="116"/>
      <c r="D37" s="885" cm="1">
        <f t="array" ref="D37">SUM(_xlfn.ANCHORARRAY(E37) * discountAnnual)</f>
        <v>654131.85143241717</v>
      </c>
      <c r="E37" s="884" cm="1">
        <f t="array" ref="E37:AF37">IF(year = MAX(year), (C12 * ($I$8 - $I$9) / $I$8) + D12, 0)</f>
        <v>0</v>
      </c>
      <c r="F37" s="884">
        <v>0</v>
      </c>
      <c r="G37" s="884">
        <v>0</v>
      </c>
      <c r="H37" s="884">
        <v>0</v>
      </c>
      <c r="I37" s="884">
        <v>0</v>
      </c>
      <c r="J37" s="884">
        <v>0</v>
      </c>
      <c r="K37" s="884">
        <v>0</v>
      </c>
      <c r="L37" s="884">
        <v>0</v>
      </c>
      <c r="M37" s="884">
        <v>0</v>
      </c>
      <c r="N37" s="884">
        <v>0</v>
      </c>
      <c r="O37" s="884">
        <v>0</v>
      </c>
      <c r="P37" s="884">
        <v>0</v>
      </c>
      <c r="Q37" s="884">
        <v>0</v>
      </c>
      <c r="R37" s="884">
        <v>0</v>
      </c>
      <c r="S37" s="884">
        <v>0</v>
      </c>
      <c r="T37" s="884">
        <v>0</v>
      </c>
      <c r="U37" s="884">
        <v>0</v>
      </c>
      <c r="V37" s="884">
        <v>0</v>
      </c>
      <c r="W37" s="884">
        <v>0</v>
      </c>
      <c r="X37" s="884">
        <v>0</v>
      </c>
      <c r="Y37" s="884">
        <v>0</v>
      </c>
      <c r="Z37" s="884">
        <v>0</v>
      </c>
      <c r="AA37" s="884">
        <v>0</v>
      </c>
      <c r="AB37" s="884">
        <v>0</v>
      </c>
      <c r="AC37" s="884">
        <v>0</v>
      </c>
      <c r="AD37" s="884">
        <v>0</v>
      </c>
      <c r="AE37" s="884">
        <v>0</v>
      </c>
      <c r="AF37" s="885">
        <v>4064688.7371563842</v>
      </c>
    </row>
    <row r="38" spans="2:32" ht="21.95" customHeight="1" x14ac:dyDescent="0.2">
      <c r="B38" s="888" t="str">
        <f>'Project Costs'!B57</f>
        <v>SH-412B North Reconstruction</v>
      </c>
      <c r="C38" s="116"/>
      <c r="D38" s="885" cm="1">
        <f t="array" ref="D38">SUM(_xlfn.ANCHORARRAY(E38) * discountAnnual)</f>
        <v>369151.61468704417</v>
      </c>
      <c r="E38" s="884" cm="1">
        <f t="array" ref="E38:AF38">IF(year = MAX(year), (C13 * ($I$8 - $I$9) / $I$8) + D13, 0)</f>
        <v>0</v>
      </c>
      <c r="F38" s="884">
        <v>0</v>
      </c>
      <c r="G38" s="884">
        <v>0</v>
      </c>
      <c r="H38" s="884">
        <v>0</v>
      </c>
      <c r="I38" s="884">
        <v>0</v>
      </c>
      <c r="J38" s="884">
        <v>0</v>
      </c>
      <c r="K38" s="884">
        <v>0</v>
      </c>
      <c r="L38" s="884">
        <v>0</v>
      </c>
      <c r="M38" s="884">
        <v>0</v>
      </c>
      <c r="N38" s="884">
        <v>0</v>
      </c>
      <c r="O38" s="884">
        <v>0</v>
      </c>
      <c r="P38" s="884">
        <v>0</v>
      </c>
      <c r="Q38" s="884">
        <v>0</v>
      </c>
      <c r="R38" s="884">
        <v>0</v>
      </c>
      <c r="S38" s="884">
        <v>0</v>
      </c>
      <c r="T38" s="884">
        <v>0</v>
      </c>
      <c r="U38" s="884">
        <v>0</v>
      </c>
      <c r="V38" s="884">
        <v>0</v>
      </c>
      <c r="W38" s="884">
        <v>0</v>
      </c>
      <c r="X38" s="884">
        <v>0</v>
      </c>
      <c r="Y38" s="884">
        <v>0</v>
      </c>
      <c r="Z38" s="884">
        <v>0</v>
      </c>
      <c r="AA38" s="884">
        <v>0</v>
      </c>
      <c r="AB38" s="884">
        <v>0</v>
      </c>
      <c r="AC38" s="884">
        <v>0</v>
      </c>
      <c r="AD38" s="884">
        <v>0</v>
      </c>
      <c r="AE38" s="884">
        <v>0</v>
      </c>
      <c r="AF38" s="885">
        <v>2293859.2689467091</v>
      </c>
    </row>
    <row r="39" spans="2:32" ht="21.95" customHeight="1" x14ac:dyDescent="0.2">
      <c r="B39" s="888" t="str">
        <f>'Project Costs'!B58</f>
        <v>US-69 / Main Street Intersection</v>
      </c>
      <c r="C39" s="116"/>
      <c r="D39" s="885" cm="1">
        <f t="array" ref="D39">SUM(_xlfn.ANCHORARRAY(E39) * discountAnnual)</f>
        <v>19239.172100953445</v>
      </c>
      <c r="E39" s="884" cm="1">
        <f t="array" ref="E39:AF39">IF(year = MAX(year), (C14 * ($I$8 - $I$9) / $I$8) + D14, 0)</f>
        <v>0</v>
      </c>
      <c r="F39" s="884">
        <v>0</v>
      </c>
      <c r="G39" s="884">
        <v>0</v>
      </c>
      <c r="H39" s="884">
        <v>0</v>
      </c>
      <c r="I39" s="884">
        <v>0</v>
      </c>
      <c r="J39" s="884">
        <v>0</v>
      </c>
      <c r="K39" s="884">
        <v>0</v>
      </c>
      <c r="L39" s="884">
        <v>0</v>
      </c>
      <c r="M39" s="884">
        <v>0</v>
      </c>
      <c r="N39" s="884">
        <v>0</v>
      </c>
      <c r="O39" s="884">
        <v>0</v>
      </c>
      <c r="P39" s="884">
        <v>0</v>
      </c>
      <c r="Q39" s="884">
        <v>0</v>
      </c>
      <c r="R39" s="884">
        <v>0</v>
      </c>
      <c r="S39" s="884">
        <v>0</v>
      </c>
      <c r="T39" s="884">
        <v>0</v>
      </c>
      <c r="U39" s="884">
        <v>0</v>
      </c>
      <c r="V39" s="884">
        <v>0</v>
      </c>
      <c r="W39" s="884">
        <v>0</v>
      </c>
      <c r="X39" s="884">
        <v>0</v>
      </c>
      <c r="Y39" s="884">
        <v>0</v>
      </c>
      <c r="Z39" s="884">
        <v>0</v>
      </c>
      <c r="AA39" s="884">
        <v>0</v>
      </c>
      <c r="AB39" s="884">
        <v>0</v>
      </c>
      <c r="AC39" s="884">
        <v>0</v>
      </c>
      <c r="AD39" s="884">
        <v>0</v>
      </c>
      <c r="AE39" s="884">
        <v>0</v>
      </c>
      <c r="AF39" s="885">
        <v>119549.66873989365</v>
      </c>
    </row>
    <row r="40" spans="2:32" ht="21.95" customHeight="1" x14ac:dyDescent="0.2">
      <c r="B40" s="888" t="str">
        <f>'Project Costs'!B59</f>
        <v>Zarrow Street Widening</v>
      </c>
      <c r="C40" s="116"/>
      <c r="D40" s="885" cm="1">
        <f t="array" ref="D40">SUM(_xlfn.ANCHORARRAY(E40) * discountAnnual)</f>
        <v>304940.87780011207</v>
      </c>
      <c r="E40" s="884" cm="1">
        <f t="array" ref="E40:AF40">IF(year = MAX(year), (C15 * ($I$8 - $I$9) / $I$8) + D15, 0)</f>
        <v>0</v>
      </c>
      <c r="F40" s="884">
        <v>0</v>
      </c>
      <c r="G40" s="884">
        <v>0</v>
      </c>
      <c r="H40" s="884">
        <v>0</v>
      </c>
      <c r="I40" s="884">
        <v>0</v>
      </c>
      <c r="J40" s="884">
        <v>0</v>
      </c>
      <c r="K40" s="884">
        <v>0</v>
      </c>
      <c r="L40" s="884">
        <v>0</v>
      </c>
      <c r="M40" s="884">
        <v>0</v>
      </c>
      <c r="N40" s="884">
        <v>0</v>
      </c>
      <c r="O40" s="884">
        <v>0</v>
      </c>
      <c r="P40" s="884">
        <v>0</v>
      </c>
      <c r="Q40" s="884">
        <v>0</v>
      </c>
      <c r="R40" s="884">
        <v>0</v>
      </c>
      <c r="S40" s="884">
        <v>0</v>
      </c>
      <c r="T40" s="884">
        <v>0</v>
      </c>
      <c r="U40" s="884">
        <v>0</v>
      </c>
      <c r="V40" s="884">
        <v>0</v>
      </c>
      <c r="W40" s="884">
        <v>0</v>
      </c>
      <c r="X40" s="884">
        <v>0</v>
      </c>
      <c r="Y40" s="884">
        <v>0</v>
      </c>
      <c r="Z40" s="884">
        <v>0</v>
      </c>
      <c r="AA40" s="884">
        <v>0</v>
      </c>
      <c r="AB40" s="884">
        <v>0</v>
      </c>
      <c r="AC40" s="884">
        <v>0</v>
      </c>
      <c r="AD40" s="884">
        <v>0</v>
      </c>
      <c r="AE40" s="884">
        <v>0</v>
      </c>
      <c r="AF40" s="885">
        <v>1894862.2495273142</v>
      </c>
    </row>
    <row r="41" spans="2:32" ht="21.95" customHeight="1" x14ac:dyDescent="0.2">
      <c r="B41" s="888" t="str">
        <f>'Project Costs'!B60</f>
        <v>Rocket Road Improvements</v>
      </c>
      <c r="C41" s="116"/>
      <c r="D41" s="885" cm="1">
        <f t="array" ref="D41">SUM(_xlfn.ANCHORARRAY(E41) * discountAnnual)</f>
        <v>322256.13269097026</v>
      </c>
      <c r="E41" s="884" cm="1">
        <f t="array" ref="E41:AF41">IF(year = MAX(year), (C16 * ($I$8 - $I$9) / $I$8) + D16, 0)</f>
        <v>0</v>
      </c>
      <c r="F41" s="884">
        <v>0</v>
      </c>
      <c r="G41" s="884">
        <v>0</v>
      </c>
      <c r="H41" s="884">
        <v>0</v>
      </c>
      <c r="I41" s="884">
        <v>0</v>
      </c>
      <c r="J41" s="884">
        <v>0</v>
      </c>
      <c r="K41" s="884">
        <v>0</v>
      </c>
      <c r="L41" s="884">
        <v>0</v>
      </c>
      <c r="M41" s="884">
        <v>0</v>
      </c>
      <c r="N41" s="884">
        <v>0</v>
      </c>
      <c r="O41" s="884">
        <v>0</v>
      </c>
      <c r="P41" s="884">
        <v>0</v>
      </c>
      <c r="Q41" s="884">
        <v>0</v>
      </c>
      <c r="R41" s="884">
        <v>0</v>
      </c>
      <c r="S41" s="884">
        <v>0</v>
      </c>
      <c r="T41" s="884">
        <v>0</v>
      </c>
      <c r="U41" s="884">
        <v>0</v>
      </c>
      <c r="V41" s="884">
        <v>0</v>
      </c>
      <c r="W41" s="884">
        <v>0</v>
      </c>
      <c r="X41" s="884">
        <v>0</v>
      </c>
      <c r="Y41" s="884">
        <v>0</v>
      </c>
      <c r="Z41" s="884">
        <v>0</v>
      </c>
      <c r="AA41" s="884">
        <v>0</v>
      </c>
      <c r="AB41" s="884">
        <v>0</v>
      </c>
      <c r="AC41" s="884">
        <v>0</v>
      </c>
      <c r="AD41" s="884">
        <v>0</v>
      </c>
      <c r="AE41" s="884">
        <v>0</v>
      </c>
      <c r="AF41" s="885">
        <v>2002456.9513932189</v>
      </c>
    </row>
    <row r="42" spans="2:32" ht="21.95" customHeight="1" thickBot="1" x14ac:dyDescent="0.25">
      <c r="B42" s="890"/>
      <c r="C42" s="845" t="s">
        <v>25</v>
      </c>
      <c r="D42" s="880" cm="1">
        <f t="array" ref="D42">SUM(_xlfn.ANCHORARRAY(E42) * discountAnnual)</f>
        <v>4582578.4027261008</v>
      </c>
      <c r="E42" s="891" cm="1">
        <f t="array" ref="E42:AF42">_xlfn.ANCHORARRAY(E33) +_xlfn.ANCHORARRAY( E34) +_xlfn.ANCHORARRAY(E35) +_xlfn.ANCHORARRAY( E36) +_xlfn.ANCHORARRAY( E37) +_xlfn.ANCHORARRAY( E38) +_xlfn.ANCHORARRAY( E39) +_xlfn.ANCHORARRAY( E40) +_xlfn.ANCHORARRAY( E41)</f>
        <v>0</v>
      </c>
      <c r="F42" s="891">
        <v>0</v>
      </c>
      <c r="G42" s="891">
        <v>0</v>
      </c>
      <c r="H42" s="891">
        <v>0</v>
      </c>
      <c r="I42" s="891">
        <v>0</v>
      </c>
      <c r="J42" s="891">
        <v>0</v>
      </c>
      <c r="K42" s="891">
        <v>0</v>
      </c>
      <c r="L42" s="891">
        <v>0</v>
      </c>
      <c r="M42" s="891">
        <v>0</v>
      </c>
      <c r="N42" s="891">
        <v>0</v>
      </c>
      <c r="O42" s="891">
        <v>0</v>
      </c>
      <c r="P42" s="891">
        <v>0</v>
      </c>
      <c r="Q42" s="891">
        <v>0</v>
      </c>
      <c r="R42" s="891">
        <v>0</v>
      </c>
      <c r="S42" s="891">
        <v>0</v>
      </c>
      <c r="T42" s="891">
        <v>0</v>
      </c>
      <c r="U42" s="891">
        <v>0</v>
      </c>
      <c r="V42" s="891">
        <v>0</v>
      </c>
      <c r="W42" s="891">
        <v>0</v>
      </c>
      <c r="X42" s="891">
        <v>0</v>
      </c>
      <c r="Y42" s="891">
        <v>0</v>
      </c>
      <c r="Z42" s="891">
        <v>0</v>
      </c>
      <c r="AA42" s="891">
        <v>0</v>
      </c>
      <c r="AB42" s="891">
        <v>0</v>
      </c>
      <c r="AC42" s="891">
        <v>0</v>
      </c>
      <c r="AD42" s="891">
        <v>0</v>
      </c>
      <c r="AE42" s="891">
        <v>0</v>
      </c>
      <c r="AF42" s="892">
        <v>28475535.597155269</v>
      </c>
    </row>
    <row r="45" spans="2:32" ht="21.95" customHeight="1" thickBot="1" x14ac:dyDescent="0.25">
      <c r="B45" s="561" t="s">
        <v>359</v>
      </c>
      <c r="C45" s="9"/>
    </row>
    <row r="46" spans="2:32" ht="21.95" customHeight="1" x14ac:dyDescent="0.2">
      <c r="B46" s="926" t="s">
        <v>81</v>
      </c>
      <c r="C46" s="760"/>
      <c r="D46" s="761" t="s">
        <v>133</v>
      </c>
      <c r="E46" s="760" cm="1">
        <f t="array" ref="E46:AF46">year</f>
        <v>2021</v>
      </c>
      <c r="F46" s="760">
        <v>2022</v>
      </c>
      <c r="G46" s="760">
        <v>2023</v>
      </c>
      <c r="H46" s="760">
        <v>2024</v>
      </c>
      <c r="I46" s="760">
        <v>2025</v>
      </c>
      <c r="J46" s="760">
        <v>2026</v>
      </c>
      <c r="K46" s="760">
        <v>2027</v>
      </c>
      <c r="L46" s="760">
        <v>2028</v>
      </c>
      <c r="M46" s="760">
        <v>2029</v>
      </c>
      <c r="N46" s="760">
        <v>2030</v>
      </c>
      <c r="O46" s="760">
        <v>2031</v>
      </c>
      <c r="P46" s="760">
        <v>2032</v>
      </c>
      <c r="Q46" s="760">
        <v>2033</v>
      </c>
      <c r="R46" s="760">
        <v>2034</v>
      </c>
      <c r="S46" s="760">
        <v>2035</v>
      </c>
      <c r="T46" s="760">
        <v>2036</v>
      </c>
      <c r="U46" s="760">
        <v>2037</v>
      </c>
      <c r="V46" s="760">
        <v>2038</v>
      </c>
      <c r="W46" s="760">
        <v>2039</v>
      </c>
      <c r="X46" s="760">
        <v>2040</v>
      </c>
      <c r="Y46" s="760">
        <v>2041</v>
      </c>
      <c r="Z46" s="760">
        <v>2042</v>
      </c>
      <c r="AA46" s="760">
        <v>2043</v>
      </c>
      <c r="AB46" s="760">
        <v>2044</v>
      </c>
      <c r="AC46" s="760">
        <v>2045</v>
      </c>
      <c r="AD46" s="760">
        <v>2046</v>
      </c>
      <c r="AE46" s="760">
        <v>2047</v>
      </c>
      <c r="AF46" s="761">
        <v>2048</v>
      </c>
    </row>
    <row r="47" spans="2:32" ht="21.95" customHeight="1" x14ac:dyDescent="0.2">
      <c r="B47" s="888" t="str">
        <f>'Project Costs'!B50</f>
        <v>US-412/SH-412B Interchange</v>
      </c>
      <c r="C47" s="116"/>
      <c r="D47" s="885" cm="1">
        <f t="array" ref="D47">SUM(_xlfn.ANCHORARRAY(E47) * discountAnnual)</f>
        <v>1432644.9504974985</v>
      </c>
      <c r="E47" s="884" cm="1">
        <f t="array" ref="E47:AF47">IF(year = MAX(year), (C21 * ($I$8 - $I$9) / $I$8) + D21, 0)</f>
        <v>0</v>
      </c>
      <c r="F47" s="884">
        <v>0</v>
      </c>
      <c r="G47" s="884">
        <v>0</v>
      </c>
      <c r="H47" s="884">
        <v>0</v>
      </c>
      <c r="I47" s="884">
        <v>0</v>
      </c>
      <c r="J47" s="884">
        <v>0</v>
      </c>
      <c r="K47" s="884">
        <v>0</v>
      </c>
      <c r="L47" s="884">
        <v>0</v>
      </c>
      <c r="M47" s="884">
        <v>0</v>
      </c>
      <c r="N47" s="884">
        <v>0</v>
      </c>
      <c r="O47" s="884">
        <v>0</v>
      </c>
      <c r="P47" s="884">
        <v>0</v>
      </c>
      <c r="Q47" s="884">
        <v>0</v>
      </c>
      <c r="R47" s="884">
        <v>0</v>
      </c>
      <c r="S47" s="884">
        <v>0</v>
      </c>
      <c r="T47" s="884">
        <v>0</v>
      </c>
      <c r="U47" s="884">
        <v>0</v>
      </c>
      <c r="V47" s="884">
        <v>0</v>
      </c>
      <c r="W47" s="884">
        <v>0</v>
      </c>
      <c r="X47" s="884">
        <v>0</v>
      </c>
      <c r="Y47" s="884">
        <v>0</v>
      </c>
      <c r="Z47" s="884">
        <v>0</v>
      </c>
      <c r="AA47" s="884">
        <v>0</v>
      </c>
      <c r="AB47" s="884">
        <v>0</v>
      </c>
      <c r="AC47" s="884">
        <v>0</v>
      </c>
      <c r="AD47" s="884">
        <v>0</v>
      </c>
      <c r="AE47" s="884">
        <v>0</v>
      </c>
      <c r="AF47" s="885">
        <v>8902266.0827161819</v>
      </c>
    </row>
    <row r="48" spans="2:32" ht="21.95" customHeight="1" x14ac:dyDescent="0.2">
      <c r="B48" s="888" t="str">
        <f>'Project Costs'!B51</f>
        <v>SH-412B South Widening</v>
      </c>
      <c r="C48" s="116"/>
      <c r="D48" s="885" cm="1">
        <f t="array" ref="D48">SUM(_xlfn.ANCHORARRAY(E48) * discountAnnual)</f>
        <v>691407.74737801438</v>
      </c>
      <c r="E48" s="884" cm="1">
        <f t="array" ref="E48:AF48">IF(year = MAX(year), (C22 * ($I$8 - $I$9) / $I$8) + D22, 0)</f>
        <v>0</v>
      </c>
      <c r="F48" s="884">
        <v>0</v>
      </c>
      <c r="G48" s="884">
        <v>0</v>
      </c>
      <c r="H48" s="884">
        <v>0</v>
      </c>
      <c r="I48" s="884">
        <v>0</v>
      </c>
      <c r="J48" s="884">
        <v>0</v>
      </c>
      <c r="K48" s="884">
        <v>0</v>
      </c>
      <c r="L48" s="884">
        <v>0</v>
      </c>
      <c r="M48" s="884">
        <v>0</v>
      </c>
      <c r="N48" s="884">
        <v>0</v>
      </c>
      <c r="O48" s="884">
        <v>0</v>
      </c>
      <c r="P48" s="884">
        <v>0</v>
      </c>
      <c r="Q48" s="884">
        <v>0</v>
      </c>
      <c r="R48" s="884">
        <v>0</v>
      </c>
      <c r="S48" s="884">
        <v>0</v>
      </c>
      <c r="T48" s="884">
        <v>0</v>
      </c>
      <c r="U48" s="884">
        <v>0</v>
      </c>
      <c r="V48" s="884">
        <v>0</v>
      </c>
      <c r="W48" s="884">
        <v>0</v>
      </c>
      <c r="X48" s="884">
        <v>0</v>
      </c>
      <c r="Y48" s="884">
        <v>0</v>
      </c>
      <c r="Z48" s="884">
        <v>0</v>
      </c>
      <c r="AA48" s="884">
        <v>0</v>
      </c>
      <c r="AB48" s="884">
        <v>0</v>
      </c>
      <c r="AC48" s="884">
        <v>0</v>
      </c>
      <c r="AD48" s="884">
        <v>0</v>
      </c>
      <c r="AE48" s="884">
        <v>0</v>
      </c>
      <c r="AF48" s="885">
        <v>4296316.2203399278</v>
      </c>
    </row>
    <row r="49" spans="2:32" ht="21.95" customHeight="1" x14ac:dyDescent="0.2">
      <c r="B49" s="888" t="str">
        <f>'Project Costs'!B52</f>
        <v>SH-412B Roundabout</v>
      </c>
      <c r="C49" s="116"/>
      <c r="D49" s="885" cm="1">
        <f t="array" ref="D49">SUM(_xlfn.ANCHORARRAY(E49) * discountAnnual)</f>
        <v>269348.40941334818</v>
      </c>
      <c r="E49" s="884" cm="1">
        <f t="array" ref="E49:AF49">IF(year = MAX(year), (C23 * ($I$8 - $I$9) / $I$8) + D23, 0)</f>
        <v>0</v>
      </c>
      <c r="F49" s="884">
        <v>0</v>
      </c>
      <c r="G49" s="884">
        <v>0</v>
      </c>
      <c r="H49" s="884">
        <v>0</v>
      </c>
      <c r="I49" s="884">
        <v>0</v>
      </c>
      <c r="J49" s="884">
        <v>0</v>
      </c>
      <c r="K49" s="884">
        <v>0</v>
      </c>
      <c r="L49" s="884">
        <v>0</v>
      </c>
      <c r="M49" s="884">
        <v>0</v>
      </c>
      <c r="N49" s="884">
        <v>0</v>
      </c>
      <c r="O49" s="884">
        <v>0</v>
      </c>
      <c r="P49" s="884">
        <v>0</v>
      </c>
      <c r="Q49" s="884">
        <v>0</v>
      </c>
      <c r="R49" s="884">
        <v>0</v>
      </c>
      <c r="S49" s="884">
        <v>0</v>
      </c>
      <c r="T49" s="884">
        <v>0</v>
      </c>
      <c r="U49" s="884">
        <v>0</v>
      </c>
      <c r="V49" s="884">
        <v>0</v>
      </c>
      <c r="W49" s="884">
        <v>0</v>
      </c>
      <c r="X49" s="884">
        <v>0</v>
      </c>
      <c r="Y49" s="884">
        <v>0</v>
      </c>
      <c r="Z49" s="884">
        <v>0</v>
      </c>
      <c r="AA49" s="884">
        <v>0</v>
      </c>
      <c r="AB49" s="884">
        <v>0</v>
      </c>
      <c r="AC49" s="884">
        <v>0</v>
      </c>
      <c r="AD49" s="884">
        <v>0</v>
      </c>
      <c r="AE49" s="884">
        <v>0</v>
      </c>
      <c r="AF49" s="885">
        <v>1673695.362358511</v>
      </c>
    </row>
    <row r="50" spans="2:32" ht="21.95" customHeight="1" x14ac:dyDescent="0.2">
      <c r="B50" s="888" t="str">
        <f>'Project Costs'!B53</f>
        <v>Patrol Road Improvements</v>
      </c>
      <c r="C50" s="116"/>
      <c r="D50" s="885" cm="1">
        <f t="array" ref="D50">SUM(_xlfn.ANCHORARRAY(E50) * discountAnnual)</f>
        <v>519457.64672574296</v>
      </c>
      <c r="E50" s="884" cm="1">
        <f t="array" ref="E50:AF50">IF(year = MAX(year), (C24 * ($I$8 - $I$9) / $I$8) + D24, 0)</f>
        <v>0</v>
      </c>
      <c r="F50" s="884">
        <v>0</v>
      </c>
      <c r="G50" s="884">
        <v>0</v>
      </c>
      <c r="H50" s="884">
        <v>0</v>
      </c>
      <c r="I50" s="884">
        <v>0</v>
      </c>
      <c r="J50" s="884">
        <v>0</v>
      </c>
      <c r="K50" s="884">
        <v>0</v>
      </c>
      <c r="L50" s="884">
        <v>0</v>
      </c>
      <c r="M50" s="884">
        <v>0</v>
      </c>
      <c r="N50" s="884">
        <v>0</v>
      </c>
      <c r="O50" s="884">
        <v>0</v>
      </c>
      <c r="P50" s="884">
        <v>0</v>
      </c>
      <c r="Q50" s="884">
        <v>0</v>
      </c>
      <c r="R50" s="884">
        <v>0</v>
      </c>
      <c r="S50" s="884">
        <v>0</v>
      </c>
      <c r="T50" s="884">
        <v>0</v>
      </c>
      <c r="U50" s="884">
        <v>0</v>
      </c>
      <c r="V50" s="884">
        <v>0</v>
      </c>
      <c r="W50" s="884">
        <v>0</v>
      </c>
      <c r="X50" s="884">
        <v>0</v>
      </c>
      <c r="Y50" s="884">
        <v>0</v>
      </c>
      <c r="Z50" s="884">
        <v>0</v>
      </c>
      <c r="AA50" s="884">
        <v>0</v>
      </c>
      <c r="AB50" s="884">
        <v>0</v>
      </c>
      <c r="AC50" s="884">
        <v>0</v>
      </c>
      <c r="AD50" s="884">
        <v>0</v>
      </c>
      <c r="AE50" s="884">
        <v>0</v>
      </c>
      <c r="AF50" s="885">
        <v>3227841.0559771284</v>
      </c>
    </row>
    <row r="51" spans="2:32" ht="21.95" customHeight="1" x14ac:dyDescent="0.2">
      <c r="B51" s="888" t="str">
        <f>'Project Costs'!B54</f>
        <v>Williams Street Improvements</v>
      </c>
      <c r="C51" s="116"/>
      <c r="D51" s="885" cm="1">
        <f t="array" ref="D51">SUM(_xlfn.ANCHORARRAY(E51) * discountAnnual)</f>
        <v>654131.85143241717</v>
      </c>
      <c r="E51" s="884" cm="1">
        <f t="array" ref="E51:AF51">IF(year = MAX(year), (C25 * ($I$8 - $I$9) / $I$8) + D25, 0)</f>
        <v>0</v>
      </c>
      <c r="F51" s="884">
        <v>0</v>
      </c>
      <c r="G51" s="884">
        <v>0</v>
      </c>
      <c r="H51" s="884">
        <v>0</v>
      </c>
      <c r="I51" s="884">
        <v>0</v>
      </c>
      <c r="J51" s="884">
        <v>0</v>
      </c>
      <c r="K51" s="884">
        <v>0</v>
      </c>
      <c r="L51" s="884">
        <v>0</v>
      </c>
      <c r="M51" s="884">
        <v>0</v>
      </c>
      <c r="N51" s="884">
        <v>0</v>
      </c>
      <c r="O51" s="884">
        <v>0</v>
      </c>
      <c r="P51" s="884">
        <v>0</v>
      </c>
      <c r="Q51" s="884">
        <v>0</v>
      </c>
      <c r="R51" s="884">
        <v>0</v>
      </c>
      <c r="S51" s="884">
        <v>0</v>
      </c>
      <c r="T51" s="884">
        <v>0</v>
      </c>
      <c r="U51" s="884">
        <v>0</v>
      </c>
      <c r="V51" s="884">
        <v>0</v>
      </c>
      <c r="W51" s="884">
        <v>0</v>
      </c>
      <c r="X51" s="884">
        <v>0</v>
      </c>
      <c r="Y51" s="884">
        <v>0</v>
      </c>
      <c r="Z51" s="884">
        <v>0</v>
      </c>
      <c r="AA51" s="884">
        <v>0</v>
      </c>
      <c r="AB51" s="884">
        <v>0</v>
      </c>
      <c r="AC51" s="884">
        <v>0</v>
      </c>
      <c r="AD51" s="884">
        <v>0</v>
      </c>
      <c r="AE51" s="884">
        <v>0</v>
      </c>
      <c r="AF51" s="885">
        <v>4064688.7371563842</v>
      </c>
    </row>
    <row r="52" spans="2:32" ht="21.95" customHeight="1" thickBot="1" x14ac:dyDescent="0.25">
      <c r="B52" s="890"/>
      <c r="C52" s="845" t="s">
        <v>25</v>
      </c>
      <c r="D52" s="880" cm="1">
        <f t="array" ref="D52">SUM(_xlfn.ANCHORARRAY(E52) * discountAnnual)</f>
        <v>3566990.6054470208</v>
      </c>
      <c r="E52" s="891" cm="1">
        <f t="array" ref="E52:AF52">_xlfn.ANCHORARRAY(E47) +_xlfn.ANCHORARRAY( E48) +_xlfn.ANCHORARRAY(E49) +_xlfn.ANCHORARRAY( E50) +_xlfn.ANCHORARRAY( E51)</f>
        <v>0</v>
      </c>
      <c r="F52" s="891">
        <v>0</v>
      </c>
      <c r="G52" s="891">
        <v>0</v>
      </c>
      <c r="H52" s="891">
        <v>0</v>
      </c>
      <c r="I52" s="891">
        <v>0</v>
      </c>
      <c r="J52" s="891">
        <v>0</v>
      </c>
      <c r="K52" s="891">
        <v>0</v>
      </c>
      <c r="L52" s="891">
        <v>0</v>
      </c>
      <c r="M52" s="891">
        <v>0</v>
      </c>
      <c r="N52" s="891">
        <v>0</v>
      </c>
      <c r="O52" s="891">
        <v>0</v>
      </c>
      <c r="P52" s="891">
        <v>0</v>
      </c>
      <c r="Q52" s="891">
        <v>0</v>
      </c>
      <c r="R52" s="891">
        <v>0</v>
      </c>
      <c r="S52" s="891">
        <v>0</v>
      </c>
      <c r="T52" s="891">
        <v>0</v>
      </c>
      <c r="U52" s="891">
        <v>0</v>
      </c>
      <c r="V52" s="891">
        <v>0</v>
      </c>
      <c r="W52" s="891">
        <v>0</v>
      </c>
      <c r="X52" s="891">
        <v>0</v>
      </c>
      <c r="Y52" s="891">
        <v>0</v>
      </c>
      <c r="Z52" s="891">
        <v>0</v>
      </c>
      <c r="AA52" s="891">
        <v>0</v>
      </c>
      <c r="AB52" s="891">
        <v>0</v>
      </c>
      <c r="AC52" s="891">
        <v>0</v>
      </c>
      <c r="AD52" s="891">
        <v>0</v>
      </c>
      <c r="AE52" s="891">
        <v>0</v>
      </c>
      <c r="AF52" s="892">
        <v>22164807.458548132</v>
      </c>
    </row>
  </sheetData>
  <mergeCells count="3">
    <mergeCell ref="G7:H7"/>
    <mergeCell ref="G8:H8"/>
    <mergeCell ref="G9:H9"/>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825C8CDFA17C45AD90C68629DB61B5" ma:contentTypeVersion="16" ma:contentTypeDescription="Create a new document." ma:contentTypeScope="" ma:versionID="2b5f599f02a4a77d8a240c607234f0a2">
  <xsd:schema xmlns:xsd="http://www.w3.org/2001/XMLSchema" xmlns:xs="http://www.w3.org/2001/XMLSchema" xmlns:p="http://schemas.microsoft.com/office/2006/metadata/properties" xmlns:ns3="eb58858a-d023-44fe-b0da-63c8a44a2eb0" xmlns:ns4="0b42f670-d63b-4e6e-ad8b-2d55c55c9ab2" targetNamespace="http://schemas.microsoft.com/office/2006/metadata/properties" ma:root="true" ma:fieldsID="b86cfe10f05ac4034064eead9d22eb1c" ns3:_="" ns4:_="">
    <xsd:import namespace="eb58858a-d023-44fe-b0da-63c8a44a2eb0"/>
    <xsd:import namespace="0b42f670-d63b-4e6e-ad8b-2d55c55c9ab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AutoKeyPoints" minOccurs="0"/>
                <xsd:element ref="ns4:MediaServiceKeyPoints" minOccurs="0"/>
                <xsd:element ref="ns4:MediaServiceDateTaken" minOccurs="0"/>
                <xsd:element ref="ns4:MediaServiceOCR" minOccurs="0"/>
                <xsd:element ref="ns4:_activity" minOccurs="0"/>
                <xsd:element ref="ns4:MediaServiceObjectDetectorVersions" minOccurs="0"/>
                <xsd:element ref="ns4:MediaLengthInSecond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58858a-d023-44fe-b0da-63c8a44a2eb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b42f670-d63b-4e6e-ad8b-2d55c55c9ab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0b42f670-d63b-4e6e-ad8b-2d55c55c9ab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59D097-8DAD-48C5-8087-3A05A42A25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58858a-d023-44fe-b0da-63c8a44a2eb0"/>
    <ds:schemaRef ds:uri="0b42f670-d63b-4e6e-ad8b-2d55c55c9a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878C8D8-EA52-4B3C-AC93-45E5866DB26E}">
  <ds:schemaRefs>
    <ds:schemaRef ds:uri="eb58858a-d023-44fe-b0da-63c8a44a2eb0"/>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0b42f670-d63b-4e6e-ad8b-2d55c55c9ab2"/>
    <ds:schemaRef ds:uri="http://www.w3.org/XML/1998/namespace"/>
  </ds:schemaRefs>
</ds:datastoreItem>
</file>

<file path=customXml/itemProps3.xml><?xml version="1.0" encoding="utf-8"?>
<ds:datastoreItem xmlns:ds="http://schemas.openxmlformats.org/officeDocument/2006/customXml" ds:itemID="{8728D490-AFDC-4D0A-B9AF-3A9AD1123F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READ ME</vt:lpstr>
      <vt:lpstr>Results Summary</vt:lpstr>
      <vt:lpstr>Reporting Tables</vt:lpstr>
      <vt:lpstr>Inputs</vt:lpstr>
      <vt:lpstr>Safety</vt:lpstr>
      <vt:lpstr>Travel Time</vt:lpstr>
      <vt:lpstr>Emissions</vt:lpstr>
      <vt:lpstr>O&amp;M</vt:lpstr>
      <vt:lpstr>Residual Value</vt:lpstr>
      <vt:lpstr>Project Costs</vt:lpstr>
      <vt:lpstr>Volume and Speed</vt:lpstr>
      <vt:lpstr>Project Cost Data</vt:lpstr>
      <vt:lpstr>Price Deflators</vt:lpstr>
      <vt:lpstr>Crash Data</vt:lpstr>
      <vt:lpstr>Traffic Data</vt:lpstr>
      <vt:lpstr>Trip Gen</vt:lpstr>
      <vt:lpstr>Speed</vt:lpstr>
      <vt:lpstr>Emissions Data</vt:lpstr>
      <vt:lpstr>adjust2023to2021</vt:lpstr>
      <vt:lpstr>annualizationFactor</vt:lpstr>
      <vt:lpstr>baseYear</vt:lpstr>
      <vt:lpstr>Client.Name</vt:lpstr>
      <vt:lpstr>constructionDuration</vt:lpstr>
      <vt:lpstr>costInjury</vt:lpstr>
      <vt:lpstr>costLife</vt:lpstr>
      <vt:lpstr>costPDO</vt:lpstr>
      <vt:lpstr>discount</vt:lpstr>
      <vt:lpstr>discountannual2023</vt:lpstr>
      <vt:lpstr>discountCO2</vt:lpstr>
      <vt:lpstr>endYear</vt:lpstr>
      <vt:lpstr>feetToMiles</vt:lpstr>
      <vt:lpstr>foottomile</vt:lpstr>
      <vt:lpstr>Grant.Name</vt:lpstr>
      <vt:lpstr>nonpeakHours</vt:lpstr>
      <vt:lpstr>occupancyAutos</vt:lpstr>
      <vt:lpstr>occupancyTrucks</vt:lpstr>
      <vt:lpstr>peakHoursAM</vt:lpstr>
      <vt:lpstr>peakHoursPM</vt:lpstr>
      <vt:lpstr>percentPeak</vt:lpstr>
      <vt:lpstr>Project.Name</vt:lpstr>
      <vt:lpstr>proxySpeed</vt:lpstr>
      <vt:lpstr>startYear</vt:lpstr>
      <vt:lpstr>studyDuration</vt:lpstr>
      <vt:lpstr>tonsToGrams</vt:lpstr>
      <vt:lpstr>usefulLife</vt:lpstr>
      <vt:lpstr>VTTSAutos</vt:lpstr>
      <vt:lpstr>VTTSTrucks</vt:lpstr>
      <vt:lpstr>yearsOfBenefits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Forsander</dc:creator>
  <cp:lastModifiedBy>Randy Forsander</cp:lastModifiedBy>
  <cp:lastPrinted>2023-08-10T21:53:16Z</cp:lastPrinted>
  <dcterms:created xsi:type="dcterms:W3CDTF">2021-10-22T16:54:34Z</dcterms:created>
  <dcterms:modified xsi:type="dcterms:W3CDTF">2023-08-18T15:46:33Z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0x01010065825C8CDFA17C45AD90C68629DB61B5</vt:lpwstr>
  </property>
</Properties>
</file>